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codeName="EstaPasta_de_trabalho"/>
  <mc:AlternateContent xmlns:mc="http://schemas.openxmlformats.org/markup-compatibility/2006">
    <mc:Choice Requires="x15">
      <x15ac:absPath xmlns:x15ac="http://schemas.microsoft.com/office/spreadsheetml/2010/11/ac" url="E:\Google Drive\Projetos e Trabalho\FUB (pasta servidor)\20200316 ULEG-FM (Remoto)\PARA SEI\"/>
    </mc:Choice>
  </mc:AlternateContent>
  <xr:revisionPtr revIDLastSave="0" documentId="13_ncr:1_{C321E044-589F-42AF-B4F3-7AFBA50358E9}" xr6:coauthVersionLast="45" xr6:coauthVersionMax="45" xr10:uidLastSave="{00000000-0000-0000-0000-000000000000}"/>
  <bookViews>
    <workbookView xWindow="-120" yWindow="-120" windowWidth="20730" windowHeight="11160" tabRatio="960" xr2:uid="{00000000-000D-0000-FFFF-FFFF00000000}"/>
  </bookViews>
  <sheets>
    <sheet name="Capa e Sumário" sheetId="15" r:id="rId1"/>
    <sheet name="Resumo" sheetId="48" r:id="rId2"/>
    <sheet name="Orç - Canteiro e Adm" sheetId="25" r:id="rId3"/>
    <sheet name="Orç - Prédio" sheetId="1" r:id="rId4"/>
    <sheet name="Orç - Reservatório" sheetId="29" r:id="rId5"/>
    <sheet name="Composições" sheetId="8" r:id="rId6"/>
    <sheet name="Planejamento da Obra" sheetId="65" r:id="rId7"/>
    <sheet name="CFF REV" sheetId="55" r:id="rId8"/>
    <sheet name="Curva ABC" sheetId="64" r:id="rId9"/>
    <sheet name="Cotações" sheetId="23" r:id="rId10"/>
    <sheet name="BDI" sheetId="16" r:id="rId11"/>
    <sheet name="Encargos" sheetId="17" r:id="rId12"/>
    <sheet name="Ref. Quantitativos" sheetId="62" r:id="rId13"/>
    <sheet name="QuantCanteiro" sheetId="27" r:id="rId14"/>
    <sheet name="QuantPrédio" sheetId="22" r:id="rId15"/>
    <sheet name="QuantReservatório" sheetId="30" r:id="rId16"/>
    <sheet name="QuantitativosÁgFria" sheetId="20" r:id="rId17"/>
    <sheet name="InsumosSinapi" sheetId="7" state="hidden" r:id="rId18"/>
    <sheet name="CompSinapi" sheetId="9" state="hidden" r:id="rId19"/>
  </sheets>
  <definedNames>
    <definedName name="_xlnm._FilterDatabase" localSheetId="5" hidden="1">Composições!$A$4515:$I$4525</definedName>
    <definedName name="_xlnm._FilterDatabase" localSheetId="8" hidden="1">'Curva ABC'!$A$13:$F$804</definedName>
    <definedName name="_xlnm._FilterDatabase" localSheetId="6" hidden="1">'Planejamento da Obra'!$A$13:$D$803</definedName>
    <definedName name="_xlnm._FilterDatabase" localSheetId="12" hidden="1">'Ref. Quantitativos'!$A$65:$E$753</definedName>
    <definedName name="_xlnm.Print_Area" localSheetId="0">'Capa e Sumário'!$A$1:$J$33</definedName>
    <definedName name="_xlnm.Print_Area" localSheetId="7">'CFF REV'!$A$1:$R$55</definedName>
    <definedName name="_xlnm.Print_Area" localSheetId="5">Composições!$A$1:$H$4762</definedName>
    <definedName name="_xlnm.Print_Area" localSheetId="9">Cotações!$A$1:$G$253</definedName>
    <definedName name="_xlnm.Print_Area" localSheetId="8">'Curva ABC'!$A$1:$F$804</definedName>
    <definedName name="_xlnm.Print_Area" localSheetId="2">'Orç - Canteiro e Adm'!$A:$J</definedName>
    <definedName name="_xlnm.Print_Area" localSheetId="3">'Orç - Prédio'!$A$1:$J$839</definedName>
    <definedName name="_xlnm.Print_Area" localSheetId="4">'Orç - Reservatório'!$A$1:$J$145</definedName>
    <definedName name="_xlnm.Print_Area" localSheetId="6">'Planejamento da Obra'!$A$1:$D$141</definedName>
    <definedName name="_xlnm.Print_Area" localSheetId="13">QuantCanteiro!$A$1:$K$56</definedName>
    <definedName name="_xlnm.Print_Area" localSheetId="16">QuantitativosÁgFria!$A$1:$H$99</definedName>
    <definedName name="_xlnm.Print_Area" localSheetId="14">QuantPrédio!$A$1:$K$792</definedName>
    <definedName name="_xlnm.Print_Area" localSheetId="15">QuantReservatório!$A$1:$K$89</definedName>
    <definedName name="_xlnm.Print_Area" localSheetId="12">'Ref. Quantitativos'!$A$1:$E$828</definedName>
    <definedName name="_xlnm.Print_Area" localSheetId="1">Resumo!$A$1:$H$21</definedName>
    <definedName name="CFF">#REF!</definedName>
    <definedName name="Excel_BuiltIn_Print_Area_1" localSheetId="0">'Capa e Sumário'!#REF!</definedName>
    <definedName name="Excel_BuiltIn_Print_Area_1" localSheetId="9">#REF!</definedName>
    <definedName name="Excel_BuiltIn_Print_Area_1" localSheetId="8">'Curva ABC'!$A$1:$F$742</definedName>
    <definedName name="Excel_BuiltIn_Print_Area_1" localSheetId="2">'Orç - Canteiro e Adm'!$A$1:$J$120</definedName>
    <definedName name="Excel_BuiltIn_Print_Area_1" localSheetId="4">'Orç - Reservatório'!$A$1:$J$153</definedName>
    <definedName name="Excel_BuiltIn_Print_Area_1" localSheetId="6">'Planejamento da Obra'!$A$1:$D$742</definedName>
    <definedName name="Excel_BuiltIn_Print_Area_1" localSheetId="12">'Ref. Quantitativos'!$A$1:$E$97</definedName>
    <definedName name="Excel_BuiltIn_Print_Area_1" localSheetId="1">Resumo!$A$1:$H$25</definedName>
    <definedName name="Excel_BuiltIn_Print_Area_1">'Orç - Prédio'!$A$1:$J$846</definedName>
    <definedName name="Excel_BuiltIn_Print_Area_1_1" localSheetId="0">'Capa e Sumário'!#REF!</definedName>
    <definedName name="Excel_BuiltIn_Print_Area_1_1" localSheetId="9">#REF!</definedName>
    <definedName name="Excel_BuiltIn_Print_Area_1_1" localSheetId="8">'Curva ABC'!$A$1:$F$60</definedName>
    <definedName name="Excel_BuiltIn_Print_Area_1_1" localSheetId="2">'Orç - Canteiro e Adm'!$A$1:$J$111</definedName>
    <definedName name="Excel_BuiltIn_Print_Area_1_1" localSheetId="4">'Orç - Reservatório'!$A$1:$J$144</definedName>
    <definedName name="Excel_BuiltIn_Print_Area_1_1" localSheetId="6">'Planejamento da Obra'!$A$1:$D$58</definedName>
    <definedName name="Excel_BuiltIn_Print_Area_1_1" localSheetId="12">'Ref. Quantitativos'!$A$1:$E$90</definedName>
    <definedName name="Excel_BuiltIn_Print_Area_1_1" localSheetId="1">Resumo!$A$1:$H$18</definedName>
    <definedName name="Excel_BuiltIn_Print_Area_1_1">'Orç - Prédio'!$A$1:$J$837</definedName>
    <definedName name="Excel_BuiltIn_Print_Area_9" localSheetId="0">#REF!</definedName>
    <definedName name="Excel_BuiltIn_Print_Area_9" localSheetId="7">#REF!</definedName>
    <definedName name="Excel_BuiltIn_Print_Area_9" localSheetId="9">#REF!</definedName>
    <definedName name="Excel_BuiltIn_Print_Area_9" localSheetId="8">#REF!</definedName>
    <definedName name="Excel_BuiltIn_Print_Area_9" localSheetId="2">#REF!</definedName>
    <definedName name="Excel_BuiltIn_Print_Area_9" localSheetId="4">#REF!</definedName>
    <definedName name="Excel_BuiltIn_Print_Area_9" localSheetId="6">#REF!</definedName>
    <definedName name="Excel_BuiltIn_Print_Area_9" localSheetId="13">#REF!</definedName>
    <definedName name="Excel_BuiltIn_Print_Area_9" localSheetId="15">#REF!</definedName>
    <definedName name="Excel_BuiltIn_Print_Area_9" localSheetId="12">#REF!</definedName>
    <definedName name="Excel_BuiltIn_Print_Area_9" localSheetId="1">#REF!</definedName>
    <definedName name="Excel_BuiltIn_Print_Area_9">#REF!</definedName>
    <definedName name="Excel_BuiltIn_Print_Titles_1" localSheetId="0">#REF!</definedName>
    <definedName name="Excel_BuiltIn_Print_Titles_1" localSheetId="7">#REF!</definedName>
    <definedName name="Excel_BuiltIn_Print_Titles_1" localSheetId="9">#REF!</definedName>
    <definedName name="Excel_BuiltIn_Print_Titles_1" localSheetId="8">#REF!</definedName>
    <definedName name="Excel_BuiltIn_Print_Titles_1" localSheetId="2">#REF!</definedName>
    <definedName name="Excel_BuiltIn_Print_Titles_1" localSheetId="4">#REF!</definedName>
    <definedName name="Excel_BuiltIn_Print_Titles_1" localSheetId="6">#REF!</definedName>
    <definedName name="Excel_BuiltIn_Print_Titles_1" localSheetId="13">#REF!</definedName>
    <definedName name="Excel_BuiltIn_Print_Titles_1" localSheetId="15">#REF!</definedName>
    <definedName name="Excel_BuiltIn_Print_Titles_1" localSheetId="12">#REF!</definedName>
    <definedName name="Excel_BuiltIn_Print_Titles_1" localSheetId="1">#REF!</definedName>
    <definedName name="Excel_BuiltIn_Print_Titles_1">#REF!</definedName>
    <definedName name="NEWPRINT10" localSheetId="7">#REF!</definedName>
    <definedName name="NEWPRINT10" localSheetId="1">#REF!</definedName>
    <definedName name="NEWPRINT10">#REF!</definedName>
    <definedName name="NEWPRINT2" localSheetId="7">#REF!</definedName>
    <definedName name="NEWPRINT2" localSheetId="1">#REF!</definedName>
    <definedName name="NEWPRINT2">#REF!</definedName>
    <definedName name="NEWPRINT3" localSheetId="7">#REF!</definedName>
    <definedName name="NEWPRINT3" localSheetId="1">#REF!</definedName>
    <definedName name="NEWPRINT3">#REF!</definedName>
    <definedName name="NEWPRINT4" localSheetId="7">#REF!</definedName>
    <definedName name="NEWPRINT4" localSheetId="1">#REF!</definedName>
    <definedName name="NEWPRINT4">#REF!</definedName>
    <definedName name="NewPrintArea" localSheetId="7">#REF!</definedName>
    <definedName name="NewPrintArea" localSheetId="9">#REF!</definedName>
    <definedName name="NewPrintArea" localSheetId="8">#REF!</definedName>
    <definedName name="NewPrintArea" localSheetId="2">#REF!</definedName>
    <definedName name="NewPrintArea" localSheetId="4">#REF!</definedName>
    <definedName name="NewPrintArea" localSheetId="6">#REF!</definedName>
    <definedName name="NewPrintArea" localSheetId="13">#REF!</definedName>
    <definedName name="NewPrintArea" localSheetId="15">#REF!</definedName>
    <definedName name="NewPrintArea" localSheetId="12">#REF!</definedName>
    <definedName name="NewPrintArea" localSheetId="1">#REF!</definedName>
    <definedName name="NewPrintArea">#REF!</definedName>
    <definedName name="NewPrintArea2" localSheetId="7">#REF!</definedName>
    <definedName name="NewPrintArea2" localSheetId="9">#REF!</definedName>
    <definedName name="NewPrintArea2" localSheetId="8">#REF!</definedName>
    <definedName name="NewPrintArea2" localSheetId="2">#REF!</definedName>
    <definedName name="NewPrintArea2" localSheetId="4">#REF!</definedName>
    <definedName name="NewPrintArea2" localSheetId="6">#REF!</definedName>
    <definedName name="NewPrintArea2" localSheetId="13">#REF!</definedName>
    <definedName name="NewPrintArea2" localSheetId="15">#REF!</definedName>
    <definedName name="NewPrintArea2" localSheetId="12">#REF!</definedName>
    <definedName name="NewPrintArea2" localSheetId="1">#REF!</definedName>
    <definedName name="NewPrintArea2">#REF!</definedName>
    <definedName name="NewPrintArea3" localSheetId="7">#REF!</definedName>
    <definedName name="NewPrintArea3" localSheetId="9">#REF!</definedName>
    <definedName name="NewPrintArea3" localSheetId="8">#REF!</definedName>
    <definedName name="NewPrintArea3" localSheetId="2">#REF!</definedName>
    <definedName name="NewPrintArea3" localSheetId="4">#REF!</definedName>
    <definedName name="NewPrintArea3" localSheetId="6">#REF!</definedName>
    <definedName name="NewPrintArea3" localSheetId="13">#REF!</definedName>
    <definedName name="NewPrintArea3" localSheetId="15">#REF!</definedName>
    <definedName name="NewPrintArea3" localSheetId="12">#REF!</definedName>
    <definedName name="NewPrintArea3" localSheetId="1">#REF!</definedName>
    <definedName name="NewPrintArea3">#REF!</definedName>
    <definedName name="NewPrintArea9" localSheetId="7">#REF!</definedName>
    <definedName name="NewPrintArea9" localSheetId="9">#REF!</definedName>
    <definedName name="NewPrintArea9" localSheetId="8">#REF!</definedName>
    <definedName name="NewPrintArea9" localSheetId="2">#REF!</definedName>
    <definedName name="NewPrintArea9" localSheetId="4">#REF!</definedName>
    <definedName name="NewPrintArea9" localSheetId="6">#REF!</definedName>
    <definedName name="NewPrintArea9" localSheetId="13">#REF!</definedName>
    <definedName name="NewPrintArea9" localSheetId="15">#REF!</definedName>
    <definedName name="NewPrintArea9" localSheetId="12">#REF!</definedName>
    <definedName name="NewPrintArea9" localSheetId="1">#REF!</definedName>
    <definedName name="NewPrintArea9">#REF!</definedName>
    <definedName name="PRINT10" localSheetId="7">#REF!</definedName>
    <definedName name="PRINT10" localSheetId="1">#REF!</definedName>
    <definedName name="PRINT10">#REF!</definedName>
    <definedName name="TITLES2" localSheetId="7">#REF!</definedName>
    <definedName name="TITLES2" localSheetId="1">#REF!</definedName>
    <definedName name="TITLES2">#REF!</definedName>
    <definedName name="_xlnm.Print_Titles" localSheetId="0">'Capa e Sumário'!$1:$6</definedName>
    <definedName name="_xlnm.Print_Titles" localSheetId="5">Composições!$1:$5</definedName>
    <definedName name="_xlnm.Print_Titles" localSheetId="9">Cotações!$1:$5</definedName>
    <definedName name="_xlnm.Print_Titles" localSheetId="8">'Curva ABC'!$1:$5</definedName>
    <definedName name="_xlnm.Print_Titles" localSheetId="2">'Orç - Canteiro e Adm'!$1:$5</definedName>
    <definedName name="_xlnm.Print_Titles" localSheetId="3">'Orç - Prédio'!$1:$5</definedName>
    <definedName name="_xlnm.Print_Titles" localSheetId="4">'Orç - Reservatório'!$1:$5</definedName>
    <definedName name="_xlnm.Print_Titles" localSheetId="6">'Planejamento da Obra'!$1:$5</definedName>
    <definedName name="_xlnm.Print_Titles" localSheetId="13">QuantCanteiro!$1:$5</definedName>
    <definedName name="_xlnm.Print_Titles" localSheetId="14">QuantPrédio!$1:$5</definedName>
    <definedName name="_xlnm.Print_Titles" localSheetId="15">QuantReservatório!$1:$5</definedName>
    <definedName name="_xlnm.Print_Titles" localSheetId="12">'Ref. Quantitativos'!$1:$6</definedName>
    <definedName name="_xlnm.Print_Titles" localSheetId="1">Resumo!$1:$6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57" i="64" l="1"/>
  <c r="B23" i="55" l="1" a="1"/>
  <c r="B23" i="55"/>
  <c r="A23" i="55"/>
  <c r="B21" i="55" a="1"/>
  <c r="B21" i="55" s="1"/>
  <c r="A21" i="55"/>
  <c r="S24" i="55"/>
  <c r="E28" i="64"/>
  <c r="K324" i="8" l="1"/>
  <c r="K325" i="8"/>
  <c r="K326" i="8"/>
  <c r="K327" i="8"/>
  <c r="K328" i="8"/>
  <c r="K329" i="8"/>
  <c r="K330" i="8"/>
  <c r="K323" i="8"/>
  <c r="K97" i="25" l="1"/>
  <c r="H328" i="8"/>
  <c r="B44" i="23"/>
  <c r="E331" i="64" l="1"/>
  <c r="G264" i="22"/>
  <c r="E247" i="64"/>
  <c r="B3832" i="8"/>
  <c r="C3832" i="8"/>
  <c r="E3832" i="8"/>
  <c r="H3837" i="8" s="1"/>
  <c r="A3832" i="8"/>
  <c r="H3833" i="8"/>
  <c r="E15" i="64"/>
  <c r="E16" i="64"/>
  <c r="E17" i="64"/>
  <c r="E18" i="64"/>
  <c r="E19" i="64"/>
  <c r="E20" i="64"/>
  <c r="E21" i="64"/>
  <c r="E22" i="64"/>
  <c r="E23" i="64"/>
  <c r="E24" i="64"/>
  <c r="E25" i="64"/>
  <c r="E26" i="64"/>
  <c r="E27" i="64"/>
  <c r="E29" i="64"/>
  <c r="E30" i="64"/>
  <c r="E31" i="64"/>
  <c r="E34" i="64"/>
  <c r="E32" i="64"/>
  <c r="E33" i="64"/>
  <c r="E36" i="64"/>
  <c r="E37" i="64"/>
  <c r="E38" i="64"/>
  <c r="E35" i="64"/>
  <c r="E39" i="64"/>
  <c r="E40" i="64"/>
  <c r="E41" i="64"/>
  <c r="E43" i="64"/>
  <c r="E44" i="64"/>
  <c r="E45" i="64"/>
  <c r="E46" i="64"/>
  <c r="E47" i="64"/>
  <c r="E51" i="64"/>
  <c r="E48" i="64"/>
  <c r="E49" i="64"/>
  <c r="E50" i="64"/>
  <c r="E52" i="64"/>
  <c r="E53" i="64"/>
  <c r="E54" i="64"/>
  <c r="E55" i="64"/>
  <c r="E56" i="64"/>
  <c r="E57" i="64"/>
  <c r="E58" i="64"/>
  <c r="E59" i="64"/>
  <c r="E60" i="64"/>
  <c r="E61" i="64"/>
  <c r="E62" i="64"/>
  <c r="E63" i="64"/>
  <c r="E64" i="64"/>
  <c r="E65" i="64"/>
  <c r="E66" i="64"/>
  <c r="E67" i="64"/>
  <c r="E68" i="64"/>
  <c r="E69" i="64"/>
  <c r="E70" i="64"/>
  <c r="E71"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2" i="64"/>
  <c r="E133" i="64"/>
  <c r="E134" i="64"/>
  <c r="E135" i="64"/>
  <c r="E136" i="64"/>
  <c r="E137" i="64"/>
  <c r="E138" i="64"/>
  <c r="E139" i="64"/>
  <c r="E140" i="64"/>
  <c r="E141" i="64"/>
  <c r="E142" i="64"/>
  <c r="E143" i="64"/>
  <c r="E144" i="64"/>
  <c r="E417" i="64"/>
  <c r="E146" i="64"/>
  <c r="E147" i="64"/>
  <c r="E148" i="64"/>
  <c r="E149" i="64"/>
  <c r="E150" i="64"/>
  <c r="E151" i="64"/>
  <c r="E152" i="64"/>
  <c r="E145" i="64"/>
  <c r="E153" i="64"/>
  <c r="E154" i="64"/>
  <c r="E155" i="64"/>
  <c r="E156" i="64"/>
  <c r="E157" i="64"/>
  <c r="E158" i="64"/>
  <c r="E159"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8" i="64"/>
  <c r="E249" i="64"/>
  <c r="E250" i="64"/>
  <c r="E251" i="64"/>
  <c r="E252" i="64"/>
  <c r="E253" i="64"/>
  <c r="E254" i="64"/>
  <c r="E255" i="64"/>
  <c r="E256" i="64"/>
  <c r="E258" i="64"/>
  <c r="E259" i="64"/>
  <c r="E260" i="64"/>
  <c r="E261" i="64"/>
  <c r="E262" i="64"/>
  <c r="E263" i="64"/>
  <c r="E264" i="64"/>
  <c r="E265" i="64"/>
  <c r="E266" i="64"/>
  <c r="E267" i="64"/>
  <c r="E268" i="64"/>
  <c r="E269" i="64"/>
  <c r="E270" i="64"/>
  <c r="E271" i="64"/>
  <c r="E272" i="64"/>
  <c r="E273" i="64"/>
  <c r="E274" i="64"/>
  <c r="E275" i="64"/>
  <c r="E276" i="64"/>
  <c r="E277" i="64"/>
  <c r="E278" i="64"/>
  <c r="E279" i="64"/>
  <c r="E280" i="64"/>
  <c r="E281" i="64"/>
  <c r="E282" i="64"/>
  <c r="E283" i="64"/>
  <c r="E284" i="64"/>
  <c r="E285" i="64"/>
  <c r="E286" i="64"/>
  <c r="E287" i="64"/>
  <c r="E288" i="64"/>
  <c r="E289" i="64"/>
  <c r="E290" i="64"/>
  <c r="E291" i="64"/>
  <c r="E292" i="64"/>
  <c r="E293" i="64"/>
  <c r="E295" i="64"/>
  <c r="E296" i="64"/>
  <c r="E297" i="64"/>
  <c r="E298" i="64"/>
  <c r="E299" i="64"/>
  <c r="E300" i="64"/>
  <c r="E301" i="64"/>
  <c r="E302" i="64"/>
  <c r="E303" i="64"/>
  <c r="E304" i="64"/>
  <c r="E305" i="64"/>
  <c r="E306" i="64"/>
  <c r="E307" i="64"/>
  <c r="E308" i="64"/>
  <c r="E309" i="64"/>
  <c r="E310" i="64"/>
  <c r="E311" i="64"/>
  <c r="E312" i="64"/>
  <c r="E313" i="64"/>
  <c r="E314" i="64"/>
  <c r="E315" i="64"/>
  <c r="E316" i="64"/>
  <c r="E317" i="64"/>
  <c r="E318" i="64"/>
  <c r="E319" i="64"/>
  <c r="E320" i="64"/>
  <c r="E321" i="64"/>
  <c r="E322" i="64"/>
  <c r="E323" i="64"/>
  <c r="E324" i="64"/>
  <c r="E325" i="64"/>
  <c r="E326" i="64"/>
  <c r="E327" i="64"/>
  <c r="E328" i="64"/>
  <c r="E329" i="64"/>
  <c r="E330" i="64"/>
  <c r="E332" i="64"/>
  <c r="E333" i="64"/>
  <c r="E335" i="64"/>
  <c r="E336" i="64"/>
  <c r="E337" i="64"/>
  <c r="E338" i="64"/>
  <c r="E339" i="64"/>
  <c r="E340" i="64"/>
  <c r="E341" i="64"/>
  <c r="E342" i="64"/>
  <c r="E343" i="64"/>
  <c r="E344" i="64"/>
  <c r="E345" i="64"/>
  <c r="E346" i="64"/>
  <c r="E347" i="64"/>
  <c r="E348" i="64"/>
  <c r="E349" i="64"/>
  <c r="E350" i="64"/>
  <c r="E351" i="64"/>
  <c r="E352" i="64"/>
  <c r="E353" i="64"/>
  <c r="E354" i="64"/>
  <c r="E355" i="64"/>
  <c r="E356" i="64"/>
  <c r="E357" i="64"/>
  <c r="E358" i="64"/>
  <c r="E359" i="64"/>
  <c r="E360" i="64"/>
  <c r="E361" i="64"/>
  <c r="E362" i="64"/>
  <c r="E363" i="64"/>
  <c r="E364" i="64"/>
  <c r="E365" i="64"/>
  <c r="E366" i="64"/>
  <c r="E367" i="64"/>
  <c r="E368" i="64"/>
  <c r="E369" i="64"/>
  <c r="E370" i="64"/>
  <c r="E371" i="64"/>
  <c r="E372" i="64"/>
  <c r="E373" i="64"/>
  <c r="E374" i="64"/>
  <c r="E376" i="64"/>
  <c r="E377" i="64"/>
  <c r="E378" i="64"/>
  <c r="E379" i="64"/>
  <c r="E380" i="64"/>
  <c r="E381" i="64"/>
  <c r="E382" i="64"/>
  <c r="E383" i="64"/>
  <c r="E384" i="64"/>
  <c r="E385" i="64"/>
  <c r="E386" i="64"/>
  <c r="E387" i="64"/>
  <c r="E388" i="64"/>
  <c r="E389" i="64"/>
  <c r="E390" i="64"/>
  <c r="E391" i="64"/>
  <c r="E392" i="64"/>
  <c r="E393" i="64"/>
  <c r="E394" i="64"/>
  <c r="E395" i="64"/>
  <c r="E396" i="64"/>
  <c r="E397" i="64"/>
  <c r="E398" i="64"/>
  <c r="E399" i="64"/>
  <c r="E400" i="64"/>
  <c r="E401" i="64"/>
  <c r="E402" i="64"/>
  <c r="E403" i="64"/>
  <c r="E404" i="64"/>
  <c r="E405" i="64"/>
  <c r="E406" i="64"/>
  <c r="E407" i="64"/>
  <c r="E408" i="64"/>
  <c r="E409" i="64"/>
  <c r="E410" i="64"/>
  <c r="E411" i="64"/>
  <c r="E412" i="64"/>
  <c r="E413" i="64"/>
  <c r="E414" i="64"/>
  <c r="E416" i="64"/>
  <c r="E418" i="64"/>
  <c r="E419" i="64"/>
  <c r="E420" i="64"/>
  <c r="E421" i="64"/>
  <c r="E422" i="64"/>
  <c r="E423" i="64"/>
  <c r="E424" i="64"/>
  <c r="E425" i="64"/>
  <c r="E426" i="64"/>
  <c r="E427" i="64"/>
  <c r="E428" i="64"/>
  <c r="E429" i="64"/>
  <c r="E430" i="64"/>
  <c r="E431" i="64"/>
  <c r="E432" i="64"/>
  <c r="E433" i="64"/>
  <c r="E434" i="64"/>
  <c r="E435" i="64"/>
  <c r="E436" i="64"/>
  <c r="E437" i="64"/>
  <c r="E438" i="64"/>
  <c r="E439" i="64"/>
  <c r="E440" i="64"/>
  <c r="E441" i="64"/>
  <c r="E442" i="64"/>
  <c r="E443" i="64"/>
  <c r="E444" i="64"/>
  <c r="E445" i="64"/>
  <c r="E446" i="64"/>
  <c r="E447" i="64"/>
  <c r="E448" i="64"/>
  <c r="E449" i="64"/>
  <c r="E450" i="64"/>
  <c r="E451" i="64"/>
  <c r="E452" i="64"/>
  <c r="E453" i="64"/>
  <c r="E454" i="64"/>
  <c r="E455" i="64"/>
  <c r="E458" i="64"/>
  <c r="E459" i="64"/>
  <c r="E460" i="64"/>
  <c r="E461" i="64"/>
  <c r="E462" i="64"/>
  <c r="E463" i="64"/>
  <c r="E464" i="64"/>
  <c r="E465" i="64"/>
  <c r="E466" i="64"/>
  <c r="E467" i="64"/>
  <c r="E468" i="64"/>
  <c r="E469" i="64"/>
  <c r="E470" i="64"/>
  <c r="E471" i="64"/>
  <c r="E472" i="64"/>
  <c r="E473" i="64"/>
  <c r="E474" i="64"/>
  <c r="E475" i="64"/>
  <c r="E476" i="64"/>
  <c r="E477" i="64"/>
  <c r="E478" i="64"/>
  <c r="E479" i="64"/>
  <c r="E480" i="64"/>
  <c r="E481" i="64"/>
  <c r="E482" i="64"/>
  <c r="E483" i="64"/>
  <c r="E484" i="64"/>
  <c r="E485" i="64"/>
  <c r="E486" i="64"/>
  <c r="E487" i="64"/>
  <c r="E488" i="64"/>
  <c r="E489" i="64"/>
  <c r="E490" i="64"/>
  <c r="E491" i="64"/>
  <c r="E492" i="64"/>
  <c r="E493" i="64"/>
  <c r="E494" i="64"/>
  <c r="E495" i="64"/>
  <c r="E497" i="64"/>
  <c r="E498" i="64"/>
  <c r="E499" i="64"/>
  <c r="E500" i="64"/>
  <c r="E501" i="64"/>
  <c r="E502" i="64"/>
  <c r="E503" i="64"/>
  <c r="E504" i="64"/>
  <c r="E505" i="64"/>
  <c r="E506" i="64"/>
  <c r="E507" i="64"/>
  <c r="E508" i="64"/>
  <c r="E509" i="64"/>
  <c r="E510" i="64"/>
  <c r="E511" i="64"/>
  <c r="E512" i="64"/>
  <c r="E513" i="64"/>
  <c r="E514" i="64"/>
  <c r="E515" i="64"/>
  <c r="E516" i="64"/>
  <c r="E517" i="64"/>
  <c r="E518" i="64"/>
  <c r="E519" i="64"/>
  <c r="E520" i="64"/>
  <c r="E521" i="64"/>
  <c r="E522" i="64"/>
  <c r="E523" i="64"/>
  <c r="E524" i="64"/>
  <c r="E525" i="64"/>
  <c r="E526" i="64"/>
  <c r="E527" i="64"/>
  <c r="E528" i="64"/>
  <c r="E529" i="64"/>
  <c r="E530" i="64"/>
  <c r="E531" i="64"/>
  <c r="E532" i="64"/>
  <c r="E533" i="64"/>
  <c r="E534" i="64"/>
  <c r="E535" i="64"/>
  <c r="E537" i="64"/>
  <c r="E538" i="64"/>
  <c r="E539" i="64"/>
  <c r="E540" i="64"/>
  <c r="E541" i="64"/>
  <c r="E542" i="64"/>
  <c r="E543" i="64"/>
  <c r="E544" i="64"/>
  <c r="E545" i="64"/>
  <c r="E546" i="64"/>
  <c r="E547" i="64"/>
  <c r="E548" i="64"/>
  <c r="E549" i="64"/>
  <c r="E550" i="64"/>
  <c r="E551" i="64"/>
  <c r="E552" i="64"/>
  <c r="E553" i="64"/>
  <c r="E554" i="64"/>
  <c r="E555" i="64"/>
  <c r="E556" i="64"/>
  <c r="E557" i="64"/>
  <c r="E558" i="64"/>
  <c r="E559" i="64"/>
  <c r="E560" i="64"/>
  <c r="E561" i="64"/>
  <c r="E562" i="64"/>
  <c r="E563" i="64"/>
  <c r="E564" i="64"/>
  <c r="E565" i="64"/>
  <c r="E566" i="64"/>
  <c r="E567" i="64"/>
  <c r="E568" i="64"/>
  <c r="E569" i="64"/>
  <c r="E570" i="64"/>
  <c r="E571" i="64"/>
  <c r="E572" i="64"/>
  <c r="E573" i="64"/>
  <c r="E574" i="64"/>
  <c r="E575" i="64"/>
  <c r="E576" i="64"/>
  <c r="E578" i="64"/>
  <c r="E579" i="64"/>
  <c r="E580" i="64"/>
  <c r="E581" i="64"/>
  <c r="E582" i="64"/>
  <c r="E583" i="64"/>
  <c r="E584" i="64"/>
  <c r="E585" i="64"/>
  <c r="E586" i="64"/>
  <c r="E587" i="64"/>
  <c r="E588" i="64"/>
  <c r="E589" i="64"/>
  <c r="E590" i="64"/>
  <c r="E591" i="64"/>
  <c r="E592" i="64"/>
  <c r="E593" i="64"/>
  <c r="E594" i="64"/>
  <c r="E595" i="64"/>
  <c r="E596" i="64"/>
  <c r="E597" i="64"/>
  <c r="E598" i="64"/>
  <c r="E599" i="64"/>
  <c r="E600" i="64"/>
  <c r="E601" i="64"/>
  <c r="E602" i="64"/>
  <c r="E603" i="64"/>
  <c r="E604" i="64"/>
  <c r="E605" i="64"/>
  <c r="E606" i="64"/>
  <c r="E607" i="64"/>
  <c r="E608" i="64"/>
  <c r="E609" i="64"/>
  <c r="E610" i="64"/>
  <c r="E611" i="64"/>
  <c r="E612" i="64"/>
  <c r="E613" i="64"/>
  <c r="E615" i="64"/>
  <c r="E616" i="64"/>
  <c r="E617" i="64"/>
  <c r="E618" i="64"/>
  <c r="E619" i="64"/>
  <c r="E620" i="64"/>
  <c r="E621" i="64"/>
  <c r="E622" i="64"/>
  <c r="E623" i="64"/>
  <c r="E624" i="64"/>
  <c r="E625" i="64"/>
  <c r="E626" i="64"/>
  <c r="E627" i="64"/>
  <c r="E628" i="64"/>
  <c r="E629" i="64"/>
  <c r="E630" i="64"/>
  <c r="E631" i="64"/>
  <c r="E632" i="64"/>
  <c r="E633" i="64"/>
  <c r="E634" i="64"/>
  <c r="E635" i="64"/>
  <c r="E636" i="64"/>
  <c r="E637" i="64"/>
  <c r="E638" i="64"/>
  <c r="E639" i="64"/>
  <c r="E640" i="64"/>
  <c r="E641" i="64"/>
  <c r="E642" i="64"/>
  <c r="E643" i="64"/>
  <c r="E644" i="64"/>
  <c r="E645" i="64"/>
  <c r="E646" i="64"/>
  <c r="E647" i="64"/>
  <c r="E648" i="64"/>
  <c r="E649" i="64"/>
  <c r="E650" i="64"/>
  <c r="E651" i="64"/>
  <c r="E652" i="64"/>
  <c r="E653" i="64"/>
  <c r="E655" i="64"/>
  <c r="E656" i="64"/>
  <c r="E657" i="64"/>
  <c r="E658" i="64"/>
  <c r="E659" i="64"/>
  <c r="E660" i="64"/>
  <c r="E661" i="64"/>
  <c r="E662" i="64"/>
  <c r="E663" i="64"/>
  <c r="E664" i="64"/>
  <c r="E665" i="64"/>
  <c r="E666" i="64"/>
  <c r="E667" i="64"/>
  <c r="E668" i="64"/>
  <c r="E669" i="64"/>
  <c r="E670" i="64"/>
  <c r="E671" i="64"/>
  <c r="E672" i="64"/>
  <c r="E673" i="64"/>
  <c r="E674" i="64"/>
  <c r="E675" i="64"/>
  <c r="E676" i="64"/>
  <c r="E677" i="64"/>
  <c r="E678" i="64"/>
  <c r="E679" i="64"/>
  <c r="E680" i="64"/>
  <c r="E681" i="64"/>
  <c r="E682" i="64"/>
  <c r="E683" i="64"/>
  <c r="E684" i="64"/>
  <c r="E685" i="64"/>
  <c r="E686" i="64"/>
  <c r="E687" i="64"/>
  <c r="E688" i="64"/>
  <c r="E689" i="64"/>
  <c r="E690" i="64"/>
  <c r="E691" i="64"/>
  <c r="E692" i="64"/>
  <c r="E693" i="64"/>
  <c r="E694" i="64"/>
  <c r="E695" i="64"/>
  <c r="E696" i="64"/>
  <c r="E697" i="64"/>
  <c r="E698" i="64"/>
  <c r="E699" i="64"/>
  <c r="E700" i="64"/>
  <c r="E702" i="64"/>
  <c r="E703" i="64"/>
  <c r="E704" i="64"/>
  <c r="E705" i="64"/>
  <c r="E706" i="64"/>
  <c r="E707" i="64"/>
  <c r="E708" i="64"/>
  <c r="E709" i="64"/>
  <c r="E710" i="64"/>
  <c r="E711" i="64"/>
  <c r="E712" i="64"/>
  <c r="E713" i="64"/>
  <c r="E714" i="64"/>
  <c r="E715" i="64"/>
  <c r="E716" i="64"/>
  <c r="E717" i="64"/>
  <c r="E718" i="64"/>
  <c r="E719" i="64"/>
  <c r="E720" i="64"/>
  <c r="E721" i="64"/>
  <c r="E722" i="64"/>
  <c r="E723" i="64"/>
  <c r="E724" i="64"/>
  <c r="E725" i="64"/>
  <c r="E726" i="64"/>
  <c r="E727" i="64"/>
  <c r="E728" i="64"/>
  <c r="E729" i="64"/>
  <c r="E730" i="64"/>
  <c r="E731" i="64"/>
  <c r="E732" i="64"/>
  <c r="E733" i="64"/>
  <c r="E734" i="64"/>
  <c r="E735" i="64"/>
  <c r="E736" i="64"/>
  <c r="E737" i="64"/>
  <c r="E738" i="64"/>
  <c r="E739" i="64"/>
  <c r="E740" i="64"/>
  <c r="E741" i="64"/>
  <c r="E742" i="64"/>
  <c r="E743" i="64"/>
  <c r="E744" i="64"/>
  <c r="E745" i="64"/>
  <c r="E746" i="64"/>
  <c r="E747" i="64"/>
  <c r="E748" i="64"/>
  <c r="E750" i="64"/>
  <c r="E751" i="64"/>
  <c r="E752" i="64"/>
  <c r="E753" i="64"/>
  <c r="E754" i="64"/>
  <c r="E755" i="64"/>
  <c r="E756" i="64"/>
  <c r="E757" i="64"/>
  <c r="E758" i="64"/>
  <c r="E759" i="64"/>
  <c r="E760" i="64"/>
  <c r="E761" i="64"/>
  <c r="E762" i="64"/>
  <c r="E763" i="64"/>
  <c r="E764" i="64"/>
  <c r="E765" i="64"/>
  <c r="E766" i="64"/>
  <c r="E767" i="64"/>
  <c r="E768" i="64"/>
  <c r="E769" i="64"/>
  <c r="E770" i="64"/>
  <c r="E771" i="64"/>
  <c r="E772" i="64"/>
  <c r="E773" i="64"/>
  <c r="E774" i="64"/>
  <c r="E775" i="64"/>
  <c r="E776" i="64"/>
  <c r="E777" i="64"/>
  <c r="E778" i="64"/>
  <c r="E779" i="64"/>
  <c r="E780" i="64"/>
  <c r="E781" i="64"/>
  <c r="E782" i="64"/>
  <c r="E783" i="64"/>
  <c r="E784" i="64"/>
  <c r="E785" i="64"/>
  <c r="E786" i="64"/>
  <c r="E787" i="64"/>
  <c r="E788" i="64"/>
  <c r="E789" i="64"/>
  <c r="E790" i="64"/>
  <c r="E791" i="64"/>
  <c r="E792" i="64"/>
  <c r="E793" i="64"/>
  <c r="E794" i="64"/>
  <c r="E795" i="64"/>
  <c r="E796" i="64"/>
  <c r="E797" i="64"/>
  <c r="E798" i="64"/>
  <c r="E799" i="64"/>
  <c r="E801" i="64"/>
  <c r="E802" i="64"/>
  <c r="E803" i="64"/>
  <c r="E804" i="64"/>
  <c r="E14" i="64"/>
  <c r="F14" i="64" s="1"/>
  <c r="F15" i="64" l="1"/>
  <c r="F16" i="64" s="1"/>
  <c r="F17" i="64" s="1"/>
  <c r="F18" i="64" s="1"/>
  <c r="F19" i="64" s="1"/>
  <c r="F20" i="64" s="1"/>
  <c r="F21" i="64" s="1"/>
  <c r="F22" i="64" s="1"/>
  <c r="F23" i="64" s="1"/>
  <c r="F24" i="64" s="1"/>
  <c r="F25" i="64" s="1"/>
  <c r="F26" i="64" s="1"/>
  <c r="F27" i="64" s="1"/>
  <c r="F28" i="64" s="1"/>
  <c r="F29" i="64" s="1"/>
  <c r="F30" i="64" s="1"/>
  <c r="F31" i="64" s="1"/>
  <c r="F32" i="64" s="1"/>
  <c r="F33" i="64" s="1"/>
  <c r="F34" i="64" s="1"/>
  <c r="F35" i="64" s="1"/>
  <c r="F36" i="64" s="1"/>
  <c r="F37" i="64" s="1"/>
  <c r="F38" i="64" s="1"/>
  <c r="F39" i="64" s="1"/>
  <c r="F40" i="64" s="1"/>
  <c r="F41" i="64" s="1"/>
  <c r="F43" i="64" s="1"/>
  <c r="F44" i="64" s="1"/>
  <c r="F45" i="64" s="1"/>
  <c r="F46" i="64" s="1"/>
  <c r="F47" i="64" s="1"/>
  <c r="F48" i="64" s="1"/>
  <c r="F49" i="64" s="1"/>
  <c r="F50" i="64" s="1"/>
  <c r="F51" i="64" s="1"/>
  <c r="F52" i="64" s="1"/>
  <c r="F53" i="64" s="1"/>
  <c r="F54" i="64" s="1"/>
  <c r="F55" i="64" s="1"/>
  <c r="F56" i="64" s="1"/>
  <c r="F57" i="64" s="1"/>
  <c r="F58" i="64" s="1"/>
  <c r="F59" i="64" s="1"/>
  <c r="F60" i="64" s="1"/>
  <c r="F61" i="64" s="1"/>
  <c r="F62" i="64" s="1"/>
  <c r="F63" i="64" s="1"/>
  <c r="F64" i="64" s="1"/>
  <c r="F65" i="64" s="1"/>
  <c r="F66" i="64" s="1"/>
  <c r="F67" i="64" s="1"/>
  <c r="F68" i="64" s="1"/>
  <c r="F69" i="64" s="1"/>
  <c r="F70" i="64" s="1"/>
  <c r="F71" i="64" s="1"/>
  <c r="F73" i="64" s="1"/>
  <c r="F74" i="64" s="1"/>
  <c r="F75" i="64" s="1"/>
  <c r="F76" i="64" s="1"/>
  <c r="F77" i="64" s="1"/>
  <c r="F78" i="64" s="1"/>
  <c r="F79" i="64" s="1"/>
  <c r="F80" i="64" s="1"/>
  <c r="F81" i="64" s="1"/>
  <c r="F82" i="64" s="1"/>
  <c r="F83" i="64" s="1"/>
  <c r="F84" i="64" s="1"/>
  <c r="F85" i="64" s="1"/>
  <c r="F86" i="64" s="1"/>
  <c r="F87" i="64" s="1"/>
  <c r="F88" i="64" s="1"/>
  <c r="F89" i="64" s="1"/>
  <c r="F90" i="64" s="1"/>
  <c r="F91" i="64" s="1"/>
  <c r="F92" i="64" s="1"/>
  <c r="F93" i="64" s="1"/>
  <c r="F94" i="64" s="1"/>
  <c r="F95" i="64" s="1"/>
  <c r="F96" i="64" s="1"/>
  <c r="F97" i="64" s="1"/>
  <c r="F98" i="64" s="1"/>
  <c r="F99" i="64" s="1"/>
  <c r="F100" i="64" s="1"/>
  <c r="F101" i="64" s="1"/>
  <c r="F103" i="64" s="1"/>
  <c r="F104" i="64" s="1"/>
  <c r="F105" i="64" s="1"/>
  <c r="F106" i="64" s="1"/>
  <c r="F107" i="64" s="1"/>
  <c r="F108" i="64" s="1"/>
  <c r="F109" i="64" s="1"/>
  <c r="F110" i="64" s="1"/>
  <c r="F111" i="64" s="1"/>
  <c r="F112" i="64" s="1"/>
  <c r="F113" i="64" s="1"/>
  <c r="F114" i="64" s="1"/>
  <c r="F115" i="64" s="1"/>
  <c r="F116" i="64" s="1"/>
  <c r="F117" i="64" s="1"/>
  <c r="F118" i="64" s="1"/>
  <c r="F119" i="64" s="1"/>
  <c r="F120" i="64" s="1"/>
  <c r="F121" i="64" s="1"/>
  <c r="F122" i="64" s="1"/>
  <c r="F123" i="64" s="1"/>
  <c r="F124" i="64" s="1"/>
  <c r="F125" i="64" s="1"/>
  <c r="F126" i="64" s="1"/>
  <c r="F127" i="64" s="1"/>
  <c r="F128" i="64" s="1"/>
  <c r="F129" i="64" s="1"/>
  <c r="F130" i="64" s="1"/>
  <c r="F132" i="64" s="1"/>
  <c r="F133" i="64" s="1"/>
  <c r="F134" i="64" s="1"/>
  <c r="F135" i="64" s="1"/>
  <c r="F136" i="64" s="1"/>
  <c r="F137" i="64" s="1"/>
  <c r="F138" i="64" s="1"/>
  <c r="F139" i="64" s="1"/>
  <c r="F140" i="64" s="1"/>
  <c r="F141" i="64" s="1"/>
  <c r="F142" i="64" s="1"/>
  <c r="F143" i="64" s="1"/>
  <c r="F144" i="64" s="1"/>
  <c r="F145" i="64" s="1"/>
  <c r="F146" i="64" s="1"/>
  <c r="F147" i="64" s="1"/>
  <c r="F148" i="64" s="1"/>
  <c r="F149" i="64" s="1"/>
  <c r="F150" i="64" s="1"/>
  <c r="F151" i="64" s="1"/>
  <c r="F152" i="64" s="1"/>
  <c r="F153" i="64" s="1"/>
  <c r="F154" i="64" s="1"/>
  <c r="F155" i="64" s="1"/>
  <c r="F156" i="64" s="1"/>
  <c r="F157" i="64" s="1"/>
  <c r="F158" i="64" s="1"/>
  <c r="F159" i="64" s="1"/>
  <c r="F161" i="64" s="1"/>
  <c r="F162" i="64" s="1"/>
  <c r="F163" i="64" s="1"/>
  <c r="F164" i="64" s="1"/>
  <c r="F165" i="64" s="1"/>
  <c r="F166" i="64" s="1"/>
  <c r="F167" i="64" s="1"/>
  <c r="F168" i="64" s="1"/>
  <c r="F169" i="64" s="1"/>
  <c r="F170" i="64" s="1"/>
  <c r="F171" i="64" s="1"/>
  <c r="F172" i="64" s="1"/>
  <c r="F173" i="64" s="1"/>
  <c r="F174" i="64" s="1"/>
  <c r="F175" i="64" s="1"/>
  <c r="F176" i="64" s="1"/>
  <c r="F177" i="64" s="1"/>
  <c r="F178" i="64" s="1"/>
  <c r="F179" i="64" s="1"/>
  <c r="F180" i="64" s="1"/>
  <c r="F181" i="64" s="1"/>
  <c r="F182" i="64" s="1"/>
  <c r="F183" i="64" s="1"/>
  <c r="F184" i="64" s="1"/>
  <c r="F185" i="64" s="1"/>
  <c r="F186" i="64" s="1"/>
  <c r="F187" i="64" s="1"/>
  <c r="F188" i="64" s="1"/>
  <c r="F189" i="64" s="1"/>
  <c r="F190" i="64" s="1"/>
  <c r="F191" i="64" s="1"/>
  <c r="F193" i="64" s="1"/>
  <c r="F194" i="64" s="1"/>
  <c r="F195" i="64" s="1"/>
  <c r="F196" i="64" s="1"/>
  <c r="F197" i="64" s="1"/>
  <c r="F198" i="64" s="1"/>
  <c r="F199" i="64" s="1"/>
  <c r="F200" i="64" s="1"/>
  <c r="F201" i="64" s="1"/>
  <c r="F202" i="64" s="1"/>
  <c r="F203" i="64" s="1"/>
  <c r="F204" i="64" s="1"/>
  <c r="F205" i="64" s="1"/>
  <c r="F206" i="64" s="1"/>
  <c r="F207" i="64" s="1"/>
  <c r="F208" i="64" s="1"/>
  <c r="F209" i="64" s="1"/>
  <c r="F210" i="64" s="1"/>
  <c r="F211" i="64" s="1"/>
  <c r="F212" i="64" s="1"/>
  <c r="F213" i="64" s="1"/>
  <c r="F214" i="64" s="1"/>
  <c r="F215" i="64" s="1"/>
  <c r="F216" i="64" s="1"/>
  <c r="F217" i="64" s="1"/>
  <c r="F218" i="64" s="1"/>
  <c r="F219" i="64" s="1"/>
  <c r="F220" i="64" s="1"/>
  <c r="F221" i="64" s="1"/>
  <c r="F223" i="64" s="1"/>
  <c r="F224" i="64" s="1"/>
  <c r="F225" i="64" s="1"/>
  <c r="F226" i="64" s="1"/>
  <c r="F227" i="64" s="1"/>
  <c r="F228" i="64" s="1"/>
  <c r="F229" i="64" s="1"/>
  <c r="F230" i="64" s="1"/>
  <c r="F231" i="64" s="1"/>
  <c r="F232" i="64" s="1"/>
  <c r="F233" i="64" s="1"/>
  <c r="F234" i="64" s="1"/>
  <c r="F235" i="64" s="1"/>
  <c r="F236" i="64" s="1"/>
  <c r="F237" i="64" s="1"/>
  <c r="F238" i="64" s="1"/>
  <c r="F239" i="64" s="1"/>
  <c r="F240" i="64" s="1"/>
  <c r="F241" i="64" s="1"/>
  <c r="F242" i="64" s="1"/>
  <c r="F243" i="64" s="1"/>
  <c r="F244" i="64" s="1"/>
  <c r="F245" i="64" s="1"/>
  <c r="F246" i="64" s="1"/>
  <c r="F247" i="64" s="1"/>
  <c r="F248" i="64" s="1"/>
  <c r="F249" i="64" s="1"/>
  <c r="F250" i="64" s="1"/>
  <c r="F251" i="64" s="1"/>
  <c r="F252" i="64" s="1"/>
  <c r="F253" i="64" s="1"/>
  <c r="F254" i="64" s="1"/>
  <c r="F255" i="64" s="1"/>
  <c r="F256" i="64" s="1"/>
  <c r="F258" i="64" s="1"/>
  <c r="F259" i="64" s="1"/>
  <c r="F260" i="64" s="1"/>
  <c r="F261" i="64" s="1"/>
  <c r="F262" i="64" s="1"/>
  <c r="F263" i="64" s="1"/>
  <c r="F264" i="64" s="1"/>
  <c r="F265" i="64" s="1"/>
  <c r="F266" i="64" s="1"/>
  <c r="F267" i="64" s="1"/>
  <c r="F268" i="64" s="1"/>
  <c r="F269" i="64" s="1"/>
  <c r="F270" i="64" s="1"/>
  <c r="F271" i="64" s="1"/>
  <c r="F272" i="64" s="1"/>
  <c r="F273" i="64" s="1"/>
  <c r="F274" i="64" s="1"/>
  <c r="F275" i="64" s="1"/>
  <c r="F276" i="64" s="1"/>
  <c r="F277" i="64" s="1"/>
  <c r="F278" i="64" s="1"/>
  <c r="F279" i="64" s="1"/>
  <c r="F280" i="64" s="1"/>
  <c r="F281" i="64" s="1"/>
  <c r="F282" i="64" s="1"/>
  <c r="F283" i="64" s="1"/>
  <c r="F284" i="64" s="1"/>
  <c r="F285" i="64" s="1"/>
  <c r="F286" i="64" s="1"/>
  <c r="F287" i="64" s="1"/>
  <c r="F288" i="64" s="1"/>
  <c r="F289" i="64" s="1"/>
  <c r="F290" i="64" s="1"/>
  <c r="F291" i="64" s="1"/>
  <c r="F292" i="64" s="1"/>
  <c r="F293" i="64" s="1"/>
  <c r="F295" i="64" s="1"/>
  <c r="F296" i="64" s="1"/>
  <c r="F297" i="64" s="1"/>
  <c r="F298" i="64" s="1"/>
  <c r="F299" i="64" s="1"/>
  <c r="F300" i="64" s="1"/>
  <c r="F301" i="64" s="1"/>
  <c r="F302" i="64" s="1"/>
  <c r="F303" i="64" s="1"/>
  <c r="F304" i="64" s="1"/>
  <c r="F305" i="64" s="1"/>
  <c r="F306" i="64" s="1"/>
  <c r="F307" i="64" s="1"/>
  <c r="F308" i="64" s="1"/>
  <c r="F309" i="64" s="1"/>
  <c r="F310" i="64" s="1"/>
  <c r="F311" i="64" s="1"/>
  <c r="F312" i="64" s="1"/>
  <c r="F313" i="64" s="1"/>
  <c r="F314" i="64" s="1"/>
  <c r="F315" i="64" s="1"/>
  <c r="F316" i="64" s="1"/>
  <c r="F317" i="64" s="1"/>
  <c r="F318" i="64" s="1"/>
  <c r="F319" i="64" s="1"/>
  <c r="F320" i="64" s="1"/>
  <c r="F321" i="64" s="1"/>
  <c r="F322" i="64" s="1"/>
  <c r="F323" i="64" s="1"/>
  <c r="F324" i="64" s="1"/>
  <c r="F325" i="64" s="1"/>
  <c r="F326" i="64" s="1"/>
  <c r="F327" i="64" s="1"/>
  <c r="F328" i="64" s="1"/>
  <c r="F329" i="64" s="1"/>
  <c r="F330" i="64" s="1"/>
  <c r="F331" i="64" s="1"/>
  <c r="F332" i="64" s="1"/>
  <c r="F333" i="64" s="1"/>
  <c r="F335" i="64" s="1"/>
  <c r="H3834" i="8"/>
  <c r="H3835" i="8"/>
  <c r="H3836" i="8" l="1"/>
  <c r="H3838" i="8" s="1"/>
  <c r="H3832" i="8" s="1"/>
  <c r="E319" i="1"/>
  <c r="E317" i="1"/>
  <c r="E119" i="29"/>
  <c r="G16" i="20"/>
  <c r="G18" i="20"/>
  <c r="G19" i="20"/>
  <c r="G20" i="20"/>
  <c r="G21" i="20"/>
  <c r="G22" i="20"/>
  <c r="G23" i="20"/>
  <c r="G24" i="20"/>
  <c r="G25" i="20"/>
  <c r="G26" i="20"/>
  <c r="G27" i="20"/>
  <c r="G28" i="20"/>
  <c r="G29" i="20"/>
  <c r="G30" i="20"/>
  <c r="G31" i="20"/>
  <c r="G32" i="20"/>
  <c r="G33"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E311" i="1" s="1"/>
  <c r="G74" i="20"/>
  <c r="E312" i="1" s="1"/>
  <c r="G75" i="20"/>
  <c r="E313" i="1" s="1"/>
  <c r="G76" i="20"/>
  <c r="E331" i="1" s="1"/>
  <c r="G77" i="20"/>
  <c r="G78" i="20"/>
  <c r="E315" i="1" s="1"/>
  <c r="G79" i="20"/>
  <c r="E320" i="1" s="1"/>
  <c r="G80" i="20"/>
  <c r="G82" i="20"/>
  <c r="E322" i="1" s="1"/>
  <c r="G83" i="20"/>
  <c r="E323" i="1" s="1"/>
  <c r="G84" i="20"/>
  <c r="E324" i="1" s="1"/>
  <c r="G85" i="20"/>
  <c r="E325" i="1" s="1"/>
  <c r="G86" i="20"/>
  <c r="E326" i="1" s="1"/>
  <c r="G87" i="20"/>
  <c r="G88" i="20"/>
  <c r="E327" i="1" s="1"/>
  <c r="G89" i="20"/>
  <c r="E328" i="1" s="1"/>
  <c r="G90" i="20"/>
  <c r="G91" i="20"/>
  <c r="E329" i="1" s="1"/>
  <c r="G92" i="20"/>
  <c r="E330" i="1" s="1"/>
  <c r="G93" i="20"/>
  <c r="E332" i="1" s="1"/>
  <c r="G94" i="20"/>
  <c r="E333" i="1" s="1"/>
  <c r="G95" i="20"/>
  <c r="E334" i="1" s="1"/>
  <c r="G96" i="20"/>
  <c r="G97" i="20"/>
  <c r="G98" i="20"/>
  <c r="C675" i="62"/>
  <c r="E732" i="1"/>
  <c r="E16" i="23"/>
  <c r="G221" i="22"/>
  <c r="J221" i="22" s="1"/>
  <c r="G222" i="22"/>
  <c r="J222" i="22" s="1"/>
  <c r="G223" i="22"/>
  <c r="J223" i="22" s="1"/>
  <c r="G220" i="22"/>
  <c r="J220" i="22" s="1"/>
  <c r="G210" i="22"/>
  <c r="J212" i="22"/>
  <c r="J211" i="22"/>
  <c r="J210" i="22"/>
  <c r="J208" i="22"/>
  <c r="G209" i="22"/>
  <c r="J209" i="22" s="1"/>
  <c r="K204" i="22"/>
  <c r="B204" i="22"/>
  <c r="A204" i="22"/>
  <c r="K216" i="22"/>
  <c r="B216" i="22"/>
  <c r="A216" i="22"/>
  <c r="E708" i="1"/>
  <c r="E698" i="1"/>
  <c r="E697" i="1"/>
  <c r="E4670" i="8"/>
  <c r="B4669" i="8"/>
  <c r="C4669" i="8"/>
  <c r="E4669" i="8"/>
  <c r="H4677" i="8" s="1"/>
  <c r="A4669" i="8"/>
  <c r="H21" i="30"/>
  <c r="H20" i="30"/>
  <c r="H19" i="30"/>
  <c r="H18" i="30"/>
  <c r="E91" i="29"/>
  <c r="H22" i="30" s="1"/>
  <c r="H38" i="30"/>
  <c r="H36" i="30"/>
  <c r="K36" i="30" s="1"/>
  <c r="K39" i="30" s="1"/>
  <c r="E43" i="29" s="1"/>
  <c r="H37" i="30"/>
  <c r="K37" i="30" s="1"/>
  <c r="B32" i="30"/>
  <c r="A32" i="30"/>
  <c r="K38" i="30"/>
  <c r="J224" i="22" l="1"/>
  <c r="E105" i="1" s="1"/>
  <c r="J213" i="22"/>
  <c r="E104" i="1" s="1"/>
  <c r="H4671" i="8"/>
  <c r="H4670" i="8"/>
  <c r="H4673" i="8"/>
  <c r="H4672" i="8"/>
  <c r="H4674" i="8" s="1"/>
  <c r="E244" i="1"/>
  <c r="K500" i="22"/>
  <c r="B500" i="22"/>
  <c r="A500" i="22"/>
  <c r="J505" i="22"/>
  <c r="J504" i="22"/>
  <c r="K508" i="22"/>
  <c r="B508" i="22"/>
  <c r="A508" i="22"/>
  <c r="J512" i="22"/>
  <c r="J513" i="22"/>
  <c r="G380" i="22"/>
  <c r="C379" i="22"/>
  <c r="G379" i="22"/>
  <c r="B722" i="8"/>
  <c r="C722" i="8"/>
  <c r="E722" i="8"/>
  <c r="H735" i="8" s="1"/>
  <c r="A722" i="8"/>
  <c r="E730" i="8"/>
  <c r="E729" i="8"/>
  <c r="E728" i="8"/>
  <c r="E726" i="8"/>
  <c r="E724" i="8"/>
  <c r="E723" i="8"/>
  <c r="E711" i="8"/>
  <c r="E710" i="8"/>
  <c r="E709" i="8"/>
  <c r="E707" i="8"/>
  <c r="E705" i="8"/>
  <c r="E704" i="8"/>
  <c r="E691" i="8"/>
  <c r="E690" i="8"/>
  <c r="E689" i="8"/>
  <c r="E692" i="8" s="1"/>
  <c r="E688" i="8"/>
  <c r="E686" i="8"/>
  <c r="E685" i="8"/>
  <c r="B703" i="8"/>
  <c r="C703" i="8"/>
  <c r="E703" i="8"/>
  <c r="H716" i="8" s="1"/>
  <c r="A703" i="8"/>
  <c r="H634" i="1" l="1"/>
  <c r="K634" i="1"/>
  <c r="J514" i="22"/>
  <c r="E182" i="1" s="1"/>
  <c r="H4675" i="8"/>
  <c r="H4676" i="8" s="1"/>
  <c r="H4678" i="8" s="1"/>
  <c r="H4669" i="8" s="1"/>
  <c r="J506" i="22"/>
  <c r="E181" i="1" s="1"/>
  <c r="H728" i="8"/>
  <c r="H723" i="8"/>
  <c r="H729" i="8"/>
  <c r="H724" i="8"/>
  <c r="H730" i="8"/>
  <c r="H731" i="8"/>
  <c r="H725" i="8"/>
  <c r="H726" i="8"/>
  <c r="H727" i="8"/>
  <c r="H704" i="8"/>
  <c r="H705" i="8"/>
  <c r="H706" i="8"/>
  <c r="H707" i="8"/>
  <c r="H708" i="8"/>
  <c r="H709" i="8"/>
  <c r="H710" i="8"/>
  <c r="H711" i="8"/>
  <c r="H712" i="8"/>
  <c r="E241" i="22"/>
  <c r="D239" i="22"/>
  <c r="I231" i="22"/>
  <c r="I233" i="22" s="1"/>
  <c r="E110" i="1" s="1"/>
  <c r="K227" i="22"/>
  <c r="B227" i="22"/>
  <c r="A227" i="22"/>
  <c r="E107" i="1"/>
  <c r="E89" i="1"/>
  <c r="C38" i="27"/>
  <c r="H37" i="27"/>
  <c r="E42" i="25"/>
  <c r="L634" i="1" l="1"/>
  <c r="I634" i="1"/>
  <c r="J634" i="1" s="1"/>
  <c r="H732" i="8"/>
  <c r="H713" i="8"/>
  <c r="H733" i="8"/>
  <c r="H714" i="8"/>
  <c r="A3954" i="8"/>
  <c r="T634" i="1" l="1"/>
  <c r="V634" i="1"/>
  <c r="X634" i="1"/>
  <c r="W634" i="1"/>
  <c r="Y634" i="1"/>
  <c r="Z634" i="1"/>
  <c r="H734" i="8"/>
  <c r="H715" i="8"/>
  <c r="K558" i="1"/>
  <c r="H558" i="1"/>
  <c r="I558" i="1" s="1"/>
  <c r="J558" i="1" s="1"/>
  <c r="Z558" i="1" s="1"/>
  <c r="K559" i="1"/>
  <c r="H559" i="1"/>
  <c r="I559" i="1" s="1"/>
  <c r="J559" i="1" s="1"/>
  <c r="Z559" i="1" s="1"/>
  <c r="C554" i="62"/>
  <c r="C557" i="62"/>
  <c r="H136" i="1" l="1"/>
  <c r="I136" i="1" s="1"/>
  <c r="J136" i="1" s="1"/>
  <c r="H736" i="8"/>
  <c r="H722" i="8" s="1"/>
  <c r="H717" i="8"/>
  <c r="H703" i="8" s="1"/>
  <c r="Y558" i="1"/>
  <c r="L558" i="1"/>
  <c r="W558" i="1"/>
  <c r="T558" i="1"/>
  <c r="V558" i="1"/>
  <c r="X558" i="1"/>
  <c r="T559" i="1"/>
  <c r="L559" i="1"/>
  <c r="Y559" i="1"/>
  <c r="X559" i="1"/>
  <c r="V559" i="1"/>
  <c r="W559" i="1"/>
  <c r="B1721" i="8"/>
  <c r="C1721" i="8"/>
  <c r="E1721" i="8"/>
  <c r="H1730" i="8" s="1"/>
  <c r="A1721" i="8"/>
  <c r="B2036" i="8"/>
  <c r="C2036" i="8"/>
  <c r="A2036" i="8"/>
  <c r="B1213" i="8"/>
  <c r="C1213" i="8"/>
  <c r="A1213" i="8"/>
  <c r="B419" i="8"/>
  <c r="C419" i="8"/>
  <c r="A419" i="8"/>
  <c r="B162" i="8"/>
  <c r="C162" i="8"/>
  <c r="A162" i="8"/>
  <c r="K136" i="1" l="1"/>
  <c r="L136" i="1"/>
  <c r="V136" i="1"/>
  <c r="X136" i="1"/>
  <c r="W136" i="1"/>
  <c r="H1723" i="8"/>
  <c r="H1724" i="8"/>
  <c r="H1725" i="8"/>
  <c r="H1726" i="8"/>
  <c r="H1722" i="8"/>
  <c r="H2037" i="8"/>
  <c r="H2038" i="8"/>
  <c r="H2039" i="8"/>
  <c r="H2040" i="8"/>
  <c r="H2041" i="8"/>
  <c r="H1214" i="8"/>
  <c r="H1218" i="8" s="1"/>
  <c r="H1215" i="8"/>
  <c r="H1216" i="8"/>
  <c r="H357" i="8"/>
  <c r="H421" i="8"/>
  <c r="H420" i="8"/>
  <c r="H422" i="8"/>
  <c r="H423" i="8"/>
  <c r="H166" i="8"/>
  <c r="H165" i="8"/>
  <c r="H164" i="8"/>
  <c r="H163" i="8"/>
  <c r="H168" i="8"/>
  <c r="H167" i="8"/>
  <c r="G61" i="22"/>
  <c r="H169" i="8" l="1"/>
  <c r="H425" i="8"/>
  <c r="H1727" i="8"/>
  <c r="H1217" i="8"/>
  <c r="H1219" i="8" s="1"/>
  <c r="H2043" i="8"/>
  <c r="H2042" i="8"/>
  <c r="H1728" i="8"/>
  <c r="H170" i="8"/>
  <c r="H424" i="8"/>
  <c r="E57" i="1"/>
  <c r="E80" i="1" s="1"/>
  <c r="D52" i="22"/>
  <c r="G52" i="22" s="1"/>
  <c r="J52" i="22" s="1"/>
  <c r="D51" i="22"/>
  <c r="G51" i="22" s="1"/>
  <c r="K47" i="22"/>
  <c r="B47" i="22"/>
  <c r="A47" i="22"/>
  <c r="G44" i="22"/>
  <c r="J44" i="22" s="1"/>
  <c r="G43" i="22"/>
  <c r="J43" i="22" s="1"/>
  <c r="A39" i="22"/>
  <c r="K39" i="22"/>
  <c r="B39" i="22"/>
  <c r="K31" i="22"/>
  <c r="H36" i="22"/>
  <c r="K36" i="22" s="1"/>
  <c r="H35" i="22"/>
  <c r="K35" i="22" s="1"/>
  <c r="B31" i="22"/>
  <c r="A31" i="22"/>
  <c r="B303" i="8"/>
  <c r="C303" i="8"/>
  <c r="A303" i="8"/>
  <c r="H1729" i="8" l="1"/>
  <c r="H1731" i="8" s="1"/>
  <c r="H1721" i="8" s="1"/>
  <c r="H426" i="8"/>
  <c r="H171" i="8"/>
  <c r="J45" i="22"/>
  <c r="E64" i="1" s="1"/>
  <c r="H2044" i="8"/>
  <c r="K37" i="22"/>
  <c r="E56" i="1" s="1"/>
  <c r="E69" i="1" s="1"/>
  <c r="J51" i="22"/>
  <c r="J53" i="22" s="1"/>
  <c r="E65" i="1" s="1"/>
  <c r="H307" i="8"/>
  <c r="H305" i="8"/>
  <c r="H306" i="8"/>
  <c r="H312" i="8" s="1"/>
  <c r="H304" i="8"/>
  <c r="H311" i="8"/>
  <c r="H309" i="8"/>
  <c r="H308" i="8"/>
  <c r="H310" i="8"/>
  <c r="E59" i="1"/>
  <c r="E303" i="8" s="1"/>
  <c r="H315" i="8" s="1"/>
  <c r="H313" i="8" l="1"/>
  <c r="H314" i="8" s="1"/>
  <c r="H316" i="8" s="1"/>
  <c r="F242" i="23"/>
  <c r="F132" i="23"/>
  <c r="H4187" i="8" l="1"/>
  <c r="H4186" i="8"/>
  <c r="H4188" i="8"/>
  <c r="H3777" i="8"/>
  <c r="H303" i="8" l="1"/>
  <c r="H709" i="1"/>
  <c r="H711" i="1"/>
  <c r="H710" i="1"/>
  <c r="H712" i="1"/>
  <c r="H713" i="1"/>
  <c r="H714" i="1"/>
  <c r="H3778" i="8"/>
  <c r="B2437" i="8" l="1"/>
  <c r="C2437" i="8"/>
  <c r="A2437" i="8"/>
  <c r="B2356" i="8"/>
  <c r="C2356" i="8"/>
  <c r="E2356" i="8"/>
  <c r="A2356" i="8"/>
  <c r="E131" i="29" l="1"/>
  <c r="E125" i="29"/>
  <c r="H131" i="29" l="1"/>
  <c r="K131" i="29"/>
  <c r="H125" i="29"/>
  <c r="K125" i="29"/>
  <c r="H283" i="1"/>
  <c r="E1262" i="8"/>
  <c r="E1264" i="8" s="1"/>
  <c r="E1228" i="8"/>
  <c r="E1227" i="8"/>
  <c r="E1236" i="8" l="1"/>
  <c r="E1237" i="8" s="1"/>
  <c r="H1237" i="8" s="1"/>
  <c r="E1263" i="8"/>
  <c r="H1231" i="8"/>
  <c r="I131" i="29"/>
  <c r="J131" i="29" s="1"/>
  <c r="L131" i="29"/>
  <c r="I125" i="29"/>
  <c r="J125" i="29" s="1"/>
  <c r="L125" i="29"/>
  <c r="I283" i="1"/>
  <c r="H1235" i="8"/>
  <c r="H1234" i="8"/>
  <c r="H1233" i="8"/>
  <c r="H1230" i="8"/>
  <c r="H1228" i="8"/>
  <c r="E923" i="8"/>
  <c r="E904" i="8"/>
  <c r="E866" i="8"/>
  <c r="E673" i="8"/>
  <c r="E653" i="8"/>
  <c r="H1236" i="8" l="1"/>
  <c r="V131" i="29"/>
  <c r="U131" i="29"/>
  <c r="V125" i="29"/>
  <c r="U125" i="29"/>
  <c r="E629" i="8"/>
  <c r="H629" i="8" l="1"/>
  <c r="H587" i="8" l="1"/>
  <c r="D34" i="23"/>
  <c r="B34" i="23"/>
  <c r="A34" i="23"/>
  <c r="F42" i="23"/>
  <c r="B1436" i="8"/>
  <c r="C1436" i="8"/>
  <c r="E1436" i="8"/>
  <c r="A1436" i="8"/>
  <c r="P237" i="1" l="1"/>
  <c r="B1460" i="8"/>
  <c r="C1460" i="8"/>
  <c r="A1460" i="8"/>
  <c r="H1461" i="8"/>
  <c r="E236" i="1"/>
  <c r="E1460" i="8" s="1"/>
  <c r="H1466" i="8" s="1"/>
  <c r="B1448" i="8"/>
  <c r="C1448" i="8"/>
  <c r="E1448" i="8"/>
  <c r="H1454" i="8" s="1"/>
  <c r="A1448" i="8"/>
  <c r="Y237" i="1"/>
  <c r="X237" i="1"/>
  <c r="W237" i="1"/>
  <c r="V237" i="1"/>
  <c r="U237" i="1"/>
  <c r="T237" i="1"/>
  <c r="S237" i="1"/>
  <c r="R237" i="1"/>
  <c r="Q237" i="1"/>
  <c r="O237" i="1"/>
  <c r="N237" i="1"/>
  <c r="M237" i="1"/>
  <c r="D94" i="23"/>
  <c r="B94" i="23"/>
  <c r="F102" i="23"/>
  <c r="H3865" i="8" s="1"/>
  <c r="B3864" i="8"/>
  <c r="C3864" i="8"/>
  <c r="E3864" i="8"/>
  <c r="H3870" i="8" s="1"/>
  <c r="A3864" i="8"/>
  <c r="A94" i="23" s="1"/>
  <c r="H1462" i="8" l="1"/>
  <c r="H1463" i="8" s="1"/>
  <c r="H1464" i="8"/>
  <c r="H1449" i="8"/>
  <c r="H1450" i="8"/>
  <c r="H1451" i="8" s="1"/>
  <c r="H3866" i="8"/>
  <c r="H3868" i="8" s="1"/>
  <c r="H1452" i="8" l="1"/>
  <c r="H1453" i="8" s="1"/>
  <c r="H1455" i="8" s="1"/>
  <c r="H1448" i="8" s="1"/>
  <c r="H1465" i="8"/>
  <c r="H1467" i="8" s="1"/>
  <c r="H1460" i="8" s="1"/>
  <c r="H3867" i="8"/>
  <c r="H3869" i="8" s="1"/>
  <c r="H3871" i="8" l="1"/>
  <c r="H3864" i="8" s="1"/>
  <c r="B246" i="8"/>
  <c r="C246" i="8"/>
  <c r="E246" i="8"/>
  <c r="H251" i="8" s="1"/>
  <c r="A246" i="8"/>
  <c r="K637" i="1" l="1"/>
  <c r="H236" i="1"/>
  <c r="K235" i="1"/>
  <c r="H247" i="8"/>
  <c r="H248" i="8" s="1"/>
  <c r="B279" i="8"/>
  <c r="C279" i="8"/>
  <c r="E279" i="8"/>
  <c r="H284" i="8" s="1"/>
  <c r="A279" i="8"/>
  <c r="H22" i="8"/>
  <c r="G241" i="22"/>
  <c r="J241" i="22" s="1"/>
  <c r="E240" i="22"/>
  <c r="G240" i="22" s="1"/>
  <c r="J240" i="22" s="1"/>
  <c r="E239" i="22"/>
  <c r="G239" i="22" s="1"/>
  <c r="J239" i="22" s="1"/>
  <c r="K235" i="22"/>
  <c r="B235" i="22"/>
  <c r="A235" i="22"/>
  <c r="Z113" i="1"/>
  <c r="Y113" i="1"/>
  <c r="X113" i="1"/>
  <c r="V113" i="1"/>
  <c r="U113" i="1"/>
  <c r="R113" i="1"/>
  <c r="Q113" i="1"/>
  <c r="P113" i="1"/>
  <c r="O113" i="1"/>
  <c r="N113" i="1"/>
  <c r="M113" i="1"/>
  <c r="J242" i="22" l="1"/>
  <c r="J243" i="22" s="1"/>
  <c r="E112" i="1" s="1"/>
  <c r="H637" i="1"/>
  <c r="L637" i="1" s="1"/>
  <c r="H235" i="1"/>
  <c r="I235" i="1" s="1"/>
  <c r="J235" i="1" s="1"/>
  <c r="Z235" i="1" s="1"/>
  <c r="K236" i="1"/>
  <c r="H249" i="8"/>
  <c r="H250" i="8" s="1"/>
  <c r="L236" i="1"/>
  <c r="I236" i="1"/>
  <c r="J236" i="1" s="1"/>
  <c r="Z236" i="1" s="1"/>
  <c r="H280" i="8"/>
  <c r="H281" i="8" s="1"/>
  <c r="H90" i="1"/>
  <c r="I637" i="1" l="1"/>
  <c r="J637" i="1" s="1"/>
  <c r="V637" i="1" s="1"/>
  <c r="L235" i="1"/>
  <c r="K39" i="1"/>
  <c r="H282" i="8"/>
  <c r="H283" i="8" s="1"/>
  <c r="H252" i="8"/>
  <c r="H246" i="8" s="1"/>
  <c r="I90" i="1"/>
  <c r="H112" i="1"/>
  <c r="K112" i="1"/>
  <c r="Z637" i="1" l="1"/>
  <c r="Y637" i="1"/>
  <c r="X637" i="1"/>
  <c r="T637" i="1"/>
  <c r="W637" i="1"/>
  <c r="K42" i="1"/>
  <c r="H285" i="8"/>
  <c r="H279" i="8" s="1"/>
  <c r="L112" i="1"/>
  <c r="I112" i="1"/>
  <c r="J112" i="1" s="1"/>
  <c r="S112" i="1" l="1"/>
  <c r="T112" i="1"/>
  <c r="B67" i="8" l="1"/>
  <c r="C67" i="8"/>
  <c r="E67" i="8"/>
  <c r="H72" i="8" s="1"/>
  <c r="A67" i="8"/>
  <c r="E30" i="25"/>
  <c r="E179" i="8"/>
  <c r="H68" i="8" l="1"/>
  <c r="H69" i="8" s="1"/>
  <c r="H70" i="8" l="1"/>
  <c r="H71" i="8" s="1"/>
  <c r="E427" i="1"/>
  <c r="E426" i="1"/>
  <c r="N100" i="25"/>
  <c r="O100" i="25"/>
  <c r="P100" i="25"/>
  <c r="Q100" i="25"/>
  <c r="R100" i="25"/>
  <c r="S100" i="25"/>
  <c r="T100" i="25"/>
  <c r="U100" i="25"/>
  <c r="V100" i="25"/>
  <c r="W100" i="25"/>
  <c r="X100" i="25"/>
  <c r="Y100" i="25"/>
  <c r="Z100" i="25"/>
  <c r="M100" i="25"/>
  <c r="N139" i="29"/>
  <c r="O139" i="29"/>
  <c r="Q139" i="29"/>
  <c r="R139" i="29"/>
  <c r="X139" i="29"/>
  <c r="Y139" i="29"/>
  <c r="Z139" i="29"/>
  <c r="M139" i="29"/>
  <c r="P23" i="29"/>
  <c r="S23" i="29"/>
  <c r="T23" i="29"/>
  <c r="U23" i="29"/>
  <c r="V23" i="29"/>
  <c r="W23" i="29"/>
  <c r="X23" i="29"/>
  <c r="Y23" i="29"/>
  <c r="Z23" i="29"/>
  <c r="M23" i="29"/>
  <c r="M655" i="1"/>
  <c r="M669" i="1"/>
  <c r="M688" i="1"/>
  <c r="M725" i="1"/>
  <c r="M734" i="1"/>
  <c r="Z422" i="1"/>
  <c r="Y422" i="1"/>
  <c r="X422" i="1"/>
  <c r="R422" i="1"/>
  <c r="Q422" i="1"/>
  <c r="O422" i="1"/>
  <c r="N422" i="1"/>
  <c r="M422" i="1"/>
  <c r="K508" i="1"/>
  <c r="L508" i="1"/>
  <c r="K512" i="1"/>
  <c r="L512" i="1"/>
  <c r="K453" i="1"/>
  <c r="L453" i="1"/>
  <c r="H73" i="8" l="1"/>
  <c r="H67" i="8" s="1"/>
  <c r="K35" i="25"/>
  <c r="K51" i="25"/>
  <c r="K50" i="25"/>
  <c r="M736" i="1"/>
  <c r="E110" i="8" l="1"/>
  <c r="E111" i="8" s="1"/>
  <c r="E109" i="8"/>
  <c r="E108" i="8"/>
  <c r="B102" i="8"/>
  <c r="C102" i="8"/>
  <c r="E102" i="8"/>
  <c r="H115" i="8" s="1"/>
  <c r="A102" i="8"/>
  <c r="H105" i="8" l="1"/>
  <c r="H106" i="8"/>
  <c r="H107" i="8"/>
  <c r="H108" i="8"/>
  <c r="H109" i="8"/>
  <c r="H110" i="8"/>
  <c r="H103" i="8"/>
  <c r="H104" i="8"/>
  <c r="H111" i="8"/>
  <c r="E1310" i="8"/>
  <c r="E1309" i="8"/>
  <c r="E1308" i="8"/>
  <c r="E1307" i="8"/>
  <c r="E1306" i="8"/>
  <c r="B1305" i="8"/>
  <c r="C1305" i="8"/>
  <c r="E1305" i="8"/>
  <c r="H1314" i="8" s="1"/>
  <c r="A1305" i="8"/>
  <c r="E1291" i="8"/>
  <c r="E1276" i="8"/>
  <c r="E1490" i="8"/>
  <c r="E1489" i="8"/>
  <c r="E1488" i="8"/>
  <c r="E1487" i="8"/>
  <c r="E1486" i="8"/>
  <c r="C1485" i="8"/>
  <c r="B1485" i="8"/>
  <c r="A1485" i="8"/>
  <c r="E1295" i="8"/>
  <c r="E1294" i="8"/>
  <c r="E1293" i="8"/>
  <c r="E1292" i="8"/>
  <c r="B1290" i="8"/>
  <c r="C1290" i="8"/>
  <c r="E1290" i="8"/>
  <c r="H1299" i="8" s="1"/>
  <c r="A1290" i="8"/>
  <c r="E105" i="29"/>
  <c r="E1280" i="8"/>
  <c r="E1279" i="8"/>
  <c r="E1278" i="8"/>
  <c r="E1277" i="8"/>
  <c r="H112" i="8" l="1"/>
  <c r="H113" i="8"/>
  <c r="H1308" i="8"/>
  <c r="H1309" i="8"/>
  <c r="H1306" i="8"/>
  <c r="H1310" i="8"/>
  <c r="H1307" i="8"/>
  <c r="H1488" i="8"/>
  <c r="H1489" i="8"/>
  <c r="H1486" i="8"/>
  <c r="H1490" i="8"/>
  <c r="H1487" i="8"/>
  <c r="H1293" i="8"/>
  <c r="H1294" i="8"/>
  <c r="H1291" i="8"/>
  <c r="H1295" i="8"/>
  <c r="H1292" i="8"/>
  <c r="H1277" i="8"/>
  <c r="H1278" i="8"/>
  <c r="B1275" i="8"/>
  <c r="C1275" i="8"/>
  <c r="E1275" i="8"/>
  <c r="H1284" i="8" s="1"/>
  <c r="A1275" i="8"/>
  <c r="H1491" i="8" l="1"/>
  <c r="H114" i="8"/>
  <c r="H1296" i="8"/>
  <c r="H1312" i="8"/>
  <c r="H1297" i="8"/>
  <c r="H1311" i="8"/>
  <c r="H1492" i="8"/>
  <c r="H1276" i="8"/>
  <c r="H1280" i="8"/>
  <c r="H1279" i="8"/>
  <c r="E1007" i="8"/>
  <c r="E990" i="8"/>
  <c r="E971" i="8"/>
  <c r="E953" i="8"/>
  <c r="K39" i="25" l="1"/>
  <c r="H116" i="8"/>
  <c r="H102" i="8" s="1"/>
  <c r="H1493" i="8"/>
  <c r="H1313" i="8"/>
  <c r="H1298" i="8"/>
  <c r="H1281" i="8"/>
  <c r="H993" i="8"/>
  <c r="H991" i="8"/>
  <c r="H994" i="8"/>
  <c r="H1282" i="8"/>
  <c r="H1009" i="8"/>
  <c r="H1007" i="8"/>
  <c r="H992" i="8"/>
  <c r="H990" i="8"/>
  <c r="H975" i="8"/>
  <c r="H971" i="8"/>
  <c r="H956" i="8"/>
  <c r="H957" i="8"/>
  <c r="H954" i="8"/>
  <c r="K104" i="29" l="1"/>
  <c r="H103" i="29"/>
  <c r="I103" i="29" s="1"/>
  <c r="J103" i="29" s="1"/>
  <c r="T103" i="29" s="1"/>
  <c r="H1283" i="8"/>
  <c r="H1315" i="8"/>
  <c r="H1305" i="8" s="1"/>
  <c r="H1300" i="8"/>
  <c r="H1290" i="8" s="1"/>
  <c r="G254" i="22"/>
  <c r="J254" i="22" s="1"/>
  <c r="K254" i="22"/>
  <c r="K448" i="22"/>
  <c r="G448" i="22"/>
  <c r="J448" i="22" s="1"/>
  <c r="K447" i="22"/>
  <c r="G447" i="22"/>
  <c r="J447" i="22" s="1"/>
  <c r="H104" i="29" l="1"/>
  <c r="I104" i="29" s="1"/>
  <c r="J104" i="29" s="1"/>
  <c r="T104" i="29" s="1"/>
  <c r="L103" i="29"/>
  <c r="K103" i="29"/>
  <c r="H1285" i="8"/>
  <c r="H1275" i="8" s="1"/>
  <c r="E2911" i="8"/>
  <c r="E2915" i="8"/>
  <c r="E2914" i="8"/>
  <c r="E2913" i="8"/>
  <c r="E2912" i="8"/>
  <c r="B2910" i="8"/>
  <c r="C2910" i="8"/>
  <c r="E2910" i="8"/>
  <c r="H2919" i="8" s="1"/>
  <c r="A2910" i="8"/>
  <c r="E3850" i="8"/>
  <c r="E3849" i="8"/>
  <c r="E3848" i="8"/>
  <c r="E3847" i="8"/>
  <c r="E3846" i="8"/>
  <c r="E3845" i="8"/>
  <c r="B3843" i="8"/>
  <c r="C3843" i="8"/>
  <c r="E3843" i="8"/>
  <c r="H3857" i="8" s="1"/>
  <c r="A3843" i="8"/>
  <c r="D64" i="23"/>
  <c r="B64" i="23"/>
  <c r="A64" i="23"/>
  <c r="F72" i="23"/>
  <c r="H2900" i="8" s="1"/>
  <c r="H2902" i="8" s="1"/>
  <c r="B2899" i="8"/>
  <c r="C2899" i="8"/>
  <c r="E2899" i="8"/>
  <c r="H2904" i="8" s="1"/>
  <c r="A2899" i="8"/>
  <c r="H2901" i="8"/>
  <c r="D54" i="23"/>
  <c r="B54" i="23"/>
  <c r="A54" i="23"/>
  <c r="B2811" i="8"/>
  <c r="C2811" i="8"/>
  <c r="E2811" i="8"/>
  <c r="H2816" i="8" s="1"/>
  <c r="A2811" i="8"/>
  <c r="H2813" i="8"/>
  <c r="L104" i="29" l="1"/>
  <c r="H2916" i="8"/>
  <c r="H2914" i="8"/>
  <c r="H2915" i="8"/>
  <c r="H2911" i="8"/>
  <c r="H2912" i="8"/>
  <c r="H2913" i="8"/>
  <c r="H3844" i="8"/>
  <c r="H3845" i="8"/>
  <c r="H3846" i="8"/>
  <c r="H3847" i="8"/>
  <c r="H3849" i="8"/>
  <c r="H3850" i="8"/>
  <c r="H3848" i="8"/>
  <c r="H3851" i="8"/>
  <c r="H3852" i="8"/>
  <c r="H3853" i="8"/>
  <c r="H2903" i="8"/>
  <c r="K510" i="1" s="1"/>
  <c r="H2917" i="8" l="1"/>
  <c r="H2918" i="8" s="1"/>
  <c r="H3854" i="8"/>
  <c r="H3855" i="8"/>
  <c r="H2905" i="8"/>
  <c r="H2899" i="8" s="1"/>
  <c r="K511" i="1" l="1"/>
  <c r="H3856" i="8"/>
  <c r="H2920" i="8"/>
  <c r="H2910" i="8" s="1"/>
  <c r="H3858" i="8" l="1"/>
  <c r="H3843" i="8" s="1"/>
  <c r="B2888" i="8"/>
  <c r="C2888" i="8"/>
  <c r="E2888" i="8"/>
  <c r="H2893" i="8" s="1"/>
  <c r="A2888" i="8"/>
  <c r="H2890" i="8"/>
  <c r="H2889" i="8"/>
  <c r="H2891" i="8" s="1"/>
  <c r="B2877" i="8"/>
  <c r="C2877" i="8"/>
  <c r="E2877" i="8"/>
  <c r="H2882" i="8" s="1"/>
  <c r="A2877" i="8"/>
  <c r="H2879" i="8"/>
  <c r="H2878" i="8"/>
  <c r="H2880" i="8" s="1"/>
  <c r="B2866" i="8"/>
  <c r="C2866" i="8"/>
  <c r="E2866" i="8"/>
  <c r="H2871" i="8" s="1"/>
  <c r="A2866" i="8"/>
  <c r="H2868" i="8"/>
  <c r="H2867" i="8"/>
  <c r="H2869" i="8" s="1"/>
  <c r="B2855" i="8"/>
  <c r="C2855" i="8"/>
  <c r="E2855" i="8"/>
  <c r="H2860" i="8" s="1"/>
  <c r="A2855" i="8"/>
  <c r="H2857" i="8"/>
  <c r="H2856" i="8"/>
  <c r="H2858" i="8" s="1"/>
  <c r="B2844" i="8"/>
  <c r="C2844" i="8"/>
  <c r="E2844" i="8"/>
  <c r="H2849" i="8" s="1"/>
  <c r="A2844" i="8"/>
  <c r="H2846" i="8"/>
  <c r="H2845" i="8"/>
  <c r="H2847" i="8" s="1"/>
  <c r="B2833" i="8"/>
  <c r="C2833" i="8"/>
  <c r="E2833" i="8"/>
  <c r="H2838" i="8" s="1"/>
  <c r="A2833" i="8"/>
  <c r="H2835" i="8"/>
  <c r="H2834" i="8"/>
  <c r="H2836" i="8" s="1"/>
  <c r="B2822" i="8"/>
  <c r="C2822" i="8"/>
  <c r="E2822" i="8"/>
  <c r="H2827" i="8" s="1"/>
  <c r="A2822" i="8"/>
  <c r="H2824" i="8"/>
  <c r="H2823" i="8"/>
  <c r="H2825" i="8" s="1"/>
  <c r="H2802" i="8"/>
  <c r="B2800" i="8"/>
  <c r="C2800" i="8"/>
  <c r="E2800" i="8"/>
  <c r="H2805" i="8" s="1"/>
  <c r="A2800" i="8"/>
  <c r="H2801" i="8"/>
  <c r="H2803" i="8" s="1"/>
  <c r="B2789" i="8"/>
  <c r="C2789" i="8"/>
  <c r="E2789" i="8"/>
  <c r="H2794" i="8" s="1"/>
  <c r="A2789" i="8"/>
  <c r="H2791" i="8"/>
  <c r="H2790" i="8"/>
  <c r="H2792" i="8" s="1"/>
  <c r="B2778" i="8"/>
  <c r="C2778" i="8"/>
  <c r="E2778" i="8"/>
  <c r="H2783" i="8" s="1"/>
  <c r="A2778" i="8"/>
  <c r="H2780" i="8"/>
  <c r="H2779" i="8"/>
  <c r="H2781" i="8" s="1"/>
  <c r="B2767" i="8"/>
  <c r="C2767" i="8"/>
  <c r="E2767" i="8"/>
  <c r="H2772" i="8" s="1"/>
  <c r="A2767" i="8"/>
  <c r="H2769" i="8"/>
  <c r="H2768" i="8"/>
  <c r="H2770" i="8" s="1"/>
  <c r="B2756" i="8"/>
  <c r="C2756" i="8"/>
  <c r="E2756" i="8"/>
  <c r="H2761" i="8" s="1"/>
  <c r="A2756" i="8"/>
  <c r="H2758" i="8"/>
  <c r="H2757" i="8"/>
  <c r="H2759" i="8" s="1"/>
  <c r="B2745" i="8"/>
  <c r="C2745" i="8"/>
  <c r="E2745" i="8"/>
  <c r="H2750" i="8" s="1"/>
  <c r="A2745" i="8"/>
  <c r="H2747" i="8"/>
  <c r="H2746" i="8"/>
  <c r="H2748" i="8" s="1"/>
  <c r="B2734" i="8"/>
  <c r="C2734" i="8"/>
  <c r="E2734" i="8"/>
  <c r="H2739" i="8" s="1"/>
  <c r="A2734" i="8"/>
  <c r="H2736" i="8"/>
  <c r="H2735" i="8"/>
  <c r="H2737" i="8" s="1"/>
  <c r="B2721" i="8"/>
  <c r="C2721" i="8"/>
  <c r="E2721" i="8"/>
  <c r="H2728" i="8" s="1"/>
  <c r="A2721" i="8"/>
  <c r="H2722" i="8"/>
  <c r="B2710" i="8"/>
  <c r="C2710" i="8"/>
  <c r="E2710" i="8"/>
  <c r="H2715" i="8" s="1"/>
  <c r="A2710" i="8"/>
  <c r="H2712" i="8"/>
  <c r="H2711" i="8"/>
  <c r="H2713" i="8" s="1"/>
  <c r="B2697" i="8"/>
  <c r="C2697" i="8"/>
  <c r="E2697" i="8"/>
  <c r="A2697" i="8"/>
  <c r="H2698" i="8"/>
  <c r="H2704" i="8"/>
  <c r="B2684" i="8"/>
  <c r="C2684" i="8"/>
  <c r="E2684" i="8"/>
  <c r="H2691" i="8" s="1"/>
  <c r="A2684" i="8"/>
  <c r="H2685" i="8"/>
  <c r="B2673" i="8"/>
  <c r="C2673" i="8"/>
  <c r="E2673" i="8"/>
  <c r="H2678" i="8" s="1"/>
  <c r="A2673" i="8"/>
  <c r="H2675" i="8"/>
  <c r="H2674" i="8"/>
  <c r="H2676" i="8" s="1"/>
  <c r="B2662" i="8"/>
  <c r="C2662" i="8"/>
  <c r="E2662" i="8"/>
  <c r="H2667" i="8" s="1"/>
  <c r="A2662" i="8"/>
  <c r="H2664" i="8"/>
  <c r="H2663" i="8"/>
  <c r="H2665" i="8" s="1"/>
  <c r="B2651" i="8"/>
  <c r="C2651" i="8"/>
  <c r="E2651" i="8"/>
  <c r="H2656" i="8" s="1"/>
  <c r="A2651" i="8"/>
  <c r="H2653" i="8"/>
  <c r="H2652" i="8"/>
  <c r="H2654" i="8" s="1"/>
  <c r="B2640" i="8"/>
  <c r="C2640" i="8"/>
  <c r="E2640" i="8"/>
  <c r="H2645" i="8" s="1"/>
  <c r="A2640" i="8"/>
  <c r="H2642" i="8"/>
  <c r="H2641" i="8"/>
  <c r="H2643" i="8" s="1"/>
  <c r="B2627" i="8"/>
  <c r="C2627" i="8"/>
  <c r="E2627" i="8"/>
  <c r="H2634" i="8" s="1"/>
  <c r="A2627" i="8"/>
  <c r="B2616" i="8"/>
  <c r="C2616" i="8"/>
  <c r="E2616" i="8"/>
  <c r="H2621" i="8" s="1"/>
  <c r="A2616" i="8"/>
  <c r="H2618" i="8"/>
  <c r="H2617" i="8"/>
  <c r="H2619" i="8" s="1"/>
  <c r="K504" i="1" l="1"/>
  <c r="K494" i="1"/>
  <c r="K507" i="1"/>
  <c r="K505" i="1"/>
  <c r="K503" i="1"/>
  <c r="K488" i="1"/>
  <c r="K497" i="1"/>
  <c r="K500" i="1"/>
  <c r="H2793" i="8"/>
  <c r="K491" i="1" s="1"/>
  <c r="H2826" i="8"/>
  <c r="H2828" i="8" s="1"/>
  <c r="H2822" i="8" s="1"/>
  <c r="H2837" i="8"/>
  <c r="H2839" i="8" s="1"/>
  <c r="H2833" i="8" s="1"/>
  <c r="H2666" i="8"/>
  <c r="H2668" i="8" s="1"/>
  <c r="H2662" i="8" s="1"/>
  <c r="H2859" i="8"/>
  <c r="H2861" i="8" s="1"/>
  <c r="H2855" i="8" s="1"/>
  <c r="H2892" i="8"/>
  <c r="K509" i="1" s="1"/>
  <c r="H2881" i="8"/>
  <c r="K506" i="1" s="1"/>
  <c r="H2870" i="8"/>
  <c r="K502" i="1" s="1"/>
  <c r="K501" i="1"/>
  <c r="H2848" i="8"/>
  <c r="K499" i="1" s="1"/>
  <c r="H497" i="1"/>
  <c r="H494" i="1"/>
  <c r="H2804" i="8"/>
  <c r="K492" i="1" s="1"/>
  <c r="H2677" i="8"/>
  <c r="K480" i="1" s="1"/>
  <c r="H2760" i="8"/>
  <c r="K487" i="1" s="1"/>
  <c r="H2620" i="8"/>
  <c r="H2622" i="8" s="1"/>
  <c r="H2616" i="8" s="1"/>
  <c r="H2644" i="8"/>
  <c r="K476" i="1" s="1"/>
  <c r="H2782" i="8"/>
  <c r="K490" i="1" s="1"/>
  <c r="H2771" i="8"/>
  <c r="H2749" i="8"/>
  <c r="H2751" i="8" s="1"/>
  <c r="H2745" i="8" s="1"/>
  <c r="H2738" i="8"/>
  <c r="H2740" i="8" s="1"/>
  <c r="H2734" i="8" s="1"/>
  <c r="H2723" i="8"/>
  <c r="H2726" i="8" s="1"/>
  <c r="H2724" i="8"/>
  <c r="H2714" i="8"/>
  <c r="H2699" i="8"/>
  <c r="H2702" i="8" s="1"/>
  <c r="H2700" i="8"/>
  <c r="H2686" i="8"/>
  <c r="H2689" i="8" s="1"/>
  <c r="H2687" i="8"/>
  <c r="H2655" i="8"/>
  <c r="K478" i="1" s="1"/>
  <c r="H2628" i="8"/>
  <c r="H2629" i="8"/>
  <c r="H2630" i="8"/>
  <c r="B2605" i="8"/>
  <c r="C2605" i="8"/>
  <c r="E2605" i="8"/>
  <c r="H2610" i="8" s="1"/>
  <c r="A2605" i="8"/>
  <c r="H2607" i="8"/>
  <c r="H2606" i="8"/>
  <c r="H2608" i="8" s="1"/>
  <c r="B2594" i="8"/>
  <c r="C2594" i="8"/>
  <c r="E2594" i="8"/>
  <c r="H2599" i="8" s="1"/>
  <c r="A2594" i="8"/>
  <c r="H2596" i="8"/>
  <c r="H2595" i="8"/>
  <c r="H2597" i="8" s="1"/>
  <c r="B2583" i="8"/>
  <c r="C2583" i="8"/>
  <c r="E2583" i="8"/>
  <c r="H2588" i="8" s="1"/>
  <c r="A2583" i="8"/>
  <c r="H2585" i="8"/>
  <c r="H2584" i="8"/>
  <c r="H2586" i="8" s="1"/>
  <c r="B2572" i="8"/>
  <c r="C2572" i="8"/>
  <c r="E2572" i="8"/>
  <c r="H2577" i="8" s="1"/>
  <c r="A2572" i="8"/>
  <c r="H2574" i="8"/>
  <c r="H2573" i="8"/>
  <c r="H2575" i="8" s="1"/>
  <c r="B2561" i="8"/>
  <c r="C2561" i="8"/>
  <c r="E2561" i="8"/>
  <c r="H2566" i="8" s="1"/>
  <c r="A2561" i="8"/>
  <c r="H2563" i="8"/>
  <c r="H2562" i="8"/>
  <c r="H2564" i="8" s="1"/>
  <c r="B2550" i="8"/>
  <c r="C2550" i="8"/>
  <c r="E2550" i="8"/>
  <c r="H2555" i="8" s="1"/>
  <c r="A2550" i="8"/>
  <c r="H2552" i="8"/>
  <c r="H2551" i="8"/>
  <c r="H2553" i="8" s="1"/>
  <c r="H2632" i="8" l="1"/>
  <c r="H2795" i="8"/>
  <c r="H2789" i="8" s="1"/>
  <c r="H2679" i="8"/>
  <c r="H2673" i="8" s="1"/>
  <c r="H2806" i="8"/>
  <c r="H2800" i="8" s="1"/>
  <c r="K496" i="1"/>
  <c r="H2762" i="8"/>
  <c r="H2756" i="8" s="1"/>
  <c r="H2657" i="8"/>
  <c r="H2651" i="8" s="1"/>
  <c r="K485" i="1"/>
  <c r="H2850" i="8"/>
  <c r="H2844" i="8" s="1"/>
  <c r="H2646" i="8"/>
  <c r="H2640" i="8" s="1"/>
  <c r="K479" i="1"/>
  <c r="H2565" i="8"/>
  <c r="H2576" i="8"/>
  <c r="K467" i="1" s="1"/>
  <c r="K473" i="1"/>
  <c r="H489" i="1"/>
  <c r="I489" i="1" s="1"/>
  <c r="J489" i="1" s="1"/>
  <c r="K489" i="1"/>
  <c r="H498" i="1"/>
  <c r="I498" i="1" s="1"/>
  <c r="J498" i="1" s="1"/>
  <c r="K498" i="1"/>
  <c r="H495" i="1"/>
  <c r="L495" i="1" s="1"/>
  <c r="K495" i="1"/>
  <c r="I494" i="1"/>
  <c r="J494" i="1" s="1"/>
  <c r="V494" i="1" s="1"/>
  <c r="L494" i="1"/>
  <c r="I497" i="1"/>
  <c r="J497" i="1" s="1"/>
  <c r="T497" i="1" s="1"/>
  <c r="L497" i="1"/>
  <c r="H2631" i="8"/>
  <c r="H2633" i="8" s="1"/>
  <c r="H2635" i="8" s="1"/>
  <c r="H2627" i="8" s="1"/>
  <c r="H2883" i="8"/>
  <c r="H2877" i="8" s="1"/>
  <c r="H2872" i="8"/>
  <c r="H2866" i="8" s="1"/>
  <c r="H2554" i="8"/>
  <c r="H2725" i="8"/>
  <c r="H2727" i="8" s="1"/>
  <c r="H2688" i="8"/>
  <c r="H2690" i="8" s="1"/>
  <c r="H2692" i="8" s="1"/>
  <c r="H2684" i="8" s="1"/>
  <c r="H2701" i="8"/>
  <c r="H2703" i="8" s="1"/>
  <c r="H2705" i="8" s="1"/>
  <c r="H2697" i="8" s="1"/>
  <c r="H2894" i="8"/>
  <c r="H2888" i="8" s="1"/>
  <c r="H2784" i="8"/>
  <c r="H2778" i="8" s="1"/>
  <c r="H2773" i="8"/>
  <c r="H2767" i="8" s="1"/>
  <c r="K486" i="1"/>
  <c r="H2716" i="8"/>
  <c r="H2710" i="8" s="1"/>
  <c r="K483" i="1"/>
  <c r="H2609" i="8"/>
  <c r="K472" i="1" s="1"/>
  <c r="H2598" i="8"/>
  <c r="K470" i="1" s="1"/>
  <c r="H2587" i="8"/>
  <c r="H2589" i="8" s="1"/>
  <c r="H2583" i="8" s="1"/>
  <c r="H2578" i="8"/>
  <c r="H2572" i="8" s="1"/>
  <c r="B2539" i="8"/>
  <c r="C2539" i="8"/>
  <c r="E2539" i="8"/>
  <c r="H2544" i="8" s="1"/>
  <c r="A2539" i="8"/>
  <c r="H2541" i="8"/>
  <c r="H2540" i="8"/>
  <c r="H2542" i="8" s="1"/>
  <c r="H2567" i="8" l="1"/>
  <c r="H2561" i="8" s="1"/>
  <c r="Y497" i="1"/>
  <c r="Z497" i="1"/>
  <c r="W497" i="1"/>
  <c r="I495" i="1"/>
  <c r="J495" i="1" s="1"/>
  <c r="Z495" i="1" s="1"/>
  <c r="L489" i="1"/>
  <c r="H2556" i="8"/>
  <c r="H2550" i="8" s="1"/>
  <c r="Y494" i="1"/>
  <c r="L498" i="1"/>
  <c r="Z494" i="1"/>
  <c r="K463" i="1"/>
  <c r="T494" i="1"/>
  <c r="V497" i="1"/>
  <c r="X497" i="1"/>
  <c r="W494" i="1"/>
  <c r="X494" i="1"/>
  <c r="Y498" i="1"/>
  <c r="T498" i="1"/>
  <c r="X498" i="1"/>
  <c r="W498" i="1"/>
  <c r="Z498" i="1"/>
  <c r="V498" i="1"/>
  <c r="W489" i="1"/>
  <c r="Z489" i="1"/>
  <c r="V489" i="1"/>
  <c r="Y489" i="1"/>
  <c r="T489" i="1"/>
  <c r="X489" i="1"/>
  <c r="H2600" i="8"/>
  <c r="H2594" i="8" s="1"/>
  <c r="H2611" i="8"/>
  <c r="H2605" i="8" s="1"/>
  <c r="H2729" i="8"/>
  <c r="H2721" i="8" s="1"/>
  <c r="K468" i="1"/>
  <c r="K465" i="1"/>
  <c r="K466" i="1"/>
  <c r="H2543" i="8"/>
  <c r="K464" i="1" s="1"/>
  <c r="B2528" i="8"/>
  <c r="C2528" i="8"/>
  <c r="E2528" i="8"/>
  <c r="H2533" i="8" s="1"/>
  <c r="A2528" i="8"/>
  <c r="H2530" i="8"/>
  <c r="H2529" i="8"/>
  <c r="H2531" i="8" s="1"/>
  <c r="B2517" i="8"/>
  <c r="C2517" i="8"/>
  <c r="E2517" i="8"/>
  <c r="H2522" i="8" s="1"/>
  <c r="A2517" i="8"/>
  <c r="H2519" i="8"/>
  <c r="H2518" i="8"/>
  <c r="H2520" i="8" s="1"/>
  <c r="B2506" i="8"/>
  <c r="C2506" i="8"/>
  <c r="E2506" i="8"/>
  <c r="H2511" i="8" s="1"/>
  <c r="A2506" i="8"/>
  <c r="H2508" i="8"/>
  <c r="H2507" i="8"/>
  <c r="H2509" i="8" s="1"/>
  <c r="B2495" i="8"/>
  <c r="C2495" i="8"/>
  <c r="E2495" i="8"/>
  <c r="H2500" i="8" s="1"/>
  <c r="A2495" i="8"/>
  <c r="H2496" i="8"/>
  <c r="B2483" i="8"/>
  <c r="C2483" i="8"/>
  <c r="E2483" i="8"/>
  <c r="H2489" i="8" s="1"/>
  <c r="A2483" i="8"/>
  <c r="B2471" i="8"/>
  <c r="C2471" i="8"/>
  <c r="E2471" i="8"/>
  <c r="H2477" i="8" s="1"/>
  <c r="A2471" i="8"/>
  <c r="B2460" i="8"/>
  <c r="C2460" i="8"/>
  <c r="E2460" i="8"/>
  <c r="H2465" i="8" s="1"/>
  <c r="A2460" i="8"/>
  <c r="H2462" i="8"/>
  <c r="H2461" i="8"/>
  <c r="H2463" i="8" s="1"/>
  <c r="K475" i="1" l="1"/>
  <c r="K481" i="1"/>
  <c r="K484" i="1"/>
  <c r="K482" i="1"/>
  <c r="W495" i="1"/>
  <c r="T495" i="1"/>
  <c r="Y495" i="1"/>
  <c r="V495" i="1"/>
  <c r="X495" i="1"/>
  <c r="H2532" i="8"/>
  <c r="H2534" i="8" s="1"/>
  <c r="H2528" i="8" s="1"/>
  <c r="H2521" i="8"/>
  <c r="H2523" i="8" s="1"/>
  <c r="H2517" i="8" s="1"/>
  <c r="H2510" i="8"/>
  <c r="H2512" i="8" s="1"/>
  <c r="H2506" i="8" s="1"/>
  <c r="H2545" i="8"/>
  <c r="H2539" i="8" s="1"/>
  <c r="H2498" i="8"/>
  <c r="H2497" i="8"/>
  <c r="H2485" i="8"/>
  <c r="H2486" i="8" s="1"/>
  <c r="H2484" i="8"/>
  <c r="H2487" i="8" s="1"/>
  <c r="H2472" i="8"/>
  <c r="H2473" i="8"/>
  <c r="H2474" i="8" s="1"/>
  <c r="H2464" i="8"/>
  <c r="K456" i="1" s="1"/>
  <c r="K462" i="1" l="1"/>
  <c r="H2475" i="8"/>
  <c r="H2476" i="8" s="1"/>
  <c r="H2478" i="8" s="1"/>
  <c r="H2471" i="8" s="1"/>
  <c r="K461" i="1"/>
  <c r="K460" i="1"/>
  <c r="H2499" i="8"/>
  <c r="K459" i="1" s="1"/>
  <c r="H2488" i="8"/>
  <c r="H2466" i="8"/>
  <c r="H2460" i="8" s="1"/>
  <c r="K54" i="25"/>
  <c r="E224" i="8"/>
  <c r="K458" i="1" l="1"/>
  <c r="H2501" i="8"/>
  <c r="H2495" i="8" s="1"/>
  <c r="H2490" i="8"/>
  <c r="H2483" i="8" s="1"/>
  <c r="H343" i="8"/>
  <c r="H345" i="8"/>
  <c r="H346" i="8"/>
  <c r="K635" i="1"/>
  <c r="K457" i="1" l="1"/>
  <c r="H635" i="1"/>
  <c r="K469" i="1" l="1"/>
  <c r="K474" i="1"/>
  <c r="K471" i="1"/>
  <c r="K477" i="1"/>
  <c r="L635" i="1"/>
  <c r="I635" i="1"/>
  <c r="J635" i="1" s="1"/>
  <c r="H496" i="1"/>
  <c r="H492" i="1"/>
  <c r="H491" i="1"/>
  <c r="H490"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511" i="1"/>
  <c r="H510" i="1"/>
  <c r="H509" i="1"/>
  <c r="H507" i="1"/>
  <c r="H506" i="1"/>
  <c r="H505" i="1"/>
  <c r="H504" i="1"/>
  <c r="H503" i="1"/>
  <c r="H502" i="1"/>
  <c r="H501" i="1"/>
  <c r="H500" i="1"/>
  <c r="H499" i="1"/>
  <c r="H461" i="1"/>
  <c r="H460" i="1"/>
  <c r="H459" i="1"/>
  <c r="H457" i="1"/>
  <c r="H456" i="1"/>
  <c r="I457" i="1" l="1"/>
  <c r="J457" i="1" s="1"/>
  <c r="X457" i="1" s="1"/>
  <c r="L457" i="1"/>
  <c r="I499" i="1"/>
  <c r="J499" i="1" s="1"/>
  <c r="Z499" i="1" s="1"/>
  <c r="L499" i="1"/>
  <c r="I503" i="1"/>
  <c r="J503" i="1" s="1"/>
  <c r="W503" i="1" s="1"/>
  <c r="L503" i="1"/>
  <c r="I507" i="1"/>
  <c r="J507" i="1" s="1"/>
  <c r="Z507" i="1" s="1"/>
  <c r="L507" i="1"/>
  <c r="I462" i="1"/>
  <c r="J462" i="1" s="1"/>
  <c r="V462" i="1" s="1"/>
  <c r="L462" i="1"/>
  <c r="I466" i="1"/>
  <c r="J466" i="1" s="1"/>
  <c r="Z466" i="1" s="1"/>
  <c r="L466" i="1"/>
  <c r="I470" i="1"/>
  <c r="J470" i="1" s="1"/>
  <c r="Z470" i="1" s="1"/>
  <c r="L470" i="1"/>
  <c r="I474" i="1"/>
  <c r="J474" i="1" s="1"/>
  <c r="W474" i="1" s="1"/>
  <c r="L474" i="1"/>
  <c r="I478" i="1"/>
  <c r="J478" i="1" s="1"/>
  <c r="Y478" i="1" s="1"/>
  <c r="L478" i="1"/>
  <c r="I482" i="1"/>
  <c r="J482" i="1" s="1"/>
  <c r="V482" i="1" s="1"/>
  <c r="L482" i="1"/>
  <c r="I486" i="1"/>
  <c r="J486" i="1" s="1"/>
  <c r="Y486" i="1" s="1"/>
  <c r="L486" i="1"/>
  <c r="I491" i="1"/>
  <c r="J491" i="1" s="1"/>
  <c r="Y491" i="1" s="1"/>
  <c r="L491" i="1"/>
  <c r="I459" i="1"/>
  <c r="J459" i="1" s="1"/>
  <c r="V459" i="1" s="1"/>
  <c r="L459" i="1"/>
  <c r="I500" i="1"/>
  <c r="J500" i="1" s="1"/>
  <c r="X500" i="1" s="1"/>
  <c r="L500" i="1"/>
  <c r="I504" i="1"/>
  <c r="J504" i="1" s="1"/>
  <c r="V504" i="1" s="1"/>
  <c r="L504" i="1"/>
  <c r="I509" i="1"/>
  <c r="J509" i="1" s="1"/>
  <c r="Z509" i="1" s="1"/>
  <c r="L509" i="1"/>
  <c r="I463" i="1"/>
  <c r="J463" i="1" s="1"/>
  <c r="X463" i="1" s="1"/>
  <c r="L463" i="1"/>
  <c r="I467" i="1"/>
  <c r="J467" i="1" s="1"/>
  <c r="V467" i="1" s="1"/>
  <c r="L467" i="1"/>
  <c r="I471" i="1"/>
  <c r="J471" i="1" s="1"/>
  <c r="Z471" i="1" s="1"/>
  <c r="L471" i="1"/>
  <c r="I475" i="1"/>
  <c r="J475" i="1" s="1"/>
  <c r="V475" i="1" s="1"/>
  <c r="L475" i="1"/>
  <c r="I479" i="1"/>
  <c r="J479" i="1" s="1"/>
  <c r="X479" i="1" s="1"/>
  <c r="L479" i="1"/>
  <c r="I483" i="1"/>
  <c r="J483" i="1" s="1"/>
  <c r="Y483" i="1" s="1"/>
  <c r="L483" i="1"/>
  <c r="I487" i="1"/>
  <c r="J487" i="1" s="1"/>
  <c r="Y487" i="1" s="1"/>
  <c r="L487" i="1"/>
  <c r="I492" i="1"/>
  <c r="J492" i="1" s="1"/>
  <c r="X492" i="1" s="1"/>
  <c r="L492" i="1"/>
  <c r="I460" i="1"/>
  <c r="J460" i="1" s="1"/>
  <c r="Y460" i="1" s="1"/>
  <c r="L460" i="1"/>
  <c r="I501" i="1"/>
  <c r="J501" i="1" s="1"/>
  <c r="X501" i="1" s="1"/>
  <c r="L501" i="1"/>
  <c r="I505" i="1"/>
  <c r="J505" i="1" s="1"/>
  <c r="T505" i="1" s="1"/>
  <c r="L505" i="1"/>
  <c r="I510" i="1"/>
  <c r="J510" i="1" s="1"/>
  <c r="W510" i="1" s="1"/>
  <c r="L510" i="1"/>
  <c r="I464" i="1"/>
  <c r="J464" i="1" s="1"/>
  <c r="Y464" i="1" s="1"/>
  <c r="L464" i="1"/>
  <c r="I468" i="1"/>
  <c r="J468" i="1" s="1"/>
  <c r="T468" i="1" s="1"/>
  <c r="L468" i="1"/>
  <c r="I472" i="1"/>
  <c r="J472" i="1" s="1"/>
  <c r="Y472" i="1" s="1"/>
  <c r="L472" i="1"/>
  <c r="I476" i="1"/>
  <c r="J476" i="1" s="1"/>
  <c r="T476" i="1" s="1"/>
  <c r="L476" i="1"/>
  <c r="I480" i="1"/>
  <c r="J480" i="1" s="1"/>
  <c r="W480" i="1" s="1"/>
  <c r="L480" i="1"/>
  <c r="I484" i="1"/>
  <c r="J484" i="1" s="1"/>
  <c r="Y484" i="1" s="1"/>
  <c r="L484" i="1"/>
  <c r="I488" i="1"/>
  <c r="J488" i="1" s="1"/>
  <c r="W488" i="1" s="1"/>
  <c r="L488" i="1"/>
  <c r="I456" i="1"/>
  <c r="J456" i="1" s="1"/>
  <c r="W456" i="1" s="1"/>
  <c r="L456" i="1"/>
  <c r="I461" i="1"/>
  <c r="J461" i="1" s="1"/>
  <c r="Y461" i="1" s="1"/>
  <c r="L461" i="1"/>
  <c r="I502" i="1"/>
  <c r="J502" i="1" s="1"/>
  <c r="V502" i="1" s="1"/>
  <c r="L502" i="1"/>
  <c r="I506" i="1"/>
  <c r="J506" i="1" s="1"/>
  <c r="T506" i="1" s="1"/>
  <c r="L506" i="1"/>
  <c r="I511" i="1"/>
  <c r="J511" i="1" s="1"/>
  <c r="T511" i="1" s="1"/>
  <c r="L511" i="1"/>
  <c r="I465" i="1"/>
  <c r="J465" i="1" s="1"/>
  <c r="V465" i="1" s="1"/>
  <c r="L465" i="1"/>
  <c r="I469" i="1"/>
  <c r="J469" i="1" s="1"/>
  <c r="Z469" i="1" s="1"/>
  <c r="L469" i="1"/>
  <c r="I473" i="1"/>
  <c r="J473" i="1" s="1"/>
  <c r="X473" i="1" s="1"/>
  <c r="L473" i="1"/>
  <c r="I477" i="1"/>
  <c r="J477" i="1" s="1"/>
  <c r="Z477" i="1" s="1"/>
  <c r="L477" i="1"/>
  <c r="I481" i="1"/>
  <c r="J481" i="1" s="1"/>
  <c r="V481" i="1" s="1"/>
  <c r="L481" i="1"/>
  <c r="I485" i="1"/>
  <c r="J485" i="1" s="1"/>
  <c r="Z485" i="1" s="1"/>
  <c r="L485" i="1"/>
  <c r="I490" i="1"/>
  <c r="J490" i="1" s="1"/>
  <c r="V490" i="1" s="1"/>
  <c r="L490" i="1"/>
  <c r="I496" i="1"/>
  <c r="J496" i="1" s="1"/>
  <c r="X496" i="1" s="1"/>
  <c r="L496" i="1"/>
  <c r="W635" i="1"/>
  <c r="Z635" i="1"/>
  <c r="Y635" i="1"/>
  <c r="X635" i="1"/>
  <c r="V635" i="1"/>
  <c r="T635" i="1"/>
  <c r="H458" i="1"/>
  <c r="B2449" i="8"/>
  <c r="C2449" i="8"/>
  <c r="E2449" i="8"/>
  <c r="A2449" i="8"/>
  <c r="E450" i="1"/>
  <c r="E449" i="1"/>
  <c r="E2437" i="8" s="1"/>
  <c r="H2444" i="8" s="1"/>
  <c r="H2438" i="8"/>
  <c r="B3125" i="8"/>
  <c r="C3125" i="8"/>
  <c r="E3125" i="8"/>
  <c r="A3125" i="8"/>
  <c r="B3112" i="8"/>
  <c r="C3112" i="8"/>
  <c r="E3112" i="8"/>
  <c r="A3112" i="8"/>
  <c r="B2426" i="8"/>
  <c r="C2426" i="8"/>
  <c r="E2426" i="8"/>
  <c r="H2431" i="8" s="1"/>
  <c r="A2426" i="8"/>
  <c r="B2415" i="8"/>
  <c r="C2415" i="8"/>
  <c r="E2415" i="8"/>
  <c r="H2420" i="8" s="1"/>
  <c r="A2415" i="8"/>
  <c r="B2404" i="8"/>
  <c r="C2404" i="8"/>
  <c r="E2404" i="8"/>
  <c r="H2409" i="8" s="1"/>
  <c r="A2404" i="8"/>
  <c r="H2406" i="8"/>
  <c r="H2405" i="8"/>
  <c r="H2407" i="8" s="1"/>
  <c r="H2384" i="8"/>
  <c r="B2382" i="8"/>
  <c r="C2382" i="8"/>
  <c r="E2382" i="8"/>
  <c r="H2387" i="8" s="1"/>
  <c r="A2382" i="8"/>
  <c r="H2383" i="8"/>
  <c r="H2385" i="8" s="1"/>
  <c r="Z478" i="1" l="1"/>
  <c r="X486" i="1"/>
  <c r="Y457" i="1"/>
  <c r="T470" i="1"/>
  <c r="Z460" i="1"/>
  <c r="W487" i="1"/>
  <c r="T471" i="1"/>
  <c r="Y459" i="1"/>
  <c r="V464" i="1"/>
  <c r="W462" i="1"/>
  <c r="T491" i="1"/>
  <c r="V460" i="1"/>
  <c r="X464" i="1"/>
  <c r="V486" i="1"/>
  <c r="Y462" i="1"/>
  <c r="T459" i="1"/>
  <c r="X470" i="1"/>
  <c r="X487" i="1"/>
  <c r="T479" i="1"/>
  <c r="V478" i="1"/>
  <c r="T472" i="1"/>
  <c r="V480" i="1"/>
  <c r="Z488" i="1"/>
  <c r="T502" i="1"/>
  <c r="V456" i="1"/>
  <c r="Y504" i="1"/>
  <c r="X503" i="1"/>
  <c r="V511" i="1"/>
  <c r="X505" i="1"/>
  <c r="V488" i="1"/>
  <c r="T504" i="1"/>
  <c r="X511" i="1"/>
  <c r="Z505" i="1"/>
  <c r="Z463" i="1"/>
  <c r="Y463" i="1"/>
  <c r="W504" i="1"/>
  <c r="Z503" i="1"/>
  <c r="W502" i="1"/>
  <c r="W459" i="1"/>
  <c r="T457" i="1"/>
  <c r="X456" i="1"/>
  <c r="V505" i="1"/>
  <c r="Y470" i="1"/>
  <c r="W496" i="1"/>
  <c r="X488" i="1"/>
  <c r="W472" i="1"/>
  <c r="T463" i="1"/>
  <c r="W471" i="1"/>
  <c r="Z486" i="1"/>
  <c r="W479" i="1"/>
  <c r="X460" i="1"/>
  <c r="V503" i="1"/>
  <c r="Y502" i="1"/>
  <c r="Z511" i="1"/>
  <c r="W457" i="1"/>
  <c r="Z456" i="1"/>
  <c r="Z464" i="1"/>
  <c r="X477" i="1"/>
  <c r="X469" i="1"/>
  <c r="Z487" i="1"/>
  <c r="Z480" i="1"/>
  <c r="Y471" i="1"/>
  <c r="W463" i="1"/>
  <c r="Y479" i="1"/>
  <c r="W478" i="1"/>
  <c r="T477" i="1"/>
  <c r="W485" i="1"/>
  <c r="Z504" i="1"/>
  <c r="W460" i="1"/>
  <c r="T460" i="1"/>
  <c r="T503" i="1"/>
  <c r="Z502" i="1"/>
  <c r="X502" i="1"/>
  <c r="Z459" i="1"/>
  <c r="Y511" i="1"/>
  <c r="W511" i="1"/>
  <c r="V457" i="1"/>
  <c r="T456" i="1"/>
  <c r="Y456" i="1"/>
  <c r="Y505" i="1"/>
  <c r="V470" i="1"/>
  <c r="T464" i="1"/>
  <c r="V496" i="1"/>
  <c r="W477" i="1"/>
  <c r="T488" i="1"/>
  <c r="T469" i="1"/>
  <c r="Z472" i="1"/>
  <c r="X472" i="1"/>
  <c r="T487" i="1"/>
  <c r="Y480" i="1"/>
  <c r="X480" i="1"/>
  <c r="X471" i="1"/>
  <c r="W486" i="1"/>
  <c r="V463" i="1"/>
  <c r="T485" i="1"/>
  <c r="V479" i="1"/>
  <c r="T462" i="1"/>
  <c r="Z462" i="1"/>
  <c r="X478" i="1"/>
  <c r="X504" i="1"/>
  <c r="Y503" i="1"/>
  <c r="X459" i="1"/>
  <c r="Z457" i="1"/>
  <c r="W505" i="1"/>
  <c r="W470" i="1"/>
  <c r="W464" i="1"/>
  <c r="Y496" i="1"/>
  <c r="Y488" i="1"/>
  <c r="Y469" i="1"/>
  <c r="V472" i="1"/>
  <c r="V487" i="1"/>
  <c r="T480" i="1"/>
  <c r="V471" i="1"/>
  <c r="T486" i="1"/>
  <c r="Z479" i="1"/>
  <c r="X462" i="1"/>
  <c r="T478" i="1"/>
  <c r="Y485" i="1"/>
  <c r="T496" i="1"/>
  <c r="Z496" i="1"/>
  <c r="Y477" i="1"/>
  <c r="W469" i="1"/>
  <c r="W484" i="1"/>
  <c r="V477" i="1"/>
  <c r="V469" i="1"/>
  <c r="X485" i="1"/>
  <c r="X499" i="1"/>
  <c r="V501" i="1"/>
  <c r="V476" i="1"/>
  <c r="Z475" i="1"/>
  <c r="X509" i="1"/>
  <c r="Z500" i="1"/>
  <c r="Z482" i="1"/>
  <c r="Z476" i="1"/>
  <c r="V492" i="1"/>
  <c r="Z473" i="1"/>
  <c r="Z465" i="1"/>
  <c r="Z490" i="1"/>
  <c r="T510" i="1"/>
  <c r="Z501" i="1"/>
  <c r="Y506" i="1"/>
  <c r="W461" i="1"/>
  <c r="X474" i="1"/>
  <c r="X467" i="1"/>
  <c r="W483" i="1"/>
  <c r="V466" i="1"/>
  <c r="V468" i="1"/>
  <c r="Y492" i="1"/>
  <c r="Y510" i="1"/>
  <c r="X507" i="1"/>
  <c r="V500" i="1"/>
  <c r="T461" i="1"/>
  <c r="V474" i="1"/>
  <c r="T483" i="1"/>
  <c r="Z468" i="1"/>
  <c r="W491" i="1"/>
  <c r="Z481" i="1"/>
  <c r="K452" i="1"/>
  <c r="K451" i="1"/>
  <c r="K450" i="1"/>
  <c r="Y509" i="1"/>
  <c r="T507" i="1"/>
  <c r="W500" i="1"/>
  <c r="I458" i="1"/>
  <c r="J458" i="1" s="1"/>
  <c r="X458" i="1" s="1"/>
  <c r="L458" i="1"/>
  <c r="Y474" i="1"/>
  <c r="T482" i="1"/>
  <c r="W476" i="1"/>
  <c r="W468" i="1"/>
  <c r="T465" i="1"/>
  <c r="X491" i="1"/>
  <c r="Z510" i="1"/>
  <c r="X510" i="1"/>
  <c r="W509" i="1"/>
  <c r="T501" i="1"/>
  <c r="Y501" i="1"/>
  <c r="W507" i="1"/>
  <c r="X506" i="1"/>
  <c r="T500" i="1"/>
  <c r="Y500" i="1"/>
  <c r="W499" i="1"/>
  <c r="V461" i="1"/>
  <c r="Z461" i="1"/>
  <c r="Y490" i="1"/>
  <c r="W490" i="1"/>
  <c r="T474" i="1"/>
  <c r="W467" i="1"/>
  <c r="T467" i="1"/>
  <c r="V483" i="1"/>
  <c r="Z483" i="1"/>
  <c r="Y482" i="1"/>
  <c r="Y473" i="1"/>
  <c r="W473" i="1"/>
  <c r="Y481" i="1"/>
  <c r="W481" i="1"/>
  <c r="Y476" i="1"/>
  <c r="T466" i="1"/>
  <c r="X468" i="1"/>
  <c r="Y465" i="1"/>
  <c r="W465" i="1"/>
  <c r="Z492" i="1"/>
  <c r="V485" i="1"/>
  <c r="X475" i="1"/>
  <c r="Z491" i="1"/>
  <c r="V484" i="1"/>
  <c r="Z484" i="1"/>
  <c r="V506" i="1"/>
  <c r="T499" i="1"/>
  <c r="T492" i="1"/>
  <c r="V491" i="1"/>
  <c r="V510" i="1"/>
  <c r="T509" i="1"/>
  <c r="W501" i="1"/>
  <c r="Y507" i="1"/>
  <c r="Z506" i="1"/>
  <c r="Y499" i="1"/>
  <c r="X461" i="1"/>
  <c r="T490" i="1"/>
  <c r="Y467" i="1"/>
  <c r="X483" i="1"/>
  <c r="W482" i="1"/>
  <c r="T473" i="1"/>
  <c r="T481" i="1"/>
  <c r="X466" i="1"/>
  <c r="W492" i="1"/>
  <c r="Y475" i="1"/>
  <c r="X484" i="1"/>
  <c r="V509" i="1"/>
  <c r="V507" i="1"/>
  <c r="W506" i="1"/>
  <c r="V499" i="1"/>
  <c r="X490" i="1"/>
  <c r="Z474" i="1"/>
  <c r="Z467" i="1"/>
  <c r="X482" i="1"/>
  <c r="V473" i="1"/>
  <c r="X481" i="1"/>
  <c r="X476" i="1"/>
  <c r="Y466" i="1"/>
  <c r="Y468" i="1"/>
  <c r="X465" i="1"/>
  <c r="W475" i="1"/>
  <c r="T475" i="1"/>
  <c r="T484" i="1"/>
  <c r="W466" i="1"/>
  <c r="H2386" i="8"/>
  <c r="H452" i="1"/>
  <c r="H451" i="1"/>
  <c r="K550" i="1"/>
  <c r="H550" i="1"/>
  <c r="H450" i="1"/>
  <c r="H2439" i="8"/>
  <c r="H2440" i="8"/>
  <c r="H2427" i="8"/>
  <c r="H2429" i="8" s="1"/>
  <c r="H2428" i="8"/>
  <c r="H2416" i="8"/>
  <c r="H2417" i="8" s="1"/>
  <c r="H2408" i="8"/>
  <c r="B2393" i="8"/>
  <c r="C2393" i="8"/>
  <c r="E2393" i="8"/>
  <c r="H2398" i="8" s="1"/>
  <c r="A2393" i="8"/>
  <c r="B2371" i="8"/>
  <c r="C2371" i="8"/>
  <c r="E2371" i="8"/>
  <c r="H2376" i="8" s="1"/>
  <c r="A2371" i="8"/>
  <c r="H2442" i="8" l="1"/>
  <c r="Y458" i="1"/>
  <c r="H446" i="1"/>
  <c r="I446" i="1" s="1"/>
  <c r="J446" i="1" s="1"/>
  <c r="K446" i="1"/>
  <c r="H444" i="1"/>
  <c r="I444" i="1" s="1"/>
  <c r="J444" i="1" s="1"/>
  <c r="K444" i="1"/>
  <c r="T458" i="1"/>
  <c r="I451" i="1"/>
  <c r="J451" i="1" s="1"/>
  <c r="Y451" i="1" s="1"/>
  <c r="L451" i="1"/>
  <c r="W458" i="1"/>
  <c r="Z458" i="1"/>
  <c r="I450" i="1"/>
  <c r="J450" i="1" s="1"/>
  <c r="Z450" i="1" s="1"/>
  <c r="L450" i="1"/>
  <c r="I452" i="1"/>
  <c r="J452" i="1" s="1"/>
  <c r="Z452" i="1" s="1"/>
  <c r="L452" i="1"/>
  <c r="V458" i="1"/>
  <c r="H2418" i="8"/>
  <c r="H2419" i="8" s="1"/>
  <c r="H2421" i="8" s="1"/>
  <c r="H2415" i="8" s="1"/>
  <c r="H2388" i="8"/>
  <c r="H2382" i="8" s="1"/>
  <c r="H2410" i="8"/>
  <c r="H2404" i="8" s="1"/>
  <c r="H2441" i="8"/>
  <c r="H2430" i="8"/>
  <c r="I550" i="1"/>
  <c r="J550" i="1" s="1"/>
  <c r="L550" i="1"/>
  <c r="H2394" i="8"/>
  <c r="H2395" i="8" s="1"/>
  <c r="H2373" i="8"/>
  <c r="H2372" i="8"/>
  <c r="H2374" i="8" s="1"/>
  <c r="B2329" i="8"/>
  <c r="C2329" i="8"/>
  <c r="E2329" i="8"/>
  <c r="H2337" i="8" s="1"/>
  <c r="A2329" i="8"/>
  <c r="H2320" i="8"/>
  <c r="B2318" i="8"/>
  <c r="C2318" i="8"/>
  <c r="E2318" i="8"/>
  <c r="A2318" i="8"/>
  <c r="B290" i="8"/>
  <c r="C290" i="8"/>
  <c r="E290" i="8"/>
  <c r="H295" i="8" s="1"/>
  <c r="A290" i="8"/>
  <c r="B268" i="8"/>
  <c r="C268" i="8"/>
  <c r="E268" i="8"/>
  <c r="H273" i="8" s="1"/>
  <c r="A268" i="8"/>
  <c r="Z451" i="1" l="1"/>
  <c r="H2443" i="8"/>
  <c r="T452" i="1"/>
  <c r="H2396" i="8"/>
  <c r="H2397" i="8" s="1"/>
  <c r="V451" i="1"/>
  <c r="X451" i="1"/>
  <c r="W451" i="1"/>
  <c r="X452" i="1"/>
  <c r="Y452" i="1"/>
  <c r="L446" i="1"/>
  <c r="Z446" i="1"/>
  <c r="T446" i="1"/>
  <c r="W446" i="1"/>
  <c r="Y446" i="1"/>
  <c r="X446" i="1"/>
  <c r="X444" i="1"/>
  <c r="W444" i="1"/>
  <c r="L444" i="1"/>
  <c r="V446" i="1"/>
  <c r="H448" i="1"/>
  <c r="I448" i="1" s="1"/>
  <c r="J448" i="1" s="1"/>
  <c r="K448" i="1"/>
  <c r="W450" i="1"/>
  <c r="T451" i="1"/>
  <c r="V452" i="1"/>
  <c r="W452" i="1"/>
  <c r="Y450" i="1"/>
  <c r="Z444" i="1"/>
  <c r="V450" i="1"/>
  <c r="X450" i="1"/>
  <c r="V444" i="1"/>
  <c r="Y444" i="1"/>
  <c r="T450" i="1"/>
  <c r="T444" i="1"/>
  <c r="H2432" i="8"/>
  <c r="H2426" i="8" s="1"/>
  <c r="K449" i="1"/>
  <c r="W550" i="1"/>
  <c r="V550" i="1"/>
  <c r="T550" i="1"/>
  <c r="Z550" i="1"/>
  <c r="Y550" i="1"/>
  <c r="X550" i="1"/>
  <c r="H2375" i="8"/>
  <c r="H2331" i="8"/>
  <c r="H2332" i="8"/>
  <c r="H2333" i="8"/>
  <c r="H2330" i="8"/>
  <c r="H2335" i="8" s="1"/>
  <c r="H291" i="8"/>
  <c r="H292" i="8" s="1"/>
  <c r="H269" i="8"/>
  <c r="H270" i="8" s="1"/>
  <c r="B257" i="8"/>
  <c r="C257" i="8"/>
  <c r="E257" i="8"/>
  <c r="H262" i="8" s="1"/>
  <c r="A257" i="8"/>
  <c r="B235" i="8"/>
  <c r="C235" i="8"/>
  <c r="E235" i="8"/>
  <c r="H240" i="8" s="1"/>
  <c r="A235" i="8"/>
  <c r="B224" i="8"/>
  <c r="C224" i="8"/>
  <c r="H229" i="8"/>
  <c r="A224" i="8"/>
  <c r="Z44" i="1"/>
  <c r="Y44" i="1"/>
  <c r="X44" i="1"/>
  <c r="W44" i="1"/>
  <c r="V44" i="1"/>
  <c r="U44" i="1"/>
  <c r="T44" i="1"/>
  <c r="S44" i="1"/>
  <c r="R44" i="1"/>
  <c r="Q44" i="1"/>
  <c r="P44" i="1"/>
  <c r="O44" i="1"/>
  <c r="B3437" i="8"/>
  <c r="C3437" i="8"/>
  <c r="E3437" i="8"/>
  <c r="H3444" i="8" s="1"/>
  <c r="A3437" i="8"/>
  <c r="H3438" i="8"/>
  <c r="B3450" i="8"/>
  <c r="C3450" i="8"/>
  <c r="E3450" i="8"/>
  <c r="A3450" i="8"/>
  <c r="E630" i="1"/>
  <c r="E629" i="1"/>
  <c r="B3463" i="8"/>
  <c r="C3463" i="8"/>
  <c r="E3463" i="8"/>
  <c r="H3470" i="8" s="1"/>
  <c r="A3463" i="8"/>
  <c r="H3464" i="8"/>
  <c r="B3941" i="8"/>
  <c r="C3941" i="8"/>
  <c r="E3941" i="8"/>
  <c r="H3948" i="8" s="1"/>
  <c r="A3941" i="8"/>
  <c r="H3942" i="8"/>
  <c r="B3928" i="8"/>
  <c r="C3928" i="8"/>
  <c r="E3928" i="8"/>
  <c r="H3935" i="8" s="1"/>
  <c r="A3928" i="8"/>
  <c r="H3929" i="8"/>
  <c r="B3915" i="8"/>
  <c r="C3915" i="8"/>
  <c r="E3915" i="8"/>
  <c r="H3922" i="8" s="1"/>
  <c r="A3915" i="8"/>
  <c r="H3916" i="8"/>
  <c r="B3902" i="8"/>
  <c r="C3902" i="8"/>
  <c r="E3902" i="8"/>
  <c r="H3909" i="8" s="1"/>
  <c r="A3902" i="8"/>
  <c r="H3903" i="8"/>
  <c r="B3889" i="8"/>
  <c r="C3889" i="8"/>
  <c r="E3889" i="8"/>
  <c r="H3896" i="8" s="1"/>
  <c r="A3889" i="8"/>
  <c r="H3890" i="8"/>
  <c r="B3502" i="8"/>
  <c r="C3502" i="8"/>
  <c r="E3502" i="8"/>
  <c r="H3509" i="8" s="1"/>
  <c r="A3502" i="8"/>
  <c r="H447" i="1" l="1"/>
  <c r="L447" i="1" s="1"/>
  <c r="H445" i="1"/>
  <c r="I445" i="1" s="1"/>
  <c r="J445" i="1" s="1"/>
  <c r="Y445" i="1" s="1"/>
  <c r="K548" i="1"/>
  <c r="H2445" i="8"/>
  <c r="H2437" i="8" s="1"/>
  <c r="T448" i="1"/>
  <c r="X448" i="1"/>
  <c r="L448" i="1"/>
  <c r="V448" i="1"/>
  <c r="W448" i="1"/>
  <c r="H443" i="1"/>
  <c r="I443" i="1" s="1"/>
  <c r="J443" i="1" s="1"/>
  <c r="K443" i="1"/>
  <c r="H271" i="8"/>
  <c r="H272" i="8" s="1"/>
  <c r="K447" i="1"/>
  <c r="Y448" i="1"/>
  <c r="Z448" i="1"/>
  <c r="H293" i="8"/>
  <c r="H294" i="8" s="1"/>
  <c r="H2399" i="8"/>
  <c r="H2393" i="8" s="1"/>
  <c r="H2334" i="8"/>
  <c r="H2336" i="8" s="1"/>
  <c r="H2377" i="8"/>
  <c r="H2371" i="8" s="1"/>
  <c r="H449" i="1"/>
  <c r="L449" i="1" s="1"/>
  <c r="H258" i="8"/>
  <c r="H259" i="8" s="1"/>
  <c r="H236" i="8"/>
  <c r="H237" i="8" s="1"/>
  <c r="H225" i="8"/>
  <c r="H227" i="8" s="1"/>
  <c r="K555" i="1"/>
  <c r="H555" i="1"/>
  <c r="H3439" i="8"/>
  <c r="H3442" i="8" s="1"/>
  <c r="H3440" i="8"/>
  <c r="H557" i="1"/>
  <c r="K557" i="1"/>
  <c r="H3465" i="8"/>
  <c r="H3468" i="8" s="1"/>
  <c r="H3466" i="8"/>
  <c r="H3943" i="8"/>
  <c r="H3946" i="8" s="1"/>
  <c r="H3944" i="8"/>
  <c r="H3931" i="8"/>
  <c r="H3930" i="8"/>
  <c r="H3917" i="8"/>
  <c r="H3918" i="8"/>
  <c r="H3920" i="8"/>
  <c r="H3904" i="8"/>
  <c r="H3905" i="8"/>
  <c r="H3891" i="8"/>
  <c r="H3894" i="8" s="1"/>
  <c r="H3892" i="8"/>
  <c r="H3503" i="8"/>
  <c r="H3507" i="8" s="1"/>
  <c r="H3505" i="8"/>
  <c r="H3504" i="8"/>
  <c r="B3242" i="8"/>
  <c r="C3242" i="8"/>
  <c r="E3242" i="8"/>
  <c r="A3242" i="8"/>
  <c r="B3203" i="8"/>
  <c r="C3203" i="8"/>
  <c r="E3203" i="8"/>
  <c r="H3210" i="8" s="1"/>
  <c r="A3203" i="8"/>
  <c r="H3204" i="8"/>
  <c r="B2953" i="8"/>
  <c r="C2953" i="8"/>
  <c r="E2953" i="8"/>
  <c r="H2961" i="8" s="1"/>
  <c r="A2953" i="8"/>
  <c r="B2939" i="8"/>
  <c r="C2939" i="8"/>
  <c r="E2939" i="8"/>
  <c r="H2947" i="8" s="1"/>
  <c r="A2939" i="8"/>
  <c r="B2925" i="8"/>
  <c r="C2925" i="8"/>
  <c r="E2925" i="8"/>
  <c r="D24" i="23"/>
  <c r="C24" i="23"/>
  <c r="A24" i="23"/>
  <c r="F32" i="23"/>
  <c r="H548" i="1" l="1"/>
  <c r="K445" i="1"/>
  <c r="H438" i="1"/>
  <c r="L438" i="1" s="1"/>
  <c r="K43" i="1"/>
  <c r="L445" i="1"/>
  <c r="T445" i="1"/>
  <c r="V445" i="1"/>
  <c r="Z445" i="1"/>
  <c r="L443" i="1"/>
  <c r="V443" i="1"/>
  <c r="Z443" i="1"/>
  <c r="W443" i="1"/>
  <c r="Y443" i="1"/>
  <c r="X443" i="1"/>
  <c r="T443" i="1"/>
  <c r="X445" i="1"/>
  <c r="K584" i="1"/>
  <c r="I447" i="1"/>
  <c r="J447" i="1" s="1"/>
  <c r="T447" i="1" s="1"/>
  <c r="H3933" i="8"/>
  <c r="W445" i="1"/>
  <c r="H260" i="8"/>
  <c r="H261" i="8" s="1"/>
  <c r="H3906" i="8"/>
  <c r="H3907" i="8"/>
  <c r="H238" i="8"/>
  <c r="H239" i="8" s="1"/>
  <c r="H3945" i="8"/>
  <c r="H3947" i="8" s="1"/>
  <c r="H3932" i="8"/>
  <c r="H3467" i="8"/>
  <c r="H3469" i="8" s="1"/>
  <c r="H296" i="8"/>
  <c r="H290" i="8" s="1"/>
  <c r="H3919" i="8"/>
  <c r="H3921" i="8" s="1"/>
  <c r="I548" i="1"/>
  <c r="J548" i="1" s="1"/>
  <c r="L548" i="1"/>
  <c r="I449" i="1"/>
  <c r="J449" i="1" s="1"/>
  <c r="H274" i="8"/>
  <c r="H268" i="8" s="1"/>
  <c r="H3893" i="8"/>
  <c r="H3895" i="8" s="1"/>
  <c r="H3506" i="8"/>
  <c r="H3508" i="8" s="1"/>
  <c r="H3510" i="8" s="1"/>
  <c r="H3502" i="8" s="1"/>
  <c r="H3441" i="8"/>
  <c r="H3443" i="8" s="1"/>
  <c r="H3445" i="8" s="1"/>
  <c r="H3437" i="8" s="1"/>
  <c r="H2338" i="8"/>
  <c r="H2329" i="8" s="1"/>
  <c r="K41" i="1"/>
  <c r="H226" i="8"/>
  <c r="H228" i="8" s="1"/>
  <c r="L555" i="1"/>
  <c r="I555" i="1"/>
  <c r="J555" i="1" s="1"/>
  <c r="I557" i="1"/>
  <c r="J557" i="1" s="1"/>
  <c r="L557" i="1"/>
  <c r="H3205" i="8"/>
  <c r="H3208" i="8" s="1"/>
  <c r="H3206" i="8"/>
  <c r="K536" i="1"/>
  <c r="H536" i="1"/>
  <c r="H537" i="1"/>
  <c r="K537" i="1"/>
  <c r="H535" i="1"/>
  <c r="K535" i="1"/>
  <c r="H521" i="1"/>
  <c r="K521" i="1"/>
  <c r="K519" i="1"/>
  <c r="H519" i="1"/>
  <c r="H2955" i="8"/>
  <c r="H2957" i="8"/>
  <c r="H2956" i="8"/>
  <c r="H2954" i="8"/>
  <c r="H2959" i="8" s="1"/>
  <c r="H2943" i="8"/>
  <c r="H2941" i="8"/>
  <c r="H2942" i="8"/>
  <c r="H2940" i="8"/>
  <c r="H2945" i="8" s="1"/>
  <c r="H2927" i="8"/>
  <c r="H2929" i="8"/>
  <c r="H2358" i="8"/>
  <c r="I648" i="22"/>
  <c r="I649" i="22"/>
  <c r="I650" i="22"/>
  <c r="I651" i="22"/>
  <c r="I652" i="22"/>
  <c r="I653" i="22"/>
  <c r="I654" i="22"/>
  <c r="I655" i="22"/>
  <c r="I656" i="22"/>
  <c r="I657" i="22"/>
  <c r="I658" i="22"/>
  <c r="I659" i="22"/>
  <c r="I660" i="22"/>
  <c r="I661" i="22"/>
  <c r="I647" i="22"/>
  <c r="K438" i="1" l="1"/>
  <c r="H639" i="1"/>
  <c r="K600" i="1"/>
  <c r="H643" i="1"/>
  <c r="K40" i="1"/>
  <c r="H3908" i="8"/>
  <c r="X447" i="1"/>
  <c r="W447" i="1"/>
  <c r="I438" i="1"/>
  <c r="J438" i="1" s="1"/>
  <c r="T438" i="1" s="1"/>
  <c r="V447" i="1"/>
  <c r="Z447" i="1"/>
  <c r="Y447" i="1"/>
  <c r="H3934" i="8"/>
  <c r="H3936" i="8" s="1"/>
  <c r="H3928" i="8" s="1"/>
  <c r="I662" i="22"/>
  <c r="H241" i="8"/>
  <c r="H235" i="8" s="1"/>
  <c r="H3471" i="8"/>
  <c r="H3463" i="8" s="1"/>
  <c r="H3897" i="8"/>
  <c r="H3889" i="8" s="1"/>
  <c r="H3923" i="8"/>
  <c r="H3915" i="8" s="1"/>
  <c r="Y449" i="1"/>
  <c r="X449" i="1"/>
  <c r="W449" i="1"/>
  <c r="V449" i="1"/>
  <c r="T449" i="1"/>
  <c r="Z449" i="1"/>
  <c r="X548" i="1"/>
  <c r="V548" i="1"/>
  <c r="T548" i="1"/>
  <c r="Z548" i="1"/>
  <c r="Y548" i="1"/>
  <c r="W548" i="1"/>
  <c r="H3910" i="8"/>
  <c r="H3902" i="8" s="1"/>
  <c r="H263" i="8"/>
  <c r="H257" i="8" s="1"/>
  <c r="H3207" i="8"/>
  <c r="H3209" i="8" s="1"/>
  <c r="H3949" i="8"/>
  <c r="H3941" i="8" s="1"/>
  <c r="H230" i="8"/>
  <c r="H224" i="8" s="1"/>
  <c r="W555" i="1"/>
  <c r="V555" i="1"/>
  <c r="T555" i="1"/>
  <c r="Z555" i="1"/>
  <c r="Y555" i="1"/>
  <c r="X555" i="1"/>
  <c r="Y557" i="1"/>
  <c r="X557" i="1"/>
  <c r="W557" i="1"/>
  <c r="V557" i="1"/>
  <c r="T557" i="1"/>
  <c r="Z557" i="1"/>
  <c r="H2958" i="8"/>
  <c r="H2960" i="8" s="1"/>
  <c r="H2962" i="8" s="1"/>
  <c r="H2953" i="8" s="1"/>
  <c r="H2944" i="8"/>
  <c r="H2946" i="8" s="1"/>
  <c r="I535" i="1"/>
  <c r="J535" i="1" s="1"/>
  <c r="L535" i="1"/>
  <c r="I537" i="1"/>
  <c r="J537" i="1" s="1"/>
  <c r="L537" i="1"/>
  <c r="L536" i="1"/>
  <c r="I536" i="1"/>
  <c r="J536" i="1" s="1"/>
  <c r="L521" i="1"/>
  <c r="I521" i="1"/>
  <c r="J521" i="1" s="1"/>
  <c r="L519" i="1"/>
  <c r="I519" i="1"/>
  <c r="J519" i="1" s="1"/>
  <c r="G405" i="22"/>
  <c r="J371" i="22"/>
  <c r="G363" i="22"/>
  <c r="J367" i="22"/>
  <c r="J366" i="22"/>
  <c r="J365" i="22"/>
  <c r="J364" i="22"/>
  <c r="J369" i="22"/>
  <c r="J368" i="22"/>
  <c r="G362" i="22"/>
  <c r="G360" i="22"/>
  <c r="J360" i="22" s="1"/>
  <c r="G359" i="22"/>
  <c r="J359" i="22" s="1"/>
  <c r="J361" i="22"/>
  <c r="J358" i="22"/>
  <c r="T246" i="1"/>
  <c r="S246" i="1"/>
  <c r="R246" i="1"/>
  <c r="Q246" i="1"/>
  <c r="P246" i="1"/>
  <c r="O246" i="1"/>
  <c r="N246" i="1"/>
  <c r="M246" i="1"/>
  <c r="B1472" i="8"/>
  <c r="C1472" i="8"/>
  <c r="E1472" i="8"/>
  <c r="A1472" i="8"/>
  <c r="X241" i="1"/>
  <c r="W241" i="1"/>
  <c r="V241" i="1"/>
  <c r="U241" i="1"/>
  <c r="T241" i="1"/>
  <c r="S241" i="1"/>
  <c r="R241" i="1"/>
  <c r="Q241" i="1"/>
  <c r="P241" i="1"/>
  <c r="O241" i="1"/>
  <c r="N241" i="1"/>
  <c r="M241" i="1"/>
  <c r="K38" i="27"/>
  <c r="B122" i="8"/>
  <c r="C122" i="8"/>
  <c r="E122" i="8"/>
  <c r="H137" i="8" s="1"/>
  <c r="A122" i="8"/>
  <c r="H600" i="1" l="1"/>
  <c r="L600" i="1" s="1"/>
  <c r="K639" i="1"/>
  <c r="K643" i="1"/>
  <c r="H603" i="1"/>
  <c r="K37" i="1"/>
  <c r="H579" i="1"/>
  <c r="K598" i="1"/>
  <c r="H641" i="1"/>
  <c r="L641" i="1" s="1"/>
  <c r="K38" i="1"/>
  <c r="K640" i="1"/>
  <c r="V438" i="1"/>
  <c r="Y438" i="1"/>
  <c r="X438" i="1"/>
  <c r="Z438" i="1"/>
  <c r="W438" i="1"/>
  <c r="H3211" i="8"/>
  <c r="H3203" i="8" s="1"/>
  <c r="L643" i="1"/>
  <c r="I643" i="1"/>
  <c r="J643" i="1" s="1"/>
  <c r="L639" i="1"/>
  <c r="I639" i="1"/>
  <c r="J639" i="1" s="1"/>
  <c r="Y537" i="1"/>
  <c r="X537" i="1"/>
  <c r="W537" i="1"/>
  <c r="V537" i="1"/>
  <c r="T537" i="1"/>
  <c r="Z537" i="1"/>
  <c r="T536" i="1"/>
  <c r="Z536" i="1"/>
  <c r="Y536" i="1"/>
  <c r="X536" i="1"/>
  <c r="W536" i="1"/>
  <c r="V536" i="1"/>
  <c r="Y535" i="1"/>
  <c r="W535" i="1"/>
  <c r="X535" i="1"/>
  <c r="V535" i="1"/>
  <c r="T535" i="1"/>
  <c r="Z535" i="1"/>
  <c r="X521" i="1"/>
  <c r="V521" i="1"/>
  <c r="T521" i="1"/>
  <c r="W521" i="1"/>
  <c r="Z521" i="1"/>
  <c r="Y521" i="1"/>
  <c r="W519" i="1"/>
  <c r="V519" i="1"/>
  <c r="T519" i="1"/>
  <c r="Z519" i="1"/>
  <c r="Y519" i="1"/>
  <c r="X519" i="1"/>
  <c r="H2948" i="8"/>
  <c r="H2939" i="8" s="1"/>
  <c r="K245" i="1"/>
  <c r="H245" i="1"/>
  <c r="H244" i="1"/>
  <c r="K244" i="1"/>
  <c r="H129" i="8"/>
  <c r="H131" i="8"/>
  <c r="H130" i="8"/>
  <c r="H123" i="8"/>
  <c r="H125" i="8"/>
  <c r="H127" i="8"/>
  <c r="H132" i="8"/>
  <c r="H124" i="8"/>
  <c r="H126" i="8"/>
  <c r="H128" i="8"/>
  <c r="H133" i="8"/>
  <c r="E421" i="1"/>
  <c r="E367" i="1"/>
  <c r="E365" i="1"/>
  <c r="E366" i="1"/>
  <c r="E406" i="1"/>
  <c r="E410" i="1"/>
  <c r="E405" i="1"/>
  <c r="E409" i="1"/>
  <c r="E364" i="1"/>
  <c r="E403" i="1"/>
  <c r="E399" i="1"/>
  <c r="E398" i="1"/>
  <c r="E396" i="1"/>
  <c r="E392" i="1"/>
  <c r="E389" i="1"/>
  <c r="E388" i="1"/>
  <c r="E385" i="1"/>
  <c r="E381" i="1"/>
  <c r="E380" i="1"/>
  <c r="E378" i="1"/>
  <c r="E374" i="1"/>
  <c r="E373" i="1"/>
  <c r="E407" i="1"/>
  <c r="E363" i="1"/>
  <c r="E404" i="1"/>
  <c r="E400" i="1"/>
  <c r="E395" i="1"/>
  <c r="E397" i="1"/>
  <c r="E394" i="1"/>
  <c r="E393" i="1"/>
  <c r="E387" i="1"/>
  <c r="E384" i="1"/>
  <c r="E376" i="1"/>
  <c r="E372" i="1"/>
  <c r="E375" i="1"/>
  <c r="E402" i="1"/>
  <c r="E417" i="1"/>
  <c r="E416" i="1"/>
  <c r="E415" i="1"/>
  <c r="E414" i="1"/>
  <c r="E377" i="1"/>
  <c r="I600" i="1" l="1"/>
  <c r="J600" i="1" s="1"/>
  <c r="T600" i="1" s="1"/>
  <c r="H598" i="1"/>
  <c r="L598" i="1" s="1"/>
  <c r="I641" i="1"/>
  <c r="J641" i="1" s="1"/>
  <c r="Y641" i="1" s="1"/>
  <c r="K579" i="1"/>
  <c r="K641" i="1"/>
  <c r="K603" i="1"/>
  <c r="H640" i="1"/>
  <c r="L640" i="1" s="1"/>
  <c r="K642" i="1"/>
  <c r="H134" i="8"/>
  <c r="H135" i="8"/>
  <c r="W639" i="1"/>
  <c r="V639" i="1"/>
  <c r="T639" i="1"/>
  <c r="Y639" i="1"/>
  <c r="X639" i="1"/>
  <c r="Z639" i="1"/>
  <c r="W643" i="1"/>
  <c r="Z643" i="1"/>
  <c r="Y643" i="1"/>
  <c r="V643" i="1"/>
  <c r="T643" i="1"/>
  <c r="X643" i="1"/>
  <c r="L603" i="1"/>
  <c r="I603" i="1"/>
  <c r="J603" i="1" s="1"/>
  <c r="L579" i="1"/>
  <c r="I579" i="1"/>
  <c r="J579" i="1" s="1"/>
  <c r="I245" i="1"/>
  <c r="J245" i="1" s="1"/>
  <c r="L245" i="1"/>
  <c r="L244" i="1"/>
  <c r="I244" i="1"/>
  <c r="J244" i="1" s="1"/>
  <c r="K421" i="1"/>
  <c r="K420" i="1"/>
  <c r="H420" i="1"/>
  <c r="L420" i="1" s="1"/>
  <c r="H421" i="1"/>
  <c r="E379" i="1"/>
  <c r="L425" i="1"/>
  <c r="K425" i="1"/>
  <c r="Y428" i="1"/>
  <c r="X428" i="1"/>
  <c r="W428" i="1"/>
  <c r="V428" i="1"/>
  <c r="U428" i="1"/>
  <c r="T428" i="1"/>
  <c r="S428" i="1"/>
  <c r="R428" i="1"/>
  <c r="Q428" i="1"/>
  <c r="P428" i="1"/>
  <c r="O428" i="1"/>
  <c r="N428" i="1"/>
  <c r="M428" i="1"/>
  <c r="B2014" i="8"/>
  <c r="C2014" i="8"/>
  <c r="E2014" i="8"/>
  <c r="H2029" i="8" s="1"/>
  <c r="A2014" i="8"/>
  <c r="E345" i="1"/>
  <c r="E351" i="1"/>
  <c r="E348" i="1"/>
  <c r="E213" i="8"/>
  <c r="E212" i="8"/>
  <c r="B211" i="8"/>
  <c r="C211" i="8"/>
  <c r="E211" i="8"/>
  <c r="H217" i="8" s="1"/>
  <c r="A211" i="8"/>
  <c r="B199" i="8"/>
  <c r="C199" i="8"/>
  <c r="E199" i="8"/>
  <c r="H205" i="8" s="1"/>
  <c r="A199" i="8"/>
  <c r="A300" i="8"/>
  <c r="E1738" i="8"/>
  <c r="B1736" i="8"/>
  <c r="C1736" i="8"/>
  <c r="E1736" i="8"/>
  <c r="H1744" i="8" s="1"/>
  <c r="A1736" i="8"/>
  <c r="T641" i="1" l="1"/>
  <c r="V641" i="1"/>
  <c r="I598" i="1"/>
  <c r="J598" i="1" s="1"/>
  <c r="T598" i="1" s="1"/>
  <c r="Z641" i="1"/>
  <c r="X600" i="1"/>
  <c r="Y600" i="1"/>
  <c r="V600" i="1"/>
  <c r="Z600" i="1"/>
  <c r="W600" i="1"/>
  <c r="W641" i="1"/>
  <c r="H642" i="1"/>
  <c r="L642" i="1" s="1"/>
  <c r="X641" i="1"/>
  <c r="I640" i="1"/>
  <c r="J640" i="1" s="1"/>
  <c r="Z640" i="1" s="1"/>
  <c r="H136" i="8"/>
  <c r="H138" i="8" s="1"/>
  <c r="H122" i="8" s="1"/>
  <c r="K127" i="29"/>
  <c r="Y245" i="1"/>
  <c r="Z245" i="1"/>
  <c r="Y244" i="1"/>
  <c r="Z244" i="1"/>
  <c r="X603" i="1"/>
  <c r="V603" i="1"/>
  <c r="T603" i="1"/>
  <c r="Z603" i="1"/>
  <c r="W603" i="1"/>
  <c r="Y603" i="1"/>
  <c r="W579" i="1"/>
  <c r="V579" i="1"/>
  <c r="Y579" i="1"/>
  <c r="T579" i="1"/>
  <c r="Z579" i="1"/>
  <c r="X579" i="1"/>
  <c r="J246" i="1"/>
  <c r="I420" i="1"/>
  <c r="J420" i="1" s="1"/>
  <c r="V420" i="1" s="1"/>
  <c r="L421" i="1"/>
  <c r="I421" i="1"/>
  <c r="J421" i="1" s="1"/>
  <c r="H427" i="1"/>
  <c r="H426" i="1"/>
  <c r="K426" i="1"/>
  <c r="K427" i="1"/>
  <c r="H2018" i="8"/>
  <c r="H2020" i="8"/>
  <c r="H2019" i="8"/>
  <c r="H2021" i="8"/>
  <c r="H2022" i="8"/>
  <c r="H2023" i="8"/>
  <c r="H2015" i="8"/>
  <c r="H2017" i="8"/>
  <c r="H2024" i="8"/>
  <c r="H2016" i="8"/>
  <c r="H2025" i="8"/>
  <c r="H346" i="1"/>
  <c r="K346" i="1"/>
  <c r="H212" i="8"/>
  <c r="H215" i="8" s="1"/>
  <c r="H213" i="8"/>
  <c r="H200" i="8"/>
  <c r="H203" i="8" s="1"/>
  <c r="H201" i="8"/>
  <c r="H127" i="29"/>
  <c r="K137" i="29"/>
  <c r="H137" i="29"/>
  <c r="H138" i="29"/>
  <c r="K138" i="29"/>
  <c r="H1738" i="8"/>
  <c r="H1737" i="8"/>
  <c r="H1739" i="8"/>
  <c r="H1740" i="8"/>
  <c r="A13" i="27"/>
  <c r="B13" i="27"/>
  <c r="K13" i="27"/>
  <c r="X598" i="1" l="1"/>
  <c r="V598" i="1"/>
  <c r="Z598" i="1"/>
  <c r="Y598" i="1"/>
  <c r="W598" i="1"/>
  <c r="I642" i="1"/>
  <c r="J642" i="1" s="1"/>
  <c r="X642" i="1" s="1"/>
  <c r="T640" i="1"/>
  <c r="X640" i="1"/>
  <c r="V640" i="1"/>
  <c r="W640" i="1"/>
  <c r="Y640" i="1"/>
  <c r="H214" i="8"/>
  <c r="H216" i="8" s="1"/>
  <c r="Z246" i="1"/>
  <c r="H202" i="8"/>
  <c r="H204" i="8" s="1"/>
  <c r="Y246" i="1"/>
  <c r="I127" i="29"/>
  <c r="J127" i="29" s="1"/>
  <c r="L127" i="29"/>
  <c r="H2026" i="8"/>
  <c r="H1741" i="8"/>
  <c r="W246" i="1"/>
  <c r="U246" i="1"/>
  <c r="H1742" i="8"/>
  <c r="W420" i="1"/>
  <c r="P420" i="1"/>
  <c r="X246" i="1"/>
  <c r="V246" i="1"/>
  <c r="H2027" i="8"/>
  <c r="U420" i="1"/>
  <c r="U421" i="1"/>
  <c r="P421" i="1"/>
  <c r="W421" i="1"/>
  <c r="V421" i="1"/>
  <c r="I427" i="1"/>
  <c r="J427" i="1" s="1"/>
  <c r="Z427" i="1" s="1"/>
  <c r="L427" i="1"/>
  <c r="I426" i="1"/>
  <c r="J426" i="1" s="1"/>
  <c r="L426" i="1"/>
  <c r="L346" i="1"/>
  <c r="I346" i="1"/>
  <c r="J346" i="1" s="1"/>
  <c r="I138" i="29"/>
  <c r="J138" i="29" s="1"/>
  <c r="L138" i="29"/>
  <c r="L137" i="29"/>
  <c r="I137" i="29"/>
  <c r="J137" i="29" s="1"/>
  <c r="E31" i="25"/>
  <c r="B178" i="8"/>
  <c r="C178" i="8"/>
  <c r="E178" i="8"/>
  <c r="A178" i="8"/>
  <c r="B143" i="8"/>
  <c r="C143" i="8"/>
  <c r="E143" i="8"/>
  <c r="H156" i="8" s="1"/>
  <c r="A143" i="8"/>
  <c r="T642" i="1" l="1"/>
  <c r="Z642" i="1"/>
  <c r="W642" i="1"/>
  <c r="Y642" i="1"/>
  <c r="V642" i="1"/>
  <c r="K35" i="1"/>
  <c r="K36" i="1"/>
  <c r="W422" i="1"/>
  <c r="V127" i="29"/>
  <c r="U127" i="29"/>
  <c r="H2028" i="8"/>
  <c r="H1743" i="8"/>
  <c r="H218" i="8"/>
  <c r="H211" i="8" s="1"/>
  <c r="H206" i="8"/>
  <c r="H199" i="8" s="1"/>
  <c r="J428" i="1"/>
  <c r="Z426" i="1"/>
  <c r="Z428" i="1" s="1"/>
  <c r="W346" i="1"/>
  <c r="V346" i="1"/>
  <c r="U346" i="1"/>
  <c r="P346" i="1"/>
  <c r="S137" i="29"/>
  <c r="P137" i="29"/>
  <c r="W137" i="29"/>
  <c r="V137" i="29"/>
  <c r="U137" i="29"/>
  <c r="T137" i="29"/>
  <c r="W138" i="29"/>
  <c r="V138" i="29"/>
  <c r="U138" i="29"/>
  <c r="T138" i="29"/>
  <c r="S138" i="29"/>
  <c r="P138" i="29"/>
  <c r="K31" i="25"/>
  <c r="K38" i="25"/>
  <c r="H185" i="8"/>
  <c r="H186" i="8"/>
  <c r="H181" i="8"/>
  <c r="H182" i="8"/>
  <c r="H150" i="8"/>
  <c r="H151" i="8"/>
  <c r="H148" i="8"/>
  <c r="H149" i="8"/>
  <c r="H144" i="8"/>
  <c r="H146" i="8"/>
  <c r="H152" i="8"/>
  <c r="H145" i="8"/>
  <c r="H147" i="8"/>
  <c r="K32" i="27"/>
  <c r="B32" i="27"/>
  <c r="A32" i="27"/>
  <c r="K37" i="27"/>
  <c r="K128" i="29" l="1"/>
  <c r="K357" i="1"/>
  <c r="H2030" i="8"/>
  <c r="H2014" i="8" s="1"/>
  <c r="H154" i="8"/>
  <c r="H153" i="8"/>
  <c r="H1745" i="8"/>
  <c r="H1736" i="8" s="1"/>
  <c r="F52" i="23"/>
  <c r="H337" i="1" l="1"/>
  <c r="K337" i="1"/>
  <c r="H128" i="29"/>
  <c r="L128" i="29" s="1"/>
  <c r="H357" i="1"/>
  <c r="L357" i="1" s="1"/>
  <c r="H155" i="8"/>
  <c r="K53" i="25"/>
  <c r="D244" i="23"/>
  <c r="B244" i="23"/>
  <c r="A244" i="23"/>
  <c r="F252" i="23"/>
  <c r="L337" i="1" l="1"/>
  <c r="I337" i="1"/>
  <c r="J337" i="1" s="1"/>
  <c r="I128" i="29"/>
  <c r="J128" i="29" s="1"/>
  <c r="V128" i="29" s="1"/>
  <c r="I357" i="1"/>
  <c r="J357" i="1" s="1"/>
  <c r="P357" i="1" s="1"/>
  <c r="H157" i="8"/>
  <c r="H143" i="8" s="1"/>
  <c r="B3954" i="8"/>
  <c r="C3954" i="8"/>
  <c r="E3954" i="8"/>
  <c r="H3964" i="8" s="1"/>
  <c r="T337" i="1" l="1"/>
  <c r="V337" i="1"/>
  <c r="W337" i="1"/>
  <c r="P337" i="1"/>
  <c r="S337" i="1"/>
  <c r="U337" i="1"/>
  <c r="U128" i="29"/>
  <c r="V357" i="1"/>
  <c r="W357" i="1"/>
  <c r="U357" i="1"/>
  <c r="H3961" i="8"/>
  <c r="H3956" i="8"/>
  <c r="H3955" i="8"/>
  <c r="H3957" i="8"/>
  <c r="H3958" i="8"/>
  <c r="H3959" i="8"/>
  <c r="H3960" i="8"/>
  <c r="E133" i="29"/>
  <c r="E130" i="29"/>
  <c r="E124" i="29"/>
  <c r="E123" i="29"/>
  <c r="E122" i="29"/>
  <c r="E121" i="29"/>
  <c r="E120" i="29"/>
  <c r="E118" i="29"/>
  <c r="E1485" i="8" s="1"/>
  <c r="H1494" i="8" s="1"/>
  <c r="H1495" i="8" s="1"/>
  <c r="H1485" i="8" s="1"/>
  <c r="E117" i="29"/>
  <c r="E116" i="29"/>
  <c r="E115" i="29"/>
  <c r="E114" i="29"/>
  <c r="H3962" i="8" l="1"/>
  <c r="H3963" i="8" s="1"/>
  <c r="A4554" i="8"/>
  <c r="B4554" i="8"/>
  <c r="C4554" i="8"/>
  <c r="E4554" i="8"/>
  <c r="H4561" i="8" s="1"/>
  <c r="H4555" i="8"/>
  <c r="A4567" i="8"/>
  <c r="B4567" i="8"/>
  <c r="C4567" i="8"/>
  <c r="E4567" i="8"/>
  <c r="H4574" i="8" s="1"/>
  <c r="H4568" i="8"/>
  <c r="H3965" i="8" l="1"/>
  <c r="H3954" i="8" s="1"/>
  <c r="H4570" i="8"/>
  <c r="H4572" i="8"/>
  <c r="H4556" i="8"/>
  <c r="H4559" i="8" s="1"/>
  <c r="H4569" i="8"/>
  <c r="H4557" i="8"/>
  <c r="B2051" i="8"/>
  <c r="C2051" i="8"/>
  <c r="A2051" i="8"/>
  <c r="B1968" i="8"/>
  <c r="C1968" i="8"/>
  <c r="E1968" i="8"/>
  <c r="H1977" i="8" s="1"/>
  <c r="A1968" i="8"/>
  <c r="K644" i="1" l="1"/>
  <c r="H4558" i="8"/>
  <c r="H4560" i="8" s="1"/>
  <c r="H4562" i="8" s="1"/>
  <c r="H4554" i="8" s="1"/>
  <c r="H4571" i="8"/>
  <c r="H4573" i="8" s="1"/>
  <c r="H4575" i="8" s="1"/>
  <c r="H4567" i="8" s="1"/>
  <c r="H2053" i="8"/>
  <c r="H2055" i="8"/>
  <c r="H2052" i="8"/>
  <c r="H2054" i="8"/>
  <c r="H2056" i="8"/>
  <c r="H1971" i="8"/>
  <c r="H1970" i="8"/>
  <c r="H1972" i="8"/>
  <c r="H1969" i="8"/>
  <c r="H1973" i="8"/>
  <c r="H644" i="1" l="1"/>
  <c r="I644" i="1" s="1"/>
  <c r="J644" i="1" s="1"/>
  <c r="H2057" i="8"/>
  <c r="H1974" i="8"/>
  <c r="H2058" i="8"/>
  <c r="H1975" i="8"/>
  <c r="F17" i="20"/>
  <c r="E256" i="1"/>
  <c r="E258" i="1"/>
  <c r="E259" i="1"/>
  <c r="E260" i="1"/>
  <c r="E261" i="1"/>
  <c r="E262" i="1"/>
  <c r="E263" i="1"/>
  <c r="E264" i="1"/>
  <c r="E265" i="1"/>
  <c r="E266" i="1"/>
  <c r="E268" i="1"/>
  <c r="E269" i="1"/>
  <c r="E270" i="1"/>
  <c r="E271" i="1"/>
  <c r="E272" i="1"/>
  <c r="E274" i="1"/>
  <c r="E275" i="1"/>
  <c r="E276" i="1"/>
  <c r="E277" i="1"/>
  <c r="E278" i="1"/>
  <c r="E279" i="1"/>
  <c r="E280" i="1"/>
  <c r="E281" i="1"/>
  <c r="E282" i="1"/>
  <c r="E284" i="1"/>
  <c r="E285" i="1"/>
  <c r="E286" i="1"/>
  <c r="E287" i="1"/>
  <c r="E289" i="1"/>
  <c r="E283" i="1"/>
  <c r="E290" i="1"/>
  <c r="E291" i="1"/>
  <c r="E292" i="1"/>
  <c r="E293" i="1"/>
  <c r="E294" i="1"/>
  <c r="E295" i="1"/>
  <c r="E296" i="1"/>
  <c r="E297" i="1"/>
  <c r="E298" i="1"/>
  <c r="E299" i="1"/>
  <c r="E300" i="1"/>
  <c r="E301" i="1"/>
  <c r="E302" i="1"/>
  <c r="E303" i="1"/>
  <c r="E304" i="1"/>
  <c r="E305" i="1"/>
  <c r="E306" i="1"/>
  <c r="E307" i="1"/>
  <c r="G99" i="20"/>
  <c r="E17" i="20"/>
  <c r="E14" i="20"/>
  <c r="D17" i="20"/>
  <c r="D15" i="20"/>
  <c r="D14" i="20"/>
  <c r="E1086" i="8"/>
  <c r="E1085" i="8"/>
  <c r="G17" i="20" l="1"/>
  <c r="E255" i="1"/>
  <c r="G15" i="20"/>
  <c r="L644" i="1"/>
  <c r="K283" i="1"/>
  <c r="L283" i="1"/>
  <c r="J283" i="1"/>
  <c r="E267" i="1"/>
  <c r="H2059" i="8"/>
  <c r="E288" i="1"/>
  <c r="G14" i="20"/>
  <c r="E254" i="1" s="1"/>
  <c r="H1976" i="8"/>
  <c r="H1978" i="8" s="1"/>
  <c r="H1968" i="8" s="1"/>
  <c r="Z644" i="1"/>
  <c r="Y644" i="1"/>
  <c r="X644" i="1"/>
  <c r="V644" i="1"/>
  <c r="T644" i="1"/>
  <c r="W644" i="1"/>
  <c r="E257" i="1"/>
  <c r="E969" i="8"/>
  <c r="E950" i="8"/>
  <c r="D280" i="22"/>
  <c r="D295" i="22" s="1"/>
  <c r="D279" i="22"/>
  <c r="D303" i="22" s="1"/>
  <c r="S283" i="1" l="1"/>
  <c r="T283" i="1"/>
  <c r="P283" i="1"/>
  <c r="W283" i="1"/>
  <c r="U283" i="1"/>
  <c r="V283" i="1"/>
  <c r="D304" i="22"/>
  <c r="D294" i="22"/>
  <c r="H1006" i="8"/>
  <c r="B12" i="1"/>
  <c r="B11" i="1"/>
  <c r="B10" i="1"/>
  <c r="B9" i="1"/>
  <c r="K42" i="27"/>
  <c r="B42" i="27"/>
  <c r="A42" i="27"/>
  <c r="I47" i="27"/>
  <c r="K46" i="27"/>
  <c r="J46" i="27"/>
  <c r="B14" i="8"/>
  <c r="B13" i="8"/>
  <c r="B12" i="8"/>
  <c r="B11" i="8"/>
  <c r="B10" i="8"/>
  <c r="B9" i="8"/>
  <c r="B14" i="25"/>
  <c r="B13" i="25"/>
  <c r="H97" i="25" s="1"/>
  <c r="B12" i="25"/>
  <c r="B11" i="25"/>
  <c r="B10" i="25"/>
  <c r="B9" i="25"/>
  <c r="L97" i="25" l="1"/>
  <c r="I97" i="25"/>
  <c r="J97" i="25" s="1"/>
  <c r="H317" i="8"/>
  <c r="H318" i="8" s="1"/>
  <c r="H3839" i="8"/>
  <c r="H3840" i="8" s="1"/>
  <c r="H4679" i="8"/>
  <c r="H4680" i="8" s="1"/>
  <c r="H737" i="8"/>
  <c r="H738" i="8" s="1"/>
  <c r="H718" i="8"/>
  <c r="H719" i="8" s="1"/>
  <c r="H1732" i="8"/>
  <c r="H1733" i="8" s="1"/>
  <c r="H2047" i="8"/>
  <c r="H2048" i="8" s="1"/>
  <c r="H1222" i="8"/>
  <c r="H1223" i="8" s="1"/>
  <c r="H429" i="8"/>
  <c r="H430" i="8" s="1"/>
  <c r="H174" i="8"/>
  <c r="H175" i="8" s="1"/>
  <c r="H35" i="25"/>
  <c r="L35" i="25" s="1"/>
  <c r="H39" i="1"/>
  <c r="H42" i="1"/>
  <c r="H1468" i="8"/>
  <c r="H1469" i="8" s="1"/>
  <c r="H1456" i="8"/>
  <c r="H1457" i="8" s="1"/>
  <c r="H3872" i="8"/>
  <c r="H3873" i="8" s="1"/>
  <c r="H253" i="8"/>
  <c r="H254" i="8" s="1"/>
  <c r="H286" i="8"/>
  <c r="H287" i="8" s="1"/>
  <c r="H74" i="8"/>
  <c r="H75" i="8" s="1"/>
  <c r="H51" i="25"/>
  <c r="H39" i="25"/>
  <c r="L39" i="25" s="1"/>
  <c r="H50" i="25"/>
  <c r="H117" i="8"/>
  <c r="H118" i="8" s="1"/>
  <c r="H1316" i="8"/>
  <c r="H1317" i="8" s="1"/>
  <c r="H1496" i="8"/>
  <c r="H1497" i="8" s="1"/>
  <c r="H1301" i="8"/>
  <c r="H1302" i="8" s="1"/>
  <c r="H1286" i="8"/>
  <c r="H1287" i="8" s="1"/>
  <c r="H2921" i="8"/>
  <c r="H2922" i="8" s="1"/>
  <c r="H3859" i="8"/>
  <c r="H3860" i="8" s="1"/>
  <c r="H2906" i="8"/>
  <c r="H2907" i="8" s="1"/>
  <c r="H2895" i="8"/>
  <c r="H2896" i="8" s="1"/>
  <c r="H2884" i="8"/>
  <c r="H2885" i="8" s="1"/>
  <c r="H2873" i="8"/>
  <c r="H2874" i="8" s="1"/>
  <c r="H2862" i="8"/>
  <c r="H2863" i="8" s="1"/>
  <c r="H2851" i="8"/>
  <c r="H2852" i="8" s="1"/>
  <c r="H2840" i="8"/>
  <c r="H2841" i="8" s="1"/>
  <c r="H2829" i="8"/>
  <c r="H2830" i="8" s="1"/>
  <c r="H2807" i="8"/>
  <c r="H2808" i="8" s="1"/>
  <c r="H2796" i="8"/>
  <c r="H2797" i="8" s="1"/>
  <c r="H2785" i="8"/>
  <c r="H2786" i="8" s="1"/>
  <c r="H2774" i="8"/>
  <c r="H2775" i="8" s="1"/>
  <c r="H2763" i="8"/>
  <c r="H2764" i="8" s="1"/>
  <c r="H2752" i="8"/>
  <c r="H2753" i="8" s="1"/>
  <c r="H2741" i="8"/>
  <c r="H2742" i="8" s="1"/>
  <c r="H2730" i="8"/>
  <c r="H2731" i="8" s="1"/>
  <c r="H2717" i="8"/>
  <c r="H2718" i="8" s="1"/>
  <c r="H2706" i="8"/>
  <c r="H2707" i="8" s="1"/>
  <c r="H2693" i="8"/>
  <c r="H2694" i="8" s="1"/>
  <c r="H2680" i="8"/>
  <c r="H2681" i="8" s="1"/>
  <c r="H2669" i="8"/>
  <c r="H2670" i="8" s="1"/>
  <c r="H2658" i="8"/>
  <c r="H2659" i="8" s="1"/>
  <c r="H2647" i="8"/>
  <c r="H2648" i="8" s="1"/>
  <c r="H2636" i="8"/>
  <c r="H2637" i="8" s="1"/>
  <c r="H2623" i="8"/>
  <c r="H2624" i="8" s="1"/>
  <c r="H2612" i="8"/>
  <c r="H2613" i="8" s="1"/>
  <c r="H2601" i="8"/>
  <c r="H2602" i="8" s="1"/>
  <c r="H2590" i="8"/>
  <c r="H2591" i="8" s="1"/>
  <c r="H2579" i="8"/>
  <c r="H2580" i="8" s="1"/>
  <c r="H2568" i="8"/>
  <c r="H2569" i="8" s="1"/>
  <c r="H2557" i="8"/>
  <c r="H2558" i="8" s="1"/>
  <c r="H2546" i="8"/>
  <c r="H2547" i="8" s="1"/>
  <c r="H2535" i="8"/>
  <c r="H2536" i="8" s="1"/>
  <c r="H2524" i="8"/>
  <c r="H2525" i="8" s="1"/>
  <c r="H2513" i="8"/>
  <c r="H2514" i="8" s="1"/>
  <c r="H2502" i="8"/>
  <c r="H2503" i="8" s="1"/>
  <c r="H2491" i="8"/>
  <c r="H2492" i="8" s="1"/>
  <c r="H2479" i="8"/>
  <c r="H2480" i="8" s="1"/>
  <c r="H2467" i="8"/>
  <c r="H2468" i="8" s="1"/>
  <c r="H37" i="1"/>
  <c r="I37" i="1" s="1"/>
  <c r="J37" i="1" s="1"/>
  <c r="H54" i="25"/>
  <c r="H41" i="1"/>
  <c r="H43" i="1"/>
  <c r="H40" i="1"/>
  <c r="H38" i="1"/>
  <c r="H2446" i="8"/>
  <c r="H2447" i="8" s="1"/>
  <c r="H2433" i="8"/>
  <c r="H2434" i="8" s="1"/>
  <c r="H2422" i="8"/>
  <c r="H2423" i="8" s="1"/>
  <c r="H2411" i="8"/>
  <c r="H2412" i="8" s="1"/>
  <c r="H2389" i="8"/>
  <c r="H2390" i="8" s="1"/>
  <c r="H2400" i="8"/>
  <c r="H2401" i="8" s="1"/>
  <c r="H2378" i="8"/>
  <c r="H2379" i="8" s="1"/>
  <c r="H2339" i="8"/>
  <c r="H2340" i="8" s="1"/>
  <c r="H297" i="8"/>
  <c r="H298" i="8" s="1"/>
  <c r="H275" i="8"/>
  <c r="H276" i="8" s="1"/>
  <c r="H264" i="8"/>
  <c r="H265" i="8" s="1"/>
  <c r="H242" i="8"/>
  <c r="H243" i="8" s="1"/>
  <c r="H231" i="8"/>
  <c r="H232" i="8" s="1"/>
  <c r="H35" i="1"/>
  <c r="H36" i="1"/>
  <c r="H3446" i="8"/>
  <c r="H3447" i="8" s="1"/>
  <c r="H3472" i="8"/>
  <c r="H3473" i="8" s="1"/>
  <c r="H3950" i="8"/>
  <c r="H3951" i="8" s="1"/>
  <c r="H3937" i="8"/>
  <c r="H3938" i="8" s="1"/>
  <c r="H3924" i="8"/>
  <c r="H3925" i="8" s="1"/>
  <c r="H3911" i="8"/>
  <c r="H3912" i="8" s="1"/>
  <c r="H3898" i="8"/>
  <c r="H3899" i="8" s="1"/>
  <c r="H3511" i="8"/>
  <c r="H3512" i="8" s="1"/>
  <c r="H3212" i="8"/>
  <c r="H3213" i="8" s="1"/>
  <c r="H2963" i="8"/>
  <c r="H2964" i="8" s="1"/>
  <c r="H2949" i="8"/>
  <c r="H2950" i="8" s="1"/>
  <c r="H139" i="8"/>
  <c r="H140" i="8" s="1"/>
  <c r="H2031" i="8"/>
  <c r="H2032" i="8" s="1"/>
  <c r="H219" i="8"/>
  <c r="H220" i="8" s="1"/>
  <c r="H207" i="8"/>
  <c r="H208" i="8" s="1"/>
  <c r="H1746" i="8"/>
  <c r="H1747" i="8" s="1"/>
  <c r="H38" i="25"/>
  <c r="I38" i="25" s="1"/>
  <c r="J38" i="25" s="1"/>
  <c r="M38" i="25" s="1"/>
  <c r="H31" i="25"/>
  <c r="H53" i="25"/>
  <c r="I53" i="25" s="1"/>
  <c r="J53" i="25" s="1"/>
  <c r="H158" i="8"/>
  <c r="H159" i="8" s="1"/>
  <c r="H3966" i="8"/>
  <c r="H3967" i="8" s="1"/>
  <c r="H4576" i="8"/>
  <c r="H4577" i="8" s="1"/>
  <c r="H4563" i="8"/>
  <c r="H4564" i="8" s="1"/>
  <c r="H2062" i="8"/>
  <c r="H2063" i="8" s="1"/>
  <c r="H1979" i="8"/>
  <c r="H1980" i="8" s="1"/>
  <c r="H585" i="8"/>
  <c r="K47" i="27"/>
  <c r="J47" i="27"/>
  <c r="E64" i="25" s="1"/>
  <c r="I35" i="25" l="1"/>
  <c r="J35" i="25" s="1"/>
  <c r="Z35" i="25" s="1"/>
  <c r="L42" i="1"/>
  <c r="I42" i="1"/>
  <c r="J42" i="1" s="1"/>
  <c r="I39" i="1"/>
  <c r="J39" i="1" s="1"/>
  <c r="L39" i="1"/>
  <c r="I39" i="25"/>
  <c r="J39" i="25" s="1"/>
  <c r="M39" i="25" s="1"/>
  <c r="L51" i="25"/>
  <c r="I51" i="25"/>
  <c r="J51" i="25" s="1"/>
  <c r="M51" i="25" s="1"/>
  <c r="I50" i="25"/>
  <c r="J50" i="25" s="1"/>
  <c r="M50" i="25" s="1"/>
  <c r="L50" i="25"/>
  <c r="N37" i="1"/>
  <c r="M37" i="1"/>
  <c r="L37" i="1"/>
  <c r="L54" i="25"/>
  <c r="I54" i="25"/>
  <c r="J54" i="25" s="1"/>
  <c r="L38" i="1"/>
  <c r="I38" i="1"/>
  <c r="J38" i="1" s="1"/>
  <c r="I40" i="1"/>
  <c r="J40" i="1" s="1"/>
  <c r="L40" i="1"/>
  <c r="I43" i="1"/>
  <c r="J43" i="1" s="1"/>
  <c r="L43" i="1"/>
  <c r="L41" i="1"/>
  <c r="I41" i="1"/>
  <c r="J41" i="1" s="1"/>
  <c r="I36" i="1"/>
  <c r="J36" i="1" s="1"/>
  <c r="L36" i="1"/>
  <c r="I35" i="1"/>
  <c r="J35" i="1" s="1"/>
  <c r="L35" i="1"/>
  <c r="L53" i="25"/>
  <c r="L31" i="25"/>
  <c r="I31" i="25"/>
  <c r="J31" i="25" s="1"/>
  <c r="M31" i="25" s="1"/>
  <c r="L38" i="25"/>
  <c r="N53" i="25"/>
  <c r="M53" i="25"/>
  <c r="S16" i="55"/>
  <c r="M35" i="25" l="1"/>
  <c r="N39" i="1"/>
  <c r="M39" i="1"/>
  <c r="M42" i="1"/>
  <c r="N42" i="1"/>
  <c r="J44" i="1"/>
  <c r="N43" i="1"/>
  <c r="M43" i="1"/>
  <c r="N41" i="1"/>
  <c r="M41" i="1"/>
  <c r="N38" i="1"/>
  <c r="M38" i="1"/>
  <c r="N36" i="1"/>
  <c r="M36" i="1"/>
  <c r="N35" i="1"/>
  <c r="M35" i="1"/>
  <c r="M40" i="1"/>
  <c r="N40" i="1"/>
  <c r="N54" i="25"/>
  <c r="M54" i="25"/>
  <c r="B124" i="23"/>
  <c r="A124" i="23"/>
  <c r="H746" i="1"/>
  <c r="M44" i="1" l="1"/>
  <c r="N44" i="1"/>
  <c r="H3022" i="8"/>
  <c r="H3126" i="8"/>
  <c r="H790" i="22" l="1"/>
  <c r="C790" i="22"/>
  <c r="H781" i="22"/>
  <c r="C781" i="22"/>
  <c r="K790" i="22" l="1"/>
  <c r="K781" i="22"/>
  <c r="N141" i="29"/>
  <c r="O141" i="29"/>
  <c r="Q141" i="29"/>
  <c r="R141" i="29"/>
  <c r="X141" i="29"/>
  <c r="Y141" i="29"/>
  <c r="Z141" i="29"/>
  <c r="M141" i="29"/>
  <c r="N106" i="29"/>
  <c r="N108" i="29" s="1"/>
  <c r="O106" i="29"/>
  <c r="O108" i="29" s="1"/>
  <c r="P106" i="29"/>
  <c r="P108" i="29" s="1"/>
  <c r="Q106" i="29"/>
  <c r="Q108" i="29" s="1"/>
  <c r="R106" i="29"/>
  <c r="R108" i="29" s="1"/>
  <c r="V106" i="29"/>
  <c r="V108" i="29" s="1"/>
  <c r="W106" i="29"/>
  <c r="W108" i="29" s="1"/>
  <c r="X106" i="29"/>
  <c r="X108" i="29" s="1"/>
  <c r="Y106" i="29"/>
  <c r="Y108" i="29" s="1"/>
  <c r="Z106" i="29"/>
  <c r="Z108" i="29" s="1"/>
  <c r="M106" i="29"/>
  <c r="M108" i="29" s="1"/>
  <c r="N82" i="29"/>
  <c r="O82" i="29"/>
  <c r="P82" i="29"/>
  <c r="S82" i="29"/>
  <c r="T82" i="29"/>
  <c r="U82" i="29"/>
  <c r="V82" i="29"/>
  <c r="W82" i="29"/>
  <c r="X82" i="29"/>
  <c r="Y82" i="29"/>
  <c r="Z82" i="29"/>
  <c r="M82" i="29"/>
  <c r="Q63" i="29"/>
  <c r="R63" i="29"/>
  <c r="S63" i="29"/>
  <c r="T63" i="29"/>
  <c r="U63" i="29"/>
  <c r="V63" i="29"/>
  <c r="W63" i="29"/>
  <c r="X63" i="29"/>
  <c r="Y63" i="29"/>
  <c r="Z63" i="29"/>
  <c r="M63" i="29"/>
  <c r="O35" i="29"/>
  <c r="P35" i="29"/>
  <c r="Q35" i="29"/>
  <c r="R35" i="29"/>
  <c r="S35" i="29"/>
  <c r="T35" i="29"/>
  <c r="U35" i="29"/>
  <c r="V35" i="29"/>
  <c r="W35" i="29"/>
  <c r="X35" i="29"/>
  <c r="Y35" i="29"/>
  <c r="Z35" i="29"/>
  <c r="M35" i="29"/>
  <c r="P31" i="29"/>
  <c r="P37" i="29" s="1"/>
  <c r="Q31" i="29"/>
  <c r="Q37" i="29" s="1"/>
  <c r="R31" i="29"/>
  <c r="R37" i="29" s="1"/>
  <c r="S31" i="29"/>
  <c r="T31" i="29"/>
  <c r="U31" i="29"/>
  <c r="V31" i="29"/>
  <c r="W31" i="29"/>
  <c r="W37" i="29" s="1"/>
  <c r="X31" i="29"/>
  <c r="X37" i="29" s="1"/>
  <c r="Y31" i="29"/>
  <c r="Y37" i="29" s="1"/>
  <c r="Z31" i="29"/>
  <c r="Z37" i="29" s="1"/>
  <c r="O31" i="29"/>
  <c r="O37" i="29" s="1"/>
  <c r="M31" i="29"/>
  <c r="N832" i="1"/>
  <c r="N834" i="1" s="1"/>
  <c r="O832" i="1"/>
  <c r="O834" i="1" s="1"/>
  <c r="P832" i="1"/>
  <c r="P834" i="1" s="1"/>
  <c r="Q832" i="1"/>
  <c r="Q834" i="1" s="1"/>
  <c r="R832" i="1"/>
  <c r="R834" i="1" s="1"/>
  <c r="S832" i="1"/>
  <c r="S834" i="1" s="1"/>
  <c r="V832" i="1"/>
  <c r="V834" i="1" s="1"/>
  <c r="W832" i="1"/>
  <c r="W834" i="1" s="1"/>
  <c r="X832" i="1"/>
  <c r="X834" i="1" s="1"/>
  <c r="Z832" i="1"/>
  <c r="Z834" i="1" s="1"/>
  <c r="M832" i="1"/>
  <c r="M834" i="1" s="1"/>
  <c r="N803" i="1"/>
  <c r="O803" i="1"/>
  <c r="P803" i="1"/>
  <c r="Q803" i="1"/>
  <c r="R803" i="1"/>
  <c r="S803" i="1"/>
  <c r="T803" i="1"/>
  <c r="Z803" i="1"/>
  <c r="M803" i="1"/>
  <c r="N743" i="1"/>
  <c r="O743" i="1"/>
  <c r="P743" i="1"/>
  <c r="Q743" i="1"/>
  <c r="R743" i="1"/>
  <c r="S743" i="1"/>
  <c r="T743" i="1"/>
  <c r="U743" i="1"/>
  <c r="V743" i="1"/>
  <c r="W743" i="1"/>
  <c r="X743" i="1"/>
  <c r="M743" i="1"/>
  <c r="N734" i="1"/>
  <c r="O734" i="1"/>
  <c r="P734" i="1"/>
  <c r="Q734" i="1"/>
  <c r="R734" i="1"/>
  <c r="S734" i="1"/>
  <c r="T734" i="1"/>
  <c r="U734" i="1"/>
  <c r="W734" i="1"/>
  <c r="X734" i="1"/>
  <c r="Y734" i="1"/>
  <c r="Z734" i="1"/>
  <c r="N725" i="1"/>
  <c r="O725" i="1"/>
  <c r="P725" i="1"/>
  <c r="Q725" i="1"/>
  <c r="R725" i="1"/>
  <c r="S725" i="1"/>
  <c r="T725" i="1"/>
  <c r="U725" i="1"/>
  <c r="V725" i="1"/>
  <c r="Z725" i="1"/>
  <c r="N688" i="1"/>
  <c r="O688" i="1"/>
  <c r="P688" i="1"/>
  <c r="Q688" i="1"/>
  <c r="R688" i="1"/>
  <c r="S688" i="1"/>
  <c r="T688" i="1"/>
  <c r="U688" i="1"/>
  <c r="V688" i="1"/>
  <c r="W688" i="1"/>
  <c r="Z688" i="1"/>
  <c r="N669" i="1"/>
  <c r="O669" i="1"/>
  <c r="P669" i="1"/>
  <c r="Q669" i="1"/>
  <c r="R669" i="1"/>
  <c r="S669" i="1"/>
  <c r="T669" i="1"/>
  <c r="U669" i="1"/>
  <c r="V669" i="1"/>
  <c r="Y669" i="1"/>
  <c r="Z669" i="1"/>
  <c r="N655" i="1"/>
  <c r="O655" i="1"/>
  <c r="P655" i="1"/>
  <c r="Q655" i="1"/>
  <c r="R655" i="1"/>
  <c r="S655" i="1"/>
  <c r="Z359" i="1"/>
  <c r="Y359" i="1"/>
  <c r="X359" i="1"/>
  <c r="T359" i="1"/>
  <c r="S359" i="1"/>
  <c r="R359" i="1"/>
  <c r="Q359" i="1"/>
  <c r="O359" i="1"/>
  <c r="N359" i="1"/>
  <c r="M359" i="1"/>
  <c r="Z339" i="1"/>
  <c r="Z430" i="1" s="1"/>
  <c r="Y339" i="1"/>
  <c r="Y430" i="1" s="1"/>
  <c r="X339" i="1"/>
  <c r="R339" i="1"/>
  <c r="R430" i="1" s="1"/>
  <c r="Q339" i="1"/>
  <c r="Q430" i="1" s="1"/>
  <c r="O339" i="1"/>
  <c r="O430" i="1" s="1"/>
  <c r="N339" i="1"/>
  <c r="N430" i="1" s="1"/>
  <c r="M339" i="1"/>
  <c r="M430" i="1" s="1"/>
  <c r="Q229" i="1"/>
  <c r="Q248" i="1" s="1"/>
  <c r="P229" i="1"/>
  <c r="P248" i="1" s="1"/>
  <c r="O229" i="1"/>
  <c r="O248" i="1" s="1"/>
  <c r="N229" i="1"/>
  <c r="N248" i="1" s="1"/>
  <c r="M229" i="1"/>
  <c r="M248" i="1" s="1"/>
  <c r="Z100" i="1"/>
  <c r="Y100" i="1"/>
  <c r="X100" i="1"/>
  <c r="W100" i="1"/>
  <c r="V100" i="1"/>
  <c r="U100" i="1"/>
  <c r="S100" i="1"/>
  <c r="P100" i="1"/>
  <c r="O100" i="1"/>
  <c r="N100" i="1"/>
  <c r="M100" i="1"/>
  <c r="Z83" i="1"/>
  <c r="Y83" i="1"/>
  <c r="X83" i="1"/>
  <c r="W83" i="1"/>
  <c r="V83" i="1"/>
  <c r="U83" i="1"/>
  <c r="T83" i="1"/>
  <c r="S83" i="1"/>
  <c r="R83" i="1"/>
  <c r="M83" i="1"/>
  <c r="O48" i="1"/>
  <c r="O50" i="1" s="1"/>
  <c r="P48" i="1"/>
  <c r="P50" i="1" s="1"/>
  <c r="Q48" i="1"/>
  <c r="Q50" i="1" s="1"/>
  <c r="R48" i="1"/>
  <c r="R50" i="1" s="1"/>
  <c r="S48" i="1"/>
  <c r="S50" i="1" s="1"/>
  <c r="T48" i="1"/>
  <c r="T50" i="1" s="1"/>
  <c r="U48" i="1"/>
  <c r="U50" i="1" s="1"/>
  <c r="V48" i="1"/>
  <c r="V50" i="1" s="1"/>
  <c r="W48" i="1"/>
  <c r="W50" i="1" s="1"/>
  <c r="X48" i="1"/>
  <c r="X50" i="1" s="1"/>
  <c r="Y48" i="1"/>
  <c r="Y50" i="1" s="1"/>
  <c r="Z48" i="1"/>
  <c r="Z50" i="1" s="1"/>
  <c r="M48" i="1"/>
  <c r="M50" i="1" s="1"/>
  <c r="Q27" i="1"/>
  <c r="S27" i="1"/>
  <c r="U27" i="1"/>
  <c r="V27" i="1"/>
  <c r="W27" i="1"/>
  <c r="X27" i="1"/>
  <c r="Y27" i="1"/>
  <c r="Z27" i="1"/>
  <c r="M27" i="1"/>
  <c r="N22" i="1"/>
  <c r="O22" i="1"/>
  <c r="P22" i="1"/>
  <c r="Q22" i="1"/>
  <c r="R22" i="1"/>
  <c r="S22" i="1"/>
  <c r="T22" i="1"/>
  <c r="U22" i="1"/>
  <c r="V22" i="1"/>
  <c r="W22" i="1"/>
  <c r="X22" i="1"/>
  <c r="Y22" i="1"/>
  <c r="Z22" i="1"/>
  <c r="R105" i="25"/>
  <c r="Q105" i="25"/>
  <c r="P105" i="25"/>
  <c r="O105" i="25"/>
  <c r="M105" i="25"/>
  <c r="N85" i="25"/>
  <c r="O85" i="25"/>
  <c r="P85" i="25"/>
  <c r="Q85" i="25"/>
  <c r="R85" i="25"/>
  <c r="S85" i="25"/>
  <c r="T85" i="25"/>
  <c r="U85" i="25"/>
  <c r="V85" i="25"/>
  <c r="W85" i="25"/>
  <c r="X85" i="25"/>
  <c r="Y85" i="25"/>
  <c r="M85" i="25"/>
  <c r="N69" i="25"/>
  <c r="O69" i="25"/>
  <c r="P69" i="25"/>
  <c r="Q69" i="25"/>
  <c r="R69" i="25"/>
  <c r="S69" i="25"/>
  <c r="T69" i="25"/>
  <c r="U69" i="25"/>
  <c r="V69" i="25"/>
  <c r="W69" i="25"/>
  <c r="X69" i="25"/>
  <c r="Y69" i="25"/>
  <c r="M69" i="25"/>
  <c r="N65" i="25"/>
  <c r="O65" i="25"/>
  <c r="P65" i="25"/>
  <c r="Q65" i="25"/>
  <c r="R65" i="25"/>
  <c r="S65" i="25"/>
  <c r="T65" i="25"/>
  <c r="U65" i="25"/>
  <c r="V65" i="25"/>
  <c r="W65" i="25"/>
  <c r="X65" i="25"/>
  <c r="Y65" i="25"/>
  <c r="M65" i="25"/>
  <c r="O57" i="25"/>
  <c r="P57" i="25"/>
  <c r="Q57" i="25"/>
  <c r="R57" i="25"/>
  <c r="S57" i="25"/>
  <c r="T57" i="25"/>
  <c r="U57" i="25"/>
  <c r="V57" i="25"/>
  <c r="W57" i="25"/>
  <c r="X57" i="25"/>
  <c r="Y57" i="25"/>
  <c r="Z57" i="25"/>
  <c r="Z45" i="25"/>
  <c r="Y45" i="25"/>
  <c r="X45" i="25"/>
  <c r="W45" i="25"/>
  <c r="V45" i="25"/>
  <c r="U45" i="25"/>
  <c r="T45" i="25"/>
  <c r="S45" i="25"/>
  <c r="R45" i="25"/>
  <c r="Q45" i="25"/>
  <c r="P45" i="25"/>
  <c r="O45" i="25"/>
  <c r="N45" i="25"/>
  <c r="H1916" i="8"/>
  <c r="X430" i="1" l="1"/>
  <c r="V37" i="29"/>
  <c r="X84" i="29"/>
  <c r="Y84" i="29"/>
  <c r="V84" i="29"/>
  <c r="W59" i="25"/>
  <c r="W29" i="1"/>
  <c r="S805" i="1"/>
  <c r="O805" i="1"/>
  <c r="T59" i="25"/>
  <c r="R87" i="25"/>
  <c r="U84" i="29"/>
  <c r="T84" i="29"/>
  <c r="U37" i="29"/>
  <c r="M84" i="29"/>
  <c r="S84" i="29"/>
  <c r="T37" i="29"/>
  <c r="Z84" i="29"/>
  <c r="M37" i="29"/>
  <c r="S37" i="29"/>
  <c r="W84" i="29"/>
  <c r="X59" i="25"/>
  <c r="V87" i="25"/>
  <c r="N87" i="25"/>
  <c r="U87" i="25"/>
  <c r="T805" i="1"/>
  <c r="U115" i="1"/>
  <c r="Q736" i="1"/>
  <c r="M115" i="1"/>
  <c r="X115" i="1"/>
  <c r="P805" i="1"/>
  <c r="V115" i="1"/>
  <c r="V29" i="1"/>
  <c r="U29" i="1"/>
  <c r="N805" i="1"/>
  <c r="Z115" i="1"/>
  <c r="Z29" i="1"/>
  <c r="Y29" i="1"/>
  <c r="M805" i="1"/>
  <c r="S29" i="1"/>
  <c r="Q29" i="1"/>
  <c r="X29" i="1"/>
  <c r="O736" i="1"/>
  <c r="Y115" i="1"/>
  <c r="S736" i="1"/>
  <c r="N736" i="1"/>
  <c r="Q805" i="1"/>
  <c r="R736" i="1"/>
  <c r="P736" i="1"/>
  <c r="R805" i="1"/>
  <c r="M87" i="25"/>
  <c r="S59" i="25"/>
  <c r="X87" i="25"/>
  <c r="P87" i="25"/>
  <c r="W87" i="25"/>
  <c r="O87" i="25"/>
  <c r="P59" i="25"/>
  <c r="Y87" i="25"/>
  <c r="Q87" i="25"/>
  <c r="O59" i="25"/>
  <c r="T87" i="25"/>
  <c r="S87" i="25"/>
  <c r="V59" i="25"/>
  <c r="U59" i="25"/>
  <c r="Z59" i="25"/>
  <c r="R59" i="25"/>
  <c r="Y59" i="25"/>
  <c r="Q59" i="25"/>
  <c r="B2343" i="8"/>
  <c r="C2343" i="8"/>
  <c r="E2343" i="8"/>
  <c r="A2343" i="8"/>
  <c r="H2323" i="8"/>
  <c r="H2319" i="8"/>
  <c r="H2321" i="8" s="1"/>
  <c r="B2305" i="8"/>
  <c r="C2305" i="8"/>
  <c r="E2305" i="8"/>
  <c r="H2312" i="8" s="1"/>
  <c r="A2305" i="8"/>
  <c r="H2306" i="8"/>
  <c r="H2345" i="8" l="1"/>
  <c r="H2310" i="8"/>
  <c r="H2308" i="8"/>
  <c r="H2307" i="8"/>
  <c r="H2309" i="8" l="1"/>
  <c r="H2311" i="8" s="1"/>
  <c r="H2322" i="8"/>
  <c r="H2325" i="8" s="1"/>
  <c r="H2326" i="8" s="1"/>
  <c r="F62" i="23"/>
  <c r="H2812" i="8" s="1"/>
  <c r="H2814" i="8" s="1"/>
  <c r="H2815" i="8" s="1"/>
  <c r="C234" i="23"/>
  <c r="A234" i="23"/>
  <c r="D234" i="23"/>
  <c r="E84" i="25"/>
  <c r="E21" i="1"/>
  <c r="H2817" i="8" l="1"/>
  <c r="H2811" i="8" s="1"/>
  <c r="H2818" i="8"/>
  <c r="H2819" i="8" s="1"/>
  <c r="K442" i="1"/>
  <c r="H442" i="1"/>
  <c r="H2324" i="8"/>
  <c r="H2318" i="8" s="1"/>
  <c r="H2314" i="8"/>
  <c r="H2315" i="8" s="1"/>
  <c r="H2313" i="8"/>
  <c r="H2305" i="8" s="1"/>
  <c r="B25" i="30"/>
  <c r="F162" i="23"/>
  <c r="H4441" i="8"/>
  <c r="H4369" i="8"/>
  <c r="H4162" i="8"/>
  <c r="K493" i="1" l="1"/>
  <c r="H493" i="1"/>
  <c r="H437" i="1"/>
  <c r="I437" i="1" s="1"/>
  <c r="J437" i="1" s="1"/>
  <c r="K437" i="1"/>
  <c r="I442" i="1"/>
  <c r="J442" i="1" s="1"/>
  <c r="Z442" i="1" s="1"/>
  <c r="L442" i="1"/>
  <c r="H584" i="1"/>
  <c r="H1473" i="8"/>
  <c r="H121" i="29"/>
  <c r="B4086" i="8"/>
  <c r="C4086" i="8"/>
  <c r="H1252" i="8"/>
  <c r="E1203" i="8"/>
  <c r="B1202" i="8"/>
  <c r="C1202" i="8"/>
  <c r="A1202" i="8"/>
  <c r="L493" i="1" l="1"/>
  <c r="I493" i="1"/>
  <c r="J493" i="1" s="1"/>
  <c r="L437" i="1"/>
  <c r="Y437" i="1"/>
  <c r="Z437" i="1"/>
  <c r="T437" i="1"/>
  <c r="W437" i="1"/>
  <c r="V437" i="1"/>
  <c r="X437" i="1"/>
  <c r="V442" i="1"/>
  <c r="Y442" i="1"/>
  <c r="H436" i="1"/>
  <c r="L436" i="1" s="1"/>
  <c r="K436" i="1"/>
  <c r="W442" i="1"/>
  <c r="T442" i="1"/>
  <c r="I584" i="1"/>
  <c r="J584" i="1" s="1"/>
  <c r="X584" i="1" s="1"/>
  <c r="L584" i="1"/>
  <c r="X442" i="1"/>
  <c r="H1204" i="8"/>
  <c r="H4088" i="8"/>
  <c r="H4089" i="8" s="1"/>
  <c r="H1203" i="8"/>
  <c r="H1205" i="8" s="1"/>
  <c r="H1129" i="8"/>
  <c r="H1131" i="8"/>
  <c r="H1128" i="8"/>
  <c r="H1130" i="8"/>
  <c r="H1132" i="8"/>
  <c r="H1133" i="8"/>
  <c r="Z493" i="1" l="1"/>
  <c r="X493" i="1"/>
  <c r="V493" i="1"/>
  <c r="Y493" i="1"/>
  <c r="W493" i="1"/>
  <c r="T493" i="1"/>
  <c r="I436" i="1"/>
  <c r="J436" i="1" s="1"/>
  <c r="Z584" i="1"/>
  <c r="W584" i="1"/>
  <c r="Y584" i="1"/>
  <c r="V584" i="1"/>
  <c r="T584" i="1"/>
  <c r="H1206" i="8"/>
  <c r="H1134" i="8"/>
  <c r="H1040" i="8"/>
  <c r="T436" i="1" l="1"/>
  <c r="W436" i="1"/>
  <c r="Y436" i="1"/>
  <c r="Z436" i="1"/>
  <c r="V436" i="1"/>
  <c r="X436" i="1"/>
  <c r="H1209" i="8"/>
  <c r="H1210" i="8" s="1"/>
  <c r="H1138" i="8"/>
  <c r="H1135" i="8"/>
  <c r="H1136" i="8"/>
  <c r="H1137" i="8" l="1"/>
  <c r="H1139" i="8" s="1"/>
  <c r="H1142" i="8" l="1"/>
  <c r="H1143" i="8" s="1"/>
  <c r="K20" i="27"/>
  <c r="G20" i="27"/>
  <c r="J20" i="27" s="1"/>
  <c r="G19" i="27"/>
  <c r="G18" i="27"/>
  <c r="G17" i="27"/>
  <c r="J17" i="27" s="1"/>
  <c r="I28" i="22"/>
  <c r="I29" i="22" s="1"/>
  <c r="E47" i="1" s="1"/>
  <c r="H56" i="8"/>
  <c r="B54" i="8"/>
  <c r="C54" i="8"/>
  <c r="A54" i="8"/>
  <c r="H55" i="8"/>
  <c r="H57" i="8" s="1"/>
  <c r="H45" i="8"/>
  <c r="B43" i="8"/>
  <c r="C43" i="8"/>
  <c r="A43" i="8"/>
  <c r="K92" i="25" l="1"/>
  <c r="H92" i="25"/>
  <c r="H58" i="8"/>
  <c r="H61" i="8" s="1"/>
  <c r="H62" i="8" s="1"/>
  <c r="H44" i="8"/>
  <c r="H46" i="8" s="1"/>
  <c r="H47" i="8" s="1"/>
  <c r="H33" i="8"/>
  <c r="I92" i="25" l="1"/>
  <c r="J92" i="25" s="1"/>
  <c r="L92" i="25"/>
  <c r="H50" i="8"/>
  <c r="H51" i="8" s="1"/>
  <c r="E482" i="8"/>
  <c r="B476" i="8"/>
  <c r="C476" i="8"/>
  <c r="A476" i="8"/>
  <c r="H501" i="8"/>
  <c r="H500" i="8"/>
  <c r="H499" i="8"/>
  <c r="E439" i="8"/>
  <c r="H458" i="8"/>
  <c r="H457" i="8"/>
  <c r="H456" i="8"/>
  <c r="B433" i="8"/>
  <c r="C433" i="8"/>
  <c r="A433" i="8"/>
  <c r="H541" i="8" l="1"/>
  <c r="F22" i="23"/>
  <c r="E540" i="8"/>
  <c r="B14" i="23"/>
  <c r="A14" i="23"/>
  <c r="E539" i="8"/>
  <c r="H544" i="8" s="1"/>
  <c r="B599" i="8"/>
  <c r="C599" i="8"/>
  <c r="E599" i="8"/>
  <c r="H606" i="8" s="1"/>
  <c r="A599" i="8"/>
  <c r="H584" i="8"/>
  <c r="H583" i="8"/>
  <c r="E582" i="8"/>
  <c r="H582" i="8" s="1"/>
  <c r="B550" i="8"/>
  <c r="C550" i="8"/>
  <c r="E550" i="8"/>
  <c r="H558" i="8" s="1"/>
  <c r="A550" i="8"/>
  <c r="B581" i="8"/>
  <c r="C581" i="8"/>
  <c r="E581" i="8"/>
  <c r="H593" i="8" s="1"/>
  <c r="A581" i="8"/>
  <c r="B539" i="8"/>
  <c r="A539" i="8"/>
  <c r="H22" i="29" l="1"/>
  <c r="H540" i="8"/>
  <c r="H542" i="8" s="1"/>
  <c r="H543" i="8" s="1"/>
  <c r="B10" i="55"/>
  <c r="B9" i="55"/>
  <c r="B8" i="55"/>
  <c r="H498" i="8" l="1"/>
  <c r="H462" i="8"/>
  <c r="H437" i="8"/>
  <c r="H477" i="8"/>
  <c r="H489" i="8"/>
  <c r="H439" i="8"/>
  <c r="H482" i="8"/>
  <c r="H479" i="8"/>
  <c r="H478" i="8"/>
  <c r="H496" i="8"/>
  <c r="H451" i="8"/>
  <c r="H551" i="8"/>
  <c r="H589" i="8"/>
  <c r="H554" i="8"/>
  <c r="H480" i="8"/>
  <c r="H588" i="8"/>
  <c r="H590" i="8" s="1"/>
  <c r="H459" i="8"/>
  <c r="H444" i="8"/>
  <c r="H486" i="8"/>
  <c r="H481" i="8"/>
  <c r="H488" i="8"/>
  <c r="H464" i="8"/>
  <c r="H453" i="8"/>
  <c r="H494" i="8"/>
  <c r="H553" i="8"/>
  <c r="H493" i="8"/>
  <c r="H435" i="8"/>
  <c r="H591" i="8"/>
  <c r="H441" i="8"/>
  <c r="H503" i="8"/>
  <c r="H466" i="8"/>
  <c r="H552" i="8"/>
  <c r="H504" i="8"/>
  <c r="H507" i="8"/>
  <c r="H443" i="8"/>
  <c r="H509" i="8"/>
  <c r="H445" i="8"/>
  <c r="H442" i="8"/>
  <c r="H602" i="8"/>
  <c r="H465" i="8"/>
  <c r="H454" i="8"/>
  <c r="H447" i="8"/>
  <c r="H461" i="8"/>
  <c r="H434" i="8"/>
  <c r="H467" i="8" s="1"/>
  <c r="H436" i="8"/>
  <c r="H460" i="8"/>
  <c r="H438" i="8"/>
  <c r="H491" i="8"/>
  <c r="H497" i="8"/>
  <c r="H601" i="8"/>
  <c r="H506" i="8"/>
  <c r="H448" i="8"/>
  <c r="H484" i="8"/>
  <c r="H485" i="8"/>
  <c r="H490" i="8"/>
  <c r="H483" i="8"/>
  <c r="H487" i="8"/>
  <c r="H502" i="8"/>
  <c r="H492" i="8"/>
  <c r="H450" i="8"/>
  <c r="H449" i="8"/>
  <c r="H505" i="8"/>
  <c r="H463" i="8"/>
  <c r="H508" i="8"/>
  <c r="H495" i="8"/>
  <c r="H600" i="8"/>
  <c r="H604" i="8" s="1"/>
  <c r="H440" i="8"/>
  <c r="H446" i="8"/>
  <c r="H468" i="8" s="1"/>
  <c r="H455" i="8"/>
  <c r="H452" i="8"/>
  <c r="H556" i="8"/>
  <c r="I22" i="29"/>
  <c r="H21" i="29"/>
  <c r="H603" i="8"/>
  <c r="H605" i="8" s="1"/>
  <c r="H608" i="8" s="1"/>
  <c r="H609" i="8" s="1"/>
  <c r="H545" i="8"/>
  <c r="H539" i="8" s="1"/>
  <c r="H546" i="8"/>
  <c r="H547" i="8" s="1"/>
  <c r="K105" i="1"/>
  <c r="H592" i="8" l="1"/>
  <c r="H511" i="8"/>
  <c r="H555" i="8"/>
  <c r="H557" i="8" s="1"/>
  <c r="H560" i="8" s="1"/>
  <c r="H561" i="8" s="1"/>
  <c r="H510" i="8"/>
  <c r="H469" i="8"/>
  <c r="H472" i="8" s="1"/>
  <c r="H473" i="8" s="1"/>
  <c r="I21" i="29"/>
  <c r="H594" i="8"/>
  <c r="H581" i="8" s="1"/>
  <c r="H595" i="8"/>
  <c r="H596" i="8" s="1"/>
  <c r="H105" i="1"/>
  <c r="L105" i="1" s="1"/>
  <c r="H607" i="8"/>
  <c r="K104" i="1"/>
  <c r="H104" i="1"/>
  <c r="B11" i="20"/>
  <c r="B10" i="20"/>
  <c r="B9" i="20"/>
  <c r="B11" i="30"/>
  <c r="B10" i="30"/>
  <c r="B9" i="30"/>
  <c r="B11" i="22"/>
  <c r="B10" i="22"/>
  <c r="B9" i="22"/>
  <c r="B11" i="27"/>
  <c r="B10" i="27"/>
  <c r="B9" i="27"/>
  <c r="B11" i="17"/>
  <c r="B10" i="17"/>
  <c r="B9" i="17"/>
  <c r="B11" i="16"/>
  <c r="B10" i="16"/>
  <c r="B9" i="16"/>
  <c r="B10" i="23"/>
  <c r="B9" i="23"/>
  <c r="B8" i="23"/>
  <c r="B12" i="29"/>
  <c r="B11" i="29"/>
  <c r="B10" i="29"/>
  <c r="B9" i="29"/>
  <c r="H512" i="8" l="1"/>
  <c r="H109" i="1"/>
  <c r="H110" i="1"/>
  <c r="H559" i="8"/>
  <c r="H550" i="8" s="1"/>
  <c r="I105" i="1"/>
  <c r="J105" i="1" s="1"/>
  <c r="H599" i="8"/>
  <c r="L104" i="1"/>
  <c r="I104" i="1"/>
  <c r="J104" i="1" s="1"/>
  <c r="H515" i="8" l="1"/>
  <c r="H516" i="8" s="1"/>
  <c r="K109" i="1"/>
  <c r="K110" i="1"/>
  <c r="H106" i="1"/>
  <c r="L106" i="1" s="1"/>
  <c r="S104" i="1"/>
  <c r="T104" i="1"/>
  <c r="T105" i="1"/>
  <c r="S105" i="1"/>
  <c r="I110" i="1"/>
  <c r="J110" i="1" s="1"/>
  <c r="L110" i="1"/>
  <c r="L109" i="1"/>
  <c r="I109" i="1"/>
  <c r="J109" i="1" s="1"/>
  <c r="I106" i="1" l="1"/>
  <c r="J106" i="1" s="1"/>
  <c r="K106" i="1"/>
  <c r="S110" i="1"/>
  <c r="T110" i="1"/>
  <c r="T109" i="1"/>
  <c r="S109" i="1"/>
  <c r="P16" i="48"/>
  <c r="T106" i="1" l="1"/>
  <c r="T113" i="1" s="1"/>
  <c r="S106" i="1"/>
  <c r="E103" i="25"/>
  <c r="S113" i="1" l="1"/>
  <c r="S115" i="1" s="1"/>
  <c r="K252" i="22"/>
  <c r="G252" i="22"/>
  <c r="J252" i="22" s="1"/>
  <c r="E96" i="25" l="1"/>
  <c r="B3604" i="8" l="1"/>
  <c r="C3604" i="8"/>
  <c r="E3604" i="8"/>
  <c r="H3611" i="8" s="1"/>
  <c r="A3604" i="8"/>
  <c r="E846" i="8"/>
  <c r="E850" i="8"/>
  <c r="E849" i="8"/>
  <c r="E848" i="8"/>
  <c r="E847" i="8"/>
  <c r="E845" i="8"/>
  <c r="H845" i="8" s="1"/>
  <c r="B844" i="8"/>
  <c r="C844" i="8"/>
  <c r="E844" i="8"/>
  <c r="H854" i="8" s="1"/>
  <c r="A844" i="8"/>
  <c r="E79" i="1"/>
  <c r="E78" i="1"/>
  <c r="E77" i="1"/>
  <c r="E76" i="1"/>
  <c r="E75" i="1"/>
  <c r="E74" i="1"/>
  <c r="E73" i="1"/>
  <c r="E72" i="1"/>
  <c r="E356" i="8" s="1"/>
  <c r="H365" i="8" s="1"/>
  <c r="B356" i="8"/>
  <c r="C356" i="8"/>
  <c r="A356" i="8"/>
  <c r="B1261" i="8"/>
  <c r="C1261" i="8"/>
  <c r="A1261" i="8"/>
  <c r="B564" i="8"/>
  <c r="C564" i="8"/>
  <c r="A564" i="8"/>
  <c r="E564" i="8"/>
  <c r="H574" i="8" s="1"/>
  <c r="H3605" i="8" l="1"/>
  <c r="H3606" i="8"/>
  <c r="H3607" i="8"/>
  <c r="H847" i="8"/>
  <c r="H849" i="8"/>
  <c r="H846" i="8"/>
  <c r="H848" i="8"/>
  <c r="H850" i="8"/>
  <c r="H358" i="8"/>
  <c r="H360" i="8"/>
  <c r="H359" i="8"/>
  <c r="H361" i="8"/>
  <c r="H1263" i="8"/>
  <c r="H1262" i="8"/>
  <c r="H1264" i="8"/>
  <c r="H569" i="8"/>
  <c r="H570" i="8"/>
  <c r="H565" i="8"/>
  <c r="H567" i="8"/>
  <c r="H566" i="8"/>
  <c r="H568" i="8"/>
  <c r="B4743" i="8"/>
  <c r="C4743" i="8"/>
  <c r="E4743" i="8"/>
  <c r="H4748" i="8" s="1"/>
  <c r="A4743" i="8"/>
  <c r="K121" i="22"/>
  <c r="B121" i="22"/>
  <c r="A121" i="22"/>
  <c r="I144" i="22"/>
  <c r="K143" i="22"/>
  <c r="F143" i="22"/>
  <c r="G143" i="22" s="1"/>
  <c r="D143" i="22"/>
  <c r="K142" i="22"/>
  <c r="F142" i="22"/>
  <c r="G142" i="22" s="1"/>
  <c r="D142" i="22"/>
  <c r="K141" i="22"/>
  <c r="F141" i="22"/>
  <c r="G141" i="22" s="1"/>
  <c r="D141" i="22"/>
  <c r="K140" i="22"/>
  <c r="F140" i="22"/>
  <c r="G140" i="22" s="1"/>
  <c r="D140" i="22"/>
  <c r="K139" i="22"/>
  <c r="F139" i="22"/>
  <c r="G139" i="22" s="1"/>
  <c r="D139" i="22"/>
  <c r="K138" i="22"/>
  <c r="F138" i="22"/>
  <c r="G138" i="22" s="1"/>
  <c r="D138" i="22"/>
  <c r="K137" i="22"/>
  <c r="F137" i="22"/>
  <c r="G137" i="22" s="1"/>
  <c r="D137" i="22"/>
  <c r="K136" i="22"/>
  <c r="F136" i="22"/>
  <c r="G136" i="22" s="1"/>
  <c r="D136" i="22"/>
  <c r="K135" i="22"/>
  <c r="F135" i="22"/>
  <c r="G135" i="22" s="1"/>
  <c r="D135" i="22"/>
  <c r="K134" i="22"/>
  <c r="F134" i="22"/>
  <c r="G134" i="22" s="1"/>
  <c r="D134" i="22"/>
  <c r="K133" i="22"/>
  <c r="F133" i="22"/>
  <c r="G133" i="22" s="1"/>
  <c r="D133" i="22"/>
  <c r="K132" i="22"/>
  <c r="F132" i="22"/>
  <c r="G132" i="22" s="1"/>
  <c r="D132" i="22"/>
  <c r="K131" i="22"/>
  <c r="F131" i="22"/>
  <c r="G131" i="22" s="1"/>
  <c r="D131" i="22"/>
  <c r="K130" i="22"/>
  <c r="F130" i="22"/>
  <c r="G130" i="22" s="1"/>
  <c r="D130" i="22"/>
  <c r="K129" i="22"/>
  <c r="F129" i="22"/>
  <c r="G129" i="22" s="1"/>
  <c r="D129" i="22"/>
  <c r="K128" i="22"/>
  <c r="F128" i="22"/>
  <c r="K127" i="22"/>
  <c r="F127" i="22"/>
  <c r="K126" i="22"/>
  <c r="F126" i="22"/>
  <c r="G126" i="22" s="1"/>
  <c r="J126" i="22" s="1"/>
  <c r="K125" i="22"/>
  <c r="F125" i="22"/>
  <c r="G125" i="22" s="1"/>
  <c r="J125" i="22" s="1"/>
  <c r="H362" i="8" l="1"/>
  <c r="H3609" i="8"/>
  <c r="H571" i="8"/>
  <c r="H1265" i="8"/>
  <c r="H3608" i="8"/>
  <c r="H1266" i="8"/>
  <c r="H851" i="8"/>
  <c r="H852" i="8"/>
  <c r="H572" i="8"/>
  <c r="J129" i="22"/>
  <c r="G127" i="22"/>
  <c r="J127" i="22" s="1"/>
  <c r="G128" i="22"/>
  <c r="J128" i="22" s="1"/>
  <c r="J131" i="22"/>
  <c r="J143" i="22"/>
  <c r="J132" i="22"/>
  <c r="J133" i="22"/>
  <c r="J141" i="22"/>
  <c r="J139" i="22"/>
  <c r="H363" i="8"/>
  <c r="J137" i="22"/>
  <c r="J140" i="22"/>
  <c r="J130" i="22"/>
  <c r="J138" i="22"/>
  <c r="J134" i="22"/>
  <c r="J142" i="22"/>
  <c r="H4744" i="8"/>
  <c r="H4745" i="8" s="1"/>
  <c r="J136" i="22"/>
  <c r="J135" i="22"/>
  <c r="E71" i="1"/>
  <c r="H3610" i="8" l="1"/>
  <c r="H3613" i="8" s="1"/>
  <c r="H3614" i="8" s="1"/>
  <c r="H4746" i="8"/>
  <c r="H4747" i="8" s="1"/>
  <c r="H4749" i="8" s="1"/>
  <c r="H364" i="8"/>
  <c r="H1267" i="8"/>
  <c r="H573" i="8"/>
  <c r="H853" i="8"/>
  <c r="J144" i="22"/>
  <c r="J145" i="22" s="1"/>
  <c r="E94" i="1" s="1"/>
  <c r="H94" i="1"/>
  <c r="K94" i="1" l="1"/>
  <c r="E419" i="8"/>
  <c r="H427" i="8" s="1"/>
  <c r="H428" i="8" s="1"/>
  <c r="H419" i="8" s="1"/>
  <c r="H3612" i="8"/>
  <c r="H3604" i="8" s="1"/>
  <c r="H4750" i="8"/>
  <c r="H4751" i="8" s="1"/>
  <c r="H855" i="8"/>
  <c r="H844" i="8" s="1"/>
  <c r="H856" i="8"/>
  <c r="H857" i="8" s="1"/>
  <c r="H576" i="8"/>
  <c r="H577" i="8" s="1"/>
  <c r="H1270" i="8"/>
  <c r="H1271" i="8" s="1"/>
  <c r="H367" i="8"/>
  <c r="H368" i="8" s="1"/>
  <c r="H4743" i="8"/>
  <c r="H366" i="8"/>
  <c r="H575" i="8"/>
  <c r="L94" i="1"/>
  <c r="I94" i="1"/>
  <c r="J94" i="1" s="1"/>
  <c r="T94" i="1" s="1"/>
  <c r="K107" i="1" l="1"/>
  <c r="H613" i="1"/>
  <c r="I613" i="1" s="1"/>
  <c r="J613" i="1" s="1"/>
  <c r="T613" i="1" s="1"/>
  <c r="H72" i="1"/>
  <c r="I72" i="1" s="1"/>
  <c r="J72" i="1" s="1"/>
  <c r="P72" i="1" s="1"/>
  <c r="H84" i="25"/>
  <c r="I84" i="25" s="1"/>
  <c r="J84" i="25" s="1"/>
  <c r="Z84" i="25" s="1"/>
  <c r="H564" i="8"/>
  <c r="H356" i="8"/>
  <c r="H211" i="1"/>
  <c r="K613" i="1" l="1"/>
  <c r="W613" i="1"/>
  <c r="Y613" i="1"/>
  <c r="Z613" i="1"/>
  <c r="V613" i="1"/>
  <c r="X613" i="1"/>
  <c r="L613" i="1"/>
  <c r="H107" i="1"/>
  <c r="L107" i="1" s="1"/>
  <c r="K72" i="1"/>
  <c r="L72" i="1"/>
  <c r="O72" i="1"/>
  <c r="I211" i="1"/>
  <c r="H144" i="1"/>
  <c r="K144" i="1"/>
  <c r="K84" i="25"/>
  <c r="E356" i="1"/>
  <c r="I107" i="1" l="1"/>
  <c r="J107" i="1" s="1"/>
  <c r="J113" i="1" s="1"/>
  <c r="L144" i="1"/>
  <c r="I144" i="1"/>
  <c r="J144" i="1" s="1"/>
  <c r="L84" i="25"/>
  <c r="W107" i="1" l="1"/>
  <c r="W113" i="1" s="1"/>
  <c r="W115" i="1" s="1"/>
  <c r="W144" i="1"/>
  <c r="X144" i="1"/>
  <c r="V144" i="1"/>
  <c r="E95" i="25"/>
  <c r="I54" i="27"/>
  <c r="I53" i="27"/>
  <c r="K49" i="27"/>
  <c r="B49" i="27"/>
  <c r="A49" i="27"/>
  <c r="I55" i="27" l="1"/>
  <c r="E98" i="25" s="1"/>
  <c r="H1479" i="8"/>
  <c r="K29" i="27"/>
  <c r="J29" i="27"/>
  <c r="K28" i="27"/>
  <c r="J28" i="27"/>
  <c r="K27" i="27"/>
  <c r="J27" i="27"/>
  <c r="H1477" i="8" l="1"/>
  <c r="J30" i="27"/>
  <c r="H1474" i="8"/>
  <c r="H1475" i="8"/>
  <c r="H1476" i="8" l="1"/>
  <c r="H1478" i="8" s="1"/>
  <c r="H1481" i="8" l="1"/>
  <c r="H1482" i="8" s="1"/>
  <c r="H1480" i="8"/>
  <c r="H240" i="1" l="1"/>
  <c r="H1472" i="8"/>
  <c r="K240" i="1" l="1"/>
  <c r="I240" i="1"/>
  <c r="J240" i="1" s="1"/>
  <c r="L240" i="1"/>
  <c r="H4087" i="8"/>
  <c r="E4086" i="8"/>
  <c r="H4092" i="8" s="1"/>
  <c r="A4086" i="8"/>
  <c r="B3580" i="8"/>
  <c r="C3580" i="8"/>
  <c r="E3580" i="8"/>
  <c r="A3580" i="8"/>
  <c r="B3592" i="8"/>
  <c r="C3592" i="8"/>
  <c r="E3592" i="8"/>
  <c r="A3592" i="8"/>
  <c r="J241" i="1" l="1"/>
  <c r="Z240" i="1"/>
  <c r="Z241" i="1" s="1"/>
  <c r="Y240" i="1"/>
  <c r="Y241" i="1" s="1"/>
  <c r="H4090" i="8"/>
  <c r="H4091" i="8" s="1"/>
  <c r="H4094" i="8" l="1"/>
  <c r="H4095" i="8" s="1"/>
  <c r="H4093" i="8"/>
  <c r="B4541" i="8"/>
  <c r="C4541" i="8"/>
  <c r="E4541" i="8"/>
  <c r="H4548" i="8" s="1"/>
  <c r="A4541" i="8"/>
  <c r="B4528" i="8"/>
  <c r="C4528" i="8"/>
  <c r="E4528" i="8"/>
  <c r="H4535" i="8" s="1"/>
  <c r="A4528" i="8"/>
  <c r="B4515" i="8"/>
  <c r="C4515" i="8"/>
  <c r="E4515" i="8"/>
  <c r="H4522" i="8" s="1"/>
  <c r="A4515" i="8"/>
  <c r="B4315" i="8"/>
  <c r="C4315" i="8"/>
  <c r="E4315" i="8"/>
  <c r="H4322" i="8" s="1"/>
  <c r="A4315" i="8"/>
  <c r="B4302" i="8"/>
  <c r="C4302" i="8"/>
  <c r="E4302" i="8"/>
  <c r="H4309" i="8" s="1"/>
  <c r="A4302" i="8"/>
  <c r="B4289" i="8"/>
  <c r="C4289" i="8"/>
  <c r="E4289" i="8"/>
  <c r="A4289" i="8"/>
  <c r="H4086" i="8" l="1"/>
  <c r="H4543" i="8"/>
  <c r="H4544" i="8"/>
  <c r="H4530" i="8"/>
  <c r="H4531" i="8"/>
  <c r="H4517" i="8"/>
  <c r="H4518" i="8"/>
  <c r="H4317" i="8"/>
  <c r="H4316" i="8"/>
  <c r="H4318" i="8"/>
  <c r="H4320" i="8"/>
  <c r="H4304" i="8"/>
  <c r="H4303" i="8"/>
  <c r="H4307" i="8" s="1"/>
  <c r="H4305" i="8"/>
  <c r="H4291" i="8"/>
  <c r="H4290" i="8"/>
  <c r="H4294" i="8" s="1"/>
  <c r="H4292" i="8"/>
  <c r="H4296" i="8"/>
  <c r="H691" i="1" l="1"/>
  <c r="H673" i="1"/>
  <c r="H4293" i="8"/>
  <c r="H4295" i="8" s="1"/>
  <c r="H4298" i="8" s="1"/>
  <c r="H4299" i="8" s="1"/>
  <c r="H4519" i="8"/>
  <c r="H4306" i="8"/>
  <c r="H4308" i="8" s="1"/>
  <c r="H4545" i="8"/>
  <c r="H4319" i="8"/>
  <c r="H4321" i="8" s="1"/>
  <c r="H4532" i="8"/>
  <c r="F222" i="23"/>
  <c r="H4529" i="8" s="1"/>
  <c r="H4533" i="8" s="1"/>
  <c r="D204" i="23"/>
  <c r="D214" i="23"/>
  <c r="D224" i="23"/>
  <c r="C224" i="23"/>
  <c r="A224" i="23"/>
  <c r="F232" i="23"/>
  <c r="H4542" i="8" s="1"/>
  <c r="H4546" i="8" s="1"/>
  <c r="C214" i="23"/>
  <c r="A214" i="23"/>
  <c r="C204" i="23"/>
  <c r="A204" i="23"/>
  <c r="F212" i="23"/>
  <c r="H4516" i="8" s="1"/>
  <c r="H4520" i="8" s="1"/>
  <c r="B322" i="8"/>
  <c r="C322" i="8"/>
  <c r="A322" i="8"/>
  <c r="E45" i="29"/>
  <c r="H68" i="25"/>
  <c r="E322" i="8" l="1"/>
  <c r="H334" i="8" s="1"/>
  <c r="H17" i="30"/>
  <c r="K691" i="1"/>
  <c r="I691" i="1"/>
  <c r="J691" i="1" s="1"/>
  <c r="L691" i="1"/>
  <c r="K673" i="1"/>
  <c r="H4547" i="8"/>
  <c r="H4550" i="8" s="1"/>
  <c r="H4551" i="8" s="1"/>
  <c r="H4521" i="8"/>
  <c r="H4523" i="8" s="1"/>
  <c r="H4515" i="8" s="1"/>
  <c r="H4534" i="8"/>
  <c r="H4536" i="8" s="1"/>
  <c r="H4528" i="8" s="1"/>
  <c r="H4323" i="8"/>
  <c r="H4315" i="8" s="1"/>
  <c r="H4324" i="8"/>
  <c r="H4325" i="8" s="1"/>
  <c r="H4310" i="8"/>
  <c r="H4302" i="8" s="1"/>
  <c r="H4311" i="8"/>
  <c r="H4312" i="8" s="1"/>
  <c r="L673" i="1"/>
  <c r="I673" i="1"/>
  <c r="J673" i="1" s="1"/>
  <c r="H4297" i="8"/>
  <c r="H93" i="25"/>
  <c r="I93" i="25" s="1"/>
  <c r="J93" i="25" s="1"/>
  <c r="H94" i="25"/>
  <c r="I94" i="25" s="1"/>
  <c r="J94" i="25" s="1"/>
  <c r="H95" i="25"/>
  <c r="I95" i="25" s="1"/>
  <c r="J95" i="25" s="1"/>
  <c r="H96" i="25"/>
  <c r="I96" i="25" s="1"/>
  <c r="J96" i="25" s="1"/>
  <c r="H98" i="25"/>
  <c r="I98" i="25" s="1"/>
  <c r="J98" i="25" s="1"/>
  <c r="H323" i="8"/>
  <c r="H325" i="8"/>
  <c r="H331" i="8" s="1"/>
  <c r="H329" i="8"/>
  <c r="H327" i="8"/>
  <c r="H324" i="8"/>
  <c r="H330" i="8"/>
  <c r="H326" i="8"/>
  <c r="K95" i="25"/>
  <c r="K93" i="25"/>
  <c r="K94" i="25"/>
  <c r="J99" i="25" l="1"/>
  <c r="D21" i="55" s="1"/>
  <c r="W691" i="1"/>
  <c r="Y691" i="1"/>
  <c r="X691" i="1"/>
  <c r="X673" i="1"/>
  <c r="Y673" i="1"/>
  <c r="H4524" i="8"/>
  <c r="H4525" i="8" s="1"/>
  <c r="H4549" i="8"/>
  <c r="H4541" i="8" s="1"/>
  <c r="H4537" i="8"/>
  <c r="H4538" i="8" s="1"/>
  <c r="K748" i="1"/>
  <c r="H332" i="8"/>
  <c r="L95" i="25"/>
  <c r="H4289" i="8"/>
  <c r="L93" i="25"/>
  <c r="L94" i="25"/>
  <c r="O21" i="55" l="1"/>
  <c r="P21" i="55"/>
  <c r="H21" i="55"/>
  <c r="I21" i="55"/>
  <c r="J21" i="55"/>
  <c r="Q21" i="55"/>
  <c r="R21" i="55"/>
  <c r="G21" i="55"/>
  <c r="E21" i="55"/>
  <c r="F21" i="55"/>
  <c r="K21" i="55"/>
  <c r="L21" i="55"/>
  <c r="M21" i="55"/>
  <c r="N21" i="55"/>
  <c r="K772" i="1"/>
  <c r="P99" i="25"/>
  <c r="P107" i="25" s="1"/>
  <c r="X99" i="25"/>
  <c r="Q99" i="25"/>
  <c r="Q107" i="25" s="1"/>
  <c r="Y99" i="25"/>
  <c r="T99" i="25"/>
  <c r="U99" i="25"/>
  <c r="M99" i="25"/>
  <c r="M107" i="25" s="1"/>
  <c r="Z99" i="25"/>
  <c r="W99" i="25"/>
  <c r="V99" i="25"/>
  <c r="S99" i="25"/>
  <c r="R99" i="25"/>
  <c r="R107" i="25" s="1"/>
  <c r="O99" i="25"/>
  <c r="O107" i="25" s="1"/>
  <c r="N99" i="25"/>
  <c r="K774" i="1"/>
  <c r="K773" i="1"/>
  <c r="H748" i="1"/>
  <c r="I748" i="1" s="1"/>
  <c r="J748" i="1" s="1"/>
  <c r="H333" i="8"/>
  <c r="K129" i="29"/>
  <c r="L129" i="29"/>
  <c r="K132" i="29"/>
  <c r="L132" i="29"/>
  <c r="K89" i="29"/>
  <c r="L89" i="29"/>
  <c r="K92" i="29"/>
  <c r="L92" i="29"/>
  <c r="K95" i="29"/>
  <c r="L95" i="29"/>
  <c r="K98" i="29"/>
  <c r="L98" i="29"/>
  <c r="K102" i="29"/>
  <c r="L102" i="29"/>
  <c r="K72" i="29"/>
  <c r="L72" i="29"/>
  <c r="K77" i="29"/>
  <c r="L77" i="29"/>
  <c r="K44" i="29"/>
  <c r="L44" i="29"/>
  <c r="K49" i="29"/>
  <c r="L49" i="29"/>
  <c r="K55" i="29"/>
  <c r="L55" i="29"/>
  <c r="K61" i="29"/>
  <c r="L61" i="29"/>
  <c r="K747" i="1"/>
  <c r="K749" i="1"/>
  <c r="K750" i="1"/>
  <c r="L750" i="1"/>
  <c r="K801" i="1"/>
  <c r="L801" i="1"/>
  <c r="K746" i="1"/>
  <c r="K679" i="1"/>
  <c r="L679" i="1"/>
  <c r="K683" i="1"/>
  <c r="L683" i="1"/>
  <c r="K686" i="1"/>
  <c r="L686" i="1"/>
  <c r="K614" i="1"/>
  <c r="L614" i="1"/>
  <c r="K636" i="1"/>
  <c r="L636" i="1"/>
  <c r="K645" i="1"/>
  <c r="L645" i="1"/>
  <c r="K413" i="1"/>
  <c r="L413" i="1"/>
  <c r="K344" i="1"/>
  <c r="L344" i="1"/>
  <c r="K353" i="1"/>
  <c r="L353" i="1"/>
  <c r="K308" i="1"/>
  <c r="L308" i="1"/>
  <c r="K335" i="1"/>
  <c r="L335" i="1"/>
  <c r="K194" i="1"/>
  <c r="L194" i="1"/>
  <c r="K202" i="1"/>
  <c r="L202" i="1"/>
  <c r="K208" i="1"/>
  <c r="L208" i="1"/>
  <c r="K218" i="1"/>
  <c r="L218" i="1"/>
  <c r="K180" i="1"/>
  <c r="L180" i="1"/>
  <c r="K184" i="1"/>
  <c r="L184" i="1"/>
  <c r="K98" i="25"/>
  <c r="K96" i="25"/>
  <c r="L68" i="25"/>
  <c r="K68" i="25"/>
  <c r="V748" i="1" l="1"/>
  <c r="W748" i="1"/>
  <c r="X748" i="1"/>
  <c r="U748" i="1"/>
  <c r="Y748" i="1"/>
  <c r="H336" i="8"/>
  <c r="H337" i="8" s="1"/>
  <c r="L748" i="1"/>
  <c r="H335" i="8"/>
  <c r="H322" i="8" l="1"/>
  <c r="D84" i="23" l="1"/>
  <c r="B84" i="23"/>
  <c r="A84" i="23"/>
  <c r="F92" i="23"/>
  <c r="H611" i="1" s="1"/>
  <c r="D74" i="23"/>
  <c r="B74" i="23"/>
  <c r="A74" i="23"/>
  <c r="F82" i="23"/>
  <c r="H609" i="1" s="1"/>
  <c r="H56" i="25" l="1"/>
  <c r="H55" i="25"/>
  <c r="H4756" i="8"/>
  <c r="B4754" i="8"/>
  <c r="C4754" i="8"/>
  <c r="E4754" i="8"/>
  <c r="H4759" i="8" s="1"/>
  <c r="A4754" i="8"/>
  <c r="L98" i="25" l="1"/>
  <c r="L96" i="25"/>
  <c r="K103" i="25"/>
  <c r="K104" i="25"/>
  <c r="I55" i="25"/>
  <c r="I56" i="25"/>
  <c r="H104" i="25"/>
  <c r="H103" i="25"/>
  <c r="H4755" i="8"/>
  <c r="H4757" i="8" s="1"/>
  <c r="H4758" i="8" s="1"/>
  <c r="H4760" i="8" l="1"/>
  <c r="H4754" i="8" s="1"/>
  <c r="H4761" i="8"/>
  <c r="H4762" i="8" s="1"/>
  <c r="I103" i="25"/>
  <c r="J103" i="25" s="1"/>
  <c r="L103" i="25"/>
  <c r="I104" i="25"/>
  <c r="J104" i="25" s="1"/>
  <c r="L104" i="25"/>
  <c r="U104" i="25" l="1"/>
  <c r="T104" i="25"/>
  <c r="S104" i="25"/>
  <c r="Z104" i="25"/>
  <c r="Y104" i="25"/>
  <c r="X104" i="25"/>
  <c r="W104" i="25"/>
  <c r="V104" i="25"/>
  <c r="V103" i="25"/>
  <c r="U103" i="25"/>
  <c r="T103" i="25"/>
  <c r="S103" i="25"/>
  <c r="Z103" i="25"/>
  <c r="Y103" i="25"/>
  <c r="X103" i="25"/>
  <c r="W103" i="25"/>
  <c r="H102" i="25"/>
  <c r="K102" i="25"/>
  <c r="E80" i="25"/>
  <c r="E79" i="25"/>
  <c r="E78" i="25"/>
  <c r="E77" i="25"/>
  <c r="E76" i="25"/>
  <c r="E75" i="25"/>
  <c r="E74" i="25"/>
  <c r="E73" i="25"/>
  <c r="E72" i="25"/>
  <c r="H4740" i="8"/>
  <c r="C4735" i="8"/>
  <c r="B4735" i="8"/>
  <c r="B31" i="8"/>
  <c r="C31" i="8"/>
  <c r="E31" i="8"/>
  <c r="H37" i="8" s="1"/>
  <c r="A31" i="8"/>
  <c r="X105" i="25" l="1"/>
  <c r="T105" i="25"/>
  <c r="Z105" i="25"/>
  <c r="U105" i="25"/>
  <c r="Y105" i="25"/>
  <c r="S105" i="25"/>
  <c r="W105" i="25"/>
  <c r="V105" i="25"/>
  <c r="I102" i="25"/>
  <c r="J102" i="25" s="1"/>
  <c r="J105" i="25" s="1"/>
  <c r="L102" i="25"/>
  <c r="H4736" i="8"/>
  <c r="H4737" i="8" s="1"/>
  <c r="H32" i="8"/>
  <c r="I68" i="25"/>
  <c r="J68" i="25" s="1"/>
  <c r="J69" i="25" s="1"/>
  <c r="H3598" i="8"/>
  <c r="H3586" i="8"/>
  <c r="B4645" i="8"/>
  <c r="C4645" i="8"/>
  <c r="E4645" i="8"/>
  <c r="H4652" i="8" s="1"/>
  <c r="A4645" i="8"/>
  <c r="H4646" i="8"/>
  <c r="H4633" i="8"/>
  <c r="B4632" i="8"/>
  <c r="C4632" i="8"/>
  <c r="E4632" i="8"/>
  <c r="H4639" i="8" s="1"/>
  <c r="A4632" i="8"/>
  <c r="B4619" i="8"/>
  <c r="C4619" i="8"/>
  <c r="E4619" i="8"/>
  <c r="H4626" i="8" s="1"/>
  <c r="A4619" i="8"/>
  <c r="H4620" i="8"/>
  <c r="H4607" i="8"/>
  <c r="B4606" i="8"/>
  <c r="C4606" i="8"/>
  <c r="E4606" i="8"/>
  <c r="H4613" i="8" s="1"/>
  <c r="A4606" i="8"/>
  <c r="B4593" i="8"/>
  <c r="C4593" i="8"/>
  <c r="E4593" i="8"/>
  <c r="H4600" i="8" s="1"/>
  <c r="A4593" i="8"/>
  <c r="H4594" i="8"/>
  <c r="B4580" i="8"/>
  <c r="C4580" i="8"/>
  <c r="E4580" i="8"/>
  <c r="H4587" i="8" s="1"/>
  <c r="A4580" i="8"/>
  <c r="H4581" i="8"/>
  <c r="B4502" i="8"/>
  <c r="C4502" i="8"/>
  <c r="E4502" i="8"/>
  <c r="H4509" i="8" s="1"/>
  <c r="A4502" i="8"/>
  <c r="D194" i="23"/>
  <c r="C194" i="23"/>
  <c r="A194" i="23"/>
  <c r="F202" i="23"/>
  <c r="H4503" i="8" s="1"/>
  <c r="B4489" i="8"/>
  <c r="C4489" i="8"/>
  <c r="E4489" i="8"/>
  <c r="H4496" i="8" s="1"/>
  <c r="A4489" i="8"/>
  <c r="C184" i="23"/>
  <c r="D184" i="23"/>
  <c r="A184" i="23"/>
  <c r="F192" i="23"/>
  <c r="H4490" i="8" s="1"/>
  <c r="B4476" i="8"/>
  <c r="C4476" i="8"/>
  <c r="E4476" i="8"/>
  <c r="H4483" i="8" s="1"/>
  <c r="A4476" i="8"/>
  <c r="D174" i="23"/>
  <c r="C174" i="23"/>
  <c r="A174" i="23"/>
  <c r="F182" i="23"/>
  <c r="H4477" i="8" s="1"/>
  <c r="B4463" i="8"/>
  <c r="C4463" i="8"/>
  <c r="E4463" i="8"/>
  <c r="H4470" i="8" s="1"/>
  <c r="A4463" i="8"/>
  <c r="D164" i="23"/>
  <c r="C164" i="23"/>
  <c r="A164" i="23"/>
  <c r="F172" i="23"/>
  <c r="H4464" i="8" s="1"/>
  <c r="B4450" i="8"/>
  <c r="C4450" i="8"/>
  <c r="E4450" i="8"/>
  <c r="H4457" i="8" s="1"/>
  <c r="A4450" i="8"/>
  <c r="D154" i="23"/>
  <c r="C154" i="23"/>
  <c r="A154" i="23"/>
  <c r="H4451" i="8"/>
  <c r="M106" i="25" l="1"/>
  <c r="Q106" i="25"/>
  <c r="R106" i="25"/>
  <c r="D23" i="55"/>
  <c r="P106" i="25"/>
  <c r="O106" i="25"/>
  <c r="S107" i="25"/>
  <c r="S106" i="25"/>
  <c r="T107" i="25"/>
  <c r="T106" i="25"/>
  <c r="Y107" i="25"/>
  <c r="Y106" i="25"/>
  <c r="X107" i="25"/>
  <c r="X106" i="25"/>
  <c r="V107" i="25"/>
  <c r="V106" i="25"/>
  <c r="U107" i="25"/>
  <c r="U106" i="25"/>
  <c r="W107" i="25"/>
  <c r="W106" i="25"/>
  <c r="Z107" i="25"/>
  <c r="Z106" i="25"/>
  <c r="H34" i="8"/>
  <c r="H35" i="8"/>
  <c r="Z68" i="25"/>
  <c r="Z69" i="25" s="1"/>
  <c r="H4738" i="8"/>
  <c r="H4739" i="8" s="1"/>
  <c r="J107" i="25"/>
  <c r="N102" i="25"/>
  <c r="N105" i="25" s="1"/>
  <c r="H3593" i="8"/>
  <c r="H3594" i="8"/>
  <c r="H3581" i="8"/>
  <c r="H3584" i="8" s="1"/>
  <c r="H3582" i="8"/>
  <c r="H4647" i="8"/>
  <c r="H4648" i="8"/>
  <c r="H4634" i="8"/>
  <c r="H4637" i="8" s="1"/>
  <c r="H4635" i="8"/>
  <c r="H4621" i="8"/>
  <c r="H4624" i="8" s="1"/>
  <c r="H4622" i="8"/>
  <c r="H4608" i="8"/>
  <c r="H4611" i="8" s="1"/>
  <c r="H4609" i="8"/>
  <c r="H4595" i="8"/>
  <c r="H4596" i="8"/>
  <c r="H4582" i="8"/>
  <c r="H4585" i="8" s="1"/>
  <c r="H4583" i="8"/>
  <c r="H4504" i="8"/>
  <c r="H4505" i="8"/>
  <c r="H4491" i="8"/>
  <c r="H4494" i="8" s="1"/>
  <c r="H4492" i="8"/>
  <c r="H4478" i="8"/>
  <c r="H4479" i="8"/>
  <c r="H4465" i="8"/>
  <c r="H4468" i="8" s="1"/>
  <c r="H4466" i="8"/>
  <c r="H4452" i="8"/>
  <c r="H4455" i="8" s="1"/>
  <c r="H4453" i="8"/>
  <c r="N107" i="25" l="1"/>
  <c r="N106" i="25"/>
  <c r="R23" i="55"/>
  <c r="H23" i="55"/>
  <c r="L23" i="55"/>
  <c r="E23" i="55"/>
  <c r="K23" i="55"/>
  <c r="I23" i="55"/>
  <c r="M23" i="55"/>
  <c r="F23" i="55"/>
  <c r="P23" i="55"/>
  <c r="J23" i="55"/>
  <c r="N23" i="55"/>
  <c r="Q23" i="55"/>
  <c r="G23" i="55"/>
  <c r="O23" i="55"/>
  <c r="H36" i="8"/>
  <c r="H38" i="8" s="1"/>
  <c r="H31" i="8" s="1"/>
  <c r="H4481" i="8"/>
  <c r="H4507" i="8"/>
  <c r="H4598" i="8"/>
  <c r="H4650" i="8"/>
  <c r="H3596" i="8"/>
  <c r="H39" i="8"/>
  <c r="H40" i="8" s="1"/>
  <c r="H4636" i="8"/>
  <c r="H4638" i="8" s="1"/>
  <c r="H4649" i="8"/>
  <c r="H4597" i="8"/>
  <c r="H4623" i="8"/>
  <c r="H4625" i="8" s="1"/>
  <c r="H4584" i="8"/>
  <c r="H4586" i="8" s="1"/>
  <c r="H4589" i="8" s="1"/>
  <c r="H4590" i="8" s="1"/>
  <c r="H3583" i="8"/>
  <c r="H3585" i="8" s="1"/>
  <c r="H3595" i="8"/>
  <c r="H4493" i="8"/>
  <c r="H4495" i="8" s="1"/>
  <c r="H4506" i="8"/>
  <c r="H4467" i="8"/>
  <c r="H4469" i="8" s="1"/>
  <c r="H4610" i="8"/>
  <c r="H4612" i="8" s="1"/>
  <c r="H4454" i="8"/>
  <c r="H4456" i="8" s="1"/>
  <c r="H4459" i="8" s="1"/>
  <c r="H4460" i="8" s="1"/>
  <c r="H4480" i="8"/>
  <c r="S23" i="55" l="1"/>
  <c r="H4599" i="8"/>
  <c r="H4602" i="8" s="1"/>
  <c r="H4603" i="8" s="1"/>
  <c r="S22" i="55"/>
  <c r="H4482" i="8"/>
  <c r="H3597" i="8"/>
  <c r="H4651" i="8"/>
  <c r="H4654" i="8" s="1"/>
  <c r="H4655" i="8" s="1"/>
  <c r="H4508" i="8"/>
  <c r="H4510" i="8" s="1"/>
  <c r="H4502" i="8" s="1"/>
  <c r="H4641" i="8"/>
  <c r="H4642" i="8" s="1"/>
  <c r="H3587" i="8"/>
  <c r="H3580" i="8" s="1"/>
  <c r="H3588" i="8"/>
  <c r="H3589" i="8" s="1"/>
  <c r="H4615" i="8"/>
  <c r="H4616" i="8" s="1"/>
  <c r="H4471" i="8"/>
  <c r="H4463" i="8" s="1"/>
  <c r="H4472" i="8"/>
  <c r="H4473" i="8" s="1"/>
  <c r="H4627" i="8"/>
  <c r="H4619" i="8" s="1"/>
  <c r="H4628" i="8"/>
  <c r="H4629" i="8" s="1"/>
  <c r="H4498" i="8"/>
  <c r="H4499" i="8" s="1"/>
  <c r="K64" i="25"/>
  <c r="H82" i="25"/>
  <c r="K82" i="25"/>
  <c r="H79" i="25"/>
  <c r="K79" i="25"/>
  <c r="H77" i="25"/>
  <c r="K77" i="25"/>
  <c r="H81" i="25"/>
  <c r="K81" i="25"/>
  <c r="H76" i="25"/>
  <c r="K76" i="25"/>
  <c r="H75" i="25"/>
  <c r="K75" i="25"/>
  <c r="H74" i="25"/>
  <c r="K74" i="25"/>
  <c r="H78" i="25"/>
  <c r="K78" i="25"/>
  <c r="H72" i="25"/>
  <c r="K72" i="25"/>
  <c r="H73" i="25"/>
  <c r="K73" i="25"/>
  <c r="H83" i="25"/>
  <c r="K83" i="25"/>
  <c r="H80" i="25"/>
  <c r="K80" i="25"/>
  <c r="L611" i="1"/>
  <c r="K611" i="1"/>
  <c r="H4614" i="8"/>
  <c r="H4588" i="8"/>
  <c r="H4640" i="8"/>
  <c r="H4632" i="8" s="1"/>
  <c r="H4458" i="8"/>
  <c r="H4497" i="8"/>
  <c r="H4489" i="8" s="1"/>
  <c r="H21" i="25" l="1"/>
  <c r="L21" i="25" s="1"/>
  <c r="H4601" i="8"/>
  <c r="H4593" i="8" s="1"/>
  <c r="H4653" i="8"/>
  <c r="H4645" i="8" s="1"/>
  <c r="H4484" i="8"/>
  <c r="H4476" i="8" s="1"/>
  <c r="H4485" i="8"/>
  <c r="H4486" i="8" s="1"/>
  <c r="H3600" i="8"/>
  <c r="H3601" i="8" s="1"/>
  <c r="H3599" i="8"/>
  <c r="H3592" i="8" s="1"/>
  <c r="S21" i="55"/>
  <c r="H4511" i="8"/>
  <c r="H4512" i="8" s="1"/>
  <c r="H612" i="1"/>
  <c r="I612" i="1" s="1"/>
  <c r="J612" i="1" s="1"/>
  <c r="X612" i="1" s="1"/>
  <c r="K770" i="1"/>
  <c r="K783" i="1"/>
  <c r="K777" i="1"/>
  <c r="K780" i="1"/>
  <c r="K769" i="1"/>
  <c r="K776" i="1"/>
  <c r="K782" i="1"/>
  <c r="H64" i="25"/>
  <c r="I64" i="25" s="1"/>
  <c r="J64" i="25" s="1"/>
  <c r="J65" i="25" s="1"/>
  <c r="K610" i="1"/>
  <c r="K768" i="1"/>
  <c r="K781" i="1"/>
  <c r="H4606" i="8"/>
  <c r="I80" i="25"/>
  <c r="J80" i="25" s="1"/>
  <c r="Z80" i="25" s="1"/>
  <c r="L80" i="25"/>
  <c r="I83" i="25"/>
  <c r="J83" i="25" s="1"/>
  <c r="Z83" i="25" s="1"/>
  <c r="L83" i="25"/>
  <c r="I73" i="25"/>
  <c r="J73" i="25" s="1"/>
  <c r="Z73" i="25" s="1"/>
  <c r="L73" i="25"/>
  <c r="I72" i="25"/>
  <c r="J72" i="25" s="1"/>
  <c r="L72" i="25"/>
  <c r="I78" i="25"/>
  <c r="J78" i="25" s="1"/>
  <c r="Z78" i="25" s="1"/>
  <c r="L78" i="25"/>
  <c r="I74" i="25"/>
  <c r="J74" i="25" s="1"/>
  <c r="Z74" i="25" s="1"/>
  <c r="L74" i="25"/>
  <c r="I75" i="25"/>
  <c r="J75" i="25" s="1"/>
  <c r="Z75" i="25" s="1"/>
  <c r="L75" i="25"/>
  <c r="I76" i="25"/>
  <c r="J76" i="25" s="1"/>
  <c r="Z76" i="25" s="1"/>
  <c r="L76" i="25"/>
  <c r="I81" i="25"/>
  <c r="J81" i="25" s="1"/>
  <c r="Z81" i="25" s="1"/>
  <c r="L81" i="25"/>
  <c r="I77" i="25"/>
  <c r="J77" i="25" s="1"/>
  <c r="Z77" i="25" s="1"/>
  <c r="L77" i="25"/>
  <c r="I79" i="25"/>
  <c r="J79" i="25" s="1"/>
  <c r="Z79" i="25" s="1"/>
  <c r="L79" i="25"/>
  <c r="I82" i="25"/>
  <c r="J82" i="25" s="1"/>
  <c r="Z82" i="25" s="1"/>
  <c r="L82" i="25"/>
  <c r="I21" i="25"/>
  <c r="J21" i="25" s="1"/>
  <c r="J22" i="25" s="1"/>
  <c r="J24" i="25" s="1"/>
  <c r="L609" i="1"/>
  <c r="K609" i="1"/>
  <c r="K779" i="1"/>
  <c r="K767" i="1"/>
  <c r="K778" i="1"/>
  <c r="H4580" i="8"/>
  <c r="H4450" i="8"/>
  <c r="B1250" i="8"/>
  <c r="C1250" i="8"/>
  <c r="A1250" i="8"/>
  <c r="D114" i="23"/>
  <c r="B114" i="23"/>
  <c r="A114" i="23"/>
  <c r="F122" i="23"/>
  <c r="B4278" i="8"/>
  <c r="C4278" i="8"/>
  <c r="E4278" i="8"/>
  <c r="H4283" i="8" s="1"/>
  <c r="A4278" i="8"/>
  <c r="H4280" i="8"/>
  <c r="F112" i="23"/>
  <c r="H4279" i="8" s="1"/>
  <c r="H4281" i="8" s="1"/>
  <c r="D104" i="23"/>
  <c r="J85" i="25" l="1"/>
  <c r="J87" i="25" s="1"/>
  <c r="K21" i="25"/>
  <c r="K771" i="1"/>
  <c r="D15" i="55"/>
  <c r="K612" i="1"/>
  <c r="Z72" i="25"/>
  <c r="Z85" i="25" s="1"/>
  <c r="W612" i="1"/>
  <c r="T612" i="1"/>
  <c r="Y612" i="1"/>
  <c r="V612" i="1"/>
  <c r="Z612" i="1"/>
  <c r="Z64" i="25"/>
  <c r="Z65" i="25" s="1"/>
  <c r="T22" i="25"/>
  <c r="T24" i="25" s="1"/>
  <c r="N22" i="25"/>
  <c r="N24" i="25" s="1"/>
  <c r="V22" i="25"/>
  <c r="V24" i="25" s="1"/>
  <c r="O22" i="25"/>
  <c r="O24" i="25" s="1"/>
  <c r="W22" i="25"/>
  <c r="W24" i="25" s="1"/>
  <c r="Q22" i="25"/>
  <c r="Q24" i="25" s="1"/>
  <c r="Y22" i="25"/>
  <c r="Y24" i="25" s="1"/>
  <c r="S22" i="25"/>
  <c r="S24" i="25" s="1"/>
  <c r="U22" i="25"/>
  <c r="U24" i="25" s="1"/>
  <c r="Z22" i="25"/>
  <c r="Z24" i="25" s="1"/>
  <c r="M22" i="25"/>
  <c r="M24" i="25" s="1"/>
  <c r="P22" i="25"/>
  <c r="P24" i="25" s="1"/>
  <c r="X22" i="25"/>
  <c r="X24" i="25" s="1"/>
  <c r="R22" i="25"/>
  <c r="R24" i="25" s="1"/>
  <c r="L64" i="25"/>
  <c r="H610" i="1"/>
  <c r="I610" i="1" s="1"/>
  <c r="J610" i="1" s="1"/>
  <c r="L612" i="1"/>
  <c r="H1251" i="8"/>
  <c r="H1253" i="8" s="1"/>
  <c r="H1254" i="8" s="1"/>
  <c r="H4282" i="8"/>
  <c r="B104" i="23"/>
  <c r="A104" i="23"/>
  <c r="A4184" i="8"/>
  <c r="A4060" i="8"/>
  <c r="A3982" i="8"/>
  <c r="A3804" i="8"/>
  <c r="A3790" i="8"/>
  <c r="A3774" i="8"/>
  <c r="A3726" i="8"/>
  <c r="A3742" i="8"/>
  <c r="A3758" i="8"/>
  <c r="A3711" i="8"/>
  <c r="A3697" i="8"/>
  <c r="A3649" i="8"/>
  <c r="A3633" i="8"/>
  <c r="O15" i="55" l="1"/>
  <c r="Q15" i="55"/>
  <c r="P15" i="55"/>
  <c r="H15" i="55"/>
  <c r="L15" i="55"/>
  <c r="R15" i="55"/>
  <c r="I15" i="55"/>
  <c r="M15" i="55"/>
  <c r="E15" i="55"/>
  <c r="G15" i="55"/>
  <c r="K15" i="55"/>
  <c r="F15" i="55"/>
  <c r="J15" i="55"/>
  <c r="N15" i="55"/>
  <c r="D19" i="55"/>
  <c r="W610" i="1"/>
  <c r="T610" i="1"/>
  <c r="V610" i="1"/>
  <c r="X610" i="1"/>
  <c r="Z610" i="1"/>
  <c r="Y610" i="1"/>
  <c r="X25" i="25"/>
  <c r="W25" i="25"/>
  <c r="P25" i="25"/>
  <c r="O25" i="25"/>
  <c r="V25" i="25"/>
  <c r="Z25" i="25"/>
  <c r="U25" i="25"/>
  <c r="M25" i="25"/>
  <c r="N25" i="25"/>
  <c r="T25" i="25"/>
  <c r="S25" i="25"/>
  <c r="Y25" i="25"/>
  <c r="R25" i="25"/>
  <c r="Q25" i="25"/>
  <c r="Z87" i="25"/>
  <c r="H4284" i="8"/>
  <c r="H4278" i="8" s="1"/>
  <c r="H4285" i="8"/>
  <c r="H4286" i="8" s="1"/>
  <c r="L610" i="1"/>
  <c r="H1257" i="8"/>
  <c r="H1258" i="8" s="1"/>
  <c r="A3489" i="8"/>
  <c r="A3294" i="8"/>
  <c r="A3281" i="8"/>
  <c r="A3268" i="8"/>
  <c r="H3139" i="8"/>
  <c r="A3099" i="8"/>
  <c r="A3086" i="8"/>
  <c r="A3073" i="8"/>
  <c r="A3060" i="8"/>
  <c r="A3047" i="8"/>
  <c r="A3034" i="8"/>
  <c r="A3021" i="8"/>
  <c r="A3008" i="8"/>
  <c r="A2981" i="8"/>
  <c r="A2302" i="8"/>
  <c r="A2285" i="8"/>
  <c r="A2252" i="8"/>
  <c r="A2221" i="8"/>
  <c r="A2205" i="8"/>
  <c r="A2189" i="8"/>
  <c r="A2173" i="8"/>
  <c r="A2141" i="8"/>
  <c r="A2126" i="8"/>
  <c r="A2111" i="8"/>
  <c r="A2096" i="8"/>
  <c r="A2081" i="8"/>
  <c r="B1915" i="8"/>
  <c r="C1915" i="8"/>
  <c r="E1915" i="8"/>
  <c r="A1915" i="8"/>
  <c r="A1902" i="8"/>
  <c r="A1888" i="8"/>
  <c r="A1874" i="8"/>
  <c r="A1844" i="8"/>
  <c r="A1812" i="8"/>
  <c r="A1828" i="8"/>
  <c r="S15" i="55" l="1"/>
  <c r="M88" i="25"/>
  <c r="E20" i="55" s="1"/>
  <c r="W88" i="25"/>
  <c r="O20" i="55" s="1"/>
  <c r="O19" i="55" s="1"/>
  <c r="Z88" i="25"/>
  <c r="R20" i="55" s="1"/>
  <c r="R19" i="55" s="1"/>
  <c r="V88" i="25"/>
  <c r="N20" i="55" s="1"/>
  <c r="N19" i="55" s="1"/>
  <c r="O88" i="25"/>
  <c r="G20" i="55" s="1"/>
  <c r="G19" i="55" s="1"/>
  <c r="R88" i="25"/>
  <c r="J20" i="55" s="1"/>
  <c r="J19" i="55" s="1"/>
  <c r="T88" i="25"/>
  <c r="L20" i="55" s="1"/>
  <c r="L19" i="55" s="1"/>
  <c r="P88" i="25"/>
  <c r="H20" i="55" s="1"/>
  <c r="H19" i="55" s="1"/>
  <c r="U88" i="25"/>
  <c r="M20" i="55" s="1"/>
  <c r="M19" i="55" s="1"/>
  <c r="Q88" i="25"/>
  <c r="I20" i="55" s="1"/>
  <c r="I19" i="55" s="1"/>
  <c r="N88" i="25"/>
  <c r="F20" i="55" s="1"/>
  <c r="F19" i="55" s="1"/>
  <c r="S88" i="25"/>
  <c r="K20" i="55" s="1"/>
  <c r="K19" i="55" s="1"/>
  <c r="Y88" i="25"/>
  <c r="Q20" i="55" s="1"/>
  <c r="Q19" i="55" s="1"/>
  <c r="X88" i="25"/>
  <c r="P20" i="55" s="1"/>
  <c r="P19" i="55" s="1"/>
  <c r="K724" i="1"/>
  <c r="H210" i="1"/>
  <c r="A1766" i="8"/>
  <c r="A1705" i="8"/>
  <c r="A1689" i="8"/>
  <c r="A1673" i="8"/>
  <c r="A1657" i="8"/>
  <c r="A1612" i="8"/>
  <c r="A1596" i="8"/>
  <c r="A1580" i="8"/>
  <c r="A1564" i="8"/>
  <c r="A1548" i="8"/>
  <c r="A1532" i="8"/>
  <c r="A1516" i="8"/>
  <c r="E19" i="55" l="1"/>
  <c r="S19" i="55" s="1"/>
  <c r="S20" i="55"/>
  <c r="H742" i="1"/>
  <c r="K742" i="1"/>
  <c r="I742" i="1" l="1"/>
  <c r="J742" i="1" s="1"/>
  <c r="L742" i="1"/>
  <c r="A1424" i="8"/>
  <c r="A1412" i="8"/>
  <c r="A1400" i="8"/>
  <c r="A1388" i="8"/>
  <c r="A1376" i="8"/>
  <c r="A1363" i="8"/>
  <c r="A1333" i="8"/>
  <c r="A1159" i="8"/>
  <c r="A1172" i="8"/>
  <c r="A1187" i="8"/>
  <c r="G446" i="22"/>
  <c r="G445" i="22"/>
  <c r="J445" i="22" s="1"/>
  <c r="A1083" i="8"/>
  <c r="A1038" i="8"/>
  <c r="A1004" i="8"/>
  <c r="A987" i="8"/>
  <c r="A968" i="8"/>
  <c r="A917" i="8"/>
  <c r="A898" i="8"/>
  <c r="A879" i="8"/>
  <c r="A828" i="8"/>
  <c r="A812" i="8"/>
  <c r="A796" i="8"/>
  <c r="A778" i="8"/>
  <c r="A741" i="8"/>
  <c r="A684" i="8"/>
  <c r="A664" i="8"/>
  <c r="A614" i="8"/>
  <c r="H192" i="8"/>
  <c r="J743" i="1" l="1"/>
  <c r="Z742" i="1"/>
  <c r="Z743" i="1" s="1"/>
  <c r="Z805" i="1" s="1"/>
  <c r="Y742" i="1"/>
  <c r="Y743" i="1" s="1"/>
  <c r="H1101" i="8"/>
  <c r="H989" i="8"/>
  <c r="H970" i="8"/>
  <c r="H951" i="8"/>
  <c r="H183" i="8"/>
  <c r="H184" i="8"/>
  <c r="H180" i="8"/>
  <c r="H187" i="8"/>
  <c r="H179" i="8"/>
  <c r="H188" i="8"/>
  <c r="H89" i="8"/>
  <c r="H90" i="8"/>
  <c r="H85" i="8"/>
  <c r="H87" i="8"/>
  <c r="H84" i="8"/>
  <c r="H86" i="8"/>
  <c r="H88" i="8"/>
  <c r="H189" i="8" l="1"/>
  <c r="H190" i="8"/>
  <c r="H191" i="8" l="1"/>
  <c r="B78" i="8"/>
  <c r="C78" i="8"/>
  <c r="E78" i="8"/>
  <c r="H96" i="8" s="1"/>
  <c r="A78" i="8"/>
  <c r="A64" i="8"/>
  <c r="E32" i="25"/>
  <c r="I611" i="1"/>
  <c r="J611" i="1" s="1"/>
  <c r="I609" i="1"/>
  <c r="J609" i="1" s="1"/>
  <c r="H93" i="8" l="1"/>
  <c r="V611" i="1"/>
  <c r="Y611" i="1"/>
  <c r="T611" i="1"/>
  <c r="Z611" i="1"/>
  <c r="X611" i="1"/>
  <c r="W611" i="1"/>
  <c r="Z609" i="1"/>
  <c r="T609" i="1"/>
  <c r="W609" i="1"/>
  <c r="V609" i="1"/>
  <c r="X609" i="1"/>
  <c r="Y609" i="1"/>
  <c r="H193" i="8"/>
  <c r="H178" i="8" s="1"/>
  <c r="H194" i="8"/>
  <c r="H195" i="8" s="1"/>
  <c r="K32" i="25"/>
  <c r="K33" i="25"/>
  <c r="K30" i="25"/>
  <c r="K34" i="25"/>
  <c r="H83" i="8"/>
  <c r="H82" i="8"/>
  <c r="H81" i="8"/>
  <c r="H80" i="8"/>
  <c r="H91" i="8"/>
  <c r="H79" i="8"/>
  <c r="H92" i="8"/>
  <c r="H33" i="25"/>
  <c r="B2995" i="8"/>
  <c r="C2995" i="8"/>
  <c r="E2995" i="8"/>
  <c r="H3002" i="8" s="1"/>
  <c r="A2995" i="8"/>
  <c r="H2996" i="8"/>
  <c r="K44" i="25" l="1"/>
  <c r="H94" i="8"/>
  <c r="H95" i="8" s="1"/>
  <c r="I33" i="25"/>
  <c r="J33" i="25" s="1"/>
  <c r="M33" i="25" s="1"/>
  <c r="L33" i="25"/>
  <c r="H2997" i="8"/>
  <c r="H3000" i="8" s="1"/>
  <c r="H2998" i="8"/>
  <c r="H2357" i="8"/>
  <c r="H2365" i="8"/>
  <c r="H44" i="25" l="1"/>
  <c r="L44" i="25" s="1"/>
  <c r="H2999" i="8"/>
  <c r="H3001" i="8" s="1"/>
  <c r="H3004" i="8" s="1"/>
  <c r="H3005" i="8" s="1"/>
  <c r="H97" i="8"/>
  <c r="H78" i="8" s="1"/>
  <c r="H98" i="8"/>
  <c r="H99" i="8" s="1"/>
  <c r="H2360" i="8"/>
  <c r="H2359" i="8"/>
  <c r="H2363" i="8" s="1"/>
  <c r="H2361" i="8"/>
  <c r="I44" i="25" l="1"/>
  <c r="J44" i="25" s="1"/>
  <c r="M44" i="25" s="1"/>
  <c r="H2362" i="8"/>
  <c r="H2364" i="8" s="1"/>
  <c r="K37" i="25"/>
  <c r="H3003" i="8"/>
  <c r="H2995" i="8" s="1"/>
  <c r="H2367" i="8" l="1"/>
  <c r="H2368" i="8" s="1"/>
  <c r="H2366" i="8"/>
  <c r="H2350" i="8"/>
  <c r="H2344" i="8"/>
  <c r="H513" i="1" l="1"/>
  <c r="I513" i="1" s="1"/>
  <c r="J513" i="1" s="1"/>
  <c r="Y513" i="1" s="1"/>
  <c r="H538" i="1"/>
  <c r="I538" i="1" s="1"/>
  <c r="J538" i="1" s="1"/>
  <c r="K538" i="1"/>
  <c r="H2356" i="8"/>
  <c r="H2346" i="8"/>
  <c r="H2347" i="8" s="1"/>
  <c r="H2348" i="8"/>
  <c r="H441" i="1" l="1"/>
  <c r="K441" i="1"/>
  <c r="K513" i="1"/>
  <c r="Z513" i="1"/>
  <c r="W513" i="1"/>
  <c r="T513" i="1"/>
  <c r="V513" i="1"/>
  <c r="X513" i="1"/>
  <c r="Y538" i="1"/>
  <c r="Z538" i="1"/>
  <c r="T538" i="1"/>
  <c r="X538" i="1"/>
  <c r="V538" i="1"/>
  <c r="W538" i="1"/>
  <c r="L513" i="1"/>
  <c r="L538" i="1"/>
  <c r="H2349" i="8"/>
  <c r="H2352" i="8" s="1"/>
  <c r="H2353" i="8" s="1"/>
  <c r="L441" i="1" l="1"/>
  <c r="I441" i="1"/>
  <c r="J441" i="1" s="1"/>
  <c r="H2351" i="8"/>
  <c r="V441" i="1" l="1"/>
  <c r="Z441" i="1"/>
  <c r="Y441" i="1"/>
  <c r="W441" i="1"/>
  <c r="T441" i="1"/>
  <c r="X441" i="1"/>
  <c r="H2343" i="8"/>
  <c r="H439" i="1" l="1"/>
  <c r="I439" i="1" s="1"/>
  <c r="J439" i="1" s="1"/>
  <c r="K439" i="1"/>
  <c r="H29" i="30"/>
  <c r="X439" i="1" l="1"/>
  <c r="L439" i="1"/>
  <c r="T439" i="1"/>
  <c r="V439" i="1"/>
  <c r="Y439" i="1"/>
  <c r="Z439" i="1"/>
  <c r="W439" i="1"/>
  <c r="A1998" i="8"/>
  <c r="B1998" i="8"/>
  <c r="C1998" i="8"/>
  <c r="E1998" i="8"/>
  <c r="B1068" i="8" l="1"/>
  <c r="C1068" i="8"/>
  <c r="A1068" i="8"/>
  <c r="H1071" i="8" l="1"/>
  <c r="H1070" i="8"/>
  <c r="H1069" i="8"/>
  <c r="H1072" i="8"/>
  <c r="H1073" i="8"/>
  <c r="H1075" i="8" l="1"/>
  <c r="H1074" i="8"/>
  <c r="H1076" i="8" l="1"/>
  <c r="H1079" i="8" l="1"/>
  <c r="H1080" i="8" s="1"/>
  <c r="H4660" i="8" l="1"/>
  <c r="B4658" i="8"/>
  <c r="C4658" i="8"/>
  <c r="E4658" i="8"/>
  <c r="H4663" i="8" s="1"/>
  <c r="A4658" i="8"/>
  <c r="H4659" i="8"/>
  <c r="H4661" i="8" s="1"/>
  <c r="K784" i="22"/>
  <c r="B784" i="22"/>
  <c r="A784" i="22"/>
  <c r="H789" i="22"/>
  <c r="K789" i="22" s="1"/>
  <c r="H788" i="22"/>
  <c r="K788" i="22" s="1"/>
  <c r="H780" i="22"/>
  <c r="K780" i="22" s="1"/>
  <c r="H779" i="22"/>
  <c r="K779" i="22" s="1"/>
  <c r="H778" i="22"/>
  <c r="K778" i="22" s="1"/>
  <c r="H777" i="22"/>
  <c r="K777" i="22" s="1"/>
  <c r="K773" i="22"/>
  <c r="B773" i="22"/>
  <c r="A773" i="22"/>
  <c r="J19" i="30"/>
  <c r="J20" i="30"/>
  <c r="J21" i="30"/>
  <c r="J22" i="30"/>
  <c r="J17" i="30"/>
  <c r="J18" i="30"/>
  <c r="B1627" i="8"/>
  <c r="C1627" i="8"/>
  <c r="E1627" i="8"/>
  <c r="A1627" i="8"/>
  <c r="J23" i="30" l="1"/>
  <c r="E21" i="29" s="1"/>
  <c r="K782" i="22"/>
  <c r="E729" i="1" s="1"/>
  <c r="K791" i="22"/>
  <c r="E730" i="1" s="1"/>
  <c r="H170" i="1"/>
  <c r="I170" i="1" s="1"/>
  <c r="H4662" i="8"/>
  <c r="H70" i="30"/>
  <c r="K70" i="30" s="1"/>
  <c r="K72" i="30" s="1"/>
  <c r="G70" i="30"/>
  <c r="J70" i="30" s="1"/>
  <c r="K66" i="30"/>
  <c r="B66" i="30"/>
  <c r="A66" i="30"/>
  <c r="I72" i="30"/>
  <c r="H71" i="30"/>
  <c r="K71" i="30" s="1"/>
  <c r="J71" i="30"/>
  <c r="J86" i="30"/>
  <c r="H86" i="30"/>
  <c r="K86" i="30" s="1"/>
  <c r="J85" i="30"/>
  <c r="H85" i="30"/>
  <c r="K85" i="30" s="1"/>
  <c r="H87" i="30"/>
  <c r="K87" i="30" s="1"/>
  <c r="G87" i="30"/>
  <c r="J87" i="30" s="1"/>
  <c r="J84" i="30"/>
  <c r="H84" i="30"/>
  <c r="K84" i="30" s="1"/>
  <c r="J83" i="30"/>
  <c r="H83" i="30"/>
  <c r="K83" i="30" s="1"/>
  <c r="H82" i="30"/>
  <c r="K82" i="30" s="1"/>
  <c r="G82" i="30"/>
  <c r="J82" i="30" s="1"/>
  <c r="H81" i="30"/>
  <c r="K81" i="30" s="1"/>
  <c r="G81" i="30"/>
  <c r="J81" i="30" s="1"/>
  <c r="H80" i="30"/>
  <c r="K80" i="30" s="1"/>
  <c r="G80" i="30"/>
  <c r="J80" i="30" s="1"/>
  <c r="E22" i="29" l="1"/>
  <c r="K21" i="29"/>
  <c r="L21" i="29"/>
  <c r="J21" i="29"/>
  <c r="K802" i="1"/>
  <c r="H4665" i="8"/>
  <c r="H4666" i="8" s="1"/>
  <c r="K105" i="29"/>
  <c r="H4664" i="8"/>
  <c r="H105" i="29"/>
  <c r="J72" i="30"/>
  <c r="E99" i="29" s="1"/>
  <c r="K75" i="30"/>
  <c r="B75" i="30"/>
  <c r="A75" i="30"/>
  <c r="I88" i="30"/>
  <c r="J79" i="30"/>
  <c r="J88" i="30" s="1"/>
  <c r="E101" i="29" s="1"/>
  <c r="H79" i="30"/>
  <c r="K79" i="30" s="1"/>
  <c r="K88" i="30" s="1"/>
  <c r="E97" i="29"/>
  <c r="E63" i="30"/>
  <c r="G63" i="30" s="1"/>
  <c r="J63" i="30" s="1"/>
  <c r="J64" i="30" s="1"/>
  <c r="E93" i="29" s="1"/>
  <c r="E94" i="29" s="1"/>
  <c r="E96" i="29" s="1"/>
  <c r="K59" i="30"/>
  <c r="B59" i="30"/>
  <c r="A59" i="30"/>
  <c r="F60" i="22"/>
  <c r="E60" i="22"/>
  <c r="D60" i="22"/>
  <c r="F59" i="22"/>
  <c r="D59" i="22"/>
  <c r="J61" i="22"/>
  <c r="I62" i="22"/>
  <c r="K61" i="22"/>
  <c r="K62" i="22" s="1"/>
  <c r="K60" i="22"/>
  <c r="K59" i="22"/>
  <c r="F56" i="30"/>
  <c r="D56" i="30"/>
  <c r="F55" i="30"/>
  <c r="D55" i="30"/>
  <c r="F54" i="30"/>
  <c r="D54" i="30"/>
  <c r="K50" i="30"/>
  <c r="B50" i="30"/>
  <c r="A50" i="30"/>
  <c r="K55" i="22"/>
  <c r="B55" i="22"/>
  <c r="A55" i="22"/>
  <c r="A25" i="30"/>
  <c r="B403" i="8"/>
  <c r="C403" i="8"/>
  <c r="E403" i="8"/>
  <c r="H413" i="8" s="1"/>
  <c r="A403" i="8"/>
  <c r="E80" i="29"/>
  <c r="E79" i="29"/>
  <c r="E75" i="29"/>
  <c r="E74" i="29"/>
  <c r="E73" i="29"/>
  <c r="B387" i="8"/>
  <c r="C387" i="8"/>
  <c r="E387" i="8"/>
  <c r="H397" i="8" s="1"/>
  <c r="E70" i="29"/>
  <c r="E69" i="29"/>
  <c r="E68" i="29"/>
  <c r="K29" i="30"/>
  <c r="K30" i="30" s="1"/>
  <c r="E34" i="29" s="1"/>
  <c r="I30" i="30"/>
  <c r="J29" i="30"/>
  <c r="J30" i="30" s="1"/>
  <c r="B371" i="8"/>
  <c r="C371" i="8"/>
  <c r="E371" i="8"/>
  <c r="H381" i="8" s="1"/>
  <c r="E59" i="29"/>
  <c r="E58" i="29"/>
  <c r="E57" i="29"/>
  <c r="E51" i="29"/>
  <c r="E53" i="29"/>
  <c r="E52" i="29"/>
  <c r="K41" i="30"/>
  <c r="B41" i="30"/>
  <c r="A41" i="30"/>
  <c r="J47" i="30"/>
  <c r="G46" i="30"/>
  <c r="J46" i="30" s="1"/>
  <c r="G45" i="30"/>
  <c r="J45" i="30" s="1"/>
  <c r="B13" i="30"/>
  <c r="A13" i="30"/>
  <c r="E827" i="1"/>
  <c r="E234" i="1"/>
  <c r="E233" i="1"/>
  <c r="E232" i="1"/>
  <c r="B4722" i="8"/>
  <c r="C4722" i="8"/>
  <c r="E4722" i="8"/>
  <c r="H4729" i="8" s="1"/>
  <c r="A4722" i="8"/>
  <c r="H4723" i="8"/>
  <c r="B4710" i="8"/>
  <c r="C4710" i="8"/>
  <c r="E4710" i="8"/>
  <c r="H4716" i="8" s="1"/>
  <c r="A4710" i="8"/>
  <c r="H4711" i="8"/>
  <c r="B4696" i="8"/>
  <c r="C4696" i="8"/>
  <c r="E4696" i="8"/>
  <c r="H4704" i="8" s="1"/>
  <c r="A4696" i="8"/>
  <c r="B4683" i="8"/>
  <c r="C4683" i="8"/>
  <c r="E4683" i="8"/>
  <c r="H4690" i="8" s="1"/>
  <c r="A4683" i="8"/>
  <c r="Q21" i="29" l="1"/>
  <c r="N21" i="29"/>
  <c r="R21" i="29"/>
  <c r="O21" i="29"/>
  <c r="K22" i="29"/>
  <c r="L22" i="29"/>
  <c r="J22" i="29"/>
  <c r="J23" i="29" s="1"/>
  <c r="J25" i="29" s="1"/>
  <c r="H94" i="29"/>
  <c r="H93" i="29"/>
  <c r="K124" i="29"/>
  <c r="K135" i="29"/>
  <c r="K93" i="29"/>
  <c r="K119" i="29"/>
  <c r="K96" i="29"/>
  <c r="K46" i="29"/>
  <c r="K58" i="29"/>
  <c r="K97" i="29"/>
  <c r="K130" i="29"/>
  <c r="K94" i="29"/>
  <c r="K121" i="29"/>
  <c r="K57" i="29"/>
  <c r="K78" i="29"/>
  <c r="K79" i="29"/>
  <c r="K68" i="29"/>
  <c r="K74" i="29"/>
  <c r="K53" i="29"/>
  <c r="K59" i="29"/>
  <c r="K122" i="29"/>
  <c r="K70" i="29"/>
  <c r="K43" i="29"/>
  <c r="K91" i="29"/>
  <c r="K56" i="29"/>
  <c r="K47" i="29"/>
  <c r="K69" i="29"/>
  <c r="K30" i="29"/>
  <c r="K75" i="29"/>
  <c r="K115" i="29"/>
  <c r="K73" i="29"/>
  <c r="K34" i="29"/>
  <c r="K116" i="29"/>
  <c r="K117" i="29"/>
  <c r="K52" i="29"/>
  <c r="K67" i="29"/>
  <c r="K51" i="29"/>
  <c r="K101" i="29"/>
  <c r="K118" i="29"/>
  <c r="K90" i="29"/>
  <c r="K48" i="29"/>
  <c r="K133" i="29"/>
  <c r="K114" i="29"/>
  <c r="K80" i="29"/>
  <c r="K123" i="29"/>
  <c r="I105" i="29"/>
  <c r="J105" i="29" s="1"/>
  <c r="T105" i="29" s="1"/>
  <c r="L105" i="29"/>
  <c r="H232" i="1"/>
  <c r="H234" i="1"/>
  <c r="I234" i="1" s="1"/>
  <c r="J234" i="1" s="1"/>
  <c r="Z234" i="1" s="1"/>
  <c r="H233" i="1"/>
  <c r="I233" i="1" s="1"/>
  <c r="J233" i="1" s="1"/>
  <c r="Z233" i="1" s="1"/>
  <c r="K232" i="1"/>
  <c r="K234" i="1"/>
  <c r="K233" i="1"/>
  <c r="G60" i="22"/>
  <c r="J60" i="22" s="1"/>
  <c r="H4658" i="8"/>
  <c r="G59" i="22"/>
  <c r="J59" i="22" s="1"/>
  <c r="G54" i="30"/>
  <c r="J54" i="30" s="1"/>
  <c r="G56" i="30"/>
  <c r="J56" i="30" s="1"/>
  <c r="G55" i="30"/>
  <c r="J55" i="30" s="1"/>
  <c r="H63" i="30"/>
  <c r="K63" i="30" s="1"/>
  <c r="H82" i="1"/>
  <c r="H62" i="29"/>
  <c r="H34" i="29"/>
  <c r="H405" i="8"/>
  <c r="H404" i="8"/>
  <c r="H406" i="8"/>
  <c r="H408" i="8"/>
  <c r="H407" i="8"/>
  <c r="H409" i="8"/>
  <c r="H79" i="29"/>
  <c r="H78" i="29"/>
  <c r="H80" i="29"/>
  <c r="H388" i="8"/>
  <c r="H390" i="8"/>
  <c r="H392" i="8"/>
  <c r="H389" i="8"/>
  <c r="H391" i="8"/>
  <c r="H393" i="8"/>
  <c r="H73" i="29"/>
  <c r="H75" i="29"/>
  <c r="H74" i="29"/>
  <c r="H70" i="29"/>
  <c r="H67" i="29"/>
  <c r="H69" i="29"/>
  <c r="H68" i="29"/>
  <c r="H376" i="8"/>
  <c r="H373" i="8"/>
  <c r="H375" i="8"/>
  <c r="H372" i="8"/>
  <c r="H374" i="8"/>
  <c r="H377" i="8"/>
  <c r="H58" i="29"/>
  <c r="H59" i="29"/>
  <c r="H57" i="29"/>
  <c r="H56" i="29"/>
  <c r="H52" i="29"/>
  <c r="J48" i="30"/>
  <c r="E50" i="29" s="1"/>
  <c r="K50" i="29" s="1"/>
  <c r="H50" i="29"/>
  <c r="H53" i="29"/>
  <c r="H91" i="29"/>
  <c r="H30" i="29"/>
  <c r="H114" i="29"/>
  <c r="H135" i="29"/>
  <c r="H51" i="29"/>
  <c r="H46" i="29"/>
  <c r="H48" i="29"/>
  <c r="H90" i="29"/>
  <c r="H122" i="29"/>
  <c r="H43" i="29"/>
  <c r="H47" i="29"/>
  <c r="H97" i="29"/>
  <c r="H117" i="29"/>
  <c r="H130" i="29"/>
  <c r="H101" i="29"/>
  <c r="H118" i="29"/>
  <c r="H96" i="29"/>
  <c r="H115" i="29"/>
  <c r="H119" i="29"/>
  <c r="H116" i="29"/>
  <c r="H124" i="29"/>
  <c r="H133" i="29"/>
  <c r="H123" i="29"/>
  <c r="H4724" i="8"/>
  <c r="H4727" i="8" s="1"/>
  <c r="H4725" i="8"/>
  <c r="H4712" i="8"/>
  <c r="H4714" i="8" s="1"/>
  <c r="H4698" i="8"/>
  <c r="H4699" i="8"/>
  <c r="H4697" i="8"/>
  <c r="H4700" i="8"/>
  <c r="H4685" i="8"/>
  <c r="H4686" i="8"/>
  <c r="H4684" i="8"/>
  <c r="H4688" i="8" s="1"/>
  <c r="F152" i="23"/>
  <c r="D144" i="23"/>
  <c r="C144" i="23"/>
  <c r="A144" i="23"/>
  <c r="F142" i="23"/>
  <c r="D134" i="23"/>
  <c r="C134" i="23"/>
  <c r="A134" i="23"/>
  <c r="D81" i="20"/>
  <c r="G81" i="20" s="1"/>
  <c r="E321" i="1" s="1"/>
  <c r="E34" i="20"/>
  <c r="K770" i="22"/>
  <c r="J770" i="22"/>
  <c r="I770" i="22"/>
  <c r="K769" i="22"/>
  <c r="J769" i="22"/>
  <c r="I769" i="22"/>
  <c r="K768" i="22"/>
  <c r="J768" i="22"/>
  <c r="I768" i="22"/>
  <c r="K767" i="22"/>
  <c r="J767" i="22"/>
  <c r="I767" i="22"/>
  <c r="K766" i="22"/>
  <c r="J766" i="22"/>
  <c r="I766" i="22"/>
  <c r="K765" i="22"/>
  <c r="J765" i="22"/>
  <c r="I765" i="22"/>
  <c r="K764" i="22"/>
  <c r="J764" i="22"/>
  <c r="I764" i="22"/>
  <c r="K763" i="22"/>
  <c r="J763" i="22"/>
  <c r="I763" i="22"/>
  <c r="K762" i="22"/>
  <c r="J762" i="22"/>
  <c r="I762" i="22"/>
  <c r="K761" i="22"/>
  <c r="J761" i="22"/>
  <c r="I761" i="22"/>
  <c r="K760" i="22"/>
  <c r="J760" i="22"/>
  <c r="I760" i="22"/>
  <c r="K759" i="22"/>
  <c r="J759" i="22"/>
  <c r="I759" i="22"/>
  <c r="K758" i="22"/>
  <c r="J758" i="22"/>
  <c r="I758" i="22"/>
  <c r="K757" i="22"/>
  <c r="J757" i="22"/>
  <c r="I757" i="22"/>
  <c r="K756" i="22"/>
  <c r="J756" i="22"/>
  <c r="I756" i="22"/>
  <c r="K755" i="22"/>
  <c r="J755" i="22"/>
  <c r="I755" i="22"/>
  <c r="K754" i="22"/>
  <c r="J754" i="22"/>
  <c r="I754" i="22"/>
  <c r="K753" i="22"/>
  <c r="J753" i="22"/>
  <c r="I753" i="22"/>
  <c r="K752" i="22"/>
  <c r="J752" i="22"/>
  <c r="I752" i="22"/>
  <c r="K751" i="22"/>
  <c r="J751" i="22"/>
  <c r="I751" i="22"/>
  <c r="K750" i="22"/>
  <c r="J750" i="22"/>
  <c r="I750" i="22"/>
  <c r="K749" i="22"/>
  <c r="J749" i="22"/>
  <c r="I749" i="22"/>
  <c r="K748" i="22"/>
  <c r="J748" i="22"/>
  <c r="I748" i="22"/>
  <c r="K747" i="22"/>
  <c r="J747" i="22"/>
  <c r="I747" i="22"/>
  <c r="K746" i="22"/>
  <c r="J746" i="22"/>
  <c r="I746" i="22"/>
  <c r="K742" i="22"/>
  <c r="B742" i="22"/>
  <c r="A742" i="22"/>
  <c r="K739" i="22"/>
  <c r="I739" i="22"/>
  <c r="G739" i="22"/>
  <c r="J739" i="22" s="1"/>
  <c r="K738" i="22"/>
  <c r="I738" i="22"/>
  <c r="G738" i="22"/>
  <c r="J738" i="22" s="1"/>
  <c r="K734" i="22"/>
  <c r="B734" i="22"/>
  <c r="A734" i="22"/>
  <c r="K731" i="22"/>
  <c r="J731" i="22"/>
  <c r="I731" i="22"/>
  <c r="K730" i="22"/>
  <c r="J730" i="22"/>
  <c r="I730" i="22"/>
  <c r="K729" i="22"/>
  <c r="J729" i="22"/>
  <c r="I729" i="22"/>
  <c r="K728" i="22"/>
  <c r="J728" i="22"/>
  <c r="I728" i="22"/>
  <c r="K727" i="22"/>
  <c r="J727" i="22"/>
  <c r="F727" i="22"/>
  <c r="I727" i="22" s="1"/>
  <c r="K726" i="22"/>
  <c r="J726" i="22"/>
  <c r="I726" i="22"/>
  <c r="K725" i="22"/>
  <c r="J725" i="22"/>
  <c r="F725" i="22"/>
  <c r="I725" i="22" s="1"/>
  <c r="K724" i="22"/>
  <c r="J724" i="22"/>
  <c r="F724" i="22"/>
  <c r="I724" i="22" s="1"/>
  <c r="K723" i="22"/>
  <c r="J723" i="22"/>
  <c r="F723" i="22"/>
  <c r="I723" i="22" s="1"/>
  <c r="K722" i="22"/>
  <c r="J722" i="22"/>
  <c r="F722" i="22"/>
  <c r="I722" i="22" s="1"/>
  <c r="K721" i="22"/>
  <c r="J721" i="22"/>
  <c r="I721" i="22"/>
  <c r="K720" i="22"/>
  <c r="J720" i="22"/>
  <c r="I720" i="22"/>
  <c r="K719" i="22"/>
  <c r="J719" i="22"/>
  <c r="I719" i="22"/>
  <c r="K718" i="22"/>
  <c r="J718" i="22"/>
  <c r="F718" i="22"/>
  <c r="I718" i="22" s="1"/>
  <c r="K717" i="22"/>
  <c r="J717" i="22"/>
  <c r="F717" i="22"/>
  <c r="I717" i="22" s="1"/>
  <c r="K716" i="22"/>
  <c r="J716" i="22"/>
  <c r="F716" i="22"/>
  <c r="I716" i="22" s="1"/>
  <c r="K715" i="22"/>
  <c r="J715" i="22"/>
  <c r="F715" i="22"/>
  <c r="I715" i="22" s="1"/>
  <c r="K714" i="22"/>
  <c r="J714" i="22"/>
  <c r="F714" i="22"/>
  <c r="I714" i="22" s="1"/>
  <c r="K713" i="22"/>
  <c r="J713" i="22"/>
  <c r="F713" i="22"/>
  <c r="I713" i="22" s="1"/>
  <c r="K712" i="22"/>
  <c r="J712" i="22"/>
  <c r="F712" i="22"/>
  <c r="I712" i="22" s="1"/>
  <c r="K711" i="22"/>
  <c r="J711" i="22"/>
  <c r="I711" i="22"/>
  <c r="K710" i="22"/>
  <c r="J710" i="22"/>
  <c r="I710" i="22"/>
  <c r="K709" i="22"/>
  <c r="J709" i="22"/>
  <c r="I709" i="22"/>
  <c r="K708" i="22"/>
  <c r="J708" i="22"/>
  <c r="I708" i="22"/>
  <c r="K707" i="22"/>
  <c r="J707" i="22"/>
  <c r="I707" i="22"/>
  <c r="K703" i="22"/>
  <c r="B703" i="22"/>
  <c r="A703" i="22"/>
  <c r="I701" i="22"/>
  <c r="K700" i="22"/>
  <c r="D700" i="22"/>
  <c r="G700" i="22" s="1"/>
  <c r="J700" i="22" s="1"/>
  <c r="K699" i="22"/>
  <c r="D699" i="22"/>
  <c r="G699" i="22" s="1"/>
  <c r="J699" i="22" s="1"/>
  <c r="K698" i="22"/>
  <c r="D698" i="22"/>
  <c r="G698" i="22" s="1"/>
  <c r="J698" i="22" s="1"/>
  <c r="K697" i="22"/>
  <c r="F697" i="22"/>
  <c r="D697" i="22"/>
  <c r="K696" i="22"/>
  <c r="F696" i="22"/>
  <c r="D696" i="22"/>
  <c r="K695" i="22"/>
  <c r="F695" i="22"/>
  <c r="D695" i="22"/>
  <c r="K694" i="22"/>
  <c r="F694" i="22"/>
  <c r="D694" i="22"/>
  <c r="K693" i="22"/>
  <c r="F693" i="22"/>
  <c r="G693" i="22" s="1"/>
  <c r="J693" i="22" s="1"/>
  <c r="K692" i="22"/>
  <c r="F692" i="22"/>
  <c r="D692" i="22"/>
  <c r="K691" i="22"/>
  <c r="F691" i="22"/>
  <c r="D691" i="22"/>
  <c r="K690" i="22"/>
  <c r="D690" i="22"/>
  <c r="G690" i="22" s="1"/>
  <c r="J690" i="22" s="1"/>
  <c r="K689" i="22"/>
  <c r="D689" i="22"/>
  <c r="G689" i="22" s="1"/>
  <c r="J689" i="22" s="1"/>
  <c r="K688" i="22"/>
  <c r="F688" i="22"/>
  <c r="D688" i="22"/>
  <c r="K687" i="22"/>
  <c r="F687" i="22"/>
  <c r="D687" i="22"/>
  <c r="K686" i="22"/>
  <c r="D686" i="22"/>
  <c r="G686" i="22" s="1"/>
  <c r="J686" i="22" s="1"/>
  <c r="K685" i="22"/>
  <c r="D685" i="22"/>
  <c r="G685" i="22" s="1"/>
  <c r="J685" i="22" s="1"/>
  <c r="K684" i="22"/>
  <c r="D684" i="22"/>
  <c r="G684" i="22" s="1"/>
  <c r="J684" i="22" s="1"/>
  <c r="K683" i="22"/>
  <c r="D683" i="22"/>
  <c r="G683" i="22" s="1"/>
  <c r="J683" i="22" s="1"/>
  <c r="K682" i="22"/>
  <c r="F682" i="22"/>
  <c r="D682" i="22"/>
  <c r="K681" i="22"/>
  <c r="F681" i="22"/>
  <c r="D681" i="22"/>
  <c r="K680" i="22"/>
  <c r="F680" i="22"/>
  <c r="D680" i="22"/>
  <c r="K679" i="22"/>
  <c r="G679" i="22"/>
  <c r="J679" i="22" s="1"/>
  <c r="K678" i="22"/>
  <c r="G678" i="22"/>
  <c r="J678" i="22" s="1"/>
  <c r="K677" i="22"/>
  <c r="G677" i="22"/>
  <c r="J677" i="22" s="1"/>
  <c r="K676" i="22"/>
  <c r="G676" i="22"/>
  <c r="J676" i="22" s="1"/>
  <c r="K672" i="22"/>
  <c r="B672" i="22"/>
  <c r="A672" i="22"/>
  <c r="K669" i="22"/>
  <c r="I669" i="22"/>
  <c r="G669" i="22"/>
  <c r="J669" i="22" s="1"/>
  <c r="K668" i="22"/>
  <c r="I668" i="22"/>
  <c r="G668" i="22"/>
  <c r="J668" i="22" s="1"/>
  <c r="K664" i="22"/>
  <c r="B664" i="22"/>
  <c r="A664" i="22"/>
  <c r="K643" i="22"/>
  <c r="B643" i="22"/>
  <c r="A643" i="22"/>
  <c r="K640" i="22"/>
  <c r="J640" i="22"/>
  <c r="I640" i="22"/>
  <c r="K639" i="22"/>
  <c r="J639" i="22"/>
  <c r="I639" i="22"/>
  <c r="K638" i="22"/>
  <c r="J638" i="22"/>
  <c r="I638" i="22"/>
  <c r="K637" i="22"/>
  <c r="J637" i="22"/>
  <c r="I637" i="22"/>
  <c r="K633" i="22"/>
  <c r="B633" i="22"/>
  <c r="A633" i="22"/>
  <c r="K630" i="22"/>
  <c r="J630" i="22"/>
  <c r="I630" i="22"/>
  <c r="K629" i="22"/>
  <c r="J629" i="22"/>
  <c r="I629" i="22"/>
  <c r="K628" i="22"/>
  <c r="J628" i="22"/>
  <c r="I628" i="22"/>
  <c r="K627" i="22"/>
  <c r="J627" i="22"/>
  <c r="I627" i="22"/>
  <c r="K626" i="22"/>
  <c r="J626" i="22"/>
  <c r="I626" i="22"/>
  <c r="K625" i="22"/>
  <c r="J625" i="22"/>
  <c r="I625" i="22"/>
  <c r="K624" i="22"/>
  <c r="J624" i="22"/>
  <c r="I624" i="22"/>
  <c r="K623" i="22"/>
  <c r="J623" i="22"/>
  <c r="I623" i="22"/>
  <c r="K619" i="22"/>
  <c r="B619" i="22"/>
  <c r="A619" i="22"/>
  <c r="K616" i="22"/>
  <c r="K617" i="22" s="1"/>
  <c r="J616" i="22"/>
  <c r="J617" i="22" s="1"/>
  <c r="I616" i="22"/>
  <c r="I617" i="22" s="1"/>
  <c r="K612" i="22"/>
  <c r="B612" i="22"/>
  <c r="A612" i="22"/>
  <c r="K609" i="22"/>
  <c r="K610" i="22" s="1"/>
  <c r="J609" i="22"/>
  <c r="J610" i="22" s="1"/>
  <c r="I609" i="22"/>
  <c r="K608" i="22"/>
  <c r="J608" i="22"/>
  <c r="I608" i="22"/>
  <c r="K604" i="22"/>
  <c r="B604" i="22"/>
  <c r="A604" i="22"/>
  <c r="K601" i="22"/>
  <c r="K602" i="22" s="1"/>
  <c r="J601" i="22"/>
  <c r="J602" i="22" s="1"/>
  <c r="D601" i="22"/>
  <c r="I601" i="22" s="1"/>
  <c r="I602" i="22" s="1"/>
  <c r="E203" i="1" s="1"/>
  <c r="K597" i="22"/>
  <c r="B597" i="22"/>
  <c r="A597" i="22"/>
  <c r="I595" i="22"/>
  <c r="K594" i="22"/>
  <c r="K593" i="22"/>
  <c r="K592" i="22"/>
  <c r="K591" i="22"/>
  <c r="K590" i="22"/>
  <c r="K589" i="22"/>
  <c r="K585" i="22"/>
  <c r="B585" i="22"/>
  <c r="A585" i="22"/>
  <c r="I583" i="22"/>
  <c r="K582" i="22"/>
  <c r="J582" i="22"/>
  <c r="K581" i="22"/>
  <c r="J581" i="22"/>
  <c r="K580" i="22"/>
  <c r="J580" i="22"/>
  <c r="K579" i="22"/>
  <c r="J579" i="22"/>
  <c r="K575" i="22"/>
  <c r="B575" i="22"/>
  <c r="A575" i="22"/>
  <c r="I573" i="22"/>
  <c r="K572" i="22"/>
  <c r="J572" i="22"/>
  <c r="K571" i="22"/>
  <c r="J571" i="22"/>
  <c r="K570" i="22"/>
  <c r="J570" i="22"/>
  <c r="K569" i="22"/>
  <c r="J569" i="22"/>
  <c r="K565" i="22"/>
  <c r="B565" i="22"/>
  <c r="A565" i="22"/>
  <c r="I563" i="22"/>
  <c r="K562" i="22"/>
  <c r="K563" i="22" s="1"/>
  <c r="K558" i="22"/>
  <c r="B558" i="22"/>
  <c r="A558" i="22"/>
  <c r="I556" i="22"/>
  <c r="K555" i="22"/>
  <c r="K556" i="22" s="1"/>
  <c r="K551" i="22"/>
  <c r="B551" i="22"/>
  <c r="A551" i="22"/>
  <c r="I549" i="22"/>
  <c r="K548" i="22"/>
  <c r="G548" i="22"/>
  <c r="J548" i="22" s="1"/>
  <c r="K547" i="22"/>
  <c r="J547" i="22"/>
  <c r="K543" i="22"/>
  <c r="B543" i="22"/>
  <c r="A543" i="22"/>
  <c r="I541" i="22"/>
  <c r="K540" i="22"/>
  <c r="K539" i="22"/>
  <c r="J539" i="22"/>
  <c r="K538" i="22"/>
  <c r="J538" i="22"/>
  <c r="K537" i="22"/>
  <c r="J537" i="22"/>
  <c r="K536" i="22"/>
  <c r="D536" i="22"/>
  <c r="G536" i="22" s="1"/>
  <c r="J536" i="22" s="1"/>
  <c r="K535" i="22"/>
  <c r="D535" i="22"/>
  <c r="G535" i="22" s="1"/>
  <c r="J535" i="22" s="1"/>
  <c r="K531" i="22"/>
  <c r="B531" i="22"/>
  <c r="A531" i="22"/>
  <c r="I529" i="22"/>
  <c r="K528" i="22"/>
  <c r="K529" i="22" s="1"/>
  <c r="J528" i="22"/>
  <c r="J529" i="22" s="1"/>
  <c r="E186" i="1" s="1"/>
  <c r="K524" i="22"/>
  <c r="B524" i="22"/>
  <c r="A524" i="22"/>
  <c r="I522" i="22"/>
  <c r="K521" i="22"/>
  <c r="K520" i="22"/>
  <c r="K516" i="22"/>
  <c r="B516" i="22"/>
  <c r="A516" i="22"/>
  <c r="I498" i="22"/>
  <c r="K497" i="22"/>
  <c r="K498" i="22" s="1"/>
  <c r="G497" i="22"/>
  <c r="J497" i="22" s="1"/>
  <c r="J498" i="22" s="1"/>
  <c r="K493" i="22"/>
  <c r="B493" i="22"/>
  <c r="A493" i="22"/>
  <c r="I491" i="22"/>
  <c r="K490" i="22"/>
  <c r="G490" i="22"/>
  <c r="J490" i="22" s="1"/>
  <c r="K489" i="22"/>
  <c r="G489" i="22"/>
  <c r="J489" i="22" s="1"/>
  <c r="K488" i="22"/>
  <c r="G488" i="22"/>
  <c r="J488" i="22" s="1"/>
  <c r="K487" i="22"/>
  <c r="G487" i="22"/>
  <c r="J487" i="22" s="1"/>
  <c r="K486" i="22"/>
  <c r="G486" i="22"/>
  <c r="J486" i="22" s="1"/>
  <c r="K485" i="22"/>
  <c r="G485" i="22"/>
  <c r="J485" i="22" s="1"/>
  <c r="K484" i="22"/>
  <c r="G484" i="22"/>
  <c r="J484" i="22" s="1"/>
  <c r="K483" i="22"/>
  <c r="G483" i="22"/>
  <c r="J483" i="22" s="1"/>
  <c r="K482" i="22"/>
  <c r="G482" i="22"/>
  <c r="J482" i="22" s="1"/>
  <c r="K478" i="22"/>
  <c r="B478" i="22"/>
  <c r="A478" i="22"/>
  <c r="I476" i="22"/>
  <c r="K475" i="22"/>
  <c r="K474" i="22"/>
  <c r="K473" i="22"/>
  <c r="K469" i="22"/>
  <c r="B469" i="22"/>
  <c r="A469" i="22"/>
  <c r="I467" i="22"/>
  <c r="K466" i="22"/>
  <c r="K465" i="22"/>
  <c r="K464" i="22"/>
  <c r="K460" i="22"/>
  <c r="B460" i="22"/>
  <c r="A460" i="22"/>
  <c r="I458" i="22"/>
  <c r="K457" i="22"/>
  <c r="J457" i="22"/>
  <c r="K456" i="22"/>
  <c r="J456" i="22"/>
  <c r="K455" i="22"/>
  <c r="J455" i="22"/>
  <c r="K451" i="22"/>
  <c r="B451" i="22"/>
  <c r="A451" i="22"/>
  <c r="K446" i="22"/>
  <c r="J446" i="22"/>
  <c r="J449" i="22" s="1"/>
  <c r="E173" i="1" s="1"/>
  <c r="E1097" i="8" s="1"/>
  <c r="H1107" i="8" s="1"/>
  <c r="K445" i="22"/>
  <c r="K441" i="22"/>
  <c r="B441" i="22"/>
  <c r="A441" i="22"/>
  <c r="I439" i="22"/>
  <c r="K438" i="22"/>
  <c r="K437" i="22"/>
  <c r="K433" i="22"/>
  <c r="B433" i="22"/>
  <c r="A433" i="22"/>
  <c r="I431" i="22"/>
  <c r="K430" i="22"/>
  <c r="J430" i="22"/>
  <c r="K429" i="22"/>
  <c r="J429" i="22"/>
  <c r="K425" i="22"/>
  <c r="B425" i="22"/>
  <c r="A425" i="22"/>
  <c r="I423" i="22"/>
  <c r="C422" i="22"/>
  <c r="K422" i="22" s="1"/>
  <c r="K421" i="22"/>
  <c r="J421" i="22"/>
  <c r="K417" i="22"/>
  <c r="B417" i="22"/>
  <c r="A417" i="22"/>
  <c r="I415" i="22"/>
  <c r="K414" i="22"/>
  <c r="G414" i="22"/>
  <c r="J414" i="22" s="1"/>
  <c r="K413" i="22"/>
  <c r="J413" i="22"/>
  <c r="K412" i="22"/>
  <c r="J412" i="22"/>
  <c r="K408" i="22"/>
  <c r="B408" i="22"/>
  <c r="A408" i="22"/>
  <c r="K405" i="22"/>
  <c r="J405" i="22"/>
  <c r="K404" i="22"/>
  <c r="J404" i="22"/>
  <c r="K400" i="22"/>
  <c r="B400" i="22"/>
  <c r="A400" i="22"/>
  <c r="J398" i="22"/>
  <c r="K397" i="22"/>
  <c r="I397" i="22"/>
  <c r="K396" i="22"/>
  <c r="I396" i="22"/>
  <c r="K395" i="22"/>
  <c r="I395" i="22"/>
  <c r="K391" i="22"/>
  <c r="B391" i="22"/>
  <c r="A391" i="22"/>
  <c r="J389" i="22"/>
  <c r="K388" i="22"/>
  <c r="D388" i="22"/>
  <c r="I388" i="22" s="1"/>
  <c r="K387" i="22"/>
  <c r="D387" i="22"/>
  <c r="I387" i="22" s="1"/>
  <c r="K383" i="22"/>
  <c r="B383" i="22"/>
  <c r="A383" i="22"/>
  <c r="J380" i="22"/>
  <c r="J379" i="22"/>
  <c r="K375" i="22"/>
  <c r="B375" i="22"/>
  <c r="A375" i="22"/>
  <c r="J372" i="22"/>
  <c r="J370" i="22"/>
  <c r="J363" i="22"/>
  <c r="J362" i="22"/>
  <c r="K354" i="22"/>
  <c r="B354" i="22"/>
  <c r="A354" i="22"/>
  <c r="I352" i="22"/>
  <c r="K351" i="22"/>
  <c r="J351" i="22"/>
  <c r="K350" i="22"/>
  <c r="J350" i="22"/>
  <c r="K346" i="22"/>
  <c r="B346" i="22"/>
  <c r="A346" i="22"/>
  <c r="G343" i="22"/>
  <c r="J343" i="22" s="1"/>
  <c r="G342" i="22"/>
  <c r="J342" i="22" s="1"/>
  <c r="G341" i="22"/>
  <c r="J341" i="22" s="1"/>
  <c r="G340" i="22"/>
  <c r="J340" i="22" s="1"/>
  <c r="G339" i="22"/>
  <c r="J339" i="22" s="1"/>
  <c r="G338" i="22"/>
  <c r="J338" i="22" s="1"/>
  <c r="K334" i="22"/>
  <c r="B334" i="22"/>
  <c r="A334" i="22"/>
  <c r="I332" i="22"/>
  <c r="K331" i="22"/>
  <c r="G331" i="22"/>
  <c r="J331" i="22" s="1"/>
  <c r="K330" i="22"/>
  <c r="G330" i="22"/>
  <c r="J330" i="22" s="1"/>
  <c r="K329" i="22"/>
  <c r="G329" i="22"/>
  <c r="J329" i="22" s="1"/>
  <c r="K328" i="22"/>
  <c r="G328" i="22"/>
  <c r="J328" i="22" s="1"/>
  <c r="K324" i="22"/>
  <c r="B324" i="22"/>
  <c r="A324" i="22"/>
  <c r="I322" i="22"/>
  <c r="K321" i="22"/>
  <c r="G321" i="22"/>
  <c r="J321" i="22" s="1"/>
  <c r="K320" i="22"/>
  <c r="G320" i="22"/>
  <c r="J320" i="22" s="1"/>
  <c r="K319" i="22"/>
  <c r="G319" i="22"/>
  <c r="J319" i="22" s="1"/>
  <c r="K318" i="22"/>
  <c r="G318" i="22"/>
  <c r="J318" i="22" s="1"/>
  <c r="K317" i="22"/>
  <c r="G317" i="22"/>
  <c r="J317" i="22" s="1"/>
  <c r="K316" i="22"/>
  <c r="G316" i="22"/>
  <c r="J316" i="22" s="1"/>
  <c r="K315" i="22"/>
  <c r="G315" i="22"/>
  <c r="J315" i="22" s="1"/>
  <c r="K314" i="22"/>
  <c r="G314" i="22"/>
  <c r="J314" i="22" s="1"/>
  <c r="K313" i="22"/>
  <c r="G313" i="22"/>
  <c r="J313" i="22" s="1"/>
  <c r="K312" i="22"/>
  <c r="G312" i="22"/>
  <c r="J312" i="22" s="1"/>
  <c r="K311" i="22"/>
  <c r="G311" i="22"/>
  <c r="J311" i="22" s="1"/>
  <c r="K307" i="22"/>
  <c r="B307" i="22"/>
  <c r="A307" i="22"/>
  <c r="K304" i="22"/>
  <c r="G304" i="22"/>
  <c r="J304" i="22" s="1"/>
  <c r="K303" i="22"/>
  <c r="G303" i="22"/>
  <c r="J303" i="22" s="1"/>
  <c r="K299" i="22"/>
  <c r="B299" i="22"/>
  <c r="A299" i="22"/>
  <c r="K296" i="22"/>
  <c r="J296" i="22"/>
  <c r="D296" i="22"/>
  <c r="I296" i="22" s="1"/>
  <c r="K295" i="22"/>
  <c r="J295" i="22"/>
  <c r="I295" i="22"/>
  <c r="K294" i="22"/>
  <c r="J294" i="22"/>
  <c r="I294" i="22"/>
  <c r="K290" i="22"/>
  <c r="B290" i="22"/>
  <c r="A290" i="22"/>
  <c r="K287" i="22"/>
  <c r="K288" i="22" s="1"/>
  <c r="D287" i="22"/>
  <c r="I287" i="22" s="1"/>
  <c r="I288" i="22" s="1"/>
  <c r="E125" i="1" s="1"/>
  <c r="K283" i="22"/>
  <c r="B283" i="22"/>
  <c r="A283" i="22"/>
  <c r="K280" i="22"/>
  <c r="G280" i="22"/>
  <c r="J280" i="22" s="1"/>
  <c r="K279" i="22"/>
  <c r="I279" i="22"/>
  <c r="K275" i="22"/>
  <c r="B275" i="22"/>
  <c r="A275" i="22"/>
  <c r="I273" i="22"/>
  <c r="K272" i="22"/>
  <c r="G272" i="22"/>
  <c r="J272" i="22" s="1"/>
  <c r="K271" i="22"/>
  <c r="G271" i="22"/>
  <c r="J271" i="22" s="1"/>
  <c r="K267" i="22"/>
  <c r="B267" i="22"/>
  <c r="A267" i="22"/>
  <c r="J264" i="22"/>
  <c r="G263" i="22"/>
  <c r="J263" i="22" s="1"/>
  <c r="G262" i="22"/>
  <c r="J262" i="22" s="1"/>
  <c r="K258" i="22"/>
  <c r="B258" i="22"/>
  <c r="A258" i="22"/>
  <c r="I256" i="22"/>
  <c r="G255" i="22"/>
  <c r="J255" i="22" s="1"/>
  <c r="K253" i="22"/>
  <c r="G253" i="22"/>
  <c r="J253" i="22" s="1"/>
  <c r="K251" i="22"/>
  <c r="G251" i="22"/>
  <c r="J251" i="22" s="1"/>
  <c r="K250" i="22"/>
  <c r="G250" i="22"/>
  <c r="J250" i="22" s="1"/>
  <c r="K249" i="22"/>
  <c r="G249" i="22"/>
  <c r="J249" i="22" s="1"/>
  <c r="K245" i="22"/>
  <c r="B245" i="22"/>
  <c r="A245" i="22"/>
  <c r="I177" i="22"/>
  <c r="K176" i="22"/>
  <c r="K175" i="22"/>
  <c r="G175" i="22"/>
  <c r="J175" i="22" s="1"/>
  <c r="K174" i="22"/>
  <c r="G174" i="22"/>
  <c r="J174" i="22" s="1"/>
  <c r="K173" i="22"/>
  <c r="G173" i="22"/>
  <c r="J173" i="22" s="1"/>
  <c r="K172" i="22"/>
  <c r="G172" i="22"/>
  <c r="J172" i="22" s="1"/>
  <c r="K171" i="22"/>
  <c r="G171" i="22"/>
  <c r="J171" i="22" s="1"/>
  <c r="K170" i="22"/>
  <c r="G170" i="22"/>
  <c r="J170" i="22" s="1"/>
  <c r="J169" i="22"/>
  <c r="H169" i="22"/>
  <c r="K169" i="22" s="1"/>
  <c r="J168" i="22"/>
  <c r="H168" i="22"/>
  <c r="K168" i="22" s="1"/>
  <c r="J167" i="22"/>
  <c r="H167" i="22"/>
  <c r="K167" i="22" s="1"/>
  <c r="J166" i="22"/>
  <c r="H166" i="22"/>
  <c r="K166" i="22" s="1"/>
  <c r="J165" i="22"/>
  <c r="H165" i="22"/>
  <c r="K165" i="22" s="1"/>
  <c r="J164" i="22"/>
  <c r="H164" i="22"/>
  <c r="K164" i="22" s="1"/>
  <c r="J163" i="22"/>
  <c r="H163" i="22"/>
  <c r="K163" i="22" s="1"/>
  <c r="J162" i="22"/>
  <c r="H162" i="22"/>
  <c r="K162" i="22" s="1"/>
  <c r="J161" i="22"/>
  <c r="H161" i="22"/>
  <c r="K161" i="22" s="1"/>
  <c r="J160" i="22"/>
  <c r="H160" i="22"/>
  <c r="K160" i="22" s="1"/>
  <c r="J159" i="22"/>
  <c r="H159" i="22"/>
  <c r="K159" i="22" s="1"/>
  <c r="J158" i="22"/>
  <c r="H158" i="22"/>
  <c r="K158" i="22" s="1"/>
  <c r="J157" i="22"/>
  <c r="H157" i="22"/>
  <c r="K157" i="22" s="1"/>
  <c r="J156" i="22"/>
  <c r="H156" i="22"/>
  <c r="K156" i="22" s="1"/>
  <c r="J155" i="22"/>
  <c r="H155" i="22"/>
  <c r="K155" i="22" s="1"/>
  <c r="J154" i="22"/>
  <c r="H154" i="22"/>
  <c r="K154" i="22" s="1"/>
  <c r="J153" i="22"/>
  <c r="H153" i="22"/>
  <c r="K153" i="22" s="1"/>
  <c r="J152" i="22"/>
  <c r="H152" i="22"/>
  <c r="K152" i="22" s="1"/>
  <c r="J151" i="22"/>
  <c r="H151" i="22"/>
  <c r="K151" i="22" s="1"/>
  <c r="B147" i="22"/>
  <c r="A147" i="22"/>
  <c r="I119" i="22"/>
  <c r="K118" i="22"/>
  <c r="G118" i="22"/>
  <c r="J118" i="22" s="1"/>
  <c r="K117" i="22"/>
  <c r="G117" i="22"/>
  <c r="J117" i="22" s="1"/>
  <c r="K116" i="22"/>
  <c r="G116" i="22"/>
  <c r="J116" i="22" s="1"/>
  <c r="K115" i="22"/>
  <c r="G115" i="22"/>
  <c r="J115" i="22" s="1"/>
  <c r="K114" i="22"/>
  <c r="G114" i="22"/>
  <c r="J114" i="22" s="1"/>
  <c r="K113" i="22"/>
  <c r="G113" i="22"/>
  <c r="J113" i="22" s="1"/>
  <c r="K112" i="22"/>
  <c r="F112" i="22"/>
  <c r="D112" i="22"/>
  <c r="K111" i="22"/>
  <c r="F111" i="22"/>
  <c r="D111" i="22"/>
  <c r="K110" i="22"/>
  <c r="F110" i="22"/>
  <c r="D110" i="22"/>
  <c r="K109" i="22"/>
  <c r="F109" i="22"/>
  <c r="D109" i="22"/>
  <c r="K108" i="22"/>
  <c r="F108" i="22"/>
  <c r="D108" i="22"/>
  <c r="K107" i="22"/>
  <c r="F107" i="22"/>
  <c r="D107" i="22"/>
  <c r="K106" i="22"/>
  <c r="F106" i="22"/>
  <c r="D106" i="22"/>
  <c r="K105" i="22"/>
  <c r="F105" i="22"/>
  <c r="D105" i="22"/>
  <c r="K104" i="22"/>
  <c r="F104" i="22"/>
  <c r="D104" i="22"/>
  <c r="K103" i="22"/>
  <c r="F103" i="22"/>
  <c r="D103" i="22"/>
  <c r="K102" i="22"/>
  <c r="F102" i="22"/>
  <c r="D102" i="22"/>
  <c r="K101" i="22"/>
  <c r="F101" i="22"/>
  <c r="D101" i="22"/>
  <c r="K100" i="22"/>
  <c r="F100" i="22"/>
  <c r="D100" i="22"/>
  <c r="K99" i="22"/>
  <c r="F99" i="22"/>
  <c r="D99" i="22"/>
  <c r="K98" i="22"/>
  <c r="F98" i="22"/>
  <c r="D98" i="22"/>
  <c r="K97" i="22"/>
  <c r="F97" i="22"/>
  <c r="G97" i="22" s="1"/>
  <c r="J97" i="22" s="1"/>
  <c r="K96" i="22"/>
  <c r="F96" i="22"/>
  <c r="K95" i="22"/>
  <c r="F95" i="22"/>
  <c r="G95" i="22" s="1"/>
  <c r="J95" i="22" s="1"/>
  <c r="K94" i="22"/>
  <c r="F94" i="22"/>
  <c r="G94" i="22" s="1"/>
  <c r="J94" i="22" s="1"/>
  <c r="K90" i="22"/>
  <c r="B90" i="22"/>
  <c r="A90" i="22"/>
  <c r="I202" i="22"/>
  <c r="K201" i="22"/>
  <c r="J201" i="22"/>
  <c r="K200" i="22"/>
  <c r="J200" i="22"/>
  <c r="K196" i="22"/>
  <c r="B196" i="22"/>
  <c r="A196" i="22"/>
  <c r="K193" i="22"/>
  <c r="J193" i="22"/>
  <c r="K192" i="22"/>
  <c r="J192" i="22"/>
  <c r="K188" i="22"/>
  <c r="B188" i="22"/>
  <c r="A188" i="22"/>
  <c r="I186" i="22"/>
  <c r="K185" i="22"/>
  <c r="G185" i="22"/>
  <c r="J185" i="22" s="1"/>
  <c r="K184" i="22"/>
  <c r="G184" i="22"/>
  <c r="J184" i="22" s="1"/>
  <c r="K183" i="22"/>
  <c r="G183" i="22"/>
  <c r="J183" i="22" s="1"/>
  <c r="K179" i="22"/>
  <c r="B179" i="22"/>
  <c r="A179" i="22"/>
  <c r="J86" i="22"/>
  <c r="E86" i="22"/>
  <c r="H86" i="22" s="1"/>
  <c r="K86" i="22" s="1"/>
  <c r="J85" i="22"/>
  <c r="H85" i="22"/>
  <c r="K85" i="22" s="1"/>
  <c r="J84" i="22"/>
  <c r="H84" i="22"/>
  <c r="K84" i="22" s="1"/>
  <c r="J83" i="22"/>
  <c r="H83" i="22"/>
  <c r="K83" i="22" s="1"/>
  <c r="K79" i="22"/>
  <c r="I76" i="22"/>
  <c r="I77" i="22" s="1"/>
  <c r="K75" i="22"/>
  <c r="G75" i="22"/>
  <c r="J75" i="22" s="1"/>
  <c r="K74" i="22"/>
  <c r="G74" i="22"/>
  <c r="J74" i="22" s="1"/>
  <c r="K73" i="22"/>
  <c r="G73" i="22"/>
  <c r="J73" i="22" s="1"/>
  <c r="K72" i="22"/>
  <c r="G72" i="22"/>
  <c r="J72" i="22" s="1"/>
  <c r="K71" i="22"/>
  <c r="G71" i="22"/>
  <c r="J71" i="22" s="1"/>
  <c r="K70" i="22"/>
  <c r="D70" i="22"/>
  <c r="G70" i="22" s="1"/>
  <c r="J70" i="22" s="1"/>
  <c r="K69" i="22"/>
  <c r="D69" i="22"/>
  <c r="G69" i="22" s="1"/>
  <c r="J69" i="22" s="1"/>
  <c r="K68" i="22"/>
  <c r="D68" i="22"/>
  <c r="G68" i="22" s="1"/>
  <c r="J68" i="22" s="1"/>
  <c r="K64" i="22"/>
  <c r="B64" i="22"/>
  <c r="A64" i="22"/>
  <c r="K28" i="22"/>
  <c r="K29" i="22" s="1"/>
  <c r="J28" i="22"/>
  <c r="J29" i="22" s="1"/>
  <c r="K24" i="22"/>
  <c r="B24" i="22"/>
  <c r="A24" i="22"/>
  <c r="K21" i="22"/>
  <c r="J21" i="22"/>
  <c r="K20" i="22"/>
  <c r="J20" i="22"/>
  <c r="K19" i="22"/>
  <c r="J19" i="22"/>
  <c r="K18" i="22"/>
  <c r="J18" i="22"/>
  <c r="K17" i="22"/>
  <c r="J17" i="22"/>
  <c r="B13" i="22"/>
  <c r="A13" i="22"/>
  <c r="G36" i="27"/>
  <c r="K23" i="27"/>
  <c r="B23" i="27"/>
  <c r="A23" i="27"/>
  <c r="I21" i="27"/>
  <c r="K19" i="27"/>
  <c r="J19" i="27"/>
  <c r="K18" i="27"/>
  <c r="J18" i="27"/>
  <c r="K17" i="27"/>
  <c r="H4440" i="8"/>
  <c r="H4442" i="8" s="1"/>
  <c r="E4439" i="8"/>
  <c r="H4444" i="8" s="1"/>
  <c r="C4439" i="8"/>
  <c r="B4439" i="8"/>
  <c r="A4439" i="8"/>
  <c r="E4426" i="8"/>
  <c r="H4433" i="8" s="1"/>
  <c r="C4426" i="8"/>
  <c r="B4426" i="8"/>
  <c r="A4426" i="8"/>
  <c r="E4413" i="8"/>
  <c r="H4420" i="8" s="1"/>
  <c r="C4413" i="8"/>
  <c r="B4413" i="8"/>
  <c r="A4413" i="8"/>
  <c r="E4400" i="8"/>
  <c r="H4407" i="8" s="1"/>
  <c r="C4400" i="8"/>
  <c r="B4400" i="8"/>
  <c r="A4400" i="8"/>
  <c r="H4391" i="8"/>
  <c r="H4390" i="8"/>
  <c r="H4392" i="8" s="1"/>
  <c r="E4389" i="8"/>
  <c r="H4394" i="8" s="1"/>
  <c r="C4389" i="8"/>
  <c r="B4389" i="8"/>
  <c r="A4389" i="8"/>
  <c r="H4380" i="8"/>
  <c r="H4379" i="8"/>
  <c r="H4381" i="8" s="1"/>
  <c r="E4378" i="8"/>
  <c r="H4383" i="8" s="1"/>
  <c r="C4378" i="8"/>
  <c r="B4378" i="8"/>
  <c r="A4378" i="8"/>
  <c r="H4368" i="8"/>
  <c r="H4370" i="8" s="1"/>
  <c r="E4367" i="8"/>
  <c r="H4372" i="8" s="1"/>
  <c r="C4367" i="8"/>
  <c r="B4367" i="8"/>
  <c r="A4367" i="8"/>
  <c r="E4354" i="8"/>
  <c r="H4361" i="8" s="1"/>
  <c r="C4354" i="8"/>
  <c r="B4354" i="8"/>
  <c r="A4354" i="8"/>
  <c r="E4342" i="8"/>
  <c r="H4342" i="8" s="1"/>
  <c r="E4341" i="8"/>
  <c r="H4348" i="8" s="1"/>
  <c r="C4341" i="8"/>
  <c r="B4341" i="8"/>
  <c r="A4341" i="8"/>
  <c r="E4328" i="8"/>
  <c r="H4335" i="8" s="1"/>
  <c r="C4328" i="8"/>
  <c r="B4328" i="8"/>
  <c r="A4328" i="8"/>
  <c r="H4266" i="8"/>
  <c r="E4265" i="8"/>
  <c r="H4272" i="8" s="1"/>
  <c r="C4265" i="8"/>
  <c r="B4265" i="8"/>
  <c r="A4265" i="8"/>
  <c r="H4253" i="8"/>
  <c r="E4252" i="8"/>
  <c r="H4259" i="8" s="1"/>
  <c r="C4252" i="8"/>
  <c r="B4252" i="8"/>
  <c r="A4252" i="8"/>
  <c r="H4240" i="8"/>
  <c r="E4239" i="8"/>
  <c r="H4246" i="8" s="1"/>
  <c r="C4239" i="8"/>
  <c r="B4239" i="8"/>
  <c r="A4239" i="8"/>
  <c r="E4226" i="8"/>
  <c r="H4233" i="8" s="1"/>
  <c r="C4226" i="8"/>
  <c r="B4226" i="8"/>
  <c r="A4226" i="8"/>
  <c r="H4214" i="8"/>
  <c r="E4213" i="8"/>
  <c r="H4220" i="8" s="1"/>
  <c r="C4213" i="8"/>
  <c r="B4213" i="8"/>
  <c r="A4213" i="8"/>
  <c r="H4201" i="8"/>
  <c r="E4200" i="8"/>
  <c r="H4207" i="8" s="1"/>
  <c r="C4200" i="8"/>
  <c r="B4200" i="8"/>
  <c r="A4200" i="8"/>
  <c r="H4185" i="8"/>
  <c r="E4184" i="8"/>
  <c r="H4194" i="8" s="1"/>
  <c r="C4184" i="8"/>
  <c r="B4184" i="8"/>
  <c r="H4172" i="8"/>
  <c r="E4171" i="8"/>
  <c r="H4178" i="8" s="1"/>
  <c r="C4171" i="8"/>
  <c r="B4171" i="8"/>
  <c r="A4171" i="8"/>
  <c r="H4161" i="8"/>
  <c r="H4163" i="8" s="1"/>
  <c r="E4160" i="8"/>
  <c r="H4165" i="8" s="1"/>
  <c r="C4160" i="8"/>
  <c r="B4160" i="8"/>
  <c r="A4160" i="8"/>
  <c r="H4148" i="8"/>
  <c r="E4147" i="8"/>
  <c r="H4154" i="8" s="1"/>
  <c r="C4147" i="8"/>
  <c r="B4147" i="8"/>
  <c r="A4147" i="8"/>
  <c r="H4136" i="8"/>
  <c r="E4135" i="8"/>
  <c r="H4141" i="8" s="1"/>
  <c r="C4135" i="8"/>
  <c r="B4135" i="8"/>
  <c r="A4135" i="8"/>
  <c r="H4124" i="8"/>
  <c r="E4123" i="8"/>
  <c r="H4129" i="8" s="1"/>
  <c r="C4123" i="8"/>
  <c r="B4123" i="8"/>
  <c r="A4123" i="8"/>
  <c r="H4111" i="8"/>
  <c r="E4110" i="8"/>
  <c r="H4117" i="8" s="1"/>
  <c r="C4110" i="8"/>
  <c r="B4110" i="8"/>
  <c r="A4110" i="8"/>
  <c r="H4099" i="8"/>
  <c r="E4098" i="8"/>
  <c r="H4104" i="8" s="1"/>
  <c r="C4098" i="8"/>
  <c r="B4098" i="8"/>
  <c r="A4098" i="8"/>
  <c r="H4074" i="8"/>
  <c r="C4073" i="8"/>
  <c r="B4073" i="8"/>
  <c r="A4073" i="8"/>
  <c r="H4061" i="8"/>
  <c r="C4060" i="8"/>
  <c r="B4060" i="8"/>
  <c r="H4048" i="8"/>
  <c r="C4047" i="8"/>
  <c r="B4047" i="8"/>
  <c r="A4047" i="8"/>
  <c r="H4035" i="8"/>
  <c r="C4034" i="8"/>
  <c r="B4034" i="8"/>
  <c r="A4034" i="8"/>
  <c r="H4022" i="8"/>
  <c r="C4021" i="8"/>
  <c r="B4021" i="8"/>
  <c r="A4021" i="8"/>
  <c r="H4010" i="8"/>
  <c r="E4009" i="8"/>
  <c r="H4015" i="8" s="1"/>
  <c r="C4009" i="8"/>
  <c r="B4009" i="8"/>
  <c r="A4009" i="8"/>
  <c r="E3998" i="8"/>
  <c r="H4003" i="8" s="1"/>
  <c r="C3998" i="8"/>
  <c r="B3998" i="8"/>
  <c r="A3998" i="8"/>
  <c r="H3986" i="8"/>
  <c r="H3985" i="8"/>
  <c r="H3984" i="8"/>
  <c r="H3983" i="8"/>
  <c r="E3982" i="8"/>
  <c r="H3992" i="8" s="1"/>
  <c r="C3982" i="8"/>
  <c r="B3982" i="8"/>
  <c r="H3971" i="8"/>
  <c r="E3970" i="8"/>
  <c r="H3976" i="8" s="1"/>
  <c r="C3970" i="8"/>
  <c r="B3970" i="8"/>
  <c r="A3970" i="8"/>
  <c r="H3877" i="8"/>
  <c r="E3876" i="8"/>
  <c r="H3883" i="8" s="1"/>
  <c r="C3876" i="8"/>
  <c r="B3876" i="8"/>
  <c r="A3876" i="8"/>
  <c r="H3820" i="8"/>
  <c r="E3819" i="8"/>
  <c r="H3826" i="8" s="1"/>
  <c r="C3819" i="8"/>
  <c r="B3819" i="8"/>
  <c r="A3819" i="8"/>
  <c r="H3805" i="8"/>
  <c r="E3804" i="8"/>
  <c r="H3813" i="8" s="1"/>
  <c r="C3804" i="8"/>
  <c r="B3804" i="8"/>
  <c r="E3790" i="8"/>
  <c r="H3798" i="8" s="1"/>
  <c r="C3790" i="8"/>
  <c r="B3790" i="8"/>
  <c r="H3775" i="8"/>
  <c r="E3774" i="8"/>
  <c r="H3784" i="8" s="1"/>
  <c r="C3774" i="8"/>
  <c r="B3774" i="8"/>
  <c r="H3759" i="8"/>
  <c r="E3758" i="8"/>
  <c r="H3768" i="8" s="1"/>
  <c r="C3758" i="8"/>
  <c r="B3758" i="8"/>
  <c r="H3743" i="8"/>
  <c r="E3742" i="8"/>
  <c r="H3752" i="8" s="1"/>
  <c r="C3742" i="8"/>
  <c r="B3742" i="8"/>
  <c r="H3727" i="8"/>
  <c r="E3726" i="8"/>
  <c r="H3736" i="8" s="1"/>
  <c r="C3726" i="8"/>
  <c r="B3726" i="8"/>
  <c r="H3712" i="8"/>
  <c r="E3711" i="8"/>
  <c r="H3720" i="8" s="1"/>
  <c r="C3711" i="8"/>
  <c r="B3711" i="8"/>
  <c r="E3697" i="8"/>
  <c r="H3705" i="8" s="1"/>
  <c r="C3697" i="8"/>
  <c r="B3697" i="8"/>
  <c r="H3683" i="8"/>
  <c r="H3682" i="8"/>
  <c r="E3681" i="8"/>
  <c r="H3691" i="8" s="1"/>
  <c r="C3681" i="8"/>
  <c r="B3681" i="8"/>
  <c r="A3681" i="8"/>
  <c r="H3666" i="8"/>
  <c r="E3665" i="8"/>
  <c r="H3675" i="8" s="1"/>
  <c r="C3665" i="8"/>
  <c r="B3665" i="8"/>
  <c r="A3665" i="8"/>
  <c r="H3650" i="8"/>
  <c r="E3649" i="8"/>
  <c r="H3659" i="8" s="1"/>
  <c r="C3649" i="8"/>
  <c r="B3649" i="8"/>
  <c r="H3634" i="8"/>
  <c r="E3633" i="8"/>
  <c r="H3643" i="8" s="1"/>
  <c r="C3633" i="8"/>
  <c r="B3633" i="8"/>
  <c r="H3621" i="8"/>
  <c r="H3620" i="8"/>
  <c r="H3618" i="8"/>
  <c r="E3617" i="8"/>
  <c r="H3627" i="8" s="1"/>
  <c r="C3617" i="8"/>
  <c r="B3617" i="8"/>
  <c r="A3617" i="8"/>
  <c r="E3567" i="8"/>
  <c r="H3574" i="8" s="1"/>
  <c r="C3567" i="8"/>
  <c r="B3567" i="8"/>
  <c r="A3567" i="8"/>
  <c r="E3554" i="8"/>
  <c r="H3561" i="8" s="1"/>
  <c r="C3554" i="8"/>
  <c r="B3554" i="8"/>
  <c r="A3554" i="8"/>
  <c r="E3541" i="8"/>
  <c r="H3548" i="8" s="1"/>
  <c r="C3541" i="8"/>
  <c r="B3541" i="8"/>
  <c r="A3541" i="8"/>
  <c r="E3528" i="8"/>
  <c r="H3535" i="8" s="1"/>
  <c r="C3528" i="8"/>
  <c r="B3528" i="8"/>
  <c r="A3528" i="8"/>
  <c r="E3515" i="8"/>
  <c r="H3522" i="8" s="1"/>
  <c r="C3515" i="8"/>
  <c r="B3515" i="8"/>
  <c r="A3515" i="8"/>
  <c r="E3489" i="8"/>
  <c r="H3496" i="8" s="1"/>
  <c r="C3489" i="8"/>
  <c r="B3489" i="8"/>
  <c r="E3476" i="8"/>
  <c r="H3483" i="8" s="1"/>
  <c r="C3476" i="8"/>
  <c r="B3476" i="8"/>
  <c r="A3476" i="8"/>
  <c r="H3451" i="8"/>
  <c r="H3457" i="8"/>
  <c r="H3425" i="8"/>
  <c r="E3424" i="8"/>
  <c r="H3431" i="8" s="1"/>
  <c r="C3424" i="8"/>
  <c r="B3424" i="8"/>
  <c r="A3424" i="8"/>
  <c r="H3412" i="8"/>
  <c r="E3411" i="8"/>
  <c r="H3418" i="8" s="1"/>
  <c r="C3411" i="8"/>
  <c r="B3411" i="8"/>
  <c r="A3411" i="8"/>
  <c r="H3399" i="8"/>
  <c r="E3398" i="8"/>
  <c r="H3405" i="8" s="1"/>
  <c r="C3398" i="8"/>
  <c r="B3398" i="8"/>
  <c r="A3398" i="8"/>
  <c r="H3386" i="8"/>
  <c r="E3385" i="8"/>
  <c r="H3392" i="8" s="1"/>
  <c r="C3385" i="8"/>
  <c r="B3385" i="8"/>
  <c r="A3385" i="8"/>
  <c r="H3373" i="8"/>
  <c r="E3372" i="8"/>
  <c r="H3379" i="8" s="1"/>
  <c r="C3372" i="8"/>
  <c r="B3372" i="8"/>
  <c r="A3372" i="8"/>
  <c r="H3360" i="8"/>
  <c r="E3359" i="8"/>
  <c r="H3366" i="8" s="1"/>
  <c r="C3359" i="8"/>
  <c r="B3359" i="8"/>
  <c r="A3359" i="8"/>
  <c r="H3347" i="8"/>
  <c r="E3346" i="8"/>
  <c r="H3353" i="8" s="1"/>
  <c r="C3346" i="8"/>
  <c r="B3346" i="8"/>
  <c r="A3346" i="8"/>
  <c r="H3334" i="8"/>
  <c r="E3333" i="8"/>
  <c r="H3340" i="8" s="1"/>
  <c r="C3333" i="8"/>
  <c r="B3333" i="8"/>
  <c r="A3333" i="8"/>
  <c r="H3321" i="8"/>
  <c r="E3320" i="8"/>
  <c r="H3327" i="8" s="1"/>
  <c r="C3320" i="8"/>
  <c r="B3320" i="8"/>
  <c r="A3320" i="8"/>
  <c r="H3308" i="8"/>
  <c r="E3307" i="8"/>
  <c r="H3314" i="8" s="1"/>
  <c r="C3307" i="8"/>
  <c r="B3307" i="8"/>
  <c r="A3307" i="8"/>
  <c r="H3295" i="8"/>
  <c r="E3294" i="8"/>
  <c r="H3301" i="8" s="1"/>
  <c r="C3294" i="8"/>
  <c r="B3294" i="8"/>
  <c r="H3282" i="8"/>
  <c r="E3281" i="8"/>
  <c r="H3288" i="8" s="1"/>
  <c r="C3281" i="8"/>
  <c r="B3281" i="8"/>
  <c r="H3269" i="8"/>
  <c r="E3268" i="8"/>
  <c r="H3275" i="8" s="1"/>
  <c r="C3268" i="8"/>
  <c r="B3268" i="8"/>
  <c r="H3256" i="8"/>
  <c r="E3255" i="8"/>
  <c r="H3262" i="8" s="1"/>
  <c r="C3255" i="8"/>
  <c r="B3255" i="8"/>
  <c r="A3255" i="8"/>
  <c r="H3243" i="8"/>
  <c r="H3249" i="8"/>
  <c r="H3230" i="8"/>
  <c r="E3229" i="8"/>
  <c r="H3236" i="8" s="1"/>
  <c r="C3229" i="8"/>
  <c r="B3229" i="8"/>
  <c r="A3229" i="8"/>
  <c r="H3217" i="8"/>
  <c r="E3216" i="8"/>
  <c r="H3223" i="8" s="1"/>
  <c r="C3216" i="8"/>
  <c r="B3216" i="8"/>
  <c r="A3216" i="8"/>
  <c r="H3191" i="8"/>
  <c r="E3190" i="8"/>
  <c r="H3197" i="8" s="1"/>
  <c r="C3190" i="8"/>
  <c r="B3190" i="8"/>
  <c r="A3190" i="8"/>
  <c r="H3178" i="8"/>
  <c r="E3177" i="8"/>
  <c r="H3184" i="8" s="1"/>
  <c r="C3177" i="8"/>
  <c r="B3177" i="8"/>
  <c r="A3177" i="8"/>
  <c r="H3165" i="8"/>
  <c r="E3164" i="8"/>
  <c r="H3171" i="8" s="1"/>
  <c r="C3164" i="8"/>
  <c r="B3164" i="8"/>
  <c r="H3152" i="8"/>
  <c r="E3151" i="8"/>
  <c r="H3158" i="8" s="1"/>
  <c r="C3151" i="8"/>
  <c r="B3151" i="8"/>
  <c r="E3138" i="8"/>
  <c r="H3145" i="8" s="1"/>
  <c r="C3138" i="8"/>
  <c r="B3138" i="8"/>
  <c r="H3132" i="8"/>
  <c r="H3113" i="8"/>
  <c r="H3119" i="8"/>
  <c r="H3100" i="8"/>
  <c r="E3099" i="8"/>
  <c r="H3106" i="8" s="1"/>
  <c r="C3099" i="8"/>
  <c r="B3099" i="8"/>
  <c r="H3087" i="8"/>
  <c r="E3086" i="8"/>
  <c r="H3093" i="8" s="1"/>
  <c r="C3086" i="8"/>
  <c r="B3086" i="8"/>
  <c r="H3074" i="8"/>
  <c r="E3073" i="8"/>
  <c r="H3080" i="8" s="1"/>
  <c r="C3073" i="8"/>
  <c r="B3073" i="8"/>
  <c r="H3061" i="8"/>
  <c r="E3060" i="8"/>
  <c r="H3067" i="8" s="1"/>
  <c r="C3060" i="8"/>
  <c r="B3060" i="8"/>
  <c r="H3048" i="8"/>
  <c r="E3047" i="8"/>
  <c r="H3054" i="8" s="1"/>
  <c r="C3047" i="8"/>
  <c r="B3047" i="8"/>
  <c r="H3035" i="8"/>
  <c r="E3034" i="8"/>
  <c r="H3041" i="8" s="1"/>
  <c r="C3034" i="8"/>
  <c r="B3034" i="8"/>
  <c r="E3021" i="8"/>
  <c r="H3028" i="8" s="1"/>
  <c r="C3021" i="8"/>
  <c r="B3021" i="8"/>
  <c r="H3009" i="8"/>
  <c r="E3008" i="8"/>
  <c r="H3015" i="8" s="1"/>
  <c r="C3008" i="8"/>
  <c r="B3008" i="8"/>
  <c r="E2981" i="8"/>
  <c r="H2989" i="8" s="1"/>
  <c r="C2981" i="8"/>
  <c r="B2981" i="8"/>
  <c r="E2967" i="8"/>
  <c r="H2975" i="8" s="1"/>
  <c r="C2967" i="8"/>
  <c r="B2967" i="8"/>
  <c r="A2967" i="8"/>
  <c r="H2454" i="8"/>
  <c r="H2933" i="8"/>
  <c r="A2925" i="8"/>
  <c r="C2285" i="8"/>
  <c r="B2285" i="8"/>
  <c r="C2267" i="8"/>
  <c r="B2267" i="8"/>
  <c r="A2267" i="8"/>
  <c r="C2252" i="8"/>
  <c r="B2252" i="8"/>
  <c r="C2237" i="8"/>
  <c r="B2237" i="8"/>
  <c r="A2237" i="8"/>
  <c r="C2221" i="8"/>
  <c r="B2221" i="8"/>
  <c r="C2205" i="8"/>
  <c r="B2205" i="8"/>
  <c r="C2189" i="8"/>
  <c r="B2189" i="8"/>
  <c r="C2173" i="8"/>
  <c r="B2173" i="8"/>
  <c r="C2157" i="8"/>
  <c r="B2157" i="8"/>
  <c r="A2157" i="8"/>
  <c r="C2141" i="8"/>
  <c r="B2141" i="8"/>
  <c r="C2126" i="8"/>
  <c r="B2126" i="8"/>
  <c r="C2111" i="8"/>
  <c r="B2111" i="8"/>
  <c r="C2096" i="8"/>
  <c r="B2096" i="8"/>
  <c r="C2081" i="8"/>
  <c r="B2081" i="8"/>
  <c r="C2066" i="8"/>
  <c r="B2066" i="8"/>
  <c r="A2066" i="8"/>
  <c r="H2008" i="8"/>
  <c r="E1983" i="8"/>
  <c r="H1992" i="8" s="1"/>
  <c r="C1983" i="8"/>
  <c r="B1983" i="8"/>
  <c r="A1983" i="8"/>
  <c r="E1955" i="8"/>
  <c r="H1962" i="8" s="1"/>
  <c r="C1955" i="8"/>
  <c r="B1955" i="8"/>
  <c r="A1955" i="8"/>
  <c r="E1941" i="8"/>
  <c r="H1949" i="8" s="1"/>
  <c r="C1941" i="8"/>
  <c r="B1941" i="8"/>
  <c r="A1941" i="8"/>
  <c r="E1928" i="8"/>
  <c r="H1935" i="8" s="1"/>
  <c r="C1928" i="8"/>
  <c r="B1928" i="8"/>
  <c r="A1928" i="8"/>
  <c r="A44" i="23" s="1"/>
  <c r="H1922" i="8"/>
  <c r="H1903" i="8"/>
  <c r="E1902" i="8"/>
  <c r="H1909" i="8" s="1"/>
  <c r="C1902" i="8"/>
  <c r="B1902" i="8"/>
  <c r="E1888" i="8"/>
  <c r="H1896" i="8" s="1"/>
  <c r="C1888" i="8"/>
  <c r="B1888" i="8"/>
  <c r="H1876" i="8"/>
  <c r="E1874" i="8"/>
  <c r="H1882" i="8" s="1"/>
  <c r="C1874" i="8"/>
  <c r="B1874" i="8"/>
  <c r="E1860" i="8"/>
  <c r="H1868" i="8" s="1"/>
  <c r="C1860" i="8"/>
  <c r="B1860" i="8"/>
  <c r="A1860" i="8"/>
  <c r="H1845" i="8"/>
  <c r="E1844" i="8"/>
  <c r="H1854" i="8" s="1"/>
  <c r="C1844" i="8"/>
  <c r="B1844" i="8"/>
  <c r="H1829" i="8"/>
  <c r="E1828" i="8"/>
  <c r="H1838" i="8" s="1"/>
  <c r="C1828" i="8"/>
  <c r="B1828" i="8"/>
  <c r="H1813" i="8"/>
  <c r="E1812" i="8"/>
  <c r="H1822" i="8" s="1"/>
  <c r="C1812" i="8"/>
  <c r="B1812" i="8"/>
  <c r="E1799" i="8"/>
  <c r="H1798" i="8"/>
  <c r="E1797" i="8"/>
  <c r="H1806" i="8" s="1"/>
  <c r="C1797" i="8"/>
  <c r="B1797" i="8"/>
  <c r="A1797" i="8"/>
  <c r="H1785" i="8"/>
  <c r="E1784" i="8"/>
  <c r="H1791" i="8" s="1"/>
  <c r="C1784" i="8"/>
  <c r="B1784" i="8"/>
  <c r="A1784" i="8"/>
  <c r="H1770" i="8"/>
  <c r="H1769" i="8"/>
  <c r="E1766" i="8"/>
  <c r="H1778" i="8" s="1"/>
  <c r="C1766" i="8"/>
  <c r="B1766" i="8"/>
  <c r="E1750" i="8"/>
  <c r="H1760" i="8" s="1"/>
  <c r="C1750" i="8"/>
  <c r="B1750" i="8"/>
  <c r="A1750" i="8"/>
  <c r="E1705" i="8"/>
  <c r="H1715" i="8" s="1"/>
  <c r="C1705" i="8"/>
  <c r="B1705" i="8"/>
  <c r="E1689" i="8"/>
  <c r="H1699" i="8" s="1"/>
  <c r="C1689" i="8"/>
  <c r="B1689" i="8"/>
  <c r="E1673" i="8"/>
  <c r="H1683" i="8" s="1"/>
  <c r="C1673" i="8"/>
  <c r="B1673" i="8"/>
  <c r="E1657" i="8"/>
  <c r="H1667" i="8" s="1"/>
  <c r="C1657" i="8"/>
  <c r="B1657" i="8"/>
  <c r="E1641" i="8"/>
  <c r="H1651" i="8" s="1"/>
  <c r="C1641" i="8"/>
  <c r="B1641" i="8"/>
  <c r="A1641" i="8"/>
  <c r="E1629" i="8"/>
  <c r="H1635" i="8"/>
  <c r="E1612" i="8"/>
  <c r="H1621" i="8" s="1"/>
  <c r="C1612" i="8"/>
  <c r="B1612" i="8"/>
  <c r="C1596" i="8"/>
  <c r="B1596" i="8"/>
  <c r="E1580" i="8"/>
  <c r="H1590" i="8" s="1"/>
  <c r="C1580" i="8"/>
  <c r="B1580" i="8"/>
  <c r="E1564" i="8"/>
  <c r="H1574" i="8" s="1"/>
  <c r="C1564" i="8"/>
  <c r="B1564" i="8"/>
  <c r="E1548" i="8"/>
  <c r="H1558" i="8" s="1"/>
  <c r="C1548" i="8"/>
  <c r="B1548" i="8"/>
  <c r="E1532" i="8"/>
  <c r="H1542" i="8" s="1"/>
  <c r="C1532" i="8"/>
  <c r="B1532" i="8"/>
  <c r="E1516" i="8"/>
  <c r="H1526" i="8" s="1"/>
  <c r="C1516" i="8"/>
  <c r="B1516" i="8"/>
  <c r="E1500" i="8"/>
  <c r="H1510" i="8" s="1"/>
  <c r="C1500" i="8"/>
  <c r="B1500" i="8"/>
  <c r="A1500" i="8"/>
  <c r="H1437" i="8"/>
  <c r="H1442" i="8"/>
  <c r="E1424" i="8"/>
  <c r="H1430" i="8" s="1"/>
  <c r="C1424" i="8"/>
  <c r="B1424" i="8"/>
  <c r="H1413" i="8"/>
  <c r="E1412" i="8"/>
  <c r="H1418" i="8" s="1"/>
  <c r="C1412" i="8"/>
  <c r="B1412" i="8"/>
  <c r="E1400" i="8"/>
  <c r="H1406" i="8" s="1"/>
  <c r="C1400" i="8"/>
  <c r="B1400" i="8"/>
  <c r="E1388" i="8"/>
  <c r="H1394" i="8" s="1"/>
  <c r="C1388" i="8"/>
  <c r="B1388" i="8"/>
  <c r="E1376" i="8"/>
  <c r="H1382" i="8" s="1"/>
  <c r="C1376" i="8"/>
  <c r="B1376" i="8"/>
  <c r="H1364" i="8"/>
  <c r="E1363" i="8"/>
  <c r="H1370" i="8" s="1"/>
  <c r="C1363" i="8"/>
  <c r="B1363" i="8"/>
  <c r="H1350" i="8"/>
  <c r="E1349" i="8"/>
  <c r="H1357" i="8" s="1"/>
  <c r="C1349" i="8"/>
  <c r="B1349" i="8"/>
  <c r="A1349" i="8"/>
  <c r="C1333" i="8"/>
  <c r="B1333" i="8"/>
  <c r="C1320" i="8"/>
  <c r="B1320" i="8"/>
  <c r="A1320" i="8"/>
  <c r="C1226" i="8"/>
  <c r="B1226" i="8"/>
  <c r="A1226" i="8"/>
  <c r="C1187" i="8"/>
  <c r="B1187" i="8"/>
  <c r="C1172" i="8"/>
  <c r="B1172" i="8"/>
  <c r="H1160" i="8"/>
  <c r="C1159" i="8"/>
  <c r="B1159" i="8"/>
  <c r="E1149" i="8"/>
  <c r="E1148" i="8"/>
  <c r="H1147" i="8"/>
  <c r="E1146" i="8"/>
  <c r="H1153" i="8" s="1"/>
  <c r="C1146" i="8"/>
  <c r="B1146" i="8"/>
  <c r="A1146" i="8"/>
  <c r="E1127" i="8"/>
  <c r="H1140" i="8" s="1"/>
  <c r="H1141" i="8" s="1"/>
  <c r="C1127" i="8"/>
  <c r="B1127" i="8"/>
  <c r="A1127" i="8"/>
  <c r="E1117" i="8"/>
  <c r="E1116" i="8"/>
  <c r="H1115" i="8"/>
  <c r="C1114" i="8"/>
  <c r="B1114" i="8"/>
  <c r="A1114" i="8"/>
  <c r="C1097" i="8"/>
  <c r="B1097" i="8"/>
  <c r="A1097" i="8"/>
  <c r="H1084" i="8"/>
  <c r="E1083" i="8"/>
  <c r="H1090" i="8" s="1"/>
  <c r="C1083" i="8"/>
  <c r="B1083" i="8"/>
  <c r="H1053" i="8"/>
  <c r="E1052" i="8"/>
  <c r="H1062" i="8" s="1"/>
  <c r="C1052" i="8"/>
  <c r="B1052" i="8"/>
  <c r="A1052" i="8"/>
  <c r="H1039" i="8"/>
  <c r="C1038" i="8"/>
  <c r="B1038" i="8"/>
  <c r="E1021" i="8"/>
  <c r="H1032" i="8" s="1"/>
  <c r="C1021" i="8"/>
  <c r="B1021" i="8"/>
  <c r="A1021" i="8"/>
  <c r="H1005" i="8"/>
  <c r="E1004" i="8"/>
  <c r="H1015" i="8" s="1"/>
  <c r="C1004" i="8"/>
  <c r="B1004" i="8"/>
  <c r="H988" i="8"/>
  <c r="E987" i="8"/>
  <c r="H998" i="8" s="1"/>
  <c r="C987" i="8"/>
  <c r="B987" i="8"/>
  <c r="H969" i="8"/>
  <c r="E968" i="8"/>
  <c r="H981" i="8" s="1"/>
  <c r="C968" i="8"/>
  <c r="B968" i="8"/>
  <c r="H950" i="8"/>
  <c r="E949" i="8"/>
  <c r="H962" i="8" s="1"/>
  <c r="C949" i="8"/>
  <c r="B949" i="8"/>
  <c r="A949" i="8"/>
  <c r="H937" i="8"/>
  <c r="E936" i="8"/>
  <c r="H943" i="8" s="1"/>
  <c r="C936" i="8"/>
  <c r="B936" i="8"/>
  <c r="A936" i="8"/>
  <c r="H920" i="8"/>
  <c r="H919" i="8"/>
  <c r="H918" i="8"/>
  <c r="E917" i="8"/>
  <c r="H930" i="8" s="1"/>
  <c r="C917" i="8"/>
  <c r="B917" i="8"/>
  <c r="H901" i="8"/>
  <c r="H900" i="8"/>
  <c r="H899" i="8"/>
  <c r="E898" i="8"/>
  <c r="H911" i="8" s="1"/>
  <c r="C898" i="8"/>
  <c r="B898" i="8"/>
  <c r="H882" i="8"/>
  <c r="H881" i="8"/>
  <c r="H880" i="8"/>
  <c r="E879" i="8"/>
  <c r="H892" i="8" s="1"/>
  <c r="C879" i="8"/>
  <c r="B879" i="8"/>
  <c r="H863" i="8"/>
  <c r="H862" i="8"/>
  <c r="H861" i="8"/>
  <c r="E860" i="8"/>
  <c r="H873" i="8" s="1"/>
  <c r="C860" i="8"/>
  <c r="B860" i="8"/>
  <c r="A860" i="8"/>
  <c r="H829" i="8"/>
  <c r="E828" i="8"/>
  <c r="H838" i="8" s="1"/>
  <c r="C828" i="8"/>
  <c r="B828" i="8"/>
  <c r="H813" i="8"/>
  <c r="E812" i="8"/>
  <c r="H822" i="8" s="1"/>
  <c r="C812" i="8"/>
  <c r="B812" i="8"/>
  <c r="H797" i="8"/>
  <c r="E796" i="8"/>
  <c r="H806" i="8" s="1"/>
  <c r="C796" i="8"/>
  <c r="B796" i="8"/>
  <c r="H779" i="8"/>
  <c r="E778" i="8"/>
  <c r="H790" i="8" s="1"/>
  <c r="C778" i="8"/>
  <c r="B778" i="8"/>
  <c r="H761" i="8"/>
  <c r="E760" i="8"/>
  <c r="H772" i="8" s="1"/>
  <c r="C760" i="8"/>
  <c r="B760" i="8"/>
  <c r="A760" i="8"/>
  <c r="E741" i="8"/>
  <c r="H754" i="8" s="1"/>
  <c r="C741" i="8"/>
  <c r="B741" i="8"/>
  <c r="E684" i="8"/>
  <c r="H697" i="8" s="1"/>
  <c r="C684" i="8"/>
  <c r="B684" i="8"/>
  <c r="E664" i="8"/>
  <c r="H678" i="8" s="1"/>
  <c r="C664" i="8"/>
  <c r="B664" i="8"/>
  <c r="E645" i="8"/>
  <c r="H658" i="8" s="1"/>
  <c r="C645" i="8"/>
  <c r="B645" i="8"/>
  <c r="A645" i="8"/>
  <c r="C628" i="8"/>
  <c r="B628" i="8"/>
  <c r="A628" i="8"/>
  <c r="E618" i="8"/>
  <c r="C614" i="8"/>
  <c r="B614" i="8"/>
  <c r="A611" i="8"/>
  <c r="H527" i="8"/>
  <c r="C519" i="8"/>
  <c r="B519" i="8"/>
  <c r="A519" i="8"/>
  <c r="C341" i="8"/>
  <c r="B341" i="8"/>
  <c r="A341" i="8"/>
  <c r="H21" i="8"/>
  <c r="C20" i="8"/>
  <c r="B20" i="8"/>
  <c r="A20" i="8"/>
  <c r="A17" i="8"/>
  <c r="H802" i="1"/>
  <c r="H783" i="1"/>
  <c r="H782" i="1"/>
  <c r="H781" i="1"/>
  <c r="H780" i="1"/>
  <c r="H779" i="1"/>
  <c r="H778" i="1"/>
  <c r="H777" i="1"/>
  <c r="H776" i="1"/>
  <c r="H774" i="1"/>
  <c r="H773" i="1"/>
  <c r="H772" i="1"/>
  <c r="H771" i="1"/>
  <c r="H770" i="1"/>
  <c r="H769" i="1"/>
  <c r="H768" i="1"/>
  <c r="H767" i="1"/>
  <c r="E762" i="1"/>
  <c r="H749" i="1"/>
  <c r="H747" i="1"/>
  <c r="H724" i="1"/>
  <c r="E668" i="1"/>
  <c r="E4073" i="8" s="1"/>
  <c r="H4080" i="8" s="1"/>
  <c r="E666" i="1"/>
  <c r="E665" i="1"/>
  <c r="E663" i="1"/>
  <c r="E4060" i="8" s="1"/>
  <c r="H4067" i="8" s="1"/>
  <c r="E662" i="1"/>
  <c r="E4047" i="8" s="1"/>
  <c r="H4054" i="8" s="1"/>
  <c r="E661" i="1"/>
  <c r="E4034" i="8" s="1"/>
  <c r="H4041" i="8" s="1"/>
  <c r="E660" i="1"/>
  <c r="E4021" i="8" s="1"/>
  <c r="H4028" i="8" s="1"/>
  <c r="E418" i="1"/>
  <c r="E2285" i="8"/>
  <c r="H2297" i="8" s="1"/>
  <c r="E2267" i="8"/>
  <c r="H2279" i="8" s="1"/>
  <c r="E412" i="1"/>
  <c r="E2252" i="8" s="1"/>
  <c r="H2261" i="8" s="1"/>
  <c r="E411" i="1"/>
  <c r="E2237" i="8" s="1"/>
  <c r="H2246" i="8" s="1"/>
  <c r="E2221" i="8"/>
  <c r="H2231" i="8" s="1"/>
  <c r="E2205" i="8"/>
  <c r="H2215" i="8" s="1"/>
  <c r="E408" i="1"/>
  <c r="E2189" i="8" s="1"/>
  <c r="H2199" i="8" s="1"/>
  <c r="E2173" i="8"/>
  <c r="H2183" i="8" s="1"/>
  <c r="E2157" i="8"/>
  <c r="H2167" i="8" s="1"/>
  <c r="E391" i="1"/>
  <c r="E2141" i="8" s="1"/>
  <c r="H2151" i="8" s="1"/>
  <c r="E390" i="1"/>
  <c r="E386" i="1"/>
  <c r="E383" i="1"/>
  <c r="E382" i="1"/>
  <c r="E2126" i="8"/>
  <c r="H2135" i="8" s="1"/>
  <c r="E2111" i="8"/>
  <c r="H2120" i="8" s="1"/>
  <c r="E2096" i="8"/>
  <c r="H2105" i="8" s="1"/>
  <c r="E2081" i="8"/>
  <c r="H2090" i="8" s="1"/>
  <c r="E371" i="1"/>
  <c r="E2066" i="8" s="1"/>
  <c r="H2075" i="8" s="1"/>
  <c r="E370" i="1"/>
  <c r="E369" i="1"/>
  <c r="E2051" i="8" s="1"/>
  <c r="H2060" i="8" s="1"/>
  <c r="H2061" i="8" s="1"/>
  <c r="H2051" i="8" s="1"/>
  <c r="E368" i="1"/>
  <c r="E2036" i="8" s="1"/>
  <c r="H2045" i="8" s="1"/>
  <c r="H2046" i="8" s="1"/>
  <c r="H2036" i="8" s="1"/>
  <c r="I210" i="1"/>
  <c r="E190" i="1"/>
  <c r="E189" i="1"/>
  <c r="E187" i="1"/>
  <c r="E88" i="1"/>
  <c r="E341" i="8"/>
  <c r="H350" i="8" s="1"/>
  <c r="E68" i="1"/>
  <c r="E67" i="1"/>
  <c r="E66" i="1"/>
  <c r="E20" i="8"/>
  <c r="H25" i="8" s="1"/>
  <c r="H37" i="25"/>
  <c r="E273" i="1" l="1"/>
  <c r="E1596" i="8" s="1"/>
  <c r="H1606" i="8" s="1"/>
  <c r="G34" i="20"/>
  <c r="J415" i="22"/>
  <c r="J344" i="22"/>
  <c r="J22" i="22"/>
  <c r="E25" i="1" s="1"/>
  <c r="H23" i="8"/>
  <c r="H24" i="8" s="1"/>
  <c r="N22" i="29"/>
  <c r="N23" i="29" s="1"/>
  <c r="N24" i="29" s="1"/>
  <c r="F44" i="55" s="1"/>
  <c r="R22" i="29"/>
  <c r="R23" i="29" s="1"/>
  <c r="R24" i="29" s="1"/>
  <c r="J44" i="55" s="1"/>
  <c r="O22" i="29"/>
  <c r="O23" i="29" s="1"/>
  <c r="O24" i="29" s="1"/>
  <c r="G44" i="55" s="1"/>
  <c r="Q22" i="29"/>
  <c r="Q23" i="29" s="1"/>
  <c r="Q24" i="29" s="1"/>
  <c r="I44" i="55" s="1"/>
  <c r="Z24" i="29"/>
  <c r="R44" i="55" s="1"/>
  <c r="V24" i="29"/>
  <c r="N44" i="55" s="1"/>
  <c r="P24" i="29"/>
  <c r="H44" i="55" s="1"/>
  <c r="S24" i="29"/>
  <c r="K44" i="55" s="1"/>
  <c r="Y24" i="29"/>
  <c r="Q44" i="55" s="1"/>
  <c r="U24" i="29"/>
  <c r="M44" i="55" s="1"/>
  <c r="M24" i="29"/>
  <c r="E44" i="55" s="1"/>
  <c r="T24" i="29"/>
  <c r="L44" i="55" s="1"/>
  <c r="W24" i="29"/>
  <c r="O44" i="55" s="1"/>
  <c r="X24" i="29"/>
  <c r="P44" i="55" s="1"/>
  <c r="H4702" i="8"/>
  <c r="J373" i="22"/>
  <c r="E159" i="1" s="1"/>
  <c r="E1038" i="8" s="1"/>
  <c r="H1045" i="8" s="1"/>
  <c r="J332" i="22"/>
  <c r="J322" i="22"/>
  <c r="E129" i="1" s="1"/>
  <c r="E628" i="8" s="1"/>
  <c r="H638" i="8" s="1"/>
  <c r="E156" i="1"/>
  <c r="J352" i="22"/>
  <c r="E158" i="1" s="1"/>
  <c r="J256" i="22"/>
  <c r="I297" i="22"/>
  <c r="E126" i="1" s="1"/>
  <c r="E614" i="8" s="1"/>
  <c r="H622" i="8" s="1"/>
  <c r="J491" i="22"/>
  <c r="E178" i="1" s="1"/>
  <c r="G475" i="22"/>
  <c r="J475" i="22" s="1"/>
  <c r="E179" i="1"/>
  <c r="E1114" i="8" s="1"/>
  <c r="H1121" i="8" s="1"/>
  <c r="K186" i="22"/>
  <c r="E97" i="1" s="1"/>
  <c r="E433" i="8" s="1"/>
  <c r="H470" i="8" s="1"/>
  <c r="H471" i="8" s="1"/>
  <c r="H433" i="8" s="1"/>
  <c r="F593" i="22"/>
  <c r="J593" i="22" s="1"/>
  <c r="E205" i="1"/>
  <c r="J265" i="22"/>
  <c r="E122" i="1" s="1"/>
  <c r="K194" i="22"/>
  <c r="E98" i="1" s="1"/>
  <c r="E476" i="8" s="1"/>
  <c r="H513" i="8" s="1"/>
  <c r="H514" i="8" s="1"/>
  <c r="H476" i="8" s="1"/>
  <c r="J273" i="22"/>
  <c r="E123" i="1" s="1"/>
  <c r="J21" i="27"/>
  <c r="E43" i="25" s="1"/>
  <c r="E162" i="8" s="1"/>
  <c r="H172" i="8" s="1"/>
  <c r="H173" i="8" s="1"/>
  <c r="H162" i="8" s="1"/>
  <c r="H4687" i="8"/>
  <c r="H4689" i="8" s="1"/>
  <c r="H4701" i="8"/>
  <c r="H410" i="8"/>
  <c r="H394" i="8"/>
  <c r="H411" i="8"/>
  <c r="H379" i="8"/>
  <c r="H395" i="8"/>
  <c r="H378" i="8"/>
  <c r="G96" i="22"/>
  <c r="J96" i="22" s="1"/>
  <c r="E49" i="25"/>
  <c r="K36" i="27"/>
  <c r="I37" i="25"/>
  <c r="J37" i="25" s="1"/>
  <c r="L37" i="25"/>
  <c r="I123" i="29"/>
  <c r="J123" i="29" s="1"/>
  <c r="L123" i="29"/>
  <c r="I121" i="29"/>
  <c r="J121" i="29" s="1"/>
  <c r="L121" i="29"/>
  <c r="I133" i="29"/>
  <c r="J133" i="29" s="1"/>
  <c r="L133" i="29"/>
  <c r="I124" i="29"/>
  <c r="J124" i="29" s="1"/>
  <c r="L124" i="29"/>
  <c r="I116" i="29"/>
  <c r="J116" i="29" s="1"/>
  <c r="L116" i="29"/>
  <c r="I119" i="29"/>
  <c r="J119" i="29" s="1"/>
  <c r="L119" i="29"/>
  <c r="I115" i="29"/>
  <c r="J115" i="29" s="1"/>
  <c r="L115" i="29"/>
  <c r="I96" i="29"/>
  <c r="J96" i="29" s="1"/>
  <c r="U96" i="29" s="1"/>
  <c r="L96" i="29"/>
  <c r="I118" i="29"/>
  <c r="J118" i="29" s="1"/>
  <c r="L118" i="29"/>
  <c r="I101" i="29"/>
  <c r="J101" i="29" s="1"/>
  <c r="L101" i="29"/>
  <c r="I130" i="29"/>
  <c r="J130" i="29" s="1"/>
  <c r="L130" i="29"/>
  <c r="I117" i="29"/>
  <c r="J117" i="29" s="1"/>
  <c r="L117" i="29"/>
  <c r="I97" i="29"/>
  <c r="J97" i="29" s="1"/>
  <c r="U97" i="29" s="1"/>
  <c r="L97" i="29"/>
  <c r="I47" i="29"/>
  <c r="J47" i="29" s="1"/>
  <c r="N47" i="29" s="1"/>
  <c r="L47" i="29"/>
  <c r="I43" i="29"/>
  <c r="J43" i="29" s="1"/>
  <c r="N43" i="29" s="1"/>
  <c r="L43" i="29"/>
  <c r="I122" i="29"/>
  <c r="J122" i="29" s="1"/>
  <c r="L122" i="29"/>
  <c r="I93" i="29"/>
  <c r="J93" i="29" s="1"/>
  <c r="S93" i="29" s="1"/>
  <c r="L93" i="29"/>
  <c r="I90" i="29"/>
  <c r="J90" i="29" s="1"/>
  <c r="L90" i="29"/>
  <c r="I48" i="29"/>
  <c r="J48" i="29" s="1"/>
  <c r="N48" i="29" s="1"/>
  <c r="L48" i="29"/>
  <c r="I46" i="29"/>
  <c r="J46" i="29" s="1"/>
  <c r="N46" i="29" s="1"/>
  <c r="L46" i="29"/>
  <c r="I51" i="29"/>
  <c r="J51" i="29" s="1"/>
  <c r="O51" i="29" s="1"/>
  <c r="L51" i="29"/>
  <c r="I135" i="29"/>
  <c r="J135" i="29" s="1"/>
  <c r="L135" i="29"/>
  <c r="I114" i="29"/>
  <c r="J114" i="29" s="1"/>
  <c r="L114" i="29"/>
  <c r="I94" i="29"/>
  <c r="J94" i="29" s="1"/>
  <c r="S94" i="29" s="1"/>
  <c r="L94" i="29"/>
  <c r="I30" i="29"/>
  <c r="J30" i="29" s="1"/>
  <c r="L30" i="29"/>
  <c r="I91" i="29"/>
  <c r="J91" i="29" s="1"/>
  <c r="S91" i="29" s="1"/>
  <c r="L91" i="29"/>
  <c r="I53" i="29"/>
  <c r="J53" i="29" s="1"/>
  <c r="O53" i="29" s="1"/>
  <c r="L53" i="29"/>
  <c r="I50" i="29"/>
  <c r="J50" i="29" s="1"/>
  <c r="O50" i="29" s="1"/>
  <c r="L50" i="29"/>
  <c r="I52" i="29"/>
  <c r="J52" i="29" s="1"/>
  <c r="O52" i="29" s="1"/>
  <c r="L52" i="29"/>
  <c r="I56" i="29"/>
  <c r="J56" i="29" s="1"/>
  <c r="O56" i="29" s="1"/>
  <c r="L56" i="29"/>
  <c r="I57" i="29"/>
  <c r="J57" i="29" s="1"/>
  <c r="O57" i="29" s="1"/>
  <c r="L57" i="29"/>
  <c r="I59" i="29"/>
  <c r="J59" i="29" s="1"/>
  <c r="O59" i="29" s="1"/>
  <c r="L59" i="29"/>
  <c r="I58" i="29"/>
  <c r="J58" i="29" s="1"/>
  <c r="O58" i="29" s="1"/>
  <c r="L58" i="29"/>
  <c r="I68" i="29"/>
  <c r="J68" i="29" s="1"/>
  <c r="L68" i="29"/>
  <c r="I69" i="29"/>
  <c r="J69" i="29" s="1"/>
  <c r="L69" i="29"/>
  <c r="I67" i="29"/>
  <c r="J67" i="29" s="1"/>
  <c r="L67" i="29"/>
  <c r="I70" i="29"/>
  <c r="J70" i="29" s="1"/>
  <c r="L70" i="29"/>
  <c r="I74" i="29"/>
  <c r="J74" i="29" s="1"/>
  <c r="L74" i="29"/>
  <c r="I75" i="29"/>
  <c r="J75" i="29" s="1"/>
  <c r="L75" i="29"/>
  <c r="I73" i="29"/>
  <c r="J73" i="29" s="1"/>
  <c r="L73" i="29"/>
  <c r="I80" i="29"/>
  <c r="J80" i="29" s="1"/>
  <c r="L80" i="29"/>
  <c r="I78" i="29"/>
  <c r="J78" i="29" s="1"/>
  <c r="L78" i="29"/>
  <c r="I79" i="29"/>
  <c r="J79" i="29" s="1"/>
  <c r="L79" i="29"/>
  <c r="I34" i="29"/>
  <c r="J34" i="29" s="1"/>
  <c r="L34" i="29"/>
  <c r="I62" i="29"/>
  <c r="I232" i="1"/>
  <c r="J232" i="1" s="1"/>
  <c r="J237" i="1" s="1"/>
  <c r="L232" i="1"/>
  <c r="I746" i="1"/>
  <c r="J746" i="1" s="1"/>
  <c r="L746" i="1"/>
  <c r="I778" i="1"/>
  <c r="J778" i="1" s="1"/>
  <c r="L778" i="1"/>
  <c r="I749" i="1"/>
  <c r="J749" i="1" s="1"/>
  <c r="L749" i="1"/>
  <c r="I772" i="1"/>
  <c r="J772" i="1" s="1"/>
  <c r="L772" i="1"/>
  <c r="I779" i="1"/>
  <c r="J779" i="1" s="1"/>
  <c r="L779" i="1"/>
  <c r="I773" i="1"/>
  <c r="J773" i="1" s="1"/>
  <c r="L773" i="1"/>
  <c r="I780" i="1"/>
  <c r="J780" i="1" s="1"/>
  <c r="L780" i="1"/>
  <c r="I802" i="1"/>
  <c r="J802" i="1" s="1"/>
  <c r="L802" i="1"/>
  <c r="I767" i="1"/>
  <c r="J767" i="1" s="1"/>
  <c r="L767" i="1"/>
  <c r="I774" i="1"/>
  <c r="J774" i="1" s="1"/>
  <c r="L774" i="1"/>
  <c r="I781" i="1"/>
  <c r="J781" i="1" s="1"/>
  <c r="L781" i="1"/>
  <c r="I747" i="1"/>
  <c r="J747" i="1" s="1"/>
  <c r="L747" i="1"/>
  <c r="I768" i="1"/>
  <c r="J768" i="1" s="1"/>
  <c r="L768" i="1"/>
  <c r="I782" i="1"/>
  <c r="J782" i="1" s="1"/>
  <c r="L782" i="1"/>
  <c r="I769" i="1"/>
  <c r="J769" i="1" s="1"/>
  <c r="L769" i="1"/>
  <c r="I783" i="1"/>
  <c r="J783" i="1" s="1"/>
  <c r="L783" i="1"/>
  <c r="I82" i="1"/>
  <c r="I724" i="1"/>
  <c r="J724" i="1" s="1"/>
  <c r="L724" i="1"/>
  <c r="I770" i="1"/>
  <c r="J770" i="1" s="1"/>
  <c r="L770" i="1"/>
  <c r="I776" i="1"/>
  <c r="J776" i="1" s="1"/>
  <c r="L776" i="1"/>
  <c r="I771" i="1"/>
  <c r="J771" i="1" s="1"/>
  <c r="L771" i="1"/>
  <c r="I777" i="1"/>
  <c r="J777" i="1" s="1"/>
  <c r="L777" i="1"/>
  <c r="K21" i="27"/>
  <c r="J62" i="22"/>
  <c r="H4382" i="8"/>
  <c r="G102" i="22"/>
  <c r="J102" i="22" s="1"/>
  <c r="K740" i="22"/>
  <c r="G100" i="22"/>
  <c r="J100" i="22" s="1"/>
  <c r="J381" i="22"/>
  <c r="E160" i="1" s="1"/>
  <c r="J458" i="22"/>
  <c r="G696" i="22"/>
  <c r="J696" i="22" s="1"/>
  <c r="J740" i="22"/>
  <c r="K771" i="22"/>
  <c r="K431" i="22"/>
  <c r="K701" i="22"/>
  <c r="G681" i="22"/>
  <c r="J681" i="22" s="1"/>
  <c r="G694" i="22"/>
  <c r="J694" i="22" s="1"/>
  <c r="I670" i="22"/>
  <c r="G104" i="22"/>
  <c r="J104" i="22" s="1"/>
  <c r="K732" i="22"/>
  <c r="I740" i="22"/>
  <c r="G99" i="22"/>
  <c r="J99" i="22" s="1"/>
  <c r="K332" i="22"/>
  <c r="K476" i="22"/>
  <c r="G103" i="22"/>
  <c r="J103" i="22" s="1"/>
  <c r="G111" i="22"/>
  <c r="J111" i="22" s="1"/>
  <c r="K297" i="22"/>
  <c r="J573" i="22"/>
  <c r="E199" i="1" s="1"/>
  <c r="I610" i="22"/>
  <c r="E204" i="1" s="1"/>
  <c r="J57" i="30"/>
  <c r="E62" i="29" s="1"/>
  <c r="K62" i="29" s="1"/>
  <c r="K522" i="22"/>
  <c r="G279" i="22"/>
  <c r="J279" i="22" s="1"/>
  <c r="J281" i="22" s="1"/>
  <c r="G107" i="22"/>
  <c r="J107" i="22" s="1"/>
  <c r="K467" i="22"/>
  <c r="G110" i="22"/>
  <c r="J110" i="22" s="1"/>
  <c r="K273" i="22"/>
  <c r="K415" i="22"/>
  <c r="J431" i="22"/>
  <c r="K439" i="22"/>
  <c r="K549" i="22"/>
  <c r="G108" i="22"/>
  <c r="J108" i="22" s="1"/>
  <c r="K670" i="22"/>
  <c r="G680" i="22"/>
  <c r="J680" i="22" s="1"/>
  <c r="K573" i="22"/>
  <c r="K595" i="22"/>
  <c r="G101" i="22"/>
  <c r="J101" i="22" s="1"/>
  <c r="K389" i="22"/>
  <c r="G687" i="22"/>
  <c r="J687" i="22" s="1"/>
  <c r="I398" i="22"/>
  <c r="E164" i="1" s="1"/>
  <c r="K631" i="22"/>
  <c r="H4164" i="8"/>
  <c r="H4726" i="8"/>
  <c r="H4728" i="8" s="1"/>
  <c r="H4731" i="8" s="1"/>
  <c r="H4732" i="8" s="1"/>
  <c r="J76" i="22"/>
  <c r="J77" i="22" s="1"/>
  <c r="E87" i="1" s="1"/>
  <c r="G109" i="22"/>
  <c r="J109" i="22" s="1"/>
  <c r="K305" i="22"/>
  <c r="K322" i="22"/>
  <c r="K352" i="22"/>
  <c r="J406" i="22"/>
  <c r="E166" i="1" s="1"/>
  <c r="J631" i="22"/>
  <c r="G695" i="22"/>
  <c r="J695" i="22" s="1"/>
  <c r="G98" i="22"/>
  <c r="J98" i="22" s="1"/>
  <c r="G287" i="22"/>
  <c r="J287" i="22" s="1"/>
  <c r="J288" i="22" s="1"/>
  <c r="J297" i="22"/>
  <c r="I304" i="22"/>
  <c r="K458" i="22"/>
  <c r="I641" i="22"/>
  <c r="E207" i="1" s="1"/>
  <c r="E1213" i="8" s="1"/>
  <c r="H1220" i="8" s="1"/>
  <c r="H1221" i="8" s="1"/>
  <c r="H1213" i="8" s="1"/>
  <c r="G105" i="22"/>
  <c r="J105" i="22" s="1"/>
  <c r="J177" i="22"/>
  <c r="K281" i="22"/>
  <c r="G691" i="22"/>
  <c r="J691" i="22" s="1"/>
  <c r="K202" i="22"/>
  <c r="G464" i="22"/>
  <c r="J464" i="22" s="1"/>
  <c r="E209" i="1"/>
  <c r="E1226" i="8" s="1"/>
  <c r="H1243" i="8" s="1"/>
  <c r="J771" i="22"/>
  <c r="G112" i="22"/>
  <c r="J112" i="22" s="1"/>
  <c r="G521" i="22"/>
  <c r="J521" i="22" s="1"/>
  <c r="K423" i="22"/>
  <c r="J583" i="22"/>
  <c r="E200" i="1" s="1"/>
  <c r="G682" i="22"/>
  <c r="J682" i="22" s="1"/>
  <c r="G688" i="22"/>
  <c r="J688" i="22" s="1"/>
  <c r="G697" i="22"/>
  <c r="J697" i="22" s="1"/>
  <c r="G106" i="22"/>
  <c r="J106" i="22" s="1"/>
  <c r="K398" i="22"/>
  <c r="K541" i="22"/>
  <c r="K583" i="22"/>
  <c r="J641" i="22"/>
  <c r="G692" i="22"/>
  <c r="J692" i="22" s="1"/>
  <c r="I771" i="22"/>
  <c r="E217" i="1" s="1"/>
  <c r="K119" i="22"/>
  <c r="I389" i="22"/>
  <c r="E163" i="1" s="1"/>
  <c r="J422" i="22"/>
  <c r="K491" i="22"/>
  <c r="J549" i="22"/>
  <c r="E196" i="1" s="1"/>
  <c r="I631" i="22"/>
  <c r="E206" i="1" s="1"/>
  <c r="E1202" i="8" s="1"/>
  <c r="H1207" i="8" s="1"/>
  <c r="H1208" i="8" s="1"/>
  <c r="H1202" i="8" s="1"/>
  <c r="K641" i="22"/>
  <c r="J732" i="22"/>
  <c r="K177" i="22"/>
  <c r="E95" i="1" s="1"/>
  <c r="J186" i="22"/>
  <c r="J202" i="22"/>
  <c r="E99" i="1" s="1"/>
  <c r="E519" i="8" s="1"/>
  <c r="H532" i="8" s="1"/>
  <c r="J670" i="22"/>
  <c r="E210" i="1" s="1"/>
  <c r="J210" i="1" s="1"/>
  <c r="I732" i="22"/>
  <c r="E215" i="1" s="1"/>
  <c r="K87" i="22"/>
  <c r="K88" i="22" s="1"/>
  <c r="J305" i="22"/>
  <c r="K76" i="22"/>
  <c r="K77" i="22" s="1"/>
  <c r="I280" i="22"/>
  <c r="I281" i="22" s="1"/>
  <c r="E124" i="1" s="1"/>
  <c r="I303" i="22"/>
  <c r="G562" i="22"/>
  <c r="J562" i="22" s="1"/>
  <c r="J563" i="22" s="1"/>
  <c r="E198" i="1" s="1"/>
  <c r="H255" i="22"/>
  <c r="K255" i="22" s="1"/>
  <c r="K256" i="22" s="1"/>
  <c r="H4371" i="8"/>
  <c r="H4393" i="8"/>
  <c r="H4443" i="8"/>
  <c r="J43" i="55" l="1"/>
  <c r="F43" i="55"/>
  <c r="E43" i="55"/>
  <c r="E131" i="1"/>
  <c r="E130" i="1"/>
  <c r="E26" i="1"/>
  <c r="E54" i="8" s="1"/>
  <c r="H59" i="8" s="1"/>
  <c r="H60" i="8" s="1"/>
  <c r="H54" i="8" s="1"/>
  <c r="I305" i="22"/>
  <c r="E127" i="1" s="1"/>
  <c r="E82" i="1"/>
  <c r="K82" i="1" s="1"/>
  <c r="G466" i="22"/>
  <c r="J466" i="22" s="1"/>
  <c r="E91" i="1"/>
  <c r="E90" i="1"/>
  <c r="S90" i="29"/>
  <c r="S44" i="55"/>
  <c r="H4703" i="8"/>
  <c r="H4706" i="8" s="1"/>
  <c r="H4707" i="8" s="1"/>
  <c r="G589" i="22"/>
  <c r="J589" i="22" s="1"/>
  <c r="K39" i="27"/>
  <c r="E55" i="25" s="1"/>
  <c r="G465" i="22"/>
  <c r="J465" i="22" s="1"/>
  <c r="E121" i="1"/>
  <c r="J62" i="29"/>
  <c r="P62" i="29" s="1"/>
  <c r="P63" i="29" s="1"/>
  <c r="P84" i="29" s="1"/>
  <c r="L62" i="29"/>
  <c r="Y210" i="1"/>
  <c r="X210" i="1"/>
  <c r="Z210" i="1"/>
  <c r="G594" i="22"/>
  <c r="J594" i="22" s="1"/>
  <c r="E216" i="1"/>
  <c r="E1333" i="8" s="1"/>
  <c r="H1343" i="8" s="1"/>
  <c r="E169" i="1"/>
  <c r="G437" i="22"/>
  <c r="J437" i="22" s="1"/>
  <c r="E167" i="1"/>
  <c r="E211" i="1"/>
  <c r="E1250" i="8"/>
  <c r="H1255" i="8" s="1"/>
  <c r="H1256" i="8" s="1"/>
  <c r="H1250" i="8" s="1"/>
  <c r="K210" i="1"/>
  <c r="L210" i="1"/>
  <c r="G473" i="22"/>
  <c r="J473" i="22" s="1"/>
  <c r="E175" i="1"/>
  <c r="M37" i="25"/>
  <c r="R74" i="29"/>
  <c r="Q74" i="29"/>
  <c r="V114" i="29"/>
  <c r="U114" i="29"/>
  <c r="V130" i="29"/>
  <c r="U130" i="29"/>
  <c r="R80" i="29"/>
  <c r="Q80" i="29"/>
  <c r="R70" i="29"/>
  <c r="Q70" i="29"/>
  <c r="V135" i="29"/>
  <c r="U135" i="29"/>
  <c r="T101" i="29"/>
  <c r="S101" i="29"/>
  <c r="U119" i="29"/>
  <c r="V119" i="29"/>
  <c r="U121" i="29"/>
  <c r="V121" i="29"/>
  <c r="Q67" i="29"/>
  <c r="R67" i="29"/>
  <c r="U118" i="29"/>
  <c r="V118" i="29"/>
  <c r="U116" i="29"/>
  <c r="V116" i="29"/>
  <c r="U123" i="29"/>
  <c r="V123" i="29"/>
  <c r="R73" i="29"/>
  <c r="Q73" i="29"/>
  <c r="R79" i="29"/>
  <c r="Q79" i="29"/>
  <c r="R75" i="29"/>
  <c r="Q75" i="29"/>
  <c r="R69" i="29"/>
  <c r="Q69" i="29"/>
  <c r="U122" i="29"/>
  <c r="V122" i="29"/>
  <c r="U117" i="29"/>
  <c r="V117" i="29"/>
  <c r="U106" i="29"/>
  <c r="U108" i="29" s="1"/>
  <c r="U124" i="29"/>
  <c r="V124" i="29"/>
  <c r="R78" i="29"/>
  <c r="Q78" i="29"/>
  <c r="R68" i="29"/>
  <c r="Q68" i="29"/>
  <c r="U115" i="29"/>
  <c r="V115" i="29"/>
  <c r="V133" i="29"/>
  <c r="U133" i="29"/>
  <c r="W774" i="1"/>
  <c r="V774" i="1"/>
  <c r="Y774" i="1"/>
  <c r="U774" i="1"/>
  <c r="X774" i="1"/>
  <c r="W783" i="1"/>
  <c r="Y783" i="1"/>
  <c r="U783" i="1"/>
  <c r="V783" i="1"/>
  <c r="X783" i="1"/>
  <c r="X767" i="1"/>
  <c r="W767" i="1"/>
  <c r="V767" i="1"/>
  <c r="U767" i="1"/>
  <c r="Y767" i="1"/>
  <c r="V780" i="1"/>
  <c r="X780" i="1"/>
  <c r="U780" i="1"/>
  <c r="W780" i="1"/>
  <c r="Y780" i="1"/>
  <c r="X782" i="1"/>
  <c r="U782" i="1"/>
  <c r="Y782" i="1"/>
  <c r="W782" i="1"/>
  <c r="V782" i="1"/>
  <c r="W747" i="1"/>
  <c r="X747" i="1"/>
  <c r="Y747" i="1"/>
  <c r="V747" i="1"/>
  <c r="U747" i="1"/>
  <c r="W779" i="1"/>
  <c r="X779" i="1"/>
  <c r="Y779" i="1"/>
  <c r="U779" i="1"/>
  <c r="V779" i="1"/>
  <c r="U777" i="1"/>
  <c r="Y777" i="1"/>
  <c r="W777" i="1"/>
  <c r="X777" i="1"/>
  <c r="V777" i="1"/>
  <c r="X773" i="1"/>
  <c r="V773" i="1"/>
  <c r="W773" i="1"/>
  <c r="U773" i="1"/>
  <c r="Y773" i="1"/>
  <c r="X769" i="1"/>
  <c r="U769" i="1"/>
  <c r="V769" i="1"/>
  <c r="W769" i="1"/>
  <c r="Y769" i="1"/>
  <c r="Y781" i="1"/>
  <c r="U781" i="1"/>
  <c r="X781" i="1"/>
  <c r="W781" i="1"/>
  <c r="V781" i="1"/>
  <c r="Y772" i="1"/>
  <c r="U772" i="1"/>
  <c r="V772" i="1"/>
  <c r="W772" i="1"/>
  <c r="X772" i="1"/>
  <c r="V746" i="1"/>
  <c r="W746" i="1"/>
  <c r="U746" i="1"/>
  <c r="Y746" i="1"/>
  <c r="X746" i="1"/>
  <c r="V771" i="1"/>
  <c r="U771" i="1"/>
  <c r="W771" i="1"/>
  <c r="X771" i="1"/>
  <c r="Y771" i="1"/>
  <c r="X724" i="1"/>
  <c r="Y724" i="1"/>
  <c r="W724" i="1"/>
  <c r="U768" i="1"/>
  <c r="Y768" i="1"/>
  <c r="V768" i="1"/>
  <c r="X768" i="1"/>
  <c r="W768" i="1"/>
  <c r="V802" i="1"/>
  <c r="Y802" i="1"/>
  <c r="X802" i="1"/>
  <c r="W802" i="1"/>
  <c r="U802" i="1"/>
  <c r="U749" i="1"/>
  <c r="Y749" i="1"/>
  <c r="W749" i="1"/>
  <c r="V749" i="1"/>
  <c r="X749" i="1"/>
  <c r="X778" i="1"/>
  <c r="W778" i="1"/>
  <c r="V778" i="1"/>
  <c r="Y778" i="1"/>
  <c r="U778" i="1"/>
  <c r="Z232" i="1"/>
  <c r="Z237" i="1" s="1"/>
  <c r="V776" i="1"/>
  <c r="W776" i="1"/>
  <c r="U776" i="1"/>
  <c r="X776" i="1"/>
  <c r="Y776" i="1"/>
  <c r="W770" i="1"/>
  <c r="U770" i="1"/>
  <c r="V770" i="1"/>
  <c r="X770" i="1"/>
  <c r="Y770" i="1"/>
  <c r="J35" i="29"/>
  <c r="N34" i="29"/>
  <c r="N35" i="29" s="1"/>
  <c r="J31" i="29"/>
  <c r="N30" i="29"/>
  <c r="N31" i="29" s="1"/>
  <c r="H396" i="8"/>
  <c r="J119" i="22"/>
  <c r="E93" i="1" s="1"/>
  <c r="E43" i="8"/>
  <c r="H48" i="8" s="1"/>
  <c r="H49" i="8" s="1"/>
  <c r="H43" i="8" s="1"/>
  <c r="H4446" i="8"/>
  <c r="H4447" i="8" s="1"/>
  <c r="H27" i="8"/>
  <c r="H28" i="8" s="1"/>
  <c r="H4396" i="8"/>
  <c r="H4397" i="8" s="1"/>
  <c r="H4374" i="8"/>
  <c r="H4375" i="8" s="1"/>
  <c r="H4167" i="8"/>
  <c r="H4168" i="8" s="1"/>
  <c r="H4385" i="8"/>
  <c r="H4386" i="8" s="1"/>
  <c r="H4691" i="8"/>
  <c r="H4683" i="8" s="1"/>
  <c r="H4692" i="8"/>
  <c r="H4693" i="8" s="1"/>
  <c r="G555" i="22"/>
  <c r="J555" i="22" s="1"/>
  <c r="J556" i="22" s="1"/>
  <c r="E197" i="1" s="1"/>
  <c r="D43" i="55"/>
  <c r="P43" i="55" s="1"/>
  <c r="L234" i="1"/>
  <c r="L233" i="1"/>
  <c r="H4384" i="8"/>
  <c r="G540" i="22"/>
  <c r="J540" i="22" s="1"/>
  <c r="J541" i="22" s="1"/>
  <c r="G438" i="22"/>
  <c r="J438" i="22" s="1"/>
  <c r="J423" i="22"/>
  <c r="H171" i="1"/>
  <c r="H4713" i="8"/>
  <c r="H4715" i="8" s="1"/>
  <c r="H380" i="8"/>
  <c r="H383" i="8" s="1"/>
  <c r="H384" i="8" s="1"/>
  <c r="H412" i="8"/>
  <c r="J701" i="22"/>
  <c r="H4166" i="8"/>
  <c r="H26" i="8"/>
  <c r="H4730" i="8"/>
  <c r="H4722" i="8" s="1"/>
  <c r="H4395" i="8"/>
  <c r="H4373" i="8"/>
  <c r="F592" i="22"/>
  <c r="J592" i="22" s="1"/>
  <c r="H4445" i="8"/>
  <c r="I43" i="55" l="1"/>
  <c r="R43" i="55"/>
  <c r="N43" i="55"/>
  <c r="G43" i="55"/>
  <c r="K43" i="55"/>
  <c r="Q43" i="55"/>
  <c r="M43" i="55"/>
  <c r="H43" i="55"/>
  <c r="L43" i="55"/>
  <c r="O43" i="55"/>
  <c r="H4705" i="8"/>
  <c r="H4696" i="8" s="1"/>
  <c r="L82" i="1"/>
  <c r="J82" i="1"/>
  <c r="J467" i="22"/>
  <c r="E176" i="1" s="1"/>
  <c r="K90" i="1"/>
  <c r="L90" i="1"/>
  <c r="J90" i="1"/>
  <c r="R90" i="1" s="1"/>
  <c r="K687" i="1"/>
  <c r="K723" i="1"/>
  <c r="J439" i="22"/>
  <c r="E171" i="1" s="1"/>
  <c r="K171" i="1" s="1"/>
  <c r="E56" i="25"/>
  <c r="J56" i="25" s="1"/>
  <c r="L55" i="25"/>
  <c r="J55" i="25"/>
  <c r="N55" i="25" s="1"/>
  <c r="K55" i="25"/>
  <c r="G590" i="22"/>
  <c r="J590" i="22" s="1"/>
  <c r="E168" i="1"/>
  <c r="G591" i="22"/>
  <c r="J591" i="22" s="1"/>
  <c r="E214" i="1"/>
  <c r="E1320" i="8" s="1"/>
  <c r="H1327" i="8" s="1"/>
  <c r="E1261" i="8"/>
  <c r="H1268" i="8" s="1"/>
  <c r="H1269" i="8" s="1"/>
  <c r="H1261" i="8" s="1"/>
  <c r="L211" i="1"/>
  <c r="K211" i="1"/>
  <c r="J211" i="1"/>
  <c r="E1068" i="8"/>
  <c r="H1077" i="8" s="1"/>
  <c r="H1078" i="8" s="1"/>
  <c r="H1068" i="8" s="1"/>
  <c r="K170" i="1"/>
  <c r="J170" i="1"/>
  <c r="L170" i="1"/>
  <c r="E193" i="1"/>
  <c r="E1159" i="8" s="1"/>
  <c r="H1166" i="8" s="1"/>
  <c r="E192" i="1"/>
  <c r="H182" i="1"/>
  <c r="I182" i="1" s="1"/>
  <c r="J182" i="1" s="1"/>
  <c r="N37" i="29"/>
  <c r="J37" i="29"/>
  <c r="D45" i="55" s="1"/>
  <c r="K21" i="1"/>
  <c r="H398" i="8"/>
  <c r="H387" i="8" s="1"/>
  <c r="H399" i="8"/>
  <c r="H400" i="8" s="1"/>
  <c r="H415" i="8"/>
  <c r="H416" i="8" s="1"/>
  <c r="H4717" i="8"/>
  <c r="H4710" i="8" s="1"/>
  <c r="H4718" i="8"/>
  <c r="H4719" i="8" s="1"/>
  <c r="E1187" i="8"/>
  <c r="H1196" i="8" s="1"/>
  <c r="E1172" i="8"/>
  <c r="H1181" i="8" s="1"/>
  <c r="H757" i="1"/>
  <c r="I757" i="1" s="1"/>
  <c r="J757" i="1" s="1"/>
  <c r="K757" i="1"/>
  <c r="H763" i="1"/>
  <c r="I763" i="1" s="1"/>
  <c r="J763" i="1" s="1"/>
  <c r="K763" i="1"/>
  <c r="H758" i="1"/>
  <c r="L758" i="1" s="1"/>
  <c r="K758" i="1"/>
  <c r="H754" i="1"/>
  <c r="I754" i="1" s="1"/>
  <c r="J754" i="1" s="1"/>
  <c r="K754" i="1"/>
  <c r="H755" i="1"/>
  <c r="I755" i="1" s="1"/>
  <c r="J755" i="1" s="1"/>
  <c r="K755" i="1"/>
  <c r="I171" i="1"/>
  <c r="H1127" i="8"/>
  <c r="H4378" i="8"/>
  <c r="H414" i="8"/>
  <c r="H4160" i="8"/>
  <c r="H382" i="8"/>
  <c r="H20" i="8"/>
  <c r="H4389" i="8"/>
  <c r="H4367" i="8"/>
  <c r="H4439" i="8"/>
  <c r="Q82" i="1" l="1"/>
  <c r="Q83" i="1" s="1"/>
  <c r="P82" i="1"/>
  <c r="J595" i="22"/>
  <c r="G474" i="22"/>
  <c r="J474" i="22" s="1"/>
  <c r="J476" i="22" s="1"/>
  <c r="G520" i="22" s="1"/>
  <c r="J520" i="22" s="1"/>
  <c r="J522" i="22" s="1"/>
  <c r="E185" i="1" s="1"/>
  <c r="E188" i="1" s="1"/>
  <c r="E191" i="1" s="1"/>
  <c r="H828" i="1"/>
  <c r="L828" i="1" s="1"/>
  <c r="H723" i="1"/>
  <c r="I723" i="1" s="1"/>
  <c r="J723" i="1" s="1"/>
  <c r="W723" i="1" s="1"/>
  <c r="J171" i="1"/>
  <c r="U171" i="1" s="1"/>
  <c r="H687" i="1"/>
  <c r="L687" i="1" s="1"/>
  <c r="L171" i="1"/>
  <c r="S43" i="55"/>
  <c r="L56" i="25"/>
  <c r="M55" i="25"/>
  <c r="E201" i="1"/>
  <c r="K56" i="25"/>
  <c r="N56" i="25"/>
  <c r="N57" i="25" s="1"/>
  <c r="M56" i="25"/>
  <c r="K182" i="1"/>
  <c r="X211" i="1"/>
  <c r="Y211" i="1"/>
  <c r="Z211" i="1"/>
  <c r="S170" i="1"/>
  <c r="W170" i="1"/>
  <c r="V170" i="1"/>
  <c r="T170" i="1"/>
  <c r="U170" i="1"/>
  <c r="N38" i="29"/>
  <c r="F46" i="55" s="1"/>
  <c r="F45" i="55" s="1"/>
  <c r="S38" i="29"/>
  <c r="K46" i="55" s="1"/>
  <c r="K45" i="55" s="1"/>
  <c r="M38" i="29"/>
  <c r="E46" i="55" s="1"/>
  <c r="E45" i="55" s="1"/>
  <c r="Q38" i="29"/>
  <c r="I46" i="55" s="1"/>
  <c r="I45" i="55" s="1"/>
  <c r="U38" i="29"/>
  <c r="M46" i="55" s="1"/>
  <c r="M45" i="55" s="1"/>
  <c r="P38" i="29"/>
  <c r="H46" i="55" s="1"/>
  <c r="H45" i="55" s="1"/>
  <c r="V38" i="29"/>
  <c r="N46" i="55" s="1"/>
  <c r="N45" i="55" s="1"/>
  <c r="O38" i="29"/>
  <c r="G46" i="55" s="1"/>
  <c r="G45" i="55" s="1"/>
  <c r="W38" i="29"/>
  <c r="O46" i="55" s="1"/>
  <c r="O45" i="55" s="1"/>
  <c r="X38" i="29"/>
  <c r="P46" i="55" s="1"/>
  <c r="P45" i="55" s="1"/>
  <c r="Y38" i="29"/>
  <c r="Q46" i="55" s="1"/>
  <c r="Q45" i="55" s="1"/>
  <c r="R38" i="29"/>
  <c r="J46" i="55" s="1"/>
  <c r="J45" i="55" s="1"/>
  <c r="Z38" i="29"/>
  <c r="R46" i="55" s="1"/>
  <c r="R45" i="55" s="1"/>
  <c r="T38" i="29"/>
  <c r="L46" i="55" s="1"/>
  <c r="L45" i="55" s="1"/>
  <c r="H81" i="29"/>
  <c r="I81" i="29" s="1"/>
  <c r="J81" i="29" s="1"/>
  <c r="V755" i="1"/>
  <c r="X755" i="1"/>
  <c r="Y755" i="1"/>
  <c r="U755" i="1"/>
  <c r="W755" i="1"/>
  <c r="X182" i="1"/>
  <c r="W182" i="1"/>
  <c r="V182" i="1"/>
  <c r="U182" i="1"/>
  <c r="Y182" i="1"/>
  <c r="V763" i="1"/>
  <c r="U763" i="1"/>
  <c r="W763" i="1"/>
  <c r="X763" i="1"/>
  <c r="Y763" i="1"/>
  <c r="W754" i="1"/>
  <c r="X754" i="1"/>
  <c r="V754" i="1"/>
  <c r="U754" i="1"/>
  <c r="Y754" i="1"/>
  <c r="X757" i="1"/>
  <c r="Y757" i="1"/>
  <c r="W757" i="1"/>
  <c r="U757" i="1"/>
  <c r="V757" i="1"/>
  <c r="H21" i="1"/>
  <c r="H60" i="29"/>
  <c r="I758" i="1"/>
  <c r="J758" i="1" s="1"/>
  <c r="L754" i="1"/>
  <c r="L757" i="1"/>
  <c r="L763" i="1"/>
  <c r="L182" i="1"/>
  <c r="L755" i="1"/>
  <c r="H756" i="1"/>
  <c r="L756" i="1" s="1"/>
  <c r="K756" i="1"/>
  <c r="H826" i="1"/>
  <c r="I826" i="1" s="1"/>
  <c r="J826" i="1" s="1"/>
  <c r="K826" i="1"/>
  <c r="H831" i="1"/>
  <c r="L831" i="1" s="1"/>
  <c r="K831" i="1"/>
  <c r="H403" i="8"/>
  <c r="H371" i="8"/>
  <c r="E177" i="1" l="1"/>
  <c r="W171" i="1"/>
  <c r="K828" i="1"/>
  <c r="I687" i="1"/>
  <c r="J687" i="1" s="1"/>
  <c r="Y687" i="1" s="1"/>
  <c r="V171" i="1"/>
  <c r="L723" i="1"/>
  <c r="Y723" i="1"/>
  <c r="T171" i="1"/>
  <c r="X723" i="1"/>
  <c r="S171" i="1"/>
  <c r="N59" i="25"/>
  <c r="S45" i="55"/>
  <c r="S46" i="55"/>
  <c r="K81" i="29"/>
  <c r="L81" i="29"/>
  <c r="Q81" i="29"/>
  <c r="R81" i="29"/>
  <c r="W758" i="1"/>
  <c r="U758" i="1"/>
  <c r="Y758" i="1"/>
  <c r="X758" i="1"/>
  <c r="V758" i="1"/>
  <c r="Y826" i="1"/>
  <c r="T826" i="1"/>
  <c r="U826" i="1"/>
  <c r="I21" i="1"/>
  <c r="J21" i="1" s="1"/>
  <c r="L21" i="1"/>
  <c r="K60" i="29"/>
  <c r="I831" i="1"/>
  <c r="J831" i="1" s="1"/>
  <c r="I828" i="1"/>
  <c r="J828" i="1" s="1"/>
  <c r="H76" i="29"/>
  <c r="K76" i="29"/>
  <c r="H45" i="29"/>
  <c r="K45" i="29"/>
  <c r="H71" i="29"/>
  <c r="K71" i="29"/>
  <c r="I60" i="29"/>
  <c r="J60" i="29" s="1"/>
  <c r="O60" i="29" s="1"/>
  <c r="L60" i="29"/>
  <c r="L826" i="1"/>
  <c r="I756" i="1"/>
  <c r="J756" i="1" s="1"/>
  <c r="H830" i="1"/>
  <c r="L830" i="1" s="1"/>
  <c r="K830" i="1"/>
  <c r="X687" i="1" l="1"/>
  <c r="T828" i="1"/>
  <c r="U828" i="1"/>
  <c r="Y828" i="1"/>
  <c r="T831" i="1"/>
  <c r="U831" i="1"/>
  <c r="Y831" i="1"/>
  <c r="Y756" i="1"/>
  <c r="U756" i="1"/>
  <c r="X756" i="1"/>
  <c r="V756" i="1"/>
  <c r="W756" i="1"/>
  <c r="J22" i="1"/>
  <c r="M21" i="1"/>
  <c r="M22" i="1" s="1"/>
  <c r="M29" i="1" s="1"/>
  <c r="I830" i="1"/>
  <c r="J830" i="1" s="1"/>
  <c r="I71" i="29"/>
  <c r="J71" i="29" s="1"/>
  <c r="L71" i="29"/>
  <c r="I45" i="29"/>
  <c r="J45" i="29" s="1"/>
  <c r="N45" i="29" s="1"/>
  <c r="N63" i="29" s="1"/>
  <c r="N84" i="29" s="1"/>
  <c r="L45" i="29"/>
  <c r="I76" i="29"/>
  <c r="J76" i="29" s="1"/>
  <c r="L76" i="29"/>
  <c r="H30" i="25"/>
  <c r="H32" i="25"/>
  <c r="H34" i="25"/>
  <c r="Q76" i="29" l="1"/>
  <c r="R76" i="29"/>
  <c r="Q71" i="29"/>
  <c r="R71" i="29"/>
  <c r="Y830" i="1"/>
  <c r="U830" i="1"/>
  <c r="T830" i="1"/>
  <c r="J82" i="29"/>
  <c r="I34" i="25"/>
  <c r="J34" i="25" s="1"/>
  <c r="M34" i="25" s="1"/>
  <c r="L34" i="25"/>
  <c r="I32" i="25"/>
  <c r="J32" i="25" s="1"/>
  <c r="M32" i="25" s="1"/>
  <c r="L32" i="25"/>
  <c r="I30" i="25"/>
  <c r="J30" i="25" s="1"/>
  <c r="L30" i="25"/>
  <c r="M30" i="25" l="1"/>
  <c r="Q82" i="29"/>
  <c r="Q84" i="29" s="1"/>
  <c r="R82" i="29"/>
  <c r="R84" i="29" s="1"/>
  <c r="K59" i="1" l="1"/>
  <c r="H59" i="1"/>
  <c r="L59" i="1" s="1"/>
  <c r="I59" i="1" l="1"/>
  <c r="J59" i="1" s="1"/>
  <c r="O59" i="1" l="1"/>
  <c r="N59" i="1"/>
  <c r="K529" i="1"/>
  <c r="H529" i="1"/>
  <c r="K405" i="1"/>
  <c r="H405" i="1"/>
  <c r="L405" i="1" l="1"/>
  <c r="I405" i="1"/>
  <c r="J405" i="1" s="1"/>
  <c r="I529" i="1"/>
  <c r="J529" i="1" s="1"/>
  <c r="L529" i="1"/>
  <c r="T405" i="1" l="1"/>
  <c r="V405" i="1"/>
  <c r="P405" i="1"/>
  <c r="S405" i="1"/>
  <c r="U405" i="1"/>
  <c r="T529" i="1"/>
  <c r="V529" i="1"/>
  <c r="X529" i="1"/>
  <c r="Y529" i="1"/>
  <c r="W529" i="1"/>
  <c r="Z529" i="1"/>
  <c r="H97" i="1" l="1"/>
  <c r="K97" i="1"/>
  <c r="K98" i="1"/>
  <c r="H98" i="1"/>
  <c r="L98" i="1" l="1"/>
  <c r="I98" i="1"/>
  <c r="J98" i="1" s="1"/>
  <c r="L97" i="1"/>
  <c r="I97" i="1"/>
  <c r="J97" i="1" s="1"/>
  <c r="R98" i="1" l="1"/>
  <c r="Q98" i="1"/>
  <c r="R97" i="1"/>
  <c r="Q97" i="1"/>
  <c r="K57" i="1"/>
  <c r="H57" i="1"/>
  <c r="H87" i="1"/>
  <c r="K87" i="1"/>
  <c r="H73" i="1"/>
  <c r="K73" i="1"/>
  <c r="H89" i="1"/>
  <c r="K89" i="1"/>
  <c r="K60" i="1"/>
  <c r="H60" i="1"/>
  <c r="H78" i="1"/>
  <c r="K78" i="1"/>
  <c r="K74" i="1"/>
  <c r="H74" i="1"/>
  <c r="K62" i="1"/>
  <c r="H62" i="1"/>
  <c r="K93" i="1"/>
  <c r="H93" i="1"/>
  <c r="K40" i="25"/>
  <c r="H40" i="25"/>
  <c r="H76" i="1"/>
  <c r="K76" i="1"/>
  <c r="K71" i="1"/>
  <c r="H71" i="1"/>
  <c r="K68" i="1"/>
  <c r="H68" i="1"/>
  <c r="H65" i="1"/>
  <c r="K65" i="1"/>
  <c r="K77" i="1"/>
  <c r="H77" i="1"/>
  <c r="H79" i="1"/>
  <c r="K79" i="1"/>
  <c r="H49" i="25"/>
  <c r="K49" i="25"/>
  <c r="H26" i="1"/>
  <c r="K26" i="1"/>
  <c r="H80" i="1"/>
  <c r="K80" i="1"/>
  <c r="H88" i="1"/>
  <c r="K88" i="1"/>
  <c r="K42" i="25"/>
  <c r="H42" i="25"/>
  <c r="K25" i="1"/>
  <c r="H25" i="1"/>
  <c r="K66" i="1"/>
  <c r="H66" i="1"/>
  <c r="H64" i="1"/>
  <c r="K64" i="1"/>
  <c r="K47" i="1"/>
  <c r="H47" i="1"/>
  <c r="H67" i="1"/>
  <c r="K67" i="1"/>
  <c r="K75" i="1"/>
  <c r="H75" i="1"/>
  <c r="K56" i="1"/>
  <c r="H56" i="1"/>
  <c r="H61" i="1"/>
  <c r="K61" i="1"/>
  <c r="K131" i="1" l="1"/>
  <c r="H131" i="1"/>
  <c r="I131" i="1" s="1"/>
  <c r="J131" i="1" s="1"/>
  <c r="H158" i="1"/>
  <c r="I158" i="1" s="1"/>
  <c r="J158" i="1" s="1"/>
  <c r="K158" i="1"/>
  <c r="H122" i="1"/>
  <c r="L122" i="1" s="1"/>
  <c r="K122" i="1"/>
  <c r="K128" i="1"/>
  <c r="H128" i="1"/>
  <c r="L128" i="1" s="1"/>
  <c r="K121" i="1"/>
  <c r="H121" i="1"/>
  <c r="I121" i="1" s="1"/>
  <c r="J121" i="1" s="1"/>
  <c r="K130" i="1"/>
  <c r="H130" i="1"/>
  <c r="I130" i="1" s="1"/>
  <c r="J130" i="1" s="1"/>
  <c r="K127" i="1"/>
  <c r="H127" i="1"/>
  <c r="L127" i="1" s="1"/>
  <c r="H156" i="1"/>
  <c r="L156" i="1" s="1"/>
  <c r="K156" i="1"/>
  <c r="K123" i="1"/>
  <c r="H123" i="1"/>
  <c r="I123" i="1" s="1"/>
  <c r="J123" i="1" s="1"/>
  <c r="H157" i="1"/>
  <c r="L157" i="1" s="1"/>
  <c r="K157" i="1"/>
  <c r="K124" i="1"/>
  <c r="H124" i="1"/>
  <c r="I124" i="1" s="1"/>
  <c r="J124" i="1" s="1"/>
  <c r="L61" i="1"/>
  <c r="I61" i="1"/>
  <c r="J61" i="1" s="1"/>
  <c r="L56" i="1"/>
  <c r="I56" i="1"/>
  <c r="J56" i="1" s="1"/>
  <c r="L75" i="1"/>
  <c r="I75" i="1"/>
  <c r="J75" i="1" s="1"/>
  <c r="I67" i="1"/>
  <c r="J67" i="1" s="1"/>
  <c r="L67" i="1"/>
  <c r="L47" i="1"/>
  <c r="I47" i="1"/>
  <c r="J47" i="1" s="1"/>
  <c r="J48" i="1" s="1"/>
  <c r="I64" i="1"/>
  <c r="J64" i="1" s="1"/>
  <c r="L64" i="1"/>
  <c r="L66" i="1"/>
  <c r="I66" i="1"/>
  <c r="J66" i="1" s="1"/>
  <c r="L25" i="1"/>
  <c r="I25" i="1"/>
  <c r="J25" i="1" s="1"/>
  <c r="I42" i="25"/>
  <c r="J42" i="25" s="1"/>
  <c r="L42" i="25"/>
  <c r="L88" i="1"/>
  <c r="I88" i="1"/>
  <c r="J88" i="1" s="1"/>
  <c r="R88" i="1" s="1"/>
  <c r="I80" i="1"/>
  <c r="J80" i="1" s="1"/>
  <c r="L80" i="1"/>
  <c r="I26" i="1"/>
  <c r="J26" i="1" s="1"/>
  <c r="L26" i="1"/>
  <c r="L49" i="25"/>
  <c r="I49" i="25"/>
  <c r="J49" i="25" s="1"/>
  <c r="J57" i="25" s="1"/>
  <c r="L79" i="1"/>
  <c r="I79" i="1"/>
  <c r="J79" i="1" s="1"/>
  <c r="I77" i="1"/>
  <c r="J77" i="1" s="1"/>
  <c r="L77" i="1"/>
  <c r="L65" i="1"/>
  <c r="I65" i="1"/>
  <c r="J65" i="1" s="1"/>
  <c r="L68" i="1"/>
  <c r="I68" i="1"/>
  <c r="J68" i="1" s="1"/>
  <c r="L71" i="1"/>
  <c r="I71" i="1"/>
  <c r="J71" i="1" s="1"/>
  <c r="L76" i="1"/>
  <c r="I76" i="1"/>
  <c r="J76" i="1" s="1"/>
  <c r="L40" i="25"/>
  <c r="I40" i="25"/>
  <c r="J40" i="25" s="1"/>
  <c r="I93" i="1"/>
  <c r="J93" i="1" s="1"/>
  <c r="T93" i="1" s="1"/>
  <c r="L93" i="1"/>
  <c r="L62" i="1"/>
  <c r="I62" i="1"/>
  <c r="J62" i="1" s="1"/>
  <c r="I74" i="1"/>
  <c r="J74" i="1" s="1"/>
  <c r="L74" i="1"/>
  <c r="I78" i="1"/>
  <c r="J78" i="1" s="1"/>
  <c r="L78" i="1"/>
  <c r="L60" i="1"/>
  <c r="I60" i="1"/>
  <c r="J60" i="1" s="1"/>
  <c r="I89" i="1"/>
  <c r="J89" i="1" s="1"/>
  <c r="R89" i="1" s="1"/>
  <c r="L89" i="1"/>
  <c r="L73" i="1"/>
  <c r="I73" i="1"/>
  <c r="J73" i="1" s="1"/>
  <c r="L87" i="1"/>
  <c r="I87" i="1"/>
  <c r="J87" i="1" s="1"/>
  <c r="I57" i="1"/>
  <c r="J57" i="1" s="1"/>
  <c r="L57" i="1"/>
  <c r="O62" i="1" l="1"/>
  <c r="N62" i="1"/>
  <c r="O60" i="1"/>
  <c r="N60" i="1"/>
  <c r="O61" i="1"/>
  <c r="N61" i="1"/>
  <c r="M40" i="25"/>
  <c r="R25" i="1"/>
  <c r="O25" i="1"/>
  <c r="T25" i="1"/>
  <c r="N25" i="1"/>
  <c r="P25" i="1"/>
  <c r="R26" i="1"/>
  <c r="T26" i="1"/>
  <c r="P26" i="1"/>
  <c r="N26" i="1"/>
  <c r="O26" i="1"/>
  <c r="M49" i="25"/>
  <c r="M57" i="25" s="1"/>
  <c r="N47" i="1"/>
  <c r="N48" i="1" s="1"/>
  <c r="N50" i="1" s="1"/>
  <c r="J50" i="1"/>
  <c r="J27" i="1"/>
  <c r="J29" i="1" s="1"/>
  <c r="D26" i="55" s="1"/>
  <c r="M42" i="25"/>
  <c r="R87" i="1"/>
  <c r="L158" i="1"/>
  <c r="P68" i="1"/>
  <c r="O68" i="1"/>
  <c r="P64" i="1"/>
  <c r="O64" i="1"/>
  <c r="T124" i="1"/>
  <c r="S124" i="1"/>
  <c r="R124" i="1"/>
  <c r="O65" i="1"/>
  <c r="P65" i="1"/>
  <c r="P67" i="1"/>
  <c r="O67" i="1"/>
  <c r="O78" i="1"/>
  <c r="P78" i="1"/>
  <c r="P73" i="1"/>
  <c r="O73" i="1"/>
  <c r="P75" i="1"/>
  <c r="O75" i="1"/>
  <c r="V130" i="1"/>
  <c r="W130" i="1"/>
  <c r="O76" i="1"/>
  <c r="P76" i="1"/>
  <c r="O66" i="1"/>
  <c r="P66" i="1"/>
  <c r="Y158" i="1"/>
  <c r="Z158" i="1"/>
  <c r="P74" i="1"/>
  <c r="O74" i="1"/>
  <c r="O77" i="1"/>
  <c r="P77" i="1"/>
  <c r="P80" i="1"/>
  <c r="O80" i="1"/>
  <c r="S123" i="1"/>
  <c r="R123" i="1"/>
  <c r="T123" i="1"/>
  <c r="T121" i="1"/>
  <c r="S121" i="1"/>
  <c r="R121" i="1"/>
  <c r="W131" i="1"/>
  <c r="V131" i="1"/>
  <c r="P71" i="1"/>
  <c r="O71" i="1"/>
  <c r="P79" i="1"/>
  <c r="O79" i="1"/>
  <c r="O56" i="1"/>
  <c r="N56" i="1"/>
  <c r="O57" i="1"/>
  <c r="N57" i="1"/>
  <c r="L121" i="1"/>
  <c r="L131" i="1"/>
  <c r="L123" i="1"/>
  <c r="L130" i="1"/>
  <c r="L124" i="1"/>
  <c r="I156" i="1"/>
  <c r="J156" i="1" s="1"/>
  <c r="I157" i="1"/>
  <c r="J157" i="1" s="1"/>
  <c r="I127" i="1"/>
  <c r="J127" i="1" s="1"/>
  <c r="I128" i="1"/>
  <c r="J128" i="1" s="1"/>
  <c r="K160" i="1"/>
  <c r="H160" i="1"/>
  <c r="K281" i="1"/>
  <c r="H281" i="1"/>
  <c r="K267" i="1"/>
  <c r="H267" i="1"/>
  <c r="H262" i="1"/>
  <c r="K262" i="1"/>
  <c r="K258" i="1"/>
  <c r="H258" i="1"/>
  <c r="K263" i="1"/>
  <c r="H263" i="1"/>
  <c r="H291" i="1"/>
  <c r="K291" i="1"/>
  <c r="H531" i="1"/>
  <c r="K531" i="1"/>
  <c r="K265" i="1"/>
  <c r="H265" i="1"/>
  <c r="H285" i="1"/>
  <c r="K285" i="1"/>
  <c r="H554" i="1"/>
  <c r="K554" i="1"/>
  <c r="H347" i="1"/>
  <c r="K347" i="1"/>
  <c r="K279" i="1"/>
  <c r="H279" i="1"/>
  <c r="K560" i="1"/>
  <c r="H560" i="1"/>
  <c r="K315" i="1"/>
  <c r="H315" i="1"/>
  <c r="K569" i="1"/>
  <c r="H569" i="1"/>
  <c r="H824" i="1"/>
  <c r="K824" i="1"/>
  <c r="H301" i="1"/>
  <c r="K301" i="1"/>
  <c r="K632" i="1"/>
  <c r="H632" i="1"/>
  <c r="H526" i="1"/>
  <c r="K526" i="1"/>
  <c r="H629" i="1"/>
  <c r="K629" i="1"/>
  <c r="H561" i="1"/>
  <c r="K561" i="1"/>
  <c r="K296" i="1"/>
  <c r="H296" i="1"/>
  <c r="H400" i="1"/>
  <c r="K400" i="1"/>
  <c r="K368" i="1"/>
  <c r="H368" i="1"/>
  <c r="K379" i="1"/>
  <c r="H379" i="1"/>
  <c r="H294" i="1"/>
  <c r="K294" i="1"/>
  <c r="H384" i="1"/>
  <c r="K384" i="1"/>
  <c r="H336" i="1"/>
  <c r="K336" i="1"/>
  <c r="H566" i="1"/>
  <c r="K566" i="1"/>
  <c r="H534" i="1"/>
  <c r="K534" i="1"/>
  <c r="K181" i="1"/>
  <c r="H181" i="1"/>
  <c r="H369" i="1"/>
  <c r="K369" i="1"/>
  <c r="H388" i="1"/>
  <c r="K388" i="1"/>
  <c r="H303" i="1"/>
  <c r="K303" i="1"/>
  <c r="H199" i="1"/>
  <c r="K199" i="1"/>
  <c r="K386" i="1"/>
  <c r="H386" i="1"/>
  <c r="H565" i="1"/>
  <c r="K565" i="1"/>
  <c r="H168" i="1"/>
  <c r="K168" i="1"/>
  <c r="H532" i="1"/>
  <c r="K532" i="1"/>
  <c r="K167" i="1"/>
  <c r="H167" i="1"/>
  <c r="H418" i="1"/>
  <c r="K418" i="1"/>
  <c r="K376" i="1"/>
  <c r="H376" i="1"/>
  <c r="K316" i="1"/>
  <c r="H316" i="1"/>
  <c r="K401" i="1"/>
  <c r="H401" i="1"/>
  <c r="K177" i="1"/>
  <c r="H177" i="1"/>
  <c r="K311" i="1"/>
  <c r="H311" i="1"/>
  <c r="H390" i="1"/>
  <c r="K390" i="1"/>
  <c r="K223" i="1"/>
  <c r="H223" i="1"/>
  <c r="K570" i="1"/>
  <c r="H570" i="1"/>
  <c r="H564" i="1"/>
  <c r="K564" i="1"/>
  <c r="H568" i="1"/>
  <c r="K568" i="1"/>
  <c r="H305" i="1"/>
  <c r="K305" i="1"/>
  <c r="H567" i="1"/>
  <c r="K567" i="1"/>
  <c r="H282" i="1"/>
  <c r="K282" i="1"/>
  <c r="H257" i="1"/>
  <c r="K257" i="1"/>
  <c r="K278" i="1"/>
  <c r="H278" i="1"/>
  <c r="H385" i="1"/>
  <c r="K385" i="1"/>
  <c r="K312" i="1"/>
  <c r="H312" i="1"/>
  <c r="K178" i="1"/>
  <c r="H178" i="1"/>
  <c r="K332" i="1"/>
  <c r="H332" i="1"/>
  <c r="K276" i="1"/>
  <c r="H276" i="1"/>
  <c r="K355" i="1"/>
  <c r="H355" i="1"/>
  <c r="K365" i="1"/>
  <c r="H365" i="1"/>
  <c r="H523" i="1"/>
  <c r="K523" i="1"/>
  <c r="K326" i="1"/>
  <c r="H326" i="1"/>
  <c r="K363" i="1"/>
  <c r="H363" i="1"/>
  <c r="K277" i="1"/>
  <c r="H277" i="1"/>
  <c r="K352" i="1"/>
  <c r="H352" i="1"/>
  <c r="L352" i="1" s="1"/>
  <c r="H528" i="1"/>
  <c r="K528" i="1"/>
  <c r="K646" i="1"/>
  <c r="H646" i="1"/>
  <c r="H350" i="1"/>
  <c r="K350" i="1"/>
  <c r="H377" i="1"/>
  <c r="K377" i="1"/>
  <c r="K378" i="1"/>
  <c r="H378" i="1"/>
  <c r="K275" i="1"/>
  <c r="H275" i="1"/>
  <c r="K399" i="1"/>
  <c r="H399" i="1"/>
  <c r="H407" i="1"/>
  <c r="K407" i="1"/>
  <c r="H631" i="1"/>
  <c r="K631" i="1"/>
  <c r="K397" i="1"/>
  <c r="H397" i="1"/>
  <c r="K201" i="1"/>
  <c r="H201" i="1"/>
  <c r="K298" i="1"/>
  <c r="H298" i="1"/>
  <c r="H553" i="1"/>
  <c r="K553" i="1"/>
  <c r="H383" i="1"/>
  <c r="K383" i="1"/>
  <c r="H402" i="1"/>
  <c r="K402" i="1"/>
  <c r="H307" i="1"/>
  <c r="K307" i="1"/>
  <c r="K563" i="1"/>
  <c r="H563" i="1"/>
  <c r="K527" i="1"/>
  <c r="H527" i="1"/>
  <c r="K295" i="1"/>
  <c r="H295" i="1"/>
  <c r="H364" i="1"/>
  <c r="K364" i="1"/>
  <c r="H394" i="1"/>
  <c r="K394" i="1"/>
  <c r="H389" i="1"/>
  <c r="K389" i="1"/>
  <c r="H653" i="1"/>
  <c r="K653" i="1"/>
  <c r="K647" i="1"/>
  <c r="H647" i="1"/>
  <c r="I647" i="1" s="1"/>
  <c r="J647" i="1" s="1"/>
  <c r="H367" i="1"/>
  <c r="K367" i="1"/>
  <c r="H552" i="1"/>
  <c r="K552" i="1"/>
  <c r="K331" i="1"/>
  <c r="H331" i="1"/>
  <c r="K416" i="1"/>
  <c r="H416" i="1"/>
  <c r="H166" i="1"/>
  <c r="K166" i="1"/>
  <c r="K533" i="1"/>
  <c r="H533" i="1"/>
  <c r="H320" i="1"/>
  <c r="K320" i="1"/>
  <c r="H175" i="1"/>
  <c r="K175" i="1"/>
  <c r="K290" i="1"/>
  <c r="H290" i="1"/>
  <c r="H382" i="1"/>
  <c r="K382" i="1"/>
  <c r="K324" i="1"/>
  <c r="H324" i="1"/>
  <c r="H520" i="1"/>
  <c r="I520" i="1" s="1"/>
  <c r="J520" i="1" s="1"/>
  <c r="K520" i="1"/>
  <c r="K525" i="1"/>
  <c r="H525" i="1"/>
  <c r="H562" i="1"/>
  <c r="I562" i="1" s="1"/>
  <c r="J562" i="1" s="1"/>
  <c r="K562" i="1"/>
  <c r="K280" i="1"/>
  <c r="H280" i="1"/>
  <c r="K284" i="1"/>
  <c r="H284" i="1"/>
  <c r="K203" i="1"/>
  <c r="H203" i="1"/>
  <c r="H293" i="1"/>
  <c r="K293" i="1"/>
  <c r="K322" i="1"/>
  <c r="H322" i="1"/>
  <c r="K628" i="1"/>
  <c r="H628" i="1"/>
  <c r="K387" i="1"/>
  <c r="H387" i="1"/>
  <c r="I387" i="1" s="1"/>
  <c r="J387" i="1" s="1"/>
  <c r="K380" i="1"/>
  <c r="H380" i="1"/>
  <c r="L380" i="1" s="1"/>
  <c r="K300" i="1"/>
  <c r="H300" i="1"/>
  <c r="I300" i="1" s="1"/>
  <c r="J300" i="1" s="1"/>
  <c r="H212" i="1"/>
  <c r="K212" i="1"/>
  <c r="H551" i="1"/>
  <c r="K551" i="1"/>
  <c r="H530" i="1"/>
  <c r="K530" i="1"/>
  <c r="H255" i="1"/>
  <c r="K255" i="1"/>
  <c r="K330" i="1"/>
  <c r="H330" i="1"/>
  <c r="H630" i="1"/>
  <c r="K630" i="1"/>
  <c r="H349" i="1"/>
  <c r="K349" i="1"/>
  <c r="H304" i="1"/>
  <c r="K304" i="1"/>
  <c r="H403" i="1"/>
  <c r="K403" i="1"/>
  <c r="H264" i="1"/>
  <c r="K264" i="1"/>
  <c r="H254" i="1"/>
  <c r="K254" i="1"/>
  <c r="K406" i="1"/>
  <c r="H406" i="1"/>
  <c r="H345" i="1"/>
  <c r="K345" i="1"/>
  <c r="K370" i="1"/>
  <c r="H370" i="1"/>
  <c r="H395" i="1"/>
  <c r="K395" i="1"/>
  <c r="K398" i="1"/>
  <c r="H398" i="1"/>
  <c r="K306" i="1"/>
  <c r="H306" i="1"/>
  <c r="H260" i="1"/>
  <c r="K260" i="1"/>
  <c r="K328" i="1"/>
  <c r="H328" i="1"/>
  <c r="H396" i="1"/>
  <c r="K396" i="1"/>
  <c r="H522" i="1"/>
  <c r="K522" i="1"/>
  <c r="H297" i="1"/>
  <c r="K297" i="1"/>
  <c r="H256" i="1"/>
  <c r="K256" i="1"/>
  <c r="K204" i="1"/>
  <c r="H204" i="1"/>
  <c r="H381" i="1"/>
  <c r="K381" i="1"/>
  <c r="K327" i="1"/>
  <c r="H327" i="1"/>
  <c r="H329" i="1"/>
  <c r="K329" i="1"/>
  <c r="H302" i="1"/>
  <c r="K302" i="1"/>
  <c r="H351" i="1"/>
  <c r="K351" i="1"/>
  <c r="K417" i="1"/>
  <c r="H417" i="1"/>
  <c r="K169" i="1"/>
  <c r="H169" i="1"/>
  <c r="H404" i="1"/>
  <c r="K404" i="1"/>
  <c r="H259" i="1"/>
  <c r="K259" i="1"/>
  <c r="H366" i="1"/>
  <c r="K366" i="1"/>
  <c r="H524" i="1"/>
  <c r="K524" i="1"/>
  <c r="K299" i="1"/>
  <c r="H299" i="1"/>
  <c r="H648" i="1"/>
  <c r="K648" i="1"/>
  <c r="H1054" i="8"/>
  <c r="I122" i="1"/>
  <c r="J122" i="1" s="1"/>
  <c r="N27" i="1" l="1"/>
  <c r="N29" i="1" s="1"/>
  <c r="N30" i="1" s="1"/>
  <c r="F27" i="55" s="1"/>
  <c r="F26" i="55" s="1"/>
  <c r="D28" i="55"/>
  <c r="X30" i="1"/>
  <c r="P27" i="55" s="1"/>
  <c r="P26" i="55" s="1"/>
  <c r="Q30" i="1"/>
  <c r="I27" i="55" s="1"/>
  <c r="I26" i="55" s="1"/>
  <c r="U30" i="1"/>
  <c r="M27" i="55" s="1"/>
  <c r="M26" i="55" s="1"/>
  <c r="Y30" i="1"/>
  <c r="Q27" i="55" s="1"/>
  <c r="Q26" i="55" s="1"/>
  <c r="W30" i="1"/>
  <c r="O27" i="55" s="1"/>
  <c r="O26" i="55" s="1"/>
  <c r="V30" i="1"/>
  <c r="N27" i="55" s="1"/>
  <c r="N26" i="55" s="1"/>
  <c r="Z30" i="1"/>
  <c r="R27" i="55" s="1"/>
  <c r="R26" i="55" s="1"/>
  <c r="S30" i="1"/>
  <c r="K27" i="55" s="1"/>
  <c r="K26" i="55" s="1"/>
  <c r="M30" i="1"/>
  <c r="E27" i="55" s="1"/>
  <c r="E26" i="55" s="1"/>
  <c r="T27" i="1"/>
  <c r="T29" i="1" s="1"/>
  <c r="T30" i="1" s="1"/>
  <c r="L27" i="55" s="1"/>
  <c r="L26" i="55" s="1"/>
  <c r="Z51" i="1"/>
  <c r="R29" i="55" s="1"/>
  <c r="R28" i="55" s="1"/>
  <c r="V51" i="1"/>
  <c r="N29" i="55" s="1"/>
  <c r="N28" i="55" s="1"/>
  <c r="R51" i="1"/>
  <c r="J29" i="55" s="1"/>
  <c r="J28" i="55" s="1"/>
  <c r="Y51" i="1"/>
  <c r="Q29" i="55" s="1"/>
  <c r="Q28" i="55" s="1"/>
  <c r="U51" i="1"/>
  <c r="M29" i="55" s="1"/>
  <c r="M28" i="55" s="1"/>
  <c r="Q51" i="1"/>
  <c r="I29" i="55" s="1"/>
  <c r="I28" i="55" s="1"/>
  <c r="M51" i="1"/>
  <c r="E29" i="55" s="1"/>
  <c r="E28" i="55" s="1"/>
  <c r="X51" i="1"/>
  <c r="P29" i="55" s="1"/>
  <c r="P28" i="55" s="1"/>
  <c r="T51" i="1"/>
  <c r="L29" i="55" s="1"/>
  <c r="L28" i="55" s="1"/>
  <c r="P51" i="1"/>
  <c r="H29" i="55" s="1"/>
  <c r="H28" i="55" s="1"/>
  <c r="W51" i="1"/>
  <c r="O29" i="55" s="1"/>
  <c r="O28" i="55" s="1"/>
  <c r="S51" i="1"/>
  <c r="K29" i="55" s="1"/>
  <c r="K28" i="55" s="1"/>
  <c r="O51" i="1"/>
  <c r="G29" i="55" s="1"/>
  <c r="G28" i="55" s="1"/>
  <c r="O27" i="1"/>
  <c r="O29" i="1" s="1"/>
  <c r="O30" i="1" s="1"/>
  <c r="G27" i="55" s="1"/>
  <c r="G26" i="55" s="1"/>
  <c r="N51" i="1"/>
  <c r="F29" i="55" s="1"/>
  <c r="F28" i="55" s="1"/>
  <c r="P27" i="1"/>
  <c r="P29" i="1" s="1"/>
  <c r="P30" i="1" s="1"/>
  <c r="H27" i="55" s="1"/>
  <c r="H26" i="55" s="1"/>
  <c r="R27" i="1"/>
  <c r="R29" i="1" s="1"/>
  <c r="R30" i="1" s="1"/>
  <c r="J27" i="55" s="1"/>
  <c r="J26" i="55" s="1"/>
  <c r="I380" i="1"/>
  <c r="J380" i="1" s="1"/>
  <c r="S380" i="1" s="1"/>
  <c r="L562" i="1"/>
  <c r="P300" i="1"/>
  <c r="V300" i="1"/>
  <c r="T300" i="1"/>
  <c r="U300" i="1"/>
  <c r="S300" i="1"/>
  <c r="W300" i="1"/>
  <c r="V647" i="1"/>
  <c r="U647" i="1"/>
  <c r="T128" i="1"/>
  <c r="S128" i="1"/>
  <c r="R128" i="1"/>
  <c r="T520" i="1"/>
  <c r="Y520" i="1"/>
  <c r="X520" i="1"/>
  <c r="Z520" i="1"/>
  <c r="W520" i="1"/>
  <c r="V520" i="1"/>
  <c r="T127" i="1"/>
  <c r="S127" i="1"/>
  <c r="R127" i="1"/>
  <c r="T122" i="1"/>
  <c r="S122" i="1"/>
  <c r="R122" i="1"/>
  <c r="Z157" i="1"/>
  <c r="Y157" i="1"/>
  <c r="V562" i="1"/>
  <c r="W562" i="1"/>
  <c r="Z562" i="1"/>
  <c r="X562" i="1"/>
  <c r="Y562" i="1"/>
  <c r="T562" i="1"/>
  <c r="Z156" i="1"/>
  <c r="Y156" i="1"/>
  <c r="N83" i="1"/>
  <c r="N115" i="1" s="1"/>
  <c r="S387" i="1"/>
  <c r="V387" i="1"/>
  <c r="U387" i="1"/>
  <c r="P387" i="1"/>
  <c r="T387" i="1"/>
  <c r="I352" i="1"/>
  <c r="J352" i="1" s="1"/>
  <c r="L300" i="1"/>
  <c r="L647" i="1"/>
  <c r="H788" i="1"/>
  <c r="L788" i="1" s="1"/>
  <c r="K788" i="1"/>
  <c r="K705" i="1"/>
  <c r="H705" i="1"/>
  <c r="I705" i="1" s="1"/>
  <c r="J705" i="1" s="1"/>
  <c r="H732" i="1"/>
  <c r="I732" i="1" s="1"/>
  <c r="J732" i="1" s="1"/>
  <c r="V732" i="1" s="1"/>
  <c r="K732" i="1"/>
  <c r="K692" i="1"/>
  <c r="H692" i="1"/>
  <c r="I692" i="1" s="1"/>
  <c r="J692" i="1" s="1"/>
  <c r="K733" i="1"/>
  <c r="H733" i="1"/>
  <c r="I733" i="1" s="1"/>
  <c r="J733" i="1" s="1"/>
  <c r="V733" i="1" s="1"/>
  <c r="H796" i="1"/>
  <c r="L796" i="1" s="1"/>
  <c r="K796" i="1"/>
  <c r="K813" i="1"/>
  <c r="H813" i="1"/>
  <c r="L813" i="1" s="1"/>
  <c r="K823" i="1"/>
  <c r="H823" i="1"/>
  <c r="I823" i="1" s="1"/>
  <c r="J823" i="1" s="1"/>
  <c r="K811" i="1"/>
  <c r="H811" i="1"/>
  <c r="L811" i="1" s="1"/>
  <c r="K703" i="1"/>
  <c r="H703" i="1"/>
  <c r="L703" i="1" s="1"/>
  <c r="K708" i="1"/>
  <c r="H708" i="1"/>
  <c r="L708" i="1" s="1"/>
  <c r="H825" i="1"/>
  <c r="L825" i="1" s="1"/>
  <c r="K825" i="1"/>
  <c r="H797" i="1"/>
  <c r="L797" i="1" s="1"/>
  <c r="K797" i="1"/>
  <c r="K787" i="1"/>
  <c r="H787" i="1"/>
  <c r="I787" i="1" s="1"/>
  <c r="J787" i="1" s="1"/>
  <c r="K709" i="1"/>
  <c r="L709" i="1"/>
  <c r="H820" i="1"/>
  <c r="I820" i="1" s="1"/>
  <c r="J820" i="1" s="1"/>
  <c r="K820" i="1"/>
  <c r="H819" i="1"/>
  <c r="L819" i="1" s="1"/>
  <c r="K819" i="1"/>
  <c r="H765" i="1"/>
  <c r="I765" i="1" s="1"/>
  <c r="J765" i="1" s="1"/>
  <c r="K765" i="1"/>
  <c r="K816" i="1"/>
  <c r="H816" i="1"/>
  <c r="L816" i="1" s="1"/>
  <c r="K682" i="1"/>
  <c r="H682" i="1"/>
  <c r="L682" i="1" s="1"/>
  <c r="L710" i="1"/>
  <c r="K710" i="1"/>
  <c r="H681" i="1"/>
  <c r="I681" i="1" s="1"/>
  <c r="J681" i="1" s="1"/>
  <c r="K681" i="1"/>
  <c r="H812" i="1"/>
  <c r="I812" i="1" s="1"/>
  <c r="J812" i="1" s="1"/>
  <c r="K812" i="1"/>
  <c r="K799" i="1"/>
  <c r="H799" i="1"/>
  <c r="I799" i="1" s="1"/>
  <c r="J799" i="1" s="1"/>
  <c r="K789" i="1"/>
  <c r="H789" i="1"/>
  <c r="I789" i="1" s="1"/>
  <c r="J789" i="1" s="1"/>
  <c r="K684" i="1"/>
  <c r="H684" i="1"/>
  <c r="L684" i="1" s="1"/>
  <c r="K702" i="1"/>
  <c r="H702" i="1"/>
  <c r="L702" i="1" s="1"/>
  <c r="K711" i="1"/>
  <c r="L711" i="1"/>
  <c r="H798" i="1"/>
  <c r="I798" i="1" s="1"/>
  <c r="J798" i="1" s="1"/>
  <c r="K798" i="1"/>
  <c r="K730" i="1"/>
  <c r="H730" i="1"/>
  <c r="K800" i="1"/>
  <c r="H800" i="1"/>
  <c r="L800" i="1" s="1"/>
  <c r="H790" i="1"/>
  <c r="I790" i="1" s="1"/>
  <c r="J790" i="1" s="1"/>
  <c r="K790" i="1"/>
  <c r="H764" i="1"/>
  <c r="L764" i="1" s="1"/>
  <c r="K764" i="1"/>
  <c r="K704" i="1"/>
  <c r="H704" i="1"/>
  <c r="I704" i="1" s="1"/>
  <c r="J704" i="1" s="1"/>
  <c r="K792" i="1"/>
  <c r="H792" i="1"/>
  <c r="I792" i="1" s="1"/>
  <c r="J792" i="1" s="1"/>
  <c r="H815" i="1"/>
  <c r="I815" i="1" s="1"/>
  <c r="J815" i="1" s="1"/>
  <c r="K815" i="1"/>
  <c r="K829" i="1"/>
  <c r="H829" i="1"/>
  <c r="L829" i="1" s="1"/>
  <c r="H791" i="1"/>
  <c r="I791" i="1" s="1"/>
  <c r="J791" i="1" s="1"/>
  <c r="K791" i="1"/>
  <c r="K795" i="1"/>
  <c r="H795" i="1"/>
  <c r="L795" i="1" s="1"/>
  <c r="H762" i="1"/>
  <c r="I762" i="1" s="1"/>
  <c r="J762" i="1" s="1"/>
  <c r="K762" i="1"/>
  <c r="H814" i="1"/>
  <c r="L814" i="1" s="1"/>
  <c r="K814" i="1"/>
  <c r="K713" i="1"/>
  <c r="L713" i="1"/>
  <c r="I712" i="1"/>
  <c r="J712" i="1" s="1"/>
  <c r="K712" i="1"/>
  <c r="K821" i="1"/>
  <c r="H821" i="1"/>
  <c r="I821" i="1" s="1"/>
  <c r="J821" i="1" s="1"/>
  <c r="H729" i="1"/>
  <c r="I729" i="1" s="1"/>
  <c r="J729" i="1" s="1"/>
  <c r="K729" i="1"/>
  <c r="H699" i="1"/>
  <c r="L699" i="1" s="1"/>
  <c r="K699" i="1"/>
  <c r="K818" i="1"/>
  <c r="H818" i="1"/>
  <c r="L818" i="1" s="1"/>
  <c r="K786" i="1"/>
  <c r="H786" i="1"/>
  <c r="L786" i="1" s="1"/>
  <c r="K827" i="1"/>
  <c r="H827" i="1"/>
  <c r="I827" i="1" s="1"/>
  <c r="J827" i="1" s="1"/>
  <c r="K714" i="1"/>
  <c r="I714" i="1"/>
  <c r="J714" i="1" s="1"/>
  <c r="K822" i="1"/>
  <c r="H822" i="1"/>
  <c r="L822" i="1" s="1"/>
  <c r="K701" i="1"/>
  <c r="H701" i="1"/>
  <c r="I701" i="1" s="1"/>
  <c r="J701" i="1" s="1"/>
  <c r="H793" i="1"/>
  <c r="L793" i="1" s="1"/>
  <c r="K793" i="1"/>
  <c r="K785" i="1"/>
  <c r="H785" i="1"/>
  <c r="I785" i="1" s="1"/>
  <c r="J785" i="1" s="1"/>
  <c r="L520" i="1"/>
  <c r="L387" i="1"/>
  <c r="I648" i="1"/>
  <c r="J648" i="1" s="1"/>
  <c r="L648" i="1"/>
  <c r="L306" i="1"/>
  <c r="I306" i="1"/>
  <c r="J306" i="1" s="1"/>
  <c r="I406" i="1"/>
  <c r="J406" i="1" s="1"/>
  <c r="L406" i="1"/>
  <c r="I330" i="1"/>
  <c r="J330" i="1" s="1"/>
  <c r="L330" i="1"/>
  <c r="L212" i="1"/>
  <c r="I212" i="1"/>
  <c r="J212" i="1" s="1"/>
  <c r="L322" i="1"/>
  <c r="I322" i="1"/>
  <c r="J322" i="1" s="1"/>
  <c r="I389" i="1"/>
  <c r="J389" i="1" s="1"/>
  <c r="L389" i="1"/>
  <c r="I201" i="1"/>
  <c r="J201" i="1" s="1"/>
  <c r="L201" i="1"/>
  <c r="L350" i="1"/>
  <c r="I350" i="1"/>
  <c r="J350" i="1" s="1"/>
  <c r="L326" i="1"/>
  <c r="I326" i="1"/>
  <c r="J326" i="1" s="1"/>
  <c r="L282" i="1"/>
  <c r="I282" i="1"/>
  <c r="J282" i="1" s="1"/>
  <c r="I534" i="1"/>
  <c r="J534" i="1" s="1"/>
  <c r="L534" i="1"/>
  <c r="L296" i="1"/>
  <c r="I296" i="1"/>
  <c r="J296" i="1" s="1"/>
  <c r="I561" i="1"/>
  <c r="J561" i="1" s="1"/>
  <c r="L561" i="1"/>
  <c r="L301" i="1"/>
  <c r="I301" i="1"/>
  <c r="J301" i="1" s="1"/>
  <c r="L279" i="1"/>
  <c r="I279" i="1"/>
  <c r="J279" i="1" s="1"/>
  <c r="L554" i="1"/>
  <c r="I554" i="1"/>
  <c r="J554" i="1" s="1"/>
  <c r="I291" i="1"/>
  <c r="J291" i="1" s="1"/>
  <c r="L291" i="1"/>
  <c r="L299" i="1"/>
  <c r="I299" i="1"/>
  <c r="J299" i="1" s="1"/>
  <c r="I404" i="1"/>
  <c r="J404" i="1" s="1"/>
  <c r="L404" i="1"/>
  <c r="L256" i="1"/>
  <c r="I256" i="1"/>
  <c r="J256" i="1" s="1"/>
  <c r="I522" i="1"/>
  <c r="J522" i="1" s="1"/>
  <c r="L522" i="1"/>
  <c r="L551" i="1"/>
  <c r="I551" i="1"/>
  <c r="J551" i="1" s="1"/>
  <c r="L293" i="1"/>
  <c r="I293" i="1"/>
  <c r="J293" i="1" s="1"/>
  <c r="I280" i="1"/>
  <c r="J280" i="1" s="1"/>
  <c r="L280" i="1"/>
  <c r="L331" i="1"/>
  <c r="I331" i="1"/>
  <c r="J331" i="1" s="1"/>
  <c r="L653" i="1"/>
  <c r="I653" i="1"/>
  <c r="J653" i="1" s="1"/>
  <c r="L527" i="1"/>
  <c r="I527" i="1"/>
  <c r="J527" i="1" s="1"/>
  <c r="L407" i="1"/>
  <c r="I407" i="1"/>
  <c r="J407" i="1" s="1"/>
  <c r="L355" i="1"/>
  <c r="I355" i="1"/>
  <c r="J355" i="1" s="1"/>
  <c r="I178" i="1"/>
  <c r="J178" i="1" s="1"/>
  <c r="L178" i="1"/>
  <c r="I223" i="1"/>
  <c r="J223" i="1" s="1"/>
  <c r="L223" i="1"/>
  <c r="L526" i="1"/>
  <c r="I526" i="1"/>
  <c r="J526" i="1" s="1"/>
  <c r="I263" i="1"/>
  <c r="J263" i="1" s="1"/>
  <c r="L263" i="1"/>
  <c r="I417" i="1"/>
  <c r="J417" i="1" s="1"/>
  <c r="L417" i="1"/>
  <c r="I329" i="1"/>
  <c r="J329" i="1" s="1"/>
  <c r="L329" i="1"/>
  <c r="L327" i="1"/>
  <c r="I327" i="1"/>
  <c r="J327" i="1" s="1"/>
  <c r="L370" i="1"/>
  <c r="I370" i="1"/>
  <c r="J370" i="1" s="1"/>
  <c r="I264" i="1"/>
  <c r="J264" i="1" s="1"/>
  <c r="L264" i="1"/>
  <c r="I304" i="1"/>
  <c r="J304" i="1" s="1"/>
  <c r="L304" i="1"/>
  <c r="L203" i="1"/>
  <c r="I203" i="1"/>
  <c r="J203" i="1" s="1"/>
  <c r="L324" i="1"/>
  <c r="I324" i="1"/>
  <c r="J324" i="1" s="1"/>
  <c r="L382" i="1"/>
  <c r="I382" i="1"/>
  <c r="J382" i="1" s="1"/>
  <c r="I175" i="1"/>
  <c r="J175" i="1" s="1"/>
  <c r="L175" i="1"/>
  <c r="I533" i="1"/>
  <c r="J533" i="1" s="1"/>
  <c r="L533" i="1"/>
  <c r="I394" i="1"/>
  <c r="J394" i="1" s="1"/>
  <c r="L394" i="1"/>
  <c r="I397" i="1"/>
  <c r="J397" i="1" s="1"/>
  <c r="L397" i="1"/>
  <c r="I275" i="1"/>
  <c r="J275" i="1" s="1"/>
  <c r="L275" i="1"/>
  <c r="I567" i="1"/>
  <c r="J567" i="1" s="1"/>
  <c r="L567" i="1"/>
  <c r="I311" i="1"/>
  <c r="J311" i="1" s="1"/>
  <c r="L311" i="1"/>
  <c r="I418" i="1"/>
  <c r="J418" i="1" s="1"/>
  <c r="L418" i="1"/>
  <c r="L168" i="1"/>
  <c r="I168" i="1"/>
  <c r="J168" i="1" s="1"/>
  <c r="L386" i="1"/>
  <c r="I386" i="1"/>
  <c r="J386" i="1" s="1"/>
  <c r="L388" i="1"/>
  <c r="I388" i="1"/>
  <c r="J388" i="1" s="1"/>
  <c r="I181" i="1"/>
  <c r="J181" i="1" s="1"/>
  <c r="L181" i="1"/>
  <c r="I566" i="1"/>
  <c r="J566" i="1" s="1"/>
  <c r="L566" i="1"/>
  <c r="I632" i="1"/>
  <c r="J632" i="1" s="1"/>
  <c r="L632" i="1"/>
  <c r="L315" i="1"/>
  <c r="I315" i="1"/>
  <c r="J315" i="1" s="1"/>
  <c r="L265" i="1"/>
  <c r="I265" i="1"/>
  <c r="J265" i="1" s="1"/>
  <c r="I258" i="1"/>
  <c r="J258" i="1" s="1"/>
  <c r="L258" i="1"/>
  <c r="I281" i="1"/>
  <c r="J281" i="1" s="1"/>
  <c r="L281" i="1"/>
  <c r="L366" i="1"/>
  <c r="I366" i="1"/>
  <c r="J366" i="1" s="1"/>
  <c r="I396" i="1"/>
  <c r="J396" i="1" s="1"/>
  <c r="L396" i="1"/>
  <c r="L255" i="1"/>
  <c r="I255" i="1"/>
  <c r="J255" i="1" s="1"/>
  <c r="I284" i="1"/>
  <c r="J284" i="1" s="1"/>
  <c r="L284" i="1"/>
  <c r="L525" i="1"/>
  <c r="I525" i="1"/>
  <c r="J525" i="1" s="1"/>
  <c r="I290" i="1"/>
  <c r="J290" i="1" s="1"/>
  <c r="L290" i="1"/>
  <c r="I552" i="1"/>
  <c r="J552" i="1" s="1"/>
  <c r="L552" i="1"/>
  <c r="L563" i="1"/>
  <c r="I563" i="1"/>
  <c r="J563" i="1" s="1"/>
  <c r="I646" i="1"/>
  <c r="J646" i="1" s="1"/>
  <c r="L646" i="1"/>
  <c r="I528" i="1"/>
  <c r="J528" i="1" s="1"/>
  <c r="L528" i="1"/>
  <c r="I523" i="1"/>
  <c r="J523" i="1" s="1"/>
  <c r="L523" i="1"/>
  <c r="I276" i="1"/>
  <c r="J276" i="1" s="1"/>
  <c r="L276" i="1"/>
  <c r="L312" i="1"/>
  <c r="I312" i="1"/>
  <c r="J312" i="1" s="1"/>
  <c r="I278" i="1"/>
  <c r="J278" i="1" s="1"/>
  <c r="L278" i="1"/>
  <c r="I564" i="1"/>
  <c r="J564" i="1" s="1"/>
  <c r="L564" i="1"/>
  <c r="I294" i="1"/>
  <c r="J294" i="1" s="1"/>
  <c r="L294" i="1"/>
  <c r="L285" i="1"/>
  <c r="I285" i="1"/>
  <c r="J285" i="1" s="1"/>
  <c r="I169" i="1"/>
  <c r="J169" i="1" s="1"/>
  <c r="L169" i="1"/>
  <c r="L328" i="1"/>
  <c r="I328" i="1"/>
  <c r="J328" i="1" s="1"/>
  <c r="I398" i="1"/>
  <c r="J398" i="1" s="1"/>
  <c r="L398" i="1"/>
  <c r="L403" i="1"/>
  <c r="I403" i="1"/>
  <c r="J403" i="1" s="1"/>
  <c r="I349" i="1"/>
  <c r="J349" i="1" s="1"/>
  <c r="L349" i="1"/>
  <c r="I320" i="1"/>
  <c r="J320" i="1" s="1"/>
  <c r="L320" i="1"/>
  <c r="I364" i="1"/>
  <c r="J364" i="1" s="1"/>
  <c r="L364" i="1"/>
  <c r="I383" i="1"/>
  <c r="J383" i="1" s="1"/>
  <c r="L383" i="1"/>
  <c r="I399" i="1"/>
  <c r="J399" i="1" s="1"/>
  <c r="L399" i="1"/>
  <c r="I277" i="1"/>
  <c r="J277" i="1" s="1"/>
  <c r="L277" i="1"/>
  <c r="L305" i="1"/>
  <c r="I305" i="1"/>
  <c r="J305" i="1" s="1"/>
  <c r="I376" i="1"/>
  <c r="J376" i="1" s="1"/>
  <c r="L376" i="1"/>
  <c r="L167" i="1"/>
  <c r="I167" i="1"/>
  <c r="J167" i="1" s="1"/>
  <c r="I565" i="1"/>
  <c r="J565" i="1" s="1"/>
  <c r="L565" i="1"/>
  <c r="I824" i="1"/>
  <c r="J824" i="1" s="1"/>
  <c r="L824" i="1"/>
  <c r="I560" i="1"/>
  <c r="J560" i="1" s="1"/>
  <c r="L560" i="1"/>
  <c r="I259" i="1"/>
  <c r="J259" i="1" s="1"/>
  <c r="L259" i="1"/>
  <c r="I351" i="1"/>
  <c r="J351" i="1" s="1"/>
  <c r="L351" i="1"/>
  <c r="L381" i="1"/>
  <c r="I381" i="1"/>
  <c r="J381" i="1" s="1"/>
  <c r="I345" i="1"/>
  <c r="J345" i="1" s="1"/>
  <c r="L345" i="1"/>
  <c r="I254" i="1"/>
  <c r="J254" i="1" s="1"/>
  <c r="L254" i="1"/>
  <c r="L530" i="1"/>
  <c r="I530" i="1"/>
  <c r="J530" i="1" s="1"/>
  <c r="I367" i="1"/>
  <c r="J367" i="1" s="1"/>
  <c r="L367" i="1"/>
  <c r="I295" i="1"/>
  <c r="J295" i="1" s="1"/>
  <c r="L295" i="1"/>
  <c r="L402" i="1"/>
  <c r="I402" i="1"/>
  <c r="J402" i="1" s="1"/>
  <c r="L553" i="1"/>
  <c r="I553" i="1"/>
  <c r="J553" i="1" s="1"/>
  <c r="I332" i="1"/>
  <c r="J332" i="1" s="1"/>
  <c r="L332" i="1"/>
  <c r="I390" i="1"/>
  <c r="J390" i="1" s="1"/>
  <c r="L390" i="1"/>
  <c r="L177" i="1"/>
  <c r="I177" i="1"/>
  <c r="J177" i="1" s="1"/>
  <c r="I199" i="1"/>
  <c r="J199" i="1" s="1"/>
  <c r="L199" i="1"/>
  <c r="I336" i="1"/>
  <c r="J336" i="1" s="1"/>
  <c r="L336" i="1"/>
  <c r="L400" i="1"/>
  <c r="I400" i="1"/>
  <c r="J400" i="1" s="1"/>
  <c r="I629" i="1"/>
  <c r="J629" i="1" s="1"/>
  <c r="L629" i="1"/>
  <c r="I531" i="1"/>
  <c r="J531" i="1" s="1"/>
  <c r="L531" i="1"/>
  <c r="L262" i="1"/>
  <c r="I262" i="1"/>
  <c r="J262" i="1" s="1"/>
  <c r="I524" i="1"/>
  <c r="J524" i="1" s="1"/>
  <c r="L524" i="1"/>
  <c r="I204" i="1"/>
  <c r="J204" i="1" s="1"/>
  <c r="L204" i="1"/>
  <c r="I630" i="1"/>
  <c r="J630" i="1" s="1"/>
  <c r="L630" i="1"/>
  <c r="L628" i="1"/>
  <c r="I628" i="1"/>
  <c r="J628" i="1" s="1"/>
  <c r="L307" i="1"/>
  <c r="I307" i="1"/>
  <c r="J307" i="1" s="1"/>
  <c r="L298" i="1"/>
  <c r="I298" i="1"/>
  <c r="J298" i="1" s="1"/>
  <c r="L378" i="1"/>
  <c r="I378" i="1"/>
  <c r="J378" i="1" s="1"/>
  <c r="I363" i="1"/>
  <c r="J363" i="1" s="1"/>
  <c r="L363" i="1"/>
  <c r="I385" i="1"/>
  <c r="J385" i="1" s="1"/>
  <c r="L385" i="1"/>
  <c r="I257" i="1"/>
  <c r="J257" i="1" s="1"/>
  <c r="L257" i="1"/>
  <c r="L316" i="1"/>
  <c r="I316" i="1"/>
  <c r="J316" i="1" s="1"/>
  <c r="I369" i="1"/>
  <c r="J369" i="1" s="1"/>
  <c r="L369" i="1"/>
  <c r="L379" i="1"/>
  <c r="I379" i="1"/>
  <c r="J379" i="1" s="1"/>
  <c r="I368" i="1"/>
  <c r="J368" i="1" s="1"/>
  <c r="L368" i="1"/>
  <c r="L569" i="1"/>
  <c r="I569" i="1"/>
  <c r="J569" i="1" s="1"/>
  <c r="I267" i="1"/>
  <c r="J267" i="1" s="1"/>
  <c r="L267" i="1"/>
  <c r="I160" i="1"/>
  <c r="J160" i="1" s="1"/>
  <c r="L160" i="1"/>
  <c r="I302" i="1"/>
  <c r="J302" i="1" s="1"/>
  <c r="L302" i="1"/>
  <c r="L297" i="1"/>
  <c r="I297" i="1"/>
  <c r="J297" i="1" s="1"/>
  <c r="L260" i="1"/>
  <c r="I260" i="1"/>
  <c r="J260" i="1" s="1"/>
  <c r="I395" i="1"/>
  <c r="J395" i="1" s="1"/>
  <c r="L395" i="1"/>
  <c r="I166" i="1"/>
  <c r="J166" i="1" s="1"/>
  <c r="L166" i="1"/>
  <c r="L416" i="1"/>
  <c r="I416" i="1"/>
  <c r="J416" i="1" s="1"/>
  <c r="I631" i="1"/>
  <c r="J631" i="1" s="1"/>
  <c r="L631" i="1"/>
  <c r="I377" i="1"/>
  <c r="J377" i="1" s="1"/>
  <c r="L377" i="1"/>
  <c r="I365" i="1"/>
  <c r="J365" i="1" s="1"/>
  <c r="L365" i="1"/>
  <c r="I568" i="1"/>
  <c r="J568" i="1" s="1"/>
  <c r="L568" i="1"/>
  <c r="I570" i="1"/>
  <c r="J570" i="1" s="1"/>
  <c r="L570" i="1"/>
  <c r="L401" i="1"/>
  <c r="I401" i="1"/>
  <c r="J401" i="1" s="1"/>
  <c r="I532" i="1"/>
  <c r="J532" i="1" s="1"/>
  <c r="L532" i="1"/>
  <c r="L303" i="1"/>
  <c r="I303" i="1"/>
  <c r="J303" i="1" s="1"/>
  <c r="L384" i="1"/>
  <c r="I384" i="1"/>
  <c r="J384" i="1" s="1"/>
  <c r="I347" i="1"/>
  <c r="J347" i="1" s="1"/>
  <c r="L347" i="1"/>
  <c r="L790" i="1" l="1"/>
  <c r="V729" i="1"/>
  <c r="V380" i="1"/>
  <c r="S29" i="55"/>
  <c r="S26" i="55"/>
  <c r="S27" i="55"/>
  <c r="L789" i="1"/>
  <c r="I800" i="1"/>
  <c r="J800" i="1" s="1"/>
  <c r="W800" i="1" s="1"/>
  <c r="I813" i="1"/>
  <c r="J813" i="1" s="1"/>
  <c r="T813" i="1" s="1"/>
  <c r="L792" i="1"/>
  <c r="I811" i="1"/>
  <c r="J811" i="1" s="1"/>
  <c r="Y811" i="1" s="1"/>
  <c r="I764" i="1"/>
  <c r="J764" i="1" s="1"/>
  <c r="X764" i="1" s="1"/>
  <c r="L798" i="1"/>
  <c r="L791" i="1"/>
  <c r="L681" i="1"/>
  <c r="I796" i="1"/>
  <c r="J796" i="1" s="1"/>
  <c r="Y796" i="1" s="1"/>
  <c r="L705" i="1"/>
  <c r="T380" i="1"/>
  <c r="I793" i="1"/>
  <c r="J793" i="1" s="1"/>
  <c r="X793" i="1" s="1"/>
  <c r="U380" i="1"/>
  <c r="P380" i="1"/>
  <c r="U401" i="1"/>
  <c r="T401" i="1"/>
  <c r="P401" i="1"/>
  <c r="S401" i="1"/>
  <c r="V401" i="1"/>
  <c r="X789" i="1"/>
  <c r="V789" i="1"/>
  <c r="W789" i="1"/>
  <c r="Y789" i="1"/>
  <c r="U789" i="1"/>
  <c r="T524" i="1"/>
  <c r="V524" i="1"/>
  <c r="W524" i="1"/>
  <c r="Y524" i="1"/>
  <c r="Z524" i="1"/>
  <c r="X524" i="1"/>
  <c r="T381" i="1"/>
  <c r="S381" i="1"/>
  <c r="P381" i="1"/>
  <c r="V381" i="1"/>
  <c r="U381" i="1"/>
  <c r="P399" i="1"/>
  <c r="T399" i="1"/>
  <c r="S399" i="1"/>
  <c r="U399" i="1"/>
  <c r="V399" i="1"/>
  <c r="V349" i="1"/>
  <c r="W349" i="1"/>
  <c r="U349" i="1"/>
  <c r="P349" i="1"/>
  <c r="W564" i="1"/>
  <c r="X564" i="1"/>
  <c r="T564" i="1"/>
  <c r="Z564" i="1"/>
  <c r="Y564" i="1"/>
  <c r="V564" i="1"/>
  <c r="T523" i="1"/>
  <c r="Y523" i="1"/>
  <c r="Z523" i="1"/>
  <c r="V523" i="1"/>
  <c r="W523" i="1"/>
  <c r="X523" i="1"/>
  <c r="T284" i="1"/>
  <c r="S284" i="1"/>
  <c r="U284" i="1"/>
  <c r="W284" i="1"/>
  <c r="V284" i="1"/>
  <c r="P284" i="1"/>
  <c r="S311" i="1"/>
  <c r="T311" i="1"/>
  <c r="U311" i="1"/>
  <c r="V311" i="1"/>
  <c r="W311" i="1"/>
  <c r="P311" i="1"/>
  <c r="T397" i="1"/>
  <c r="S397" i="1"/>
  <c r="V397" i="1"/>
  <c r="P397" i="1"/>
  <c r="U397" i="1"/>
  <c r="P264" i="1"/>
  <c r="V264" i="1"/>
  <c r="T264" i="1"/>
  <c r="S264" i="1"/>
  <c r="U264" i="1"/>
  <c r="W264" i="1"/>
  <c r="P417" i="1"/>
  <c r="U417" i="1"/>
  <c r="V417" i="1"/>
  <c r="S417" i="1"/>
  <c r="T417" i="1"/>
  <c r="S178" i="1"/>
  <c r="V178" i="1"/>
  <c r="T178" i="1"/>
  <c r="U178" i="1"/>
  <c r="Y561" i="1"/>
  <c r="Z561" i="1"/>
  <c r="V561" i="1"/>
  <c r="T561" i="1"/>
  <c r="X561" i="1"/>
  <c r="W561" i="1"/>
  <c r="T389" i="1"/>
  <c r="V389" i="1"/>
  <c r="S389" i="1"/>
  <c r="P389" i="1"/>
  <c r="U389" i="1"/>
  <c r="T406" i="1"/>
  <c r="V406" i="1"/>
  <c r="S406" i="1"/>
  <c r="P406" i="1"/>
  <c r="U406" i="1"/>
  <c r="X765" i="1"/>
  <c r="V765" i="1"/>
  <c r="W765" i="1"/>
  <c r="Y765" i="1"/>
  <c r="U765" i="1"/>
  <c r="T303" i="1"/>
  <c r="W303" i="1"/>
  <c r="P303" i="1"/>
  <c r="S303" i="1"/>
  <c r="U303" i="1"/>
  <c r="V303" i="1"/>
  <c r="T365" i="1"/>
  <c r="S365" i="1"/>
  <c r="P365" i="1"/>
  <c r="U365" i="1"/>
  <c r="V365" i="1"/>
  <c r="W166" i="1"/>
  <c r="V166" i="1"/>
  <c r="S166" i="1"/>
  <c r="U166" i="1"/>
  <c r="T166" i="1"/>
  <c r="V298" i="1"/>
  <c r="P298" i="1"/>
  <c r="S298" i="1"/>
  <c r="U298" i="1"/>
  <c r="W298" i="1"/>
  <c r="T298" i="1"/>
  <c r="Y628" i="1"/>
  <c r="T628" i="1"/>
  <c r="V628" i="1"/>
  <c r="W628" i="1"/>
  <c r="Z628" i="1"/>
  <c r="X628" i="1"/>
  <c r="V262" i="1"/>
  <c r="P262" i="1"/>
  <c r="U262" i="1"/>
  <c r="W262" i="1"/>
  <c r="S262" i="1"/>
  <c r="T262" i="1"/>
  <c r="S402" i="1"/>
  <c r="U402" i="1"/>
  <c r="P402" i="1"/>
  <c r="T402" i="1"/>
  <c r="V402" i="1"/>
  <c r="W560" i="1"/>
  <c r="X560" i="1"/>
  <c r="V560" i="1"/>
  <c r="Y560" i="1"/>
  <c r="T560" i="1"/>
  <c r="Z560" i="1"/>
  <c r="S403" i="1"/>
  <c r="V403" i="1"/>
  <c r="U403" i="1"/>
  <c r="T403" i="1"/>
  <c r="P403" i="1"/>
  <c r="S386" i="1"/>
  <c r="U386" i="1"/>
  <c r="T386" i="1"/>
  <c r="P386" i="1"/>
  <c r="V386" i="1"/>
  <c r="P324" i="1"/>
  <c r="V324" i="1"/>
  <c r="W324" i="1"/>
  <c r="S324" i="1"/>
  <c r="U324" i="1"/>
  <c r="T324" i="1"/>
  <c r="S370" i="1"/>
  <c r="U370" i="1"/>
  <c r="V370" i="1"/>
  <c r="T370" i="1"/>
  <c r="P370" i="1"/>
  <c r="U355" i="1"/>
  <c r="W355" i="1"/>
  <c r="V355" i="1"/>
  <c r="P355" i="1"/>
  <c r="T331" i="1"/>
  <c r="P331" i="1"/>
  <c r="W331" i="1"/>
  <c r="S331" i="1"/>
  <c r="V331" i="1"/>
  <c r="U331" i="1"/>
  <c r="Z551" i="1"/>
  <c r="V551" i="1"/>
  <c r="T551" i="1"/>
  <c r="W551" i="1"/>
  <c r="X551" i="1"/>
  <c r="Y551" i="1"/>
  <c r="P296" i="1"/>
  <c r="V296" i="1"/>
  <c r="T296" i="1"/>
  <c r="W296" i="1"/>
  <c r="U296" i="1"/>
  <c r="S296" i="1"/>
  <c r="V326" i="1"/>
  <c r="P326" i="1"/>
  <c r="U326" i="1"/>
  <c r="S326" i="1"/>
  <c r="T326" i="1"/>
  <c r="W326" i="1"/>
  <c r="V322" i="1"/>
  <c r="P322" i="1"/>
  <c r="S322" i="1"/>
  <c r="T322" i="1"/>
  <c r="U322" i="1"/>
  <c r="W322" i="1"/>
  <c r="T306" i="1"/>
  <c r="U306" i="1"/>
  <c r="V306" i="1"/>
  <c r="W306" i="1"/>
  <c r="S306" i="1"/>
  <c r="P306" i="1"/>
  <c r="T827" i="1"/>
  <c r="U827" i="1"/>
  <c r="Y827" i="1"/>
  <c r="V791" i="1"/>
  <c r="W791" i="1"/>
  <c r="X791" i="1"/>
  <c r="U791" i="1"/>
  <c r="Y791" i="1"/>
  <c r="V302" i="1"/>
  <c r="P302" i="1"/>
  <c r="W302" i="1"/>
  <c r="S302" i="1"/>
  <c r="U302" i="1"/>
  <c r="T302" i="1"/>
  <c r="P368" i="1"/>
  <c r="U368" i="1"/>
  <c r="T368" i="1"/>
  <c r="S368" i="1"/>
  <c r="V368" i="1"/>
  <c r="T257" i="1"/>
  <c r="S257" i="1"/>
  <c r="W257" i="1"/>
  <c r="P257" i="1"/>
  <c r="U257" i="1"/>
  <c r="V257" i="1"/>
  <c r="T390" i="1"/>
  <c r="V390" i="1"/>
  <c r="U390" i="1"/>
  <c r="P390" i="1"/>
  <c r="S390" i="1"/>
  <c r="W530" i="1"/>
  <c r="X530" i="1"/>
  <c r="V530" i="1"/>
  <c r="T530" i="1"/>
  <c r="Z530" i="1"/>
  <c r="Y530" i="1"/>
  <c r="P376" i="1"/>
  <c r="U376" i="1"/>
  <c r="T376" i="1"/>
  <c r="V376" i="1"/>
  <c r="S376" i="1"/>
  <c r="P383" i="1"/>
  <c r="T383" i="1"/>
  <c r="U383" i="1"/>
  <c r="S383" i="1"/>
  <c r="V383" i="1"/>
  <c r="W169" i="1"/>
  <c r="V169" i="1"/>
  <c r="T169" i="1"/>
  <c r="U169" i="1"/>
  <c r="S169" i="1"/>
  <c r="V278" i="1"/>
  <c r="P278" i="1"/>
  <c r="S278" i="1"/>
  <c r="U278" i="1"/>
  <c r="W278" i="1"/>
  <c r="T278" i="1"/>
  <c r="T528" i="1"/>
  <c r="X528" i="1"/>
  <c r="V528" i="1"/>
  <c r="W528" i="1"/>
  <c r="Y528" i="1"/>
  <c r="Z528" i="1"/>
  <c r="T552" i="1"/>
  <c r="V552" i="1"/>
  <c r="W552" i="1"/>
  <c r="Z552" i="1"/>
  <c r="X552" i="1"/>
  <c r="Y552" i="1"/>
  <c r="T281" i="1"/>
  <c r="U281" i="1"/>
  <c r="V281" i="1"/>
  <c r="P281" i="1"/>
  <c r="S281" i="1"/>
  <c r="W281" i="1"/>
  <c r="W632" i="1"/>
  <c r="T632" i="1"/>
  <c r="V632" i="1"/>
  <c r="Y632" i="1"/>
  <c r="Z632" i="1"/>
  <c r="X632" i="1"/>
  <c r="T567" i="1"/>
  <c r="X567" i="1"/>
  <c r="W567" i="1"/>
  <c r="Y567" i="1"/>
  <c r="Z567" i="1"/>
  <c r="V567" i="1"/>
  <c r="S394" i="1"/>
  <c r="P394" i="1"/>
  <c r="V394" i="1"/>
  <c r="U394" i="1"/>
  <c r="T394" i="1"/>
  <c r="T263" i="1"/>
  <c r="U263" i="1"/>
  <c r="P263" i="1"/>
  <c r="V263" i="1"/>
  <c r="W263" i="1"/>
  <c r="S263" i="1"/>
  <c r="V404" i="1"/>
  <c r="U404" i="1"/>
  <c r="P404" i="1"/>
  <c r="S404" i="1"/>
  <c r="T404" i="1"/>
  <c r="U377" i="1"/>
  <c r="P377" i="1"/>
  <c r="S377" i="1"/>
  <c r="V377" i="1"/>
  <c r="T377" i="1"/>
  <c r="S379" i="1"/>
  <c r="V379" i="1"/>
  <c r="P379" i="1"/>
  <c r="T379" i="1"/>
  <c r="U379" i="1"/>
  <c r="P307" i="1"/>
  <c r="V307" i="1"/>
  <c r="S307" i="1"/>
  <c r="T307" i="1"/>
  <c r="U307" i="1"/>
  <c r="W307" i="1"/>
  <c r="P351" i="1"/>
  <c r="W351" i="1"/>
  <c r="V351" i="1"/>
  <c r="U351" i="1"/>
  <c r="U824" i="1"/>
  <c r="T824" i="1"/>
  <c r="Y824" i="1"/>
  <c r="T305" i="1"/>
  <c r="V305" i="1"/>
  <c r="S305" i="1"/>
  <c r="U305" i="1"/>
  <c r="W305" i="1"/>
  <c r="P305" i="1"/>
  <c r="P285" i="1"/>
  <c r="V285" i="1"/>
  <c r="S285" i="1"/>
  <c r="T285" i="1"/>
  <c r="U285" i="1"/>
  <c r="W285" i="1"/>
  <c r="P312" i="1"/>
  <c r="U312" i="1"/>
  <c r="S312" i="1"/>
  <c r="V312" i="1"/>
  <c r="W312" i="1"/>
  <c r="T312" i="1"/>
  <c r="U255" i="1"/>
  <c r="P255" i="1"/>
  <c r="V255" i="1"/>
  <c r="W255" i="1"/>
  <c r="T255" i="1"/>
  <c r="S255" i="1"/>
  <c r="U168" i="1"/>
  <c r="T168" i="1"/>
  <c r="S168" i="1"/>
  <c r="W168" i="1"/>
  <c r="V168" i="1"/>
  <c r="W203" i="1"/>
  <c r="V203" i="1"/>
  <c r="U203" i="1"/>
  <c r="T327" i="1"/>
  <c r="U327" i="1"/>
  <c r="P327" i="1"/>
  <c r="S327" i="1"/>
  <c r="V327" i="1"/>
  <c r="W327" i="1"/>
  <c r="W526" i="1"/>
  <c r="X526" i="1"/>
  <c r="T526" i="1"/>
  <c r="Y526" i="1"/>
  <c r="Z526" i="1"/>
  <c r="V526" i="1"/>
  <c r="P407" i="1"/>
  <c r="V407" i="1"/>
  <c r="U407" i="1"/>
  <c r="S407" i="1"/>
  <c r="T407" i="1"/>
  <c r="T299" i="1"/>
  <c r="S299" i="1"/>
  <c r="W299" i="1"/>
  <c r="P299" i="1"/>
  <c r="U299" i="1"/>
  <c r="V299" i="1"/>
  <c r="T279" i="1"/>
  <c r="V279" i="1"/>
  <c r="W279" i="1"/>
  <c r="P279" i="1"/>
  <c r="S279" i="1"/>
  <c r="U279" i="1"/>
  <c r="W350" i="1"/>
  <c r="P350" i="1"/>
  <c r="V350" i="1"/>
  <c r="U350" i="1"/>
  <c r="V212" i="1"/>
  <c r="U212" i="1"/>
  <c r="W701" i="1"/>
  <c r="Y701" i="1"/>
  <c r="X701" i="1"/>
  <c r="Y821" i="1"/>
  <c r="U821" i="1"/>
  <c r="T821" i="1"/>
  <c r="V799" i="1"/>
  <c r="Y799" i="1"/>
  <c r="U799" i="1"/>
  <c r="X799" i="1"/>
  <c r="W799" i="1"/>
  <c r="T823" i="1"/>
  <c r="U823" i="1"/>
  <c r="Y823" i="1"/>
  <c r="Y692" i="1"/>
  <c r="W692" i="1"/>
  <c r="X692" i="1"/>
  <c r="P347" i="1"/>
  <c r="W347" i="1"/>
  <c r="V347" i="1"/>
  <c r="U347" i="1"/>
  <c r="Z532" i="1"/>
  <c r="V532" i="1"/>
  <c r="W532" i="1"/>
  <c r="Y532" i="1"/>
  <c r="X532" i="1"/>
  <c r="T532" i="1"/>
  <c r="V570" i="1"/>
  <c r="Y570" i="1"/>
  <c r="X570" i="1"/>
  <c r="T570" i="1"/>
  <c r="Z570" i="1"/>
  <c r="W570" i="1"/>
  <c r="S395" i="1"/>
  <c r="V395" i="1"/>
  <c r="P395" i="1"/>
  <c r="T395" i="1"/>
  <c r="U395" i="1"/>
  <c r="Z160" i="1"/>
  <c r="Y160" i="1"/>
  <c r="U385" i="1"/>
  <c r="T385" i="1"/>
  <c r="P385" i="1"/>
  <c r="S385" i="1"/>
  <c r="V385" i="1"/>
  <c r="T630" i="1"/>
  <c r="Y630" i="1"/>
  <c r="V630" i="1"/>
  <c r="W630" i="1"/>
  <c r="X630" i="1"/>
  <c r="Z630" i="1"/>
  <c r="Y531" i="1"/>
  <c r="Z531" i="1"/>
  <c r="V531" i="1"/>
  <c r="W531" i="1"/>
  <c r="T531" i="1"/>
  <c r="X531" i="1"/>
  <c r="U336" i="1"/>
  <c r="P336" i="1"/>
  <c r="T336" i="1"/>
  <c r="W336" i="1"/>
  <c r="S336" i="1"/>
  <c r="V336" i="1"/>
  <c r="P332" i="1"/>
  <c r="V332" i="1"/>
  <c r="W332" i="1"/>
  <c r="S332" i="1"/>
  <c r="T332" i="1"/>
  <c r="U332" i="1"/>
  <c r="T295" i="1"/>
  <c r="V295" i="1"/>
  <c r="P295" i="1"/>
  <c r="S295" i="1"/>
  <c r="U295" i="1"/>
  <c r="W295" i="1"/>
  <c r="V364" i="1"/>
  <c r="S364" i="1"/>
  <c r="P364" i="1"/>
  <c r="U364" i="1"/>
  <c r="T364" i="1"/>
  <c r="T398" i="1"/>
  <c r="S398" i="1"/>
  <c r="V398" i="1"/>
  <c r="P398" i="1"/>
  <c r="U398" i="1"/>
  <c r="U646" i="1"/>
  <c r="V646" i="1"/>
  <c r="T290" i="1"/>
  <c r="S290" i="1"/>
  <c r="U290" i="1"/>
  <c r="V290" i="1"/>
  <c r="W290" i="1"/>
  <c r="P290" i="1"/>
  <c r="V258" i="1"/>
  <c r="P258" i="1"/>
  <c r="S258" i="1"/>
  <c r="T258" i="1"/>
  <c r="W258" i="1"/>
  <c r="U258" i="1"/>
  <c r="T566" i="1"/>
  <c r="X566" i="1"/>
  <c r="W566" i="1"/>
  <c r="Z566" i="1"/>
  <c r="V566" i="1"/>
  <c r="Y566" i="1"/>
  <c r="T275" i="1"/>
  <c r="P275" i="1"/>
  <c r="S275" i="1"/>
  <c r="U275" i="1"/>
  <c r="V275" i="1"/>
  <c r="W275" i="1"/>
  <c r="T533" i="1"/>
  <c r="V533" i="1"/>
  <c r="W533" i="1"/>
  <c r="Z533" i="1"/>
  <c r="Y533" i="1"/>
  <c r="X533" i="1"/>
  <c r="V648" i="1"/>
  <c r="U648" i="1"/>
  <c r="W762" i="1"/>
  <c r="U762" i="1"/>
  <c r="V762" i="1"/>
  <c r="X762" i="1"/>
  <c r="Y762" i="1"/>
  <c r="T815" i="1"/>
  <c r="U815" i="1"/>
  <c r="Y815" i="1"/>
  <c r="T820" i="1"/>
  <c r="U820" i="1"/>
  <c r="Y820" i="1"/>
  <c r="P384" i="1"/>
  <c r="U384" i="1"/>
  <c r="T384" i="1"/>
  <c r="S384" i="1"/>
  <c r="V384" i="1"/>
  <c r="W798" i="1"/>
  <c r="U798" i="1"/>
  <c r="Y798" i="1"/>
  <c r="X798" i="1"/>
  <c r="V798" i="1"/>
  <c r="W631" i="1"/>
  <c r="T631" i="1"/>
  <c r="V631" i="1"/>
  <c r="X631" i="1"/>
  <c r="Y631" i="1"/>
  <c r="Z631" i="1"/>
  <c r="P260" i="1"/>
  <c r="V260" i="1"/>
  <c r="W260" i="1"/>
  <c r="T260" i="1"/>
  <c r="U260" i="1"/>
  <c r="S260" i="1"/>
  <c r="S254" i="1"/>
  <c r="W254" i="1"/>
  <c r="V254" i="1"/>
  <c r="U254" i="1"/>
  <c r="T254" i="1"/>
  <c r="P254" i="1"/>
  <c r="T259" i="1"/>
  <c r="W259" i="1"/>
  <c r="P259" i="1"/>
  <c r="S259" i="1"/>
  <c r="U259" i="1"/>
  <c r="V259" i="1"/>
  <c r="P328" i="1"/>
  <c r="V328" i="1"/>
  <c r="T328" i="1"/>
  <c r="U328" i="1"/>
  <c r="W328" i="1"/>
  <c r="S328" i="1"/>
  <c r="T525" i="1"/>
  <c r="V525" i="1"/>
  <c r="Y525" i="1"/>
  <c r="Z525" i="1"/>
  <c r="X525" i="1"/>
  <c r="W525" i="1"/>
  <c r="T265" i="1"/>
  <c r="S265" i="1"/>
  <c r="P265" i="1"/>
  <c r="U265" i="1"/>
  <c r="W265" i="1"/>
  <c r="V265" i="1"/>
  <c r="Y527" i="1"/>
  <c r="Z527" i="1"/>
  <c r="W527" i="1"/>
  <c r="X527" i="1"/>
  <c r="T527" i="1"/>
  <c r="V527" i="1"/>
  <c r="T301" i="1"/>
  <c r="P301" i="1"/>
  <c r="V301" i="1"/>
  <c r="S301" i="1"/>
  <c r="U301" i="1"/>
  <c r="W301" i="1"/>
  <c r="U792" i="1"/>
  <c r="Y792" i="1"/>
  <c r="W792" i="1"/>
  <c r="V792" i="1"/>
  <c r="X792" i="1"/>
  <c r="W352" i="1"/>
  <c r="U352" i="1"/>
  <c r="P352" i="1"/>
  <c r="V352" i="1"/>
  <c r="Z568" i="1"/>
  <c r="T568" i="1"/>
  <c r="W568" i="1"/>
  <c r="Y568" i="1"/>
  <c r="V568" i="1"/>
  <c r="X568" i="1"/>
  <c r="T416" i="1"/>
  <c r="V416" i="1"/>
  <c r="U416" i="1"/>
  <c r="S416" i="1"/>
  <c r="P416" i="1"/>
  <c r="T267" i="1"/>
  <c r="P267" i="1"/>
  <c r="W267" i="1"/>
  <c r="U267" i="1"/>
  <c r="V267" i="1"/>
  <c r="S267" i="1"/>
  <c r="U369" i="1"/>
  <c r="T369" i="1"/>
  <c r="S369" i="1"/>
  <c r="P369" i="1"/>
  <c r="V369" i="1"/>
  <c r="T363" i="1"/>
  <c r="U363" i="1"/>
  <c r="S363" i="1"/>
  <c r="V363" i="1"/>
  <c r="P363" i="1"/>
  <c r="X681" i="1"/>
  <c r="Y681" i="1"/>
  <c r="U204" i="1"/>
  <c r="V204" i="1"/>
  <c r="W204" i="1"/>
  <c r="W629" i="1"/>
  <c r="V629" i="1"/>
  <c r="X629" i="1"/>
  <c r="T629" i="1"/>
  <c r="Y629" i="1"/>
  <c r="Z629" i="1"/>
  <c r="T199" i="1"/>
  <c r="S199" i="1"/>
  <c r="P367" i="1"/>
  <c r="T367" i="1"/>
  <c r="V367" i="1"/>
  <c r="S367" i="1"/>
  <c r="U367" i="1"/>
  <c r="Y565" i="1"/>
  <c r="Z565" i="1"/>
  <c r="V565" i="1"/>
  <c r="W565" i="1"/>
  <c r="X565" i="1"/>
  <c r="T565" i="1"/>
  <c r="T277" i="1"/>
  <c r="W277" i="1"/>
  <c r="P277" i="1"/>
  <c r="S277" i="1"/>
  <c r="U277" i="1"/>
  <c r="V277" i="1"/>
  <c r="P320" i="1"/>
  <c r="U320" i="1"/>
  <c r="S320" i="1"/>
  <c r="W320" i="1"/>
  <c r="T320" i="1"/>
  <c r="V320" i="1"/>
  <c r="V294" i="1"/>
  <c r="P294" i="1"/>
  <c r="S294" i="1"/>
  <c r="U294" i="1"/>
  <c r="W294" i="1"/>
  <c r="T294" i="1"/>
  <c r="P276" i="1"/>
  <c r="V276" i="1"/>
  <c r="S276" i="1"/>
  <c r="T276" i="1"/>
  <c r="W276" i="1"/>
  <c r="U276" i="1"/>
  <c r="V396" i="1"/>
  <c r="S396" i="1"/>
  <c r="T396" i="1"/>
  <c r="U396" i="1"/>
  <c r="P396" i="1"/>
  <c r="U181" i="1"/>
  <c r="V181" i="1"/>
  <c r="Y181" i="1"/>
  <c r="X181" i="1"/>
  <c r="W181" i="1"/>
  <c r="P418" i="1"/>
  <c r="U418" i="1"/>
  <c r="T418" i="1"/>
  <c r="S418" i="1"/>
  <c r="V418" i="1"/>
  <c r="V175" i="1"/>
  <c r="U175" i="1"/>
  <c r="T175" i="1"/>
  <c r="S175" i="1"/>
  <c r="P304" i="1"/>
  <c r="V304" i="1"/>
  <c r="U304" i="1"/>
  <c r="S304" i="1"/>
  <c r="T304" i="1"/>
  <c r="W304" i="1"/>
  <c r="T329" i="1"/>
  <c r="S329" i="1"/>
  <c r="U329" i="1"/>
  <c r="V329" i="1"/>
  <c r="W329" i="1"/>
  <c r="P329" i="1"/>
  <c r="X223" i="1"/>
  <c r="V223" i="1"/>
  <c r="Y223" i="1"/>
  <c r="W223" i="1"/>
  <c r="P280" i="1"/>
  <c r="V280" i="1"/>
  <c r="T280" i="1"/>
  <c r="U280" i="1"/>
  <c r="W280" i="1"/>
  <c r="S280" i="1"/>
  <c r="W522" i="1"/>
  <c r="T522" i="1"/>
  <c r="V522" i="1"/>
  <c r="X522" i="1"/>
  <c r="Z522" i="1"/>
  <c r="Y522" i="1"/>
  <c r="T291" i="1"/>
  <c r="P291" i="1"/>
  <c r="S291" i="1"/>
  <c r="U291" i="1"/>
  <c r="V291" i="1"/>
  <c r="W291" i="1"/>
  <c r="W534" i="1"/>
  <c r="X534" i="1"/>
  <c r="Z534" i="1"/>
  <c r="T534" i="1"/>
  <c r="V534" i="1"/>
  <c r="Y534" i="1"/>
  <c r="S201" i="1"/>
  <c r="T201" i="1"/>
  <c r="V330" i="1"/>
  <c r="P330" i="1"/>
  <c r="S330" i="1"/>
  <c r="W330" i="1"/>
  <c r="T330" i="1"/>
  <c r="U330" i="1"/>
  <c r="X712" i="1"/>
  <c r="Y712" i="1"/>
  <c r="W712" i="1"/>
  <c r="U812" i="1"/>
  <c r="Y812" i="1"/>
  <c r="T812" i="1"/>
  <c r="T297" i="1"/>
  <c r="U297" i="1"/>
  <c r="P297" i="1"/>
  <c r="S297" i="1"/>
  <c r="V297" i="1"/>
  <c r="W297" i="1"/>
  <c r="W569" i="1"/>
  <c r="V569" i="1"/>
  <c r="X569" i="1"/>
  <c r="Y569" i="1"/>
  <c r="T569" i="1"/>
  <c r="Z569" i="1"/>
  <c r="P316" i="1"/>
  <c r="U316" i="1"/>
  <c r="V316" i="1"/>
  <c r="S316" i="1"/>
  <c r="T316" i="1"/>
  <c r="W316" i="1"/>
  <c r="S378" i="1"/>
  <c r="P378" i="1"/>
  <c r="T378" i="1"/>
  <c r="U378" i="1"/>
  <c r="V378" i="1"/>
  <c r="P400" i="1"/>
  <c r="U400" i="1"/>
  <c r="T400" i="1"/>
  <c r="V400" i="1"/>
  <c r="S400" i="1"/>
  <c r="V177" i="1"/>
  <c r="U177" i="1"/>
  <c r="S177" i="1"/>
  <c r="T177" i="1"/>
  <c r="W553" i="1"/>
  <c r="X553" i="1"/>
  <c r="Z553" i="1"/>
  <c r="T553" i="1"/>
  <c r="Y553" i="1"/>
  <c r="V553" i="1"/>
  <c r="W790" i="1"/>
  <c r="V790" i="1"/>
  <c r="U790" i="1"/>
  <c r="Y790" i="1"/>
  <c r="X790" i="1"/>
  <c r="W345" i="1"/>
  <c r="P345" i="1"/>
  <c r="U345" i="1"/>
  <c r="V345" i="1"/>
  <c r="W167" i="1"/>
  <c r="V167" i="1"/>
  <c r="U167" i="1"/>
  <c r="S167" i="1"/>
  <c r="T167" i="1"/>
  <c r="T563" i="1"/>
  <c r="V563" i="1"/>
  <c r="Z563" i="1"/>
  <c r="Y563" i="1"/>
  <c r="W563" i="1"/>
  <c r="X563" i="1"/>
  <c r="T366" i="1"/>
  <c r="S366" i="1"/>
  <c r="U366" i="1"/>
  <c r="P366" i="1"/>
  <c r="V366" i="1"/>
  <c r="S315" i="1"/>
  <c r="V315" i="1"/>
  <c r="P315" i="1"/>
  <c r="T315" i="1"/>
  <c r="W315" i="1"/>
  <c r="U315" i="1"/>
  <c r="V388" i="1"/>
  <c r="U388" i="1"/>
  <c r="P388" i="1"/>
  <c r="S388" i="1"/>
  <c r="T388" i="1"/>
  <c r="T382" i="1"/>
  <c r="S382" i="1"/>
  <c r="P382" i="1"/>
  <c r="U382" i="1"/>
  <c r="V382" i="1"/>
  <c r="U653" i="1"/>
  <c r="V653" i="1"/>
  <c r="T293" i="1"/>
  <c r="W293" i="1"/>
  <c r="P293" i="1"/>
  <c r="S293" i="1"/>
  <c r="U293" i="1"/>
  <c r="V293" i="1"/>
  <c r="P256" i="1"/>
  <c r="V256" i="1"/>
  <c r="T256" i="1"/>
  <c r="U256" i="1"/>
  <c r="W256" i="1"/>
  <c r="S256" i="1"/>
  <c r="Y554" i="1"/>
  <c r="Z554" i="1"/>
  <c r="T554" i="1"/>
  <c r="X554" i="1"/>
  <c r="V554" i="1"/>
  <c r="W554" i="1"/>
  <c r="V282" i="1"/>
  <c r="P282" i="1"/>
  <c r="S282" i="1"/>
  <c r="T282" i="1"/>
  <c r="U282" i="1"/>
  <c r="W282" i="1"/>
  <c r="V785" i="1"/>
  <c r="X785" i="1"/>
  <c r="U785" i="1"/>
  <c r="Y785" i="1"/>
  <c r="W785" i="1"/>
  <c r="X714" i="1"/>
  <c r="W714" i="1"/>
  <c r="Y714" i="1"/>
  <c r="W704" i="1"/>
  <c r="Y704" i="1"/>
  <c r="X704" i="1"/>
  <c r="V787" i="1"/>
  <c r="U787" i="1"/>
  <c r="W787" i="1"/>
  <c r="Y787" i="1"/>
  <c r="X787" i="1"/>
  <c r="W705" i="1"/>
  <c r="X705" i="1"/>
  <c r="Y705" i="1"/>
  <c r="L812" i="1"/>
  <c r="I682" i="1"/>
  <c r="J682" i="1" s="1"/>
  <c r="L785" i="1"/>
  <c r="L692" i="1"/>
  <c r="L762" i="1"/>
  <c r="I710" i="1"/>
  <c r="J710" i="1" s="1"/>
  <c r="I703" i="1"/>
  <c r="J703" i="1" s="1"/>
  <c r="I713" i="1"/>
  <c r="J713" i="1" s="1"/>
  <c r="L823" i="1"/>
  <c r="I822" i="1"/>
  <c r="J822" i="1" s="1"/>
  <c r="I818" i="1"/>
  <c r="J818" i="1" s="1"/>
  <c r="I795" i="1"/>
  <c r="J795" i="1" s="1"/>
  <c r="I709" i="1"/>
  <c r="J709" i="1" s="1"/>
  <c r="I702" i="1"/>
  <c r="J702" i="1" s="1"/>
  <c r="I786" i="1"/>
  <c r="J786" i="1" s="1"/>
  <c r="I788" i="1"/>
  <c r="J788" i="1" s="1"/>
  <c r="I825" i="1"/>
  <c r="J825" i="1" s="1"/>
  <c r="L712" i="1"/>
  <c r="L732" i="1"/>
  <c r="L820" i="1"/>
  <c r="L815" i="1"/>
  <c r="I797" i="1"/>
  <c r="J797" i="1" s="1"/>
  <c r="I819" i="1"/>
  <c r="J819" i="1" s="1"/>
  <c r="L821" i="1"/>
  <c r="L787" i="1"/>
  <c r="L733" i="1"/>
  <c r="L704" i="1"/>
  <c r="I699" i="1"/>
  <c r="J699" i="1" s="1"/>
  <c r="I829" i="1"/>
  <c r="J829" i="1" s="1"/>
  <c r="I814" i="1"/>
  <c r="J814" i="1" s="1"/>
  <c r="L765" i="1"/>
  <c r="L729" i="1"/>
  <c r="L714" i="1"/>
  <c r="I708" i="1"/>
  <c r="J708" i="1" s="1"/>
  <c r="I684" i="1"/>
  <c r="J684" i="1" s="1"/>
  <c r="I816" i="1"/>
  <c r="J816" i="1" s="1"/>
  <c r="L701" i="1"/>
  <c r="L799" i="1"/>
  <c r="L827" i="1"/>
  <c r="I711" i="1"/>
  <c r="J711" i="1" s="1"/>
  <c r="I730" i="1"/>
  <c r="J730" i="1" s="1"/>
  <c r="V730" i="1" s="1"/>
  <c r="L730" i="1"/>
  <c r="H206" i="1"/>
  <c r="K206" i="1"/>
  <c r="J734" i="1" l="1"/>
  <c r="S28" i="55"/>
  <c r="U813" i="1"/>
  <c r="Y813" i="1"/>
  <c r="W796" i="1"/>
  <c r="V800" i="1"/>
  <c r="T811" i="1"/>
  <c r="Y800" i="1"/>
  <c r="U800" i="1"/>
  <c r="V764" i="1"/>
  <c r="X800" i="1"/>
  <c r="W764" i="1"/>
  <c r="U764" i="1"/>
  <c r="Y764" i="1"/>
  <c r="U811" i="1"/>
  <c r="V796" i="1"/>
  <c r="X796" i="1"/>
  <c r="U796" i="1"/>
  <c r="V793" i="1"/>
  <c r="Y793" i="1"/>
  <c r="U793" i="1"/>
  <c r="W793" i="1"/>
  <c r="Y711" i="1"/>
  <c r="W711" i="1"/>
  <c r="X711" i="1"/>
  <c r="Y816" i="1"/>
  <c r="U816" i="1"/>
  <c r="T816" i="1"/>
  <c r="X684" i="1"/>
  <c r="Y684" i="1"/>
  <c r="Y829" i="1"/>
  <c r="U829" i="1"/>
  <c r="T829" i="1"/>
  <c r="U818" i="1"/>
  <c r="Y818" i="1"/>
  <c r="T818" i="1"/>
  <c r="Y703" i="1"/>
  <c r="X703" i="1"/>
  <c r="W703" i="1"/>
  <c r="U825" i="1"/>
  <c r="Y825" i="1"/>
  <c r="T825" i="1"/>
  <c r="Y822" i="1"/>
  <c r="U822" i="1"/>
  <c r="T822" i="1"/>
  <c r="Y708" i="1"/>
  <c r="W708" i="1"/>
  <c r="X708" i="1"/>
  <c r="Y788" i="1"/>
  <c r="U788" i="1"/>
  <c r="V788" i="1"/>
  <c r="X788" i="1"/>
  <c r="W788" i="1"/>
  <c r="W786" i="1"/>
  <c r="U786" i="1"/>
  <c r="V786" i="1"/>
  <c r="X786" i="1"/>
  <c r="Y786" i="1"/>
  <c r="Y699" i="1"/>
  <c r="W699" i="1"/>
  <c r="X699" i="1"/>
  <c r="X702" i="1"/>
  <c r="W702" i="1"/>
  <c r="Y702" i="1"/>
  <c r="T819" i="1"/>
  <c r="U819" i="1"/>
  <c r="Y819" i="1"/>
  <c r="W709" i="1"/>
  <c r="X709" i="1"/>
  <c r="Y709" i="1"/>
  <c r="W713" i="1"/>
  <c r="Y713" i="1"/>
  <c r="X713" i="1"/>
  <c r="Y682" i="1"/>
  <c r="X682" i="1"/>
  <c r="T814" i="1"/>
  <c r="Y814" i="1"/>
  <c r="U814" i="1"/>
  <c r="X797" i="1"/>
  <c r="Y797" i="1"/>
  <c r="U797" i="1"/>
  <c r="V797" i="1"/>
  <c r="W797" i="1"/>
  <c r="V795" i="1"/>
  <c r="X795" i="1"/>
  <c r="Y795" i="1"/>
  <c r="W795" i="1"/>
  <c r="U795" i="1"/>
  <c r="X710" i="1"/>
  <c r="Y710" i="1"/>
  <c r="W710" i="1"/>
  <c r="J832" i="1"/>
  <c r="J834" i="1" s="1"/>
  <c r="I206" i="1"/>
  <c r="J206" i="1" s="1"/>
  <c r="L206" i="1"/>
  <c r="D40" i="55" l="1"/>
  <c r="P835" i="1"/>
  <c r="H41" i="55" s="1"/>
  <c r="Q835" i="1"/>
  <c r="I41" i="55" s="1"/>
  <c r="I40" i="55" s="1"/>
  <c r="R835" i="1"/>
  <c r="J41" i="55" s="1"/>
  <c r="Z835" i="1"/>
  <c r="R41" i="55" s="1"/>
  <c r="R40" i="55" s="1"/>
  <c r="S835" i="1"/>
  <c r="K41" i="55" s="1"/>
  <c r="M835" i="1"/>
  <c r="E41" i="55" s="1"/>
  <c r="E40" i="55" s="1"/>
  <c r="N835" i="1"/>
  <c r="F41" i="55" s="1"/>
  <c r="V835" i="1"/>
  <c r="N41" i="55" s="1"/>
  <c r="N40" i="55" s="1"/>
  <c r="O835" i="1"/>
  <c r="G41" i="55" s="1"/>
  <c r="W835" i="1"/>
  <c r="O41" i="55" s="1"/>
  <c r="O40" i="55" s="1"/>
  <c r="X835" i="1"/>
  <c r="P41" i="55" s="1"/>
  <c r="Y832" i="1"/>
  <c r="Y834" i="1" s="1"/>
  <c r="Y835" i="1" s="1"/>
  <c r="Q41" i="55" s="1"/>
  <c r="Q40" i="55" s="1"/>
  <c r="U832" i="1"/>
  <c r="U834" i="1" s="1"/>
  <c r="U835" i="1" s="1"/>
  <c r="M41" i="55" s="1"/>
  <c r="M40" i="55" s="1"/>
  <c r="T832" i="1"/>
  <c r="T834" i="1" s="1"/>
  <c r="T835" i="1" s="1"/>
  <c r="L41" i="55" s="1"/>
  <c r="L40" i="55" s="1"/>
  <c r="W206" i="1"/>
  <c r="V206" i="1"/>
  <c r="U206" i="1"/>
  <c r="P40" i="55" l="1"/>
  <c r="G40" i="55"/>
  <c r="F40" i="55"/>
  <c r="J40" i="55"/>
  <c r="K40" i="55"/>
  <c r="H40" i="55"/>
  <c r="S41" i="55"/>
  <c r="H3049" i="8"/>
  <c r="S40" i="55" l="1"/>
  <c r="H633" i="8"/>
  <c r="H630" i="8"/>
  <c r="H631" i="8"/>
  <c r="H632" i="8"/>
  <c r="H634" i="8"/>
  <c r="H43" i="25" l="1"/>
  <c r="K43" i="25"/>
  <c r="J110" i="25" s="1"/>
  <c r="L43" i="25" l="1"/>
  <c r="J111" i="25" s="1"/>
  <c r="I43" i="25"/>
  <c r="J43" i="25" s="1"/>
  <c r="J45" i="25" l="1"/>
  <c r="M43" i="25"/>
  <c r="J59" i="25" l="1"/>
  <c r="D17" i="55" s="1"/>
  <c r="M45" i="25"/>
  <c r="M59" i="25" s="1"/>
  <c r="N60" i="25" l="1"/>
  <c r="F18" i="55" s="1"/>
  <c r="F17" i="55" s="1"/>
  <c r="W60" i="25"/>
  <c r="O18" i="55" s="1"/>
  <c r="O17" i="55" s="1"/>
  <c r="R60" i="25"/>
  <c r="J18" i="55" s="1"/>
  <c r="J17" i="55" s="1"/>
  <c r="X60" i="25"/>
  <c r="P18" i="55" s="1"/>
  <c r="P17" i="55" s="1"/>
  <c r="P60" i="25"/>
  <c r="H18" i="55" s="1"/>
  <c r="H17" i="55" s="1"/>
  <c r="S60" i="25"/>
  <c r="K18" i="55" s="1"/>
  <c r="K17" i="55" s="1"/>
  <c r="V60" i="25"/>
  <c r="N18" i="55" s="1"/>
  <c r="N17" i="55" s="1"/>
  <c r="Z60" i="25"/>
  <c r="R18" i="55" s="1"/>
  <c r="R17" i="55" s="1"/>
  <c r="Q60" i="25"/>
  <c r="I18" i="55" s="1"/>
  <c r="I17" i="55" s="1"/>
  <c r="Y60" i="25"/>
  <c r="Q18" i="55" s="1"/>
  <c r="Q17" i="55" s="1"/>
  <c r="J112" i="25"/>
  <c r="G17" i="48" s="1"/>
  <c r="T60" i="25"/>
  <c r="L18" i="55" s="1"/>
  <c r="L17" i="55" s="1"/>
  <c r="O60" i="25"/>
  <c r="G18" i="55" s="1"/>
  <c r="G17" i="55" s="1"/>
  <c r="M60" i="25"/>
  <c r="E18" i="55" s="1"/>
  <c r="E17" i="55" s="1"/>
  <c r="U60" i="25"/>
  <c r="M18" i="55" s="1"/>
  <c r="M17" i="55" s="1"/>
  <c r="H419" i="1"/>
  <c r="K419" i="1"/>
  <c r="S17" i="55" l="1"/>
  <c r="S18" i="55"/>
  <c r="H2928" i="8"/>
  <c r="L419" i="1"/>
  <c r="I419" i="1"/>
  <c r="J419" i="1" s="1"/>
  <c r="P419" i="1" l="1"/>
  <c r="T419" i="1"/>
  <c r="U419" i="1"/>
  <c r="V419" i="1"/>
  <c r="S419" i="1"/>
  <c r="K516" i="1" l="1"/>
  <c r="H516" i="1"/>
  <c r="L516" i="1" l="1"/>
  <c r="I516" i="1"/>
  <c r="J516" i="1" s="1"/>
  <c r="T516" i="1" l="1"/>
  <c r="Y516" i="1"/>
  <c r="V516" i="1"/>
  <c r="Z516" i="1"/>
  <c r="X516" i="1"/>
  <c r="W516" i="1"/>
  <c r="H556" i="1" l="1"/>
  <c r="K556" i="1"/>
  <c r="H2450" i="8" l="1"/>
  <c r="K515" i="1"/>
  <c r="H515" i="1"/>
  <c r="L556" i="1"/>
  <c r="I556" i="1"/>
  <c r="J556" i="1" s="1"/>
  <c r="H2452" i="8" l="1"/>
  <c r="H2451" i="8"/>
  <c r="L515" i="1"/>
  <c r="I515" i="1"/>
  <c r="J515" i="1" s="1"/>
  <c r="T556" i="1"/>
  <c r="X556" i="1"/>
  <c r="W556" i="1"/>
  <c r="V556" i="1"/>
  <c r="Y556" i="1"/>
  <c r="Z556" i="1"/>
  <c r="H2453" i="8" l="1"/>
  <c r="H2456" i="8" s="1"/>
  <c r="H2457" i="8" s="1"/>
  <c r="Y515" i="1"/>
  <c r="T515" i="1"/>
  <c r="W515" i="1"/>
  <c r="X515" i="1"/>
  <c r="V515" i="1"/>
  <c r="Z515" i="1"/>
  <c r="H2455" i="8" l="1"/>
  <c r="H2449" i="8" s="1"/>
  <c r="H749" i="8"/>
  <c r="H923" i="8"/>
  <c r="H673" i="8"/>
  <c r="H692" i="8"/>
  <c r="H653" i="8"/>
  <c r="H342" i="8"/>
  <c r="H904" i="8"/>
  <c r="H866" i="8"/>
  <c r="H885" i="8"/>
  <c r="H454" i="1" l="1"/>
  <c r="I454" i="1" s="1"/>
  <c r="J454" i="1" s="1"/>
  <c r="K454" i="1"/>
  <c r="L454" i="1" l="1"/>
  <c r="Z454" i="1"/>
  <c r="V454" i="1"/>
  <c r="Y454" i="1"/>
  <c r="X454" i="1"/>
  <c r="T454" i="1"/>
  <c r="W454" i="1"/>
  <c r="H2969" i="8"/>
  <c r="H2971" i="8"/>
  <c r="H2968" i="8"/>
  <c r="H2970" i="8"/>
  <c r="H2972" i="8" l="1"/>
  <c r="H2973" i="8"/>
  <c r="H972" i="8"/>
  <c r="H973" i="8"/>
  <c r="H952" i="8"/>
  <c r="H995" i="8"/>
  <c r="H955" i="8"/>
  <c r="H974" i="8"/>
  <c r="H996" i="8"/>
  <c r="H2974" i="8" l="1"/>
  <c r="H997" i="8"/>
  <c r="H1000" i="8" s="1"/>
  <c r="H1001" i="8" s="1"/>
  <c r="H2977" i="8"/>
  <c r="H2978" i="8" s="1"/>
  <c r="H2976" i="8" l="1"/>
  <c r="H2967" i="8" s="1"/>
  <c r="K517" i="1"/>
  <c r="H999" i="8"/>
  <c r="H987" i="8" s="1"/>
  <c r="H152" i="1" l="1"/>
  <c r="I152" i="1" s="1"/>
  <c r="J152" i="1" s="1"/>
  <c r="W152" i="1" s="1"/>
  <c r="H517" i="1"/>
  <c r="L517" i="1" s="1"/>
  <c r="K680" i="1"/>
  <c r="H680" i="1"/>
  <c r="K95" i="1"/>
  <c r="H95" i="1"/>
  <c r="L152" i="1" l="1"/>
  <c r="X152" i="1"/>
  <c r="V152" i="1"/>
  <c r="K152" i="1"/>
  <c r="I517" i="1"/>
  <c r="J517" i="1" s="1"/>
  <c r="Z517" i="1" s="1"/>
  <c r="I680" i="1"/>
  <c r="J680" i="1" s="1"/>
  <c r="L680" i="1"/>
  <c r="K666" i="1"/>
  <c r="H666" i="1"/>
  <c r="I666" i="1" s="1"/>
  <c r="J666" i="1" s="1"/>
  <c r="K665" i="1"/>
  <c r="H665" i="1"/>
  <c r="I95" i="1"/>
  <c r="J95" i="1" s="1"/>
  <c r="T95" i="1" s="1"/>
  <c r="T100" i="1" s="1"/>
  <c r="T115" i="1" s="1"/>
  <c r="L95" i="1"/>
  <c r="W517" i="1" l="1"/>
  <c r="X517" i="1"/>
  <c r="Y517" i="1"/>
  <c r="T517" i="1"/>
  <c r="V517" i="1"/>
  <c r="X680" i="1"/>
  <c r="Y680" i="1"/>
  <c r="L666" i="1"/>
  <c r="I665" i="1"/>
  <c r="J665" i="1" s="1"/>
  <c r="X665" i="1" s="1"/>
  <c r="L665" i="1"/>
  <c r="H1086" i="8"/>
  <c r="H1098" i="8"/>
  <c r="H1162" i="8"/>
  <c r="K213" i="1"/>
  <c r="H213" i="1"/>
  <c r="L213" i="1" s="1"/>
  <c r="H763" i="8"/>
  <c r="K195" i="1"/>
  <c r="H195" i="1"/>
  <c r="L195" i="1" s="1"/>
  <c r="H887" i="8"/>
  <c r="H648" i="8"/>
  <c r="H1099" i="8"/>
  <c r="H745" i="8"/>
  <c r="H1238" i="8"/>
  <c r="H1023" i="8"/>
  <c r="H1010" i="8"/>
  <c r="H1041" i="8"/>
  <c r="H1043" i="8" s="1"/>
  <c r="H906" i="8"/>
  <c r="H864" i="8"/>
  <c r="H1190" i="8"/>
  <c r="H746" i="8"/>
  <c r="H747" i="8"/>
  <c r="H766" i="8"/>
  <c r="H801" i="8"/>
  <c r="H748" i="8"/>
  <c r="H958" i="8"/>
  <c r="H671" i="8"/>
  <c r="H1189" i="8"/>
  <c r="H667" i="8"/>
  <c r="H1103" i="8"/>
  <c r="H1174" i="8"/>
  <c r="H1227" i="8"/>
  <c r="H1024" i="8"/>
  <c r="H1057" i="8"/>
  <c r="H685" i="8"/>
  <c r="H1232" i="8"/>
  <c r="H780" i="8"/>
  <c r="H832" i="8"/>
  <c r="H688" i="8"/>
  <c r="H649" i="8"/>
  <c r="H1117" i="8"/>
  <c r="H868" i="8"/>
  <c r="H647" i="8"/>
  <c r="H1148" i="8"/>
  <c r="H198" i="1"/>
  <c r="K198" i="1"/>
  <c r="K163" i="1"/>
  <c r="H163" i="1"/>
  <c r="K125" i="1"/>
  <c r="H125" i="1"/>
  <c r="H1056" i="8"/>
  <c r="H979" i="8"/>
  <c r="H1149" i="8"/>
  <c r="H164" i="1"/>
  <c r="K164" i="1"/>
  <c r="K228" i="1"/>
  <c r="H228" i="1"/>
  <c r="L228" i="1" s="1"/>
  <c r="W665" i="1"/>
  <c r="W666" i="1"/>
  <c r="X666" i="1"/>
  <c r="I213" i="1" l="1"/>
  <c r="J213" i="1" s="1"/>
  <c r="V213" i="1" s="1"/>
  <c r="H261" i="1"/>
  <c r="L261" i="1" s="1"/>
  <c r="K261" i="1"/>
  <c r="H1042" i="8"/>
  <c r="H1044" i="8" s="1"/>
  <c r="H1046" i="8" s="1"/>
  <c r="H1038" i="8" s="1"/>
  <c r="I195" i="1"/>
  <c r="J195" i="1" s="1"/>
  <c r="T195" i="1" s="1"/>
  <c r="L125" i="1"/>
  <c r="I125" i="1"/>
  <c r="J125" i="1" s="1"/>
  <c r="L164" i="1"/>
  <c r="I164" i="1"/>
  <c r="J164" i="1" s="1"/>
  <c r="L163" i="1"/>
  <c r="I163" i="1"/>
  <c r="J163" i="1" s="1"/>
  <c r="I198" i="1"/>
  <c r="J198" i="1" s="1"/>
  <c r="L198" i="1"/>
  <c r="I228" i="1"/>
  <c r="J228" i="1" s="1"/>
  <c r="Y228" i="1" s="1"/>
  <c r="H91" i="1"/>
  <c r="K91" i="1"/>
  <c r="U213" i="1" l="1"/>
  <c r="H1047" i="8"/>
  <c r="H1048" i="8" s="1"/>
  <c r="H650" i="1"/>
  <c r="I650" i="1" s="1"/>
  <c r="J650" i="1" s="1"/>
  <c r="K650" i="1"/>
  <c r="H3063" i="8"/>
  <c r="H651" i="1"/>
  <c r="K651" i="1"/>
  <c r="H3062" i="8"/>
  <c r="H2926" i="8"/>
  <c r="H3127" i="8"/>
  <c r="H3141" i="8"/>
  <c r="H3036" i="8"/>
  <c r="H3023" i="8"/>
  <c r="H3101" i="8"/>
  <c r="H2982" i="8"/>
  <c r="H3102" i="8"/>
  <c r="H3010" i="8"/>
  <c r="H3050" i="8"/>
  <c r="H3011" i="8"/>
  <c r="H3128" i="8"/>
  <c r="H2983" i="8"/>
  <c r="H3037" i="8"/>
  <c r="H2985" i="8"/>
  <c r="H4255" i="8"/>
  <c r="H3088" i="8"/>
  <c r="H3114" i="8"/>
  <c r="H4267" i="8"/>
  <c r="H4254" i="8"/>
  <c r="H3024" i="8"/>
  <c r="H2984" i="8"/>
  <c r="H3076" i="8"/>
  <c r="H3115" i="8"/>
  <c r="H3140" i="8"/>
  <c r="H3075" i="8"/>
  <c r="H3089" i="8"/>
  <c r="H4268" i="8"/>
  <c r="W228" i="1"/>
  <c r="V228" i="1"/>
  <c r="I261" i="1"/>
  <c r="J261" i="1" s="1"/>
  <c r="S195" i="1"/>
  <c r="U164" i="1"/>
  <c r="T164" i="1"/>
  <c r="R125" i="1"/>
  <c r="S125" i="1"/>
  <c r="T125" i="1"/>
  <c r="S198" i="1"/>
  <c r="T198" i="1"/>
  <c r="U163" i="1"/>
  <c r="T163" i="1"/>
  <c r="X228" i="1"/>
  <c r="L91" i="1"/>
  <c r="I91" i="1"/>
  <c r="J91" i="1" s="1"/>
  <c r="T261" i="1" l="1"/>
  <c r="K159" i="1"/>
  <c r="V261" i="1"/>
  <c r="W261" i="1"/>
  <c r="L650" i="1"/>
  <c r="P261" i="1"/>
  <c r="U261" i="1"/>
  <c r="L651" i="1"/>
  <c r="I651" i="1"/>
  <c r="J651" i="1" s="1"/>
  <c r="S261" i="1"/>
  <c r="V650" i="1"/>
  <c r="U650" i="1"/>
  <c r="R91" i="1"/>
  <c r="H159" i="1" l="1"/>
  <c r="I159" i="1" s="1"/>
  <c r="J159" i="1" s="1"/>
  <c r="Y159" i="1" s="1"/>
  <c r="U651" i="1"/>
  <c r="V651" i="1"/>
  <c r="Z159" i="1" l="1"/>
  <c r="L159" i="1"/>
  <c r="H706" i="1"/>
  <c r="K706" i="1"/>
  <c r="I706" i="1" l="1"/>
  <c r="J706" i="1" s="1"/>
  <c r="L706" i="1"/>
  <c r="K207" i="1" l="1"/>
  <c r="H207" i="1"/>
  <c r="L207" i="1" s="1"/>
  <c r="Y706" i="1"/>
  <c r="W706" i="1"/>
  <c r="X706" i="1"/>
  <c r="H4416" i="8" l="1"/>
  <c r="I207" i="1"/>
  <c r="J207" i="1" s="1"/>
  <c r="W207" i="1" s="1"/>
  <c r="U207" i="1" l="1"/>
  <c r="V207" i="1"/>
  <c r="H137" i="1" l="1"/>
  <c r="K137" i="1"/>
  <c r="I137" i="1" l="1"/>
  <c r="J137" i="1" s="1"/>
  <c r="L137" i="1"/>
  <c r="X137" i="1" l="1"/>
  <c r="W137" i="1"/>
  <c r="V137" i="1"/>
  <c r="V734" i="1" l="1"/>
  <c r="F336" i="64" l="1"/>
  <c r="F337" i="64" l="1"/>
  <c r="F338" i="64" s="1"/>
  <c r="F339" i="64" s="1"/>
  <c r="F340" i="64" s="1"/>
  <c r="F341" i="64" s="1"/>
  <c r="F342" i="64" s="1"/>
  <c r="F343" i="64" s="1"/>
  <c r="F344" i="64" s="1"/>
  <c r="F345" i="64" s="1"/>
  <c r="F346" i="64" s="1"/>
  <c r="F347" i="64" s="1"/>
  <c r="F348" i="64" s="1"/>
  <c r="F349" i="64" s="1"/>
  <c r="F350" i="64" s="1"/>
  <c r="F351" i="64" s="1"/>
  <c r="F352" i="64" s="1"/>
  <c r="F353" i="64" s="1"/>
  <c r="F354" i="64" s="1"/>
  <c r="F355" i="64" s="1"/>
  <c r="F356" i="64" s="1"/>
  <c r="F357" i="64" s="1"/>
  <c r="F358" i="64" s="1"/>
  <c r="F359" i="64" s="1"/>
  <c r="F360" i="64" s="1"/>
  <c r="F361" i="64" s="1"/>
  <c r="F362" i="64" s="1"/>
  <c r="F363" i="64" s="1"/>
  <c r="F364" i="64" s="1"/>
  <c r="F365" i="64" s="1"/>
  <c r="F366" i="64" s="1"/>
  <c r="F367" i="64" s="1"/>
  <c r="F368" i="64" s="1"/>
  <c r="F369" i="64" s="1"/>
  <c r="F370" i="64" s="1"/>
  <c r="F371" i="64" s="1"/>
  <c r="F372" i="64" s="1"/>
  <c r="F373" i="64" s="1"/>
  <c r="F374" i="64" s="1"/>
  <c r="F376" i="64" s="1"/>
  <c r="F377" i="64" s="1"/>
  <c r="F378" i="64" s="1"/>
  <c r="F379" i="64" s="1"/>
  <c r="F380" i="64" s="1"/>
  <c r="F381" i="64" s="1"/>
  <c r="F382" i="64" s="1"/>
  <c r="F383" i="64" s="1"/>
  <c r="F384" i="64" s="1"/>
  <c r="F385" i="64" s="1"/>
  <c r="F386" i="64" s="1"/>
  <c r="F387" i="64" s="1"/>
  <c r="F388" i="64" s="1"/>
  <c r="F389" i="64" s="1"/>
  <c r="F390" i="64" s="1"/>
  <c r="F391" i="64" s="1"/>
  <c r="F392" i="64" s="1"/>
  <c r="F393" i="64" s="1"/>
  <c r="F394" i="64" s="1"/>
  <c r="F395" i="64" s="1"/>
  <c r="F396" i="64" s="1"/>
  <c r="F397" i="64" s="1"/>
  <c r="F398" i="64" s="1"/>
  <c r="F399" i="64" s="1"/>
  <c r="F400" i="64" s="1"/>
  <c r="F401" i="64" s="1"/>
  <c r="F402" i="64" s="1"/>
  <c r="F403" i="64" s="1"/>
  <c r="F404" i="64" s="1"/>
  <c r="F405" i="64" s="1"/>
  <c r="F406" i="64" s="1"/>
  <c r="F407" i="64" s="1"/>
  <c r="F408" i="64" s="1"/>
  <c r="F409" i="64" s="1"/>
  <c r="F410" i="64" s="1"/>
  <c r="F411" i="64" s="1"/>
  <c r="F412" i="64" s="1"/>
  <c r="F413" i="64" s="1"/>
  <c r="F414" i="64" s="1"/>
  <c r="F416" i="64" s="1"/>
  <c r="F417" i="64" s="1"/>
  <c r="H3336" i="8" l="1"/>
  <c r="H1647" i="8"/>
  <c r="H902" i="8"/>
  <c r="H4414" i="8"/>
  <c r="H4418" i="8" s="1"/>
  <c r="H1957" i="8"/>
  <c r="H3555" i="8"/>
  <c r="H3559" i="8" s="1"/>
  <c r="H3244" i="8"/>
  <c r="H3247" i="8" s="1"/>
  <c r="H1377" i="8"/>
  <c r="H1380" i="8" s="1"/>
  <c r="H1381" i="8" s="1"/>
  <c r="H2115" i="8"/>
  <c r="H1175" i="8"/>
  <c r="H1585" i="8"/>
  <c r="H3491" i="8"/>
  <c r="H1831" i="8"/>
  <c r="H3156" i="8"/>
  <c r="H4176" i="8"/>
  <c r="H1756" i="8"/>
  <c r="H1757" i="8" s="1"/>
  <c r="H2097" i="8"/>
  <c r="H652" i="8"/>
  <c r="H2272" i="8"/>
  <c r="H3713" i="8"/>
  <c r="H693" i="8"/>
  <c r="H3569" i="8"/>
  <c r="H3715" i="8"/>
  <c r="H3744" i="8"/>
  <c r="H3180" i="8"/>
  <c r="H4024" i="8"/>
  <c r="H1402" i="8"/>
  <c r="H1403" i="8" s="1"/>
  <c r="H205" i="1"/>
  <c r="I205" i="1" s="1"/>
  <c r="J205" i="1" s="1"/>
  <c r="K205" i="1"/>
  <c r="H3716" i="8"/>
  <c r="H3821" i="8"/>
  <c r="H3824" i="8" s="1"/>
  <c r="H185" i="1"/>
  <c r="I185" i="1" s="1"/>
  <c r="J185" i="1" s="1"/>
  <c r="K185" i="1"/>
  <c r="H867" i="8"/>
  <c r="H651" i="8"/>
  <c r="H3987" i="8"/>
  <c r="H1055" i="8"/>
  <c r="H1059" i="8" s="1"/>
  <c r="H2268" i="8"/>
  <c r="H1551" i="8"/>
  <c r="H4190" i="8"/>
  <c r="H3760" i="8"/>
  <c r="H903" i="8"/>
  <c r="H2207" i="8"/>
  <c r="H2270" i="8"/>
  <c r="H3452" i="8"/>
  <c r="H3455" i="8" s="1"/>
  <c r="H1662" i="8"/>
  <c r="H1401" i="8"/>
  <c r="H1404" i="8" s="1"/>
  <c r="H3701" i="8"/>
  <c r="H4036" i="8"/>
  <c r="H4039" i="8" s="1"/>
  <c r="H2004" i="8"/>
  <c r="H2206" i="8"/>
  <c r="H1603" i="8"/>
  <c r="H3822" i="8"/>
  <c r="H2290" i="8"/>
  <c r="H2001" i="8"/>
  <c r="H4192" i="8"/>
  <c r="H3636" i="8"/>
  <c r="H1339" i="8"/>
  <c r="K794" i="1"/>
  <c r="H794" i="1"/>
  <c r="L794" i="1" s="1"/>
  <c r="H751" i="8"/>
  <c r="H356" i="1"/>
  <c r="K356" i="1"/>
  <c r="H4065" i="8"/>
  <c r="H3988" i="8"/>
  <c r="H2082" i="8"/>
  <c r="H2128" i="8"/>
  <c r="H3568" i="8"/>
  <c r="H3572" i="8" s="1"/>
  <c r="H3271" i="8"/>
  <c r="H742" i="8"/>
  <c r="H1549" i="8"/>
  <c r="H2275" i="8"/>
  <c r="K190" i="1"/>
  <c r="H190" i="1"/>
  <c r="H3309" i="8"/>
  <c r="H3312" i="8" s="1"/>
  <c r="H4050" i="8"/>
  <c r="H3791" i="8"/>
  <c r="H4331" i="8"/>
  <c r="H833" i="8"/>
  <c r="H4241" i="8"/>
  <c r="H4100" i="8"/>
  <c r="H4101" i="8" s="1"/>
  <c r="H1581" i="8"/>
  <c r="H528" i="8"/>
  <c r="H3258" i="8"/>
  <c r="H191" i="1"/>
  <c r="K191" i="1"/>
  <c r="H2070" i="8"/>
  <c r="H3622" i="8"/>
  <c r="H3193" i="8"/>
  <c r="H1875" i="8"/>
  <c r="H1880" i="8" s="1"/>
  <c r="H3414" i="8"/>
  <c r="H4215" i="8"/>
  <c r="H4218" i="8" s="1"/>
  <c r="H1984" i="8"/>
  <c r="H783" i="8"/>
  <c r="H1944" i="8"/>
  <c r="H1890" i="8"/>
  <c r="H2176" i="8"/>
  <c r="H3654" i="8"/>
  <c r="H1550" i="8"/>
  <c r="H1677" i="8"/>
  <c r="H3669" i="8"/>
  <c r="H2930" i="8"/>
  <c r="H2931" i="8"/>
  <c r="H941" i="8"/>
  <c r="H1956" i="8"/>
  <c r="H1960" i="8" s="1"/>
  <c r="H189" i="1"/>
  <c r="K189" i="1"/>
  <c r="H1566" i="8"/>
  <c r="H2240" i="8"/>
  <c r="H3077" i="8"/>
  <c r="H3078" i="8"/>
  <c r="H2253" i="8"/>
  <c r="H1323" i="8"/>
  <c r="H3881" i="8"/>
  <c r="H1119" i="8"/>
  <c r="H1501" i="8"/>
  <c r="H1615" i="8"/>
  <c r="H3167" i="8"/>
  <c r="H4357" i="8"/>
  <c r="H4173" i="8"/>
  <c r="H3052" i="8"/>
  <c r="H3051" i="8"/>
  <c r="H3053" i="8" s="1"/>
  <c r="H1646" i="8"/>
  <c r="H1648" i="8" s="1"/>
  <c r="K176" i="1"/>
  <c r="H176" i="1"/>
  <c r="H3219" i="8"/>
  <c r="H3762" i="8"/>
  <c r="H3375" i="8"/>
  <c r="H3376" i="8" s="1"/>
  <c r="H3378" i="8" s="1"/>
  <c r="H4269" i="8"/>
  <c r="H4270" i="8"/>
  <c r="H4271" i="8" s="1"/>
  <c r="H3477" i="8"/>
  <c r="H3481" i="8" s="1"/>
  <c r="H4037" i="8"/>
  <c r="H4038" i="8" s="1"/>
  <c r="H4040" i="8" s="1"/>
  <c r="H1905" i="8"/>
  <c r="H1906" i="8" s="1"/>
  <c r="H1754" i="8"/>
  <c r="H1351" i="8"/>
  <c r="H2159" i="8"/>
  <c r="H1751" i="8"/>
  <c r="H1987" i="8"/>
  <c r="H2286" i="8"/>
  <c r="H3668" i="8"/>
  <c r="H3064" i="8"/>
  <c r="H3065" i="8"/>
  <c r="H3066" i="8" s="1"/>
  <c r="H3780" i="8"/>
  <c r="H2179" i="8"/>
  <c r="H3999" i="8"/>
  <c r="H4000" i="8" s="1"/>
  <c r="H1801" i="8"/>
  <c r="H3273" i="8"/>
  <c r="H884" i="8"/>
  <c r="H1771" i="8"/>
  <c r="H3543" i="8"/>
  <c r="H2210" i="8"/>
  <c r="H3556" i="8"/>
  <c r="H1710" i="8"/>
  <c r="H1520" i="8"/>
  <c r="H921" i="8"/>
  <c r="H2112" i="8"/>
  <c r="H646" i="8"/>
  <c r="H2223" i="8"/>
  <c r="H1599" i="8"/>
  <c r="H2256" i="8"/>
  <c r="H1414" i="8"/>
  <c r="H1415" i="8" s="1"/>
  <c r="H4344" i="8"/>
  <c r="H1518" i="8"/>
  <c r="H3729" i="8"/>
  <c r="H1832" i="8"/>
  <c r="H1834" i="8"/>
  <c r="H1519" i="8"/>
  <c r="H3426" i="8"/>
  <c r="H1943" i="8"/>
  <c r="H2174" i="8"/>
  <c r="H4189" i="8"/>
  <c r="H3231" i="8"/>
  <c r="H3234" i="8" s="1"/>
  <c r="H1709" i="8"/>
  <c r="H4023" i="8"/>
  <c r="H3518" i="8"/>
  <c r="H1630" i="8"/>
  <c r="H2255" i="8"/>
  <c r="H1802" i="8"/>
  <c r="H2158" i="8"/>
  <c r="H1389" i="8"/>
  <c r="H1392" i="8" s="1"/>
  <c r="H1393" i="8" s="1"/>
  <c r="H1336" i="8"/>
  <c r="H1818" i="8"/>
  <c r="H3806" i="8"/>
  <c r="H1440" i="8"/>
  <c r="H200" i="1"/>
  <c r="K200" i="1"/>
  <c r="H1864" i="8"/>
  <c r="K358" i="1"/>
  <c r="H358" i="1"/>
  <c r="H1568" i="8"/>
  <c r="H1643" i="8"/>
  <c r="H3218" i="8"/>
  <c r="H977" i="8"/>
  <c r="H2084" i="8"/>
  <c r="K186" i="1"/>
  <c r="H186" i="1"/>
  <c r="L186" i="1" s="1"/>
  <c r="H616" i="8"/>
  <c r="H1601" i="8"/>
  <c r="H3639" i="8"/>
  <c r="H1847" i="8"/>
  <c r="H3557" i="8"/>
  <c r="H3479" i="8"/>
  <c r="H926" i="8"/>
  <c r="K187" i="1"/>
  <c r="H187" i="1"/>
  <c r="H3025" i="8"/>
  <c r="H3026" i="8"/>
  <c r="H334" i="1"/>
  <c r="L334" i="1" s="1"/>
  <c r="K334" i="1"/>
  <c r="H3687" i="8"/>
  <c r="H523" i="8"/>
  <c r="H1522" i="8"/>
  <c r="H1570" i="8"/>
  <c r="H2100" i="8"/>
  <c r="H1173" i="8"/>
  <c r="H1179" i="8" s="1"/>
  <c r="H1335" i="8"/>
  <c r="H799" i="8"/>
  <c r="H784" i="8"/>
  <c r="H1800" i="8"/>
  <c r="H1678" i="8"/>
  <c r="H1602" i="8"/>
  <c r="H2146" i="8"/>
  <c r="H4227" i="8"/>
  <c r="H4231" i="8" s="1"/>
  <c r="H1177" i="8"/>
  <c r="H1613" i="8"/>
  <c r="H1028" i="8"/>
  <c r="H3364" i="8"/>
  <c r="H3427" i="8"/>
  <c r="H3428" i="8" s="1"/>
  <c r="H3430" i="8" s="1"/>
  <c r="H3748" i="8"/>
  <c r="H2068" i="8"/>
  <c r="H4076" i="8"/>
  <c r="H668" i="8"/>
  <c r="H2113" i="8"/>
  <c r="H3764" i="8"/>
  <c r="H650" i="8"/>
  <c r="H1584" i="8"/>
  <c r="H3401" i="8"/>
  <c r="H1365" i="8"/>
  <c r="H1367" i="8" s="1"/>
  <c r="H2143" i="8"/>
  <c r="H3763" i="8"/>
  <c r="H1534" i="8"/>
  <c r="H1582" i="8"/>
  <c r="H3245" i="8"/>
  <c r="H3246" i="8" s="1"/>
  <c r="H3248" i="8" s="1"/>
  <c r="H3250" i="8" s="1"/>
  <c r="H3242" i="8" s="1"/>
  <c r="H3492" i="8"/>
  <c r="H782" i="8"/>
  <c r="H2195" i="8"/>
  <c r="H4355" i="8"/>
  <c r="H4359" i="8" s="1"/>
  <c r="H909" i="8"/>
  <c r="H1239" i="8"/>
  <c r="H1240" i="8" s="1"/>
  <c r="H3299" i="8"/>
  <c r="H3972" i="8"/>
  <c r="H3973" i="8" s="1"/>
  <c r="H1161" i="8"/>
  <c r="H1163" i="8" s="1"/>
  <c r="H1165" i="8" s="1"/>
  <c r="H1167" i="8" s="1"/>
  <c r="H1159" i="8" s="1"/>
  <c r="H2161" i="8"/>
  <c r="H1817" i="8"/>
  <c r="H3338" i="8"/>
  <c r="H2193" i="8"/>
  <c r="H1008" i="8"/>
  <c r="H1013" i="8" s="1"/>
  <c r="H2287" i="8"/>
  <c r="H2116" i="8"/>
  <c r="H2117" i="8" s="1"/>
  <c r="H4062" i="8"/>
  <c r="H3283" i="8"/>
  <c r="H1567" i="8"/>
  <c r="H3531" i="8"/>
  <c r="H3388" i="8"/>
  <c r="H524" i="8"/>
  <c r="H1535" i="8"/>
  <c r="H814" i="8"/>
  <c r="H820" i="8" s="1"/>
  <c r="H4244" i="8"/>
  <c r="H2190" i="8"/>
  <c r="H4203" i="8"/>
  <c r="H818" i="8"/>
  <c r="H1614" i="8"/>
  <c r="H1619" i="8" s="1"/>
  <c r="H1620" i="8" s="1"/>
  <c r="H1616" i="8"/>
  <c r="H3192" i="8"/>
  <c r="H3413" i="8"/>
  <c r="H3415" i="8" s="1"/>
  <c r="H1660" i="8"/>
  <c r="H1425" i="8"/>
  <c r="H1428" i="8" s="1"/>
  <c r="H2071" i="8"/>
  <c r="H1988" i="8"/>
  <c r="H1989" i="8" s="1"/>
  <c r="H765" i="8"/>
  <c r="H2209" i="8"/>
  <c r="H618" i="8"/>
  <c r="H344" i="8"/>
  <c r="H347" i="8" s="1"/>
  <c r="H3655" i="8"/>
  <c r="H1416" i="8"/>
  <c r="H2130" i="8"/>
  <c r="H2000" i="8"/>
  <c r="H750" i="8"/>
  <c r="H831" i="8"/>
  <c r="H925" i="8"/>
  <c r="H927" i="8" s="1"/>
  <c r="H764" i="8"/>
  <c r="H1569" i="8"/>
  <c r="H1753" i="8"/>
  <c r="H3361" i="8"/>
  <c r="H4415" i="8"/>
  <c r="H4417" i="8" s="1"/>
  <c r="H2987" i="8"/>
  <c r="H2986" i="8"/>
  <c r="H2988" i="8" s="1"/>
  <c r="H1694" i="8"/>
  <c r="H192" i="1"/>
  <c r="I192" i="1" s="1"/>
  <c r="J192" i="1" s="1"/>
  <c r="K192" i="1"/>
  <c r="H815" i="8"/>
  <c r="H2003" i="8"/>
  <c r="H2005" i="8" s="1"/>
  <c r="H1986" i="8"/>
  <c r="H2293" i="8"/>
  <c r="H1850" i="8"/>
  <c r="H3166" i="8"/>
  <c r="H3168" i="8" s="1"/>
  <c r="H4216" i="8"/>
  <c r="H4217" i="8" s="1"/>
  <c r="H4219" i="8" s="1"/>
  <c r="H3284" i="8"/>
  <c r="H3349" i="8"/>
  <c r="H3351" i="8" s="1"/>
  <c r="H1586" i="8"/>
  <c r="H1587" i="8" s="1"/>
  <c r="H2271" i="8"/>
  <c r="H1816" i="8"/>
  <c r="H1192" i="8"/>
  <c r="H3745" i="8"/>
  <c r="H1505" i="8"/>
  <c r="H2239" i="8"/>
  <c r="H1755" i="8"/>
  <c r="H1942" i="8"/>
  <c r="H1947" i="8" s="1"/>
  <c r="H1521" i="8"/>
  <c r="H2129" i="8"/>
  <c r="H2086" i="8"/>
  <c r="H883" i="8"/>
  <c r="H3387" i="8"/>
  <c r="H3390" i="8" s="1"/>
  <c r="H1390" i="8"/>
  <c r="H1391" i="8" s="1"/>
  <c r="H3619" i="8"/>
  <c r="H3625" i="8" s="1"/>
  <c r="K215" i="1"/>
  <c r="H215" i="1"/>
  <c r="I215" i="1" s="1"/>
  <c r="J215" i="1" s="1"/>
  <c r="H3296" i="8"/>
  <c r="H2067" i="8"/>
  <c r="H1378" i="8"/>
  <c r="H1379" i="8" s="1"/>
  <c r="H3792" i="8"/>
  <c r="H3796" i="8" s="1"/>
  <c r="H4205" i="8"/>
  <c r="K217" i="1"/>
  <c r="H217" i="1"/>
  <c r="H3809" i="8"/>
  <c r="H2114" i="8"/>
  <c r="H4125" i="8"/>
  <c r="H4126" i="8" s="1"/>
  <c r="H3794" i="8"/>
  <c r="H834" i="8"/>
  <c r="H835" i="8" s="1"/>
  <c r="H837" i="8" s="1"/>
  <c r="H839" i="8" s="1"/>
  <c r="H828" i="8" s="1"/>
  <c r="H617" i="8"/>
  <c r="H1707" i="8"/>
  <c r="H3761" i="8"/>
  <c r="H3766" i="8" s="1"/>
  <c r="H4013" i="8"/>
  <c r="H526" i="8"/>
  <c r="H4329" i="8"/>
  <c r="H4333" i="8" s="1"/>
  <c r="H2242" i="8"/>
  <c r="H939" i="8"/>
  <c r="H3779" i="8"/>
  <c r="H3570" i="8"/>
  <c r="H3571" i="8" s="1"/>
  <c r="H865" i="8"/>
  <c r="H871" i="8" s="1"/>
  <c r="H4078" i="8"/>
  <c r="H1692" i="8"/>
  <c r="H4113" i="8"/>
  <c r="H3730" i="8"/>
  <c r="H1752" i="8"/>
  <c r="H1025" i="8"/>
  <c r="H4115" i="8"/>
  <c r="H2208" i="8"/>
  <c r="H1695" i="8"/>
  <c r="H1706" i="8"/>
  <c r="H2289" i="8"/>
  <c r="H905" i="8"/>
  <c r="H908" i="8" s="1"/>
  <c r="H1862" i="8"/>
  <c r="H1536" i="8"/>
  <c r="H2083" i="8"/>
  <c r="H2088" i="8" s="1"/>
  <c r="H4346" i="8"/>
  <c r="H3671" i="8"/>
  <c r="H1597" i="8"/>
  <c r="H2069" i="8"/>
  <c r="H1861" i="8"/>
  <c r="H1866" i="8" s="1"/>
  <c r="H3179" i="8"/>
  <c r="H3182" i="8" s="1"/>
  <c r="H3090" i="8"/>
  <c r="H3091" i="8"/>
  <c r="H2127" i="8"/>
  <c r="H3653" i="8"/>
  <c r="H635" i="8"/>
  <c r="H636" i="8"/>
  <c r="H3651" i="8"/>
  <c r="H1663" i="8"/>
  <c r="H1664" i="8" s="1"/>
  <c r="H924" i="8"/>
  <c r="H4429" i="8"/>
  <c r="H1191" i="8"/>
  <c r="H1193" i="8" s="1"/>
  <c r="H348" i="8"/>
  <c r="H2225" i="8"/>
  <c r="H1945" i="8"/>
  <c r="H1946" i="8" s="1"/>
  <c r="H3638" i="8"/>
  <c r="H3640" i="8" s="1"/>
  <c r="H3642" i="8" s="1"/>
  <c r="H522" i="8"/>
  <c r="H3808" i="8"/>
  <c r="H3310" i="8"/>
  <c r="H666" i="8"/>
  <c r="H3257" i="8"/>
  <c r="H4343" i="8"/>
  <c r="H4345" i="8" s="1"/>
  <c r="H3221" i="8"/>
  <c r="H2177" i="8"/>
  <c r="H4063" i="8"/>
  <c r="H886" i="8"/>
  <c r="H2099" i="8"/>
  <c r="K188" i="1"/>
  <c r="H188" i="1"/>
  <c r="H1188" i="8"/>
  <c r="H1194" i="8" s="1"/>
  <c r="H2131" i="8"/>
  <c r="H1658" i="8"/>
  <c r="H1708" i="8"/>
  <c r="H3153" i="8"/>
  <c r="H3322" i="8"/>
  <c r="H3325" i="8" s="1"/>
  <c r="H1426" i="8"/>
  <c r="H1427" i="8" s="1"/>
  <c r="H1552" i="8"/>
  <c r="H1787" i="8"/>
  <c r="H1631" i="8"/>
  <c r="H1632" i="8" s="1"/>
  <c r="H4403" i="8"/>
  <c r="H3416" i="8"/>
  <c r="H3232" i="8"/>
  <c r="H2292" i="8"/>
  <c r="H2294" i="8" s="1"/>
  <c r="H3143" i="8"/>
  <c r="H3142" i="8"/>
  <c r="H3728" i="8"/>
  <c r="H1523" i="8"/>
  <c r="H2147" i="8"/>
  <c r="H1537" i="8"/>
  <c r="H1334" i="8"/>
  <c r="H2211" i="8"/>
  <c r="H2212" i="8" s="1"/>
  <c r="H4011" i="8"/>
  <c r="H4012" i="8" s="1"/>
  <c r="H1917" i="8"/>
  <c r="H1920" i="8" s="1"/>
  <c r="H3685" i="8"/>
  <c r="H4428" i="8"/>
  <c r="H4430" i="8" s="1"/>
  <c r="H1711" i="8"/>
  <c r="H1712" i="8" s="1"/>
  <c r="H4112" i="8"/>
  <c r="H1918" i="8"/>
  <c r="H1919" i="8" s="1"/>
  <c r="H830" i="8"/>
  <c r="H836" i="8" s="1"/>
  <c r="H4202" i="8"/>
  <c r="H4204" i="8" s="1"/>
  <c r="H4206" i="8" s="1"/>
  <c r="H1085" i="8"/>
  <c r="H1087" i="8" s="1"/>
  <c r="H1089" i="8" s="1"/>
  <c r="H1773" i="8"/>
  <c r="H674" i="8"/>
  <c r="H1617" i="8"/>
  <c r="H1618" i="8" s="1"/>
  <c r="H665" i="8"/>
  <c r="H3670" i="8"/>
  <c r="H2254" i="8"/>
  <c r="H2259" i="8" s="1"/>
  <c r="H1504" i="8"/>
  <c r="H3374" i="8"/>
  <c r="H3377" i="8" s="1"/>
  <c r="H1679" i="8"/>
  <c r="H3478" i="8"/>
  <c r="H3793" i="8"/>
  <c r="H2273" i="8"/>
  <c r="H1676" i="8"/>
  <c r="H654" i="8"/>
  <c r="H4330" i="8"/>
  <c r="H1022" i="8"/>
  <c r="H1030" i="8" s="1"/>
  <c r="H4402" i="8"/>
  <c r="H4404" i="8" s="1"/>
  <c r="H691" i="8"/>
  <c r="H1027" i="8"/>
  <c r="H1029" i="8" s="1"/>
  <c r="H1352" i="8"/>
  <c r="H3746" i="8"/>
  <c r="H3517" i="8"/>
  <c r="H3519" i="8" s="1"/>
  <c r="H1058" i="8"/>
  <c r="H1060" i="8" s="1"/>
  <c r="H3637" i="8"/>
  <c r="H669" i="8"/>
  <c r="H1877" i="8"/>
  <c r="H1438" i="8"/>
  <c r="H1439" i="8" s="1"/>
  <c r="H1600" i="8"/>
  <c r="H4257" i="8"/>
  <c r="H4256" i="8"/>
  <c r="H3698" i="8"/>
  <c r="H3652" i="8"/>
  <c r="H1814" i="8"/>
  <c r="H2162" i="8"/>
  <c r="H1026" i="8"/>
  <c r="H2269" i="8"/>
  <c r="H1691" i="8"/>
  <c r="H3684" i="8"/>
  <c r="H3689" i="8" s="1"/>
  <c r="H619" i="8"/>
  <c r="H4127" i="8"/>
  <c r="H3169" i="8"/>
  <c r="H1958" i="8"/>
  <c r="H1959" i="8" s="1"/>
  <c r="H1961" i="8" s="1"/>
  <c r="H4137" i="8"/>
  <c r="H4138" i="8" s="1"/>
  <c r="H1338" i="8"/>
  <c r="H1340" i="8" s="1"/>
  <c r="H1929" i="8"/>
  <c r="H1933" i="8" s="1"/>
  <c r="H2194" i="8"/>
  <c r="H670" i="8"/>
  <c r="H520" i="8"/>
  <c r="H686" i="8"/>
  <c r="H743" i="8"/>
  <c r="H953" i="8"/>
  <c r="H960" i="8" s="1"/>
  <c r="H3129" i="8"/>
  <c r="H3131" i="8" s="1"/>
  <c r="H3133" i="8" s="1"/>
  <c r="H3125" i="8" s="1"/>
  <c r="H3130" i="8"/>
  <c r="H1904" i="8"/>
  <c r="H1907" i="8" s="1"/>
  <c r="H1908" i="8" s="1"/>
  <c r="H1366" i="8"/>
  <c r="H1368" i="8" s="1"/>
  <c r="H2163" i="8"/>
  <c r="H2142" i="8"/>
  <c r="H2224" i="8"/>
  <c r="H2291" i="8"/>
  <c r="H1533" i="8"/>
  <c r="H1540" i="8" s="1"/>
  <c r="H615" i="8"/>
  <c r="H620" i="8" s="1"/>
  <c r="H621" i="8" s="1"/>
  <c r="H624" i="8" s="1"/>
  <c r="H625" i="8" s="1"/>
  <c r="H3807" i="8"/>
  <c r="H2160" i="8"/>
  <c r="H1644" i="8"/>
  <c r="H2175" i="8"/>
  <c r="H1102" i="8"/>
  <c r="H1104" i="8" s="1"/>
  <c r="H767" i="8"/>
  <c r="H3323" i="8"/>
  <c r="H2178" i="8"/>
  <c r="H2180" i="8" s="1"/>
  <c r="H1176" i="8"/>
  <c r="H3700" i="8"/>
  <c r="H4152" i="8"/>
  <c r="H768" i="8"/>
  <c r="H769" i="8" s="1"/>
  <c r="H3429" i="8"/>
  <c r="H687" i="8"/>
  <c r="H1889" i="8"/>
  <c r="H3400" i="8"/>
  <c r="H959" i="8"/>
  <c r="H2098" i="8"/>
  <c r="H1116" i="8"/>
  <c r="H1118" i="8" s="1"/>
  <c r="H1120" i="8" s="1"/>
  <c r="H1123" i="8" s="1"/>
  <c r="H1124" i="8" s="1"/>
  <c r="H2191" i="8"/>
  <c r="H1088" i="8"/>
  <c r="H938" i="8"/>
  <c r="H1538" i="8"/>
  <c r="H1517" i="8"/>
  <c r="H1768" i="8"/>
  <c r="H1629" i="8"/>
  <c r="H1633" i="8" s="1"/>
  <c r="H1011" i="8"/>
  <c r="H1012" i="8" s="1"/>
  <c r="H2101" i="8"/>
  <c r="H1502" i="8"/>
  <c r="H689" i="8"/>
  <c r="H1321" i="8"/>
  <c r="H1325" i="8" s="1"/>
  <c r="H1326" i="8" s="1"/>
  <c r="H525" i="8"/>
  <c r="H3038" i="8"/>
  <c r="H3039" i="8"/>
  <c r="H1892" i="8"/>
  <c r="H785" i="8"/>
  <c r="H800" i="8"/>
  <c r="H869" i="8"/>
  <c r="H4174" i="8"/>
  <c r="H1674" i="8"/>
  <c r="H817" i="8"/>
  <c r="H1835" i="8"/>
  <c r="H1999" i="8"/>
  <c r="H786" i="8"/>
  <c r="H1553" i="8"/>
  <c r="H1985" i="8"/>
  <c r="H3731" i="8"/>
  <c r="H3733" i="8" s="1"/>
  <c r="H1322" i="8"/>
  <c r="H1324" i="8" s="1"/>
  <c r="H4049" i="8"/>
  <c r="H3453" i="8"/>
  <c r="H3454" i="8" s="1"/>
  <c r="H3456" i="8" s="1"/>
  <c r="H4139" i="8"/>
  <c r="H4140" i="8" s="1"/>
  <c r="H1628" i="8"/>
  <c r="H672" i="8"/>
  <c r="H675" i="8" s="1"/>
  <c r="H2002" i="8"/>
  <c r="H3714" i="8"/>
  <c r="H1863" i="8"/>
  <c r="H4052" i="8"/>
  <c r="H3544" i="8"/>
  <c r="H1337" i="8"/>
  <c r="H1341" i="8" s="1"/>
  <c r="H1342" i="8" s="1"/>
  <c r="H1344" i="8" s="1"/>
  <c r="H1333" i="8" s="1"/>
  <c r="H816" i="8"/>
  <c r="H1789" i="8"/>
  <c r="H888" i="8"/>
  <c r="H3686" i="8"/>
  <c r="H1164" i="8"/>
  <c r="H798" i="8"/>
  <c r="H1833" i="8"/>
  <c r="H1786" i="8"/>
  <c r="H1788" i="8" s="1"/>
  <c r="H1790" i="8" s="1"/>
  <c r="H3529" i="8"/>
  <c r="H3533" i="8" s="1"/>
  <c r="H4075" i="8"/>
  <c r="H3270" i="8"/>
  <c r="H3272" i="8" s="1"/>
  <c r="H3274" i="8" s="1"/>
  <c r="H3277" i="8" s="1"/>
  <c r="H3278" i="8" s="1"/>
  <c r="H3699" i="8"/>
  <c r="H3703" i="8" s="1"/>
  <c r="H3260" i="8"/>
  <c r="H3667" i="8"/>
  <c r="H2226" i="8"/>
  <c r="H3402" i="8"/>
  <c r="H3403" i="8"/>
  <c r="H1690" i="8"/>
  <c r="H922" i="8"/>
  <c r="H928" i="8" s="1"/>
  <c r="H2257" i="8"/>
  <c r="H2258" i="8" s="1"/>
  <c r="H2260" i="8" s="1"/>
  <c r="H2192" i="8"/>
  <c r="H3181" i="8"/>
  <c r="H3183" i="8" s="1"/>
  <c r="H976" i="8"/>
  <c r="H978" i="8" s="1"/>
  <c r="H980" i="8" s="1"/>
  <c r="H1598" i="8"/>
  <c r="H2288" i="8"/>
  <c r="H3635" i="8"/>
  <c r="H3641" i="8" s="1"/>
  <c r="H1767" i="8"/>
  <c r="H3013" i="8"/>
  <c r="H3014" i="8" s="1"/>
  <c r="H3012" i="8"/>
  <c r="H1693" i="8"/>
  <c r="H1675" i="8"/>
  <c r="H4001" i="8"/>
  <c r="H4002" i="8" s="1"/>
  <c r="H3878" i="8"/>
  <c r="H1830" i="8"/>
  <c r="H4229" i="8"/>
  <c r="H1353" i="8"/>
  <c r="H1355" i="8" s="1"/>
  <c r="H1506" i="8"/>
  <c r="H3974" i="8"/>
  <c r="H1645" i="8"/>
  <c r="H3194" i="8"/>
  <c r="H3195" i="8"/>
  <c r="H781" i="8"/>
  <c r="H788" i="8" s="1"/>
  <c r="H3879" i="8"/>
  <c r="H2227" i="8"/>
  <c r="H1642" i="8"/>
  <c r="H3516" i="8"/>
  <c r="H3520" i="8" s="1"/>
  <c r="H1772" i="8"/>
  <c r="H1848" i="8"/>
  <c r="H1851" i="8" s="1"/>
  <c r="H1503" i="8"/>
  <c r="H870" i="8"/>
  <c r="H4242" i="8"/>
  <c r="H4149" i="8"/>
  <c r="H1931" i="8"/>
  <c r="H3154" i="8"/>
  <c r="H2145" i="8"/>
  <c r="H2241" i="8"/>
  <c r="H2243" i="8" s="1"/>
  <c r="H2245" i="8" s="1"/>
  <c r="H2248" i="8" s="1"/>
  <c r="H2249" i="8" s="1"/>
  <c r="H1659" i="8"/>
  <c r="H3286" i="8"/>
  <c r="H4401" i="8"/>
  <c r="H4405" i="8" s="1"/>
  <c r="H4356" i="8"/>
  <c r="H4358" i="8" s="1"/>
  <c r="H4360" i="8" s="1"/>
  <c r="H4363" i="8" s="1"/>
  <c r="H4364" i="8" s="1"/>
  <c r="H521" i="8"/>
  <c r="H803" i="8"/>
  <c r="H1229" i="8"/>
  <c r="H1241" i="8" s="1"/>
  <c r="H1891" i="8"/>
  <c r="H802" i="8"/>
  <c r="H907" i="8"/>
  <c r="H3362" i="8"/>
  <c r="H1878" i="8"/>
  <c r="H3117" i="8"/>
  <c r="H3116" i="8"/>
  <c r="H3490" i="8"/>
  <c r="H3494" i="8" s="1"/>
  <c r="H3542" i="8"/>
  <c r="H3546" i="8" s="1"/>
  <c r="H3747" i="8"/>
  <c r="H3749" i="8" s="1"/>
  <c r="H4228" i="8"/>
  <c r="H4230" i="8" s="1"/>
  <c r="H4232" i="8" s="1"/>
  <c r="H4235" i="8" s="1"/>
  <c r="H4236" i="8" s="1"/>
  <c r="H1583" i="8"/>
  <c r="H1554" i="8"/>
  <c r="H1774" i="8"/>
  <c r="H2085" i="8"/>
  <c r="H2087" i="8" s="1"/>
  <c r="H2274" i="8"/>
  <c r="H2276" i="8" s="1"/>
  <c r="H1565" i="8"/>
  <c r="H2144" i="8"/>
  <c r="H744" i="8"/>
  <c r="H3335" i="8"/>
  <c r="H3337" i="8" s="1"/>
  <c r="H3339" i="8" s="1"/>
  <c r="H3348" i="8"/>
  <c r="H3350" i="8" s="1"/>
  <c r="H3352" i="8" s="1"/>
  <c r="H3354" i="8" s="1"/>
  <c r="H3346" i="8" s="1"/>
  <c r="H1661" i="8"/>
  <c r="H3732" i="8"/>
  <c r="H4150" i="8"/>
  <c r="H4151" i="8" s="1"/>
  <c r="H4153" i="8" s="1"/>
  <c r="H1846" i="8"/>
  <c r="H2222" i="8"/>
  <c r="H3297" i="8"/>
  <c r="H3298" i="8" s="1"/>
  <c r="H3300" i="8" s="1"/>
  <c r="H1849" i="8"/>
  <c r="H3776" i="8"/>
  <c r="H3782" i="8" s="1"/>
  <c r="H3104" i="8"/>
  <c r="H3103" i="8"/>
  <c r="H1815" i="8"/>
  <c r="H1819" i="8" s="1"/>
  <c r="H3530" i="8"/>
  <c r="H1799" i="8"/>
  <c r="H1804" i="8" s="1"/>
  <c r="H1151" i="8"/>
  <c r="H1150" i="8"/>
  <c r="H1152" i="8" s="1"/>
  <c r="H690" i="8"/>
  <c r="H1930" i="8"/>
  <c r="H2238" i="8"/>
  <c r="H2244" i="8" s="1"/>
  <c r="H3623" i="8"/>
  <c r="H3624" i="8" s="1"/>
  <c r="H1100" i="8"/>
  <c r="H1105" i="8" s="1"/>
  <c r="H762" i="8"/>
  <c r="H4427" i="8"/>
  <c r="H4431" i="8" s="1"/>
  <c r="H4102" i="8"/>
  <c r="H1429" i="8"/>
  <c r="H961" i="8"/>
  <c r="H964" i="8" s="1"/>
  <c r="H965" i="8" s="1"/>
  <c r="H4064" i="8"/>
  <c r="H1417" i="8"/>
  <c r="H1061" i="8"/>
  <c r="H1106" i="8"/>
  <c r="H2932" i="8"/>
  <c r="H4103" i="8"/>
  <c r="H3717" i="8"/>
  <c r="H3355" i="8"/>
  <c r="H3356" i="8" s="1"/>
  <c r="H3186" i="8"/>
  <c r="H3187" i="8" s="1"/>
  <c r="H3302" i="8"/>
  <c r="H3294" i="8" s="1"/>
  <c r="H3303" i="8"/>
  <c r="H3304" i="8" s="1"/>
  <c r="H1964" i="8"/>
  <c r="H1965" i="8" s="1"/>
  <c r="H4234" i="8"/>
  <c r="H4226" i="8" s="1"/>
  <c r="H1122" i="8"/>
  <c r="H1114" i="8" s="1"/>
  <c r="H3251" i="8"/>
  <c r="H3252" i="8" s="1"/>
  <c r="I188" i="1"/>
  <c r="J188" i="1" s="1"/>
  <c r="L188" i="1"/>
  <c r="I334" i="1"/>
  <c r="J334" i="1" s="1"/>
  <c r="I187" i="1"/>
  <c r="J187" i="1" s="1"/>
  <c r="L187" i="1"/>
  <c r="I186" i="1"/>
  <c r="J186" i="1" s="1"/>
  <c r="L358" i="1"/>
  <c r="I358" i="1"/>
  <c r="J358" i="1" s="1"/>
  <c r="I200" i="1"/>
  <c r="J200" i="1" s="1"/>
  <c r="L200" i="1"/>
  <c r="I217" i="1"/>
  <c r="J217" i="1" s="1"/>
  <c r="L217" i="1"/>
  <c r="I176" i="1"/>
  <c r="J176" i="1" s="1"/>
  <c r="L176" i="1"/>
  <c r="I191" i="1"/>
  <c r="J191" i="1" s="1"/>
  <c r="L191" i="1"/>
  <c r="H3069" i="8"/>
  <c r="H3070" i="8" s="1"/>
  <c r="H3068" i="8"/>
  <c r="H3060" i="8" s="1"/>
  <c r="H3056" i="8"/>
  <c r="H3057" i="8" s="1"/>
  <c r="L192" i="1"/>
  <c r="H2990" i="8"/>
  <c r="H2981" i="8" s="1"/>
  <c r="H2991" i="8"/>
  <c r="H2992" i="8" s="1"/>
  <c r="I356" i="1"/>
  <c r="J356" i="1" s="1"/>
  <c r="L356" i="1"/>
  <c r="I794" i="1"/>
  <c r="J794" i="1" s="1"/>
  <c r="I190" i="1"/>
  <c r="J190" i="1" s="1"/>
  <c r="L190" i="1"/>
  <c r="F418" i="64"/>
  <c r="H3381" i="8" l="1"/>
  <c r="H3382" i="8" s="1"/>
  <c r="H3380" i="8"/>
  <c r="H3372" i="8" s="1"/>
  <c r="H1329" i="8"/>
  <c r="H1330" i="8" s="1"/>
  <c r="H1328" i="8"/>
  <c r="H1320" i="8" s="1"/>
  <c r="H770" i="8"/>
  <c r="H1776" i="8"/>
  <c r="H2228" i="8"/>
  <c r="H4175" i="8"/>
  <c r="H4177" i="8" s="1"/>
  <c r="H1894" i="8"/>
  <c r="H3324" i="8"/>
  <c r="H3750" i="8"/>
  <c r="H3751" i="8" s="1"/>
  <c r="H3672" i="8"/>
  <c r="H3674" i="8" s="1"/>
  <c r="H3734" i="8"/>
  <c r="H3823" i="8"/>
  <c r="H3825" i="8" s="1"/>
  <c r="H2072" i="8"/>
  <c r="H2074" i="8" s="1"/>
  <c r="H1588" i="8"/>
  <c r="H1589" i="8" s="1"/>
  <c r="H3027" i="8"/>
  <c r="H3029" i="8" s="1"/>
  <c r="H3021" i="8" s="1"/>
  <c r="H2181" i="8"/>
  <c r="H2182" i="8" s="1"/>
  <c r="H3220" i="8"/>
  <c r="H3222" i="8" s="1"/>
  <c r="H3079" i="8"/>
  <c r="H3735" i="8"/>
  <c r="H3738" i="8" s="1"/>
  <c r="H3739" i="8" s="1"/>
  <c r="H771" i="8"/>
  <c r="H773" i="8" s="1"/>
  <c r="H760" i="8" s="1"/>
  <c r="H3493" i="8"/>
  <c r="H4243" i="8"/>
  <c r="H3233" i="8"/>
  <c r="H3235" i="8" s="1"/>
  <c r="H890" i="8"/>
  <c r="H1696" i="8"/>
  <c r="H3363" i="8"/>
  <c r="H3365" i="8" s="1"/>
  <c r="H656" i="8"/>
  <c r="H2133" i="8"/>
  <c r="H3389" i="8"/>
  <c r="H3105" i="8"/>
  <c r="H1665" i="8"/>
  <c r="H1666" i="8" s="1"/>
  <c r="H1668" i="8" s="1"/>
  <c r="H1657" i="8" s="1"/>
  <c r="H1775" i="8"/>
  <c r="H1777" i="8" s="1"/>
  <c r="H1780" i="8" s="1"/>
  <c r="H1781" i="8" s="1"/>
  <c r="H872" i="8"/>
  <c r="H875" i="8" s="1"/>
  <c r="H876" i="8" s="1"/>
  <c r="H3673" i="8"/>
  <c r="H4077" i="8"/>
  <c r="H4051" i="8"/>
  <c r="H4053" i="8" s="1"/>
  <c r="H4056" i="8" s="1"/>
  <c r="H4057" i="8" s="1"/>
  <c r="H1990" i="8"/>
  <c r="H940" i="8"/>
  <c r="H1354" i="8"/>
  <c r="H1356" i="8" s="1"/>
  <c r="H4347" i="8"/>
  <c r="H4349" i="8" s="1"/>
  <c r="H4341" i="8" s="1"/>
  <c r="H3810" i="8"/>
  <c r="H637" i="8"/>
  <c r="H3092" i="8"/>
  <c r="H3095" i="8" s="1"/>
  <c r="H3096" i="8" s="1"/>
  <c r="H694" i="8"/>
  <c r="H3532" i="8"/>
  <c r="H3534" i="8" s="1"/>
  <c r="H3536" i="8" s="1"/>
  <c r="H3528" i="8" s="1"/>
  <c r="H1852" i="8"/>
  <c r="H1879" i="8"/>
  <c r="H1881" i="8" s="1"/>
  <c r="H1649" i="8"/>
  <c r="H1650" i="8" s="1"/>
  <c r="H1507" i="8"/>
  <c r="H3880" i="8"/>
  <c r="H1865" i="8"/>
  <c r="H1867" i="8" s="1"/>
  <c r="H1508" i="8"/>
  <c r="H1509" i="8" s="1"/>
  <c r="H3811" i="8"/>
  <c r="H752" i="8"/>
  <c r="H753" i="8" s="1"/>
  <c r="H3795" i="8"/>
  <c r="H3797" i="8" s="1"/>
  <c r="H3259" i="8"/>
  <c r="H3261" i="8" s="1"/>
  <c r="H3781" i="8"/>
  <c r="H3285" i="8"/>
  <c r="H3558" i="8"/>
  <c r="H3560" i="8" s="1"/>
  <c r="H3563" i="8" s="1"/>
  <c r="H3564" i="8" s="1"/>
  <c r="H3342" i="8"/>
  <c r="H3343" i="8" s="1"/>
  <c r="H3341" i="8"/>
  <c r="H3333" i="8" s="1"/>
  <c r="H3108" i="8"/>
  <c r="H3109" i="8" s="1"/>
  <c r="H3107" i="8"/>
  <c r="H3099" i="8" s="1"/>
  <c r="H1168" i="8"/>
  <c r="H1169" i="8" s="1"/>
  <c r="H3134" i="8"/>
  <c r="H3135" i="8" s="1"/>
  <c r="H3185" i="8"/>
  <c r="H3177" i="8" s="1"/>
  <c r="H3326" i="8"/>
  <c r="H4258" i="8"/>
  <c r="H4260" i="8" s="1"/>
  <c r="H4252" i="8" s="1"/>
  <c r="H4406" i="8"/>
  <c r="H4409" i="8" s="1"/>
  <c r="H4410" i="8" s="1"/>
  <c r="H1921" i="8"/>
  <c r="H910" i="8"/>
  <c r="H912" i="8" s="1"/>
  <c r="H898" i="8" s="1"/>
  <c r="H3170" i="8"/>
  <c r="H3172" i="8" s="1"/>
  <c r="H3164" i="8" s="1"/>
  <c r="H349" i="8"/>
  <c r="H352" i="8" s="1"/>
  <c r="H353" i="8" s="1"/>
  <c r="H1991" i="8"/>
  <c r="H3417" i="8"/>
  <c r="H3495" i="8"/>
  <c r="H3497" i="8" s="1"/>
  <c r="H3489" i="8" s="1"/>
  <c r="H840" i="8"/>
  <c r="H841" i="8" s="1"/>
  <c r="H4362" i="8"/>
  <c r="H4354" i="8" s="1"/>
  <c r="H3521" i="8"/>
  <c r="H3524" i="8" s="1"/>
  <c r="H3525" i="8" s="1"/>
  <c r="H4079" i="8"/>
  <c r="H1634" i="8"/>
  <c r="H1637" i="8" s="1"/>
  <c r="H1638" i="8" s="1"/>
  <c r="H942" i="8"/>
  <c r="H3573" i="8"/>
  <c r="H4128" i="8"/>
  <c r="H4130" i="8" s="1"/>
  <c r="H4123" i="8" s="1"/>
  <c r="H1369" i="8"/>
  <c r="H3391" i="8"/>
  <c r="H4066" i="8"/>
  <c r="H4068" i="8" s="1"/>
  <c r="H4060" i="8" s="1"/>
  <c r="H3040" i="8"/>
  <c r="H3043" i="8" s="1"/>
  <c r="H3044" i="8" s="1"/>
  <c r="H1441" i="8"/>
  <c r="H4014" i="8"/>
  <c r="H3144" i="8"/>
  <c r="H1031" i="8"/>
  <c r="H1242" i="8"/>
  <c r="H1245" i="8" s="1"/>
  <c r="H1246" i="8" s="1"/>
  <c r="L215" i="1"/>
  <c r="H3523" i="8"/>
  <c r="H3515" i="8" s="1"/>
  <c r="H616" i="1"/>
  <c r="H3645" i="8"/>
  <c r="H3646" i="8" s="1"/>
  <c r="H982" i="8"/>
  <c r="H968" i="8" s="1"/>
  <c r="H983" i="8"/>
  <c r="H984" i="8" s="1"/>
  <c r="H4261" i="8"/>
  <c r="H4262" i="8" s="1"/>
  <c r="H351" i="8"/>
  <c r="H341" i="8" s="1"/>
  <c r="H1155" i="8"/>
  <c r="H1156" i="8" s="1"/>
  <c r="H4055" i="8"/>
  <c r="H4047" i="8" s="1"/>
  <c r="H945" i="8"/>
  <c r="H946" i="8" s="1"/>
  <c r="H944" i="8"/>
  <c r="H936" i="8" s="1"/>
  <c r="H3094" i="8"/>
  <c r="H3086" i="8" s="1"/>
  <c r="H1371" i="8"/>
  <c r="H1363" i="8" s="1"/>
  <c r="L205" i="1"/>
  <c r="H3368" i="8"/>
  <c r="H3369" i="8" s="1"/>
  <c r="H2263" i="8"/>
  <c r="H2264" i="8" s="1"/>
  <c r="H2262" i="8"/>
  <c r="H2252" i="8" s="1"/>
  <c r="H3042" i="8"/>
  <c r="H3034" i="8" s="1"/>
  <c r="H756" i="8"/>
  <c r="H757" i="8" s="1"/>
  <c r="H2196" i="8"/>
  <c r="H1963" i="8"/>
  <c r="H1955" i="8" s="1"/>
  <c r="H4208" i="8"/>
  <c r="H4200" i="8" s="1"/>
  <c r="H4209" i="8"/>
  <c r="H4210" i="8" s="1"/>
  <c r="H697" i="1"/>
  <c r="H4017" i="8"/>
  <c r="H4018" i="8" s="1"/>
  <c r="H3147" i="8"/>
  <c r="H3148" i="8" s="1"/>
  <c r="H1033" i="8"/>
  <c r="H1021" i="8" s="1"/>
  <c r="H1034" i="8"/>
  <c r="H1035" i="8" s="1"/>
  <c r="H3287" i="8"/>
  <c r="H3030" i="8"/>
  <c r="H3031" i="8" s="1"/>
  <c r="H540" i="1"/>
  <c r="H4026" i="8"/>
  <c r="H4025" i="8"/>
  <c r="H4274" i="8"/>
  <c r="H4275" i="8" s="1"/>
  <c r="H4273" i="8"/>
  <c r="H4265" i="8" s="1"/>
  <c r="H542" i="1"/>
  <c r="H3055" i="8"/>
  <c r="H3047" i="8" s="1"/>
  <c r="I189" i="1"/>
  <c r="J189" i="1" s="1"/>
  <c r="L189" i="1"/>
  <c r="H1092" i="8"/>
  <c r="H1093" i="8" s="1"/>
  <c r="H1091" i="8"/>
  <c r="H1083" i="8" s="1"/>
  <c r="H4142" i="8"/>
  <c r="H4135" i="8" s="1"/>
  <c r="H913" i="8"/>
  <c r="H914" i="8" s="1"/>
  <c r="H929" i="8"/>
  <c r="H3420" i="8"/>
  <c r="H3421" i="8" s="1"/>
  <c r="H3419" i="8"/>
  <c r="H3411" i="8" s="1"/>
  <c r="H3990" i="8"/>
  <c r="H3989" i="8"/>
  <c r="H3367" i="8"/>
  <c r="H3359" i="8" s="1"/>
  <c r="H3644" i="8"/>
  <c r="H3633" i="8" s="1"/>
  <c r="H874" i="8"/>
  <c r="H860" i="8" s="1"/>
  <c r="H1836" i="8"/>
  <c r="H1837" i="8" s="1"/>
  <c r="H640" i="8"/>
  <c r="H641" i="8" s="1"/>
  <c r="H639" i="8"/>
  <c r="H628" i="8" s="1"/>
  <c r="H3575" i="8"/>
  <c r="H3567" i="8" s="1"/>
  <c r="H3576" i="8"/>
  <c r="H3577" i="8" s="1"/>
  <c r="H2073" i="8"/>
  <c r="H4191" i="8"/>
  <c r="H4193" i="8" s="1"/>
  <c r="H4195" i="8" s="1"/>
  <c r="H4184" i="8" s="1"/>
  <c r="K662" i="1"/>
  <c r="H1154" i="8"/>
  <c r="H1146" i="8" s="1"/>
  <c r="H3016" i="8"/>
  <c r="H3008" i="8" s="1"/>
  <c r="H3017" i="8"/>
  <c r="H3018" i="8" s="1"/>
  <c r="H1431" i="8"/>
  <c r="H1424" i="8" s="1"/>
  <c r="H1432" i="8"/>
  <c r="H1433" i="8" s="1"/>
  <c r="H3537" i="8"/>
  <c r="H3538" i="8" s="1"/>
  <c r="H323" i="1"/>
  <c r="H1883" i="8"/>
  <c r="H1874" i="8" s="1"/>
  <c r="H755" i="8"/>
  <c r="H741" i="8" s="1"/>
  <c r="L185" i="1"/>
  <c r="H3276" i="8"/>
  <c r="H3268" i="8" s="1"/>
  <c r="H4143" i="8"/>
  <c r="H4144" i="8" s="1"/>
  <c r="H1884" i="8"/>
  <c r="H1885" i="8" s="1"/>
  <c r="H1108" i="8"/>
  <c r="H1097" i="8" s="1"/>
  <c r="H4155" i="8"/>
  <c r="H4147" i="8" s="1"/>
  <c r="H4156" i="8"/>
  <c r="H4157" i="8" s="1"/>
  <c r="H1792" i="8"/>
  <c r="H1784" i="8" s="1"/>
  <c r="H1793" i="8"/>
  <c r="H1794" i="8" s="1"/>
  <c r="H3718" i="8"/>
  <c r="H3719" i="8" s="1"/>
  <c r="H623" i="8"/>
  <c r="H614" i="8" s="1"/>
  <c r="H3480" i="8"/>
  <c r="H3482" i="8" s="1"/>
  <c r="H3433" i="8"/>
  <c r="H3434" i="8" s="1"/>
  <c r="H3432" i="8"/>
  <c r="H3424" i="8" s="1"/>
  <c r="H3562" i="8"/>
  <c r="H3554" i="8" s="1"/>
  <c r="H3626" i="8"/>
  <c r="H1572" i="8"/>
  <c r="H3882" i="8"/>
  <c r="H1697" i="8"/>
  <c r="H1698" i="8" s="1"/>
  <c r="H804" i="8"/>
  <c r="H805" i="8" s="1"/>
  <c r="H3545" i="8"/>
  <c r="H3547" i="8" s="1"/>
  <c r="H1681" i="8"/>
  <c r="H787" i="8"/>
  <c r="H789" i="8" s="1"/>
  <c r="H2149" i="8"/>
  <c r="H695" i="8"/>
  <c r="H2277" i="8"/>
  <c r="H2278" i="8" s="1"/>
  <c r="H4432" i="8"/>
  <c r="H530" i="8"/>
  <c r="H1604" i="8"/>
  <c r="H1605" i="8" s="1"/>
  <c r="H1713" i="8"/>
  <c r="H1714" i="8" s="1"/>
  <c r="H3783" i="8"/>
  <c r="H1758" i="8"/>
  <c r="H1759" i="8" s="1"/>
  <c r="H2132" i="8"/>
  <c r="H1680" i="8"/>
  <c r="H1405" i="8"/>
  <c r="H2247" i="8"/>
  <c r="H2237" i="8" s="1"/>
  <c r="H143" i="1"/>
  <c r="H1853" i="8"/>
  <c r="H3196" i="8"/>
  <c r="H2295" i="8"/>
  <c r="H2296" i="8" s="1"/>
  <c r="H2006" i="8"/>
  <c r="H2007" i="8" s="1"/>
  <c r="H1893" i="8"/>
  <c r="H1895" i="8" s="1"/>
  <c r="H1014" i="8"/>
  <c r="H1524" i="8"/>
  <c r="H1525" i="8" s="1"/>
  <c r="H3702" i="8"/>
  <c r="H3704" i="8" s="1"/>
  <c r="H529" i="8"/>
  <c r="H4332" i="8"/>
  <c r="H4334" i="8" s="1"/>
  <c r="H676" i="8"/>
  <c r="H677" i="8" s="1"/>
  <c r="H3155" i="8"/>
  <c r="H3157" i="8" s="1"/>
  <c r="H889" i="8"/>
  <c r="H891" i="8" s="1"/>
  <c r="H1195" i="8"/>
  <c r="H3657" i="8"/>
  <c r="H1571" i="8"/>
  <c r="H2213" i="8"/>
  <c r="H2214" i="8" s="1"/>
  <c r="H2197" i="8"/>
  <c r="H3975" i="8"/>
  <c r="H3765" i="8"/>
  <c r="H3767" i="8" s="1"/>
  <c r="H2118" i="8"/>
  <c r="H2119" i="8" s="1"/>
  <c r="H2148" i="8"/>
  <c r="H1803" i="8"/>
  <c r="H1805" i="8" s="1"/>
  <c r="H4042" i="8"/>
  <c r="H4034" i="8" s="1"/>
  <c r="H4043" i="8"/>
  <c r="H4044" i="8" s="1"/>
  <c r="H655" i="8"/>
  <c r="H657" i="8" s="1"/>
  <c r="H659" i="8" s="1"/>
  <c r="H645" i="8" s="1"/>
  <c r="H1932" i="8"/>
  <c r="H1934" i="8" s="1"/>
  <c r="H2229" i="8"/>
  <c r="H2230" i="8" s="1"/>
  <c r="H2089" i="8"/>
  <c r="H3118" i="8"/>
  <c r="H4245" i="8"/>
  <c r="H3404" i="8"/>
  <c r="H3688" i="8"/>
  <c r="H3690" i="8" s="1"/>
  <c r="H819" i="8"/>
  <c r="H821" i="8" s="1"/>
  <c r="H1555" i="8"/>
  <c r="H1178" i="8"/>
  <c r="H1180" i="8" s="1"/>
  <c r="H2164" i="8"/>
  <c r="H4114" i="8"/>
  <c r="H4116" i="8" s="1"/>
  <c r="H1539" i="8"/>
  <c r="H1541" i="8" s="1"/>
  <c r="H3311" i="8"/>
  <c r="H3313" i="8" s="1"/>
  <c r="H1948" i="8"/>
  <c r="H4221" i="8"/>
  <c r="H4213" i="8" s="1"/>
  <c r="H4222" i="8"/>
  <c r="H4223" i="8" s="1"/>
  <c r="H4419" i="8"/>
  <c r="H3656" i="8"/>
  <c r="H1820" i="8"/>
  <c r="H1821" i="8" s="1"/>
  <c r="H2102" i="8"/>
  <c r="H2165" i="8"/>
  <c r="H1556" i="8"/>
  <c r="H2103" i="8"/>
  <c r="H1622" i="8"/>
  <c r="H1612" i="8" s="1"/>
  <c r="H1623" i="8"/>
  <c r="H1624" i="8" s="1"/>
  <c r="H2934" i="8"/>
  <c r="H2925" i="8" s="1"/>
  <c r="H3146" i="8"/>
  <c r="H3138" i="8" s="1"/>
  <c r="H4408" i="8"/>
  <c r="H4400" i="8" s="1"/>
  <c r="H1345" i="8"/>
  <c r="H1346" i="8" s="1"/>
  <c r="H266" i="1"/>
  <c r="H1383" i="8"/>
  <c r="H1376" i="8" s="1"/>
  <c r="H1384" i="8"/>
  <c r="H1385" i="8" s="1"/>
  <c r="H1064" i="8"/>
  <c r="H1065" i="8" s="1"/>
  <c r="H1063" i="8"/>
  <c r="H1052" i="8" s="1"/>
  <c r="H1395" i="8"/>
  <c r="H1388" i="8" s="1"/>
  <c r="H1396" i="8"/>
  <c r="H1397" i="8" s="1"/>
  <c r="H4131" i="8"/>
  <c r="H4132" i="8" s="1"/>
  <c r="H2935" i="8"/>
  <c r="H2936" i="8" s="1"/>
  <c r="H1109" i="8"/>
  <c r="H1110" i="8" s="1"/>
  <c r="K172" i="1"/>
  <c r="H963" i="8"/>
  <c r="H949" i="8" s="1"/>
  <c r="K216" i="1"/>
  <c r="H546" i="1"/>
  <c r="H3459" i="8"/>
  <c r="H3460" i="8" s="1"/>
  <c r="H3458" i="8"/>
  <c r="H3450" i="8" s="1"/>
  <c r="H1911" i="8"/>
  <c r="H1912" i="8" s="1"/>
  <c r="H1910" i="8"/>
  <c r="H1902" i="8" s="1"/>
  <c r="H1419" i="8"/>
  <c r="H1412" i="8" s="1"/>
  <c r="H1420" i="8"/>
  <c r="H1421" i="8" s="1"/>
  <c r="H4105" i="8"/>
  <c r="H4098" i="8" s="1"/>
  <c r="H4106" i="8"/>
  <c r="H4107" i="8" s="1"/>
  <c r="H4004" i="8"/>
  <c r="H3998" i="8" s="1"/>
  <c r="H4005" i="8"/>
  <c r="H4006" i="8" s="1"/>
  <c r="Z190" i="1"/>
  <c r="X190" i="1"/>
  <c r="Y190" i="1"/>
  <c r="H272" i="1"/>
  <c r="K272" i="1"/>
  <c r="W794" i="1"/>
  <c r="X794" i="1"/>
  <c r="Y794" i="1"/>
  <c r="U794" i="1"/>
  <c r="V794" i="1"/>
  <c r="W205" i="1"/>
  <c r="V205" i="1"/>
  <c r="U205" i="1"/>
  <c r="H138" i="1"/>
  <c r="K138" i="1"/>
  <c r="W356" i="1"/>
  <c r="P356" i="1"/>
  <c r="U356" i="1"/>
  <c r="V356" i="1"/>
  <c r="Y185" i="1"/>
  <c r="X185" i="1"/>
  <c r="Z185" i="1"/>
  <c r="H514" i="1"/>
  <c r="K514" i="1"/>
  <c r="Z189" i="1"/>
  <c r="X189" i="1"/>
  <c r="Y189" i="1"/>
  <c r="H544" i="1"/>
  <c r="K544" i="1"/>
  <c r="Z192" i="1"/>
  <c r="X192" i="1"/>
  <c r="Y192" i="1"/>
  <c r="V215" i="1"/>
  <c r="U215" i="1"/>
  <c r="K543" i="1"/>
  <c r="H543" i="1"/>
  <c r="Y191" i="1"/>
  <c r="Z191" i="1"/>
  <c r="X191" i="1"/>
  <c r="S176" i="1"/>
  <c r="T176" i="1"/>
  <c r="V176" i="1"/>
  <c r="U176" i="1"/>
  <c r="U217" i="1"/>
  <c r="V217" i="1"/>
  <c r="H693" i="1"/>
  <c r="K693" i="1"/>
  <c r="S200" i="1"/>
  <c r="T200" i="1"/>
  <c r="V358" i="1"/>
  <c r="U358" i="1"/>
  <c r="P358" i="1"/>
  <c r="W358" i="1"/>
  <c r="Y186" i="1"/>
  <c r="X186" i="1"/>
  <c r="Z186" i="1"/>
  <c r="K722" i="1"/>
  <c r="H722" i="1"/>
  <c r="K585" i="1"/>
  <c r="H585" i="1"/>
  <c r="H694" i="1"/>
  <c r="K694" i="1"/>
  <c r="K411" i="1"/>
  <c r="H411" i="1"/>
  <c r="K663" i="1"/>
  <c r="H663" i="1"/>
  <c r="X187" i="1"/>
  <c r="Y187" i="1"/>
  <c r="Z187" i="1"/>
  <c r="K540" i="1"/>
  <c r="T334" i="1"/>
  <c r="W334" i="1"/>
  <c r="V334" i="1"/>
  <c r="S334" i="1"/>
  <c r="P334" i="1"/>
  <c r="U334" i="1"/>
  <c r="H668" i="1"/>
  <c r="K668" i="1"/>
  <c r="K607" i="1"/>
  <c r="H607" i="1"/>
  <c r="Y188" i="1"/>
  <c r="X188" i="1"/>
  <c r="Z188" i="1"/>
  <c r="K226" i="1"/>
  <c r="H226" i="1"/>
  <c r="H592" i="1"/>
  <c r="K592" i="1"/>
  <c r="H120" i="29"/>
  <c r="K120" i="29"/>
  <c r="K143" i="1"/>
  <c r="H581" i="1"/>
  <c r="K581" i="1"/>
  <c r="H545" i="1"/>
  <c r="K545" i="1"/>
  <c r="H129" i="1"/>
  <c r="K129" i="1"/>
  <c r="K173" i="1"/>
  <c r="H173" i="1"/>
  <c r="H139" i="1"/>
  <c r="K139" i="1"/>
  <c r="H589" i="1"/>
  <c r="K589" i="1"/>
  <c r="H393" i="1"/>
  <c r="K393" i="1"/>
  <c r="H659" i="1"/>
  <c r="K659" i="1"/>
  <c r="H759" i="1"/>
  <c r="K759" i="1"/>
  <c r="K597" i="1"/>
  <c r="H597" i="1"/>
  <c r="K219" i="1"/>
  <c r="H219" i="1"/>
  <c r="H604" i="1"/>
  <c r="K604" i="1"/>
  <c r="H220" i="1"/>
  <c r="K220" i="1"/>
  <c r="H227" i="1"/>
  <c r="K227" i="1"/>
  <c r="H274" i="1"/>
  <c r="K274" i="1"/>
  <c r="H721" i="1"/>
  <c r="K721" i="1"/>
  <c r="H582" i="1"/>
  <c r="K582" i="1"/>
  <c r="H172" i="1"/>
  <c r="K150" i="1"/>
  <c r="H150" i="1"/>
  <c r="H633" i="1"/>
  <c r="K633" i="1"/>
  <c r="H179" i="1"/>
  <c r="K179" i="1"/>
  <c r="K627" i="1"/>
  <c r="H627" i="1"/>
  <c r="K700" i="1"/>
  <c r="H700" i="1"/>
  <c r="K343" i="1"/>
  <c r="H343" i="1"/>
  <c r="H286" i="1"/>
  <c r="K286" i="1"/>
  <c r="H126" i="1"/>
  <c r="K126" i="1"/>
  <c r="K149" i="1"/>
  <c r="H149" i="1"/>
  <c r="H147" i="1"/>
  <c r="K147" i="1"/>
  <c r="H209" i="1"/>
  <c r="K209" i="1"/>
  <c r="K214" i="1"/>
  <c r="H214" i="1"/>
  <c r="K752" i="1"/>
  <c r="H752" i="1"/>
  <c r="H678" i="1"/>
  <c r="K678" i="1"/>
  <c r="H216" i="1"/>
  <c r="H753" i="1"/>
  <c r="K753" i="1"/>
  <c r="K580" i="1"/>
  <c r="H580" i="1"/>
  <c r="K412" i="1"/>
  <c r="H412" i="1"/>
  <c r="K134" i="29"/>
  <c r="H134" i="29"/>
  <c r="H193" i="1"/>
  <c r="K193" i="1"/>
  <c r="H313" i="1"/>
  <c r="K313" i="1"/>
  <c r="K593" i="1"/>
  <c r="H593" i="1"/>
  <c r="K154" i="1"/>
  <c r="H154" i="1"/>
  <c r="H541" i="1"/>
  <c r="K541" i="1"/>
  <c r="H549" i="1"/>
  <c r="K549" i="1"/>
  <c r="H577" i="1"/>
  <c r="K577" i="1"/>
  <c r="H151" i="1"/>
  <c r="K151" i="1"/>
  <c r="K591" i="1"/>
  <c r="H591" i="1"/>
  <c r="H539" i="1"/>
  <c r="K539" i="1"/>
  <c r="K323" i="1"/>
  <c r="K266" i="1"/>
  <c r="K546" i="1"/>
  <c r="K348" i="1"/>
  <c r="H348" i="1"/>
  <c r="H287" i="1"/>
  <c r="K287" i="1"/>
  <c r="H605" i="1"/>
  <c r="K605" i="1"/>
  <c r="H594" i="1"/>
  <c r="K594" i="1"/>
  <c r="K145" i="1"/>
  <c r="H145" i="1"/>
  <c r="K183" i="1"/>
  <c r="H183" i="1"/>
  <c r="K685" i="1"/>
  <c r="H685" i="1"/>
  <c r="F419" i="64"/>
  <c r="F420" i="64" s="1"/>
  <c r="F421" i="64" s="1"/>
  <c r="F422" i="64" s="1"/>
  <c r="F423" i="64" s="1"/>
  <c r="F424" i="64" s="1"/>
  <c r="F425" i="64" s="1"/>
  <c r="F426" i="64" s="1"/>
  <c r="F427" i="64" s="1"/>
  <c r="F428" i="64" s="1"/>
  <c r="F429" i="64" s="1"/>
  <c r="F430" i="64" s="1"/>
  <c r="F431" i="64" s="1"/>
  <c r="F432" i="64" s="1"/>
  <c r="F433" i="64" s="1"/>
  <c r="F434" i="64" s="1"/>
  <c r="F435" i="64" s="1"/>
  <c r="F436" i="64" s="1"/>
  <c r="F437" i="64" s="1"/>
  <c r="F438" i="64" s="1"/>
  <c r="F439" i="64" s="1"/>
  <c r="F440" i="64" s="1"/>
  <c r="F441" i="64" s="1"/>
  <c r="F442" i="64" s="1"/>
  <c r="F443" i="64" s="1"/>
  <c r="F444" i="64" s="1"/>
  <c r="F445" i="64" s="1"/>
  <c r="F446" i="64" s="1"/>
  <c r="F447" i="64" s="1"/>
  <c r="F448" i="64" s="1"/>
  <c r="F449" i="64" s="1"/>
  <c r="F450" i="64" s="1"/>
  <c r="F451" i="64" s="1"/>
  <c r="F452" i="64" s="1"/>
  <c r="F453" i="64" s="1"/>
  <c r="F454" i="64" s="1"/>
  <c r="F455" i="64" s="1"/>
  <c r="H1512" i="8" l="1"/>
  <c r="H1513" i="8" s="1"/>
  <c r="H1511" i="8"/>
  <c r="H1500" i="8" s="1"/>
  <c r="H2184" i="8"/>
  <c r="H2173" i="8" s="1"/>
  <c r="H2185" i="8"/>
  <c r="H2186" i="8" s="1"/>
  <c r="H1591" i="8"/>
  <c r="H1580" i="8" s="1"/>
  <c r="H1592" i="8"/>
  <c r="H1593" i="8" s="1"/>
  <c r="H3225" i="8"/>
  <c r="H3226" i="8" s="1"/>
  <c r="H3224" i="8"/>
  <c r="H3216" i="8" s="1"/>
  <c r="H1359" i="8"/>
  <c r="H1360" i="8" s="1"/>
  <c r="H1358" i="8"/>
  <c r="H1349" i="8" s="1"/>
  <c r="H3828" i="8"/>
  <c r="H3829" i="8" s="1"/>
  <c r="H3827" i="8"/>
  <c r="H3819" i="8" s="1"/>
  <c r="H4350" i="8"/>
  <c r="H4351" i="8" s="1"/>
  <c r="H1669" i="8"/>
  <c r="H1670" i="8" s="1"/>
  <c r="H3173" i="8"/>
  <c r="H3174" i="8" s="1"/>
  <c r="H3498" i="8"/>
  <c r="H3499" i="8" s="1"/>
  <c r="H1653" i="8"/>
  <c r="H1654" i="8" s="1"/>
  <c r="H1652" i="8"/>
  <c r="H1641" i="8" s="1"/>
  <c r="H4179" i="8"/>
  <c r="H4171" i="8" s="1"/>
  <c r="H4180" i="8"/>
  <c r="H4181" i="8" s="1"/>
  <c r="H531" i="8"/>
  <c r="H1682" i="8"/>
  <c r="H696" i="8"/>
  <c r="H699" i="8" s="1"/>
  <c r="H700" i="8" s="1"/>
  <c r="H774" i="8"/>
  <c r="H775" i="8" s="1"/>
  <c r="H3737" i="8"/>
  <c r="H3726" i="8" s="1"/>
  <c r="H1557" i="8"/>
  <c r="H2150" i="8"/>
  <c r="H2153" i="8" s="1"/>
  <c r="H2154" i="8" s="1"/>
  <c r="H2134" i="8"/>
  <c r="H1244" i="8"/>
  <c r="H1226" i="8" s="1"/>
  <c r="H3812" i="8"/>
  <c r="H3081" i="8"/>
  <c r="H3073" i="8" s="1"/>
  <c r="H3082" i="8"/>
  <c r="H3083" i="8" s="1"/>
  <c r="H3237" i="8"/>
  <c r="H3229" i="8" s="1"/>
  <c r="H3238" i="8"/>
  <c r="H3239" i="8" s="1"/>
  <c r="H3329" i="8"/>
  <c r="H3330" i="8" s="1"/>
  <c r="H3328" i="8"/>
  <c r="H3320" i="8" s="1"/>
  <c r="H1372" i="8"/>
  <c r="H1373" i="8" s="1"/>
  <c r="H4069" i="8"/>
  <c r="H4070" i="8" s="1"/>
  <c r="H1994" i="8"/>
  <c r="H1995" i="8" s="1"/>
  <c r="H1444" i="8"/>
  <c r="H1445" i="8" s="1"/>
  <c r="H1443" i="8"/>
  <c r="H1436" i="8" s="1"/>
  <c r="H3394" i="8"/>
  <c r="H3395" i="8" s="1"/>
  <c r="H3393" i="8"/>
  <c r="H3385" i="8" s="1"/>
  <c r="H4082" i="8"/>
  <c r="H4083" i="8" s="1"/>
  <c r="H4081" i="8"/>
  <c r="H4073" i="8" s="1"/>
  <c r="H1923" i="8"/>
  <c r="H1915" i="8" s="1"/>
  <c r="H1924" i="8"/>
  <c r="H1925" i="8" s="1"/>
  <c r="H4196" i="8"/>
  <c r="H4197" i="8" s="1"/>
  <c r="H1636" i="8"/>
  <c r="H1627" i="8" s="1"/>
  <c r="H1993" i="8"/>
  <c r="H1983" i="8" s="1"/>
  <c r="H4016" i="8"/>
  <c r="H4009" i="8" s="1"/>
  <c r="H1824" i="8"/>
  <c r="H1825" i="8" s="1"/>
  <c r="H1823" i="8"/>
  <c r="H1812" i="8" s="1"/>
  <c r="H1544" i="8"/>
  <c r="H1545" i="8" s="1"/>
  <c r="H1543" i="8"/>
  <c r="H1532" i="8" s="1"/>
  <c r="H2299" i="8"/>
  <c r="H2300" i="8" s="1"/>
  <c r="H2298" i="8"/>
  <c r="H2285" i="8" s="1"/>
  <c r="H1607" i="8"/>
  <c r="H1596" i="8" s="1"/>
  <c r="H1608" i="8"/>
  <c r="H1609" i="8" s="1"/>
  <c r="H1701" i="8"/>
  <c r="H1702" i="8" s="1"/>
  <c r="H1700" i="8"/>
  <c r="H1689" i="8" s="1"/>
  <c r="H2121" i="8"/>
  <c r="H2111" i="8" s="1"/>
  <c r="H2122" i="8"/>
  <c r="H2123" i="8" s="1"/>
  <c r="H894" i="8"/>
  <c r="H895" i="8" s="1"/>
  <c r="H146" i="1"/>
  <c r="H893" i="8"/>
  <c r="H879" i="8" s="1"/>
  <c r="H3722" i="8"/>
  <c r="H3723" i="8" s="1"/>
  <c r="H3721" i="8"/>
  <c r="H3711" i="8" s="1"/>
  <c r="H1936" i="8"/>
  <c r="H1928" i="8" s="1"/>
  <c r="H1937" i="8"/>
  <c r="H1938" i="8" s="1"/>
  <c r="H2217" i="8"/>
  <c r="H2218" i="8" s="1"/>
  <c r="H2216" i="8"/>
  <c r="H2205" i="8" s="1"/>
  <c r="H1528" i="8"/>
  <c r="H1529" i="8" s="1"/>
  <c r="H1527" i="8"/>
  <c r="H1516" i="8" s="1"/>
  <c r="H698" i="8"/>
  <c r="H684" i="8" s="1"/>
  <c r="H3289" i="8"/>
  <c r="H3281" i="8" s="1"/>
  <c r="H3290" i="8"/>
  <c r="H3291" i="8" s="1"/>
  <c r="H807" i="8"/>
  <c r="H796" i="8" s="1"/>
  <c r="H808" i="8"/>
  <c r="H809" i="8" s="1"/>
  <c r="K697" i="1"/>
  <c r="H2232" i="8"/>
  <c r="H2221" i="8" s="1"/>
  <c r="H660" i="8"/>
  <c r="H661" i="8" s="1"/>
  <c r="H2104" i="8"/>
  <c r="H698" i="1"/>
  <c r="K698" i="1"/>
  <c r="H3315" i="8"/>
  <c r="H3307" i="8" s="1"/>
  <c r="H3316" i="8"/>
  <c r="H3317" i="8" s="1"/>
  <c r="H3693" i="8"/>
  <c r="H3694" i="8" s="1"/>
  <c r="H3692" i="8"/>
  <c r="H3681" i="8" s="1"/>
  <c r="H824" i="8"/>
  <c r="H825" i="8" s="1"/>
  <c r="H823" i="8"/>
  <c r="H812" i="8" s="1"/>
  <c r="H3120" i="8"/>
  <c r="H3112" i="8" s="1"/>
  <c r="H3121" i="8"/>
  <c r="H3122" i="8" s="1"/>
  <c r="H1808" i="8"/>
  <c r="H1809" i="8" s="1"/>
  <c r="H1807" i="8"/>
  <c r="H1797" i="8" s="1"/>
  <c r="H3978" i="8"/>
  <c r="H3979" i="8" s="1"/>
  <c r="H3977" i="8"/>
  <c r="H3970" i="8" s="1"/>
  <c r="H1573" i="8"/>
  <c r="H3159" i="8"/>
  <c r="H3151" i="8" s="1"/>
  <c r="H3160" i="8"/>
  <c r="H3161" i="8" s="1"/>
  <c r="H534" i="8"/>
  <c r="H535" i="8" s="1"/>
  <c r="H533" i="8"/>
  <c r="H519" i="8" s="1"/>
  <c r="H1016" i="8"/>
  <c r="H1004" i="8" s="1"/>
  <c r="H1017" i="8"/>
  <c r="H1018" i="8" s="1"/>
  <c r="H3198" i="8"/>
  <c r="H3190" i="8" s="1"/>
  <c r="H3199" i="8"/>
  <c r="H3200" i="8" s="1"/>
  <c r="H2137" i="8"/>
  <c r="H2138" i="8" s="1"/>
  <c r="H2136" i="8"/>
  <c r="H2126" i="8" s="1"/>
  <c r="H4434" i="8"/>
  <c r="H4426" i="8" s="1"/>
  <c r="H4435" i="8"/>
  <c r="H4436" i="8" s="1"/>
  <c r="H3991" i="8"/>
  <c r="H932" i="8"/>
  <c r="H933" i="8" s="1"/>
  <c r="H931" i="8"/>
  <c r="H917" i="8" s="1"/>
  <c r="H2198" i="8"/>
  <c r="H3753" i="8"/>
  <c r="H3742" i="8" s="1"/>
  <c r="H3754" i="8"/>
  <c r="H3755" i="8" s="1"/>
  <c r="H4421" i="8"/>
  <c r="H4413" i="8" s="1"/>
  <c r="H4422" i="8"/>
  <c r="H4423" i="8" s="1"/>
  <c r="H1951" i="8"/>
  <c r="H1952" i="8" s="1"/>
  <c r="H1950" i="8"/>
  <c r="H1941" i="8" s="1"/>
  <c r="H1869" i="8"/>
  <c r="H1860" i="8" s="1"/>
  <c r="H1870" i="8"/>
  <c r="H1871" i="8" s="1"/>
  <c r="H4337" i="8"/>
  <c r="H4338" i="8" s="1"/>
  <c r="H4336" i="8"/>
  <c r="H4328" i="8" s="1"/>
  <c r="H1716" i="8"/>
  <c r="H1705" i="8" s="1"/>
  <c r="H1717" i="8"/>
  <c r="H1718" i="8" s="1"/>
  <c r="H1840" i="8"/>
  <c r="H1841" i="8" s="1"/>
  <c r="H1839" i="8"/>
  <c r="H1828" i="8" s="1"/>
  <c r="H2009" i="8"/>
  <c r="H1998" i="8" s="1"/>
  <c r="H2010" i="8"/>
  <c r="H2011" i="8" s="1"/>
  <c r="H662" i="1"/>
  <c r="H576" i="1"/>
  <c r="K616" i="1"/>
  <c r="K542" i="1"/>
  <c r="H2233" i="8"/>
  <c r="H2234" i="8" s="1"/>
  <c r="H1182" i="8"/>
  <c r="H1172" i="8" s="1"/>
  <c r="H1183" i="8"/>
  <c r="H1184" i="8" s="1"/>
  <c r="H2092" i="8"/>
  <c r="H2093" i="8" s="1"/>
  <c r="H2091" i="8"/>
  <c r="H2081" i="8" s="1"/>
  <c r="H661" i="1"/>
  <c r="K661" i="1"/>
  <c r="H2152" i="8"/>
  <c r="H2141" i="8" s="1"/>
  <c r="H3658" i="8"/>
  <c r="H680" i="8"/>
  <c r="H681" i="8" s="1"/>
  <c r="H679" i="8"/>
  <c r="H664" i="8" s="1"/>
  <c r="H1898" i="8"/>
  <c r="H1899" i="8" s="1"/>
  <c r="H1897" i="8"/>
  <c r="H1888" i="8" s="1"/>
  <c r="H1856" i="8"/>
  <c r="H1857" i="8" s="1"/>
  <c r="H1855" i="8"/>
  <c r="H1844" i="8" s="1"/>
  <c r="H1407" i="8"/>
  <c r="H1400" i="8" s="1"/>
  <c r="H1408" i="8"/>
  <c r="H1409" i="8" s="1"/>
  <c r="H1762" i="8"/>
  <c r="H1763" i="8" s="1"/>
  <c r="H1761" i="8"/>
  <c r="H1750" i="8" s="1"/>
  <c r="H3676" i="8"/>
  <c r="H3665" i="8" s="1"/>
  <c r="H3677" i="8"/>
  <c r="H3678" i="8" s="1"/>
  <c r="H791" i="8"/>
  <c r="H778" i="8" s="1"/>
  <c r="H792" i="8"/>
  <c r="H793" i="8" s="1"/>
  <c r="H3629" i="8"/>
  <c r="H3630" i="8" s="1"/>
  <c r="H3628" i="8"/>
  <c r="H3617" i="8" s="1"/>
  <c r="H4027" i="8"/>
  <c r="K602" i="1"/>
  <c r="H602" i="1"/>
  <c r="H2166" i="8"/>
  <c r="H4248" i="8"/>
  <c r="H4249" i="8" s="1"/>
  <c r="H4247" i="8"/>
  <c r="H4239" i="8" s="1"/>
  <c r="H3770" i="8"/>
  <c r="H3771" i="8" s="1"/>
  <c r="H3769" i="8"/>
  <c r="H3758" i="8" s="1"/>
  <c r="H2077" i="8"/>
  <c r="H2078" i="8" s="1"/>
  <c r="H2076" i="8"/>
  <c r="H2066" i="8" s="1"/>
  <c r="H3550" i="8"/>
  <c r="H3551" i="8" s="1"/>
  <c r="H3549" i="8"/>
  <c r="H3541" i="8" s="1"/>
  <c r="H1559" i="8"/>
  <c r="H1548" i="8" s="1"/>
  <c r="H1560" i="8"/>
  <c r="H1561" i="8" s="1"/>
  <c r="H4119" i="8"/>
  <c r="H4120" i="8" s="1"/>
  <c r="H4118" i="8"/>
  <c r="H4110" i="8" s="1"/>
  <c r="H3406" i="8"/>
  <c r="H3398" i="8" s="1"/>
  <c r="H3407" i="8"/>
  <c r="H3408" i="8" s="1"/>
  <c r="H1198" i="8"/>
  <c r="H1199" i="8" s="1"/>
  <c r="H1197" i="8"/>
  <c r="H1187" i="8" s="1"/>
  <c r="H3800" i="8"/>
  <c r="H3801" i="8" s="1"/>
  <c r="H3799" i="8"/>
  <c r="H3790" i="8" s="1"/>
  <c r="H3707" i="8"/>
  <c r="H3708" i="8" s="1"/>
  <c r="H3706" i="8"/>
  <c r="H3697" i="8" s="1"/>
  <c r="H1684" i="8"/>
  <c r="H1673" i="8" s="1"/>
  <c r="H1685" i="8"/>
  <c r="H1686" i="8" s="1"/>
  <c r="H3785" i="8"/>
  <c r="H3774" i="8" s="1"/>
  <c r="H3786" i="8"/>
  <c r="H3787" i="8" s="1"/>
  <c r="H3263" i="8"/>
  <c r="H3255" i="8" s="1"/>
  <c r="H3264" i="8"/>
  <c r="H3265" i="8" s="1"/>
  <c r="H2281" i="8"/>
  <c r="H2282" i="8" s="1"/>
  <c r="H2280" i="8"/>
  <c r="H2267" i="8" s="1"/>
  <c r="H3885" i="8"/>
  <c r="H3886" i="8" s="1"/>
  <c r="H3884" i="8"/>
  <c r="H3876" i="8" s="1"/>
  <c r="H3485" i="8"/>
  <c r="H3486" i="8" s="1"/>
  <c r="H3484" i="8"/>
  <c r="H3476" i="8" s="1"/>
  <c r="H608" i="1"/>
  <c r="K608" i="1"/>
  <c r="H1779" i="8"/>
  <c r="H1766" i="8" s="1"/>
  <c r="F457" i="64"/>
  <c r="F458" i="64" s="1"/>
  <c r="F459" i="64" s="1"/>
  <c r="F460" i="64" s="1"/>
  <c r="F461" i="64" s="1"/>
  <c r="H221" i="1"/>
  <c r="K221" i="1"/>
  <c r="H133" i="1"/>
  <c r="K133" i="1"/>
  <c r="K225" i="1"/>
  <c r="H225" i="1"/>
  <c r="H410" i="1"/>
  <c r="K410" i="1"/>
  <c r="K622" i="1"/>
  <c r="H622" i="1"/>
  <c r="K621" i="1"/>
  <c r="H621" i="1"/>
  <c r="K222" i="1"/>
  <c r="H222" i="1"/>
  <c r="H162" i="1"/>
  <c r="K162" i="1"/>
  <c r="H289" i="1"/>
  <c r="K289" i="1"/>
  <c r="H654" i="1"/>
  <c r="K654" i="1"/>
  <c r="H333" i="1"/>
  <c r="K333" i="1"/>
  <c r="H676" i="1"/>
  <c r="K676" i="1"/>
  <c r="I685" i="1"/>
  <c r="J685" i="1" s="1"/>
  <c r="L685" i="1"/>
  <c r="I183" i="1"/>
  <c r="J183" i="1" s="1"/>
  <c r="L183" i="1"/>
  <c r="L145" i="1"/>
  <c r="I145" i="1"/>
  <c r="J145" i="1" s="1"/>
  <c r="L594" i="1"/>
  <c r="I594" i="1"/>
  <c r="J594" i="1" s="1"/>
  <c r="I605" i="1"/>
  <c r="J605" i="1" s="1"/>
  <c r="L605" i="1"/>
  <c r="I287" i="1"/>
  <c r="J287" i="1" s="1"/>
  <c r="L287" i="1"/>
  <c r="L348" i="1"/>
  <c r="I348" i="1"/>
  <c r="J348" i="1" s="1"/>
  <c r="I546" i="1"/>
  <c r="J546" i="1" s="1"/>
  <c r="L546" i="1"/>
  <c r="L266" i="1"/>
  <c r="I266" i="1"/>
  <c r="J266" i="1" s="1"/>
  <c r="I323" i="1"/>
  <c r="J323" i="1" s="1"/>
  <c r="L323" i="1"/>
  <c r="L539" i="1"/>
  <c r="I539" i="1"/>
  <c r="J539" i="1" s="1"/>
  <c r="L591" i="1"/>
  <c r="I591" i="1"/>
  <c r="J591" i="1" s="1"/>
  <c r="H716" i="1"/>
  <c r="K716" i="1"/>
  <c r="K590" i="1"/>
  <c r="H590" i="1"/>
  <c r="L151" i="1"/>
  <c r="I151" i="1"/>
  <c r="J151" i="1" s="1"/>
  <c r="I577" i="1"/>
  <c r="J577" i="1" s="1"/>
  <c r="L577" i="1"/>
  <c r="I549" i="1"/>
  <c r="J549" i="1" s="1"/>
  <c r="L549" i="1"/>
  <c r="L541" i="1"/>
  <c r="I541" i="1"/>
  <c r="J541" i="1" s="1"/>
  <c r="L154" i="1"/>
  <c r="I154" i="1"/>
  <c r="J154" i="1" s="1"/>
  <c r="I593" i="1"/>
  <c r="J593" i="1" s="1"/>
  <c r="L593" i="1"/>
  <c r="I313" i="1"/>
  <c r="J313" i="1" s="1"/>
  <c r="L313" i="1"/>
  <c r="L193" i="1"/>
  <c r="I193" i="1"/>
  <c r="J193" i="1" s="1"/>
  <c r="L134" i="29"/>
  <c r="I134" i="29"/>
  <c r="J134" i="29" s="1"/>
  <c r="I412" i="1"/>
  <c r="J412" i="1" s="1"/>
  <c r="L412" i="1"/>
  <c r="L580" i="1"/>
  <c r="I580" i="1"/>
  <c r="J580" i="1" s="1"/>
  <c r="I753" i="1"/>
  <c r="J753" i="1" s="1"/>
  <c r="L753" i="1"/>
  <c r="L216" i="1"/>
  <c r="I216" i="1"/>
  <c r="J216" i="1" s="1"/>
  <c r="L678" i="1"/>
  <c r="I678" i="1"/>
  <c r="J678" i="1" s="1"/>
  <c r="L662" i="1"/>
  <c r="I662" i="1"/>
  <c r="J662" i="1" s="1"/>
  <c r="L752" i="1"/>
  <c r="I752" i="1"/>
  <c r="J752" i="1" s="1"/>
  <c r="I214" i="1"/>
  <c r="J214" i="1" s="1"/>
  <c r="L214" i="1"/>
  <c r="K576" i="1"/>
  <c r="H575" i="1"/>
  <c r="K575" i="1"/>
  <c r="H715" i="1"/>
  <c r="K715" i="1"/>
  <c r="K587" i="1"/>
  <c r="H587" i="1"/>
  <c r="L209" i="1"/>
  <c r="I209" i="1"/>
  <c r="J209" i="1" s="1"/>
  <c r="L147" i="1"/>
  <c r="I147" i="1"/>
  <c r="J147" i="1" s="1"/>
  <c r="L149" i="1"/>
  <c r="I149" i="1"/>
  <c r="J149" i="1" s="1"/>
  <c r="L126" i="1"/>
  <c r="I126" i="1"/>
  <c r="J126" i="1" s="1"/>
  <c r="L286" i="1"/>
  <c r="I286" i="1"/>
  <c r="J286" i="1" s="1"/>
  <c r="I343" i="1"/>
  <c r="J343" i="1" s="1"/>
  <c r="L343" i="1"/>
  <c r="L700" i="1"/>
  <c r="I700" i="1"/>
  <c r="J700" i="1" s="1"/>
  <c r="I627" i="1"/>
  <c r="J627" i="1" s="1"/>
  <c r="L627" i="1"/>
  <c r="L179" i="1"/>
  <c r="I179" i="1"/>
  <c r="J179" i="1" s="1"/>
  <c r="L616" i="1"/>
  <c r="I616" i="1"/>
  <c r="J616" i="1" s="1"/>
  <c r="I633" i="1"/>
  <c r="J633" i="1" s="1"/>
  <c r="L633" i="1"/>
  <c r="I150" i="1"/>
  <c r="J150" i="1" s="1"/>
  <c r="L150" i="1"/>
  <c r="L172" i="1"/>
  <c r="I172" i="1"/>
  <c r="J172" i="1" s="1"/>
  <c r="L582" i="1"/>
  <c r="I582" i="1"/>
  <c r="J582" i="1" s="1"/>
  <c r="I697" i="1"/>
  <c r="J697" i="1" s="1"/>
  <c r="L697" i="1"/>
  <c r="L721" i="1"/>
  <c r="I721" i="1"/>
  <c r="J721" i="1" s="1"/>
  <c r="L274" i="1"/>
  <c r="I274" i="1"/>
  <c r="J274" i="1" s="1"/>
  <c r="L227" i="1"/>
  <c r="I227" i="1"/>
  <c r="J227" i="1" s="1"/>
  <c r="I220" i="1"/>
  <c r="J220" i="1" s="1"/>
  <c r="L220" i="1"/>
  <c r="L604" i="1"/>
  <c r="I604" i="1"/>
  <c r="J604" i="1" s="1"/>
  <c r="L219" i="1"/>
  <c r="I219" i="1"/>
  <c r="J219" i="1" s="1"/>
  <c r="L597" i="1"/>
  <c r="I597" i="1"/>
  <c r="J597" i="1" s="1"/>
  <c r="I759" i="1"/>
  <c r="J759" i="1" s="1"/>
  <c r="L759" i="1"/>
  <c r="L659" i="1"/>
  <c r="I659" i="1"/>
  <c r="J659" i="1" s="1"/>
  <c r="L393" i="1"/>
  <c r="I393" i="1"/>
  <c r="J393" i="1" s="1"/>
  <c r="L589" i="1"/>
  <c r="I589" i="1"/>
  <c r="J589" i="1" s="1"/>
  <c r="K69" i="1"/>
  <c r="H69" i="1"/>
  <c r="H54" i="29"/>
  <c r="K54" i="29"/>
  <c r="I139" i="1"/>
  <c r="J139" i="1" s="1"/>
  <c r="L139" i="1"/>
  <c r="L173" i="1"/>
  <c r="I173" i="1"/>
  <c r="J173" i="1" s="1"/>
  <c r="I129" i="1"/>
  <c r="J129" i="1" s="1"/>
  <c r="L129" i="1"/>
  <c r="K571" i="1"/>
  <c r="H571" i="1"/>
  <c r="K572" i="1"/>
  <c r="H572" i="1"/>
  <c r="K717" i="1"/>
  <c r="H717" i="1"/>
  <c r="K596" i="1"/>
  <c r="H596" i="1"/>
  <c r="I545" i="1"/>
  <c r="J545" i="1" s="1"/>
  <c r="L545" i="1"/>
  <c r="I581" i="1"/>
  <c r="J581" i="1" s="1"/>
  <c r="L581" i="1"/>
  <c r="I143" i="1"/>
  <c r="J143" i="1" s="1"/>
  <c r="L143" i="1"/>
  <c r="I120" i="29"/>
  <c r="J120" i="29" s="1"/>
  <c r="L120" i="29"/>
  <c r="I592" i="1"/>
  <c r="J592" i="1" s="1"/>
  <c r="L592" i="1"/>
  <c r="L226" i="1"/>
  <c r="I226" i="1"/>
  <c r="J226" i="1" s="1"/>
  <c r="L607" i="1"/>
  <c r="I607" i="1"/>
  <c r="J607" i="1" s="1"/>
  <c r="I668" i="1"/>
  <c r="J668" i="1" s="1"/>
  <c r="L668" i="1"/>
  <c r="I540" i="1"/>
  <c r="J540" i="1" s="1"/>
  <c r="L540" i="1"/>
  <c r="L663" i="1"/>
  <c r="I663" i="1"/>
  <c r="J663" i="1" s="1"/>
  <c r="L411" i="1"/>
  <c r="I411" i="1"/>
  <c r="J411" i="1" s="1"/>
  <c r="I694" i="1"/>
  <c r="J694" i="1" s="1"/>
  <c r="L694" i="1"/>
  <c r="I585" i="1"/>
  <c r="J585" i="1" s="1"/>
  <c r="L585" i="1"/>
  <c r="I722" i="1"/>
  <c r="J722" i="1" s="1"/>
  <c r="L722" i="1"/>
  <c r="I693" i="1"/>
  <c r="J693" i="1" s="1"/>
  <c r="L693" i="1"/>
  <c r="I543" i="1"/>
  <c r="J543" i="1" s="1"/>
  <c r="L543" i="1"/>
  <c r="L542" i="1"/>
  <c r="I542" i="1"/>
  <c r="J542" i="1" s="1"/>
  <c r="I544" i="1"/>
  <c r="J544" i="1" s="1"/>
  <c r="L544" i="1"/>
  <c r="H518" i="1"/>
  <c r="K518" i="1"/>
  <c r="H707" i="1"/>
  <c r="K707" i="1"/>
  <c r="I514" i="1"/>
  <c r="J514" i="1" s="1"/>
  <c r="L514" i="1"/>
  <c r="I138" i="1"/>
  <c r="J138" i="1" s="1"/>
  <c r="L138" i="1"/>
  <c r="L272" i="1"/>
  <c r="I272" i="1"/>
  <c r="J272" i="1" s="1"/>
  <c r="H3815" i="8" l="1"/>
  <c r="H3816" i="8" s="1"/>
  <c r="H3814" i="8"/>
  <c r="H3804" i="8" s="1"/>
  <c r="H595" i="1"/>
  <c r="K595" i="1"/>
  <c r="H4030" i="8"/>
  <c r="H4031" i="8" s="1"/>
  <c r="H4029" i="8"/>
  <c r="H4021" i="8" s="1"/>
  <c r="H309" i="1"/>
  <c r="K309" i="1"/>
  <c r="K325" i="1"/>
  <c r="H325" i="1"/>
  <c r="H751" i="1"/>
  <c r="K751" i="1"/>
  <c r="K547" i="1"/>
  <c r="H547" i="1"/>
  <c r="K273" i="1"/>
  <c r="H273" i="1"/>
  <c r="K415" i="1"/>
  <c r="H415" i="1"/>
  <c r="H414" i="1"/>
  <c r="K414" i="1"/>
  <c r="K606" i="1"/>
  <c r="H606" i="1"/>
  <c r="H624" i="1"/>
  <c r="K624" i="1"/>
  <c r="H2169" i="8"/>
  <c r="H2170" i="8" s="1"/>
  <c r="H2168" i="8"/>
  <c r="H2157" i="8" s="1"/>
  <c r="K615" i="1"/>
  <c r="H615" i="1"/>
  <c r="H224" i="1"/>
  <c r="K224" i="1"/>
  <c r="H3660" i="8"/>
  <c r="H3649" i="8" s="1"/>
  <c r="H3661" i="8"/>
  <c r="H3662" i="8" s="1"/>
  <c r="K372" i="1"/>
  <c r="H372" i="1"/>
  <c r="H148" i="1"/>
  <c r="K148" i="1"/>
  <c r="H1575" i="8"/>
  <c r="H1564" i="8" s="1"/>
  <c r="H1576" i="8"/>
  <c r="H1577" i="8" s="1"/>
  <c r="L698" i="1"/>
  <c r="I698" i="1"/>
  <c r="J698" i="1" s="1"/>
  <c r="H586" i="1"/>
  <c r="K586" i="1"/>
  <c r="K268" i="1"/>
  <c r="H268" i="1"/>
  <c r="K338" i="1"/>
  <c r="H338" i="1"/>
  <c r="H317" i="1"/>
  <c r="K317" i="1"/>
  <c r="I608" i="1"/>
  <c r="J608" i="1" s="1"/>
  <c r="L608" i="1"/>
  <c r="K288" i="1"/>
  <c r="H288" i="1"/>
  <c r="H719" i="1"/>
  <c r="K719" i="1"/>
  <c r="K321" i="1"/>
  <c r="H321" i="1"/>
  <c r="H375" i="1"/>
  <c r="K375" i="1"/>
  <c r="H99" i="1"/>
  <c r="K99" i="1"/>
  <c r="H649" i="1"/>
  <c r="K649" i="1"/>
  <c r="K619" i="1"/>
  <c r="H619" i="1"/>
  <c r="K146" i="1"/>
  <c r="H310" i="1"/>
  <c r="K310" i="1"/>
  <c r="H625" i="1"/>
  <c r="K625" i="1"/>
  <c r="H626" i="1"/>
  <c r="K626" i="1"/>
  <c r="H270" i="1"/>
  <c r="K270" i="1"/>
  <c r="K371" i="1"/>
  <c r="H371" i="1"/>
  <c r="I602" i="1"/>
  <c r="J602" i="1" s="1"/>
  <c r="L602" i="1"/>
  <c r="H140" i="1"/>
  <c r="K140" i="1"/>
  <c r="K319" i="1"/>
  <c r="H319" i="1"/>
  <c r="H134" i="1"/>
  <c r="K134" i="1"/>
  <c r="K391" i="1"/>
  <c r="H391" i="1"/>
  <c r="I661" i="1"/>
  <c r="J661" i="1" s="1"/>
  <c r="L661" i="1"/>
  <c r="K292" i="1"/>
  <c r="H292" i="1"/>
  <c r="K136" i="29"/>
  <c r="H136" i="29"/>
  <c r="K760" i="1"/>
  <c r="H760" i="1"/>
  <c r="H2201" i="8"/>
  <c r="H2202" i="8" s="1"/>
  <c r="H2200" i="8"/>
  <c r="H2189" i="8" s="1"/>
  <c r="H3993" i="8"/>
  <c r="H3982" i="8" s="1"/>
  <c r="H3994" i="8"/>
  <c r="H3995" i="8" s="1"/>
  <c r="H578" i="1"/>
  <c r="K578" i="1"/>
  <c r="K153" i="1"/>
  <c r="H153" i="1"/>
  <c r="H314" i="1"/>
  <c r="K314" i="1"/>
  <c r="H588" i="1"/>
  <c r="K588" i="1"/>
  <c r="H2107" i="8"/>
  <c r="H2108" i="8" s="1"/>
  <c r="H2106" i="8"/>
  <c r="H2096" i="8" s="1"/>
  <c r="H141" i="1"/>
  <c r="K141" i="1"/>
  <c r="K135" i="1"/>
  <c r="H135" i="1"/>
  <c r="K374" i="1"/>
  <c r="H374" i="1"/>
  <c r="H269" i="1"/>
  <c r="K269" i="1"/>
  <c r="H601" i="1"/>
  <c r="K601" i="1"/>
  <c r="H583" i="1"/>
  <c r="K583" i="1"/>
  <c r="H620" i="1"/>
  <c r="K620" i="1"/>
  <c r="K618" i="1"/>
  <c r="H618" i="1"/>
  <c r="H354" i="1"/>
  <c r="K354" i="1"/>
  <c r="H318" i="1"/>
  <c r="K318" i="1"/>
  <c r="K623" i="1"/>
  <c r="H623" i="1"/>
  <c r="K761" i="1"/>
  <c r="H761" i="1"/>
  <c r="H142" i="1"/>
  <c r="K142" i="1"/>
  <c r="H409" i="1"/>
  <c r="K409" i="1"/>
  <c r="F462" i="64"/>
  <c r="F463" i="64" s="1"/>
  <c r="F464" i="64" s="1"/>
  <c r="F465" i="64" s="1"/>
  <c r="F466" i="64" s="1"/>
  <c r="F467" i="64" s="1"/>
  <c r="F468" i="64" s="1"/>
  <c r="F469" i="64" s="1"/>
  <c r="F470" i="64" s="1"/>
  <c r="F471" i="64" s="1"/>
  <c r="F472" i="64" s="1"/>
  <c r="F473" i="64" s="1"/>
  <c r="F474" i="64" s="1"/>
  <c r="F475" i="64" s="1"/>
  <c r="F476" i="64" s="1"/>
  <c r="F477" i="64" s="1"/>
  <c r="F478" i="64" s="1"/>
  <c r="F479" i="64" s="1"/>
  <c r="F480" i="64" s="1"/>
  <c r="F481" i="64" s="1"/>
  <c r="F482" i="64" s="1"/>
  <c r="F483" i="64" s="1"/>
  <c r="F484" i="64" s="1"/>
  <c r="F485" i="64" s="1"/>
  <c r="F486" i="64" s="1"/>
  <c r="F487" i="64" s="1"/>
  <c r="F488" i="64" s="1"/>
  <c r="F489" i="64" s="1"/>
  <c r="F490" i="64" s="1"/>
  <c r="F491" i="64" s="1"/>
  <c r="F492" i="64" s="1"/>
  <c r="F493" i="64" s="1"/>
  <c r="F494" i="64" s="1"/>
  <c r="F495" i="64" s="1"/>
  <c r="F497" i="64" s="1"/>
  <c r="F498" i="64" s="1"/>
  <c r="F499" i="64" s="1"/>
  <c r="F500" i="64" s="1"/>
  <c r="F501" i="64" s="1"/>
  <c r="F502" i="64" s="1"/>
  <c r="F503" i="64" s="1"/>
  <c r="F504" i="64" s="1"/>
  <c r="F505" i="64" s="1"/>
  <c r="F506" i="64" s="1"/>
  <c r="F507" i="64" s="1"/>
  <c r="F508" i="64" s="1"/>
  <c r="F509" i="64" s="1"/>
  <c r="F510" i="64" s="1"/>
  <c r="F511" i="64" s="1"/>
  <c r="F512" i="64" s="1"/>
  <c r="F513" i="64" s="1"/>
  <c r="F514" i="64" s="1"/>
  <c r="F515" i="64" s="1"/>
  <c r="F516" i="64" s="1"/>
  <c r="F517" i="64" s="1"/>
  <c r="F518" i="64" s="1"/>
  <c r="F519" i="64" s="1"/>
  <c r="F520" i="64" s="1"/>
  <c r="F521" i="64" s="1"/>
  <c r="F522" i="64" s="1"/>
  <c r="F523" i="64" s="1"/>
  <c r="F524" i="64" s="1"/>
  <c r="F525" i="64" s="1"/>
  <c r="F526" i="64" s="1"/>
  <c r="F527" i="64" s="1"/>
  <c r="F528" i="64" s="1"/>
  <c r="F529" i="64" s="1"/>
  <c r="F530" i="64" s="1"/>
  <c r="F531" i="64" s="1"/>
  <c r="F532" i="64" s="1"/>
  <c r="F533" i="64" s="1"/>
  <c r="F534" i="64" s="1"/>
  <c r="F535" i="64" s="1"/>
  <c r="F537" i="64" s="1"/>
  <c r="F538" i="64" s="1"/>
  <c r="F539" i="64" s="1"/>
  <c r="F540" i="64" s="1"/>
  <c r="F541" i="64" s="1"/>
  <c r="F542" i="64" s="1"/>
  <c r="F543" i="64" s="1"/>
  <c r="F544" i="64" s="1"/>
  <c r="F545" i="64" s="1"/>
  <c r="F546" i="64" s="1"/>
  <c r="F547" i="64" s="1"/>
  <c r="F548" i="64" s="1"/>
  <c r="F549" i="64" s="1"/>
  <c r="F550" i="64" s="1"/>
  <c r="F551" i="64" s="1"/>
  <c r="F552" i="64" s="1"/>
  <c r="F553" i="64" s="1"/>
  <c r="F554" i="64" s="1"/>
  <c r="F555" i="64" s="1"/>
  <c r="F556" i="64" s="1"/>
  <c r="F557" i="64" s="1"/>
  <c r="F558" i="64" s="1"/>
  <c r="F559" i="64" s="1"/>
  <c r="F560" i="64" s="1"/>
  <c r="F561" i="64" s="1"/>
  <c r="F562" i="64" s="1"/>
  <c r="F563" i="64" s="1"/>
  <c r="F564" i="64" s="1"/>
  <c r="F565" i="64" s="1"/>
  <c r="F566" i="64" s="1"/>
  <c r="F567" i="64" s="1"/>
  <c r="F568" i="64" s="1"/>
  <c r="F569" i="64" s="1"/>
  <c r="F570" i="64" s="1"/>
  <c r="F571" i="64" s="1"/>
  <c r="F572" i="64" s="1"/>
  <c r="F573" i="64" s="1"/>
  <c r="F574" i="64" s="1"/>
  <c r="F575" i="64" s="1"/>
  <c r="F576" i="64" s="1"/>
  <c r="F578" i="64" s="1"/>
  <c r="F579" i="64" s="1"/>
  <c r="F580" i="64" s="1"/>
  <c r="F581" i="64" s="1"/>
  <c r="I222" i="1"/>
  <c r="J222" i="1" s="1"/>
  <c r="L222" i="1"/>
  <c r="I333" i="1"/>
  <c r="J333" i="1" s="1"/>
  <c r="L333" i="1"/>
  <c r="I654" i="1"/>
  <c r="J654" i="1" s="1"/>
  <c r="L654" i="1"/>
  <c r="I289" i="1"/>
  <c r="J289" i="1" s="1"/>
  <c r="L289" i="1"/>
  <c r="K599" i="1"/>
  <c r="H599" i="1"/>
  <c r="I410" i="1"/>
  <c r="J410" i="1" s="1"/>
  <c r="L410" i="1"/>
  <c r="L133" i="1"/>
  <c r="I133" i="1"/>
  <c r="J133" i="1" s="1"/>
  <c r="K718" i="1"/>
  <c r="H718" i="1"/>
  <c r="K674" i="1"/>
  <c r="H674" i="1"/>
  <c r="I621" i="1"/>
  <c r="J621" i="1" s="1"/>
  <c r="L621" i="1"/>
  <c r="I622" i="1"/>
  <c r="J622" i="1" s="1"/>
  <c r="L622" i="1"/>
  <c r="I225" i="1"/>
  <c r="J225" i="1" s="1"/>
  <c r="L225" i="1"/>
  <c r="I676" i="1"/>
  <c r="J676" i="1" s="1"/>
  <c r="L676" i="1"/>
  <c r="H695" i="1"/>
  <c r="K695" i="1"/>
  <c r="I146" i="1"/>
  <c r="J146" i="1" s="1"/>
  <c r="L146" i="1"/>
  <c r="L162" i="1"/>
  <c r="I162" i="1"/>
  <c r="J162" i="1" s="1"/>
  <c r="L221" i="1"/>
  <c r="I221" i="1"/>
  <c r="J221" i="1" s="1"/>
  <c r="U272" i="1"/>
  <c r="V272" i="1"/>
  <c r="P272" i="1"/>
  <c r="S272" i="1"/>
  <c r="W272" i="1"/>
  <c r="T272" i="1"/>
  <c r="W138" i="1"/>
  <c r="V138" i="1"/>
  <c r="X138" i="1"/>
  <c r="W514" i="1"/>
  <c r="Z514" i="1"/>
  <c r="X514" i="1"/>
  <c r="V514" i="1"/>
  <c r="T514" i="1"/>
  <c r="Y514" i="1"/>
  <c r="I707" i="1"/>
  <c r="J707" i="1" s="1"/>
  <c r="L707" i="1"/>
  <c r="I518" i="1"/>
  <c r="J518" i="1" s="1"/>
  <c r="L518" i="1"/>
  <c r="T544" i="1"/>
  <c r="Z544" i="1"/>
  <c r="X544" i="1"/>
  <c r="Y544" i="1"/>
  <c r="V544" i="1"/>
  <c r="W544" i="1"/>
  <c r="W542" i="1"/>
  <c r="Y542" i="1"/>
  <c r="X542" i="1"/>
  <c r="Z542" i="1"/>
  <c r="V542" i="1"/>
  <c r="T542" i="1"/>
  <c r="Y543" i="1"/>
  <c r="T543" i="1"/>
  <c r="X543" i="1"/>
  <c r="Z543" i="1"/>
  <c r="W543" i="1"/>
  <c r="V543" i="1"/>
  <c r="W693" i="1"/>
  <c r="X693" i="1"/>
  <c r="Y693" i="1"/>
  <c r="Y722" i="1"/>
  <c r="W722" i="1"/>
  <c r="X722" i="1"/>
  <c r="W585" i="1"/>
  <c r="X585" i="1"/>
  <c r="Z585" i="1"/>
  <c r="V585" i="1"/>
  <c r="T585" i="1"/>
  <c r="Y585" i="1"/>
  <c r="W694" i="1"/>
  <c r="X694" i="1"/>
  <c r="Y694" i="1"/>
  <c r="P411" i="1"/>
  <c r="V411" i="1"/>
  <c r="U411" i="1"/>
  <c r="T411" i="1"/>
  <c r="S411" i="1"/>
  <c r="X663" i="1"/>
  <c r="W663" i="1"/>
  <c r="X540" i="1"/>
  <c r="T540" i="1"/>
  <c r="V540" i="1"/>
  <c r="W540" i="1"/>
  <c r="Y540" i="1"/>
  <c r="Z540" i="1"/>
  <c r="X668" i="1"/>
  <c r="W668" i="1"/>
  <c r="T607" i="1"/>
  <c r="X607" i="1"/>
  <c r="W607" i="1"/>
  <c r="Y607" i="1"/>
  <c r="V607" i="1"/>
  <c r="Z607" i="1"/>
  <c r="V226" i="1"/>
  <c r="W226" i="1"/>
  <c r="Y226" i="1"/>
  <c r="X226" i="1"/>
  <c r="W592" i="1"/>
  <c r="Y592" i="1"/>
  <c r="X592" i="1"/>
  <c r="Z592" i="1"/>
  <c r="T592" i="1"/>
  <c r="V592" i="1"/>
  <c r="U120" i="29"/>
  <c r="V120" i="29"/>
  <c r="X143" i="1"/>
  <c r="V143" i="1"/>
  <c r="W143" i="1"/>
  <c r="T581" i="1"/>
  <c r="V581" i="1"/>
  <c r="X581" i="1"/>
  <c r="W581" i="1"/>
  <c r="Z581" i="1"/>
  <c r="Y581" i="1"/>
  <c r="T545" i="1"/>
  <c r="X545" i="1"/>
  <c r="Y545" i="1"/>
  <c r="W545" i="1"/>
  <c r="Z545" i="1"/>
  <c r="V545" i="1"/>
  <c r="L596" i="1"/>
  <c r="I596" i="1"/>
  <c r="J596" i="1" s="1"/>
  <c r="L717" i="1"/>
  <c r="I717" i="1"/>
  <c r="J717" i="1" s="1"/>
  <c r="I572" i="1"/>
  <c r="J572" i="1" s="1"/>
  <c r="L572" i="1"/>
  <c r="I571" i="1"/>
  <c r="J571" i="1" s="1"/>
  <c r="L571" i="1"/>
  <c r="W129" i="1"/>
  <c r="X129" i="1"/>
  <c r="V173" i="1"/>
  <c r="T173" i="1"/>
  <c r="U173" i="1"/>
  <c r="S173" i="1"/>
  <c r="W173" i="1"/>
  <c r="W139" i="1"/>
  <c r="V139" i="1"/>
  <c r="X139" i="1"/>
  <c r="I54" i="29"/>
  <c r="J54" i="29" s="1"/>
  <c r="L54" i="29"/>
  <c r="L69" i="1"/>
  <c r="I69" i="1"/>
  <c r="J69" i="1" s="1"/>
  <c r="V589" i="1"/>
  <c r="W589" i="1"/>
  <c r="Y589" i="1"/>
  <c r="T589" i="1"/>
  <c r="Z589" i="1"/>
  <c r="X589" i="1"/>
  <c r="S393" i="1"/>
  <c r="T393" i="1"/>
  <c r="U393" i="1"/>
  <c r="P393" i="1"/>
  <c r="V393" i="1"/>
  <c r="W659" i="1"/>
  <c r="X659" i="1"/>
  <c r="V759" i="1"/>
  <c r="X759" i="1"/>
  <c r="W759" i="1"/>
  <c r="Y759" i="1"/>
  <c r="U759" i="1"/>
  <c r="T597" i="1"/>
  <c r="W597" i="1"/>
  <c r="Z597" i="1"/>
  <c r="V597" i="1"/>
  <c r="X597" i="1"/>
  <c r="Y597" i="1"/>
  <c r="X219" i="1"/>
  <c r="Y219" i="1"/>
  <c r="V219" i="1"/>
  <c r="W219" i="1"/>
  <c r="W604" i="1"/>
  <c r="X604" i="1"/>
  <c r="V604" i="1"/>
  <c r="Z604" i="1"/>
  <c r="Y604" i="1"/>
  <c r="T604" i="1"/>
  <c r="W220" i="1"/>
  <c r="X220" i="1"/>
  <c r="Y220" i="1"/>
  <c r="V220" i="1"/>
  <c r="Y227" i="1"/>
  <c r="W227" i="1"/>
  <c r="V227" i="1"/>
  <c r="X227" i="1"/>
  <c r="P274" i="1"/>
  <c r="W274" i="1"/>
  <c r="V274" i="1"/>
  <c r="T274" i="1"/>
  <c r="U274" i="1"/>
  <c r="S274" i="1"/>
  <c r="Y721" i="1"/>
  <c r="W721" i="1"/>
  <c r="X721" i="1"/>
  <c r="Y697" i="1"/>
  <c r="W697" i="1"/>
  <c r="X697" i="1"/>
  <c r="X582" i="1"/>
  <c r="V582" i="1"/>
  <c r="Z582" i="1"/>
  <c r="Y582" i="1"/>
  <c r="T582" i="1"/>
  <c r="W582" i="1"/>
  <c r="W172" i="1"/>
  <c r="U172" i="1"/>
  <c r="T172" i="1"/>
  <c r="V172" i="1"/>
  <c r="S172" i="1"/>
  <c r="V150" i="1"/>
  <c r="X150" i="1"/>
  <c r="W150" i="1"/>
  <c r="X633" i="1"/>
  <c r="T633" i="1"/>
  <c r="W633" i="1"/>
  <c r="V633" i="1"/>
  <c r="Z633" i="1"/>
  <c r="Y633" i="1"/>
  <c r="T616" i="1"/>
  <c r="V616" i="1"/>
  <c r="Y616" i="1"/>
  <c r="X616" i="1"/>
  <c r="Z616" i="1"/>
  <c r="W616" i="1"/>
  <c r="V179" i="1"/>
  <c r="U179" i="1"/>
  <c r="S179" i="1"/>
  <c r="T179" i="1"/>
  <c r="Y627" i="1"/>
  <c r="V627" i="1"/>
  <c r="X627" i="1"/>
  <c r="T627" i="1"/>
  <c r="Z627" i="1"/>
  <c r="W627" i="1"/>
  <c r="Y700" i="1"/>
  <c r="X700" i="1"/>
  <c r="W700" i="1"/>
  <c r="V343" i="1"/>
  <c r="W343" i="1"/>
  <c r="P343" i="1"/>
  <c r="U343" i="1"/>
  <c r="P286" i="1"/>
  <c r="U286" i="1"/>
  <c r="S286" i="1"/>
  <c r="W286" i="1"/>
  <c r="T286" i="1"/>
  <c r="V286" i="1"/>
  <c r="S126" i="1"/>
  <c r="R126" i="1"/>
  <c r="R229" i="1" s="1"/>
  <c r="R248" i="1" s="1"/>
  <c r="T126" i="1"/>
  <c r="W149" i="1"/>
  <c r="X149" i="1"/>
  <c r="V149" i="1"/>
  <c r="X147" i="1"/>
  <c r="W147" i="1"/>
  <c r="V147" i="1"/>
  <c r="W209" i="1"/>
  <c r="V209" i="1"/>
  <c r="I587" i="1"/>
  <c r="J587" i="1" s="1"/>
  <c r="L587" i="1"/>
  <c r="L715" i="1"/>
  <c r="I715" i="1"/>
  <c r="J715" i="1" s="1"/>
  <c r="I575" i="1"/>
  <c r="J575" i="1" s="1"/>
  <c r="L575" i="1"/>
  <c r="I576" i="1"/>
  <c r="J576" i="1" s="1"/>
  <c r="L576" i="1"/>
  <c r="V214" i="1"/>
  <c r="U214" i="1"/>
  <c r="X752" i="1"/>
  <c r="Y752" i="1"/>
  <c r="W752" i="1"/>
  <c r="U752" i="1"/>
  <c r="V752" i="1"/>
  <c r="W662" i="1"/>
  <c r="X662" i="1"/>
  <c r="Y678" i="1"/>
  <c r="X678" i="1"/>
  <c r="U216" i="1"/>
  <c r="V216" i="1"/>
  <c r="V753" i="1"/>
  <c r="U753" i="1"/>
  <c r="Y753" i="1"/>
  <c r="W753" i="1"/>
  <c r="X753" i="1"/>
  <c r="W580" i="1"/>
  <c r="X580" i="1"/>
  <c r="Z580" i="1"/>
  <c r="Y580" i="1"/>
  <c r="V580" i="1"/>
  <c r="T580" i="1"/>
  <c r="V412" i="1"/>
  <c r="U412" i="1"/>
  <c r="P412" i="1"/>
  <c r="S412" i="1"/>
  <c r="T412" i="1"/>
  <c r="U134" i="29"/>
  <c r="V134" i="29"/>
  <c r="X193" i="1"/>
  <c r="Y193" i="1"/>
  <c r="Z193" i="1"/>
  <c r="Z229" i="1" s="1"/>
  <c r="Z248" i="1" s="1"/>
  <c r="S313" i="1"/>
  <c r="W313" i="1"/>
  <c r="V313" i="1"/>
  <c r="U313" i="1"/>
  <c r="T313" i="1"/>
  <c r="P313" i="1"/>
  <c r="W593" i="1"/>
  <c r="Y593" i="1"/>
  <c r="X593" i="1"/>
  <c r="Z593" i="1"/>
  <c r="V593" i="1"/>
  <c r="T593" i="1"/>
  <c r="V154" i="1"/>
  <c r="W154" i="1"/>
  <c r="X154" i="1"/>
  <c r="V541" i="1"/>
  <c r="Y541" i="1"/>
  <c r="Z541" i="1"/>
  <c r="T541" i="1"/>
  <c r="X541" i="1"/>
  <c r="W541" i="1"/>
  <c r="Y549" i="1"/>
  <c r="X549" i="1"/>
  <c r="T549" i="1"/>
  <c r="Z549" i="1"/>
  <c r="V549" i="1"/>
  <c r="W549" i="1"/>
  <c r="Z577" i="1"/>
  <c r="T577" i="1"/>
  <c r="Y577" i="1"/>
  <c r="V577" i="1"/>
  <c r="W577" i="1"/>
  <c r="X577" i="1"/>
  <c r="X151" i="1"/>
  <c r="W151" i="1"/>
  <c r="V151" i="1"/>
  <c r="I590" i="1"/>
  <c r="J590" i="1" s="1"/>
  <c r="L590" i="1"/>
  <c r="L716" i="1"/>
  <c r="I716" i="1"/>
  <c r="J716" i="1" s="1"/>
  <c r="V591" i="1"/>
  <c r="X591" i="1"/>
  <c r="Z591" i="1"/>
  <c r="W591" i="1"/>
  <c r="T591" i="1"/>
  <c r="Y591" i="1"/>
  <c r="Z539" i="1"/>
  <c r="W539" i="1"/>
  <c r="X539" i="1"/>
  <c r="T539" i="1"/>
  <c r="Y539" i="1"/>
  <c r="V539" i="1"/>
  <c r="U323" i="1"/>
  <c r="T323" i="1"/>
  <c r="W323" i="1"/>
  <c r="P323" i="1"/>
  <c r="V323" i="1"/>
  <c r="S323" i="1"/>
  <c r="T266" i="1"/>
  <c r="V266" i="1"/>
  <c r="S266" i="1"/>
  <c r="P266" i="1"/>
  <c r="W266" i="1"/>
  <c r="U266" i="1"/>
  <c r="Z546" i="1"/>
  <c r="W546" i="1"/>
  <c r="T546" i="1"/>
  <c r="V546" i="1"/>
  <c r="Y546" i="1"/>
  <c r="X546" i="1"/>
  <c r="W348" i="1"/>
  <c r="P348" i="1"/>
  <c r="U348" i="1"/>
  <c r="V348" i="1"/>
  <c r="V287" i="1"/>
  <c r="S287" i="1"/>
  <c r="T287" i="1"/>
  <c r="W287" i="1"/>
  <c r="P287" i="1"/>
  <c r="U287" i="1"/>
  <c r="V605" i="1"/>
  <c r="Y605" i="1"/>
  <c r="Z605" i="1"/>
  <c r="T605" i="1"/>
  <c r="W605" i="1"/>
  <c r="X605" i="1"/>
  <c r="Y594" i="1"/>
  <c r="T594" i="1"/>
  <c r="Z594" i="1"/>
  <c r="W594" i="1"/>
  <c r="V594" i="1"/>
  <c r="X594" i="1"/>
  <c r="X145" i="1"/>
  <c r="V145" i="1"/>
  <c r="W145" i="1"/>
  <c r="V183" i="1"/>
  <c r="U183" i="1"/>
  <c r="X183" i="1"/>
  <c r="Y183" i="1"/>
  <c r="W183" i="1"/>
  <c r="X685" i="1"/>
  <c r="Y685" i="1"/>
  <c r="L761" i="1" l="1"/>
  <c r="I761" i="1"/>
  <c r="J761" i="1" s="1"/>
  <c r="L618" i="1"/>
  <c r="I618" i="1"/>
  <c r="J618" i="1" s="1"/>
  <c r="H373" i="1"/>
  <c r="K373" i="1"/>
  <c r="K99" i="29"/>
  <c r="H99" i="29"/>
  <c r="L270" i="1"/>
  <c r="I270" i="1"/>
  <c r="J270" i="1" s="1"/>
  <c r="K720" i="1"/>
  <c r="H720" i="1"/>
  <c r="L288" i="1"/>
  <c r="I288" i="1"/>
  <c r="J288" i="1" s="1"/>
  <c r="I268" i="1"/>
  <c r="J268" i="1" s="1"/>
  <c r="L268" i="1"/>
  <c r="I624" i="1"/>
  <c r="J624" i="1" s="1"/>
  <c r="L624" i="1"/>
  <c r="I142" i="1"/>
  <c r="J142" i="1" s="1"/>
  <c r="L142" i="1"/>
  <c r="L318" i="1"/>
  <c r="I318" i="1"/>
  <c r="J318" i="1" s="1"/>
  <c r="I583" i="1"/>
  <c r="J583" i="1" s="1"/>
  <c r="L583" i="1"/>
  <c r="I269" i="1"/>
  <c r="J269" i="1" s="1"/>
  <c r="L269" i="1"/>
  <c r="K652" i="1"/>
  <c r="H652" i="1"/>
  <c r="I760" i="1"/>
  <c r="J760" i="1" s="1"/>
  <c r="L760" i="1"/>
  <c r="I292" i="1"/>
  <c r="J292" i="1" s="1"/>
  <c r="L292" i="1"/>
  <c r="I371" i="1"/>
  <c r="J371" i="1" s="1"/>
  <c r="L371" i="1"/>
  <c r="K197" i="1"/>
  <c r="H197" i="1"/>
  <c r="L99" i="1"/>
  <c r="I99" i="1"/>
  <c r="J99" i="1" s="1"/>
  <c r="L317" i="1"/>
  <c r="I317" i="1"/>
  <c r="J317" i="1" s="1"/>
  <c r="L224" i="1"/>
  <c r="I224" i="1"/>
  <c r="J224" i="1" s="1"/>
  <c r="H392" i="1"/>
  <c r="K392" i="1"/>
  <c r="I606" i="1"/>
  <c r="J606" i="1" s="1"/>
  <c r="L606" i="1"/>
  <c r="I273" i="1"/>
  <c r="J273" i="1" s="1"/>
  <c r="L273" i="1"/>
  <c r="I135" i="1"/>
  <c r="J135" i="1" s="1"/>
  <c r="L135" i="1"/>
  <c r="L588" i="1"/>
  <c r="I588" i="1"/>
  <c r="J588" i="1" s="1"/>
  <c r="H408" i="1"/>
  <c r="K408" i="1"/>
  <c r="W602" i="1"/>
  <c r="T602" i="1"/>
  <c r="Y602" i="1"/>
  <c r="V602" i="1"/>
  <c r="Z602" i="1"/>
  <c r="X602" i="1"/>
  <c r="L626" i="1"/>
  <c r="I626" i="1"/>
  <c r="J626" i="1" s="1"/>
  <c r="I619" i="1"/>
  <c r="J619" i="1" s="1"/>
  <c r="L619" i="1"/>
  <c r="I321" i="1"/>
  <c r="J321" i="1" s="1"/>
  <c r="L321" i="1"/>
  <c r="W698" i="1"/>
  <c r="X698" i="1"/>
  <c r="Y698" i="1"/>
  <c r="H696" i="1"/>
  <c r="K696" i="1"/>
  <c r="K574" i="1"/>
  <c r="H574" i="1"/>
  <c r="I623" i="1"/>
  <c r="J623" i="1" s="1"/>
  <c r="L623" i="1"/>
  <c r="L374" i="1"/>
  <c r="I374" i="1"/>
  <c r="J374" i="1" s="1"/>
  <c r="I314" i="1"/>
  <c r="J314" i="1" s="1"/>
  <c r="L314" i="1"/>
  <c r="I578" i="1"/>
  <c r="J578" i="1" s="1"/>
  <c r="L578" i="1"/>
  <c r="W661" i="1"/>
  <c r="X661" i="1"/>
  <c r="I134" i="1"/>
  <c r="J134" i="1" s="1"/>
  <c r="L134" i="1"/>
  <c r="I140" i="1"/>
  <c r="J140" i="1" s="1"/>
  <c r="L140" i="1"/>
  <c r="K100" i="29"/>
  <c r="H100" i="29"/>
  <c r="I625" i="1"/>
  <c r="J625" i="1" s="1"/>
  <c r="L625" i="1"/>
  <c r="I310" i="1"/>
  <c r="J310" i="1" s="1"/>
  <c r="L310" i="1"/>
  <c r="L338" i="1"/>
  <c r="I338" i="1"/>
  <c r="J338" i="1" s="1"/>
  <c r="L148" i="1"/>
  <c r="I148" i="1"/>
  <c r="J148" i="1" s="1"/>
  <c r="L615" i="1"/>
  <c r="I615" i="1"/>
  <c r="J615" i="1" s="1"/>
  <c r="L414" i="1"/>
  <c r="I414" i="1"/>
  <c r="J414" i="1" s="1"/>
  <c r="L751" i="1"/>
  <c r="I751" i="1"/>
  <c r="J751" i="1" s="1"/>
  <c r="I309" i="1"/>
  <c r="J309" i="1" s="1"/>
  <c r="L309" i="1"/>
  <c r="L409" i="1"/>
  <c r="I409" i="1"/>
  <c r="J409" i="1" s="1"/>
  <c r="H573" i="1"/>
  <c r="K573" i="1"/>
  <c r="L354" i="1"/>
  <c r="I354" i="1"/>
  <c r="J354" i="1" s="1"/>
  <c r="L620" i="1"/>
  <c r="I620" i="1"/>
  <c r="J620" i="1" s="1"/>
  <c r="L601" i="1"/>
  <c r="I601" i="1"/>
  <c r="J601" i="1" s="1"/>
  <c r="I141" i="1"/>
  <c r="J141" i="1" s="1"/>
  <c r="L141" i="1"/>
  <c r="L153" i="1"/>
  <c r="I153" i="1"/>
  <c r="J153" i="1" s="1"/>
  <c r="L136" i="29"/>
  <c r="I136" i="29"/>
  <c r="J136" i="29" s="1"/>
  <c r="H196" i="1"/>
  <c r="K196" i="1"/>
  <c r="I391" i="1"/>
  <c r="J391" i="1" s="1"/>
  <c r="L391" i="1"/>
  <c r="L319" i="1"/>
  <c r="I319" i="1"/>
  <c r="J319" i="1" s="1"/>
  <c r="H638" i="1"/>
  <c r="K638" i="1"/>
  <c r="I649" i="1"/>
  <c r="J649" i="1" s="1"/>
  <c r="L649" i="1"/>
  <c r="I375" i="1"/>
  <c r="J375" i="1" s="1"/>
  <c r="L375" i="1"/>
  <c r="I719" i="1"/>
  <c r="J719" i="1" s="1"/>
  <c r="L719" i="1"/>
  <c r="W608" i="1"/>
  <c r="V608" i="1"/>
  <c r="X608" i="1"/>
  <c r="T608" i="1"/>
  <c r="Z608" i="1"/>
  <c r="Y608" i="1"/>
  <c r="I586" i="1"/>
  <c r="J586" i="1" s="1"/>
  <c r="L586" i="1"/>
  <c r="K271" i="1"/>
  <c r="H271" i="1"/>
  <c r="I372" i="1"/>
  <c r="J372" i="1" s="1"/>
  <c r="L372" i="1"/>
  <c r="H617" i="1"/>
  <c r="K617" i="1"/>
  <c r="K675" i="1"/>
  <c r="H675" i="1"/>
  <c r="I415" i="1"/>
  <c r="J415" i="1" s="1"/>
  <c r="L415" i="1"/>
  <c r="I547" i="1"/>
  <c r="J547" i="1" s="1"/>
  <c r="L547" i="1"/>
  <c r="L325" i="1"/>
  <c r="I325" i="1"/>
  <c r="J325" i="1" s="1"/>
  <c r="H660" i="1"/>
  <c r="K660" i="1"/>
  <c r="I595" i="1"/>
  <c r="J595" i="1" s="1"/>
  <c r="L595" i="1"/>
  <c r="F582" i="64"/>
  <c r="F583" i="64" s="1"/>
  <c r="F584" i="64" s="1"/>
  <c r="F585" i="64" s="1"/>
  <c r="F586" i="64" s="1"/>
  <c r="F587" i="64" s="1"/>
  <c r="F588" i="64" s="1"/>
  <c r="F589" i="64" s="1"/>
  <c r="F590" i="64" s="1"/>
  <c r="F591" i="64" s="1"/>
  <c r="F592" i="64" s="1"/>
  <c r="F593" i="64" s="1"/>
  <c r="F594" i="64" s="1"/>
  <c r="F595" i="64" s="1"/>
  <c r="F596" i="64" s="1"/>
  <c r="F597" i="64" s="1"/>
  <c r="F598" i="64" s="1"/>
  <c r="F599" i="64" s="1"/>
  <c r="F600" i="64" s="1"/>
  <c r="F601" i="64" s="1"/>
  <c r="F602" i="64" s="1"/>
  <c r="F603" i="64" s="1"/>
  <c r="F604" i="64" s="1"/>
  <c r="F605" i="64" s="1"/>
  <c r="F606" i="64" s="1"/>
  <c r="F607" i="64" s="1"/>
  <c r="F608" i="64" s="1"/>
  <c r="F609" i="64" s="1"/>
  <c r="F610" i="64" s="1"/>
  <c r="F611" i="64" s="1"/>
  <c r="F612" i="64" s="1"/>
  <c r="F613" i="64" s="1"/>
  <c r="F615" i="64" s="1"/>
  <c r="F616" i="64" s="1"/>
  <c r="F617" i="64" s="1"/>
  <c r="F618" i="64" s="1"/>
  <c r="F619" i="64" s="1"/>
  <c r="W221" i="1"/>
  <c r="X221" i="1"/>
  <c r="Y221" i="1"/>
  <c r="V221" i="1"/>
  <c r="L674" i="1"/>
  <c r="I674" i="1"/>
  <c r="J674" i="1" s="1"/>
  <c r="W289" i="1"/>
  <c r="P289" i="1"/>
  <c r="T289" i="1"/>
  <c r="V289" i="1"/>
  <c r="S289" i="1"/>
  <c r="U289" i="1"/>
  <c r="X146" i="1"/>
  <c r="W146" i="1"/>
  <c r="V146" i="1"/>
  <c r="Y676" i="1"/>
  <c r="X676" i="1"/>
  <c r="V622" i="1"/>
  <c r="X622" i="1"/>
  <c r="T622" i="1"/>
  <c r="Y622" i="1"/>
  <c r="Z622" i="1"/>
  <c r="W622" i="1"/>
  <c r="X133" i="1"/>
  <c r="V133" i="1"/>
  <c r="W133" i="1"/>
  <c r="I599" i="1"/>
  <c r="J599" i="1" s="1"/>
  <c r="L599" i="1"/>
  <c r="S333" i="1"/>
  <c r="U333" i="1"/>
  <c r="P333" i="1"/>
  <c r="W333" i="1"/>
  <c r="T333" i="1"/>
  <c r="V333" i="1"/>
  <c r="U162" i="1"/>
  <c r="U229" i="1" s="1"/>
  <c r="U248" i="1" s="1"/>
  <c r="T162" i="1"/>
  <c r="U654" i="1"/>
  <c r="V654" i="1"/>
  <c r="P410" i="1"/>
  <c r="T410" i="1"/>
  <c r="U410" i="1"/>
  <c r="V410" i="1"/>
  <c r="S410" i="1"/>
  <c r="L695" i="1"/>
  <c r="I695" i="1"/>
  <c r="J695" i="1" s="1"/>
  <c r="Y225" i="1"/>
  <c r="V225" i="1"/>
  <c r="X225" i="1"/>
  <c r="W225" i="1"/>
  <c r="W621" i="1"/>
  <c r="V621" i="1"/>
  <c r="Y621" i="1"/>
  <c r="T621" i="1"/>
  <c r="X621" i="1"/>
  <c r="Z621" i="1"/>
  <c r="L718" i="1"/>
  <c r="I718" i="1"/>
  <c r="J718" i="1" s="1"/>
  <c r="Y222" i="1"/>
  <c r="W222" i="1"/>
  <c r="V222" i="1"/>
  <c r="X222" i="1"/>
  <c r="X716" i="1"/>
  <c r="Y716" i="1"/>
  <c r="W716" i="1"/>
  <c r="X590" i="1"/>
  <c r="V590" i="1"/>
  <c r="Y590" i="1"/>
  <c r="W590" i="1"/>
  <c r="T590" i="1"/>
  <c r="Z590" i="1"/>
  <c r="V576" i="1"/>
  <c r="W576" i="1"/>
  <c r="X576" i="1"/>
  <c r="T576" i="1"/>
  <c r="Y576" i="1"/>
  <c r="Z576" i="1"/>
  <c r="X575" i="1"/>
  <c r="W575" i="1"/>
  <c r="V575" i="1"/>
  <c r="Z575" i="1"/>
  <c r="Y575" i="1"/>
  <c r="T575" i="1"/>
  <c r="X715" i="1"/>
  <c r="Y715" i="1"/>
  <c r="W715" i="1"/>
  <c r="W587" i="1"/>
  <c r="X587" i="1"/>
  <c r="Y587" i="1"/>
  <c r="T587" i="1"/>
  <c r="Z587" i="1"/>
  <c r="V587" i="1"/>
  <c r="O69" i="1"/>
  <c r="O83" i="1" s="1"/>
  <c r="O115" i="1" s="1"/>
  <c r="P69" i="1"/>
  <c r="P83" i="1" s="1"/>
  <c r="P115" i="1" s="1"/>
  <c r="J83" i="1"/>
  <c r="J63" i="29"/>
  <c r="J84" i="29" s="1"/>
  <c r="O54" i="29"/>
  <c r="O63" i="29" s="1"/>
  <c r="O84" i="29" s="1"/>
  <c r="V571" i="1"/>
  <c r="W571" i="1"/>
  <c r="Z571" i="1"/>
  <c r="Y571" i="1"/>
  <c r="X571" i="1"/>
  <c r="T571" i="1"/>
  <c r="Y572" i="1"/>
  <c r="Z572" i="1"/>
  <c r="T572" i="1"/>
  <c r="X572" i="1"/>
  <c r="W572" i="1"/>
  <c r="V572" i="1"/>
  <c r="W717" i="1"/>
  <c r="X717" i="1"/>
  <c r="Y717" i="1"/>
  <c r="X596" i="1"/>
  <c r="V596" i="1"/>
  <c r="Z596" i="1"/>
  <c r="T596" i="1"/>
  <c r="W596" i="1"/>
  <c r="Y596" i="1"/>
  <c r="Y518" i="1"/>
  <c r="V518" i="1"/>
  <c r="Z518" i="1"/>
  <c r="T518" i="1"/>
  <c r="X518" i="1"/>
  <c r="W518" i="1"/>
  <c r="Y707" i="1"/>
  <c r="W707" i="1"/>
  <c r="X707" i="1"/>
  <c r="J836" i="1" l="1"/>
  <c r="S319" i="1"/>
  <c r="P319" i="1"/>
  <c r="W319" i="1"/>
  <c r="U319" i="1"/>
  <c r="T319" i="1"/>
  <c r="V319" i="1"/>
  <c r="V153" i="1"/>
  <c r="W153" i="1"/>
  <c r="X153" i="1"/>
  <c r="T601" i="1"/>
  <c r="Z601" i="1"/>
  <c r="W601" i="1"/>
  <c r="V601" i="1"/>
  <c r="X601" i="1"/>
  <c r="Y601" i="1"/>
  <c r="U354" i="1"/>
  <c r="U359" i="1" s="1"/>
  <c r="W354" i="1"/>
  <c r="W359" i="1" s="1"/>
  <c r="J359" i="1"/>
  <c r="P354" i="1"/>
  <c r="P359" i="1" s="1"/>
  <c r="V354" i="1"/>
  <c r="V359" i="1" s="1"/>
  <c r="P409" i="1"/>
  <c r="T409" i="1"/>
  <c r="U409" i="1"/>
  <c r="S409" i="1"/>
  <c r="V409" i="1"/>
  <c r="W309" i="1"/>
  <c r="S309" i="1"/>
  <c r="U309" i="1"/>
  <c r="T309" i="1"/>
  <c r="V309" i="1"/>
  <c r="P309" i="1"/>
  <c r="S310" i="1"/>
  <c r="W310" i="1"/>
  <c r="T310" i="1"/>
  <c r="V310" i="1"/>
  <c r="P310" i="1"/>
  <c r="U310" i="1"/>
  <c r="V134" i="1"/>
  <c r="X134" i="1"/>
  <c r="W134" i="1"/>
  <c r="Y578" i="1"/>
  <c r="V578" i="1"/>
  <c r="Z578" i="1"/>
  <c r="X578" i="1"/>
  <c r="T578" i="1"/>
  <c r="W578" i="1"/>
  <c r="V321" i="1"/>
  <c r="P321" i="1"/>
  <c r="W321" i="1"/>
  <c r="S321" i="1"/>
  <c r="U321" i="1"/>
  <c r="T321" i="1"/>
  <c r="I408" i="1"/>
  <c r="J408" i="1" s="1"/>
  <c r="L408" i="1"/>
  <c r="V135" i="1"/>
  <c r="V229" i="1" s="1"/>
  <c r="V248" i="1" s="1"/>
  <c r="V249" i="1" s="1"/>
  <c r="N33" i="55" s="1"/>
  <c r="W135" i="1"/>
  <c r="X135" i="1"/>
  <c r="U273" i="1"/>
  <c r="T273" i="1"/>
  <c r="V273" i="1"/>
  <c r="S273" i="1"/>
  <c r="P273" i="1"/>
  <c r="W273" i="1"/>
  <c r="L392" i="1"/>
  <c r="I392" i="1"/>
  <c r="J392" i="1" s="1"/>
  <c r="P292" i="1"/>
  <c r="T292" i="1"/>
  <c r="U292" i="1"/>
  <c r="S292" i="1"/>
  <c r="W292" i="1"/>
  <c r="V292" i="1"/>
  <c r="V583" i="1"/>
  <c r="T583" i="1"/>
  <c r="W583" i="1"/>
  <c r="X583" i="1"/>
  <c r="Y583" i="1"/>
  <c r="Z583" i="1"/>
  <c r="V142" i="1"/>
  <c r="W142" i="1"/>
  <c r="X142" i="1"/>
  <c r="U268" i="1"/>
  <c r="W268" i="1"/>
  <c r="T268" i="1"/>
  <c r="V268" i="1"/>
  <c r="S268" i="1"/>
  <c r="P268" i="1"/>
  <c r="J143" i="29"/>
  <c r="W595" i="1"/>
  <c r="X595" i="1"/>
  <c r="T595" i="1"/>
  <c r="V595" i="1"/>
  <c r="Y595" i="1"/>
  <c r="Z595" i="1"/>
  <c r="T415" i="1"/>
  <c r="V415" i="1"/>
  <c r="U415" i="1"/>
  <c r="S415" i="1"/>
  <c r="P415" i="1"/>
  <c r="I638" i="1"/>
  <c r="J638" i="1" s="1"/>
  <c r="L638" i="1"/>
  <c r="V148" i="1"/>
  <c r="X148" i="1"/>
  <c r="W148" i="1"/>
  <c r="I100" i="29"/>
  <c r="J100" i="29" s="1"/>
  <c r="L100" i="29"/>
  <c r="I574" i="1"/>
  <c r="J574" i="1" s="1"/>
  <c r="L574" i="1"/>
  <c r="Z626" i="1"/>
  <c r="W626" i="1"/>
  <c r="X626" i="1"/>
  <c r="T626" i="1"/>
  <c r="Y626" i="1"/>
  <c r="V626" i="1"/>
  <c r="W317" i="1"/>
  <c r="P317" i="1"/>
  <c r="S317" i="1"/>
  <c r="T317" i="1"/>
  <c r="U317" i="1"/>
  <c r="V317" i="1"/>
  <c r="X618" i="1"/>
  <c r="T618" i="1"/>
  <c r="V618" i="1"/>
  <c r="W618" i="1"/>
  <c r="Z618" i="1"/>
  <c r="Y618" i="1"/>
  <c r="L675" i="1"/>
  <c r="I675" i="1"/>
  <c r="J675" i="1" s="1"/>
  <c r="I660" i="1"/>
  <c r="J660" i="1" s="1"/>
  <c r="L660" i="1"/>
  <c r="W547" i="1"/>
  <c r="X547" i="1"/>
  <c r="T547" i="1"/>
  <c r="Z547" i="1"/>
  <c r="V547" i="1"/>
  <c r="Y547" i="1"/>
  <c r="V372" i="1"/>
  <c r="T372" i="1"/>
  <c r="P372" i="1"/>
  <c r="S372" i="1"/>
  <c r="U372" i="1"/>
  <c r="X586" i="1"/>
  <c r="Y586" i="1"/>
  <c r="T586" i="1"/>
  <c r="Z586" i="1"/>
  <c r="V586" i="1"/>
  <c r="W586" i="1"/>
  <c r="Y719" i="1"/>
  <c r="X719" i="1"/>
  <c r="W719" i="1"/>
  <c r="V649" i="1"/>
  <c r="U649" i="1"/>
  <c r="I196" i="1"/>
  <c r="J196" i="1" s="1"/>
  <c r="L196" i="1"/>
  <c r="J803" i="1"/>
  <c r="J805" i="1" s="1"/>
  <c r="U751" i="1"/>
  <c r="W751" i="1"/>
  <c r="Y751" i="1"/>
  <c r="V751" i="1"/>
  <c r="X751" i="1"/>
  <c r="Z615" i="1"/>
  <c r="W615" i="1"/>
  <c r="T615" i="1"/>
  <c r="X615" i="1"/>
  <c r="Y615" i="1"/>
  <c r="V615" i="1"/>
  <c r="U338" i="1"/>
  <c r="W338" i="1"/>
  <c r="T338" i="1"/>
  <c r="P338" i="1"/>
  <c r="V338" i="1"/>
  <c r="S338" i="1"/>
  <c r="W588" i="1"/>
  <c r="T588" i="1"/>
  <c r="V588" i="1"/>
  <c r="X588" i="1"/>
  <c r="Y588" i="1"/>
  <c r="Z588" i="1"/>
  <c r="Y224" i="1"/>
  <c r="W224" i="1"/>
  <c r="X224" i="1"/>
  <c r="V224" i="1"/>
  <c r="R99" i="1"/>
  <c r="R100" i="1" s="1"/>
  <c r="R115" i="1" s="1"/>
  <c r="R116" i="1" s="1"/>
  <c r="J31" i="55" s="1"/>
  <c r="J100" i="1"/>
  <c r="J115" i="1" s="1"/>
  <c r="Q99" i="1"/>
  <c r="Q100" i="1" s="1"/>
  <c r="Q115" i="1" s="1"/>
  <c r="S318" i="1"/>
  <c r="T318" i="1"/>
  <c r="U318" i="1"/>
  <c r="P318" i="1"/>
  <c r="V318" i="1"/>
  <c r="W318" i="1"/>
  <c r="V288" i="1"/>
  <c r="T288" i="1"/>
  <c r="P288" i="1"/>
  <c r="W288" i="1"/>
  <c r="S288" i="1"/>
  <c r="U288" i="1"/>
  <c r="V270" i="1"/>
  <c r="S270" i="1"/>
  <c r="T270" i="1"/>
  <c r="P270" i="1"/>
  <c r="W270" i="1"/>
  <c r="U270" i="1"/>
  <c r="X761" i="1"/>
  <c r="V761" i="1"/>
  <c r="Y761" i="1"/>
  <c r="U761" i="1"/>
  <c r="W761" i="1"/>
  <c r="L617" i="1"/>
  <c r="I617" i="1"/>
  <c r="J617" i="1" s="1"/>
  <c r="J655" i="1" s="1"/>
  <c r="T375" i="1"/>
  <c r="P375" i="1"/>
  <c r="U375" i="1"/>
  <c r="V375" i="1"/>
  <c r="S375" i="1"/>
  <c r="P391" i="1"/>
  <c r="U391" i="1"/>
  <c r="V391" i="1"/>
  <c r="S391" i="1"/>
  <c r="T391" i="1"/>
  <c r="W141" i="1"/>
  <c r="V141" i="1"/>
  <c r="X141" i="1"/>
  <c r="I573" i="1"/>
  <c r="J573" i="1" s="1"/>
  <c r="L573" i="1"/>
  <c r="S414" i="1"/>
  <c r="V414" i="1"/>
  <c r="P414" i="1"/>
  <c r="U414" i="1"/>
  <c r="T414" i="1"/>
  <c r="P374" i="1"/>
  <c r="V374" i="1"/>
  <c r="T374" i="1"/>
  <c r="U374" i="1"/>
  <c r="S374" i="1"/>
  <c r="I696" i="1"/>
  <c r="J696" i="1" s="1"/>
  <c r="L696" i="1"/>
  <c r="L197" i="1"/>
  <c r="I197" i="1"/>
  <c r="J197" i="1" s="1"/>
  <c r="I652" i="1"/>
  <c r="J652" i="1" s="1"/>
  <c r="L652" i="1"/>
  <c r="L720" i="1"/>
  <c r="I720" i="1"/>
  <c r="J720" i="1" s="1"/>
  <c r="I99" i="29"/>
  <c r="J99" i="29" s="1"/>
  <c r="L99" i="29"/>
  <c r="J144" i="29" s="1"/>
  <c r="J229" i="1"/>
  <c r="J248" i="1" s="1"/>
  <c r="M249" i="1" s="1"/>
  <c r="E33" i="55" s="1"/>
  <c r="S325" i="1"/>
  <c r="W325" i="1"/>
  <c r="U325" i="1"/>
  <c r="V325" i="1"/>
  <c r="P325" i="1"/>
  <c r="T325" i="1"/>
  <c r="L271" i="1"/>
  <c r="I271" i="1"/>
  <c r="J271" i="1" s="1"/>
  <c r="U136" i="29"/>
  <c r="U139" i="29" s="1"/>
  <c r="U141" i="29" s="1"/>
  <c r="J139" i="29"/>
  <c r="J141" i="29" s="1"/>
  <c r="V136" i="29"/>
  <c r="V139" i="29" s="1"/>
  <c r="V141" i="29" s="1"/>
  <c r="P136" i="29"/>
  <c r="P139" i="29" s="1"/>
  <c r="P141" i="29" s="1"/>
  <c r="W136" i="29"/>
  <c r="W139" i="29" s="1"/>
  <c r="W141" i="29" s="1"/>
  <c r="T136" i="29"/>
  <c r="T139" i="29" s="1"/>
  <c r="T141" i="29" s="1"/>
  <c r="T142" i="29" s="1"/>
  <c r="L52" i="55" s="1"/>
  <c r="S136" i="29"/>
  <c r="S139" i="29" s="1"/>
  <c r="S141" i="29" s="1"/>
  <c r="Y620" i="1"/>
  <c r="W620" i="1"/>
  <c r="Z620" i="1"/>
  <c r="T620" i="1"/>
  <c r="X620" i="1"/>
  <c r="V620" i="1"/>
  <c r="X625" i="1"/>
  <c r="Y625" i="1"/>
  <c r="T625" i="1"/>
  <c r="Z625" i="1"/>
  <c r="W625" i="1"/>
  <c r="V625" i="1"/>
  <c r="W140" i="1"/>
  <c r="W229" i="1" s="1"/>
  <c r="W248" i="1" s="1"/>
  <c r="W249" i="1" s="1"/>
  <c r="O33" i="55" s="1"/>
  <c r="X140" i="1"/>
  <c r="X229" i="1" s="1"/>
  <c r="X248" i="1" s="1"/>
  <c r="V140" i="1"/>
  <c r="U314" i="1"/>
  <c r="T314" i="1"/>
  <c r="P314" i="1"/>
  <c r="W314" i="1"/>
  <c r="V314" i="1"/>
  <c r="S314" i="1"/>
  <c r="W623" i="1"/>
  <c r="Z623" i="1"/>
  <c r="T623" i="1"/>
  <c r="V623" i="1"/>
  <c r="X623" i="1"/>
  <c r="Y623" i="1"/>
  <c r="V619" i="1"/>
  <c r="Y619" i="1"/>
  <c r="Z619" i="1"/>
  <c r="W619" i="1"/>
  <c r="T619" i="1"/>
  <c r="X619" i="1"/>
  <c r="T606" i="1"/>
  <c r="V606" i="1"/>
  <c r="W606" i="1"/>
  <c r="Y606" i="1"/>
  <c r="Z606" i="1"/>
  <c r="X606" i="1"/>
  <c r="S371" i="1"/>
  <c r="V371" i="1"/>
  <c r="T371" i="1"/>
  <c r="U371" i="1"/>
  <c r="P371" i="1"/>
  <c r="V760" i="1"/>
  <c r="X760" i="1"/>
  <c r="U760" i="1"/>
  <c r="W760" i="1"/>
  <c r="Y760" i="1"/>
  <c r="P269" i="1"/>
  <c r="T269" i="1"/>
  <c r="W269" i="1"/>
  <c r="V269" i="1"/>
  <c r="S269" i="1"/>
  <c r="U269" i="1"/>
  <c r="Z624" i="1"/>
  <c r="Y624" i="1"/>
  <c r="V624" i="1"/>
  <c r="X624" i="1"/>
  <c r="T624" i="1"/>
  <c r="W624" i="1"/>
  <c r="L373" i="1"/>
  <c r="J837" i="1" s="1"/>
  <c r="I373" i="1"/>
  <c r="J373" i="1" s="1"/>
  <c r="J422" i="1" s="1"/>
  <c r="F620" i="64"/>
  <c r="F621" i="64" s="1"/>
  <c r="F622" i="64" s="1"/>
  <c r="F623" i="64" s="1"/>
  <c r="F624" i="64" s="1"/>
  <c r="F625" i="64" s="1"/>
  <c r="F626" i="64" s="1"/>
  <c r="F627" i="64" s="1"/>
  <c r="F628" i="64" s="1"/>
  <c r="F629" i="64" s="1"/>
  <c r="F630" i="64" s="1"/>
  <c r="F631" i="64" s="1"/>
  <c r="F632" i="64" s="1"/>
  <c r="F633" i="64" s="1"/>
  <c r="F634" i="64" s="1"/>
  <c r="F635" i="64" s="1"/>
  <c r="F636" i="64" s="1"/>
  <c r="F637" i="64" s="1"/>
  <c r="F638" i="64" s="1"/>
  <c r="F639" i="64" s="1"/>
  <c r="F640" i="64" s="1"/>
  <c r="F641" i="64" s="1"/>
  <c r="F642" i="64" s="1"/>
  <c r="F643" i="64" s="1"/>
  <c r="F644" i="64" s="1"/>
  <c r="F645" i="64" s="1"/>
  <c r="F646" i="64" s="1"/>
  <c r="F647" i="64" s="1"/>
  <c r="F648" i="64" s="1"/>
  <c r="F649" i="64" s="1"/>
  <c r="F650" i="64" s="1"/>
  <c r="F651" i="64" s="1"/>
  <c r="F652" i="64" s="1"/>
  <c r="F653" i="64" s="1"/>
  <c r="F655" i="64" s="1"/>
  <c r="F656" i="64" s="1"/>
  <c r="F657" i="64" s="1"/>
  <c r="F658" i="64" s="1"/>
  <c r="F659" i="64" s="1"/>
  <c r="W599" i="1"/>
  <c r="Y599" i="1"/>
  <c r="T599" i="1"/>
  <c r="V599" i="1"/>
  <c r="Z599" i="1"/>
  <c r="X599" i="1"/>
  <c r="J725" i="1"/>
  <c r="Y695" i="1"/>
  <c r="X695" i="1"/>
  <c r="W695" i="1"/>
  <c r="U249" i="1"/>
  <c r="M33" i="55" s="1"/>
  <c r="P249" i="1"/>
  <c r="H33" i="55" s="1"/>
  <c r="Y229" i="1"/>
  <c r="Y248" i="1" s="1"/>
  <c r="W718" i="1"/>
  <c r="X718" i="1"/>
  <c r="Y718" i="1"/>
  <c r="O85" i="29"/>
  <c r="G48" i="55" s="1"/>
  <c r="X674" i="1"/>
  <c r="Y674" i="1"/>
  <c r="J688" i="1"/>
  <c r="P85" i="29"/>
  <c r="H48" i="55" s="1"/>
  <c r="Y85" i="29"/>
  <c r="Q48" i="55" s="1"/>
  <c r="R85" i="29"/>
  <c r="J48" i="55" s="1"/>
  <c r="S85" i="29"/>
  <c r="K48" i="55" s="1"/>
  <c r="U85" i="29"/>
  <c r="M48" i="55" s="1"/>
  <c r="W85" i="29"/>
  <c r="O48" i="55" s="1"/>
  <c r="D47" i="55"/>
  <c r="Z85" i="29"/>
  <c r="R48" i="55" s="1"/>
  <c r="N85" i="29"/>
  <c r="F48" i="55" s="1"/>
  <c r="Q85" i="29"/>
  <c r="I48" i="55" s="1"/>
  <c r="T85" i="29"/>
  <c r="L48" i="55" s="1"/>
  <c r="L47" i="55" s="1"/>
  <c r="X85" i="29"/>
  <c r="P48" i="55" s="1"/>
  <c r="V85" i="29"/>
  <c r="N48" i="55" s="1"/>
  <c r="M85" i="29"/>
  <c r="E48" i="55" s="1"/>
  <c r="I47" i="55" l="1"/>
  <c r="O47" i="55"/>
  <c r="Q47" i="55"/>
  <c r="W142" i="29"/>
  <c r="O52" i="55" s="1"/>
  <c r="O51" i="55" s="1"/>
  <c r="U142" i="29"/>
  <c r="M52" i="55" s="1"/>
  <c r="G47" i="55"/>
  <c r="P142" i="29"/>
  <c r="H52" i="55" s="1"/>
  <c r="S142" i="29"/>
  <c r="K52" i="55" s="1"/>
  <c r="V142" i="29"/>
  <c r="N52" i="55" s="1"/>
  <c r="O249" i="1"/>
  <c r="G33" i="55" s="1"/>
  <c r="Y249" i="1"/>
  <c r="Q33" i="55" s="1"/>
  <c r="X249" i="1"/>
  <c r="P33" i="55" s="1"/>
  <c r="N116" i="1"/>
  <c r="F31" i="55" s="1"/>
  <c r="W116" i="1"/>
  <c r="O31" i="55" s="1"/>
  <c r="X116" i="1"/>
  <c r="P31" i="55" s="1"/>
  <c r="P116" i="1"/>
  <c r="H31" i="55" s="1"/>
  <c r="Z116" i="1"/>
  <c r="R31" i="55" s="1"/>
  <c r="S116" i="1"/>
  <c r="K31" i="55" s="1"/>
  <c r="V116" i="1"/>
  <c r="N31" i="55" s="1"/>
  <c r="M116" i="1"/>
  <c r="E31" i="55" s="1"/>
  <c r="O116" i="1"/>
  <c r="G31" i="55" s="1"/>
  <c r="U116" i="1"/>
  <c r="M31" i="55" s="1"/>
  <c r="Y116" i="1"/>
  <c r="Q31" i="55" s="1"/>
  <c r="T116" i="1"/>
  <c r="L31" i="55" s="1"/>
  <c r="Q116" i="1"/>
  <c r="I31" i="55" s="1"/>
  <c r="D30" i="55"/>
  <c r="F30" i="55" s="1"/>
  <c r="G32" i="55"/>
  <c r="Y638" i="1"/>
  <c r="Z638" i="1"/>
  <c r="X638" i="1"/>
  <c r="T638" i="1"/>
  <c r="W638" i="1"/>
  <c r="V638" i="1"/>
  <c r="Z249" i="1"/>
  <c r="R33" i="55" s="1"/>
  <c r="R32" i="55" s="1"/>
  <c r="R249" i="1"/>
  <c r="J33" i="55" s="1"/>
  <c r="J32" i="55" s="1"/>
  <c r="S99" i="29"/>
  <c r="J106" i="29"/>
  <c r="J108" i="29" s="1"/>
  <c r="T99" i="29"/>
  <c r="U652" i="1"/>
  <c r="U655" i="1" s="1"/>
  <c r="U736" i="1" s="1"/>
  <c r="V652" i="1"/>
  <c r="Y696" i="1"/>
  <c r="X696" i="1"/>
  <c r="X725" i="1" s="1"/>
  <c r="W696" i="1"/>
  <c r="W725" i="1" s="1"/>
  <c r="W736" i="1" s="1"/>
  <c r="V573" i="1"/>
  <c r="Z573" i="1"/>
  <c r="X573" i="1"/>
  <c r="T573" i="1"/>
  <c r="W573" i="1"/>
  <c r="Y573" i="1"/>
  <c r="V803" i="1"/>
  <c r="V805" i="1" s="1"/>
  <c r="V806" i="1" s="1"/>
  <c r="N39" i="55" s="1"/>
  <c r="N38" i="55" s="1"/>
  <c r="N806" i="1"/>
  <c r="F39" i="55" s="1"/>
  <c r="P806" i="1"/>
  <c r="H39" i="55" s="1"/>
  <c r="T806" i="1"/>
  <c r="L39" i="55" s="1"/>
  <c r="M806" i="1"/>
  <c r="E39" i="55" s="1"/>
  <c r="S806" i="1"/>
  <c r="K39" i="55" s="1"/>
  <c r="Q806" i="1"/>
  <c r="I39" i="55" s="1"/>
  <c r="Z806" i="1"/>
  <c r="R39" i="55" s="1"/>
  <c r="O806" i="1"/>
  <c r="G39" i="55" s="1"/>
  <c r="G38" i="55" s="1"/>
  <c r="R806" i="1"/>
  <c r="J39" i="55" s="1"/>
  <c r="D38" i="55"/>
  <c r="T574" i="1"/>
  <c r="Y574" i="1"/>
  <c r="X574" i="1"/>
  <c r="V574" i="1"/>
  <c r="Z574" i="1"/>
  <c r="W574" i="1"/>
  <c r="W655" i="1" s="1"/>
  <c r="O32" i="55"/>
  <c r="V271" i="1"/>
  <c r="V339" i="1" s="1"/>
  <c r="W271" i="1"/>
  <c r="S271" i="1"/>
  <c r="S339" i="1" s="1"/>
  <c r="P271" i="1"/>
  <c r="P339" i="1" s="1"/>
  <c r="U271" i="1"/>
  <c r="U339" i="1" s="1"/>
  <c r="T271" i="1"/>
  <c r="T339" i="1" s="1"/>
  <c r="J339" i="1"/>
  <c r="J430" i="1" s="1"/>
  <c r="X803" i="1"/>
  <c r="X805" i="1" s="1"/>
  <c r="X806" i="1" s="1"/>
  <c r="P39" i="55" s="1"/>
  <c r="P38" i="55" s="1"/>
  <c r="U803" i="1"/>
  <c r="U805" i="1" s="1"/>
  <c r="U806" i="1" s="1"/>
  <c r="M39" i="55" s="1"/>
  <c r="M38" i="55" s="1"/>
  <c r="P373" i="1"/>
  <c r="U373" i="1"/>
  <c r="T373" i="1"/>
  <c r="V373" i="1"/>
  <c r="S373" i="1"/>
  <c r="S422" i="1" s="1"/>
  <c r="S430" i="1" s="1"/>
  <c r="S431" i="1" s="1"/>
  <c r="K35" i="55" s="1"/>
  <c r="Z142" i="29"/>
  <c r="R52" i="55" s="1"/>
  <c r="R51" i="55" s="1"/>
  <c r="Y142" i="29"/>
  <c r="Q52" i="55" s="1"/>
  <c r="D51" i="55"/>
  <c r="M51" i="55" s="1"/>
  <c r="M142" i="29"/>
  <c r="E52" i="55" s="1"/>
  <c r="X142" i="29"/>
  <c r="P52" i="55" s="1"/>
  <c r="P51" i="55" s="1"/>
  <c r="Q142" i="29"/>
  <c r="I52" i="55" s="1"/>
  <c r="N142" i="29"/>
  <c r="F52" i="55" s="1"/>
  <c r="F51" i="55" s="1"/>
  <c r="O142" i="29"/>
  <c r="G52" i="55" s="1"/>
  <c r="R142" i="29"/>
  <c r="J52" i="55" s="1"/>
  <c r="J51" i="55" s="1"/>
  <c r="X720" i="1"/>
  <c r="Y720" i="1"/>
  <c r="Y725" i="1" s="1"/>
  <c r="W720" i="1"/>
  <c r="T197" i="1"/>
  <c r="S197" i="1"/>
  <c r="Y803" i="1"/>
  <c r="Y805" i="1" s="1"/>
  <c r="Y806" i="1" s="1"/>
  <c r="Q39" i="55" s="1"/>
  <c r="Q38" i="55" s="1"/>
  <c r="W339" i="1"/>
  <c r="W430" i="1" s="1"/>
  <c r="Q249" i="1"/>
  <c r="I33" i="55" s="1"/>
  <c r="I32" i="55" s="1"/>
  <c r="N249" i="1"/>
  <c r="F33" i="55" s="1"/>
  <c r="F32" i="55" s="1"/>
  <c r="D32" i="55"/>
  <c r="P32" i="55" s="1"/>
  <c r="V617" i="1"/>
  <c r="Z617" i="1"/>
  <c r="T617" i="1"/>
  <c r="T655" i="1" s="1"/>
  <c r="T736" i="1" s="1"/>
  <c r="T737" i="1" s="1"/>
  <c r="L37" i="55" s="1"/>
  <c r="X617" i="1"/>
  <c r="W617" i="1"/>
  <c r="Y617" i="1"/>
  <c r="W803" i="1"/>
  <c r="W805" i="1" s="1"/>
  <c r="W806" i="1" s="1"/>
  <c r="O39" i="55" s="1"/>
  <c r="O38" i="55" s="1"/>
  <c r="T196" i="1"/>
  <c r="S196" i="1"/>
  <c r="X660" i="1"/>
  <c r="X669" i="1" s="1"/>
  <c r="W660" i="1"/>
  <c r="W669" i="1" s="1"/>
  <c r="J669" i="1"/>
  <c r="J736" i="1" s="1"/>
  <c r="X675" i="1"/>
  <c r="X688" i="1" s="1"/>
  <c r="Y675" i="1"/>
  <c r="Y688" i="1" s="1"/>
  <c r="T100" i="29"/>
  <c r="S100" i="29"/>
  <c r="U392" i="1"/>
  <c r="V392" i="1"/>
  <c r="P392" i="1"/>
  <c r="T392" i="1"/>
  <c r="S392" i="1"/>
  <c r="U408" i="1"/>
  <c r="P408" i="1"/>
  <c r="S408" i="1"/>
  <c r="V408" i="1"/>
  <c r="T408" i="1"/>
  <c r="F660" i="64"/>
  <c r="F661" i="64" s="1"/>
  <c r="F662" i="64" s="1"/>
  <c r="F663" i="64" s="1"/>
  <c r="F664" i="64" s="1"/>
  <c r="F665" i="64" s="1"/>
  <c r="F666" i="64" s="1"/>
  <c r="F667" i="64" s="1"/>
  <c r="F668" i="64" s="1"/>
  <c r="F669" i="64" s="1"/>
  <c r="F670" i="64" s="1"/>
  <c r="F671" i="64" s="1"/>
  <c r="F672" i="64" s="1"/>
  <c r="F673" i="64" s="1"/>
  <c r="F674" i="64" s="1"/>
  <c r="F675" i="64" s="1"/>
  <c r="F676" i="64" s="1"/>
  <c r="F677" i="64" s="1"/>
  <c r="F678" i="64" s="1"/>
  <c r="F679" i="64" s="1"/>
  <c r="F680" i="64" s="1"/>
  <c r="F681" i="64" s="1"/>
  <c r="F682" i="64" s="1"/>
  <c r="F683" i="64" s="1"/>
  <c r="F684" i="64" s="1"/>
  <c r="F685" i="64" s="1"/>
  <c r="F686" i="64" s="1"/>
  <c r="F687" i="64" s="1"/>
  <c r="F688" i="64" s="1"/>
  <c r="F689" i="64" s="1"/>
  <c r="F690" i="64" s="1"/>
  <c r="F691" i="64" s="1"/>
  <c r="F692" i="64" s="1"/>
  <c r="F693" i="64" s="1"/>
  <c r="F694" i="64" s="1"/>
  <c r="F695" i="64" s="1"/>
  <c r="F696" i="64" s="1"/>
  <c r="F697" i="64" s="1"/>
  <c r="F698" i="64" s="1"/>
  <c r="F699" i="64" s="1"/>
  <c r="F700" i="64" s="1"/>
  <c r="F702" i="64" s="1"/>
  <c r="F703" i="64" s="1"/>
  <c r="F704" i="64" s="1"/>
  <c r="F705" i="64" s="1"/>
  <c r="F706" i="64" s="1"/>
  <c r="F707" i="64" s="1"/>
  <c r="F708" i="64" s="1"/>
  <c r="F709" i="64" s="1"/>
  <c r="F710" i="64" s="1"/>
  <c r="F711" i="64" s="1"/>
  <c r="F712" i="64" s="1"/>
  <c r="F713" i="64" s="1"/>
  <c r="F714" i="64" s="1"/>
  <c r="F715" i="64" s="1"/>
  <c r="F716" i="64" s="1"/>
  <c r="F717" i="64" s="1"/>
  <c r="F718" i="64" s="1"/>
  <c r="F719" i="64" s="1"/>
  <c r="F720" i="64" s="1"/>
  <c r="F721" i="64" s="1"/>
  <c r="F722" i="64" s="1"/>
  <c r="F723" i="64" s="1"/>
  <c r="F724" i="64" s="1"/>
  <c r="F725" i="64" s="1"/>
  <c r="F726" i="64" s="1"/>
  <c r="F727" i="64" s="1"/>
  <c r="F728" i="64" s="1"/>
  <c r="F729" i="64" s="1"/>
  <c r="F730" i="64" s="1"/>
  <c r="F731" i="64" s="1"/>
  <c r="F732" i="64" s="1"/>
  <c r="F733" i="64" s="1"/>
  <c r="F734" i="64" s="1"/>
  <c r="F735" i="64" s="1"/>
  <c r="F736" i="64" s="1"/>
  <c r="F737" i="64" s="1"/>
  <c r="F738" i="64" s="1"/>
  <c r="F739" i="64" s="1"/>
  <c r="F740" i="64" s="1"/>
  <c r="F741" i="64" s="1"/>
  <c r="F742" i="64" s="1"/>
  <c r="F743" i="64" s="1"/>
  <c r="F744" i="64" s="1"/>
  <c r="F745" i="64" s="1"/>
  <c r="F746" i="64" s="1"/>
  <c r="F747" i="64" s="1"/>
  <c r="F748" i="64" s="1"/>
  <c r="F750" i="64" s="1"/>
  <c r="F751" i="64" s="1"/>
  <c r="F752" i="64" s="1"/>
  <c r="F753" i="64" s="1"/>
  <c r="F754" i="64" s="1"/>
  <c r="F755" i="64" s="1"/>
  <c r="F756" i="64" s="1"/>
  <c r="F757" i="64" s="1"/>
  <c r="F758" i="64" s="1"/>
  <c r="F759" i="64" s="1"/>
  <c r="F760" i="64" s="1"/>
  <c r="F761" i="64" s="1"/>
  <c r="F762" i="64" s="1"/>
  <c r="F763" i="64" s="1"/>
  <c r="F764" i="64" s="1"/>
  <c r="F765" i="64" s="1"/>
  <c r="F766" i="64" s="1"/>
  <c r="F767" i="64" s="1"/>
  <c r="F768" i="64" s="1"/>
  <c r="F769" i="64" s="1"/>
  <c r="F770" i="64" s="1"/>
  <c r="F771" i="64" s="1"/>
  <c r="F772" i="64" s="1"/>
  <c r="F773" i="64" s="1"/>
  <c r="F774" i="64" s="1"/>
  <c r="F775" i="64" s="1"/>
  <c r="F776" i="64" s="1"/>
  <c r="F777" i="64" s="1"/>
  <c r="F778" i="64" s="1"/>
  <c r="F779" i="64" s="1"/>
  <c r="F780" i="64" s="1"/>
  <c r="F781" i="64" s="1"/>
  <c r="F782" i="64" s="1"/>
  <c r="F783" i="64" s="1"/>
  <c r="F784" i="64" s="1"/>
  <c r="F785" i="64" s="1"/>
  <c r="F786" i="64" s="1"/>
  <c r="F787" i="64" s="1"/>
  <c r="F788" i="64" s="1"/>
  <c r="F789" i="64" s="1"/>
  <c r="F790" i="64" s="1"/>
  <c r="F791" i="64" s="1"/>
  <c r="F792" i="64" s="1"/>
  <c r="F793" i="64" s="1"/>
  <c r="F794" i="64" s="1"/>
  <c r="F795" i="64" s="1"/>
  <c r="F796" i="64" s="1"/>
  <c r="F797" i="64" s="1"/>
  <c r="F798" i="64" s="1"/>
  <c r="F799" i="64" s="1"/>
  <c r="F801" i="64" s="1"/>
  <c r="F802" i="64" s="1"/>
  <c r="F803" i="64" s="1"/>
  <c r="F804" i="64" s="1"/>
  <c r="N47" i="55"/>
  <c r="F47" i="55"/>
  <c r="M47" i="55"/>
  <c r="H47" i="55"/>
  <c r="P47" i="55"/>
  <c r="R47" i="55"/>
  <c r="K47" i="55"/>
  <c r="J47" i="55"/>
  <c r="E47" i="55"/>
  <c r="S48" i="55"/>
  <c r="G51" i="55" l="1"/>
  <c r="I51" i="55"/>
  <c r="Q51" i="55"/>
  <c r="H51" i="55"/>
  <c r="V422" i="1"/>
  <c r="V430" i="1" s="1"/>
  <c r="V431" i="1" s="1"/>
  <c r="N35" i="55" s="1"/>
  <c r="U422" i="1"/>
  <c r="U430" i="1" s="1"/>
  <c r="U431" i="1" s="1"/>
  <c r="M35" i="55" s="1"/>
  <c r="M32" i="55"/>
  <c r="T422" i="1"/>
  <c r="T430" i="1" s="1"/>
  <c r="T431" i="1" s="1"/>
  <c r="L35" i="55" s="1"/>
  <c r="R38" i="55"/>
  <c r="L38" i="55"/>
  <c r="X655" i="1"/>
  <c r="X736" i="1" s="1"/>
  <c r="X737" i="1" s="1"/>
  <c r="P37" i="55" s="1"/>
  <c r="P36" i="55" s="1"/>
  <c r="O30" i="55"/>
  <c r="H32" i="55"/>
  <c r="P422" i="1"/>
  <c r="P430" i="1" s="1"/>
  <c r="P431" i="1" s="1"/>
  <c r="H35" i="55" s="1"/>
  <c r="U737" i="1"/>
  <c r="M37" i="55" s="1"/>
  <c r="R737" i="1"/>
  <c r="J37" i="55" s="1"/>
  <c r="J36" i="55" s="1"/>
  <c r="M737" i="1"/>
  <c r="E37" i="55" s="1"/>
  <c r="O737" i="1"/>
  <c r="G37" i="55" s="1"/>
  <c r="J838" i="1"/>
  <c r="G18" i="48" s="1"/>
  <c r="D36" i="55"/>
  <c r="E36" i="55" s="1"/>
  <c r="N737" i="1"/>
  <c r="F37" i="55" s="1"/>
  <c r="P737" i="1"/>
  <c r="H37" i="55" s="1"/>
  <c r="Q737" i="1"/>
  <c r="I37" i="55" s="1"/>
  <c r="S737" i="1"/>
  <c r="K37" i="55" s="1"/>
  <c r="K36" i="55" s="1"/>
  <c r="Z655" i="1"/>
  <c r="Z736" i="1" s="1"/>
  <c r="Z737" i="1" s="1"/>
  <c r="R37" i="55" s="1"/>
  <c r="V109" i="29"/>
  <c r="N50" i="55" s="1"/>
  <c r="Z109" i="29"/>
  <c r="R50" i="55" s="1"/>
  <c r="U109" i="29"/>
  <c r="M50" i="55" s="1"/>
  <c r="O109" i="29"/>
  <c r="G50" i="55" s="1"/>
  <c r="W109" i="29"/>
  <c r="O50" i="55" s="1"/>
  <c r="X109" i="29"/>
  <c r="P50" i="55" s="1"/>
  <c r="N109" i="29"/>
  <c r="F50" i="55" s="1"/>
  <c r="P109" i="29"/>
  <c r="H50" i="55" s="1"/>
  <c r="R109" i="29"/>
  <c r="J50" i="55" s="1"/>
  <c r="M109" i="29"/>
  <c r="E50" i="55" s="1"/>
  <c r="Y109" i="29"/>
  <c r="Q50" i="55" s="1"/>
  <c r="D49" i="55"/>
  <c r="Q109" i="29"/>
  <c r="I50" i="55" s="1"/>
  <c r="G30" i="55"/>
  <c r="R30" i="55"/>
  <c r="J30" i="55"/>
  <c r="E38" i="55"/>
  <c r="S39" i="55"/>
  <c r="T106" i="29"/>
  <c r="T108" i="29" s="1"/>
  <c r="T109" i="29" s="1"/>
  <c r="L50" i="55" s="1"/>
  <c r="Y655" i="1"/>
  <c r="Y736" i="1" s="1"/>
  <c r="Y737" i="1" s="1"/>
  <c r="Q37" i="55" s="1"/>
  <c r="N30" i="55"/>
  <c r="S229" i="1"/>
  <c r="S248" i="1" s="1"/>
  <c r="S249" i="1" s="1"/>
  <c r="K33" i="55" s="1"/>
  <c r="K32" i="55" s="1"/>
  <c r="W431" i="1"/>
  <c r="O35" i="55" s="1"/>
  <c r="E51" i="55"/>
  <c r="S52" i="55"/>
  <c r="I38" i="55"/>
  <c r="H38" i="55"/>
  <c r="V655" i="1"/>
  <c r="V736" i="1" s="1"/>
  <c r="V737" i="1" s="1"/>
  <c r="N37" i="55" s="1"/>
  <c r="S106" i="29"/>
  <c r="S108" i="29" s="1"/>
  <c r="S109" i="29" s="1"/>
  <c r="K50" i="55" s="1"/>
  <c r="Q32" i="55"/>
  <c r="L30" i="55"/>
  <c r="E30" i="55"/>
  <c r="H30" i="55"/>
  <c r="J145" i="29"/>
  <c r="G19" i="48" s="1"/>
  <c r="W737" i="1"/>
  <c r="O37" i="55" s="1"/>
  <c r="M30" i="55"/>
  <c r="K30" i="55"/>
  <c r="S31" i="55"/>
  <c r="Y431" i="1"/>
  <c r="Q35" i="55" s="1"/>
  <c r="N431" i="1"/>
  <c r="F35" i="55" s="1"/>
  <c r="R431" i="1"/>
  <c r="J35" i="55" s="1"/>
  <c r="J34" i="55" s="1"/>
  <c r="Z431" i="1"/>
  <c r="R35" i="55" s="1"/>
  <c r="R34" i="55" s="1"/>
  <c r="D34" i="55"/>
  <c r="M34" i="55" s="1"/>
  <c r="X431" i="1"/>
  <c r="P35" i="55" s="1"/>
  <c r="Q431" i="1"/>
  <c r="I35" i="55" s="1"/>
  <c r="I34" i="55" s="1"/>
  <c r="O431" i="1"/>
  <c r="G35" i="55" s="1"/>
  <c r="G34" i="55" s="1"/>
  <c r="M431" i="1"/>
  <c r="E35" i="55" s="1"/>
  <c r="I30" i="55"/>
  <c r="T229" i="1"/>
  <c r="T248" i="1" s="1"/>
  <c r="T249" i="1" s="1"/>
  <c r="L33" i="55" s="1"/>
  <c r="L32" i="55" s="1"/>
  <c r="N32" i="55"/>
  <c r="K51" i="55"/>
  <c r="N51" i="55"/>
  <c r="L51" i="55"/>
  <c r="J38" i="55"/>
  <c r="K38" i="55"/>
  <c r="F38" i="55"/>
  <c r="Q30" i="55"/>
  <c r="P30" i="55"/>
  <c r="E32" i="55"/>
  <c r="S47" i="55"/>
  <c r="R36" i="55"/>
  <c r="N36" i="55"/>
  <c r="M36" i="55" l="1"/>
  <c r="D53" i="55"/>
  <c r="S30" i="55"/>
  <c r="I36" i="55"/>
  <c r="Q36" i="55"/>
  <c r="L36" i="55"/>
  <c r="O36" i="55"/>
  <c r="F36" i="55"/>
  <c r="S51" i="55"/>
  <c r="S38" i="55"/>
  <c r="I49" i="55"/>
  <c r="J49" i="55"/>
  <c r="J53" i="55" s="1"/>
  <c r="O49" i="55"/>
  <c r="N49" i="55"/>
  <c r="O34" i="55"/>
  <c r="O53" i="55" s="1"/>
  <c r="H49" i="55"/>
  <c r="G49" i="55"/>
  <c r="N34" i="55"/>
  <c r="N53" i="55" s="1"/>
  <c r="G20" i="48"/>
  <c r="S37" i="55"/>
  <c r="P34" i="55"/>
  <c r="F34" i="55"/>
  <c r="S33" i="55"/>
  <c r="L49" i="55"/>
  <c r="Q49" i="55"/>
  <c r="F49" i="55"/>
  <c r="M49" i="55"/>
  <c r="M53" i="55" s="1"/>
  <c r="K34" i="55"/>
  <c r="H36" i="55"/>
  <c r="G36" i="55"/>
  <c r="L34" i="55"/>
  <c r="S32" i="55"/>
  <c r="E34" i="55"/>
  <c r="S35" i="55"/>
  <c r="Q34" i="55"/>
  <c r="K49" i="55"/>
  <c r="K53" i="55" s="1"/>
  <c r="S50" i="55"/>
  <c r="E49" i="55"/>
  <c r="P49" i="55"/>
  <c r="P53" i="55" s="1"/>
  <c r="R49" i="55"/>
  <c r="R53" i="55" s="1"/>
  <c r="H34" i="55"/>
  <c r="C38" i="55"/>
  <c r="C32" i="55"/>
  <c r="C30" i="55"/>
  <c r="C51" i="55"/>
  <c r="C34" i="55"/>
  <c r="C49" i="55"/>
  <c r="C47" i="55"/>
  <c r="C43" i="55"/>
  <c r="C23" i="55"/>
  <c r="C45" i="55"/>
  <c r="C28" i="55"/>
  <c r="C26" i="55"/>
  <c r="C21" i="55"/>
  <c r="C40" i="55"/>
  <c r="C17" i="55"/>
  <c r="C15" i="55"/>
  <c r="C19" i="55"/>
  <c r="C36" i="55"/>
  <c r="E53" i="55" l="1"/>
  <c r="F53" i="55"/>
  <c r="I53" i="55"/>
  <c r="S36" i="55"/>
  <c r="Q53" i="55"/>
  <c r="G53" i="55"/>
  <c r="L53" i="55"/>
  <c r="S49" i="55"/>
  <c r="S34" i="55"/>
  <c r="H53" i="55"/>
  <c r="S53" i="55" l="1"/>
  <c r="E54" i="55" s="1"/>
  <c r="K54" i="55"/>
  <c r="O54" i="55"/>
  <c r="G54" i="55"/>
  <c r="F54" i="55"/>
  <c r="P54" i="55"/>
  <c r="H54" i="55"/>
  <c r="Q54" i="55"/>
  <c r="J54" i="55"/>
  <c r="R54" i="55"/>
  <c r="N54" i="55"/>
  <c r="I54" i="55"/>
  <c r="L54" i="55"/>
  <c r="M54" i="5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<sst xmlns="http://schemas.openxmlformats.org/spreadsheetml/2006/main" count="101143" uniqueCount="15338">
  <si>
    <t>Código</t>
  </si>
  <si>
    <t>Descrição</t>
  </si>
  <si>
    <t>02.00.000</t>
  </si>
  <si>
    <t>03.00.000</t>
  </si>
  <si>
    <t>04.00.000</t>
  </si>
  <si>
    <t>06.00.000</t>
  </si>
  <si>
    <t>CÓDIGO</t>
  </si>
  <si>
    <t>FONTE</t>
  </si>
  <si>
    <t>SERVIÇOS PRELIMINARES</t>
  </si>
  <si>
    <t>07.00.000</t>
  </si>
  <si>
    <t>10.00.000</t>
  </si>
  <si>
    <t>Unidade</t>
  </si>
  <si>
    <t>Custo Unit.</t>
  </si>
  <si>
    <t>09.00.000</t>
  </si>
  <si>
    <t>11.00.000</t>
  </si>
  <si>
    <t>12.00.000</t>
  </si>
  <si>
    <t>13.00.000</t>
  </si>
  <si>
    <t>CUSTO TOTAL DOS SERVIÇOS</t>
  </si>
  <si>
    <t>PREÇO TOTAL DOS SERVIÇOS (CUSTO TOTAL + BDI)</t>
  </si>
  <si>
    <t>MÊS 1</t>
  </si>
  <si>
    <t>MÊS 2</t>
  </si>
  <si>
    <t>A</t>
  </si>
  <si>
    <t>B</t>
  </si>
  <si>
    <t>% MENSAL</t>
  </si>
  <si>
    <t>DESCRIÇÃO DA ETAPA</t>
  </si>
  <si>
    <t>PERCENTUAL DA ETAPA</t>
  </si>
  <si>
    <t>ETAPA</t>
  </si>
  <si>
    <t>COMPOSIÇÕES ANALÍTICAS</t>
  </si>
  <si>
    <t>QUANTIDADE:</t>
  </si>
  <si>
    <t xml:space="preserve">   </t>
  </si>
  <si>
    <t>MÊS 3</t>
  </si>
  <si>
    <t>UNIDADE</t>
  </si>
  <si>
    <t>ORIGEM DO PRECO</t>
  </si>
  <si>
    <t/>
  </si>
  <si>
    <t>UNIVERSIDADE DE BRASÍLIA</t>
  </si>
  <si>
    <t>SECRETARIA DE INFRAESTRUTURA</t>
  </si>
  <si>
    <t>LOCALIDADE: 4495 - BRASILIA</t>
  </si>
  <si>
    <t xml:space="preserve">CODIGO  </t>
  </si>
  <si>
    <t>DESCRICAO DO INSUMO</t>
  </si>
  <si>
    <t xml:space="preserve">UN    </t>
  </si>
  <si>
    <t>CR</t>
  </si>
  <si>
    <t xml:space="preserve">PAR   </t>
  </si>
  <si>
    <t xml:space="preserve">H     </t>
  </si>
  <si>
    <t xml:space="preserve">C </t>
  </si>
  <si>
    <t xml:space="preserve">M3    </t>
  </si>
  <si>
    <t xml:space="preserve">M2    </t>
  </si>
  <si>
    <t>AS</t>
  </si>
  <si>
    <t xml:space="preserve">M     </t>
  </si>
  <si>
    <t xml:space="preserve">KG    </t>
  </si>
  <si>
    <t xml:space="preserve">L     </t>
  </si>
  <si>
    <t xml:space="preserve">18L   </t>
  </si>
  <si>
    <t xml:space="preserve">MES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</si>
  <si>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</si>
  <si>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</si>
  <si>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</si>
  <si>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</si>
  <si>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</si>
  <si>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</si>
  <si>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</si>
  <si>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</si>
  <si>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</si>
  <si>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</si>
  <si>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</si>
  <si>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310ML </t>
  </si>
  <si>
    <t>SERVENTE COM ENCARGOS COMPLEMENTARES</t>
  </si>
  <si>
    <t>H</t>
  </si>
  <si>
    <t>CURSO DE CAPACITAÇÃO PARA SERVENTE (ENCARGOS COMPLEMENTARES) - HORISTA</t>
  </si>
  <si>
    <t>ARMADOR COM ENCARGOS COMPLEMENTARES</t>
  </si>
  <si>
    <t>CURSO DE CAPACITAÇÃO PARA AJUDANTE ESPECIALIZADO (ENCARGOS COMPLEMENTARES) - HORISTA</t>
  </si>
  <si>
    <t>ASSENTADOR DE TUBOS COM ENCARGOS COMPLEMENTARES</t>
  </si>
  <si>
    <t>CURSO DE CAPACITAÇÃO PARA ASSENTADOR DE TUBOS (ENCARGOS COMPLEMENTARES) - HORISTA</t>
  </si>
  <si>
    <t>AUXILIAR DE ELETRICISTA COM ENCARGOS COMPLEMENTARES</t>
  </si>
  <si>
    <t>CURSO DE CAPACITAÇÃO PARA AUXILIAR DE ELETRICISTA (ENCARGOS COMPLEMENTARES) - HORISTA</t>
  </si>
  <si>
    <t>AUXILIAR DE ENCANADOR OU BOMBEIRO HIDRÁULICO COM ENCARGOS COMPLEMENTARES</t>
  </si>
  <si>
    <t>CURSO DE CAPACITAÇÃO PARA AUXILIAR DE ENCANADOR OU BOMBEIRO HIDRÁULICO (ENCARGOS COMPLEMENTARES) - HORISTA</t>
  </si>
  <si>
    <t>AUXILIAR DE SERRALHEIRO COM ENCARGOS COMPLEMENTARES</t>
  </si>
  <si>
    <t>CURSO DE CAPACITAÇÃO PARA AUXILIAR DE SERRALHEIRO (ENCARGOS COMPLEMENTARES) - HORISTA</t>
  </si>
  <si>
    <t>AZULEJISTA OU LADRILHISTA COM ENCARGOS COMPLEMENTARES</t>
  </si>
  <si>
    <t>CURSO DE CAPACITAÇÃO PARA AZULEJISTA OU LADRILHISTA (ENCARGOS COMPLEMENTARES) - HORISTA</t>
  </si>
  <si>
    <t>CURSO DE CAPACITAÇÃO PARA CARPINTEIRO DE ESQUADRIA (ENCARGOS COMPLEMENTARES) - HORISTA</t>
  </si>
  <si>
    <t>CARPINTEIRO DE FORMAS COM ENCARGOS COMPLEMENTARES</t>
  </si>
  <si>
    <t>ELETRICISTA COM ENCARGOS COMPLEMENTARES</t>
  </si>
  <si>
    <t>CURSO DE CAPACITAÇÃO PARA ELETRICISTA (ENCARGOS COMPLEMENTARES) - HORISTA</t>
  </si>
  <si>
    <t>ENCANADOR OU BOMBEIRO HIDRÁULICO COM ENCARGOS COMPLEMENTARES</t>
  </si>
  <si>
    <t>GESSEIRO COM ENCARGOS COMPLEMENTARES</t>
  </si>
  <si>
    <t>CURSO DE CAPACITAÇÃO PARA ENCANADOR OU BOMBEIRO HIDRÁULICO (ENCARGOS COMPLEMENTARES) - HORISTA</t>
  </si>
  <si>
    <t>CURSO DE CAPACITAÇÃO PARA GESSEIRO (ENCARGOS COMPLEMENTARES) - HORISTA</t>
  </si>
  <si>
    <t>PEDREIRO COM ENCARGOS COMPLEMENTARES</t>
  </si>
  <si>
    <t>CURSO DE CAPACITAÇÃO PARA PEDREIRO (ENCARGOS COMPLEMENTARES) - HORISTA</t>
  </si>
  <si>
    <t>PINTOR COM ENCARGOS COMPLEMENTARES</t>
  </si>
  <si>
    <t>CURSO DE CAPACITAÇÃO PARA PINTOR (ENCARGOS COMPLEMENTARES) - HORISTA</t>
  </si>
  <si>
    <t>TELHADISTA COM ENCARGOS COMPLEMENTARES</t>
  </si>
  <si>
    <t>CURSO DE CAPACITAÇÃO PARA TELHADISTA (ENCARGOS COMPLEMENTARES) - HORISTA</t>
  </si>
  <si>
    <t>CURSO DE CAPACITAÇÃO PARA VIDRACEIRO (ENCARGOS COMPLEMENTARES) - HORISTA</t>
  </si>
  <si>
    <t>VIDRACEIRO COM ENCARGOS COMPLEMENTARES</t>
  </si>
  <si>
    <t>OPERADOR DE BETONEIRA ESTACIONÁRIA/MISTURADOR COM ENCARGOS COMPLEMENTARES</t>
  </si>
  <si>
    <t>CURSO DE CAPACITAÇÃO PARA OPERADOR DE BETONEIRA ESTACIONÁRIA/MISTURADOR (ENCARGOS COMPLEMENTARES) - HORISTA</t>
  </si>
  <si>
    <t>CHP</t>
  </si>
  <si>
    <t>CHI</t>
  </si>
  <si>
    <t>AJUDANTE ESPECIALIZADO COM ENCARGOS COMPLEMENTARES</t>
  </si>
  <si>
    <t>IMPERMEABILIZADOR COM ENCARGOS COMPLEMENTARES</t>
  </si>
  <si>
    <t>MOTORISTA DE CAMINHÃO COM ENCARGOS COMPLEMENTARES</t>
  </si>
  <si>
    <t>TRATORISTA COM ENCARGOS COMPLEMENTARES</t>
  </si>
  <si>
    <t>OPERADOR DE ESCAVADEIRA COM ENCARGOS COMPLEMENTARES</t>
  </si>
  <si>
    <t>OPERADOR DE MÁQUINAS E EQUIPAMENTOS COM ENCARGOS COMPLEMENTARES</t>
  </si>
  <si>
    <t>OPERADOR DE PÁ CARREGADEIRA COM ENCARGOS COMPLEMENTARES</t>
  </si>
  <si>
    <t>OPERADOR DE PAVIMENTADORA COM ENCARGOS COMPLEMENTARES</t>
  </si>
  <si>
    <t>OPERADOR DE ROLO COMPACTADOR COM ENCARGOS COMPLEMENTARES</t>
  </si>
  <si>
    <t>RASTELEIRO COM ENCARGOS COMPLEMENTARES</t>
  </si>
  <si>
    <t>SERRALHEIRO COM ENCARGOS COMPLEMENTARES</t>
  </si>
  <si>
    <t>CURSO DE CAPACITAÇÃO PARA ARMADOR (ENCARGOS COMPLEMENTARES) - HORISTA</t>
  </si>
  <si>
    <t>CURSO DE CAPACITAÇÃO PARA IMPERMEABILIZADOR (ENCARGOS COMPLEMENTARES) - HORISTA</t>
  </si>
  <si>
    <t>CURSO DE CAPACITAÇÃO PARA OPERADOR DE ESCAVADEIRA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</si>
  <si>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</si>
  <si>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</si>
  <si>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</si>
  <si>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RASTELEIRO (ENCARGOS COMPLEMENTARES) - HORISTA</t>
  </si>
  <si>
    <t>CURSO DE CAPACITAÇÃO PARA TRATORISTA (ENCARGOS COMPLEMENTARES) - HORISTA</t>
  </si>
  <si>
    <t>CURSO DE CAPACITAÇÃO PARA AJUDANTE DE CARPINTEIRO (ENCARGOS COMPLEMENTARES) - HORISTA</t>
  </si>
  <si>
    <t>CURSO DE CAPACITAÇÃO PARA OPERADOR DE MÁQUINAS E EQUIPAMENTOS (ENCARGOS COMPLEMENTARES) - HORISTA</t>
  </si>
  <si>
    <t>CURSO DE CAPACITAÇÃO PARA SERRALHEIRO (ENCARGOS COMPLEMENTARES) - HORISTA</t>
  </si>
  <si>
    <t>DESCRIÇÃO</t>
  </si>
  <si>
    <t>CUSTO UNIT.</t>
  </si>
  <si>
    <t>CUSTO TOTAL</t>
  </si>
  <si>
    <t>CUSTO (mão-de-obra):</t>
  </si>
  <si>
    <t>CUSTO (material):</t>
  </si>
  <si>
    <t>CUSTO TOTAL UNIT.:</t>
  </si>
  <si>
    <t>CUSTO TOTAL:</t>
  </si>
  <si>
    <t>ENDEREÇO:</t>
  </si>
  <si>
    <t>BDI:</t>
  </si>
  <si>
    <t>Preço Total</t>
  </si>
  <si>
    <t>Quant.</t>
  </si>
  <si>
    <t>CODIGO  DA COMPOSICAO</t>
  </si>
  <si>
    <t>DESCRICAO DA COMPOSICAO</t>
  </si>
  <si>
    <t>ORIGEM DE PREÇO</t>
  </si>
  <si>
    <t>VINCULO</t>
  </si>
  <si>
    <t>M</t>
  </si>
  <si>
    <t>ATRIBUÍDO SÃO PAULO</t>
  </si>
  <si>
    <t>CAIXA REFERENCIAL</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</si>
  <si>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</si>
  <si>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</si>
  <si>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</si>
  <si>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</si>
  <si>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</si>
  <si>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</si>
  <si>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</si>
  <si>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</si>
  <si>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</si>
  <si>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</si>
  <si>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</si>
  <si>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</si>
  <si>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</si>
  <si>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</si>
  <si>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</si>
  <si>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</si>
  <si>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</si>
  <si>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</si>
  <si>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</si>
  <si>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</si>
  <si>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</si>
  <si>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</si>
  <si>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</si>
  <si>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</si>
  <si>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</si>
  <si>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</si>
  <si>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</si>
  <si>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</si>
  <si>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</si>
  <si>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</si>
  <si>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</si>
  <si>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</si>
  <si>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</si>
  <si>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</si>
  <si>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</si>
  <si>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</si>
  <si>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</si>
  <si>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</si>
  <si>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</si>
  <si>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</si>
  <si>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</si>
  <si>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</si>
  <si>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</si>
  <si>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</si>
  <si>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</si>
  <si>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</si>
  <si>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</si>
  <si>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</si>
  <si>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</si>
  <si>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</si>
  <si>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</si>
  <si>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</si>
  <si>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</si>
  <si>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</si>
  <si>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</si>
  <si>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</si>
  <si>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</si>
  <si>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</si>
  <si>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</si>
  <si>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</si>
  <si>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</si>
  <si>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</si>
  <si>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</si>
  <si>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</si>
  <si>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</si>
  <si>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</si>
  <si>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</si>
  <si>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</si>
  <si>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</si>
  <si>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</si>
  <si>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</si>
  <si>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</si>
  <si>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</si>
  <si>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</si>
  <si>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</si>
  <si>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</si>
  <si>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</si>
  <si>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</si>
  <si>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</si>
  <si>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</si>
  <si>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</si>
  <si>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</si>
  <si>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</si>
  <si>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</si>
  <si>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</si>
  <si>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</si>
  <si>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</si>
  <si>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</si>
  <si>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</si>
  <si>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</si>
  <si>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</si>
  <si>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</si>
  <si>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</si>
  <si>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</si>
  <si>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</si>
  <si>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</si>
  <si>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</si>
  <si>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</si>
  <si>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</si>
  <si>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</si>
  <si>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</si>
  <si>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</si>
  <si>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</si>
  <si>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</si>
  <si>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</si>
  <si>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</si>
  <si>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</si>
  <si>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</si>
  <si>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</si>
  <si>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</si>
  <si>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</si>
  <si>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</si>
  <si>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</si>
  <si>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</si>
  <si>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</si>
  <si>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</si>
  <si>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</si>
  <si>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</si>
  <si>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</si>
  <si>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</si>
  <si>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</si>
  <si>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</si>
  <si>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</si>
  <si>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</si>
  <si>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</si>
  <si>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</si>
  <si>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</si>
  <si>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</si>
  <si>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</si>
  <si>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</si>
  <si>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</si>
  <si>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</si>
  <si>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</si>
  <si>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</si>
  <si>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</si>
  <si>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</si>
  <si>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</si>
  <si>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</si>
  <si>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</si>
  <si>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</si>
  <si>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</si>
  <si>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</si>
  <si>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</si>
  <si>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</si>
  <si>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</si>
  <si>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</si>
  <si>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</si>
  <si>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</si>
  <si>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</si>
  <si>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</si>
  <si>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</si>
  <si>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</si>
  <si>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</si>
  <si>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</si>
  <si>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</si>
  <si>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</si>
  <si>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</si>
  <si>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</si>
  <si>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</si>
  <si>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</si>
  <si>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</si>
  <si>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</si>
  <si>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</si>
  <si>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</si>
  <si>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</si>
  <si>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</si>
  <si>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</si>
  <si>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</si>
  <si>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</si>
  <si>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</si>
  <si>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</si>
  <si>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</si>
  <si>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</si>
  <si>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</si>
  <si>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</si>
  <si>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</si>
  <si>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</si>
  <si>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</si>
  <si>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</si>
  <si>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</si>
  <si>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MES</t>
  </si>
  <si>
    <t>COEFICIENTE DE REPRESENTATIVIDADE</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</si>
  <si>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</si>
  <si>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</si>
  <si>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</si>
  <si>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</si>
  <si>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</si>
  <si>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</si>
  <si>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</si>
  <si>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</si>
  <si>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</si>
  <si>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</si>
  <si>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</si>
  <si>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</si>
  <si>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</si>
  <si>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</si>
  <si>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</si>
  <si>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</si>
  <si>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</si>
  <si>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</si>
  <si>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</si>
  <si>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</si>
  <si>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</si>
  <si>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</si>
  <si>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</si>
  <si>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</si>
  <si>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</si>
  <si>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COLETADO</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</si>
  <si>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</si>
  <si>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</si>
  <si>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</si>
  <si>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</si>
  <si>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</si>
  <si>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</si>
  <si>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</si>
  <si>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</si>
  <si>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</si>
  <si>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</si>
  <si>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</si>
  <si>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</si>
  <si>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</si>
  <si>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</si>
  <si>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</si>
  <si>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</si>
  <si>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</si>
  <si>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</si>
  <si>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</si>
  <si>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</si>
  <si>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</si>
  <si>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</si>
  <si>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</si>
  <si>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</si>
  <si>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</si>
  <si>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</si>
  <si>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</si>
  <si>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</si>
  <si>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</si>
  <si>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</si>
  <si>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</si>
  <si>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</si>
  <si>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</si>
  <si>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</si>
  <si>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</si>
  <si>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</si>
  <si>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</si>
  <si>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</si>
  <si>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</si>
  <si>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</si>
  <si>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</si>
  <si>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</si>
  <si>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</si>
  <si>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</si>
  <si>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</si>
  <si>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</si>
  <si>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</si>
  <si>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</si>
  <si>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</si>
  <si>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</si>
  <si>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</si>
  <si>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</si>
  <si>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</si>
  <si>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</si>
  <si>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</si>
  <si>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</si>
  <si>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</si>
  <si>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</si>
  <si>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</si>
  <si>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</si>
  <si>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</si>
  <si>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</si>
  <si>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</si>
  <si>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</si>
  <si>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</si>
  <si>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</si>
  <si>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</si>
  <si>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</si>
  <si>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</si>
  <si>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</si>
  <si>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</si>
  <si>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</si>
  <si>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</si>
  <si>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</si>
  <si>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</si>
  <si>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</si>
  <si>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</si>
  <si>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</si>
  <si>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</si>
  <si>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</si>
  <si>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</si>
  <si>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</si>
  <si>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</si>
  <si>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</si>
  <si>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</si>
  <si>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</si>
  <si>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</si>
  <si>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</si>
  <si>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</si>
  <si>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</si>
  <si>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</si>
  <si>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</si>
  <si>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</si>
  <si>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</si>
  <si>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</si>
  <si>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</si>
  <si>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</si>
  <si>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</si>
  <si>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</si>
  <si>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</si>
  <si>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</si>
  <si>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</si>
  <si>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</si>
  <si>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</si>
  <si>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</si>
  <si>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</si>
  <si>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</si>
  <si>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</si>
  <si>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</si>
  <si>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</si>
  <si>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</si>
  <si>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</si>
  <si>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</si>
  <si>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</si>
  <si>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</si>
  <si>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</si>
  <si>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</si>
  <si>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</si>
  <si>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</si>
  <si>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</si>
  <si>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</si>
  <si>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</si>
  <si>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</si>
  <si>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</si>
  <si>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</si>
  <si>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</si>
  <si>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</si>
  <si>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</si>
  <si>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</si>
  <si>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</si>
  <si>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</si>
  <si>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</si>
  <si>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</si>
  <si>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</si>
  <si>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</si>
  <si>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</si>
  <si>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</si>
  <si>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</si>
  <si>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</si>
  <si>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</si>
  <si>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</si>
  <si>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</si>
  <si>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</si>
  <si>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</si>
  <si>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</si>
  <si>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</si>
  <si>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</si>
  <si>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</si>
  <si>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</si>
  <si>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</si>
  <si>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</si>
  <si>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</si>
  <si>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</si>
  <si>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</si>
  <si>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</si>
  <si>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</si>
  <si>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</si>
  <si>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</si>
  <si>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</si>
  <si>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</si>
  <si>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</si>
  <si>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</si>
  <si>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</si>
  <si>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</si>
  <si>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</si>
  <si>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</si>
  <si>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</si>
  <si>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</si>
  <si>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</si>
  <si>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</si>
  <si>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</si>
  <si>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</si>
  <si>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</si>
  <si>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</si>
  <si>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</si>
  <si>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</si>
  <si>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</si>
  <si>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</si>
  <si>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</si>
  <si>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</si>
  <si>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</si>
  <si>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</si>
  <si>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</si>
  <si>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</si>
  <si>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</si>
  <si>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</si>
  <si>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</si>
  <si>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</si>
  <si>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</si>
  <si>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</si>
  <si>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</si>
  <si>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</si>
  <si>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</si>
  <si>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</si>
  <si>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</si>
  <si>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</si>
  <si>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</si>
  <si>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</si>
  <si>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</si>
  <si>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</si>
  <si>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</si>
  <si>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</si>
  <si>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</si>
  <si>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</si>
  <si>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</si>
  <si>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</si>
  <si>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</si>
  <si>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</si>
  <si>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</si>
  <si>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</si>
  <si>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</si>
  <si>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</si>
  <si>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</si>
  <si>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</si>
  <si>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</si>
  <si>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</si>
  <si>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</si>
  <si>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</si>
  <si>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</si>
  <si>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</si>
  <si>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</si>
  <si>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</si>
  <si>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</si>
  <si>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</si>
  <si>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</si>
  <si>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</si>
  <si>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</si>
  <si>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</si>
  <si>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</si>
  <si>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</si>
  <si>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</si>
  <si>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</si>
  <si>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</si>
  <si>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</si>
  <si>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</si>
  <si>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</si>
  <si>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</si>
  <si>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</si>
  <si>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</si>
  <si>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</si>
  <si>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</si>
  <si>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</si>
  <si>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</si>
  <si>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</si>
  <si>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</si>
  <si>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</si>
  <si>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</si>
  <si>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</si>
  <si>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</si>
  <si>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</si>
  <si>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</si>
  <si>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</si>
  <si>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</si>
  <si>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</si>
  <si>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</si>
  <si>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</si>
  <si>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</si>
  <si>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</si>
  <si>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</si>
  <si>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</si>
  <si>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</si>
  <si>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</si>
  <si>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</si>
  <si>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</si>
  <si>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</si>
  <si>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</si>
  <si>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</si>
  <si>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</si>
  <si>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</si>
  <si>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</si>
  <si>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</si>
  <si>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</si>
  <si>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</si>
  <si>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</si>
  <si>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</si>
  <si>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</si>
  <si>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</si>
  <si>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</si>
  <si>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</si>
  <si>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</si>
  <si>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</si>
  <si>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</si>
  <si>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</si>
  <si>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</si>
  <si>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</si>
  <si>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</si>
  <si>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</si>
  <si>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</si>
  <si>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</si>
  <si>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</si>
  <si>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</si>
  <si>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</si>
  <si>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</si>
  <si>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</si>
  <si>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</si>
  <si>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</si>
  <si>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</si>
  <si>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</si>
  <si>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</si>
  <si>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</si>
  <si>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</si>
  <si>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</si>
  <si>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</si>
  <si>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</si>
  <si>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</si>
  <si>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</si>
  <si>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</si>
  <si>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</si>
  <si>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</si>
  <si>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</si>
  <si>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</si>
  <si>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</si>
  <si>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</si>
  <si>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</si>
  <si>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</si>
  <si>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</si>
  <si>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</si>
  <si>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</si>
  <si>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</si>
  <si>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</si>
  <si>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</si>
  <si>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</si>
  <si>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</si>
  <si>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</si>
  <si>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</si>
  <si>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</si>
  <si>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</si>
  <si>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</si>
  <si>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</si>
  <si>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</si>
  <si>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</si>
  <si>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</si>
  <si>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</si>
  <si>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</si>
  <si>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</si>
  <si>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</si>
  <si>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</si>
  <si>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</si>
  <si>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</si>
  <si>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</si>
  <si>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</si>
  <si>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</si>
  <si>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</si>
  <si>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</si>
  <si>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</si>
  <si>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</si>
  <si>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</si>
  <si>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</si>
  <si>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</si>
  <si>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</si>
  <si>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</si>
  <si>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</si>
  <si>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</si>
  <si>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</si>
  <si>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</si>
  <si>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</si>
  <si>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</si>
  <si>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</si>
  <si>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</si>
  <si>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</si>
  <si>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</si>
  <si>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</si>
  <si>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</si>
  <si>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</si>
  <si>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</si>
  <si>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</si>
  <si>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</si>
  <si>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</si>
  <si>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</si>
  <si>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</si>
  <si>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</si>
  <si>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</si>
  <si>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</si>
  <si>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</si>
  <si>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</si>
  <si>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</si>
  <si>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</si>
  <si>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</si>
  <si>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</si>
  <si>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</si>
  <si>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</si>
  <si>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</si>
  <si>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</si>
  <si>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</si>
  <si>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</si>
  <si>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</si>
  <si>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</si>
  <si>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</si>
  <si>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</si>
  <si>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</si>
  <si>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</si>
  <si>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</si>
  <si>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</si>
  <si>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</si>
  <si>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</si>
  <si>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</si>
  <si>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</si>
  <si>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</si>
  <si>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</si>
  <si>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</si>
  <si>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</si>
  <si>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</si>
  <si>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</si>
  <si>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</si>
  <si>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</si>
  <si>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</si>
  <si>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</si>
  <si>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</si>
  <si>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</si>
  <si>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</si>
  <si>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</si>
  <si>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</si>
  <si>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</si>
  <si>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</si>
  <si>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</si>
  <si>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</si>
  <si>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</si>
  <si>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</si>
  <si>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</si>
  <si>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</si>
  <si>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</si>
  <si>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</si>
  <si>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</si>
  <si>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</si>
  <si>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</si>
  <si>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</si>
  <si>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</si>
  <si>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</si>
  <si>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</si>
  <si>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</si>
  <si>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</si>
  <si>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</si>
  <si>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</si>
  <si>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</si>
  <si>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</si>
  <si>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</si>
  <si>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</si>
  <si>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</si>
  <si>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</si>
  <si>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</si>
  <si>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</si>
  <si>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</si>
  <si>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</si>
  <si>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</si>
  <si>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</si>
  <si>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</si>
  <si>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</si>
  <si>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</si>
  <si>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</si>
  <si>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</si>
  <si>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</si>
  <si>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</si>
  <si>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</si>
  <si>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</si>
  <si>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</si>
  <si>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</si>
  <si>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</si>
  <si>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</si>
  <si>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</si>
  <si>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</si>
  <si>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</si>
  <si>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</si>
  <si>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</si>
  <si>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</si>
  <si>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</si>
  <si>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</si>
  <si>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</si>
  <si>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</si>
  <si>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</si>
  <si>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</si>
  <si>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</si>
  <si>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</si>
  <si>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</si>
  <si>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</si>
  <si>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</si>
  <si>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</si>
  <si>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</si>
  <si>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</si>
  <si>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</si>
  <si>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</si>
  <si>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</si>
  <si>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</si>
  <si>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</si>
  <si>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</si>
  <si>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</si>
  <si>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</si>
  <si>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</si>
  <si>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</si>
  <si>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</si>
  <si>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</si>
  <si>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</si>
  <si>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</si>
  <si>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</si>
  <si>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</si>
  <si>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</si>
  <si>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</si>
  <si>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</si>
  <si>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</si>
  <si>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</si>
  <si>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</si>
  <si>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</si>
  <si>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</si>
  <si>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</si>
  <si>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</si>
  <si>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</si>
  <si>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</si>
  <si>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</si>
  <si>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</si>
  <si>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</si>
  <si>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</si>
  <si>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</si>
  <si>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</si>
  <si>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</si>
  <si>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</si>
  <si>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</si>
  <si>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</si>
  <si>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</si>
  <si>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</si>
  <si>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</si>
  <si>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</si>
  <si>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</si>
  <si>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</si>
  <si>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</si>
  <si>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</si>
  <si>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</si>
  <si>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</si>
  <si>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</si>
  <si>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</si>
  <si>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</si>
  <si>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</si>
  <si>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</si>
  <si>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</si>
  <si>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</si>
  <si>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</si>
  <si>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</si>
  <si>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</si>
  <si>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</si>
  <si>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</si>
  <si>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</si>
  <si>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</si>
  <si>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</si>
  <si>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</si>
  <si>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</si>
  <si>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</si>
  <si>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</si>
  <si>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</si>
  <si>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</si>
  <si>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</si>
  <si>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</si>
  <si>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</si>
  <si>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</si>
  <si>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</si>
  <si>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</si>
  <si>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</si>
  <si>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</si>
  <si>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</si>
  <si>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</si>
  <si>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</si>
  <si>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</si>
  <si>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</si>
  <si>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</si>
  <si>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</si>
  <si>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</si>
  <si>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</si>
  <si>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</si>
  <si>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</si>
  <si>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</si>
  <si>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</si>
  <si>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</si>
  <si>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</si>
  <si>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</si>
  <si>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</si>
  <si>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</si>
  <si>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</si>
  <si>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</si>
  <si>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</si>
  <si>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</si>
  <si>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</si>
  <si>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</si>
  <si>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</si>
  <si>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</si>
  <si>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</si>
  <si>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</si>
  <si>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</si>
  <si>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</si>
  <si>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</si>
  <si>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</si>
  <si>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</si>
  <si>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</si>
  <si>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</si>
  <si>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</si>
  <si>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</si>
  <si>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</si>
  <si>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</si>
  <si>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</si>
  <si>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</si>
  <si>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</si>
  <si>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</si>
  <si>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</si>
  <si>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</si>
  <si>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</si>
  <si>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</si>
  <si>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</si>
  <si>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</si>
  <si>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</si>
  <si>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</si>
  <si>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</si>
  <si>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</si>
  <si>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</si>
  <si>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</si>
  <si>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</si>
  <si>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</si>
  <si>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</si>
  <si>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</si>
  <si>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</si>
  <si>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</si>
  <si>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</si>
  <si>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</si>
  <si>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</si>
  <si>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</si>
  <si>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</si>
  <si>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</si>
  <si>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</si>
  <si>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</si>
  <si>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</si>
  <si>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</si>
  <si>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</si>
  <si>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</si>
  <si>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</si>
  <si>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</si>
  <si>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</si>
  <si>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</si>
  <si>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</si>
  <si>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</si>
  <si>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</si>
  <si>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</si>
  <si>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</si>
  <si>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</si>
  <si>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</si>
  <si>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</si>
  <si>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</si>
  <si>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</si>
  <si>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</si>
  <si>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</si>
  <si>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</si>
  <si>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</si>
  <si>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</si>
  <si>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</si>
  <si>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</si>
  <si>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</si>
  <si>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</si>
  <si>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</si>
  <si>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</si>
  <si>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</si>
  <si>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</si>
  <si>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</si>
  <si>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</si>
  <si>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</si>
  <si>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</si>
  <si>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</si>
  <si>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</si>
  <si>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</si>
  <si>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</si>
  <si>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</si>
  <si>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</si>
  <si>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</si>
  <si>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</si>
  <si>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</si>
  <si>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</si>
  <si>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</si>
  <si>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</si>
  <si>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</si>
  <si>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</si>
  <si>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</si>
  <si>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</si>
  <si>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</si>
  <si>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</si>
  <si>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</si>
  <si>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</si>
  <si>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</si>
  <si>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</si>
  <si>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</si>
  <si>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</si>
  <si>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</si>
  <si>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</si>
  <si>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</si>
  <si>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</si>
  <si>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</si>
  <si>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</si>
  <si>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</si>
  <si>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</si>
  <si>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</si>
  <si>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</si>
  <si>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</si>
  <si>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</si>
  <si>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</si>
  <si>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</si>
  <si>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</si>
  <si>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</si>
  <si>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</si>
  <si>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</si>
  <si>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</si>
  <si>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</si>
  <si>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</si>
  <si>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</si>
  <si>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</si>
  <si>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</si>
  <si>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</si>
  <si>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</si>
  <si>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</si>
  <si>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</si>
  <si>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</si>
  <si>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</si>
  <si>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</si>
  <si>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</si>
  <si>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</si>
  <si>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</si>
  <si>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</si>
  <si>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</si>
  <si>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</si>
  <si>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</si>
  <si>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</si>
  <si>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</si>
  <si>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</si>
  <si>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</si>
  <si>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</si>
  <si>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</si>
  <si>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</si>
  <si>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</si>
  <si>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</si>
  <si>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</si>
  <si>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</si>
  <si>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</si>
  <si>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</si>
  <si>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</si>
  <si>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</si>
  <si>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</si>
  <si>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</si>
  <si>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</si>
  <si>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</si>
  <si>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</si>
  <si>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</si>
  <si>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</si>
  <si>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</si>
  <si>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</si>
  <si>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</si>
  <si>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</si>
  <si>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</si>
  <si>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</si>
  <si>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</si>
  <si>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</si>
  <si>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</si>
  <si>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</si>
  <si>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</si>
  <si>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</si>
  <si>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</si>
  <si>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</si>
  <si>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</si>
  <si>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</si>
  <si>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</si>
  <si>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</si>
  <si>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</si>
  <si>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</si>
  <si>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</si>
  <si>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</si>
  <si>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</si>
  <si>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</si>
  <si>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</si>
  <si>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</si>
  <si>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</si>
  <si>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</si>
  <si>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</si>
  <si>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</si>
  <si>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</si>
  <si>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</si>
  <si>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</si>
  <si>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</si>
  <si>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</si>
  <si>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</si>
  <si>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</si>
  <si>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</si>
  <si>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</si>
  <si>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</si>
  <si>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</si>
  <si>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</si>
  <si>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</si>
  <si>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</si>
  <si>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</si>
  <si>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</si>
  <si>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</si>
  <si>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</si>
  <si>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</si>
  <si>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</si>
  <si>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</si>
  <si>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</si>
  <si>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</si>
  <si>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</si>
  <si>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</si>
  <si>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</si>
  <si>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</si>
  <si>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</si>
  <si>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</si>
  <si>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</si>
  <si>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</si>
  <si>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</si>
  <si>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</si>
  <si>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</si>
  <si>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</si>
  <si>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</si>
  <si>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</si>
  <si>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</si>
  <si>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</si>
  <si>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</si>
  <si>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</si>
  <si>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</si>
  <si>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</si>
  <si>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</si>
  <si>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</si>
  <si>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</si>
  <si>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</si>
  <si>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</si>
  <si>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</si>
  <si>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</si>
  <si>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</si>
  <si>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</si>
  <si>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</si>
  <si>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</si>
  <si>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</si>
  <si>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</si>
  <si>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</si>
  <si>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</si>
  <si>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</si>
  <si>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</si>
  <si>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</si>
  <si>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</si>
  <si>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</si>
  <si>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</si>
  <si>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</si>
  <si>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</si>
  <si>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</si>
  <si>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</si>
  <si>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</si>
  <si>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</si>
  <si>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</si>
  <si>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</si>
  <si>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</si>
  <si>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</si>
  <si>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</si>
  <si>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</si>
  <si>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</si>
  <si>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</si>
  <si>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</si>
  <si>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</si>
  <si>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73816/1</t>
  </si>
  <si>
    <t>EXECUCAO DE DRENO COM TUBOS DE PVC CORRUGADO FLEXIVEL PERFURADO - DN 100</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</si>
  <si>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</si>
  <si>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</si>
  <si>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</si>
  <si>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</si>
  <si>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</si>
  <si>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</si>
  <si>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</si>
  <si>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</si>
  <si>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</si>
  <si>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</si>
  <si>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</si>
  <si>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</si>
  <si>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</si>
  <si>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</si>
  <si>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</si>
  <si>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</si>
  <si>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</si>
  <si>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</si>
  <si>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</si>
  <si>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</si>
  <si>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</si>
  <si>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</si>
  <si>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</si>
  <si>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</si>
  <si>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</si>
  <si>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</si>
  <si>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</si>
  <si>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</si>
  <si>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</si>
  <si>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</si>
  <si>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</si>
  <si>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</si>
  <si>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</si>
  <si>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</si>
  <si>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</si>
  <si>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</si>
  <si>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</si>
  <si>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</si>
  <si>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</si>
  <si>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</si>
  <si>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</si>
  <si>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</si>
  <si>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</si>
  <si>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</si>
  <si>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</si>
  <si>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</si>
  <si>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</si>
  <si>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</si>
  <si>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</si>
  <si>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</si>
  <si>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</si>
  <si>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</si>
  <si>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</si>
  <si>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</si>
  <si>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</si>
  <si>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</si>
  <si>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</si>
  <si>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</si>
  <si>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</si>
  <si>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</si>
  <si>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</si>
  <si>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</si>
  <si>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</si>
  <si>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</si>
  <si>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</si>
  <si>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</si>
  <si>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</si>
  <si>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</si>
  <si>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</si>
  <si>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</si>
  <si>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</si>
  <si>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</si>
  <si>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</si>
  <si>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</si>
  <si>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</si>
  <si>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</si>
  <si>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</si>
  <si>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</si>
  <si>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</si>
  <si>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</si>
  <si>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</si>
  <si>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</si>
  <si>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</si>
  <si>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</si>
  <si>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</si>
  <si>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</si>
  <si>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</si>
  <si>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</si>
  <si>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</si>
  <si>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</si>
  <si>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</si>
  <si>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</si>
  <si>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</si>
  <si>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</si>
  <si>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</si>
  <si>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</si>
  <si>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</si>
  <si>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</si>
  <si>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</si>
  <si>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</si>
  <si>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</si>
  <si>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</si>
  <si>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</si>
  <si>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</si>
  <si>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</si>
  <si>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</si>
  <si>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</si>
  <si>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</si>
  <si>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</si>
  <si>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</si>
  <si>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</si>
  <si>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</si>
  <si>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</si>
  <si>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</si>
  <si>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</si>
  <si>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</si>
  <si>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</si>
  <si>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</si>
  <si>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</si>
  <si>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</si>
  <si>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</si>
  <si>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</si>
  <si>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</si>
  <si>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</si>
  <si>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</si>
  <si>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</si>
  <si>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</si>
  <si>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</si>
  <si>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</si>
  <si>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</si>
  <si>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</si>
  <si>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</si>
  <si>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</si>
  <si>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</si>
  <si>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</si>
  <si>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</si>
  <si>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</si>
  <si>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</si>
  <si>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</si>
  <si>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</si>
  <si>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</si>
  <si>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</si>
  <si>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</si>
  <si>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</si>
  <si>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</si>
  <si>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</si>
  <si>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</si>
  <si>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</si>
  <si>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</si>
  <si>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</si>
  <si>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</si>
  <si>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</si>
  <si>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</si>
  <si>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</si>
  <si>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</si>
  <si>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</si>
  <si>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</si>
  <si>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</si>
  <si>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</si>
  <si>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</si>
  <si>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</si>
  <si>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</si>
  <si>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</si>
  <si>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</si>
  <si>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</si>
  <si>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</si>
  <si>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</si>
  <si>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ESCADA TIPO MARINHEIRO EM ACO CA-50 9,52MM INCLUSO PINTURA COM FUNDO ANTICORROSIVO TIPO ZARCAO</t>
  </si>
  <si>
    <t>74194/1</t>
  </si>
  <si>
    <t>ESCADA TIPO MARINHEIRO EM TUBO ACO GALVANIZADO 1 1/2" 5 DEGRAUS</t>
  </si>
  <si>
    <t>JOGO DE FERRAGENS CROMADAS PARA PORTA DE VIDRO TEMPERADO, UMA FOLHA COMPOSTO DE DOBRADICAS SUPERIOR E INFERIOR, TRINCO, FECHADURA, CONTRA FECHADURA COM CAPUCHINHO SEM MOLA E PUXADOR</t>
  </si>
  <si>
    <t>MOLA HIDRAULICA DE PISO PARA PORTA DE VIDRO TEMPERADO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</si>
  <si>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</si>
  <si>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</si>
  <si>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</si>
  <si>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</si>
  <si>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</si>
  <si>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</si>
  <si>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</si>
  <si>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</si>
  <si>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</si>
  <si>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</si>
  <si>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</si>
  <si>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</si>
  <si>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</si>
  <si>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</si>
  <si>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</si>
  <si>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</si>
  <si>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</si>
  <si>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</si>
  <si>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</si>
  <si>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73908/2</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</si>
  <si>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</si>
  <si>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</si>
  <si>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</si>
  <si>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</si>
  <si>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</si>
  <si>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</si>
  <si>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</si>
  <si>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</si>
  <si>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</si>
  <si>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</si>
  <si>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</si>
  <si>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</si>
  <si>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</si>
  <si>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</si>
  <si>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</si>
  <si>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</si>
  <si>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</si>
  <si>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</si>
  <si>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</si>
  <si>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</si>
  <si>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</si>
  <si>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</si>
  <si>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</si>
  <si>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</si>
  <si>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</si>
  <si>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</si>
  <si>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</si>
  <si>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</si>
  <si>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</si>
  <si>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</si>
  <si>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</si>
  <si>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</si>
  <si>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</si>
  <si>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</si>
  <si>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</si>
  <si>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</si>
  <si>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</si>
  <si>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</si>
  <si>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</si>
  <si>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</si>
  <si>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</si>
  <si>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</si>
  <si>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</si>
  <si>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</si>
  <si>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</si>
  <si>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</si>
  <si>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</si>
  <si>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</si>
  <si>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</si>
  <si>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</si>
  <si>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</si>
  <si>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</si>
  <si>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</si>
  <si>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</si>
  <si>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</si>
  <si>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</si>
  <si>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</si>
  <si>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</si>
  <si>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</si>
  <si>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</si>
  <si>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</si>
  <si>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</si>
  <si>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</si>
  <si>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</si>
  <si>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</si>
  <si>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</si>
  <si>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</si>
  <si>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</si>
  <si>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</si>
  <si>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</si>
  <si>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</si>
  <si>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</si>
  <si>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</si>
  <si>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</si>
  <si>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</si>
  <si>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</si>
  <si>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</si>
  <si>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</si>
  <si>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</si>
  <si>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</si>
  <si>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</si>
  <si>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</si>
  <si>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</si>
  <si>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</si>
  <si>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</si>
  <si>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</si>
  <si>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</si>
  <si>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</si>
  <si>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</si>
  <si>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</si>
  <si>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</si>
  <si>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</si>
  <si>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</si>
  <si>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</si>
  <si>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</si>
  <si>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</si>
  <si>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</si>
  <si>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</si>
  <si>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</si>
  <si>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</si>
  <si>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</si>
  <si>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</si>
  <si>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</si>
  <si>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</si>
  <si>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</si>
  <si>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</si>
  <si>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</si>
  <si>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</si>
  <si>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</si>
  <si>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</si>
  <si>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</si>
  <si>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</si>
  <si>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</si>
  <si>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</si>
  <si>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</si>
  <si>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</si>
  <si>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</si>
  <si>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</si>
  <si>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</si>
  <si>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</si>
  <si>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</si>
  <si>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</si>
  <si>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</si>
  <si>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</si>
  <si>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</si>
  <si>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</si>
  <si>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</si>
  <si>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</si>
  <si>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</si>
  <si>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</si>
  <si>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</si>
  <si>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</si>
  <si>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</si>
  <si>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</si>
  <si>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</si>
  <si>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</si>
  <si>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</si>
  <si>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</si>
  <si>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</si>
  <si>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</si>
  <si>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</si>
  <si>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</si>
  <si>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</si>
  <si>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</si>
  <si>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</si>
  <si>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</si>
  <si>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</si>
  <si>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</si>
  <si>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</si>
  <si>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</si>
  <si>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</si>
  <si>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</si>
  <si>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</si>
  <si>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</si>
  <si>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</si>
  <si>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</si>
  <si>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</si>
  <si>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</si>
  <si>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</si>
  <si>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</si>
  <si>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</si>
  <si>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</si>
  <si>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</si>
  <si>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</si>
  <si>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</si>
  <si>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</si>
  <si>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</si>
  <si>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</si>
  <si>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</si>
  <si>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</si>
  <si>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</si>
  <si>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</si>
  <si>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</si>
  <si>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</si>
  <si>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</si>
  <si>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</si>
  <si>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</si>
  <si>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</si>
  <si>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</si>
  <si>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</si>
  <si>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</si>
  <si>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</si>
  <si>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</si>
  <si>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</si>
  <si>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</si>
  <si>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</si>
  <si>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</si>
  <si>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</si>
  <si>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</si>
  <si>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</si>
  <si>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</si>
  <si>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</si>
  <si>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</si>
  <si>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</si>
  <si>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</si>
  <si>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</si>
  <si>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</si>
  <si>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</si>
  <si>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</si>
  <si>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</si>
  <si>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</si>
  <si>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</si>
  <si>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</si>
  <si>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</si>
  <si>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</si>
  <si>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</si>
  <si>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</si>
  <si>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</si>
  <si>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</si>
  <si>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</si>
  <si>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</si>
  <si>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</si>
  <si>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</si>
  <si>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</si>
  <si>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</si>
  <si>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</si>
  <si>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</si>
  <si>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</si>
  <si>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</si>
  <si>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</si>
  <si>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</si>
  <si>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</si>
  <si>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</si>
  <si>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</si>
  <si>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</si>
  <si>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</si>
  <si>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</si>
  <si>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</si>
  <si>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</si>
  <si>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</si>
  <si>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</si>
  <si>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</si>
  <si>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</si>
  <si>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</si>
  <si>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</si>
  <si>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</si>
  <si>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</si>
  <si>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</si>
  <si>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</si>
  <si>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</si>
  <si>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</si>
  <si>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</si>
  <si>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</si>
  <si>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</si>
  <si>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</si>
  <si>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</si>
  <si>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</si>
  <si>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</si>
  <si>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</si>
  <si>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</si>
  <si>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</si>
  <si>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</si>
  <si>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</si>
  <si>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</si>
  <si>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</si>
  <si>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</si>
  <si>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</si>
  <si>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</si>
  <si>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</si>
  <si>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</si>
  <si>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</si>
  <si>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</si>
  <si>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</si>
  <si>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</si>
  <si>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</si>
  <si>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</si>
  <si>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</si>
  <si>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</si>
  <si>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</si>
  <si>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</si>
  <si>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</si>
  <si>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</si>
  <si>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</si>
  <si>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</si>
  <si>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</si>
  <si>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</si>
  <si>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</si>
  <si>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</si>
  <si>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</si>
  <si>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</si>
  <si>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</si>
  <si>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</si>
  <si>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</si>
  <si>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</si>
  <si>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</si>
  <si>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</si>
  <si>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</si>
  <si>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</si>
  <si>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</si>
  <si>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</si>
  <si>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</si>
  <si>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</si>
  <si>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</si>
  <si>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</si>
  <si>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</si>
  <si>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</si>
  <si>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</si>
  <si>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</si>
  <si>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</si>
  <si>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</si>
  <si>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</si>
  <si>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</si>
  <si>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</si>
  <si>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</si>
  <si>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</si>
  <si>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</si>
  <si>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</si>
  <si>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</si>
  <si>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</si>
  <si>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</si>
  <si>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</si>
  <si>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</si>
  <si>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</si>
  <si>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</si>
  <si>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</si>
  <si>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</si>
  <si>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</si>
  <si>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</si>
  <si>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</si>
  <si>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</si>
  <si>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</si>
  <si>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</si>
  <si>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</si>
  <si>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</si>
  <si>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</si>
  <si>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</si>
  <si>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</si>
  <si>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</si>
  <si>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</si>
  <si>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</si>
  <si>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</si>
  <si>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</si>
  <si>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</si>
  <si>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</si>
  <si>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</si>
  <si>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</si>
  <si>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</si>
  <si>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</si>
  <si>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</si>
  <si>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</si>
  <si>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</si>
  <si>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</si>
  <si>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</si>
  <si>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</si>
  <si>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</si>
  <si>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</si>
  <si>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</si>
  <si>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</si>
  <si>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</si>
  <si>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</si>
  <si>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</si>
  <si>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</si>
  <si>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</si>
  <si>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</si>
  <si>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</si>
  <si>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</si>
  <si>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</si>
  <si>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</si>
  <si>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</si>
  <si>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</si>
  <si>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</si>
  <si>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</si>
  <si>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</si>
  <si>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ALVENARIA EMBASAMENTO E=20 CM BLOCO CONCRETO</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</si>
  <si>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</si>
  <si>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</si>
  <si>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</si>
  <si>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</si>
  <si>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</si>
  <si>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</si>
  <si>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</si>
  <si>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</si>
  <si>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</si>
  <si>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</si>
  <si>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</si>
  <si>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</si>
  <si>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</si>
  <si>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</si>
  <si>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</si>
  <si>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</si>
  <si>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</si>
  <si>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</si>
  <si>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</si>
  <si>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</si>
  <si>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</si>
  <si>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</si>
  <si>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</si>
  <si>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</si>
  <si>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</si>
  <si>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</si>
  <si>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</si>
  <si>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</si>
  <si>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</si>
  <si>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</si>
  <si>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</si>
  <si>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</si>
  <si>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</si>
  <si>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</si>
  <si>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</si>
  <si>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</si>
  <si>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</si>
  <si>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</si>
  <si>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</si>
  <si>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</si>
  <si>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</si>
  <si>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</si>
  <si>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</si>
  <si>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</si>
  <si>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</si>
  <si>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</si>
  <si>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</si>
  <si>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</si>
  <si>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</si>
  <si>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</si>
  <si>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</si>
  <si>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</si>
  <si>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</si>
  <si>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</si>
  <si>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</si>
  <si>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</si>
  <si>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</si>
  <si>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</si>
  <si>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</si>
  <si>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</si>
  <si>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</si>
  <si>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</si>
  <si>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</si>
  <si>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</si>
  <si>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</si>
  <si>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</si>
  <si>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</si>
  <si>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</si>
  <si>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</si>
  <si>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</si>
  <si>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</si>
  <si>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</si>
  <si>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</si>
  <si>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</si>
  <si>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</si>
  <si>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</si>
  <si>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</si>
  <si>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</si>
  <si>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</si>
  <si>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</si>
  <si>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</si>
  <si>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</si>
  <si>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</si>
  <si>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</si>
  <si>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</si>
  <si>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</si>
  <si>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</si>
  <si>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</si>
  <si>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</si>
  <si>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</si>
  <si>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</si>
  <si>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</si>
  <si>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</si>
  <si>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</si>
  <si>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</si>
  <si>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</si>
  <si>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</si>
  <si>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</si>
  <si>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</si>
  <si>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</si>
  <si>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</si>
  <si>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</si>
  <si>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</si>
  <si>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</si>
  <si>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</si>
  <si>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</si>
  <si>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</si>
  <si>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</si>
  <si>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</si>
  <si>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</si>
  <si>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</si>
  <si>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</si>
  <si>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</si>
  <si>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</si>
  <si>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</si>
  <si>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</si>
  <si>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</si>
  <si>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</si>
  <si>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</si>
  <si>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</si>
  <si>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</si>
  <si>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</si>
  <si>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</si>
  <si>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</si>
  <si>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</si>
  <si>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</si>
  <si>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</si>
  <si>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</si>
  <si>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</si>
  <si>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</si>
  <si>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</si>
  <si>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</si>
  <si>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</si>
  <si>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</si>
  <si>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</si>
  <si>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</si>
  <si>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</si>
  <si>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</si>
  <si>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</si>
  <si>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</si>
  <si>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</si>
  <si>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</si>
  <si>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</si>
  <si>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</si>
  <si>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</si>
  <si>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</si>
  <si>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</si>
  <si>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</si>
  <si>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</si>
  <si>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</si>
  <si>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</si>
  <si>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</si>
  <si>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</si>
  <si>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</si>
  <si>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</si>
  <si>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</si>
  <si>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</si>
  <si>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</si>
  <si>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</si>
  <si>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</si>
  <si>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</si>
  <si>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</si>
  <si>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</si>
  <si>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</si>
  <si>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</si>
  <si>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</si>
  <si>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</si>
  <si>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</si>
  <si>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</si>
  <si>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</si>
  <si>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</si>
  <si>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</si>
  <si>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</si>
  <si>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</si>
  <si>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</si>
  <si>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</si>
  <si>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</si>
  <si>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</si>
  <si>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</si>
  <si>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</si>
  <si>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</si>
  <si>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</si>
  <si>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</si>
  <si>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</si>
  <si>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</si>
  <si>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</si>
  <si>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</si>
  <si>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</si>
  <si>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</si>
  <si>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</si>
  <si>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</si>
  <si>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</si>
  <si>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</si>
  <si>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</si>
  <si>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</si>
  <si>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</si>
  <si>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</si>
  <si>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</si>
  <si>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</si>
  <si>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</si>
  <si>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</si>
  <si>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</si>
  <si>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</si>
  <si>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</si>
  <si>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</si>
  <si>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</si>
  <si>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</si>
  <si>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</si>
  <si>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</si>
  <si>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</si>
  <si>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</si>
  <si>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</si>
  <si>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</si>
  <si>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</si>
  <si>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</si>
  <si>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</si>
  <si>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</si>
  <si>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</si>
  <si>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</si>
  <si>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</si>
  <si>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</si>
  <si>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</si>
  <si>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</si>
  <si>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</si>
  <si>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</si>
  <si>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</si>
  <si>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</si>
  <si>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</si>
  <si>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</si>
  <si>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</si>
  <si>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</si>
  <si>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</si>
  <si>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</si>
  <si>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</si>
  <si>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</si>
  <si>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</si>
  <si>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</si>
  <si>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</si>
  <si>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</si>
  <si>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</si>
  <si>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</si>
  <si>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</si>
  <si>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</si>
  <si>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</si>
  <si>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</si>
  <si>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</si>
  <si>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</si>
  <si>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</si>
  <si>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</si>
  <si>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</si>
  <si>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</si>
  <si>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</si>
  <si>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</si>
  <si>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</si>
  <si>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</si>
  <si>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</si>
  <si>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</si>
  <si>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</si>
  <si>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</si>
  <si>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</si>
  <si>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</si>
  <si>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</si>
  <si>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</si>
  <si>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</si>
  <si>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</si>
  <si>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</si>
  <si>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</si>
  <si>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</si>
  <si>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</si>
  <si>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</si>
  <si>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</si>
  <si>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</si>
  <si>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</si>
  <si>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</si>
  <si>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</si>
  <si>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</si>
  <si>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</si>
  <si>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</si>
  <si>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</si>
  <si>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</si>
  <si>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</si>
  <si>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</si>
  <si>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</si>
  <si>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</si>
  <si>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</si>
  <si>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</si>
  <si>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</si>
  <si>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</si>
  <si>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</si>
  <si>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</si>
  <si>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</si>
  <si>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</si>
  <si>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</si>
  <si>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</si>
  <si>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</si>
  <si>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</si>
  <si>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</si>
  <si>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</si>
  <si>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</si>
  <si>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</si>
  <si>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</si>
  <si>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</si>
  <si>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</si>
  <si>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</si>
  <si>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</si>
  <si>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</si>
  <si>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</si>
  <si>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</si>
  <si>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</si>
  <si>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</si>
  <si>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</si>
  <si>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</si>
  <si>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</si>
  <si>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</si>
  <si>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</si>
  <si>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</si>
  <si>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</si>
  <si>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</si>
  <si>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</si>
  <si>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</si>
  <si>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</si>
  <si>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</si>
  <si>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</si>
  <si>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</si>
  <si>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</si>
  <si>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</si>
  <si>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</si>
  <si>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</si>
  <si>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</si>
  <si>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</si>
  <si>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</si>
  <si>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</si>
  <si>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</si>
  <si>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</si>
  <si>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</si>
  <si>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</si>
  <si>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</si>
  <si>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</si>
  <si>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</si>
  <si>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</si>
  <si>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</si>
  <si>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</si>
  <si>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</si>
  <si>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</si>
  <si>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</si>
  <si>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</si>
  <si>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</si>
  <si>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</si>
  <si>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</si>
  <si>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</si>
  <si>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</si>
  <si>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</si>
  <si>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</si>
  <si>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</si>
  <si>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</si>
  <si>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</si>
  <si>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</si>
  <si>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</si>
  <si>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</si>
  <si>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</si>
  <si>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</si>
  <si>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</si>
  <si>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</si>
  <si>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</si>
  <si>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</si>
  <si>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</si>
  <si>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</si>
  <si>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</si>
  <si>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</si>
  <si>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</si>
  <si>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</si>
  <si>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</si>
  <si>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</si>
  <si>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</si>
  <si>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</si>
  <si>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</si>
  <si>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</si>
  <si>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</si>
  <si>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</si>
  <si>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</si>
  <si>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</si>
  <si>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</si>
  <si>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</si>
  <si>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</si>
  <si>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</si>
  <si>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</si>
  <si>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</si>
  <si>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</si>
  <si>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</si>
  <si>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</si>
  <si>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</si>
  <si>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</si>
  <si>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</si>
  <si>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</si>
  <si>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</si>
  <si>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</si>
  <si>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</si>
  <si>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</si>
  <si>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</si>
  <si>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</si>
  <si>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</si>
  <si>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</si>
  <si>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</si>
  <si>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</si>
  <si>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</si>
  <si>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</si>
  <si>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</si>
  <si>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</si>
  <si>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</si>
  <si>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</si>
  <si>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</si>
  <si>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</si>
  <si>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</si>
  <si>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</si>
  <si>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</si>
  <si>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</si>
  <si>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</si>
  <si>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</si>
  <si>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</si>
  <si>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</si>
  <si>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</si>
  <si>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</si>
  <si>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</si>
  <si>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</si>
  <si>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</si>
  <si>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</si>
  <si>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</si>
  <si>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</si>
  <si>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</si>
  <si>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</si>
  <si>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</si>
  <si>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</si>
  <si>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</si>
  <si>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</si>
  <si>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</si>
  <si>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</si>
  <si>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</si>
  <si>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</si>
  <si>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</si>
  <si>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</si>
  <si>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</si>
  <si>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</si>
  <si>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</si>
  <si>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</si>
  <si>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</si>
  <si>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</si>
  <si>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</si>
  <si>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</si>
  <si>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</si>
  <si>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</si>
  <si>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</si>
  <si>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</si>
  <si>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</si>
  <si>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</si>
  <si>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</si>
  <si>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</si>
  <si>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</si>
  <si>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</si>
  <si>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</si>
  <si>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</si>
  <si>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</si>
  <si>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</si>
  <si>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</si>
  <si>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</si>
  <si>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</si>
  <si>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</si>
  <si>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</si>
  <si>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</si>
  <si>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</si>
  <si>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</si>
  <si>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</si>
  <si>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</si>
  <si>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</si>
  <si>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</si>
  <si>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</si>
  <si>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</si>
  <si>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</si>
  <si>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</si>
  <si>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</si>
  <si>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</si>
  <si>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</si>
  <si>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</si>
  <si>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</si>
  <si>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</si>
  <si>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</si>
  <si>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</si>
  <si>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</si>
  <si>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</si>
  <si>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</si>
  <si>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</si>
  <si>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</si>
  <si>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</si>
  <si>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</si>
  <si>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</si>
  <si>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</si>
  <si>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</si>
  <si>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</si>
  <si>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</si>
  <si>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</si>
  <si>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</si>
  <si>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</si>
  <si>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</si>
  <si>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</si>
  <si>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</si>
  <si>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</si>
  <si>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</si>
  <si>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</si>
  <si>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</si>
  <si>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</si>
  <si>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</si>
  <si>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</si>
  <si>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</si>
  <si>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</si>
  <si>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</si>
  <si>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</si>
  <si>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</si>
  <si>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</si>
  <si>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</si>
  <si>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</si>
  <si>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</si>
  <si>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</si>
  <si>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</si>
  <si>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</si>
  <si>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</si>
  <si>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</si>
  <si>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</si>
  <si>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</si>
  <si>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</si>
  <si>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</si>
  <si>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</si>
  <si>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</si>
  <si>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</si>
  <si>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</si>
  <si>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</si>
  <si>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</si>
  <si>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</si>
  <si>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</si>
  <si>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</si>
  <si>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</si>
  <si>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</si>
  <si>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</si>
  <si>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</si>
  <si>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</si>
  <si>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</si>
  <si>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</si>
  <si>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</si>
  <si>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</si>
  <si>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</si>
  <si>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</si>
  <si>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</si>
  <si>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</si>
  <si>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</si>
  <si>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</si>
  <si>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</si>
  <si>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</si>
  <si>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</si>
  <si>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</si>
  <si>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</si>
  <si>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</si>
  <si>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</si>
  <si>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</si>
  <si>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</si>
  <si>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</si>
  <si>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</si>
  <si>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</si>
  <si>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</si>
  <si>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</si>
  <si>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</si>
  <si>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</si>
  <si>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</si>
  <si>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</si>
  <si>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</si>
  <si>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</si>
  <si>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</si>
  <si>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</si>
  <si>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</si>
  <si>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</si>
  <si>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</si>
  <si>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</si>
  <si>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</si>
  <si>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</si>
  <si>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</si>
  <si>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</si>
  <si>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</si>
  <si>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</si>
  <si>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</si>
  <si>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</si>
  <si>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</si>
  <si>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</si>
  <si>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</si>
  <si>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</si>
  <si>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</si>
  <si>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</si>
  <si>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</si>
  <si>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</si>
  <si>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</si>
  <si>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</si>
  <si>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</si>
  <si>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</si>
  <si>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</si>
  <si>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</si>
  <si>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</si>
  <si>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</si>
  <si>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</si>
  <si>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</si>
  <si>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</si>
  <si>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</si>
  <si>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</si>
  <si>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</si>
  <si>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</si>
  <si>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</si>
  <si>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</si>
  <si>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</si>
  <si>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</si>
  <si>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</si>
  <si>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</si>
  <si>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</si>
  <si>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</si>
  <si>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</si>
  <si>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</si>
  <si>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</si>
  <si>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</si>
  <si>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</si>
  <si>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</si>
  <si>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</si>
  <si>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</si>
  <si>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</si>
  <si>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</si>
  <si>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</si>
  <si>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</si>
  <si>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</si>
  <si>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</si>
  <si>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</si>
  <si>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</si>
  <si>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</si>
  <si>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</si>
  <si>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</si>
  <si>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</si>
  <si>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</si>
  <si>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</si>
  <si>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</si>
  <si>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</si>
  <si>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</si>
  <si>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</si>
  <si>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</si>
  <si>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</si>
  <si>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</si>
  <si>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</si>
  <si>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</si>
  <si>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</si>
  <si>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</si>
  <si>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</si>
  <si>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</si>
  <si>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</si>
  <si>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</si>
  <si>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</si>
  <si>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</si>
  <si>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</si>
  <si>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</si>
  <si>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</si>
  <si>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</si>
  <si>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</si>
  <si>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</si>
  <si>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</si>
  <si>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</si>
  <si>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</si>
  <si>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</si>
  <si>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</si>
  <si>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</si>
  <si>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</si>
  <si>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</si>
  <si>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</si>
  <si>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</si>
  <si>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</si>
  <si>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</si>
  <si>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</si>
  <si>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</si>
  <si>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</si>
  <si>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</si>
  <si>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</si>
  <si>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</si>
  <si>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</si>
  <si>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</si>
  <si>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</si>
  <si>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</si>
  <si>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</si>
  <si>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</si>
  <si>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</si>
  <si>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</si>
  <si>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</si>
  <si>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</si>
  <si>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</si>
  <si>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</si>
  <si>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</si>
  <si>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</si>
  <si>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</si>
  <si>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</si>
  <si>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</si>
  <si>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</si>
  <si>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</si>
  <si>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</si>
  <si>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</si>
  <si>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</si>
  <si>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</si>
  <si>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</si>
  <si>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</si>
  <si>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</si>
  <si>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</si>
  <si>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</si>
  <si>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</si>
  <si>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</si>
  <si>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</si>
  <si>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</si>
  <si>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</si>
  <si>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</si>
  <si>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</si>
  <si>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</si>
  <si>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</si>
  <si>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</si>
  <si>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</si>
  <si>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</si>
  <si>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</si>
  <si>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</si>
  <si>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</si>
  <si>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</si>
  <si>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</si>
  <si>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</si>
  <si>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</si>
  <si>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</si>
  <si>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</si>
  <si>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</si>
  <si>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</si>
  <si>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</si>
  <si>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</si>
  <si>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</si>
  <si>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</si>
  <si>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</si>
  <si>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</si>
  <si>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</si>
  <si>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</si>
  <si>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</si>
  <si>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</si>
  <si>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</si>
  <si>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</si>
  <si>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</si>
  <si>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</si>
  <si>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</si>
  <si>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</si>
  <si>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</si>
  <si>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</si>
  <si>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</si>
  <si>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</si>
  <si>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</si>
  <si>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</si>
  <si>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</si>
  <si>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</si>
  <si>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</si>
  <si>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</si>
  <si>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</si>
  <si>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</si>
  <si>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</si>
  <si>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</si>
  <si>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</si>
  <si>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</si>
  <si>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</si>
  <si>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</si>
  <si>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</si>
  <si>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</si>
  <si>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</si>
  <si>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</si>
  <si>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</si>
  <si>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</si>
  <si>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</si>
  <si>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</si>
  <si>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</si>
  <si>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</si>
  <si>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</si>
  <si>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</si>
  <si>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</si>
  <si>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</si>
  <si>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</si>
  <si>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</si>
  <si>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</si>
  <si>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</si>
  <si>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</si>
  <si>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</si>
  <si>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</si>
  <si>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</si>
  <si>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</si>
  <si>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</si>
  <si>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</si>
  <si>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</si>
  <si>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</si>
  <si>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</si>
  <si>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</si>
  <si>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</si>
  <si>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</si>
  <si>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</si>
  <si>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</si>
  <si>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</si>
  <si>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</si>
  <si>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</si>
  <si>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</si>
  <si>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</si>
  <si>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</si>
  <si>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</si>
  <si>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</si>
  <si>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</si>
  <si>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</si>
  <si>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</si>
  <si>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</si>
  <si>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</si>
  <si>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</si>
  <si>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</si>
  <si>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</si>
  <si>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</si>
  <si>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</si>
  <si>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</si>
  <si>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</si>
  <si>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</si>
  <si>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</si>
  <si>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</si>
  <si>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</si>
  <si>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</si>
  <si>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</si>
  <si>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</si>
  <si>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</si>
  <si>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</si>
  <si>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</si>
  <si>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</si>
  <si>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</si>
  <si>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</si>
  <si>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</si>
  <si>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</si>
  <si>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</si>
  <si>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</si>
  <si>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</si>
  <si>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</si>
  <si>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</si>
  <si>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</si>
  <si>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</si>
  <si>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</si>
  <si>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</si>
  <si>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</si>
  <si>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</si>
  <si>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</si>
  <si>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</si>
  <si>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</si>
  <si>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</si>
  <si>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</si>
  <si>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</si>
  <si>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</si>
  <si>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</si>
  <si>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</si>
  <si>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</si>
  <si>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</si>
  <si>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</si>
  <si>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</si>
  <si>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</si>
  <si>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</si>
  <si>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</si>
  <si>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</si>
  <si>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</si>
  <si>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</si>
  <si>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</si>
  <si>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</si>
  <si>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</si>
  <si>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</si>
  <si>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</si>
  <si>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</si>
  <si>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</si>
  <si>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</si>
  <si>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</si>
  <si>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</si>
  <si>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</si>
  <si>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</si>
  <si>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</si>
  <si>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</si>
  <si>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</si>
  <si>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</si>
  <si>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</si>
  <si>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</si>
  <si>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</si>
  <si>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</si>
  <si>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</si>
  <si>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</si>
  <si>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</si>
  <si>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</si>
  <si>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</si>
  <si>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</si>
  <si>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</si>
  <si>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</si>
  <si>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</si>
  <si>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</si>
  <si>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</si>
  <si>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</si>
  <si>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</si>
  <si>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</si>
  <si>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</si>
  <si>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</si>
  <si>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</si>
  <si>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</si>
  <si>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</si>
  <si>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</si>
  <si>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</si>
  <si>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</si>
  <si>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</si>
  <si>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</si>
  <si>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</si>
  <si>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</si>
  <si>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</si>
  <si>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</si>
  <si>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</si>
  <si>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</si>
  <si>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</si>
  <si>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</si>
  <si>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</si>
  <si>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</si>
  <si>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</si>
  <si>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</si>
  <si>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</si>
  <si>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</si>
  <si>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</si>
  <si>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</si>
  <si>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</si>
  <si>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</si>
  <si>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</si>
  <si>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</si>
  <si>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</si>
  <si>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</si>
  <si>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</si>
  <si>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</si>
  <si>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</si>
  <si>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</si>
  <si>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</si>
  <si>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</si>
  <si>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</si>
  <si>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</si>
  <si>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</si>
  <si>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</si>
  <si>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</si>
  <si>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</si>
  <si>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</si>
  <si>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</si>
  <si>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</si>
  <si>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</si>
  <si>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</si>
  <si>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</si>
  <si>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</si>
  <si>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</si>
  <si>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</si>
  <si>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</si>
  <si>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</si>
  <si>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</si>
  <si>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</si>
  <si>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</si>
  <si>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</si>
  <si>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</si>
  <si>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</si>
  <si>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</si>
  <si>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</si>
  <si>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</si>
  <si>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</si>
  <si>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</si>
  <si>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</si>
  <si>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</si>
  <si>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</si>
  <si>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</si>
  <si>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</si>
  <si>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</si>
  <si>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</si>
  <si>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</si>
  <si>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</si>
  <si>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</si>
  <si>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</si>
  <si>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</si>
  <si>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</si>
  <si>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</si>
  <si>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</si>
  <si>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</si>
  <si>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</si>
  <si>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</si>
  <si>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</si>
  <si>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</si>
  <si>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</si>
  <si>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</si>
  <si>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</si>
  <si>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</si>
  <si>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</si>
  <si>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</si>
  <si>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</si>
  <si>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</si>
  <si>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</si>
  <si>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</si>
  <si>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</si>
  <si>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</si>
  <si>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</si>
  <si>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</si>
  <si>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</si>
  <si>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</si>
  <si>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</si>
  <si>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</si>
  <si>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</si>
  <si>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</si>
  <si>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</si>
  <si>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</si>
  <si>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</si>
  <si>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</si>
  <si>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</si>
  <si>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</si>
  <si>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</si>
  <si>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</si>
  <si>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</si>
  <si>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</si>
  <si>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</si>
  <si>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</si>
  <si>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</si>
  <si>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</si>
  <si>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</si>
  <si>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</si>
  <si>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</si>
  <si>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</si>
  <si>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</si>
  <si>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</si>
  <si>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</si>
  <si>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</si>
  <si>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</si>
  <si>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</si>
  <si>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</si>
  <si>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</si>
  <si>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</si>
  <si>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</si>
  <si>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</si>
  <si>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</si>
  <si>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</si>
  <si>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</si>
  <si>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</si>
  <si>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</si>
  <si>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</si>
  <si>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</si>
  <si>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</si>
  <si>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</si>
  <si>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</si>
  <si>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</si>
  <si>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</si>
  <si>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</si>
  <si>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</si>
  <si>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</si>
  <si>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</si>
  <si>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</si>
  <si>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</si>
  <si>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</si>
  <si>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</si>
  <si>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</si>
  <si>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</si>
  <si>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</si>
  <si>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</si>
  <si>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</si>
  <si>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</si>
  <si>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</si>
  <si>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</si>
  <si>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</si>
  <si>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</si>
  <si>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</si>
  <si>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</si>
  <si>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</si>
  <si>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</si>
  <si>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</si>
  <si>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</si>
  <si>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</si>
  <si>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</si>
  <si>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</si>
  <si>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</si>
  <si>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</si>
  <si>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</si>
  <si>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</si>
  <si>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</si>
  <si>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</si>
  <si>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</si>
  <si>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</si>
  <si>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</si>
  <si>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</si>
  <si>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</si>
  <si>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</si>
  <si>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</si>
  <si>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</si>
  <si>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</si>
  <si>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</si>
  <si>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</si>
  <si>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</si>
  <si>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</si>
  <si>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</si>
  <si>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</si>
  <si>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</si>
  <si>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</si>
  <si>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</si>
  <si>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</si>
  <si>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</si>
  <si>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</si>
  <si>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</si>
  <si>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</si>
  <si>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</si>
  <si>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</si>
  <si>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</si>
  <si>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</si>
  <si>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</si>
  <si>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</si>
  <si>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</si>
  <si>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</si>
  <si>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</si>
  <si>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</si>
  <si>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</si>
  <si>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</si>
  <si>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</si>
  <si>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</si>
  <si>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</si>
  <si>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</si>
  <si>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</si>
  <si>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</si>
  <si>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</si>
  <si>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</si>
  <si>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</si>
  <si>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</si>
  <si>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</si>
  <si>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</si>
  <si>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</si>
  <si>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</si>
  <si>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</si>
  <si>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</si>
  <si>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</si>
  <si>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</si>
  <si>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</si>
  <si>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</si>
  <si>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</si>
  <si>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</si>
  <si>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</si>
  <si>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</si>
  <si>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</si>
  <si>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</si>
  <si>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</si>
  <si>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</si>
  <si>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</si>
  <si>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</si>
  <si>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</si>
  <si>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</si>
  <si>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</si>
  <si>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</si>
  <si>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</si>
  <si>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</si>
  <si>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</si>
  <si>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</si>
  <si>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</si>
  <si>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</si>
  <si>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</si>
  <si>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</si>
  <si>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</si>
  <si>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</si>
  <si>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</si>
  <si>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</si>
  <si>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</si>
  <si>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</si>
  <si>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</si>
  <si>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</si>
  <si>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</si>
  <si>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</si>
  <si>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</si>
  <si>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</si>
  <si>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</si>
  <si>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</si>
  <si>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</si>
  <si>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</si>
  <si>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</si>
  <si>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</si>
  <si>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</si>
  <si>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</si>
  <si>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</si>
  <si>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</si>
  <si>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</si>
  <si>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</si>
  <si>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</si>
  <si>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</si>
  <si>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</si>
  <si>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</si>
  <si>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</si>
  <si>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</si>
  <si>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</si>
  <si>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</si>
  <si>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</si>
  <si>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</si>
  <si>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</si>
  <si>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</si>
  <si>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</si>
  <si>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</si>
  <si>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</si>
  <si>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</si>
  <si>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</si>
  <si>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</si>
  <si>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</si>
  <si>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</si>
  <si>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</si>
  <si>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</si>
  <si>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</si>
  <si>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</si>
  <si>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</si>
  <si>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</si>
  <si>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</si>
  <si>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</si>
  <si>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</si>
  <si>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</si>
  <si>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</si>
  <si>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</si>
  <si>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</si>
  <si>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</si>
  <si>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</si>
  <si>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</si>
  <si>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</si>
  <si>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</si>
  <si>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</si>
  <si>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</si>
  <si>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</si>
  <si>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</si>
  <si>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</si>
  <si>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</si>
  <si>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</si>
  <si>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</si>
  <si>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</si>
  <si>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</si>
  <si>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</si>
  <si>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</si>
  <si>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</si>
  <si>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</si>
  <si>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</si>
  <si>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</si>
  <si>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</si>
  <si>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</si>
  <si>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</si>
  <si>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</si>
  <si>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</si>
  <si>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</si>
  <si>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</si>
  <si>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</si>
  <si>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</si>
  <si>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</si>
  <si>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</si>
  <si>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</si>
  <si>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</si>
  <si>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</si>
  <si>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</si>
  <si>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</si>
  <si>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</si>
  <si>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</si>
  <si>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</si>
  <si>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</si>
  <si>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</si>
  <si>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</si>
  <si>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</si>
  <si>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</si>
  <si>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</si>
  <si>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</si>
  <si>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</si>
  <si>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</si>
  <si>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</si>
  <si>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</si>
  <si>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</si>
  <si>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</si>
  <si>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</si>
  <si>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</si>
  <si>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</si>
  <si>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</si>
  <si>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</si>
  <si>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</si>
  <si>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</si>
  <si>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</si>
  <si>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</si>
  <si>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</si>
  <si>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</si>
  <si>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</si>
  <si>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</si>
  <si>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</si>
  <si>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</si>
  <si>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</si>
  <si>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</si>
  <si>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</si>
  <si>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</si>
  <si>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</si>
  <si>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</si>
  <si>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</si>
  <si>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</si>
  <si>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</si>
  <si>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</si>
  <si>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</si>
  <si>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</si>
  <si>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</si>
  <si>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</si>
  <si>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</si>
  <si>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</si>
  <si>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</si>
  <si>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</si>
  <si>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</si>
  <si>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</si>
  <si>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</si>
  <si>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</si>
  <si>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</si>
  <si>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</si>
  <si>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</si>
  <si>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</si>
  <si>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</si>
  <si>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</si>
  <si>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</si>
  <si>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</si>
  <si>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</si>
  <si>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</si>
  <si>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</si>
  <si>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</si>
  <si>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</si>
  <si>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</si>
  <si>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</si>
  <si>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</si>
  <si>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</si>
  <si>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</si>
  <si>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</si>
  <si>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</si>
  <si>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</si>
  <si>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</si>
  <si>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</si>
  <si>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</si>
  <si>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</si>
  <si>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</si>
  <si>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</si>
  <si>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</si>
  <si>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</si>
  <si>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</si>
  <si>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</si>
  <si>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</si>
  <si>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</si>
  <si>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</si>
  <si>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</si>
  <si>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</si>
  <si>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</si>
  <si>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</si>
  <si>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</si>
  <si>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</si>
  <si>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</si>
  <si>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</si>
  <si>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</si>
  <si>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</si>
  <si>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</si>
  <si>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</si>
  <si>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</si>
  <si>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</si>
  <si>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</si>
  <si>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</si>
  <si>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</si>
  <si>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</si>
  <si>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</si>
  <si>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</si>
  <si>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</si>
  <si>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</si>
  <si>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</si>
  <si>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</si>
  <si>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</si>
  <si>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</si>
  <si>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</si>
  <si>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</si>
  <si>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</si>
  <si>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</si>
  <si>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</si>
  <si>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</si>
  <si>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</si>
  <si>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</si>
  <si>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</si>
  <si>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</si>
  <si>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</si>
  <si>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</si>
  <si>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</si>
  <si>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</si>
  <si>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</si>
  <si>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</si>
  <si>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</si>
  <si>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</si>
  <si>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</si>
  <si>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</si>
  <si>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</si>
  <si>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</si>
  <si>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</si>
  <si>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</si>
  <si>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</si>
  <si>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</si>
  <si>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</si>
  <si>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</si>
  <si>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</si>
  <si>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</si>
  <si>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</si>
  <si>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</si>
  <si>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</si>
  <si>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</si>
  <si>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</si>
  <si>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</si>
  <si>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</si>
  <si>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</si>
  <si>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</si>
  <si>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</si>
  <si>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</si>
  <si>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</si>
  <si>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</si>
  <si>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</si>
  <si>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</si>
  <si>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</si>
  <si>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</si>
  <si>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</si>
  <si>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</si>
  <si>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</si>
  <si>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</si>
  <si>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</si>
  <si>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</si>
  <si>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</si>
  <si>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</si>
  <si>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</si>
  <si>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</si>
  <si>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</si>
  <si>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</si>
  <si>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</si>
  <si>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</si>
  <si>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</si>
  <si>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</si>
  <si>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</si>
  <si>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</si>
  <si>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</si>
  <si>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</si>
  <si>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</si>
  <si>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</si>
  <si>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</si>
  <si>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</si>
  <si>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</si>
  <si>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</si>
  <si>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</si>
  <si>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</si>
  <si>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</si>
  <si>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</si>
  <si>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</si>
  <si>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</si>
  <si>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</si>
  <si>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</si>
  <si>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</si>
  <si>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</si>
  <si>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</si>
  <si>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</si>
  <si>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</si>
  <si>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</si>
  <si>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</si>
  <si>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</si>
  <si>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</si>
  <si>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</si>
  <si>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</si>
  <si>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</si>
  <si>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</si>
  <si>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</si>
  <si>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</si>
  <si>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</si>
  <si>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</si>
  <si>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</si>
  <si>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</si>
  <si>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</si>
  <si>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</si>
  <si>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</si>
  <si>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</si>
  <si>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</si>
  <si>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</si>
  <si>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</si>
  <si>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</si>
  <si>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</si>
  <si>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</si>
  <si>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</si>
  <si>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</si>
  <si>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</si>
  <si>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</si>
  <si>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</si>
  <si>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</si>
  <si>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</si>
  <si>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</si>
  <si>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</si>
  <si>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</si>
  <si>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</si>
  <si>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</si>
  <si>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</si>
  <si>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</si>
  <si>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</si>
  <si>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</si>
  <si>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</si>
  <si>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</si>
  <si>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</si>
  <si>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</si>
  <si>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</si>
  <si>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</si>
  <si>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</si>
  <si>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</si>
  <si>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</si>
  <si>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</si>
  <si>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</si>
  <si>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</si>
  <si>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</si>
  <si>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</si>
  <si>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</si>
  <si>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</si>
  <si>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</si>
  <si>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</si>
  <si>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</si>
  <si>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</si>
  <si>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</si>
  <si>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</si>
  <si>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</si>
  <si>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</si>
  <si>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</si>
  <si>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</si>
  <si>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</si>
  <si>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</si>
  <si>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</si>
  <si>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</si>
  <si>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</si>
  <si>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</si>
  <si>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</si>
  <si>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</si>
  <si>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</si>
  <si>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</si>
  <si>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</si>
  <si>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</si>
  <si>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</si>
  <si>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</si>
  <si>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</si>
  <si>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</si>
  <si>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</si>
  <si>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</si>
  <si>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</si>
  <si>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</si>
  <si>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</si>
  <si>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</si>
  <si>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</si>
  <si>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</si>
  <si>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</si>
  <si>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</si>
  <si>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</si>
  <si>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</si>
  <si>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</si>
  <si>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</si>
  <si>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</si>
  <si>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</si>
  <si>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</si>
  <si>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</si>
  <si>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</si>
  <si>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</si>
  <si>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</si>
  <si>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</si>
  <si>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</si>
  <si>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</si>
  <si>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</si>
  <si>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</si>
  <si>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</si>
  <si>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</si>
  <si>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</si>
  <si>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</si>
  <si>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</si>
  <si>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</si>
  <si>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</si>
  <si>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</si>
  <si>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</si>
  <si>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</si>
  <si>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</si>
  <si>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</si>
  <si>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</si>
  <si>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</si>
  <si>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</si>
  <si>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</si>
  <si>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</si>
  <si>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</si>
  <si>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</si>
  <si>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</si>
  <si>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</si>
  <si>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</si>
  <si>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</si>
  <si>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</si>
  <si>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</si>
  <si>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</si>
  <si>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</si>
  <si>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</si>
  <si>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</si>
  <si>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</si>
  <si>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</si>
  <si>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</si>
  <si>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</si>
  <si>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</si>
  <si>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</si>
  <si>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</si>
  <si>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</si>
  <si>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</si>
  <si>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</si>
  <si>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</si>
  <si>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</si>
  <si>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</si>
  <si>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</si>
  <si>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</si>
  <si>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</si>
  <si>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</si>
  <si>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</si>
  <si>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</si>
  <si>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</si>
  <si>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</si>
  <si>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</si>
  <si>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</si>
  <si>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</si>
  <si>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</si>
  <si>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</si>
  <si>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</si>
  <si>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</si>
  <si>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</si>
  <si>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</si>
  <si>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</si>
  <si>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</si>
  <si>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</si>
  <si>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</si>
  <si>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</si>
  <si>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</si>
  <si>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</si>
  <si>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</si>
  <si>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</si>
  <si>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</si>
  <si>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</si>
  <si>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</si>
  <si>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</si>
  <si>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</si>
  <si>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</si>
  <si>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</si>
  <si>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</si>
  <si>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</si>
  <si>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</si>
  <si>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</si>
  <si>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74253/1</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</si>
  <si>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</si>
  <si>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</si>
  <si>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</si>
  <si>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</si>
  <si>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</si>
  <si>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</si>
  <si>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</si>
  <si>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</si>
  <si>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74151/1</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</si>
  <si>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</si>
  <si>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</si>
  <si>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</si>
  <si>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</si>
  <si>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</si>
  <si>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</si>
  <si>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</si>
  <si>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</si>
  <si>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</si>
  <si>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</si>
  <si>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</si>
  <si>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</si>
  <si>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</si>
  <si>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</si>
  <si>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</si>
  <si>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</si>
  <si>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</si>
  <si>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</si>
  <si>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</si>
  <si>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</si>
  <si>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</si>
  <si>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</si>
  <si>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</si>
  <si>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</si>
  <si>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</si>
  <si>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</si>
  <si>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</si>
  <si>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</si>
  <si>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</si>
  <si>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</si>
  <si>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</si>
  <si>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</si>
  <si>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</si>
  <si>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</si>
  <si>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</si>
  <si>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</si>
  <si>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</si>
  <si>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</si>
  <si>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</si>
  <si>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</si>
  <si>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</si>
  <si>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</si>
  <si>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</si>
  <si>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</si>
  <si>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</si>
  <si>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</si>
  <si>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</si>
  <si>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</si>
  <si>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</si>
  <si>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</si>
  <si>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</si>
  <si>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</si>
  <si>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</si>
  <si>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</si>
  <si>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</si>
  <si>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</si>
  <si>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</si>
  <si>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</si>
  <si>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</si>
  <si>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</si>
  <si>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</si>
  <si>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</si>
  <si>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</si>
  <si>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</si>
  <si>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</si>
  <si>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</si>
  <si>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</si>
  <si>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</si>
  <si>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</si>
  <si>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</si>
  <si>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</si>
  <si>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</si>
  <si>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</si>
  <si>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</si>
  <si>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</si>
  <si>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</si>
  <si>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</si>
  <si>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</si>
  <si>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</si>
  <si>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</si>
  <si>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</si>
  <si>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</si>
  <si>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</si>
  <si>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</si>
  <si>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</si>
  <si>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</si>
  <si>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</si>
  <si>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</si>
  <si>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</si>
  <si>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</si>
  <si>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</si>
  <si>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</si>
  <si>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</si>
  <si>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</si>
  <si>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</si>
  <si>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</si>
  <si>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</si>
  <si>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</si>
  <si>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</si>
  <si>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</si>
  <si>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</si>
  <si>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</si>
  <si>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</si>
  <si>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</si>
  <si>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</si>
  <si>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</si>
  <si>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</si>
  <si>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</si>
  <si>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</si>
  <si>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</si>
  <si>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</si>
  <si>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</si>
  <si>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</si>
  <si>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</si>
  <si>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</si>
  <si>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</si>
  <si>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</si>
  <si>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</si>
  <si>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</si>
  <si>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</si>
  <si>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</si>
  <si>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</si>
  <si>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</si>
  <si>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</si>
  <si>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</si>
  <si>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</si>
  <si>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</si>
  <si>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</si>
  <si>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</si>
  <si>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</si>
  <si>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</si>
  <si>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</si>
  <si>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</si>
  <si>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</si>
  <si>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</si>
  <si>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</si>
  <si>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</si>
  <si>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</si>
  <si>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</si>
  <si>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</si>
  <si>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</si>
  <si>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</si>
  <si>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</si>
  <si>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</si>
  <si>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</si>
  <si>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</si>
  <si>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</si>
  <si>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</si>
  <si>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</si>
  <si>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</si>
  <si>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</si>
  <si>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</si>
  <si>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</si>
  <si>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</si>
  <si>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</si>
  <si>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</si>
  <si>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</si>
  <si>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</si>
  <si>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</si>
  <si>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</si>
  <si>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</si>
  <si>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</si>
  <si>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</si>
  <si>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</si>
  <si>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</si>
  <si>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</si>
  <si>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</si>
  <si>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</si>
  <si>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</si>
  <si>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</si>
  <si>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</si>
  <si>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</si>
  <si>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</si>
  <si>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</si>
  <si>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</si>
  <si>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</si>
  <si>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</si>
  <si>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</si>
  <si>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</si>
  <si>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</si>
  <si>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</si>
  <si>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</si>
  <si>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</si>
  <si>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</si>
  <si>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</si>
  <si>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</si>
  <si>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</si>
  <si>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</si>
  <si>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</si>
  <si>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</si>
  <si>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</si>
  <si>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</si>
  <si>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</si>
  <si>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</si>
  <si>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</si>
  <si>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</si>
  <si>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</si>
  <si>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</si>
  <si>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</si>
  <si>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</si>
  <si>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</si>
  <si>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</si>
  <si>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</si>
  <si>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</si>
  <si>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</si>
  <si>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</si>
  <si>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</si>
  <si>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</si>
  <si>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</si>
  <si>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</si>
  <si>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</si>
  <si>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</si>
  <si>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</si>
  <si>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</si>
  <si>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</si>
  <si>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</si>
  <si>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</si>
  <si>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</si>
  <si>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</si>
  <si>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</si>
  <si>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</si>
  <si>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</si>
  <si>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</si>
  <si>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</si>
  <si>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</si>
  <si>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</si>
  <si>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</si>
  <si>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</si>
  <si>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</si>
  <si>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</si>
  <si>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</si>
  <si>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</si>
  <si>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</si>
  <si>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</si>
  <si>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</si>
  <si>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</si>
  <si>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</si>
  <si>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</si>
  <si>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</si>
  <si>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</si>
  <si>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</si>
  <si>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</si>
  <si>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</si>
  <si>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</si>
  <si>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</si>
  <si>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</si>
  <si>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</si>
  <si>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</si>
  <si>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</si>
  <si>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</si>
  <si>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</si>
  <si>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</si>
  <si>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</si>
  <si>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</si>
  <si>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</si>
  <si>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</si>
  <si>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</si>
  <si>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</si>
  <si>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</si>
  <si>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</si>
  <si>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</si>
  <si>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</si>
  <si>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</si>
  <si>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</si>
  <si>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</si>
  <si>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</si>
  <si>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</si>
  <si>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</si>
  <si>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</si>
  <si>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</si>
  <si>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</si>
  <si>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</si>
  <si>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</si>
  <si>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</si>
  <si>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</si>
  <si>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</si>
  <si>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</si>
  <si>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</si>
  <si>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</si>
  <si>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</si>
  <si>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</si>
  <si>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</si>
  <si>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</si>
  <si>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</si>
  <si>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</si>
  <si>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</si>
  <si>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</si>
  <si>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</si>
  <si>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</si>
  <si>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</si>
  <si>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</si>
  <si>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</si>
  <si>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</si>
  <si>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</si>
  <si>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</si>
  <si>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</si>
  <si>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</si>
  <si>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</si>
  <si>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</si>
  <si>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</si>
  <si>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</si>
  <si>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</si>
  <si>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</si>
  <si>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</si>
  <si>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</si>
  <si>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</si>
  <si>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</si>
  <si>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</si>
  <si>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</si>
  <si>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</si>
  <si>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</si>
  <si>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</si>
  <si>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</si>
  <si>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</si>
  <si>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</si>
  <si>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</si>
  <si>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</si>
  <si>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</si>
  <si>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</si>
  <si>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</si>
  <si>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</si>
  <si>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</si>
  <si>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</si>
  <si>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</si>
  <si>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</si>
  <si>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</si>
  <si>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</si>
  <si>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</si>
  <si>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</si>
  <si>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</si>
  <si>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</si>
  <si>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</si>
  <si>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</si>
  <si>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</si>
  <si>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</si>
  <si>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</si>
  <si>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</si>
  <si>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</si>
  <si>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</si>
  <si>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</si>
  <si>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</si>
  <si>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</si>
  <si>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</si>
  <si>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</si>
  <si>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</si>
  <si>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</si>
  <si>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</si>
  <si>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</si>
  <si>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</si>
  <si>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</si>
  <si>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</si>
  <si>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</si>
  <si>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</si>
  <si>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</si>
  <si>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</si>
  <si>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</si>
  <si>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</si>
  <si>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</si>
  <si>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</si>
  <si>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</si>
  <si>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</si>
  <si>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</si>
  <si>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</si>
  <si>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</si>
  <si>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</si>
  <si>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</si>
  <si>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</si>
  <si>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</si>
  <si>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</si>
  <si>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</si>
  <si>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</si>
  <si>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PAVIMENTO EM PARALELEPIPEDO SOBRE COLCHAO DE AREIA REJUNTADO COM ARGAMASSA DE CIMENTO E AREIA NO TRAÇO 1:3 (PEDRAS PEQUENAS 30 A 35 PECAS POR M2)</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</si>
  <si>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</si>
  <si>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</si>
  <si>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</si>
  <si>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</si>
  <si>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</si>
  <si>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</si>
  <si>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</si>
  <si>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</si>
  <si>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</si>
  <si>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</si>
  <si>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</si>
  <si>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</si>
  <si>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</si>
  <si>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</si>
  <si>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</si>
  <si>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</si>
  <si>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</si>
  <si>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</si>
  <si>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</si>
  <si>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</si>
  <si>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</si>
  <si>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</si>
  <si>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</si>
  <si>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</si>
  <si>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</si>
  <si>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</si>
  <si>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</si>
  <si>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</si>
  <si>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</si>
  <si>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</si>
  <si>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</si>
  <si>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</si>
  <si>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</si>
  <si>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</si>
  <si>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</si>
  <si>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</si>
  <si>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</si>
  <si>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</si>
  <si>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</si>
  <si>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</si>
  <si>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</si>
  <si>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</si>
  <si>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</si>
  <si>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</si>
  <si>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</si>
  <si>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</si>
  <si>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</si>
  <si>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</si>
  <si>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</si>
  <si>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</si>
  <si>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</si>
  <si>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</si>
  <si>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</si>
  <si>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</si>
  <si>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</si>
  <si>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</si>
  <si>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</si>
  <si>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</si>
  <si>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</si>
  <si>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</si>
  <si>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</si>
  <si>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</si>
  <si>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</si>
  <si>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</si>
  <si>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</si>
  <si>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</si>
  <si>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</si>
  <si>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</si>
  <si>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</si>
  <si>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</si>
  <si>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</si>
  <si>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</si>
  <si>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</si>
  <si>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</si>
  <si>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</si>
  <si>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</si>
  <si>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</si>
  <si>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</si>
  <si>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</si>
  <si>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</si>
  <si>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</si>
  <si>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</si>
  <si>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</si>
  <si>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</si>
  <si>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</si>
  <si>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</si>
  <si>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</si>
  <si>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</si>
  <si>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</si>
  <si>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</si>
  <si>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</si>
  <si>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</si>
  <si>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ACRILICA DE FAIXAS DE DEMARCACAO EM QUADRA POLIESPORTIVA, 5 CM DE LARGURA</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</si>
  <si>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</si>
  <si>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</si>
  <si>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</si>
  <si>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</si>
  <si>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</si>
  <si>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</si>
  <si>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</si>
  <si>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</si>
  <si>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</si>
  <si>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</si>
  <si>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</si>
  <si>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RECOLOCACAO DE TACOS DE MADEIRA COM REAPROVEITAMENTO DE MATERIAL E ASSENTAMENTO COM ARGAMASSA 1:4 (CIMENTO E 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</si>
  <si>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</si>
  <si>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</si>
  <si>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</si>
  <si>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</si>
  <si>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</si>
  <si>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</si>
  <si>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</si>
  <si>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</si>
  <si>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</si>
  <si>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</si>
  <si>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</si>
  <si>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</si>
  <si>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</si>
  <si>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</si>
  <si>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</si>
  <si>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</si>
  <si>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</si>
  <si>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</si>
  <si>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</si>
  <si>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</si>
  <si>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</si>
  <si>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</si>
  <si>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</si>
  <si>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</si>
  <si>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</si>
  <si>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</si>
  <si>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</si>
  <si>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</si>
  <si>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</si>
  <si>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</si>
  <si>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</si>
  <si>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</si>
  <si>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</si>
  <si>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</si>
  <si>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</si>
  <si>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</si>
  <si>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</si>
  <si>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</si>
  <si>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</si>
  <si>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</si>
  <si>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</si>
  <si>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</si>
  <si>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</si>
  <si>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</si>
  <si>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</si>
  <si>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</si>
  <si>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</si>
  <si>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</si>
  <si>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</si>
  <si>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</si>
  <si>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</si>
  <si>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</si>
  <si>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</si>
  <si>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</si>
  <si>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</si>
  <si>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</si>
  <si>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</si>
  <si>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</si>
  <si>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</si>
  <si>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</si>
  <si>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</si>
  <si>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</si>
  <si>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</si>
  <si>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</si>
  <si>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</si>
  <si>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</si>
  <si>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</si>
  <si>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</si>
  <si>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</si>
  <si>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</si>
  <si>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</si>
  <si>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</si>
  <si>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</si>
  <si>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</si>
  <si>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</si>
  <si>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</si>
  <si>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</si>
  <si>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</si>
  <si>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</si>
  <si>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</si>
  <si>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</si>
  <si>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</si>
  <si>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</si>
  <si>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</si>
  <si>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</si>
  <si>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</si>
  <si>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</si>
  <si>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</si>
  <si>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</si>
  <si>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</si>
  <si>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</si>
  <si>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</si>
  <si>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</si>
  <si>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</si>
  <si>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</si>
  <si>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</si>
  <si>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</si>
  <si>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</si>
  <si>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</si>
  <si>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</si>
  <si>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</si>
  <si>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</si>
  <si>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</si>
  <si>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</si>
  <si>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</si>
  <si>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</si>
  <si>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</si>
  <si>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</si>
  <si>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</si>
  <si>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</si>
  <si>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</si>
  <si>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</si>
  <si>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</si>
  <si>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</si>
  <si>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</si>
  <si>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</si>
  <si>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</si>
  <si>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</si>
  <si>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</si>
  <si>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</si>
  <si>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</si>
  <si>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</si>
  <si>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</si>
  <si>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</si>
  <si>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</si>
  <si>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</si>
  <si>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</si>
  <si>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</si>
  <si>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</si>
  <si>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</si>
  <si>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</si>
  <si>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</si>
  <si>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</si>
  <si>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</si>
  <si>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</si>
  <si>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</si>
  <si>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</si>
  <si>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</si>
  <si>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</si>
  <si>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</si>
  <si>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</si>
  <si>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</si>
  <si>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</si>
  <si>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</si>
  <si>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</si>
  <si>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</si>
  <si>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</si>
  <si>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</si>
  <si>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</si>
  <si>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</si>
  <si>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</si>
  <si>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</si>
  <si>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</si>
  <si>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</si>
  <si>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</si>
  <si>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</si>
  <si>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</si>
  <si>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</si>
  <si>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</si>
  <si>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</si>
  <si>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</si>
  <si>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</si>
  <si>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</si>
  <si>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</si>
  <si>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</si>
  <si>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</si>
  <si>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</si>
  <si>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</si>
  <si>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</si>
  <si>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</si>
  <si>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</si>
  <si>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</si>
  <si>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</si>
  <si>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</si>
  <si>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</si>
  <si>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</si>
  <si>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</si>
  <si>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</si>
  <si>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</si>
  <si>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</si>
  <si>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</si>
  <si>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</si>
  <si>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</si>
  <si>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</si>
  <si>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</si>
  <si>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</si>
  <si>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</si>
  <si>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</si>
  <si>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</si>
  <si>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</si>
  <si>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</si>
  <si>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</si>
  <si>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</si>
  <si>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</si>
  <si>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</si>
  <si>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</si>
  <si>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</si>
  <si>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</si>
  <si>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</si>
  <si>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</si>
  <si>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</si>
  <si>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</si>
  <si>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</si>
  <si>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</si>
  <si>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</si>
  <si>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</si>
  <si>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</si>
  <si>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</si>
  <si>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</si>
  <si>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</si>
  <si>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</si>
  <si>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</si>
  <si>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</si>
  <si>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</si>
  <si>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</si>
  <si>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</si>
  <si>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</si>
  <si>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</si>
  <si>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</si>
  <si>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</si>
  <si>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</si>
  <si>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</si>
  <si>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</si>
  <si>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</si>
  <si>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</si>
  <si>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</si>
  <si>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</si>
  <si>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</si>
  <si>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</si>
  <si>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</si>
  <si>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</si>
  <si>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</si>
  <si>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</si>
  <si>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</si>
  <si>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</si>
  <si>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</si>
  <si>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</si>
  <si>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</si>
  <si>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</si>
  <si>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</si>
  <si>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</si>
  <si>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</si>
  <si>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</si>
  <si>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</si>
  <si>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</si>
  <si>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</si>
  <si>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</si>
  <si>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</si>
  <si>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</si>
  <si>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</si>
  <si>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</si>
  <si>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</si>
  <si>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</si>
  <si>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</si>
  <si>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</si>
  <si>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</si>
  <si>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</si>
  <si>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</si>
  <si>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</si>
  <si>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</si>
  <si>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</si>
  <si>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</si>
  <si>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</si>
  <si>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</si>
  <si>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</si>
  <si>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</si>
  <si>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</si>
  <si>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</si>
  <si>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</si>
  <si>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</si>
  <si>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</si>
  <si>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</si>
  <si>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</si>
  <si>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</si>
  <si>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</si>
  <si>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</si>
  <si>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</si>
  <si>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</si>
  <si>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</si>
  <si>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</si>
  <si>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</si>
  <si>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</si>
  <si>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</si>
  <si>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</si>
  <si>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</si>
  <si>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</si>
  <si>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</si>
  <si>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</si>
  <si>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</si>
  <si>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</si>
  <si>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</si>
  <si>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</si>
  <si>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</si>
  <si>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</si>
  <si>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</si>
  <si>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</si>
  <si>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</si>
  <si>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</si>
  <si>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</si>
  <si>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</si>
  <si>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</si>
  <si>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</si>
  <si>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</si>
  <si>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</si>
  <si>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</si>
  <si>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</si>
  <si>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</si>
  <si>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</si>
  <si>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</si>
  <si>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</si>
  <si>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</si>
  <si>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</si>
  <si>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</si>
  <si>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</si>
  <si>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</si>
  <si>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</si>
  <si>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</si>
  <si>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</si>
  <si>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</si>
  <si>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</si>
  <si>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</si>
  <si>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</si>
  <si>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</si>
  <si>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</si>
  <si>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</si>
  <si>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</si>
  <si>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</si>
  <si>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</si>
  <si>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</si>
  <si>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</si>
  <si>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</si>
  <si>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</si>
  <si>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73807/1</t>
  </si>
  <si>
    <t>CORRIMAO EM MARMORITE, LARGURA 15CM</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</si>
  <si>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</si>
  <si>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</si>
  <si>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</si>
  <si>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</si>
  <si>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</si>
  <si>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</si>
  <si>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</si>
  <si>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</si>
  <si>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</si>
  <si>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</si>
  <si>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</si>
  <si>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</si>
  <si>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</si>
  <si>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</si>
  <si>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</si>
  <si>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</si>
  <si>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</si>
  <si>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</si>
  <si>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</si>
  <si>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</si>
  <si>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</si>
  <si>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</si>
  <si>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</si>
  <si>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</si>
  <si>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</si>
  <si>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REMOCAO DE VIDRO COMUM</t>
  </si>
  <si>
    <t>SERVIÇOS TÉCNICOS ESPECIALIZADOS PARA ACOMPANHAMENTO DE EXECUÇÃO DE FUNDAÇÕES PROFUNDAS E ESTRUTURAS DE CONTENÇÃO</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</si>
  <si>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</si>
  <si>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</si>
  <si>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</si>
  <si>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</si>
  <si>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</si>
  <si>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</si>
  <si>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</si>
  <si>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</si>
  <si>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</si>
  <si>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</si>
  <si>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</si>
  <si>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</si>
  <si>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</si>
  <si>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</si>
  <si>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</si>
  <si>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</si>
  <si>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</si>
  <si>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</si>
  <si>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</si>
  <si>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</si>
  <si>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</si>
  <si>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</si>
  <si>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</si>
  <si>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</si>
  <si>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</si>
  <si>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</si>
  <si>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</si>
  <si>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</si>
  <si>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</si>
  <si>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</si>
  <si>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</si>
  <si>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</si>
  <si>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</si>
  <si>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74244/1</t>
  </si>
  <si>
    <t>ALAMBRADO PARA QUADRA POLIESPORTIVA, ESTRUTURADO POR TUBOS DE ACO GALVANIZADO, COM COSTURA, DIN 2440, DIAMETRO 2", COM TELA DE ARAME GALVANIZADO, FIO 14 BWG E MALHA QUADRADA 5X5CM</t>
  </si>
  <si>
    <t>ENCARGOS COMPLEMENTARES REFERENCIAL</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</si>
  <si>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</si>
  <si>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</si>
  <si>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</si>
  <si>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</si>
  <si>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</si>
  <si>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</si>
  <si>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</si>
  <si>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</si>
  <si>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</si>
  <si>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</si>
  <si>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</si>
  <si>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</si>
  <si>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</si>
  <si>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</si>
  <si>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</si>
  <si>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CAVOUQUEIRO OU OPERADOR PERFURATRIZ/ROMPEDOR COM ENCARGOS COMPLEMENTARES</t>
  </si>
  <si>
    <t>ELETRICISTA INDUSTRIAL COM ENCARGOS COMPLEMENTARES</t>
  </si>
  <si>
    <t>ELETROTÉCNICO COM ENCARGOS COMPLEMENTARES</t>
  </si>
  <si>
    <t>ESTUCADOR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</si>
  <si>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</si>
  <si>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</si>
  <si>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</si>
  <si>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</si>
  <si>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</si>
  <si>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</si>
  <si>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</si>
  <si>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</si>
  <si>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</si>
  <si>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</si>
  <si>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</si>
  <si>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</si>
  <si>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</si>
  <si>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</si>
  <si>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</si>
  <si>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</si>
  <si>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GUINCHO COM ENCARGOS COMPLEMENTARES</t>
  </si>
  <si>
    <t>OPERADOR DE GUINDASTE COM ENCARGOS COMPLEMENTARES</t>
  </si>
  <si>
    <t>OPERADOR DE MARTELETE OU MARTELETEIRO COM ENCARGOS COMPLEMENTARES</t>
  </si>
  <si>
    <t>OPERADOR DE MOTO-ESCREIPER COM ENCARGOS COMPLEMENTARES</t>
  </si>
  <si>
    <t>OPERADOR DE MOTONIVELADORA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</si>
  <si>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</si>
  <si>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</si>
  <si>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</si>
  <si>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</si>
  <si>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</si>
  <si>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</si>
  <si>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</si>
  <si>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</si>
  <si>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</si>
  <si>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</si>
  <si>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</si>
  <si>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</si>
  <si>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</si>
  <si>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</si>
  <si>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</si>
  <si>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</si>
  <si>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</si>
  <si>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</si>
  <si>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</si>
  <si>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</si>
  <si>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</si>
  <si>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</si>
  <si>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</si>
  <si>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</si>
  <si>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</si>
  <si>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</si>
  <si>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</si>
  <si>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</si>
  <si>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</si>
  <si>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</si>
  <si>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</si>
  <si>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</si>
  <si>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</si>
  <si>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</si>
  <si>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</si>
  <si>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</si>
  <si>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</si>
  <si>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</si>
  <si>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</si>
  <si>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</si>
  <si>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</si>
  <si>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AUXILIAR DE LABORATÓRIO (ENCARGOS COMPLEMENTARES) - HORISTA</t>
  </si>
  <si>
    <t>CURSO DE CAPACITAÇÃO PARA AUXILIAR DE MECÂNICO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</si>
  <si>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</si>
  <si>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</si>
  <si>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</si>
  <si>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</si>
  <si>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</si>
  <si>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</si>
  <si>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</si>
  <si>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</si>
  <si>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</si>
  <si>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INDUSTRIAL (ENCARGOS COMPLEMENTARES) - HORISTA</t>
  </si>
  <si>
    <t>CURSO DE CAPACITAÇÃO PARA ELETROTÉCNICO (ENCARGOS COMPLEMENTARES) - HORISTA</t>
  </si>
  <si>
    <t>CURSO DE CAPACITAÇÃO PARA ESTUCADOR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</si>
  <si>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</si>
  <si>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</si>
  <si>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</si>
  <si>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</si>
  <si>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</si>
  <si>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</si>
  <si>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</si>
  <si>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</si>
  <si>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</si>
  <si>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</si>
  <si>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</si>
  <si>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</si>
  <si>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</si>
  <si>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</si>
  <si>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</si>
  <si>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</si>
  <si>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</si>
  <si>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GUINCHO (ENCARGOS COMPLEMENTARES) - HORISTA</t>
  </si>
  <si>
    <t>CURSO DE CAPACITAÇÃO PARA OPERADOR DE GUINDASTE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</si>
  <si>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</si>
  <si>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</si>
  <si>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</si>
  <si>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</si>
  <si>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</si>
  <si>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</si>
  <si>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</si>
  <si>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</si>
  <si>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</si>
  <si>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</si>
  <si>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</si>
  <si>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</si>
  <si>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</si>
  <si>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</si>
  <si>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</si>
  <si>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VIGIA NOTURNO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</si>
  <si>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</si>
  <si>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</si>
  <si>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</si>
  <si>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</si>
  <si>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</si>
  <si>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</si>
  <si>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</si>
  <si>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</si>
  <si>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</si>
  <si>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</si>
  <si>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</si>
  <si>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</si>
  <si>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</si>
  <si>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</si>
  <si>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</si>
  <si>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</si>
  <si>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</si>
  <si>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</si>
  <si>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</si>
  <si>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</si>
  <si>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</si>
  <si>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</si>
  <si>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</si>
  <si>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</si>
  <si>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</si>
  <si>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</si>
  <si>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</si>
  <si>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</si>
  <si>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</si>
  <si>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</si>
  <si>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</si>
  <si>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</si>
  <si>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</si>
  <si>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</si>
  <si>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</si>
  <si>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Referên.</t>
  </si>
  <si>
    <t>OBJETO:</t>
  </si>
  <si>
    <t>DATA:</t>
  </si>
  <si>
    <t>REF. CUSTO INSUMOS:</t>
  </si>
  <si>
    <t>Conforme Resolução nº 0013/2016 do Decanato de Administração</t>
  </si>
  <si>
    <t>PREÇO DA ETAPA</t>
  </si>
  <si>
    <t>SINAPI</t>
  </si>
  <si>
    <t>DESCRICAO DA CLASSE</t>
  </si>
  <si>
    <t>SIGLA DA CLASSE</t>
  </si>
  <si>
    <t>DESCRICAO DO TIPO 1</t>
  </si>
  <si>
    <t>SIGLA DO TIPO 1</t>
  </si>
  <si>
    <t>CODIGO DO AGRUPADOR</t>
  </si>
  <si>
    <t>DESCRICAO DO AGRUPADOR</t>
  </si>
  <si>
    <t>ASSENTAMENTO DE TUBOS E PECAS</t>
  </si>
  <si>
    <t>ASTU</t>
  </si>
  <si>
    <t>FORNEC E/OU ASSENT DE TUBO DE FERRO FUNDIDO JUNTA ELASTICA</t>
  </si>
  <si>
    <t>0045</t>
  </si>
  <si>
    <t>FORNEC E/OU ASSENT DE TUBO DE PVC COM JUNTA ELASTICA</t>
  </si>
  <si>
    <t>0048</t>
  </si>
  <si>
    <t>FORNEC E/OU ASSENT DE TUBO DE CONCRETO COM JUNTA ELASTICA</t>
  </si>
  <si>
    <t>0051</t>
  </si>
  <si>
    <t>FORNEC E/OU ASSENT DE TUBO DE CONCRETO COM JUNTA ARGAMASSADA</t>
  </si>
  <si>
    <t>0052</t>
  </si>
  <si>
    <t>CANTEIRO DE OBRAS</t>
  </si>
  <si>
    <t>CANT</t>
  </si>
  <si>
    <t>CONSTRUCAO DO CANTEIRO</t>
  </si>
  <si>
    <t>0001</t>
  </si>
  <si>
    <t>CUSTOS HORÁRIOS DE MÁQUINAS E EQUIPAMENTOS</t>
  </si>
  <si>
    <t>CHOR</t>
  </si>
  <si>
    <t>CUSTO HORÁRIO PRODUTIVO DIURNO</t>
  </si>
  <si>
    <t>0325</t>
  </si>
  <si>
    <t>CUSTO HORÁRIO IMPRODUTIVO DIURNO</t>
  </si>
  <si>
    <t>0327</t>
  </si>
  <si>
    <t>COMPOSIÇÕES AUXILIARES</t>
  </si>
  <si>
    <t>0329</t>
  </si>
  <si>
    <t>COBERTURA</t>
  </si>
  <si>
    <t>COBE</t>
  </si>
  <si>
    <t>MADEIRAMENTO</t>
  </si>
  <si>
    <t>0073</t>
  </si>
  <si>
    <t>TELHAMENTO COM TELHA CERAMICA</t>
  </si>
  <si>
    <t>0074</t>
  </si>
  <si>
    <t>TELHAMENTO COM TELHA DE FIBROCIMENTO</t>
  </si>
  <si>
    <t>0075</t>
  </si>
  <si>
    <t>TELHAMENTO COM TELHA METALICA</t>
  </si>
  <si>
    <t>0076</t>
  </si>
  <si>
    <t>CUMEEIRA CERAMICA</t>
  </si>
  <si>
    <t>0079</t>
  </si>
  <si>
    <t>CUMEEIRA DE FIBROCIMENTO</t>
  </si>
  <si>
    <t>0080</t>
  </si>
  <si>
    <t>CALHA METALICA</t>
  </si>
  <si>
    <t>0084</t>
  </si>
  <si>
    <t>RUFO METALICO</t>
  </si>
  <si>
    <t>0086</t>
  </si>
  <si>
    <t>TELHAMENTO COM TELHA DE FIBRA DE VIDRO</t>
  </si>
  <si>
    <t>0252</t>
  </si>
  <si>
    <t>ESTRUTURA METALICA</t>
  </si>
  <si>
    <t>0291</t>
  </si>
  <si>
    <t>TELHAMENTO COM TELHA DE VIDRO</t>
  </si>
  <si>
    <t>0302</t>
  </si>
  <si>
    <t>DRENAGEM/OBRAS DE CONTENCAO/POCOS DE VISITA E CAIXAS</t>
  </si>
  <si>
    <t>DROP</t>
  </si>
  <si>
    <t>DRENOS</t>
  </si>
  <si>
    <t>0028</t>
  </si>
  <si>
    <t>DRENAGEM SUBTERRANEA</t>
  </si>
  <si>
    <t>DRENO COM MANTA GEOTEXTIL</t>
  </si>
  <si>
    <t>DRENO FRANCES C/MATERIAL FILTRANTE</t>
  </si>
  <si>
    <t>DRENOS DE CHORUME EM TUBOS DRENANTES - MMA</t>
  </si>
  <si>
    <t>EXECUCAO DE DRENOS DE CHORUME EM TUBOS DRENANTES</t>
  </si>
  <si>
    <t>TUBULAÇÃO EM PVC CORRUGADO RIGIDO PERFURADO P/ DRENAGEM</t>
  </si>
  <si>
    <t>GABIOES</t>
  </si>
  <si>
    <t>0031</t>
  </si>
  <si>
    <t>MUROS DE ARRIMO</t>
  </si>
  <si>
    <t>0032</t>
  </si>
  <si>
    <t>POCOS DE VISITA/BOCAS DE LOBO/CX. DE PASSAGEM/CX. DIVERSAS</t>
  </si>
  <si>
    <t>0036</t>
  </si>
  <si>
    <t>FORNECIMENTO/ASSENT GRELHAS FF P/CAIXAS DE RALO</t>
  </si>
  <si>
    <t>BOCA PARA BUEIRO TUBULAR DE CONCRETO SIMPLES</t>
  </si>
  <si>
    <t>POCO DE VISITA - DRENAGEM PLUVIAL - EM CONCRETO ESTRUTURAL</t>
  </si>
  <si>
    <t>MEIO FIO, LINHA D'AGUA E SARJERTA</t>
  </si>
  <si>
    <t>0037</t>
  </si>
  <si>
    <t>ESCORAMENTO</t>
  </si>
  <si>
    <t>ESCO</t>
  </si>
  <si>
    <t>ESCORAMENTO DE MADEIRA EM VALAS</t>
  </si>
  <si>
    <t>0023</t>
  </si>
  <si>
    <t>CIMBRAMENTO</t>
  </si>
  <si>
    <t>0293</t>
  </si>
  <si>
    <t>ESQUADRIAS/FERRAGENS/VIDROS</t>
  </si>
  <si>
    <t>ESQV</t>
  </si>
  <si>
    <t>PORTA DE MADEIRA</t>
  </si>
  <si>
    <t>0089</t>
  </si>
  <si>
    <t>JANELA DE MADEIRA</t>
  </si>
  <si>
    <t>0090</t>
  </si>
  <si>
    <t>PORTA E/OU TAMPA DE FERRO</t>
  </si>
  <si>
    <t>0092</t>
  </si>
  <si>
    <t>JANELA DE FERRO</t>
  </si>
  <si>
    <t>0093</t>
  </si>
  <si>
    <t>GUARDA-CORPO DE FERRO</t>
  </si>
  <si>
    <t>0095</t>
  </si>
  <si>
    <t>ESCADAS/CORRIMAOS</t>
  </si>
  <si>
    <t>0097</t>
  </si>
  <si>
    <t>ESCADA MARINHEIRO</t>
  </si>
  <si>
    <t>PORTA E/OU TAMPA DE ALUMINIO</t>
  </si>
  <si>
    <t>0098</t>
  </si>
  <si>
    <t>FERRAGENS PARA PORTAS</t>
  </si>
  <si>
    <t>0100</t>
  </si>
  <si>
    <t>FERRAGENS DIVERSAS</t>
  </si>
  <si>
    <t>0102</t>
  </si>
  <si>
    <t>VIDROS/ESPELHOS</t>
  </si>
  <si>
    <t>0103</t>
  </si>
  <si>
    <t>PORTA DE VIDRO TEMPERADO</t>
  </si>
  <si>
    <t>ESPELHO C/MOLDURA</t>
  </si>
  <si>
    <t>JANELA DE ALUMINIO</t>
  </si>
  <si>
    <t>0222</t>
  </si>
  <si>
    <t>FUNDACOES E ESTRUTURAS</t>
  </si>
  <si>
    <t>FUES</t>
  </si>
  <si>
    <t>TUBULOES</t>
  </si>
  <si>
    <t>0038</t>
  </si>
  <si>
    <t>ESTACAS</t>
  </si>
  <si>
    <t>0039</t>
  </si>
  <si>
    <t>LASTROS/FUNDACOES DIVERSAS</t>
  </si>
  <si>
    <t>0040</t>
  </si>
  <si>
    <t>FORMAS/CIMBRAMENTOS/ESCORAMENTOS</t>
  </si>
  <si>
    <t>0041</t>
  </si>
  <si>
    <t>ARMADURAS</t>
  </si>
  <si>
    <t>0042</t>
  </si>
  <si>
    <t>CONCRETOS</t>
  </si>
  <si>
    <t>0043</t>
  </si>
  <si>
    <t>LAJE PRE-FABRICADA</t>
  </si>
  <si>
    <t>0044</t>
  </si>
  <si>
    <t>LAJE PRE-MOLDADA</t>
  </si>
  <si>
    <t>EMBASAMENTOS</t>
  </si>
  <si>
    <t>0247</t>
  </si>
  <si>
    <t>ADESIVOS PARA ESTRUTURAS</t>
  </si>
  <si>
    <t>0286</t>
  </si>
  <si>
    <t>CINTAS E VERGAS</t>
  </si>
  <si>
    <t>0296</t>
  </si>
  <si>
    <t>ESTRUTURAS DIVERSAS</t>
  </si>
  <si>
    <t>0301</t>
  </si>
  <si>
    <t>IMPERMEABILIZACOES E PROTECOES DIVERSAS</t>
  </si>
  <si>
    <t>IMPE</t>
  </si>
  <si>
    <t>IMPERMEABILIZACAO COM ARGAMASSA</t>
  </si>
  <si>
    <t>0138</t>
  </si>
  <si>
    <t>IMPERMEABILIZACAO COM ADITIVO</t>
  </si>
  <si>
    <t>0140</t>
  </si>
  <si>
    <t>IMPERMEABILIZACAO COM MANTA</t>
  </si>
  <si>
    <t>0141</t>
  </si>
  <si>
    <t>IMPERMEABILIZACAO BETUMINOSA C/EMULSAO ASFALTICA E ACRILICA</t>
  </si>
  <si>
    <t>0145</t>
  </si>
  <si>
    <t>INSTALACAO ELETRICA/ELETRIFICACAO E ILUMINACAO EXTERNA</t>
  </si>
  <si>
    <t>INEL</t>
  </si>
  <si>
    <t>ELETRODUTOS/CALHAS PARA LEITO DE CABOS</t>
  </si>
  <si>
    <t>0165</t>
  </si>
  <si>
    <t>CONEXOES</t>
  </si>
  <si>
    <t>0166</t>
  </si>
  <si>
    <t>FIOS/CABOS</t>
  </si>
  <si>
    <t>0167</t>
  </si>
  <si>
    <t>CAIXAS</t>
  </si>
  <si>
    <t>0168</t>
  </si>
  <si>
    <t>QUADROS/DISJUNTORES</t>
  </si>
  <si>
    <t>0169</t>
  </si>
  <si>
    <t>DISJUNTORES</t>
  </si>
  <si>
    <t>QUADROS DE DISTRIBUICAO.</t>
  </si>
  <si>
    <t>INTERRUPTOR/TOMADA</t>
  </si>
  <si>
    <t>0170</t>
  </si>
  <si>
    <t>LUMINARIA INTERNA/BOCAL/LAMPADAS</t>
  </si>
  <si>
    <t>0171</t>
  </si>
  <si>
    <t>FORNECIMENTO DE MAT/MO P/ELETRIFICACAO E ILUMINACAO PUBLICA</t>
  </si>
  <si>
    <t>0172</t>
  </si>
  <si>
    <t>FORNEC/COLOC DE CONECTORES/LACO DE ROLDANA E ALCA P/ILUM PUBLICA</t>
  </si>
  <si>
    <t>DIVERSOS PARA SUBESTACAO</t>
  </si>
  <si>
    <t>POSTE DE CONCRETO</t>
  </si>
  <si>
    <t>0173</t>
  </si>
  <si>
    <t>POSTE METALICO</t>
  </si>
  <si>
    <t>0174</t>
  </si>
  <si>
    <t>LUMINARIA EXTERNA</t>
  </si>
  <si>
    <t>0175</t>
  </si>
  <si>
    <t>LAMPADAS E RECEPTACULOS</t>
  </si>
  <si>
    <t>LUMINARIA EXTERNA ABERTA</t>
  </si>
  <si>
    <t>REFLETOR PARA LAMPADAS VAPOR DE MERCURIO, VAPOR DE SODIO, VAPOR METALICO</t>
  </si>
  <si>
    <t>TRANSFORMADORES</t>
  </si>
  <si>
    <t>0176</t>
  </si>
  <si>
    <t>TRANSFORMADORES DE DISTRIBUICAO</t>
  </si>
  <si>
    <t>PONTOS DE LUZ/TOMADAS ANTENA TV/CAMPAINHAS/INTERRUPTORES</t>
  </si>
  <si>
    <t>0177</t>
  </si>
  <si>
    <t>SISTEMAS DE PROTECAO/ATERRAMENTO</t>
  </si>
  <si>
    <t>0243</t>
  </si>
  <si>
    <t>SERVICOS DIVERSOS</t>
  </si>
  <si>
    <t>CHAVES EM GERAL/FUSIVEIS E CONECTORES</t>
  </si>
  <si>
    <t>0270</t>
  </si>
  <si>
    <t>INSTALACOES ESPECIAIS</t>
  </si>
  <si>
    <t>INES</t>
  </si>
  <si>
    <t>INCENDIO</t>
  </si>
  <si>
    <t>0186</t>
  </si>
  <si>
    <t>EXTINTOR DE INCENDIO</t>
  </si>
  <si>
    <t>TELEFONE</t>
  </si>
  <si>
    <t>0187</t>
  </si>
  <si>
    <t>CAIXAS PARA INSTALACOES TELEFONICAS</t>
  </si>
  <si>
    <t>AR CONDICIONADO</t>
  </si>
  <si>
    <t>0190</t>
  </si>
  <si>
    <t>GAS</t>
  </si>
  <si>
    <t>0274</t>
  </si>
  <si>
    <t>INSTALACAO GAS</t>
  </si>
  <si>
    <t>BOMBAS P/INSTALACAO PREDIAL</t>
  </si>
  <si>
    <t>0312</t>
  </si>
  <si>
    <t>INSTALACOES HIDRO SANITARIAS</t>
  </si>
  <si>
    <t>INHI</t>
  </si>
  <si>
    <t>FORNEC. E ASSENTAMENTO DE TUBOS P/INSTALACAO DOMICILIAR</t>
  </si>
  <si>
    <t>0179</t>
  </si>
  <si>
    <t>0180</t>
  </si>
  <si>
    <t>CAIXAS D'DAGUA, DE INSPECAO E DE GORDURA</t>
  </si>
  <si>
    <t>0181</t>
  </si>
  <si>
    <t>CAIXA DE PASSAGEM (INSPECAO) PRE-MOLDADA DN 60 CM</t>
  </si>
  <si>
    <t>RALOS/CAIXA SIFONADA</t>
  </si>
  <si>
    <t>0182</t>
  </si>
  <si>
    <t>APARELHOS SANITARIOS, LOUCAS, METAIS E OUTROS</t>
  </si>
  <si>
    <t>0183</t>
  </si>
  <si>
    <t>FOSSAS/SUMIDOUROS</t>
  </si>
  <si>
    <t>0184</t>
  </si>
  <si>
    <t>PONTOS DE AGUA/ESGOTO</t>
  </si>
  <si>
    <t>0185</t>
  </si>
  <si>
    <t>REGISTROS/VALVULAS</t>
  </si>
  <si>
    <t>0271</t>
  </si>
  <si>
    <t>HIDROMETRO</t>
  </si>
  <si>
    <t>0272</t>
  </si>
  <si>
    <t>0297</t>
  </si>
  <si>
    <t>INSTALACOES DE PRODUCAO</t>
  </si>
  <si>
    <t>INPR</t>
  </si>
  <si>
    <t>INSTALACAO DE BOMBAS EM GERAL</t>
  </si>
  <si>
    <t>0232</t>
  </si>
  <si>
    <t>INSTALACAO DE COMPRESSOR DE AR OU SOPRADOR</t>
  </si>
  <si>
    <t>INSTALACAO DE CONJUNTO MOTO BOMBA SUBMERSIVEL</t>
  </si>
  <si>
    <t>INSTALACAO DE CONJUNTO MOTO BOMBA VERTICAL</t>
  </si>
  <si>
    <t>INSTALACAO DE CONJUNTO MOTO BOMBA HORIZONTAL</t>
  </si>
  <si>
    <t>INSTALACAO DE CONJUNTO MOTO BOMBA SUBMERSO/POSICIONAMENTO</t>
  </si>
  <si>
    <t>LIGACOES PREDIAIS AGUA/ESGOTO/ENERGIA/TELEFONE</t>
  </si>
  <si>
    <t>LIPR</t>
  </si>
  <si>
    <t>LIGACOES PREDIAIS DE ESGOTO</t>
  </si>
  <si>
    <t>0059</t>
  </si>
  <si>
    <t>MOVIMENTO DE TERRA</t>
  </si>
  <si>
    <t>MOVT</t>
  </si>
  <si>
    <t>CORTE/ESCAVACAO EM JAZIDAS OU CAMPO ABERTO</t>
  </si>
  <si>
    <t>0018</t>
  </si>
  <si>
    <t>ESCAVACAO E CARGA MATERIAL 1A CATEGORIA</t>
  </si>
  <si>
    <t>ESCAVACAO, CARGA E TRANSPORTE DMT 50 A 200M C/ CAMINHAO BASCULANTE</t>
  </si>
  <si>
    <t>ESCAVACAO E TRANSPORTE DMT 50M C/TRATOR ESTEIRAS CAT D8</t>
  </si>
  <si>
    <t>ESCAVACAO DE MATERIAL 1A. CATEGORIA (SUBLEITO)</t>
  </si>
  <si>
    <t>ESCAVACAO DE VALAS</t>
  </si>
  <si>
    <t>0019</t>
  </si>
  <si>
    <t>ESCAVACAO MANUAL DE VALAS</t>
  </si>
  <si>
    <t>ATERRO COM OU S/COMPACTACAO</t>
  </si>
  <si>
    <t>0020</t>
  </si>
  <si>
    <t>ATERRO/REATERRO DE VALAS COM OU S/COMPACTACAO</t>
  </si>
  <si>
    <t>0021</t>
  </si>
  <si>
    <t>CARGA, DESCARGA E/OU TRANSPORTE DE MATERIAIS</t>
  </si>
  <si>
    <t>0022</t>
  </si>
  <si>
    <t>CARGA E DESCARGA MECANIZADA</t>
  </si>
  <si>
    <t>REGULARIZACAO E APILOAMENTO DE FUNDO DE VALAS</t>
  </si>
  <si>
    <t>0225</t>
  </si>
  <si>
    <t>COMPACTACAO OU APILOAMENTO</t>
  </si>
  <si>
    <t>0283</t>
  </si>
  <si>
    <t>PAREDES/PAINEIS</t>
  </si>
  <si>
    <t>PARE</t>
  </si>
  <si>
    <t>ALVENARIA DE TIJOLOS CERAMICOS</t>
  </si>
  <si>
    <t>0063</t>
  </si>
  <si>
    <t>ALVENARIA DE ELEMENTOS VAZADOS CERAMICOS</t>
  </si>
  <si>
    <t>0064</t>
  </si>
  <si>
    <t>ALVENARIA DE BLOCOS DE CONCRETO</t>
  </si>
  <si>
    <t>0065</t>
  </si>
  <si>
    <t>ALVENARIA DE ELEMENTOS VAZADOS DE CONCRETO</t>
  </si>
  <si>
    <t>0066</t>
  </si>
  <si>
    <t>ALVENARIA ELEMENTO VAZADO CONCRETO (COBOGO)</t>
  </si>
  <si>
    <t>ALVENARIA DE BLOCOS DE VIDRO</t>
  </si>
  <si>
    <t>0067</t>
  </si>
  <si>
    <t>DIVISORIAS/MARMORE/GRANITO/MARMORITE/CONCRETO/MAD.AGLOM.</t>
  </si>
  <si>
    <t>0070</t>
  </si>
  <si>
    <t>PAREDE DIVISORIA PARA SANITARIOS E BANHEIROS</t>
  </si>
  <si>
    <t>PAINEL DIVISORIO MADEIRA</t>
  </si>
  <si>
    <t>PAINEL DIVISORIO MARMORE/GRANITO</t>
  </si>
  <si>
    <t>ALVENARIA DE BLOCO-CONCRETO CELULAR</t>
  </si>
  <si>
    <t>0251</t>
  </si>
  <si>
    <t>ALVENARIA DE BLOCOS DE CONCRETO CELULAR</t>
  </si>
  <si>
    <t>PAVIMENTACAO</t>
  </si>
  <si>
    <t>PAVI</t>
  </si>
  <si>
    <t>RECOMPOSICAO DE PAVIMENTACAO</t>
  </si>
  <si>
    <t>0054</t>
  </si>
  <si>
    <t>REFORMA CONSERVACAO LOGRADOUROS EM PARALELEPIPEDO</t>
  </si>
  <si>
    <t>EXECUCAO DE SUB-LEITO, LEITO, SUB-BASE, BASE ETC</t>
  </si>
  <si>
    <t>0056</t>
  </si>
  <si>
    <t>EXECUCAO DE PAVIMENTACOES DIVERSAS</t>
  </si>
  <si>
    <t>0057</t>
  </si>
  <si>
    <t>SINALIZACAO HORIZONTAL/VERTICAL</t>
  </si>
  <si>
    <t>0249</t>
  </si>
  <si>
    <t>FABRICACAO/EXECUCAO DE CBUQ/PRE-MISTURADOS</t>
  </si>
  <si>
    <t>0287</t>
  </si>
  <si>
    <t>PINTURAS</t>
  </si>
  <si>
    <t>PINT</t>
  </si>
  <si>
    <t>PINTURA DE PAREDE</t>
  </si>
  <si>
    <t>0155</t>
  </si>
  <si>
    <t>PINTURA EM MADEIRA</t>
  </si>
  <si>
    <t>0157</t>
  </si>
  <si>
    <t>PINTURA ESMALTE</t>
  </si>
  <si>
    <t>PINTURA ESMALTE ACETINADO 2 DEMAOS APARELHADA P/MADEIRA</t>
  </si>
  <si>
    <t>PINTURA EM ESQUADRIAS DE MADEIRA</t>
  </si>
  <si>
    <t>PINTURA PARA METAL</t>
  </si>
  <si>
    <t>0158</t>
  </si>
  <si>
    <t>PINTURA PARA PISO</t>
  </si>
  <si>
    <t>0161</t>
  </si>
  <si>
    <t>PINTURAS IMPERMEABILIZANTES</t>
  </si>
  <si>
    <t>MARCACAO DE QUADRAS E PINTURAS DE PISOS</t>
  </si>
  <si>
    <t>PISOS</t>
  </si>
  <si>
    <t>PISO</t>
  </si>
  <si>
    <t>PISO DE MADEIRA</t>
  </si>
  <si>
    <t>0112</t>
  </si>
  <si>
    <t>PISO EM MADEIRA</t>
  </si>
  <si>
    <t>PISO CERAMICO</t>
  </si>
  <si>
    <t>0113</t>
  </si>
  <si>
    <t>PISO DE PEDRA</t>
  </si>
  <si>
    <t>0115</t>
  </si>
  <si>
    <t>PISO EM PEDRA</t>
  </si>
  <si>
    <t>PISO PEDRA</t>
  </si>
  <si>
    <t>PISO VINILICO/BORRACHA</t>
  </si>
  <si>
    <t>0116</t>
  </si>
  <si>
    <t>PLURIGOMA</t>
  </si>
  <si>
    <t>PISO DE ALTA RESISTENCIA</t>
  </si>
  <si>
    <t>0117</t>
  </si>
  <si>
    <t>PISO GRANILITE/MARMORITE</t>
  </si>
  <si>
    <t>0118</t>
  </si>
  <si>
    <t>SOLEIRA DE MARMORE/GRANITO</t>
  </si>
  <si>
    <t>0122</t>
  </si>
  <si>
    <t>SOLEIRA MARMORE BRANCO</t>
  </si>
  <si>
    <t>RODAPE DE MADEIRA</t>
  </si>
  <si>
    <t>0130</t>
  </si>
  <si>
    <t>RODAPES DE MADEIRA</t>
  </si>
  <si>
    <t>RODAPE CERAMICO</t>
  </si>
  <si>
    <t>0131</t>
  </si>
  <si>
    <t>RODAPE DE MARMORE,GRANITO,MARMORITE,GRANILITE E OUTROS</t>
  </si>
  <si>
    <t>0164</t>
  </si>
  <si>
    <t>RODAPE DE MARMORITE</t>
  </si>
  <si>
    <t>PISO CONCRETO</t>
  </si>
  <si>
    <t>0258</t>
  </si>
  <si>
    <t>REGULARIZACAO DE CONTRA-PISOS E OUTRAS SUPERFICIES</t>
  </si>
  <si>
    <t>0264</t>
  </si>
  <si>
    <t>RODAPE VINILICO/BORRACHA</t>
  </si>
  <si>
    <t>0308</t>
  </si>
  <si>
    <t>REVESTIMENTO E TRATAMENTO DE SUPERFICIES</t>
  </si>
  <si>
    <t>REVE</t>
  </si>
  <si>
    <t>CHAPISCO</t>
  </si>
  <si>
    <t>0106</t>
  </si>
  <si>
    <t>EMBOCO</t>
  </si>
  <si>
    <t>0107</t>
  </si>
  <si>
    <t>PASTILHAS,CERAMICAS, PLACAS PRE-MOLDADAS E OUTROS</t>
  </si>
  <si>
    <t>0110</t>
  </si>
  <si>
    <t>PEITORIL DE MARMORE/GRANITO</t>
  </si>
  <si>
    <t>0125</t>
  </si>
  <si>
    <t>PEITORIL DE CONCRETO</t>
  </si>
  <si>
    <t>0129</t>
  </si>
  <si>
    <t>FORRO DE MADEIRA</t>
  </si>
  <si>
    <t>0133</t>
  </si>
  <si>
    <t>FORRO DE GESSO</t>
  </si>
  <si>
    <t>0134</t>
  </si>
  <si>
    <t>REVESTIMENTO DE CORRIMAO</t>
  </si>
  <si>
    <t>0290</t>
  </si>
  <si>
    <t>CORRIMAO DE GRANITO ARTIFICIAL (MARMORITE) COM 15 CM DE LARGURA</t>
  </si>
  <si>
    <t>FORRO METALICO/PVC</t>
  </si>
  <si>
    <t>0311</t>
  </si>
  <si>
    <t>RESTAURO</t>
  </si>
  <si>
    <t>0319</t>
  </si>
  <si>
    <t>SEDI</t>
  </si>
  <si>
    <t>ARGAMASSAS</t>
  </si>
  <si>
    <t>0210</t>
  </si>
  <si>
    <t>CARGA, DESCARGA E TRANSPORTE DE MATERIAIS</t>
  </si>
  <si>
    <t>0211</t>
  </si>
  <si>
    <t>LIMPEZA E ARREMATES FINAIS</t>
  </si>
  <si>
    <t>0212</t>
  </si>
  <si>
    <t>OUTROS</t>
  </si>
  <si>
    <t>0318</t>
  </si>
  <si>
    <t>SERVICOS PRELIMINARES</t>
  </si>
  <si>
    <t>SERP</t>
  </si>
  <si>
    <t>DEMOLICOES/RETIRADAS</t>
  </si>
  <si>
    <t>0014</t>
  </si>
  <si>
    <t>SERVICOS TECNICOS</t>
  </si>
  <si>
    <t>SERT</t>
  </si>
  <si>
    <t>CONTROLE TECNOLOGICO</t>
  </si>
  <si>
    <t>0006</t>
  </si>
  <si>
    <t>LOCACAO</t>
  </si>
  <si>
    <t>0008</t>
  </si>
  <si>
    <t>TRANPORTES, CARGAS E DESCARGAS</t>
  </si>
  <si>
    <t>TRAN</t>
  </si>
  <si>
    <t>TRANSPORTE COMERCIAL</t>
  </si>
  <si>
    <t>0332</t>
  </si>
  <si>
    <t>TRANSPORTE MATERIAIS BETUMINOSOS</t>
  </si>
  <si>
    <t>0333</t>
  </si>
  <si>
    <t>URBANIZACAO</t>
  </si>
  <si>
    <t>URBA</t>
  </si>
  <si>
    <t>CERCA/PROTETORES</t>
  </si>
  <si>
    <t>0202</t>
  </si>
  <si>
    <t>PORTÃO PARA CERCA</t>
  </si>
  <si>
    <t>CERCA COM MOURÕES DE MADEIRA</t>
  </si>
  <si>
    <t>CERCA COM MOUROES - MMA</t>
  </si>
  <si>
    <t>CERCA DE ARAME LISO</t>
  </si>
  <si>
    <t>ALAMBRADO</t>
  </si>
  <si>
    <t>0204</t>
  </si>
  <si>
    <t>ALAMBRADO PARA QUADRA POLIESPORTIVA</t>
  </si>
  <si>
    <t>ARBORIZACAO, INCLUSIVE PREPARO DO SOLO</t>
  </si>
  <si>
    <t>0205</t>
  </si>
  <si>
    <t>GRAMA, INCLUSIVE PREPARO DO SOLO</t>
  </si>
  <si>
    <t>0206</t>
  </si>
  <si>
    <t>MANUTENCAO E LIMPEZA DE AREAS VERDES</t>
  </si>
  <si>
    <t>0277</t>
  </si>
  <si>
    <t>FUNDAÇÕES E ESTRUTURAS</t>
  </si>
  <si>
    <t>02.01.000</t>
  </si>
  <si>
    <t>04.01.000</t>
  </si>
  <si>
    <t xml:space="preserve">                                                                                                      </t>
  </si>
  <si>
    <t>07.02.000</t>
  </si>
  <si>
    <t>09.02.000</t>
  </si>
  <si>
    <t>SERVIÇOS COMPLEMENTARES</t>
  </si>
  <si>
    <t>02.01.100</t>
  </si>
  <si>
    <t>BDI</t>
  </si>
  <si>
    <t>03.02.000</t>
  </si>
  <si>
    <t>ESTRUTURAS DE CONCRETO</t>
  </si>
  <si>
    <t>ARQUITETURA E ELEMENTOS DE URBANISMO</t>
  </si>
  <si>
    <t>ARQUITETURA</t>
  </si>
  <si>
    <t>INSTALAÇÕES ELÉTRICAS E ELETRÔNICAS</t>
  </si>
  <si>
    <t>06.01.000</t>
  </si>
  <si>
    <t>06.09.000</t>
  </si>
  <si>
    <t>SISTEMA DE CABEAMENTO ESTRUTURADO</t>
  </si>
  <si>
    <t>INSTALAÇÕES MECÂNICAS E DE UTILIDADES</t>
  </si>
  <si>
    <t>SERVIÇOS AUXILIARES E ADMINISTRATIVOS</t>
  </si>
  <si>
    <t>09.04.000</t>
  </si>
  <si>
    <t>Para obras de construção civil, reforma e/ou ampliação</t>
  </si>
  <si>
    <t>Para fornecimento de materiais e equipamentos em obras de construção, reforma e/ou ampliação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</si>
  <si>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</si>
  <si>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</si>
  <si>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</si>
  <si>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</si>
  <si>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</si>
  <si>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</si>
  <si>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</si>
  <si>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</si>
  <si>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</si>
  <si>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</si>
  <si>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</si>
  <si>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</si>
  <si>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</si>
  <si>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</si>
  <si>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</si>
  <si>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</si>
  <si>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</si>
  <si>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</si>
  <si>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</si>
  <si>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</si>
  <si>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</si>
  <si>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</si>
  <si>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</si>
  <si>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</si>
  <si>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</si>
  <si>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</si>
  <si>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</si>
  <si>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</si>
  <si>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</si>
  <si>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</si>
  <si>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</si>
  <si>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</si>
  <si>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</si>
  <si>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</si>
  <si>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</si>
  <si>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</si>
  <si>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</si>
  <si>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</si>
  <si>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</si>
  <si>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</si>
  <si>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</si>
  <si>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</si>
  <si>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</si>
  <si>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</si>
  <si>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</si>
  <si>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</si>
  <si>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</si>
  <si>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</si>
  <si>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</si>
  <si>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</si>
  <si>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</si>
  <si>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</si>
  <si>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</si>
  <si>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</si>
  <si>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</si>
  <si>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</si>
  <si>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</si>
  <si>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</si>
  <si>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</si>
  <si>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</si>
  <si>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</si>
  <si>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</si>
  <si>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</si>
  <si>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</si>
  <si>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</si>
  <si>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</si>
  <si>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</si>
  <si>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</si>
  <si>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</si>
  <si>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</si>
  <si>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</si>
  <si>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</si>
  <si>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</si>
  <si>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</si>
  <si>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</si>
  <si>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</si>
  <si>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</si>
  <si>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</si>
  <si>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</si>
  <si>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</si>
  <si>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</si>
  <si>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</si>
  <si>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74131/5</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</si>
  <si>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</si>
  <si>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</si>
  <si>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</si>
  <si>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</si>
  <si>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</si>
  <si>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</si>
  <si>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</si>
  <si>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</si>
  <si>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</si>
  <si>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</si>
  <si>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</si>
  <si>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</si>
  <si>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</si>
  <si>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</si>
  <si>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</si>
  <si>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</si>
  <si>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</si>
  <si>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</si>
  <si>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</si>
  <si>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</si>
  <si>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</si>
  <si>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</si>
  <si>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02.04.000</t>
  </si>
  <si>
    <t>TERRAPLANAGEM</t>
  </si>
  <si>
    <t>CENTRO DE PLANEJAMENTO OSCAR NIEMEYER</t>
  </si>
  <si>
    <t>PREÇO MENSAL</t>
  </si>
  <si>
    <t>MÊS 4</t>
  </si>
  <si>
    <t>02.03.101</t>
  </si>
  <si>
    <t>02.04.100</t>
  </si>
  <si>
    <t>02.04.101</t>
  </si>
  <si>
    <t>03.01.000</t>
  </si>
  <si>
    <t>03.01.100</t>
  </si>
  <si>
    <t>FUNDAÇÕES</t>
  </si>
  <si>
    <t>03.03.000</t>
  </si>
  <si>
    <t>ESTRUTURAS METÁLICAS</t>
  </si>
  <si>
    <t>05.00.000</t>
  </si>
  <si>
    <t>05.01.000</t>
  </si>
  <si>
    <t>05.03.000</t>
  </si>
  <si>
    <t>05.03.100</t>
  </si>
  <si>
    <t>05.06.000</t>
  </si>
  <si>
    <t>05.06.100</t>
  </si>
  <si>
    <t>05.04.000</t>
  </si>
  <si>
    <t>05.04.100</t>
  </si>
  <si>
    <t>INSTALAÇÕES HIDRÁULICAS E SANITÁRIAS</t>
  </si>
  <si>
    <t>ÁGUA FRIA</t>
  </si>
  <si>
    <t>DRENAGEM DE ÁGUAS PLUVIAIS</t>
  </si>
  <si>
    <t>ESGOTOS SANITÁRIOS</t>
  </si>
  <si>
    <t>SERVIÇOS DIVERSOS</t>
  </si>
  <si>
    <t>06.03.000</t>
  </si>
  <si>
    <t>INSTALAÇÕES ELÉTRICAS</t>
  </si>
  <si>
    <t>DETECÇÃO E ALARME DE INCÊNDIO</t>
  </si>
  <si>
    <t>06.07.000</t>
  </si>
  <si>
    <t>CFTV</t>
  </si>
  <si>
    <t>06.07.100</t>
  </si>
  <si>
    <t>07.01.000</t>
  </si>
  <si>
    <t>07.01.100</t>
  </si>
  <si>
    <t>07.01.101</t>
  </si>
  <si>
    <t>ELEVADORES</t>
  </si>
  <si>
    <t>08.00.000</t>
  </si>
  <si>
    <t>08.01.000</t>
  </si>
  <si>
    <t>INSTALAÇÕES DE PREVENÇÃO E COMBATE A INCÊNDIO</t>
  </si>
  <si>
    <t>PREVENÇÃO E COMBATE A INCÊNDIO</t>
  </si>
  <si>
    <t>LIMPEZA DE OBRAS</t>
  </si>
  <si>
    <t>COMO CONSTRUÍDO (AS-BUILT)</t>
  </si>
  <si>
    <t>10.01.000</t>
  </si>
  <si>
    <t>PESSOAL</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</si>
  <si>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</si>
  <si>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</si>
  <si>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</si>
  <si>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</si>
  <si>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</si>
  <si>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</si>
  <si>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</si>
  <si>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</si>
  <si>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</si>
  <si>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</si>
  <si>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</si>
  <si>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</si>
  <si>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</si>
  <si>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</si>
  <si>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</si>
  <si>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</si>
  <si>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</si>
  <si>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</si>
  <si>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</si>
  <si>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</si>
  <si>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</si>
  <si>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</si>
  <si>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</si>
  <si>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KIT CAVALETE PARA MEDIÇÃO DE ÁGUA - ENTRADA INDIVIDUALIZADA, EM PVC DN 25 (¾), PARA 1 MEDIDOR  FORNECIMENTO E INSTALAÇÃO (EXCLUSIVE HIDRÔMETRO). AF_11/2016</t>
  </si>
  <si>
    <t>MASSA ÚNICA, PARA RECEBIMENTO DE PINTURA OU CERÂMICA, ARGAMASSA INDUSTRIALIZADA, PREPARO MECÂNICO, APLICADO COM EQUIPAMENTO DE MISTURA E PROJEÇÃO DE 1,5 M3/H EM FACES INTERNAS DE PAREDES, ESPESSURA DE 5MM, SEM EXECUÇÃO DE TALISCAS. AF_06/2014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</si>
  <si>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</si>
  <si>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</si>
  <si>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</si>
  <si>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</si>
  <si>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</si>
  <si>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</si>
  <si>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</si>
  <si>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</si>
  <si>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</si>
  <si>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</si>
  <si>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</si>
  <si>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</si>
  <si>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</si>
  <si>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</si>
  <si>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</si>
  <si>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</si>
  <si>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</si>
  <si>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</si>
  <si>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</si>
  <si>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</si>
  <si>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</si>
  <si>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</si>
  <si>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</si>
  <si>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</si>
  <si>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</si>
  <si>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</si>
  <si>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</si>
  <si>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</si>
  <si>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</si>
  <si>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</si>
  <si>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</si>
  <si>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</si>
  <si>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</si>
  <si>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</si>
  <si>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</si>
  <si>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</si>
  <si>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</si>
  <si>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</si>
  <si>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</si>
  <si>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</si>
  <si>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</si>
  <si>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</si>
  <si>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</si>
  <si>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</si>
  <si>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</si>
  <si>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</si>
  <si>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</si>
  <si>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</si>
  <si>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</si>
  <si>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</si>
  <si>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</si>
  <si>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</si>
  <si>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</si>
  <si>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</si>
  <si>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</si>
  <si>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</si>
  <si>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</si>
  <si>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</si>
  <si>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</si>
  <si>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</si>
  <si>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</si>
  <si>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</si>
  <si>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</si>
  <si>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</si>
  <si>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</si>
  <si>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</si>
  <si>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</si>
  <si>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</si>
  <si>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</si>
  <si>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</si>
  <si>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</si>
  <si>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</si>
  <si>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</si>
  <si>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</si>
  <si>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</si>
  <si>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</si>
  <si>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</si>
  <si>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</si>
  <si>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</si>
  <si>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</si>
  <si>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</si>
  <si>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</si>
  <si>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</si>
  <si>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</si>
  <si>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</si>
  <si>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</si>
  <si>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</si>
  <si>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</si>
  <si>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</si>
  <si>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</si>
  <si>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</si>
  <si>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</si>
  <si>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</si>
  <si>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</si>
  <si>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MONTAGEM E DESMONTAGEM DE FÔRMA DE PILARES CIRCULARES, COM ÁREA MÉDIA DAS SEÇÕES MAIOR QUE 0,28 M², PÉ-DIREITO DUPLO, EM MADEIRA, 2 UTILIZAÇÕES.  AF_06/2017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</si>
  <si>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</si>
  <si>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</si>
  <si>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</si>
  <si>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</si>
  <si>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</si>
  <si>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</si>
  <si>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</si>
  <si>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</si>
  <si>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</si>
  <si>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</si>
  <si>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</si>
  <si>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</si>
  <si>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</si>
  <si>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</si>
  <si>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</si>
  <si>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</si>
  <si>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</si>
  <si>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</si>
  <si>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</si>
  <si>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</si>
  <si>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</si>
  <si>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</si>
  <si>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</si>
  <si>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</si>
  <si>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 xml:space="preserve">Construções Provisórias </t>
  </si>
  <si>
    <t>02.01.200</t>
  </si>
  <si>
    <t>Ligações Provisórias</t>
  </si>
  <si>
    <t>02.01.400</t>
  </si>
  <si>
    <t>Proteção e sinalização</t>
  </si>
  <si>
    <t>03.02.180</t>
  </si>
  <si>
    <t>04.01.700</t>
  </si>
  <si>
    <t>Acabamentos e arremates</t>
  </si>
  <si>
    <t>04.01.800</t>
  </si>
  <si>
    <t>Equipamentos e acessórios</t>
  </si>
  <si>
    <t>Planilha Orçamentária</t>
  </si>
  <si>
    <t>COMPOSIÇÃO DE BDI</t>
  </si>
  <si>
    <t>Fórmula de cálculo:</t>
  </si>
  <si>
    <t>BDI NORMAL - OBRAS DE CONSTRUÇÃO CIVIL, REFORMA E/OU AMPLIAÇÕES</t>
  </si>
  <si>
    <t>ITEM</t>
  </si>
  <si>
    <t>VALOR ADOTADO</t>
  </si>
  <si>
    <t>Administração central</t>
  </si>
  <si>
    <t>Despesas financeiras</t>
  </si>
  <si>
    <t>C</t>
  </si>
  <si>
    <t>Seguros e garantias</t>
  </si>
  <si>
    <t>D</t>
  </si>
  <si>
    <t>ISS (PMNF)</t>
  </si>
  <si>
    <t>PIS</t>
  </si>
  <si>
    <t>COFINS</t>
  </si>
  <si>
    <t>Total D</t>
  </si>
  <si>
    <t>E</t>
  </si>
  <si>
    <t>Lucro</t>
  </si>
  <si>
    <t>R</t>
  </si>
  <si>
    <t>Risco</t>
  </si>
  <si>
    <t>CPRB</t>
  </si>
  <si>
    <t>RESULTADO BDI NORMAL</t>
  </si>
  <si>
    <t>BDI DIFERENCIADO - FORNECIMENTO DE MATERIAIS E EQUIPAMENTOS</t>
  </si>
  <si>
    <t>ENCARGOS SOCIAIS</t>
  </si>
  <si>
    <t>HORISTAS</t>
  </si>
  <si>
    <t>MENSALISTAS</t>
  </si>
  <si>
    <t>A.</t>
  </si>
  <si>
    <t>ENCARGOS SOCIAIS BÁSICOS</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</si>
  <si>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</si>
  <si>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</si>
  <si>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</si>
  <si>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</si>
  <si>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</si>
  <si>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</si>
  <si>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</si>
  <si>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</si>
  <si>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</si>
  <si>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</si>
  <si>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</si>
  <si>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</si>
  <si>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</si>
  <si>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</si>
  <si>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</si>
  <si>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</si>
  <si>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</si>
  <si>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</si>
  <si>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A</t>
  </si>
  <si>
    <t>B.</t>
  </si>
  <si>
    <t>ENCARGOS TRABALHISTAS</t>
  </si>
  <si>
    <t>B.1</t>
  </si>
  <si>
    <t>Repouso semanal remunerado</t>
  </si>
  <si>
    <t>Não incide</t>
  </si>
  <si>
    <t>B.2</t>
  </si>
  <si>
    <t>Feriados</t>
  </si>
  <si>
    <t>B.3</t>
  </si>
  <si>
    <t>Auxílio enfermidade</t>
  </si>
  <si>
    <t>B.4</t>
  </si>
  <si>
    <t>13o salário</t>
  </si>
  <si>
    <t>B.5</t>
  </si>
  <si>
    <t>Licença paternidade</t>
  </si>
  <si>
    <t>B.6</t>
  </si>
  <si>
    <t>Faltas justificadas</t>
  </si>
  <si>
    <t>B.7</t>
  </si>
  <si>
    <t>Dias de chuvas</t>
  </si>
  <si>
    <t>B.8</t>
  </si>
  <si>
    <t>Auxílio acidente de trabalho</t>
  </si>
  <si>
    <t>B.9</t>
  </si>
  <si>
    <t>Férias gozadas</t>
  </si>
  <si>
    <t>B.10</t>
  </si>
  <si>
    <t>Salário maternidade</t>
  </si>
  <si>
    <t>TOTAL B</t>
  </si>
  <si>
    <t>C.</t>
  </si>
  <si>
    <t>ENCARGOS INDENIZATÓRIOS</t>
  </si>
  <si>
    <t>C.1</t>
  </si>
  <si>
    <t>Aviso prévio indenizado</t>
  </si>
  <si>
    <t>C.2</t>
  </si>
  <si>
    <t>Aviso prévio trabalhado</t>
  </si>
  <si>
    <t>C.3</t>
  </si>
  <si>
    <t>Férias indenizadas</t>
  </si>
  <si>
    <t>C.4</t>
  </si>
  <si>
    <t>Depósito rescisão sem justa causa</t>
  </si>
  <si>
    <t>C.5</t>
  </si>
  <si>
    <t>Indenização adicional</t>
  </si>
  <si>
    <t>TOTAL C</t>
  </si>
  <si>
    <t>D.</t>
  </si>
  <si>
    <t>INCIDÊNCIAS CUMULATIVAS</t>
  </si>
  <si>
    <t>D.1</t>
  </si>
  <si>
    <t>Reincidência do grupo A sobre o grupo B</t>
  </si>
  <si>
    <t>D.2</t>
  </si>
  <si>
    <t>Reincidência do grupo A sobre aviso prévio trabalhado e reincidência do FGTS sobre aviso prévio trabalhado</t>
  </si>
  <si>
    <t>TOTAL D</t>
  </si>
  <si>
    <t>(A+B+C+D)</t>
  </si>
  <si>
    <t>TOTAL</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</si>
  <si>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</si>
  <si>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</si>
  <si>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</si>
  <si>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PINTURA ANTICORROSIVA DE DUTO METÁLICO. AF_04/2018</t>
  </si>
  <si>
    <t>INSTALACAO DE LOGICA</t>
  </si>
  <si>
    <t>0313</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</si>
  <si>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</si>
  <si>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</si>
  <si>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</si>
  <si>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</si>
  <si>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SINAPI INSUMO</t>
  </si>
  <si>
    <t>02.01.102</t>
  </si>
  <si>
    <t>02.01.105</t>
  </si>
  <si>
    <t>ORSE</t>
  </si>
  <si>
    <t>QUANT.</t>
  </si>
  <si>
    <t>02.01.205</t>
  </si>
  <si>
    <t>unidade</t>
  </si>
  <si>
    <t>02.01.401</t>
  </si>
  <si>
    <t>m2</t>
  </si>
  <si>
    <t>02.01.404</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</si>
  <si>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</si>
  <si>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</si>
  <si>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</si>
  <si>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</si>
  <si>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</si>
  <si>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</si>
  <si>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</si>
  <si>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</si>
  <si>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</si>
  <si>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</si>
  <si>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</si>
  <si>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</si>
  <si>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</si>
  <si>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</si>
  <si>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</si>
  <si>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</si>
  <si>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</si>
  <si>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</si>
  <si>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</si>
  <si>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</si>
  <si>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</si>
  <si>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</si>
  <si>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</si>
  <si>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</si>
  <si>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</si>
  <si>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</si>
  <si>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</si>
  <si>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</si>
  <si>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</si>
  <si>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</si>
  <si>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</si>
  <si>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</si>
  <si>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</si>
  <si>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</si>
  <si>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</si>
  <si>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</si>
  <si>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</si>
  <si>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</si>
  <si>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</si>
  <si>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</si>
  <si>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</si>
  <si>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</si>
  <si>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</si>
  <si>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</si>
  <si>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</si>
  <si>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</si>
  <si>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</si>
  <si>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</si>
  <si>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</si>
  <si>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</si>
  <si>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</si>
  <si>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</si>
  <si>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</si>
  <si>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</si>
  <si>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</si>
  <si>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</si>
  <si>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</si>
  <si>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</si>
  <si>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</si>
  <si>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</si>
  <si>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</si>
  <si>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</si>
  <si>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</si>
  <si>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</si>
  <si>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</si>
  <si>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</si>
  <si>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</si>
  <si>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</si>
  <si>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</si>
  <si>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</si>
  <si>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</si>
  <si>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</si>
  <si>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</si>
  <si>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</si>
  <si>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</si>
  <si>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</si>
  <si>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</si>
  <si>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</si>
  <si>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</si>
  <si>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</si>
  <si>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</si>
  <si>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</si>
  <si>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</si>
  <si>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</si>
  <si>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</si>
  <si>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</si>
  <si>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</si>
  <si>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</si>
  <si>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</si>
  <si>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</si>
  <si>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</si>
  <si>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</si>
  <si>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</si>
  <si>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</si>
  <si>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</si>
  <si>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</si>
  <si>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</si>
  <si>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</si>
  <si>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</si>
  <si>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</si>
  <si>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</si>
  <si>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</si>
  <si>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</si>
  <si>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</si>
  <si>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</si>
  <si>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</si>
  <si>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</si>
  <si>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</si>
  <si>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</si>
  <si>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</si>
  <si>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</si>
  <si>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</si>
  <si>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</si>
  <si>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</si>
  <si>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</si>
  <si>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</si>
  <si>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</si>
  <si>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</si>
  <si>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</si>
  <si>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</si>
  <si>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</si>
  <si>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</si>
  <si>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</si>
  <si>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</si>
  <si>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</si>
  <si>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</si>
  <si>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</si>
  <si>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</si>
  <si>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</si>
  <si>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</si>
  <si>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</si>
  <si>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</si>
  <si>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</si>
  <si>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</si>
  <si>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</si>
  <si>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</si>
  <si>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</si>
  <si>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</si>
  <si>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</si>
  <si>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</si>
  <si>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</si>
  <si>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</si>
  <si>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</si>
  <si>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</si>
  <si>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</si>
  <si>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</si>
  <si>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</si>
  <si>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</si>
  <si>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</si>
  <si>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</si>
  <si>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</si>
  <si>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</si>
  <si>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</si>
  <si>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</si>
  <si>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</si>
  <si>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</si>
  <si>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</si>
  <si>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</si>
  <si>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</si>
  <si>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</si>
  <si>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</si>
  <si>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</si>
  <si>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</si>
  <si>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</si>
  <si>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</si>
  <si>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</si>
  <si>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</si>
  <si>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</si>
  <si>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</si>
  <si>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</si>
  <si>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</si>
  <si>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</si>
  <si>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</si>
  <si>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</si>
  <si>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</si>
  <si>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</si>
  <si>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</si>
  <si>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</si>
  <si>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ABRIGO PARA HIDRANTE, 90X60X17CM, COM REGISTRO GLOBO ANGULAR 45 GRAUS 2 1/2", ADAPTADOR STORZ 2 1/2", MANGUEIRA DE INCÊNDIO 20M, REDUÇÃO 2 1/2 X 1 1/2" E ESGUICHO EM LATÃO 1 1/2" - FORNECIMENTO E INSTALAÇÃO. AF_08/2017</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</si>
  <si>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</si>
  <si>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</si>
  <si>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</si>
  <si>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</si>
  <si>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</si>
  <si>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</si>
  <si>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</si>
  <si>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</si>
  <si>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</si>
  <si>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</si>
  <si>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</si>
  <si>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</si>
  <si>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</si>
  <si>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</si>
  <si>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</si>
  <si>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</si>
  <si>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</si>
  <si>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</si>
  <si>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</si>
  <si>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</si>
  <si>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</si>
  <si>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</si>
  <si>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</si>
  <si>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</si>
  <si>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</si>
  <si>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</si>
  <si>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</si>
  <si>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</si>
  <si>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</si>
  <si>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</si>
  <si>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</si>
  <si>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</si>
  <si>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</si>
  <si>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</si>
  <si>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</si>
  <si>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</si>
  <si>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</si>
  <si>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</si>
  <si>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</si>
  <si>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</si>
  <si>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</si>
  <si>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</si>
  <si>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</si>
  <si>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</si>
  <si>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</si>
  <si>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</si>
  <si>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</si>
  <si>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</si>
  <si>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</si>
  <si>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</si>
  <si>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</si>
  <si>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</si>
  <si>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</si>
  <si>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</si>
  <si>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</si>
  <si>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</si>
  <si>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</si>
  <si>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</si>
  <si>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</si>
  <si>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</si>
  <si>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</si>
  <si>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</si>
  <si>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</si>
  <si>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</si>
  <si>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</si>
  <si>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</si>
  <si>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</si>
  <si>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</si>
  <si>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</si>
  <si>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</si>
  <si>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</si>
  <si>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</si>
  <si>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</si>
  <si>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</si>
  <si>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</si>
  <si>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</si>
  <si>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</si>
  <si>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</si>
  <si>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</si>
  <si>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</si>
  <si>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</si>
  <si>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</si>
  <si>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</si>
  <si>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</si>
  <si>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</si>
  <si>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</si>
  <si>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</si>
  <si>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</si>
  <si>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</si>
  <si>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</si>
  <si>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</si>
  <si>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</si>
  <si>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</si>
  <si>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</si>
  <si>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</si>
  <si>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</si>
  <si>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</si>
  <si>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</si>
  <si>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</si>
  <si>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</si>
  <si>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</si>
  <si>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</si>
  <si>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</si>
  <si>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</si>
  <si>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</si>
  <si>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</si>
  <si>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</si>
  <si>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</si>
  <si>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</si>
  <si>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</si>
  <si>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</si>
  <si>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</si>
  <si>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</si>
  <si>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</si>
  <si>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</si>
  <si>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</si>
  <si>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</si>
  <si>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</si>
  <si>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</si>
  <si>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</si>
  <si>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</si>
  <si>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</si>
  <si>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</si>
  <si>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</si>
  <si>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</si>
  <si>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</si>
  <si>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</si>
  <si>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</si>
  <si>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</si>
  <si>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</si>
  <si>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</si>
  <si>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</si>
  <si>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</si>
  <si>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</si>
  <si>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</si>
  <si>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</si>
  <si>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</si>
  <si>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</si>
  <si>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</si>
  <si>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</si>
  <si>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</si>
  <si>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</si>
  <si>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</si>
  <si>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</si>
  <si>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</si>
  <si>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</si>
  <si>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</si>
  <si>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</si>
  <si>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</si>
  <si>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</si>
  <si>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</si>
  <si>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</si>
  <si>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</si>
  <si>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</si>
  <si>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</si>
  <si>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</si>
  <si>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</si>
  <si>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</si>
  <si>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</si>
  <si>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</si>
  <si>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</si>
  <si>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</si>
  <si>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</si>
  <si>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</si>
  <si>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</si>
  <si>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</si>
  <si>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</si>
  <si>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</si>
  <si>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</si>
  <si>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</si>
  <si>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</si>
  <si>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</si>
  <si>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</si>
  <si>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</si>
  <si>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</si>
  <si>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</si>
  <si>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</si>
  <si>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</si>
  <si>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</si>
  <si>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</si>
  <si>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</si>
  <si>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</si>
  <si>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</si>
  <si>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</si>
  <si>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</si>
  <si>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</si>
  <si>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</si>
  <si>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</si>
  <si>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</si>
  <si>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</si>
  <si>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</si>
  <si>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</si>
  <si>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</si>
  <si>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</si>
  <si>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</si>
  <si>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</si>
  <si>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</si>
  <si>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</si>
  <si>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</si>
  <si>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</si>
  <si>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</si>
  <si>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</si>
  <si>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</si>
  <si>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</si>
  <si>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</si>
  <si>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</si>
  <si>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</si>
  <si>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</si>
  <si>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</si>
  <si>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</si>
  <si>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02.03.000</t>
  </si>
  <si>
    <t>LOCAÇÃO DE OBRAS</t>
  </si>
  <si>
    <t>BDI unitário</t>
  </si>
  <si>
    <t>Preço Unit.</t>
  </si>
  <si>
    <t>SUBTOTAL (02.01.000)</t>
  </si>
  <si>
    <t>SUBTOTAL (02.03.000)</t>
  </si>
  <si>
    <t>SUBTOTAL (02.04.000)</t>
  </si>
  <si>
    <t>Limpeza e preparo de área</t>
  </si>
  <si>
    <t>m3</t>
  </si>
  <si>
    <t>TOTAL (02.00.000)</t>
  </si>
  <si>
    <t>SUBTOTAL (03.01.000)</t>
  </si>
  <si>
    <t>kg</t>
  </si>
  <si>
    <t>Escadas em concreto armado</t>
  </si>
  <si>
    <t>Fabricação, montagem e desmontagem de forma para escadas em chapa de madeira compensada plastificada, 18mm, 8 utilizações, inclusive escoramento metálico</t>
  </si>
  <si>
    <t>Armação de escada de uma estrutura convencional de concreto armado utilizando aço CA-50 de 10mm</t>
  </si>
  <si>
    <t>Armação de escada de uma estrutura convencional de concreto armado utilizando aço CA-50 de 12,5mm</t>
  </si>
  <si>
    <t>92874 MOD</t>
  </si>
  <si>
    <t>03.02.181</t>
  </si>
  <si>
    <t>03.02.183</t>
  </si>
  <si>
    <t>CPOS</t>
  </si>
  <si>
    <t>15.05.520</t>
  </si>
  <si>
    <t>03.02.300</t>
  </si>
  <si>
    <t>Concreto pré-moldado</t>
  </si>
  <si>
    <t>03.02.320</t>
  </si>
  <si>
    <t>03.02.330</t>
  </si>
  <si>
    <t>03.02.340</t>
  </si>
  <si>
    <t>SUBTOTAL (03.02.000)</t>
  </si>
  <si>
    <t>TOTAL (03.00.000)</t>
  </si>
  <si>
    <t>04.01.100</t>
  </si>
  <si>
    <t>Paredes</t>
  </si>
  <si>
    <t>Alvenaria de vedação de blocos vazados de cerâmica de 9x19x19 cm (espessura 9cm)</t>
  </si>
  <si>
    <t>Alvenaria de vedação de blocos vazados de cerâmica de 14x9x19 cm (espessura 14cm)</t>
  </si>
  <si>
    <t>Alvenaria de vedação de blocos vazados de cerâmica de 19x19x39 cm (espessura 19cm)</t>
  </si>
  <si>
    <t>Cinta de amarração de alvenaria moldada in loco em concreto (passando na altura das vergas, direto)</t>
  </si>
  <si>
    <t>Contraverga moldada in loco em concreto para janelas com mais de 1,5m de vão</t>
  </si>
  <si>
    <t>Fixação (encunhamento) de alvenaria de vedação com espuma de poliuretano expansiva</t>
  </si>
  <si>
    <t>m</t>
  </si>
  <si>
    <t>Comp. Montada</t>
  </si>
  <si>
    <t>04.01.107</t>
  </si>
  <si>
    <t>Cobogó de concreto (elemento vazado), 7 x 41 x 41 cm, assentado com argamassa traço 1:3</t>
  </si>
  <si>
    <t>Parede com placas de gesso acartonado (drywall), para uso interno, com duas faces simples, com vãos</t>
  </si>
  <si>
    <t>Instalação de isolamento com lã de rocha em paredes drywall.</t>
  </si>
  <si>
    <t>04.01.200</t>
  </si>
  <si>
    <t>Esquadrias</t>
  </si>
  <si>
    <t>Porta em alumínio, tipo veneziana, duas folhas, 88x214 cm, incluindo guarnição, maçaneta, fechaduras, ferragens e pintura, fixação com parafusos (PA01)</t>
  </si>
  <si>
    <t>Porta em telha perfurada de alumínio, com bandeira, 1 folha, 95x212 cm (bandeira 85 cm), incluindo guarnição, maçaneta, fechaduras, ferragens e pintura, fixação com parafusos (PA02)</t>
  </si>
  <si>
    <t>Porta em alumínio, tipo veneziana, com bandeira, seis folhas, 222x214 cm (bandeira 91 cm), incluindo guarnição, maçaneta, fechaduras, ferragens e pintura, fixação com parafusos (PA03-A)</t>
  </si>
  <si>
    <t>Porta em alumínio, tipo veneziana, 1 folha, 90x150 cm, incluindo guarnição, maçaneta, fechaduras, ferragens e pintura, fixação com parafusos (PA04)</t>
  </si>
  <si>
    <t>91341 MOD 1</t>
  </si>
  <si>
    <t>91341 MOD 2</t>
  </si>
  <si>
    <t>91341 MOD 3</t>
  </si>
  <si>
    <t>91341 MOD 4</t>
  </si>
  <si>
    <t>91341 MOD 5</t>
  </si>
  <si>
    <t>Caixilho fixo de alumínio para fachada, 710 x 720 cm, incluindo duas portas de abrir de duas folhas (180 x 210 cm), com barras antipânico, exclusive vidros (EA-05)</t>
  </si>
  <si>
    <t>Caixilho fixo de alumínio para fachada, 710 x 720 cm, incluindo uma porta de abrir de duas folhas (180 x 210 cm), com barras antipânico, exclusive vidros (EA-06)</t>
  </si>
  <si>
    <t>85010 MOD 1</t>
  </si>
  <si>
    <t>85010 MOD 2</t>
  </si>
  <si>
    <t>85010 MOD 3</t>
  </si>
  <si>
    <t>85010 MOD 4</t>
  </si>
  <si>
    <t>85010 MOD 5</t>
  </si>
  <si>
    <t>SBC</t>
  </si>
  <si>
    <t>Esquadria com montantes e quadro em alumínio, tipo maxim-ar, fixo e veneziana, 732 x 205 cm, inclusive pintura, exclusive vidros (EA-01)</t>
  </si>
  <si>
    <t>Esquadria com montantes e quadro em alumínio, tipo maxim-ar, fixo e veneziana, 732 x 205 cm,  inclusive pintura, exclusive vidros (EA-02)</t>
  </si>
  <si>
    <t>Esquadria com montantes e quadro em alumínio, tipo maxim-ar, fixo e veneziana, 754 x 205 cm, inclusive pintura, exclusive vidros (EA-03)</t>
  </si>
  <si>
    <t>Porta de madeira, com enchimento sarrafeado, semioca, fechamento com chapas de MDF, revestimento das faces em laminado melamínico, com veneziana, inclusive batente, dobradiças, maçaneta, fechadura e batedor para piso, 90 x 210cm (PM-01)</t>
  </si>
  <si>
    <t>Porta de madeira, com enchimento sarrafeado, semioca, fechamento com chapas de MDF, revestimento das faces em laminado melamínico, com veneziana, inclusive dobradiças, batente, barra de apoio, proteção em chapa de aço, maçaneta, fechadura e batedor para piso, 90 x 210cm (PM-02)</t>
  </si>
  <si>
    <t>Porta de madeira, com enchimento sarrafeado, semioca, fechamento com chapas de MDF, revestimento das faces em laminado melamínico, com visor em vidro, duas folhas, inclusive batente, dobradiças, maçaneta, fechadura e batedor para piso, 130 x 210cm (PM-03)</t>
  </si>
  <si>
    <t>Porta de madeira, com enchimento sarrafeado, semioca, fechamento com chapas de MDF, revestimento das faces em laminado melamínico, com visor em vidro, uma folhas, inclusive batente, dobradiças, maçaneta, fechadura e batedor para piso, 90 x 210cm (PM-04 e PM-04a)</t>
  </si>
  <si>
    <t>Porta sarrafeada de 28mm em compensado de madeira naval, com revestimento em laminado melamínico para box dos sanitários, inclusive dobradiças, fechadura e tarjeta, 60 x 160 cm (PB-01)</t>
  </si>
  <si>
    <t>90844 MOD 1</t>
  </si>
  <si>
    <t>90844 MOD 2</t>
  </si>
  <si>
    <t>90844 MOD 3</t>
  </si>
  <si>
    <t>90844 MOD 4</t>
  </si>
  <si>
    <t>91009 MOD</t>
  </si>
  <si>
    <t>COTAÇÃO</t>
  </si>
  <si>
    <t>VISOR EM ALUMÍNIO COM  VIDRO LISO</t>
  </si>
  <si>
    <t>04.01.300</t>
  </si>
  <si>
    <t>Vidros</t>
  </si>
  <si>
    <t>Vidro comum laminado, liso, incolor, duplo, espessura total 6 mm, colocado (EA-01, 02, 03, 04, 08, 09)</t>
  </si>
  <si>
    <t>Vidro comum laminado, liso, espelhado, duplo, espessura total 6 mm, colocado (EA07)</t>
  </si>
  <si>
    <t>Vidro comum laminado, liso, incolor, duplo, espessura total 8 mm, colocado (EA-05 e 06)</t>
  </si>
  <si>
    <t>Vidro comum laminado liso, incolor, duplo, espessura total 10mm, colocado (guarda-corpos)</t>
  </si>
  <si>
    <t>04.01.312</t>
  </si>
  <si>
    <t>Espelho cristal, espessura 4mm, com parafusos de fixação, sem moldura, com pintura protetiva</t>
  </si>
  <si>
    <t>04.01.400</t>
  </si>
  <si>
    <t>Cobertura e fechamento lateral</t>
  </si>
  <si>
    <t>Rufo externo em chapa de aço galvanizado número 24, corte de 25cm, incluso transporte vertical</t>
  </si>
  <si>
    <t>Rufo tipo pingadeira em chapa de aço galvanizado número 24, incluso transporte vertical</t>
  </si>
  <si>
    <t>04.01.407</t>
  </si>
  <si>
    <t>94213 MOD</t>
  </si>
  <si>
    <t>F.14.000.025516</t>
  </si>
  <si>
    <t>TELHA EM CHAPA DE AÇO ZINCADO, PRÉ-PINTADO, PERFIL TRAPEZOIDAL, REF MBP-40</t>
  </si>
  <si>
    <t>04.01.510</t>
  </si>
  <si>
    <t>Revestimentos de piso</t>
  </si>
  <si>
    <t>Revestimento cerâmico para piso com placas tipo grês, dimensões 30 x 30 cm</t>
  </si>
  <si>
    <t>Piso de granito cinza andorinha, e = 20mm, acabamento flameado (escadas)</t>
  </si>
  <si>
    <t>04.01.511</t>
  </si>
  <si>
    <t>04.01.512</t>
  </si>
  <si>
    <t>04.01.515</t>
  </si>
  <si>
    <t>04.01.516</t>
  </si>
  <si>
    <t>04.01.529</t>
  </si>
  <si>
    <t>AGETOP</t>
  </si>
  <si>
    <t>Piso cimentado traço 1:3 (cimento e areia), acabamento liso espessura 2 cm, preparo mecânico da argamassa</t>
  </si>
  <si>
    <t>04.01.530</t>
  </si>
  <si>
    <t>Revestimentos de paredes</t>
  </si>
  <si>
    <t>Chapisco aplicado em paredes internas, com colher de pedreiro, argamassa traço 1:3 com preparo mecânico</t>
  </si>
  <si>
    <t xml:space="preserve">Emboço/massa única, traço 1:2:8, preparo mecânico, aplicado manualmente </t>
  </si>
  <si>
    <t>Revestimento cerâmico para paredes internas, meia parede ou parede inteira, com placas grês ou semi-grês 15x15 cm</t>
  </si>
  <si>
    <t>04.01.532</t>
  </si>
  <si>
    <t>04.01.534</t>
  </si>
  <si>
    <t>04.01.560</t>
  </si>
  <si>
    <t>Pinturas</t>
  </si>
  <si>
    <t>Aplicação e lixamento de massa látex em paredes, duas demãos</t>
  </si>
  <si>
    <t>Aplicação e lixamento de massa látex em teto duas demãos</t>
  </si>
  <si>
    <t>Aplicação de fundo selador acrílico em paredes, uma demão</t>
  </si>
  <si>
    <t>Aplicação de fundo selador látex PVA em teto, uma demão</t>
  </si>
  <si>
    <t>Aplicação manual de pintura com tinta látex PVA em teto, duas demãos</t>
  </si>
  <si>
    <t>Aplicação manual de tinta látex acrílica paredes, duas demãos</t>
  </si>
  <si>
    <t>Aplicação de fundo selador acrílico em estruturas de concreto aparente e nos pisos e soleiras de granitina, uma demão</t>
  </si>
  <si>
    <t>04.01.566</t>
  </si>
  <si>
    <t>04.01.569</t>
  </si>
  <si>
    <t>04.01.600</t>
  </si>
  <si>
    <t>Impermeabilizações</t>
  </si>
  <si>
    <t>Regularização de laje de cobertura com execução dos caimentos, com contrapiso de argamassa traço 1:4, espessura 3 cm</t>
  </si>
  <si>
    <t>Impermeabilização de superfície com manta asfáltica com polímeros tipo app, e=4mm, incluindo aplicação de primer (laje de cobertura)</t>
  </si>
  <si>
    <t>Contrapiso em argamassa traço 1:4 de cimento e areia, preparo mecânico com betoneira, aplicado em áreas molhadas sobre impermeabilização (proteção mecânica), espessura 3cm, armado com tela</t>
  </si>
  <si>
    <t>Impermeabilização de superfície com cimento especial cristalizante com adesivo líquido, uma demão (paredes dos banheiros, até meia altura)</t>
  </si>
  <si>
    <t>Impermeabilização de superfície com argamassa polimérica semi-flexível (na superfície do piso dos boxes dos chuveiros)</t>
  </si>
  <si>
    <t>87755 MOD</t>
  </si>
  <si>
    <t>98546 MOD</t>
  </si>
  <si>
    <t>Impermeabilização de superfície com manta asfáltica com polímeros tipo app, e=4mm, incluindo aplicação de primer (comum para laje de cobertura, antirraiz para reservatório enterrado)</t>
  </si>
  <si>
    <t>Pavimento térreo</t>
  </si>
  <si>
    <t>Pavimento superior</t>
  </si>
  <si>
    <t>Cobertura</t>
  </si>
  <si>
    <t>Área sobre portas</t>
  </si>
  <si>
    <t>Área sob esquadrias</t>
  </si>
  <si>
    <t>Ambos os pavimentos</t>
  </si>
  <si>
    <t>EA01</t>
  </si>
  <si>
    <t>EA02</t>
  </si>
  <si>
    <t>EA03</t>
  </si>
  <si>
    <t>EA04</t>
  </si>
  <si>
    <t>EA08</t>
  </si>
  <si>
    <t>EA09</t>
  </si>
  <si>
    <t>Sanitários masculino e feminino</t>
  </si>
  <si>
    <t>Sanitários PNE</t>
  </si>
  <si>
    <t>Ao redor das casas de máquinas</t>
  </si>
  <si>
    <t>Ao redor das paredes do reservatório superior</t>
  </si>
  <si>
    <t>Topo das paredes do reservatório</t>
  </si>
  <si>
    <t>Bordas das casas de máquinas</t>
  </si>
  <si>
    <t>Platibanda</t>
  </si>
  <si>
    <t>Áreas das casas de máquinas</t>
  </si>
  <si>
    <t>Banheiros feminino e masculino</t>
  </si>
  <si>
    <t>Banheiros PNE</t>
  </si>
  <si>
    <t>Copa + DML</t>
  </si>
  <si>
    <t>Patamares das escadas</t>
  </si>
  <si>
    <t>Degraus</t>
  </si>
  <si>
    <t>Sob piso cerâmico</t>
  </si>
  <si>
    <t>Sob piso cimentado</t>
  </si>
  <si>
    <t>Pilares aparentes no térreo (interior)</t>
  </si>
  <si>
    <t>Pilares aparentes no pavto superior (interior)</t>
  </si>
  <si>
    <t>Vigas e pilares da fachada</t>
  </si>
  <si>
    <t>Acabamento nos rodapés subindo 30 cm</t>
  </si>
  <si>
    <t>Aplicação nos banheiros, sanitário PNE e copa</t>
  </si>
  <si>
    <t>Piso térreo</t>
  </si>
  <si>
    <t>Piso superior</t>
  </si>
  <si>
    <t>EA07</t>
  </si>
  <si>
    <t>PG-01: 4 unidades de 0,29x1,06m</t>
  </si>
  <si>
    <t>PG-02: 16 unidades de 0,17*0,95m</t>
  </si>
  <si>
    <t>DG01 (10 peças de 1,37 x 1,82)</t>
  </si>
  <si>
    <t>DG02 (2 peças de 0,28 x 1,82)</t>
  </si>
  <si>
    <t>DG03 (4 peças de 0,12 x 1,82)</t>
  </si>
  <si>
    <t>DG04 (8 peças de 0,38 x 1,82)</t>
  </si>
  <si>
    <t>DG05 (4 peças de 1,47 x 1,82)</t>
  </si>
  <si>
    <t>DG06 (4 peças de 0,93 x 1,82)</t>
  </si>
  <si>
    <t>DG07 (4 peças de 0,23 x 1,82)</t>
  </si>
  <si>
    <t>DG08 (4 peças de 0,32 x 1,82)</t>
  </si>
  <si>
    <t>DG09 (2 peças de 0,42 x 1,82)</t>
  </si>
  <si>
    <t>DG10 (4 peças de 0,67 x 1,82)</t>
  </si>
  <si>
    <t>DG11 (2 peças de 0,25 x 1,82)</t>
  </si>
  <si>
    <t>BG01</t>
  </si>
  <si>
    <t>BG02</t>
  </si>
  <si>
    <t>BG03</t>
  </si>
  <si>
    <t>BG04</t>
  </si>
  <si>
    <t>BG05</t>
  </si>
  <si>
    <t>BG06</t>
  </si>
  <si>
    <t>BG07</t>
  </si>
  <si>
    <t>BG08</t>
  </si>
  <si>
    <t>BG09</t>
  </si>
  <si>
    <t>BG10</t>
  </si>
  <si>
    <t>BG11</t>
  </si>
  <si>
    <t>BG12</t>
  </si>
  <si>
    <t>BG13</t>
  </si>
  <si>
    <t>BG14</t>
  </si>
  <si>
    <t>BG15</t>
  </si>
  <si>
    <t>BG16</t>
  </si>
  <si>
    <t>BG17</t>
  </si>
  <si>
    <t>BG18</t>
  </si>
  <si>
    <t>BG19</t>
  </si>
  <si>
    <t>BG20</t>
  </si>
  <si>
    <t>BG21</t>
  </si>
  <si>
    <t>BG22</t>
  </si>
  <si>
    <t>BG23</t>
  </si>
  <si>
    <t>BG25</t>
  </si>
  <si>
    <t>BG24</t>
  </si>
  <si>
    <t>Base em concreto para bancadas de granito (BG01 a BG19)</t>
  </si>
  <si>
    <t>Bancadas de granito</t>
  </si>
  <si>
    <t>Montagem e desmontagem de forma para pilares retangulares e estruturas similares, com área média das seções menor ou igual a 0,25m2, em chapa de madeira compensada plastificada, 10 utilizações</t>
  </si>
  <si>
    <t>Concreto fck = 15 MPa, traço 1:3,4:3,5 (cimento/areia média/brita 1), preparo mecânico com betoneira</t>
  </si>
  <si>
    <t>04.01.602</t>
  </si>
  <si>
    <t>04.01.609</t>
  </si>
  <si>
    <t>Rodapé em granito, altura 10 cm</t>
  </si>
  <si>
    <t>Aplicação nos banheiros, sanitário PNE, copa e bancadas da entrada</t>
  </si>
  <si>
    <t>Rodapé em granitina, altura 10 cm</t>
  </si>
  <si>
    <t>04.01.702</t>
  </si>
  <si>
    <t>Soleira de granito, largura 15cm, espessura 3cm, assentada sobre argamassa traço 1:4 (cimento e areia)</t>
  </si>
  <si>
    <t>Peitoril em peças de concreto pré-fabricadas, espessura 50mm</t>
  </si>
  <si>
    <t>04.01.703</t>
  </si>
  <si>
    <t>04.01.705</t>
  </si>
  <si>
    <t>Prateleiras em placas de granito, espessura 20mm, polido em todas as faces aparentes, exclusive mão-francesa (PG-01 e PG-02)</t>
  </si>
  <si>
    <t>86895 MOD</t>
  </si>
  <si>
    <t>Mão-francesa em aço, abas iguais, 30cm, capacidade mínima de 60 kg, branca, fornecimento e instalação (bancadas BG-20 a BG-25 e prateleiras)</t>
  </si>
  <si>
    <t>04.01.809</t>
  </si>
  <si>
    <t>Alçapão em ferro 70 x 85 cm, incluso ferragens (acesso à cobertura)</t>
  </si>
  <si>
    <t>Escada tipo marinheiro em aço CA-50 9,52mm, incluso pintura com fundo anticorrosivo tipo zarcão (instalada dentro do shaft, para acesso à cobertura, e junto às caixas d'água, para manutenção)</t>
  </si>
  <si>
    <t>04.01.805</t>
  </si>
  <si>
    <t>79627 MOD</t>
  </si>
  <si>
    <t>04.01.120</t>
  </si>
  <si>
    <t>Bancadas em granito cinza andorinha ou desireé (BG01 a BG25)</t>
  </si>
  <si>
    <t>Rodabancada em granito polido</t>
  </si>
  <si>
    <t>SUBTOTAL (04.01.000)</t>
  </si>
  <si>
    <t>Saboneteira de embutir em louça branca, 15 x 15 cm, fornecimento e instalação</t>
  </si>
  <si>
    <t>Cabide de louça branco</t>
  </si>
  <si>
    <t>Dispenser de papel higiênico tipo rolão em plástico ABS de alta resistência, cor branca</t>
  </si>
  <si>
    <t>Toalheiro interfolha em plástico ABS de alta resistência, cor branca</t>
  </si>
  <si>
    <t>Saboneteira spray em plástico ABS de alta resistência, cor branca</t>
  </si>
  <si>
    <t>Assento para bacia sanitária em cor branca</t>
  </si>
  <si>
    <t>Assento para bacia sanitária para PCD, cor branca</t>
  </si>
  <si>
    <t>Barra de apoio reta, fixa, em aço inox, L = 80 cm</t>
  </si>
  <si>
    <t>Barra de apoio para lavatório, fixa, em aço inox</t>
  </si>
  <si>
    <t>SABONETEIRA BRANCA 15X15 CM (REF DECA A180 OU SIMILAR)</t>
  </si>
  <si>
    <t>CABIDE DE LOUÇA, REF DECA A680 OU SIMILAR</t>
  </si>
  <si>
    <t>TOTAL (04.00.000)</t>
  </si>
  <si>
    <t>05.01.200</t>
  </si>
  <si>
    <t>Tubulações e conexões de PVC rígido</t>
  </si>
  <si>
    <t>SUBTOTAL (05.01.000)</t>
  </si>
  <si>
    <t>Tubo de PVC soldável, DN 25mm, para água fria, fornecimento e instalação</t>
  </si>
  <si>
    <t>Tubo de PVC soldável, DN 32mm, para água fria, fornecimento e instalação</t>
  </si>
  <si>
    <t>Tubo de PVC soldável, DN 40mm, para água fria, fornecimento e instalação</t>
  </si>
  <si>
    <t>Tubo de PVC soldável, DN 50mm, para água fria, fornecimento e instalação</t>
  </si>
  <si>
    <t>Tubo de PVC soldável, DN 60mm, para água fria, fornecimento e instalação</t>
  </si>
  <si>
    <t>Tubo de PVC soldável, DN 75mm, para água fria, fornecimento e instalação</t>
  </si>
  <si>
    <t>Adaptador com flange livre, PVC soldável, DN 50mm x 1 1/2", instalado em reservação de água de edificação, fornecimento e instalação</t>
  </si>
  <si>
    <t>Adaptador com flange livre, PVC soldável, DN 75mm x 2 1/2", instalado em reservação de água de edificação, fornecimento e instalação</t>
  </si>
  <si>
    <t>Adaptador curto com bolsa e rosca para registro, PVC soldável, DN 25mm - 3/4", fornecimento e instalação</t>
  </si>
  <si>
    <t>Adaptador curto com bolsa e rosca para registro, PVC soldável, DN 32mm - 1", fornecimento e instalação</t>
  </si>
  <si>
    <t>Adaptador curto com bolsa e rosca para registro, PVC soldável, DN 50mm - 1 1/2", fornecimento e instalação</t>
  </si>
  <si>
    <t>Bucha de redução PVC soldável curta, 32mm-25mm</t>
  </si>
  <si>
    <t>Bucha de redução PVC soldável curta, 40mm-32mm</t>
  </si>
  <si>
    <t>Bucha de redução PVC soldável curta, 50mm-40mm</t>
  </si>
  <si>
    <t>Bucha de redução PVC soldável curta, 60mm-50mm</t>
  </si>
  <si>
    <t>Bucha de redução PVC soldável curta, 75mm-60mm</t>
  </si>
  <si>
    <t>Bucha de redução PVC soldável longa, 40mm-25mm</t>
  </si>
  <si>
    <t>Bucha de redução PVC soldável longa, 50mm-25mm</t>
  </si>
  <si>
    <t>Bucha de redução PVC soldável longa, 50mm-32mm</t>
  </si>
  <si>
    <t>90375 MOD 1</t>
  </si>
  <si>
    <t>90375 MOD 2</t>
  </si>
  <si>
    <t>90375 MOD 3</t>
  </si>
  <si>
    <t>90375 MOD 4</t>
  </si>
  <si>
    <t>90375 MOD 5</t>
  </si>
  <si>
    <t>90375 MOD 6</t>
  </si>
  <si>
    <t>90375 MOD 7</t>
  </si>
  <si>
    <t>Cap PVC 25mm, soldável, fornecimento e instalação</t>
  </si>
  <si>
    <t>05.01.204</t>
  </si>
  <si>
    <t>Curva 45 graus PVC soldável, DN 25mm, fornecimento e instalação</t>
  </si>
  <si>
    <t>Curva 45 graus PVC soldável, DN 75mm, fornecimento e instalação</t>
  </si>
  <si>
    <t>Curva 90 graus PVC soldável, DN 25mm, fornecimento e instalação</t>
  </si>
  <si>
    <t>Curva 90 graus PVC soldável, DN 32mm, fornecimento e instalação</t>
  </si>
  <si>
    <t>Curva 90 graus PVC soldável, DN 40mm, fornecimento e instalação</t>
  </si>
  <si>
    <t>Curva 90 graus PVC soldável, DN 50mm, fornecimento e instalação</t>
  </si>
  <si>
    <t>Curva 90 graus PVC soldável, DN 60mm, fornecimento e instalação</t>
  </si>
  <si>
    <t>Curva 90 graus PVC soldável, DN 75mm, fornecimento e instalação</t>
  </si>
  <si>
    <t>Joelho 45 graus, PVC, soldável, DN 50mm, fornecimento e instalação</t>
  </si>
  <si>
    <t>Joelho 90 graus com bucha de latão, PVC, soldável, DN 25 x 3/4", fornecimento e instalação</t>
  </si>
  <si>
    <t>Joelho 90 graus com bucha de latão, PVC, soldável, DN 25 x 1/2", fornecimento e instalação</t>
  </si>
  <si>
    <t>Joelho 90 graus com bucha de latão, PVC, soldável, DN 32 x 1", fornecimento e instalação</t>
  </si>
  <si>
    <t>Joelho 90 graus com bucha de latão e rosca, PVC, soldável, 1/2" ou 3/4", fornecimento e instalação</t>
  </si>
  <si>
    <t>89366 MOD 1</t>
  </si>
  <si>
    <t>89366 MOD 2</t>
  </si>
  <si>
    <t>89366 MOD 3</t>
  </si>
  <si>
    <t>89367 MOD</t>
  </si>
  <si>
    <t>Luva de redução, PVC, soldável, DN 32mm x 25mm, fornecimento e instalação</t>
  </si>
  <si>
    <t>Luva de redução, PVC, soldável, DN 50mm x 25mm, fornecimento e instalação</t>
  </si>
  <si>
    <t>Luva com bucha de latão, PVC, soldável, DN 25mm x 1/2", fornecimento e instalação</t>
  </si>
  <si>
    <t>Luva soldável e com rosca, PVC, soldável, DN 25mm x 3/4", fornecimento e instalação</t>
  </si>
  <si>
    <t>Luva soldável e com rosca, PVC, soldável, DN 32mm x 1", fornecimento e instalação</t>
  </si>
  <si>
    <t>Luva de PVC soldável, DN 75mm, fornecimento e instalação</t>
  </si>
  <si>
    <t>Luva de PVC soldável, DN 50mm, fornecimento e instalação</t>
  </si>
  <si>
    <t>89381 MOD</t>
  </si>
  <si>
    <t>Tê de PVC soldável, DN 25mm, fornecimento e instalação</t>
  </si>
  <si>
    <t>Tê de PVC soldável, DN 32mm, fornecimento e instalação</t>
  </si>
  <si>
    <t>Tê de PVC soldável, DN 40mm, fornecimento e instalação</t>
  </si>
  <si>
    <t>Tê de PVC soldável, DN 50mm, fornecimento e instalação</t>
  </si>
  <si>
    <t>Tê de PVC soldável, DN 60mm, fornecimento e instalação</t>
  </si>
  <si>
    <t>Tê de PVC soldável, DN 75mm, fornecimento e instalação</t>
  </si>
  <si>
    <t>Tê de redução, de PVC soldável, DN 32mm-25mm, fornecimento e instalação</t>
  </si>
  <si>
    <t>Tê de redução, de PVC soldável, DN 40mm-32mm, fornecimento e instalação</t>
  </si>
  <si>
    <t>Tê de redução, de PVC soldável, DN 75mm-50mm, fornecimento e instalação</t>
  </si>
  <si>
    <t>Tê de redução, de PVC soldável, com bucha latão na bolsa central, 25mm - 1/2", fornecimento e instalação</t>
  </si>
  <si>
    <t>Tê de PVC soldável, com bucha latão na bolsa central, 25mm - 3/4", fornecimento e instalação</t>
  </si>
  <si>
    <t>União de PVC soldável, DN 50mm, fornecimento e instalação</t>
  </si>
  <si>
    <t>05.01.210</t>
  </si>
  <si>
    <t>05.01.500</t>
  </si>
  <si>
    <t>Aparelhos e acessórios sanitários</t>
  </si>
  <si>
    <t>Mictório sifonado de louça branca com pertences, com registro de pressão 1/2" com canopla cromada, acabamento simples e conjunto para fixação</t>
  </si>
  <si>
    <t>Cuba simples de embutir em aço inox, retangular, dimensões 30 x 46 x 17 cm, acabamento interno em alto brilho escovado, inclusive sifão e válvula</t>
  </si>
  <si>
    <t>Cuba simples de embutir em aço inox, retangular, dimensões 49,5 x 39 x 25 cm, acabamento interno em alto brilho ou escovado, inclusive sifão e válvula</t>
  </si>
  <si>
    <t>Cuba simples de embutir em aço inox, retangular, dimensões 60 x 50 x 27 cm, acabamento interno em alto brilho ou escovado, inclusive sifão e válvula</t>
  </si>
  <si>
    <t>Cuba simples de embutir em aço inox, retangular, dimensões 43 x 53 x 50 cm, acabamento interno em alto brilho ou escovado, inclusive sifão e válvula</t>
  </si>
  <si>
    <t>Tanque de louça branca com coluna, incluso conjunto de fixação</t>
  </si>
  <si>
    <t>Torneira cromada de mesa para lavatório, com fechamento automático</t>
  </si>
  <si>
    <t>Torneira cromada tubo móvel, de parede 1/2" ou 3/4", para pia, padrão médio, fornecimento e instalação</t>
  </si>
  <si>
    <t>Torneira para lavatório cirúrgico, com acionamento por cotovelo</t>
  </si>
  <si>
    <t>Torneira de jardim, cromada, 1/2" ou 3/4"</t>
  </si>
  <si>
    <t>Torneira cromada 1/2" com adaptador para mangueira, fornecimento e instalação</t>
  </si>
  <si>
    <t>Registro de pressão bruto de latão, roscável, 3/4", com acabamento e canopla cromados, fornecido e instalado em ramal de água</t>
  </si>
  <si>
    <t>Registro de gaveta bruto de latão, roscável, 3/4", com acabamento e canopla cromados, fornecido e instalado em ramal de água</t>
  </si>
  <si>
    <t>Registro de gaveta bruto de latão, roscável, 1", com acabamento e canopla cromados, fornecido e instalado</t>
  </si>
  <si>
    <t>Registro de gaveta bruto de latão, roscável, 2 1/2", fornecido e instalado</t>
  </si>
  <si>
    <t>Registro de gaveta bruto de latão, roscável, 1 1/2", fornecido e instalado</t>
  </si>
  <si>
    <t>Chuveiro elétrico comum, corpo plástico, tipo ducha, fornecimento e instalação</t>
  </si>
  <si>
    <t>Chuveiro de emergência com lava olhos, com bacia em aço inox, fornecimento e instalação</t>
  </si>
  <si>
    <t>Válvula de descarga 1 1/2" com registro, acabamento em metal cromado, fornecimento e instalação</t>
  </si>
  <si>
    <t>05.01.508</t>
  </si>
  <si>
    <t>86936 MOD 1</t>
  </si>
  <si>
    <t>86936 MOD 2</t>
  </si>
  <si>
    <t>86936 MOD 3</t>
  </si>
  <si>
    <t>05.01.511</t>
  </si>
  <si>
    <t>86915 MOD</t>
  </si>
  <si>
    <t>86914 MOD</t>
  </si>
  <si>
    <t>05.01.515</t>
  </si>
  <si>
    <t>05.01.519</t>
  </si>
  <si>
    <t>LAVATÓRIO LOUÇA. REF L510 VOGUE PLUS CONFORTO DECA OU SIMILAR</t>
  </si>
  <si>
    <t>COLUNA SUSPENSA DE LOUÇA PARA LAVATÓRIO, LINHA VOGUE PLUS CONFORTO DECA OU SIMILAR</t>
  </si>
  <si>
    <t>CUBA AÇO INOX GRANDE, DIMENSÕES 60 X 50 X 30 CM</t>
  </si>
  <si>
    <t>TORNEIRA PARA LAVATÓRIO CIRURGICO, ACIONAMENTO POR COTOVELO</t>
  </si>
  <si>
    <t>CHUVEIRO E LAVA OLHOS DE EMERGENCIA E BACIA EM AÇO INOX</t>
  </si>
  <si>
    <t>05.01.600</t>
  </si>
  <si>
    <t>Equipamentos</t>
  </si>
  <si>
    <t>Bomba Schneider ME-1210 1CV</t>
  </si>
  <si>
    <t>Caixa de comando para bomba</t>
  </si>
  <si>
    <t>Chave de boia automática</t>
  </si>
  <si>
    <t>Chave de boia automática superior</t>
  </si>
  <si>
    <t>Reservatório metálico cilíndrico horizontal - capacidade de 20.000 L, inclusive içamento</t>
  </si>
  <si>
    <t>Hidrômetro multijato vazão 7m3/h</t>
  </si>
  <si>
    <t>Kit cavalete para medição de água, entrada principal em PVC 25mm, para um medidor, fornecimento e instalação, exclusive hidrômetro</t>
  </si>
  <si>
    <t>Caixa em concreto pré-moldado para abrigo de hidrômetro, fornecimento e instalação</t>
  </si>
  <si>
    <t>95675 MOD</t>
  </si>
  <si>
    <t>05.01.603</t>
  </si>
  <si>
    <t>05.01.608</t>
  </si>
  <si>
    <t>48.03.138</t>
  </si>
  <si>
    <t>SUBTOTAL (05.03.000)</t>
  </si>
  <si>
    <t>Tubos e conexões de ferro fundido</t>
  </si>
  <si>
    <t>Ralo hemisférico em ferro fundido, tipo abacaxi, 100mm</t>
  </si>
  <si>
    <t>05.03.114</t>
  </si>
  <si>
    <t>05.03.300</t>
  </si>
  <si>
    <t>Tubos e conexões de PVC</t>
  </si>
  <si>
    <t>Tubo de PVC série R para águas pluviais, diâmetro 100mm, fornecido e instalado</t>
  </si>
  <si>
    <t>Cap PVC 100mm, fornecimento e instalação</t>
  </si>
  <si>
    <r>
      <t>Curva PVC longa 45</t>
    </r>
    <r>
      <rPr>
        <sz val="11"/>
        <rFont val="Calibri"/>
        <family val="2"/>
      </rPr>
      <t>°, série R, água pluvial, DN 100mm, junta elástica, fornecida e instalada</t>
    </r>
  </si>
  <si>
    <t>Curva PVC curta 90°, série R, água pluvial, DN 100mm, junta elástica, fornecida e instalada</t>
  </si>
  <si>
    <t>Junção simples PVC, série R, água pluvial, DN 100 x 100mm, junta elástica, fornecida e instalada</t>
  </si>
  <si>
    <t>Luva simples PVC, série R, água pluvial, DN 100mm, junta elástica, fornecida e instalada</t>
  </si>
  <si>
    <t>Luva de correr PVC, série R, água pluvial, DN 100mm, junta elástica, fornecida e instalada</t>
  </si>
  <si>
    <t>95695 MOD</t>
  </si>
  <si>
    <t>05.03.302</t>
  </si>
  <si>
    <t>05.03.306</t>
  </si>
  <si>
    <t>05.03.900</t>
  </si>
  <si>
    <t>Caixas</t>
  </si>
  <si>
    <t>Caixa de areia 60x60x60 em alvenaria</t>
  </si>
  <si>
    <t>Tampa de concreto armado 60x60x5 para caixa</t>
  </si>
  <si>
    <t>Escavação manual de valas para caixas de areia</t>
  </si>
  <si>
    <t>Junta argamassada entre tubo DN 100 mm e caixa de areia</t>
  </si>
  <si>
    <t>05.03.901</t>
  </si>
  <si>
    <t>05.03.902</t>
  </si>
  <si>
    <t>05.03.903</t>
  </si>
  <si>
    <t>05.03.904</t>
  </si>
  <si>
    <t>72285 MOD</t>
  </si>
  <si>
    <t>Tubulações e conexões de PVC</t>
  </si>
  <si>
    <t>SUBTOTAL (05.04.000)</t>
  </si>
  <si>
    <t>Tubo de PVC, série normal, esgoto predial, DN 40mm, fornecimento e instalação</t>
  </si>
  <si>
    <t>Tubo de PVC, série normal, esgoto predial, DN 50mm, fornecimento e instalação</t>
  </si>
  <si>
    <t>Tubo de PVC, série normal, esgoto predial, DN 75mm, fornecimento e instalação</t>
  </si>
  <si>
    <t>Tubo de PVC, série normal, esgoto predial, DN 100mm, fornecimento e instalação</t>
  </si>
  <si>
    <t>Tubo de PVC, série normal, esgoto predial, DN 150mm, fornecimento e instalação</t>
  </si>
  <si>
    <t>Cap PVC 50mm (tampão), fornecimento e instalação</t>
  </si>
  <si>
    <t>Cap PVC 75mm (tampão), fornecimento e instalação</t>
  </si>
  <si>
    <t>Cap PVC 100mm (tampão), fornecimento e instalação</t>
  </si>
  <si>
    <t>Curva 45 graus, PVC, esgoto predial, DN 75mm, fornecimento e instalação</t>
  </si>
  <si>
    <t>Curva longa 45 graus, PVC, esgoto predial, DN 40mm, fornecimento e instalação</t>
  </si>
  <si>
    <t>Curva longa 45 graus, PVC, esgoto predial, DN 50mm, fornecimento e instalação</t>
  </si>
  <si>
    <t>Curva longa 45 graus, PVC, esgoto predial, DN 75mm, fornecimento e instalação</t>
  </si>
  <si>
    <t>Curva longa 45 graus, PVC, esgoto predial, DN 100mm, fornecimento e instalação</t>
  </si>
  <si>
    <t>Curva curta 90 graus, PVC, esgoto predial, DN 40mm, fornecimento e instalação</t>
  </si>
  <si>
    <t>Curva curta 90 graus, PVC, esgoto predial, DN 50mm, fornecimento e instalação</t>
  </si>
  <si>
    <t>Curva curta 90 graus, PVC, esgoto predial, DN 75mm, fornecimento e instalação</t>
  </si>
  <si>
    <t>Curva curta 90 graus, PVC, esgoto predial, DN 100mm, fornecimento e instalação</t>
  </si>
  <si>
    <t>Curva longa 90 graus, PVC, esgoto predial, DN 50 mm, fornecimento e instalação</t>
  </si>
  <si>
    <t>Curva longa 90 graus, PVC, esgoto predial, DN 75 mm, fornecimento e instalação</t>
  </si>
  <si>
    <t>Curva longa 90 graus, PVC, esgoto predial, DN 100 mm, fornecimento e instalação</t>
  </si>
  <si>
    <t>Joelho 45 graus, PVC, esgoto predial, DN 40mm, fornecimento e instalação</t>
  </si>
  <si>
    <t>Joelho 45 graus, PVC, esgoto predial, DN 50mm, fornecimento e instalação</t>
  </si>
  <si>
    <t>Joelho 45 graus, PVC, esgoto predial, DN 75mm, fornecimento e instalação</t>
  </si>
  <si>
    <t>Joelho 45 graus, PVC, esgoto predial, DN 100mm, fornecimento e instalação</t>
  </si>
  <si>
    <t>Joelho 90 graus, PVC, esgoto predial, DN 40mm, fornecimento e instalação</t>
  </si>
  <si>
    <t>Joelho 90 graus, PVC, esgoto predial, DN 50mm, fornecimento e instalação</t>
  </si>
  <si>
    <t>Joelho 90 graus, PVC, esgoto predial, DN 75mm, fornecimento e instalação</t>
  </si>
  <si>
    <t>Joelho 90 graus, PVC, esgoto predial, DN 100mm, fornecimento e instalação</t>
  </si>
  <si>
    <t>Joelho 90 graus, PVC, esgoto predial, com visita, DN 100x50mm, fornecimento e instalação</t>
  </si>
  <si>
    <t>Junção simples, PVC, esgoto predial, DN 75x50mm, fornecimento e instalação</t>
  </si>
  <si>
    <t>Junção simples, PVC, esgoto predial, DN 100x50mm, fornecimento e instalação</t>
  </si>
  <si>
    <t>Junção simples, PVC, esgoto predial, DN 100x75mm, fornecimento e instalação</t>
  </si>
  <si>
    <t>Junção simples, PVC, esgoto predial, DN 50x50mm, fornecimento e instalação</t>
  </si>
  <si>
    <t>Junção simples, PVC, esgoto predial, DN 75x75mm, fornecimento e instalação</t>
  </si>
  <si>
    <t>Junção simples, PVC, esgoto predial, DN 100x100mm, fornecimento e instalação</t>
  </si>
  <si>
    <t>Luva simples, PVC, esgoto predial, DN 50mm, fornecimento e instalação</t>
  </si>
  <si>
    <t>Luva simples, PVC, esgoto predial, DN 75mm, fornecimento e instalação</t>
  </si>
  <si>
    <t>Luva simples, PVC, esgoto predial, DN 100mm, fornecimento e instalação</t>
  </si>
  <si>
    <t>Luva de correr, PVC, esgoto predial, DN 75mm, fornecimento e instalação</t>
  </si>
  <si>
    <t>Bucha de redução, PVC, esgoto predial, DN 50x40mm, fornecimento e instalação</t>
  </si>
  <si>
    <t>Redução excêntrica, PVC, esgoto predial, DN 75x50mm, fornecimento e instalação</t>
  </si>
  <si>
    <t>Redução excêntrica, PVC, esgoto predial, DN 100x75mm, fornecimento e instalação</t>
  </si>
  <si>
    <t>Tê, PVC, esgoto predial, DN 50x50mm, fornecimento e instalação</t>
  </si>
  <si>
    <t>Tê, PVC, esgoto predial, DN 75x75mm, fornecimento e instalação</t>
  </si>
  <si>
    <t>Tê, PVC, esgoto predial, DN 100x100mm, fornecimento e instalação</t>
  </si>
  <si>
    <t>Tê de redução, PVC, esgoto predial, DN 100x75mm, fornecimento e instalação</t>
  </si>
  <si>
    <t>Tê de redução, PVC, esgoto predial, DN 75x50mm, fornecimento e instalação</t>
  </si>
  <si>
    <t>Terminal de ventilação, PVC, esgoto predial, DN 100mm, fornecimento e instalação</t>
  </si>
  <si>
    <t>89524 MOD</t>
  </si>
  <si>
    <t>89735 MOD</t>
  </si>
  <si>
    <t>89750 MOD</t>
  </si>
  <si>
    <t>89730 MOD</t>
  </si>
  <si>
    <t>89743 MOD</t>
  </si>
  <si>
    <t>89809 MOD</t>
  </si>
  <si>
    <t>89795 MOD</t>
  </si>
  <si>
    <t>89797 MOD</t>
  </si>
  <si>
    <t>89829 MOD</t>
  </si>
  <si>
    <t>05.04.800</t>
  </si>
  <si>
    <t>Acessórios</t>
  </si>
  <si>
    <t>Caixa sifonada PVC 100x150x50mm, com grelha quadrada branca</t>
  </si>
  <si>
    <t>Caixa sifonada PVC 150x150x50mm, com grelha quadrada branca</t>
  </si>
  <si>
    <t>Caixa sifonada PVC 150x185x75mm com grelha quadrada branca</t>
  </si>
  <si>
    <t>Caixa de gordura 60x60x60cm, em alvenaria</t>
  </si>
  <si>
    <t>Caixa de inspeção 80x80x80cm em alvenaria</t>
  </si>
  <si>
    <t>89708 MOD 1</t>
  </si>
  <si>
    <t>89708 MOD 2</t>
  </si>
  <si>
    <t>TOTAL (05.00.000)</t>
  </si>
  <si>
    <t>06.01.300</t>
  </si>
  <si>
    <t>Eletroduto rígido roscável, PVC, DN 25mm (3/4), aparente</t>
  </si>
  <si>
    <t>Eletroduto rígido roscável, PVC, DN 32mm (1"), aparente</t>
  </si>
  <si>
    <t>Eletroduto PVC rígido roscável 1 1/2"</t>
  </si>
  <si>
    <t>Eletroduto PVC rígido roscável 4"</t>
  </si>
  <si>
    <t>Cabo de cobre flexível isolado, #2,5mm2, anti-chama, 450/750V,  fornecimento e instalação</t>
  </si>
  <si>
    <t>Cabo de cobre flexível isolado, #4,0mm2, anti-chama, 450/750V,  fornecimento e instalação</t>
  </si>
  <si>
    <t>Cabo de cobre flexível isolado, #6,0mm2, anti-chama, 450/750V,  fornecimento e instalação</t>
  </si>
  <si>
    <t>Caixa retangular, 4" x 4", a 30cm do piso, metálica, instalada em parede</t>
  </si>
  <si>
    <t>Disjuntor monopolar tipo DIN, corrente nominal 16A, fornecimento e instalação</t>
  </si>
  <si>
    <t>Disjuntor monopolar tipo DIN, corrente nominal 20A, fornecimento e instalação</t>
  </si>
  <si>
    <t>Disjuntor monopolar tipo DIN, corrente nominal 32A, fornecimento e instalação</t>
  </si>
  <si>
    <t>Disjuntor monopolar tipo DIN, corrente nominal 40A, fornecimento e instalação</t>
  </si>
  <si>
    <t>Disjuntor monopolar tipo DIN, corrente nominal 50A, fornecimento e instalação</t>
  </si>
  <si>
    <t>Dispositivo de proteção contra surto de tensão, DPS 20 kA - 275V</t>
  </si>
  <si>
    <t>Dispositivo de proteção contra surto de tensão, DPS 40 kA - 275V</t>
  </si>
  <si>
    <t>05.04.803</t>
  </si>
  <si>
    <t>Ralo sifonado 100 x 40</t>
  </si>
  <si>
    <t>86901 MOD</t>
  </si>
  <si>
    <t>Cuba de embutir oval em louça branca, 36 x 49 cm, fornecimento e instalação, inclusive sifão e válvula</t>
  </si>
  <si>
    <t>Tê de redução, PVC, esgoto predial, DN 100x50mm, fornecimento e instalação</t>
  </si>
  <si>
    <t>89833 MOD 2</t>
  </si>
  <si>
    <t>89833 MOD 1</t>
  </si>
  <si>
    <t>Terminal de ventilação, PVC, esgoto predial, DN 50mm, fornecimento e instalação</t>
  </si>
  <si>
    <t>95730 MOD</t>
  </si>
  <si>
    <t>95731 MOD</t>
  </si>
  <si>
    <t>ELETROCALHA METÁLICA PERFURADA 300 X 100 X 3000 MM</t>
  </si>
  <si>
    <t>ELETROCALHA METÁLICA PERFURADA 200 X 100 X 3000 MM</t>
  </si>
  <si>
    <t>ELETROCALHA METÁLICA PERFURADA 100 X 100 X 3000 MM</t>
  </si>
  <si>
    <t>9041 MOD 1</t>
  </si>
  <si>
    <t>9041 MOD 2</t>
  </si>
  <si>
    <t>06.01.400</t>
  </si>
  <si>
    <t>Iluminação e tomadas</t>
  </si>
  <si>
    <t>Luminária de sobrepor para duas lâmpadas fluorescentes tubulares de 28W, corpo e aletas planas em alumínio anodizado alto brilho, porta lâmpadas antivibratório em policarbonato, com trava de segurança e proteção contra aquecimento dos contatos. ref. Itaim 3006 2xT16 28W, completa (L-01)</t>
  </si>
  <si>
    <t>Luminária de embutir para quatro lâmpadas fluorescentes tubulares de 14W, corpo em chapa de aço tratada com pintura eletrostática na cor branca, difusor em acrílico translúcido, porta lâmpadas antivibratório em policarbonato, com trava de segurança e proteção contra aquecimento dos contatos. ref. Itaim 2105 4xT16 14W, completa (L-03)</t>
  </si>
  <si>
    <t>Luminária de embutir para quatro lâmpadas fluorescentes tubulares de 14W, corpo e aletas planas em chapa de aço tratada com pintura eletrostática epoxi-pó na cor branca, refletor em alumínio anodizado alto brilho, porta lâmpadas antivibratório em policarbonato, com trava de segurança e proteção contra aquecimento dos contatos. ref. Itaim 2692 4xT16 14W, completa (L-04)</t>
  </si>
  <si>
    <t>Luminária circular de embutir para uma lâmpada fluorescente compacta de 32W, dupla, 4 pinos, corpo em alumínio repuxado com pintura eletrostática epoxi-pó na cor branca, refletor em alumínio anodizado jateado,  ref. Itaim Jaspe 1xTC-TEL 32W, completa (L-05)</t>
  </si>
  <si>
    <t>Luminária pendente para uma lâmpada fluorescente compacta tripla de 42W, 4 pinos, corpo superior e canopla em alumínio repuxado com pintura eletrostática epoxi-pó na cor branca, refletor em acrílico prismático transparente, com aro e hastes cromadas, suspenso por três cabos de aço, com regulagem até três metros, com alojamento para equipamento auxiliar . ref. Itaim Orfeu 1xTC-TEL 42W, completa (L-07)</t>
  </si>
  <si>
    <t>Luminária de sobrepor tipo arandela para uma lâmpada fluorescente compacta eletrônica de 20W, corpo e grade frontal de proteção em alumínio fundido com acabamento em pintura na cor cinza martelado, difusor em vidro transparente frisado, ref. Itaim Tassu 1xTC-TSE 20W, completa (L-08)</t>
  </si>
  <si>
    <t>Luminária circular de embutir para uma lâmpada fluorescente compacta de 32W, dupla, 4 pinos. corpo em alumínio repuxado com pintura eletrostática epoxi-pó na cor branca, refletor em alumínio anodizado jateado. ref. Itaim Turiassu 1xTC-TEL 32W, completa (L-09)</t>
  </si>
  <si>
    <t>Luminária de embutir, corpo/refletor em chapa de aço tratada com acabamento em pintura eletrostática na cor branca, difusor em acrílico translúcido, Ref. Itaim 2109 2xT16 14W, completa (L-10)</t>
  </si>
  <si>
    <t>Luminária retangular de embutir, corpo em chapa de aço tratada com pintura eletrostática na cor branca, refletor em alumínio anodizado de alto brilho, difusor em acrílico prismático transparente, ref. Itaim Tabira 2  2xTC-TSE 15W, completa (L-11)</t>
  </si>
  <si>
    <t>Luminária pendente para 2 lâmpadas fluorescentes tubulares 28W, corpo em perfil de alumínio com acabamento em pintura eletrostática na cor branca, ref: Itaim 3433-P-2xT16 28W, completa (L-13)</t>
  </si>
  <si>
    <t>Luminária de sobrepor tipo arandela corpo e grade frontal de proteção em alumínio fundido com pintura na cor cinza martelado, difusor em vidro transparente frisado, 1xTC-TSE 23W, completa (L-14)</t>
  </si>
  <si>
    <t>Projetor de sobrepor com foco orientável 150W, corpo em alumínio injetado, com aletas para dissipação de calor, refletor simétrico em alumínio anodizado de alto brilho, difusor em vidro plano transparente temperado, possui alojamento para equipamento auxiliar, grau de proteção IP 65, completa (L-15)</t>
  </si>
  <si>
    <t>Bloco autônomo de iluminação de emergência com autonomia mínima de 1 hora, 30 leds, potência de 2 W e fluxo luminoso 200 lumens</t>
  </si>
  <si>
    <t>Sensor de presença com fotocélula</t>
  </si>
  <si>
    <t>41.14.620</t>
  </si>
  <si>
    <t>P.15.000.034104</t>
  </si>
  <si>
    <t>LUMINÁRIA DE SOBREPOR TIPO CALHA ABERTA COM REFLETOR E ALETAS PARABÓLICAS PARA DUAS LÂMPADAS FLUORESCENTES DE 28W</t>
  </si>
  <si>
    <t>REATOR ELETRÔNICO PARA LÂMPADA FLUORESCENTE T5, 2X28W</t>
  </si>
  <si>
    <t>LÂMPADA FLUORESCENTE TUBULAR T5 28W</t>
  </si>
  <si>
    <t>41.14.770</t>
  </si>
  <si>
    <t>P.15.000.034061</t>
  </si>
  <si>
    <t>LUMINÁRIA TIPO EMBUTIR DE 618X618MM, DIFUSOR EM ACRÍLICO TRANSLÚCIDO, PARA 4 LÂMPADAS FLUORESCENTES TUBULARES 14W</t>
  </si>
  <si>
    <t>41.14.430</t>
  </si>
  <si>
    <t>41.14.310</t>
  </si>
  <si>
    <t>41.14.020</t>
  </si>
  <si>
    <t>41.14.440</t>
  </si>
  <si>
    <t>41.14.600</t>
  </si>
  <si>
    <t>41.12.050</t>
  </si>
  <si>
    <t>LUMINÁRIA QUADRADA DE EMBUTIR TIPO CALHA ABERTA REFLETOR E ALETA PARABÓLICAS EM ALUMÍNIO, 4 LÂMPADAS FLUORESCENTES DE 14W</t>
  </si>
  <si>
    <t>P.15.000.046031</t>
  </si>
  <si>
    <t>LUMINÁRIA REDONDA DE EMBUTIR PARA 1 OU 2 LÂMPADAS FLUORESCENTES COMPACTAS</t>
  </si>
  <si>
    <t>LUMINÁRIA TIPO PENDENTE SIMPLES</t>
  </si>
  <si>
    <t>LAMPADA FLUORESCENTE ELETRONICA COMPACTA INTEGRADA 45W</t>
  </si>
  <si>
    <t>P.15.000.091298</t>
  </si>
  <si>
    <t>LUMINÁRIA RETANGULAR DE EMBUTIR TIPO CALHA FECHADA COM DIFUSOR PLANO EM ACRÍLICO PARA 2 LÂMPADAS FLUORESCENTES DE 14W</t>
  </si>
  <si>
    <t>LUMINÁRIA RETANGULAR DE EMBUTIR TIPO CALHA ABERTA COM REFLETOR E ALETAS PARABÓLICAS PARA 2 LÂMPADAS FLUORESCENTES DE 14W</t>
  </si>
  <si>
    <t>P.15.000.034102</t>
  </si>
  <si>
    <t>LUMINÁRIA INDUSTRIAL PENDENTE TIPO CALHA ABERTA PARA 1/2 LÂMPADAS FLUORESCEBNTES 28W</t>
  </si>
  <si>
    <t>LÂMPADA FLUORESCENTE TUBULAR T5 DE 28W</t>
  </si>
  <si>
    <t>97608 MOD</t>
  </si>
  <si>
    <t>P.15.000.046028</t>
  </si>
  <si>
    <t>PROJETOR RETANGULAR FECHADO COM ALOJAMENTO PARA REATOR, PARA LÂMPADA VAPOR METÁLICO OU DE SÓDIO 150 A 400W</t>
  </si>
  <si>
    <t>06.01.500</t>
  </si>
  <si>
    <t>Aterramento e proteção contra descargas atmosféricas (SPDA)</t>
  </si>
  <si>
    <t>Captor tipo Franklin para SPDA, fornecimento e instalação</t>
  </si>
  <si>
    <t>Base metálica para mastro 1 1/2 para SPDA, fornecimento e instalação</t>
  </si>
  <si>
    <t>Mastro 1 1/2 para SPDA, comprimento de 3 m, fornecimento e instalação</t>
  </si>
  <si>
    <t>Barra chata de alumínio 3/4" x 1/4", fornecimento e instalação</t>
  </si>
  <si>
    <t>Solda exotérmica, inclusive molde, alicate, cartucho e ignitor</t>
  </si>
  <si>
    <t>Reaterro manual de valas apiloado com soquete</t>
  </si>
  <si>
    <t>Laudo de resistividade do solo para aterramento</t>
  </si>
  <si>
    <t>06.01.506</t>
  </si>
  <si>
    <t>06.01.508</t>
  </si>
  <si>
    <t>BARRA CHATA DE ALUMINIO 3/4 X 1/4</t>
  </si>
  <si>
    <t>MOLDE SOLDA EXOTÉRMICA PARA CABOS</t>
  </si>
  <si>
    <t>ALICATE PARA MOLDE DE SOLDA EXOTÉRMICA</t>
  </si>
  <si>
    <t>PALITO IGNITOR PARA SOLDA EXOTÉRMICA</t>
  </si>
  <si>
    <t>SUBTOTAL (06.01.000)</t>
  </si>
  <si>
    <t>SUBTOTAL (06.03.000)</t>
  </si>
  <si>
    <t>06.03.200</t>
  </si>
  <si>
    <t>Equipamentos de detecção</t>
  </si>
  <si>
    <t>Central de alarme e detecção de incendio, capacidade: 8 laços, com 2 linhas, mod.VR-8L, Verin ou similar</t>
  </si>
  <si>
    <t>Acionador manual (botoeira) analógico/endereçável, tipo quebra-vidro</t>
  </si>
  <si>
    <t>Sirene áudio-visual para alarme de incêndio, endereçável</t>
  </si>
  <si>
    <t>Detector de fumaça óptico endereçável</t>
  </si>
  <si>
    <t>Detector de temperatura termovelocimétrico endereçável</t>
  </si>
  <si>
    <t>06.03.201</t>
  </si>
  <si>
    <t>06.03.202</t>
  </si>
  <si>
    <t>06.03.203</t>
  </si>
  <si>
    <t>CENTRAL DE ALARME E DETECÇÃO DE INCENDIO, CAPACIDADE: 2 BATERIAS, 8 LAÇOS, COM 2 LINHAS, MOD.VR-8L, VERIN OU SIMILAR</t>
  </si>
  <si>
    <t>ACIONADOR MANUAL (BOTOEIRA) TIPO QUEBRA-VIDRO, P/INCÊNDIO</t>
  </si>
  <si>
    <t>SIRENE AUDIO-VISUAL PARA ALARME DE INCÊNDIO ENDEREÇÁVEL</t>
  </si>
  <si>
    <t>DETECTOR DE FUMAÇA ÓPTICO ENDEREÇÁVEL</t>
  </si>
  <si>
    <t>DETECTOR DE TEMPERATURA ENDEREÇÁVEL</t>
  </si>
  <si>
    <t>06.03.300</t>
  </si>
  <si>
    <t>Eletrodutos (inclusive acessórios de conexão, suporte e fixação)</t>
  </si>
  <si>
    <t>06.03.301</t>
  </si>
  <si>
    <t>Cabo de cobre flexível, blindado, com fita de cobre, 2 x 1,5 mm2, tensão 1 kV</t>
  </si>
  <si>
    <t>06.03.400</t>
  </si>
  <si>
    <t>Cabos e fios</t>
  </si>
  <si>
    <t>06.03.401</t>
  </si>
  <si>
    <t>CABO DE COBRE FLEXÍVEL BLINDADO COM FITA DE COBRE, 2 X 1,5MM2</t>
  </si>
  <si>
    <t>Central de supervisão</t>
  </si>
  <si>
    <t>SUBTOTAL (06.07.000)</t>
  </si>
  <si>
    <t>Organizador de cabos / guia de cabos /cable guide</t>
  </si>
  <si>
    <t>Distribuidor interno óptico (DIO), ref. Furukawa ou superior</t>
  </si>
  <si>
    <t>Unidade gerenciadora digital de vídeo em rede (NVR) de até 16 câmeras IP, armazenamento de 12 TB, 1 interface de rede Gigabit Ethernet e 4 entradas de alarme</t>
  </si>
  <si>
    <t>66.08.610</t>
  </si>
  <si>
    <t>06.07.102</t>
  </si>
  <si>
    <t>06.07.103</t>
  </si>
  <si>
    <t>06.07.104</t>
  </si>
  <si>
    <t>PESQUISA DE MERCADO</t>
  </si>
  <si>
    <t>SWITCH 24 PORTAS 10/100/1000BASE-TX 4 PORTAS SFP FIXAS, 2 PORTAS DE EMPILHAMENTO, REFERÊNCIA EXTREME NETWORKS X430-24T</t>
  </si>
  <si>
    <t>DISTRIBUIDOR INTERNO ÓPTICO (DIO)</t>
  </si>
  <si>
    <t>P.17.000.030003</t>
  </si>
  <si>
    <t>UNIDADE GERENCIADORA DIGITAL DE VÍDEO EM REDE (NVR) DE ATÉ 16 CÂMERAS IP, ARMAZENAMENTO DE 12 TB, 1 INTERFACE DE REDE GIGABIT ETHERNET E 4 ENTRADAS DE ALARME</t>
  </si>
  <si>
    <t>06.07.200</t>
  </si>
  <si>
    <t>Câmeras, objetivas e equipamentos auxiliares</t>
  </si>
  <si>
    <t>Câmera IP "tipo 2", colorida, alta resolução (Day/Night), tipo SNB-5001 Samsumg, fornecimento e instalação</t>
  </si>
  <si>
    <t>06.07.201</t>
  </si>
  <si>
    <t>06.07.300</t>
  </si>
  <si>
    <t>Eletrodutos (inclusive acessórios de conexão, suporte e fiação)</t>
  </si>
  <si>
    <t>06.07.400</t>
  </si>
  <si>
    <t>Cabo UTP 4 pares categoria 6, fornecimento e lançamento</t>
  </si>
  <si>
    <t>Cabo de fibra óptica monomodo indoor/outdoor 4 fibras (62,5/125um)</t>
  </si>
  <si>
    <t>06.07.401</t>
  </si>
  <si>
    <t>06.07.402</t>
  </si>
  <si>
    <t>CABO DE FIBRA ÓPTICA DE 4 VIAS 62,5/125, MONOMODO</t>
  </si>
  <si>
    <t>06.07.500</t>
  </si>
  <si>
    <t>Serviços diversos</t>
  </si>
  <si>
    <t>Tampão FoFo para caixa R1, fornecimento e instalação</t>
  </si>
  <si>
    <t>Certificação de pontos de cabeamento</t>
  </si>
  <si>
    <t>06.07.502</t>
  </si>
  <si>
    <t>SUBTOTAL (06.09.000)</t>
  </si>
  <si>
    <t>Patch panel de 24 portas, categoria 6</t>
  </si>
  <si>
    <t>Voice panel de 24 portas, categoria 6</t>
  </si>
  <si>
    <t>Rack de piso 19" x 44U's, ref.: Furukawa, AMP ou Panduit, fechado, corpo em alumínio ou aço martelado, prof 067 cm, porta frontal em acrílico transparente, porta traseira e laterais fechadas e removíveis, guia horizontal de cabos, módulo de iluminação e ventilação, régua de 08 tomadas padrão brasileiro, NBR 14136, ( 2P+T, 20A/250V ), polarização Nema 5/15 e disjuntor na capacidade aproximada, barras, réguas, parafusos, porcas e arruelas de fixação</t>
  </si>
  <si>
    <t>Cabo telefônico CTP-APL 50/50</t>
  </si>
  <si>
    <t>Patch cord de 2,00 metros, padrão Furukawa, AMP, Panduit ou superior</t>
  </si>
  <si>
    <t>Caixa octogonal 4" x 4", PVC, embutida no forro, fornecimento e instalação</t>
  </si>
  <si>
    <t>Caixa de passagem metálica de embutir, com tampa parafusada, dimensões 60 x 60 x 12 cm</t>
  </si>
  <si>
    <t>VOICE PANEL DE 24 PORTAS, CATEGORIA 6</t>
  </si>
  <si>
    <t>06.09.003</t>
  </si>
  <si>
    <t>98402 MOD</t>
  </si>
  <si>
    <t>CABO TELEFÔNICO CTP-APL 50/50</t>
  </si>
  <si>
    <t>06.09.004</t>
  </si>
  <si>
    <t>06.09.005</t>
  </si>
  <si>
    <t>06.09.007</t>
  </si>
  <si>
    <t>06.09.013</t>
  </si>
  <si>
    <t>TOTAL (06.00.000)</t>
  </si>
  <si>
    <t>Plataforma elevatória</t>
  </si>
  <si>
    <t>SUBTOTAL (07.01.000)</t>
  </si>
  <si>
    <t>SUBTOTAL (07.02.000)</t>
  </si>
  <si>
    <t>TOTAL (07.00.000)</t>
  </si>
  <si>
    <t>CAMERA DE VIDEO DIGITAL, MONOFOCAL, FIXA, DO TIPO IP, 2MP, CAIXA DE PROTEÇÃO CONTRA LUZ SOLAR E INTEMPERISMO</t>
  </si>
  <si>
    <t>M2XMES</t>
  </si>
  <si>
    <t xml:space="preserve">MXMES </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</si>
  <si>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</si>
  <si>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</si>
  <si>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</si>
  <si>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</si>
  <si>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</si>
  <si>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</si>
  <si>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</si>
  <si>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</si>
  <si>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</si>
  <si>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</si>
  <si>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</si>
  <si>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</si>
  <si>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</si>
  <si>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</si>
  <si>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</si>
  <si>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</si>
  <si>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</si>
  <si>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</si>
  <si>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</si>
  <si>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</si>
  <si>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</si>
  <si>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</si>
  <si>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</si>
  <si>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</si>
  <si>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</si>
  <si>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</si>
  <si>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</si>
  <si>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</si>
  <si>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</si>
  <si>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</si>
  <si>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</si>
  <si>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</si>
  <si>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</si>
  <si>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</si>
  <si>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</si>
  <si>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</si>
  <si>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</si>
  <si>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</si>
  <si>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</si>
  <si>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</si>
  <si>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</si>
  <si>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</si>
  <si>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</si>
  <si>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</si>
  <si>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</si>
  <si>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</si>
  <si>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</si>
  <si>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</si>
  <si>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</si>
  <si>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</si>
  <si>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</si>
  <si>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</si>
  <si>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</si>
  <si>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</si>
  <si>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</si>
  <si>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</si>
  <si>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</si>
  <si>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</si>
  <si>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</si>
  <si>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</si>
  <si>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</si>
  <si>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</si>
  <si>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</si>
  <si>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</si>
  <si>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</si>
  <si>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</si>
  <si>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</si>
  <si>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</si>
  <si>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</si>
  <si>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</si>
  <si>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</si>
  <si>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</si>
  <si>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</si>
  <si>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</si>
  <si>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</si>
  <si>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</si>
  <si>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</si>
  <si>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</si>
  <si>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</si>
  <si>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</si>
  <si>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</si>
  <si>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</si>
  <si>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</si>
  <si>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</si>
  <si>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</si>
  <si>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</si>
  <si>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</si>
  <si>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</si>
  <si>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</si>
  <si>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</si>
  <si>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</si>
  <si>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</si>
  <si>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</si>
  <si>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</si>
  <si>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</si>
  <si>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VIGAS E LAJES, FCK=20 MPA, PARA LAJES MACIÇAS OU NERVURADAS COM JERICAS EM ELEVADOR DE CABO EM EDIFICAÇÃO DE ATÉ 16 ANDARES, COM ÁREA MÉDIA DE LAJES MENOR OU IGUAL A 20 M² - LANÇAMENTO, ADENSAMENTO E ACABAMENTO. AF_12/2015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</si>
  <si>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</si>
  <si>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</si>
  <si>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</si>
  <si>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</si>
  <si>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</si>
  <si>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</si>
  <si>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</si>
  <si>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</si>
  <si>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</si>
  <si>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</si>
  <si>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</si>
  <si>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</si>
  <si>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</si>
  <si>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</si>
  <si>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</si>
  <si>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</si>
  <si>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</si>
  <si>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</si>
  <si>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</si>
  <si>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</si>
  <si>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</si>
  <si>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</si>
  <si>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</si>
  <si>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</si>
  <si>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</si>
  <si>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</si>
  <si>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</si>
  <si>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</si>
  <si>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</si>
  <si>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</si>
  <si>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</si>
  <si>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</si>
  <si>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</si>
  <si>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</si>
  <si>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</si>
  <si>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</si>
  <si>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</si>
  <si>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</si>
  <si>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</si>
  <si>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</si>
  <si>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</si>
  <si>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</si>
  <si>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</si>
  <si>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</si>
  <si>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</si>
  <si>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</si>
  <si>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</si>
  <si>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</si>
  <si>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</si>
  <si>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</si>
  <si>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</si>
  <si>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</si>
  <si>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</si>
  <si>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</si>
  <si>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</si>
  <si>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</si>
  <si>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</si>
  <si>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</si>
  <si>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</si>
  <si>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</si>
  <si>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</si>
  <si>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</si>
  <si>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</si>
  <si>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</si>
  <si>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</si>
  <si>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</si>
  <si>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</si>
  <si>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</si>
  <si>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</si>
  <si>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</si>
  <si>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</si>
  <si>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</si>
  <si>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</si>
  <si>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</si>
  <si>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</si>
  <si>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</si>
  <si>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</si>
  <si>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</si>
  <si>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</si>
  <si>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</si>
  <si>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</si>
  <si>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</si>
  <si>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</si>
  <si>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</si>
  <si>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</si>
  <si>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</si>
  <si>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</si>
  <si>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</si>
  <si>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</si>
  <si>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</si>
  <si>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</si>
  <si>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</si>
  <si>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</si>
  <si>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</si>
  <si>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</si>
  <si>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</si>
  <si>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</si>
  <si>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</si>
  <si>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</si>
  <si>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</si>
  <si>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</si>
  <si>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</si>
  <si>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1 1/4" X 3/4", CONEXÃO ROSQUEADA, INSTALADO EM REDE DE ALIMENTAÇÃO PARA HIDRANTE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</si>
  <si>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</si>
  <si>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</si>
  <si>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</si>
  <si>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</si>
  <si>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</si>
  <si>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</si>
  <si>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</si>
  <si>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</si>
  <si>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</si>
  <si>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</si>
  <si>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</si>
  <si>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</si>
  <si>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</si>
  <si>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</si>
  <si>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</si>
  <si>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</si>
  <si>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</si>
  <si>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</si>
  <si>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</si>
  <si>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</si>
  <si>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</si>
  <si>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</si>
  <si>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</si>
  <si>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</si>
  <si>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</si>
  <si>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</si>
  <si>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</si>
  <si>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</si>
  <si>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</si>
  <si>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</si>
  <si>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</si>
  <si>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</si>
  <si>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</si>
  <si>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</si>
  <si>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</si>
  <si>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</si>
  <si>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</si>
  <si>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</si>
  <si>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</si>
  <si>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</si>
  <si>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</si>
  <si>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</si>
  <si>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</si>
  <si>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</si>
  <si>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</si>
  <si>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</si>
  <si>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</si>
  <si>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</si>
  <si>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</si>
  <si>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</si>
  <si>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</si>
  <si>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</si>
  <si>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</si>
  <si>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</si>
  <si>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</si>
  <si>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</si>
  <si>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</si>
  <si>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</si>
  <si>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</si>
  <si>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</si>
  <si>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</si>
  <si>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</si>
  <si>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</si>
  <si>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</si>
  <si>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</si>
  <si>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</si>
  <si>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</si>
  <si>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</si>
  <si>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</si>
  <si>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</si>
  <si>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</si>
  <si>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</si>
  <si>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</si>
  <si>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</si>
  <si>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</si>
  <si>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</si>
  <si>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</si>
  <si>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</si>
  <si>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</si>
  <si>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</si>
  <si>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</si>
  <si>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</si>
  <si>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</si>
  <si>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</si>
  <si>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</si>
  <si>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</si>
  <si>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</si>
  <si>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</si>
  <si>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</si>
  <si>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</si>
  <si>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</si>
  <si>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</si>
  <si>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</si>
  <si>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</si>
  <si>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</si>
  <si>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</si>
  <si>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</si>
  <si>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</si>
  <si>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</si>
  <si>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</si>
  <si>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</si>
  <si>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</si>
  <si>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</si>
  <si>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</si>
  <si>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</si>
  <si>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</si>
  <si>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</si>
  <si>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</si>
  <si>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</si>
  <si>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</si>
  <si>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</si>
  <si>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</si>
  <si>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</si>
  <si>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</si>
  <si>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</si>
  <si>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</si>
  <si>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</si>
  <si>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</si>
  <si>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</si>
  <si>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</si>
  <si>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</si>
  <si>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</si>
  <si>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</si>
  <si>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</si>
  <si>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</si>
  <si>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</si>
  <si>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</si>
  <si>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</si>
  <si>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</si>
  <si>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</si>
  <si>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</si>
  <si>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</si>
  <si>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</si>
  <si>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</si>
  <si>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</si>
  <si>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</si>
  <si>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</si>
  <si>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</si>
  <si>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</si>
  <si>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</si>
  <si>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</si>
  <si>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</si>
  <si>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</si>
  <si>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</si>
  <si>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</si>
  <si>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</si>
  <si>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</si>
  <si>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</si>
  <si>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</si>
  <si>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</si>
  <si>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</si>
  <si>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</si>
  <si>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</si>
  <si>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</si>
  <si>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</si>
  <si>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</si>
  <si>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</si>
  <si>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</si>
  <si>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</si>
  <si>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</si>
  <si>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</si>
  <si>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</si>
  <si>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Pilarete de amarração para alvenaria moldada in loco em concreto (9x9cm)</t>
  </si>
  <si>
    <t>Chapisco aplicado em fachada, com colher de pedreiro, argamassa traço 1:3 com preparo mecânico</t>
  </si>
  <si>
    <t>04.01.229</t>
  </si>
  <si>
    <t>PORTA RADIOLÓGICA EM MAD/MAD DE LEI DIM: 0,92X2,12M, LAMINADO DE CHUMBO EMBUTIDO, E=2MM, DOBRADIÇAS REFORÇADAS ANELADAS DE 3 1/2" X 3", FECHADURA TAMBOR AUTOBLOCANTE, MARCA AROUCA, REF 108449/40-Z-ZCE OU SIMILAR, MAÇANETA TIPO ALAVANCA</t>
  </si>
  <si>
    <t>04.01.546</t>
  </si>
  <si>
    <t>Revestimento de paredes em argamassa baritada, espessura de 4,0cm, aplicação em 2 camadas sucessivas de 2,0cm</t>
  </si>
  <si>
    <t>10716 MOD</t>
  </si>
  <si>
    <t>ARGAMASSA BARITADA PRONTA PARA APLICAÇÃO</t>
  </si>
  <si>
    <t>Revestimento de piso com argamassa baritada, espessura de 4,0cm, aplicação em 2 camadas sucessivas de 2,0cm</t>
  </si>
  <si>
    <t>04.01.550</t>
  </si>
  <si>
    <t>Revestimento de forro</t>
  </si>
  <si>
    <t>Forro fixo de drywall para ambientes comerciais, inclusive estrutura de fixação</t>
  </si>
  <si>
    <t>Forro de gesso removível, em placas de 125x62,5cm, espessura 9,5mm, cor branca, borda aparente, com acabamento liso e película de PVC</t>
  </si>
  <si>
    <t>Revestimento de laje com argamassa baritada, espessura de 4,0cm, aplicação em 2 camadas sucessivas de 2,0cm</t>
  </si>
  <si>
    <t>04.01.558</t>
  </si>
  <si>
    <t>90406 MOD</t>
  </si>
  <si>
    <t>Aplicação de 1 demão de verniz acrílico em estruturas de concreto aparente e nos pisos e soleiras de granitina</t>
  </si>
  <si>
    <t>VERNIZ ACRÍLICO INCOLOR</t>
  </si>
  <si>
    <t>BARRA DE APOIO PARA LAVATÓRIO EM MEIO DE VÃO, TRÊS LADOS, EM AÇO INOX, L=40X60CM, D-1 1/4"</t>
  </si>
  <si>
    <t>04.02.000</t>
  </si>
  <si>
    <t>COMUNICAÇÃO VISUAL</t>
  </si>
  <si>
    <t>Colar de tomada FoFo 1"</t>
  </si>
  <si>
    <t>Registro de esfera 1"</t>
  </si>
  <si>
    <t>Registro de gaveta bruto de latão, roscável, 1 1/2", com acabamento e canopla cromados, fornecido e instalado</t>
  </si>
  <si>
    <t>Curva 90 graus PVC roscável, com rosca, DN 1", fornecimento e instalação</t>
  </si>
  <si>
    <t>Adaptador com flange livre, PVC soldável, DN 32mm x 1", instalado em reservação de água de edificação, fornecimento e instalação</t>
  </si>
  <si>
    <t>Bebedouro 25 mm x 1/2"</t>
  </si>
  <si>
    <t>Torneira de uso geral 25-3/4"</t>
  </si>
  <si>
    <t>Vaso sanitário de louça branca (sem conjunto de ligação)</t>
  </si>
  <si>
    <t>Vaso sanitário de louça branca, para PCD, sem furo frontal, sem conjunto de ligação</t>
  </si>
  <si>
    <t>Engate flexível plástico 1/2 - 30cm</t>
  </si>
  <si>
    <t>Tubo de ligação latão cromado c/canopla p/vaso sanitário 38mm</t>
  </si>
  <si>
    <t>Tê de PVC soldável, com bucha latão na bolsa central, 20mm - 1/2", fornecimento e instalação</t>
  </si>
  <si>
    <t>Adaptador curto com bolsa e rosca para registro, PVC soldável, DN 75mm - 2 1/2", fornecimento e instalação</t>
  </si>
  <si>
    <t>m3 x km</t>
  </si>
  <si>
    <t>Quantidade Unitária</t>
  </si>
  <si>
    <t>Quantidade Total</t>
  </si>
  <si>
    <t>Q</t>
  </si>
  <si>
    <t>Comp.</t>
  </si>
  <si>
    <t>Largura</t>
  </si>
  <si>
    <t>Altura</t>
  </si>
  <si>
    <t>Área</t>
  </si>
  <si>
    <t>Volume</t>
  </si>
  <si>
    <t>Extensão</t>
  </si>
  <si>
    <t>(m²)</t>
  </si>
  <si>
    <t>(m³)</t>
  </si>
  <si>
    <t>(m)</t>
  </si>
  <si>
    <t>Total do serviço</t>
  </si>
  <si>
    <t>Placa institucional</t>
  </si>
  <si>
    <t>Placa gov federal</t>
  </si>
  <si>
    <t>Placa técnica</t>
  </si>
  <si>
    <t>Referência</t>
  </si>
  <si>
    <t>Perímetro de forma</t>
  </si>
  <si>
    <t>Altura da base</t>
  </si>
  <si>
    <t>Área do tampo</t>
  </si>
  <si>
    <t>03.02.182.01</t>
  </si>
  <si>
    <t>03.02.182.02</t>
  </si>
  <si>
    <t>04.01.102.01</t>
  </si>
  <si>
    <t>04.01.102.02</t>
  </si>
  <si>
    <t>04.01.102.03</t>
  </si>
  <si>
    <t>04.01.102.04</t>
  </si>
  <si>
    <t>04.01.102.05</t>
  </si>
  <si>
    <t>04.01.102.06</t>
  </si>
  <si>
    <t>04.01.102.07</t>
  </si>
  <si>
    <t>Cobertura - Mureta caixa d'água</t>
  </si>
  <si>
    <t>Cobertura - Casas de máquinas</t>
  </si>
  <si>
    <t>Comp. Alvenaria / Espaç. 5m</t>
  </si>
  <si>
    <t>04.01.121.01</t>
  </si>
  <si>
    <t>04.01.121.02</t>
  </si>
  <si>
    <t>04.01.220.01</t>
  </si>
  <si>
    <t>04.01.220.02</t>
  </si>
  <si>
    <t>04.01.220.03</t>
  </si>
  <si>
    <t>04.01.220.04</t>
  </si>
  <si>
    <t>04.01.220.05</t>
  </si>
  <si>
    <t>04.01.223.01</t>
  </si>
  <si>
    <t>04.01.223.02</t>
  </si>
  <si>
    <t>04.01.223.03</t>
  </si>
  <si>
    <t>04.01.223.04</t>
  </si>
  <si>
    <t>04.01.223.05</t>
  </si>
  <si>
    <t>04.01.228.01</t>
  </si>
  <si>
    <t>04.01.228.02</t>
  </si>
  <si>
    <t>04.01.228.03</t>
  </si>
  <si>
    <t>04.01.228.04</t>
  </si>
  <si>
    <t>04.01.230.01</t>
  </si>
  <si>
    <t>04.01.230.02</t>
  </si>
  <si>
    <t>04.01.230.03</t>
  </si>
  <si>
    <t>04.01.230.04</t>
  </si>
  <si>
    <t>04.01.230.05</t>
  </si>
  <si>
    <t>04.01.305.01</t>
  </si>
  <si>
    <t>04.01.305.02</t>
  </si>
  <si>
    <t>04.01.305.03</t>
  </si>
  <si>
    <t>04.01.305.04</t>
  </si>
  <si>
    <t>04.01.415.01</t>
  </si>
  <si>
    <t>04.01.415.02</t>
  </si>
  <si>
    <t>04.01.528.01</t>
  </si>
  <si>
    <t>04.01.528.02</t>
  </si>
  <si>
    <t>04.01.531.01</t>
  </si>
  <si>
    <t>04.01.531.02</t>
  </si>
  <si>
    <t>Pavimento térreo (alv 14 cm: fachada)</t>
  </si>
  <si>
    <t>Pavimento superior (alv 14 cm: fachada)</t>
  </si>
  <si>
    <t>Área sob esquadrias (alv 14 cm: fachada)</t>
  </si>
  <si>
    <t xml:space="preserve">Face interna das paredes de 14 cm </t>
  </si>
  <si>
    <t>Duas faces das paredes de 9 cm</t>
  </si>
  <si>
    <t>Duas faces das paredes de 19 cm</t>
  </si>
  <si>
    <t>Paredes de fachada que recebem chapisco</t>
  </si>
  <si>
    <t>Paredes internas que recebem chapisco</t>
  </si>
  <si>
    <t>Paredes internas que recebem argamassa baritada</t>
  </si>
  <si>
    <t>Sala de raios-x</t>
  </si>
  <si>
    <t>04.01.555.01</t>
  </si>
  <si>
    <t>04.01.555.02</t>
  </si>
  <si>
    <t>04.01.561.01</t>
  </si>
  <si>
    <t>04.01.561.02</t>
  </si>
  <si>
    <t>04.01.561.03</t>
  </si>
  <si>
    <t>04.01.561.04</t>
  </si>
  <si>
    <t>04.01.576.01</t>
  </si>
  <si>
    <t>04.01.576.02</t>
  </si>
  <si>
    <t>04.01.601.01</t>
  </si>
  <si>
    <t>04.01.601.02</t>
  </si>
  <si>
    <t>04.01.601.03</t>
  </si>
  <si>
    <t>04.01.604.01</t>
  </si>
  <si>
    <t>04.01.604.02</t>
  </si>
  <si>
    <t>04.01.801.01</t>
  </si>
  <si>
    <t>04.01.808.01</t>
  </si>
  <si>
    <t>04.01.808.02</t>
  </si>
  <si>
    <t>04.01.808.03</t>
  </si>
  <si>
    <t>Paredes internas que recebem massa única</t>
  </si>
  <si>
    <t>Aplicação manual de massa acrílica em panos de fachada com presença de vãos, de edifícios de múltiplos pavimentos, duas demãos</t>
  </si>
  <si>
    <t>Paredes de fachada (14 cm)</t>
  </si>
  <si>
    <t>Divisórias internas de drywall (duas faces)</t>
  </si>
  <si>
    <t>Pisos de granitina</t>
  </si>
  <si>
    <t>Sobre manta asfáltica comum</t>
  </si>
  <si>
    <t>EDIFÍCIO PRINCIPAL</t>
  </si>
  <si>
    <t>Cordoalha de cobre nu 35mm2, não enterrada, com isolador, fornecimento e instalação</t>
  </si>
  <si>
    <t>Cordoalha de cobre nu 50mm2, não enterrada, com isolador, fornecimento e instalação</t>
  </si>
  <si>
    <t>07.02.300</t>
  </si>
  <si>
    <t>07.02.301.01</t>
  </si>
  <si>
    <t>07.02.301.02</t>
  </si>
  <si>
    <t>07.02.301.03</t>
  </si>
  <si>
    <t>Manta de lã de vidro, Mod./Marca p/ referência: ISOFLEX RT 1.0 (12x38) - ISOVER OU EQUIVALENTE</t>
  </si>
  <si>
    <t>07.02.304.01</t>
  </si>
  <si>
    <t>07.02.700</t>
  </si>
  <si>
    <t>Parafuso tipo francês c/ porca sextavada 5/16" x 3/4" (galvanizado)</t>
  </si>
  <si>
    <t>Vergalhão roscado galvanizado 1/4” x 3m</t>
  </si>
  <si>
    <t>Arruela lisa galvanizada, diam. 1/4”</t>
  </si>
  <si>
    <t>Porca sextavada galvanizada, diam. 1/4”</t>
  </si>
  <si>
    <t>Chumbador CB 1/4” x 2”</t>
  </si>
  <si>
    <t>07.02.800</t>
  </si>
  <si>
    <t>Rede de dutos</t>
  </si>
  <si>
    <t>Tubulação frigorígena</t>
  </si>
  <si>
    <t>07.02.701.01</t>
  </si>
  <si>
    <t>Curva de cobre 90° 1.1/2"</t>
  </si>
  <si>
    <t>Curva de cobre 90° 1.1/4"</t>
  </si>
  <si>
    <t>Curva de cobre 90° 1.1/8"</t>
  </si>
  <si>
    <t>Curva de cobre 90° 1"</t>
  </si>
  <si>
    <t>Curva de cobre 90° 7/8"</t>
  </si>
  <si>
    <t>Curva de cobre 90° 3/4"</t>
  </si>
  <si>
    <t>07.02.305.01</t>
  </si>
  <si>
    <t>07.02.305.02</t>
  </si>
  <si>
    <t>07.02.305.03</t>
  </si>
  <si>
    <t>07.02.305.07</t>
  </si>
  <si>
    <t>07.02.305.08</t>
  </si>
  <si>
    <t>07.02.305.09</t>
  </si>
  <si>
    <t>07.02.305.10</t>
  </si>
  <si>
    <t>07.02.305.11</t>
  </si>
  <si>
    <t>07.02.801.01</t>
  </si>
  <si>
    <t>07.02.801.02</t>
  </si>
  <si>
    <t>07.02.801.03</t>
  </si>
  <si>
    <t>07.02.801.04</t>
  </si>
  <si>
    <t>07.02.801.05</t>
  </si>
  <si>
    <t>07.02.801.06</t>
  </si>
  <si>
    <t>07.02.802.01</t>
  </si>
  <si>
    <t>07.02.802.02</t>
  </si>
  <si>
    <t>07.02.802.03</t>
  </si>
  <si>
    <t>07.02.802.04</t>
  </si>
  <si>
    <t>07.02.803.01</t>
  </si>
  <si>
    <t>07.02.803.02</t>
  </si>
  <si>
    <t>07.02.803.03</t>
  </si>
  <si>
    <t>07.02.803.04</t>
  </si>
  <si>
    <t>07.02.803.05</t>
  </si>
  <si>
    <t>07.02.803.06</t>
  </si>
  <si>
    <t>07.02.500</t>
  </si>
  <si>
    <t>Equipamentos auxiliares</t>
  </si>
  <si>
    <t>Valvula de serviço, Ref.: GBC (Danfoss) 7/8”</t>
  </si>
  <si>
    <t>Valvula de serviço, Ref.: GBC (Danfoss) 5/8”</t>
  </si>
  <si>
    <t>Valvula de serviço, Ref.: GBC (Danfoss) 1/2”</t>
  </si>
  <si>
    <t>Valvula de serviço, Ref.: GBC (Danfoss) 3/8”</t>
  </si>
  <si>
    <t>Valvula de serviço, Ref.: GBC (Danfoss) 1/4”</t>
  </si>
  <si>
    <t>07.02.501.01</t>
  </si>
  <si>
    <t>07.02.501.02</t>
  </si>
  <si>
    <t>07.02.501.03</t>
  </si>
  <si>
    <t>07.02.501.04</t>
  </si>
  <si>
    <t>07.02.501.05</t>
  </si>
  <si>
    <t>Gabinete de ventilação para ar exterior (BOOSTER) com filtragem (G4/F7) vazão=9.198m3/h x 60 mmca</t>
  </si>
  <si>
    <t>Gabinete de ventilação para ar exterior (BOOSTER) com filtragem (G4/F7) vazão=5.970m3/h x 60 mmca</t>
  </si>
  <si>
    <t>07.02.502.01</t>
  </si>
  <si>
    <t>07.02.502.02</t>
  </si>
  <si>
    <t>Gabinete de exaustão vazão=5.100m3/h x 30 mmca</t>
  </si>
  <si>
    <t>07.02.502.03</t>
  </si>
  <si>
    <t>Veneziana com registro RHN  + RG 400x150mm</t>
  </si>
  <si>
    <t>Veneziana com registro RHN + RG  400x100mm</t>
  </si>
  <si>
    <t>Difusor quadrado 1 via com registro  DI - 11 + RG  15"x 15"</t>
  </si>
  <si>
    <t>Difusor quadrado 1 via com registro  DI - 11 + RG  12" x 12"</t>
  </si>
  <si>
    <t>Difusor quadrado 1 via com registro  DI - 11 + RG  9" x  9"</t>
  </si>
  <si>
    <t>Difusor quadrado 1 via com registro  DI - 11 + RG  6" x 6"</t>
  </si>
  <si>
    <t>07.02.701.02</t>
  </si>
  <si>
    <t>07.02.702.01</t>
  </si>
  <si>
    <t>07.02.702.02</t>
  </si>
  <si>
    <t>07.02.703.01</t>
  </si>
  <si>
    <t>07.02.703.02</t>
  </si>
  <si>
    <t>07.02.703.03</t>
  </si>
  <si>
    <t>07.02.703.04</t>
  </si>
  <si>
    <t>07.02.900</t>
  </si>
  <si>
    <t>Serviços complementares</t>
  </si>
  <si>
    <t>07.02.901</t>
  </si>
  <si>
    <t>61.20.450 MOD 1</t>
  </si>
  <si>
    <t>61.20.450 MOD 2</t>
  </si>
  <si>
    <t>61.20.450 MOD 3</t>
  </si>
  <si>
    <t>10398 INSUMO</t>
  </si>
  <si>
    <t>LÃ DE VIDRO REVESTIDA COM UMA FACE EM ALUMÍNIO, ESPESSURA 38MM, APLICADO</t>
  </si>
  <si>
    <t>S.04.000.069569</t>
  </si>
  <si>
    <t>PARAFUSO FRANCÊS 5/16" X 3/4" COM PORCA E ARRUELA GALVANIZADAS</t>
  </si>
  <si>
    <t>CJ</t>
  </si>
  <si>
    <t>CODIGO</t>
  </si>
  <si>
    <t>MATERIAL</t>
  </si>
  <si>
    <t xml:space="preserve">UN </t>
  </si>
  <si>
    <t xml:space="preserve">EMPRESA  </t>
  </si>
  <si>
    <t>PREÇO</t>
  </si>
  <si>
    <t>CNPJ</t>
  </si>
  <si>
    <t>E-MAIL</t>
  </si>
  <si>
    <t>DATA</t>
  </si>
  <si>
    <t xml:space="preserve">PREÇO MEDIANO </t>
  </si>
  <si>
    <t>Preço obtido do site</t>
  </si>
  <si>
    <t>SITE</t>
  </si>
  <si>
    <t>TIPO</t>
  </si>
  <si>
    <t>Canto para duto tipo TDC 25mm - POWERMATIC ou EQUIVALENTE</t>
  </si>
  <si>
    <t>MEDIANA</t>
  </si>
  <si>
    <t>Fita de vedação 20 x 4mm, rolo com 10m - POWERMATIC ou EQUIVALENTE</t>
  </si>
  <si>
    <t>Fita adesiva aluminizada, rolo de 30 metros</t>
  </si>
  <si>
    <t>FITA ADESIVA DE ALUMÍNIO 50MM X 30M</t>
  </si>
  <si>
    <t>Perfilado tipo “U” galvanizado 38x38mm, 6 metros de comprimento</t>
  </si>
  <si>
    <t>9669 MOD</t>
  </si>
  <si>
    <t>Tubo de silicone 280g</t>
  </si>
  <si>
    <t>CPOS INSUMO</t>
  </si>
  <si>
    <t>ORSE INSUMO</t>
  </si>
  <si>
    <t>ARRUELA LISA GALVANIZADA DE 1/4"</t>
  </si>
  <si>
    <t>Tubo de cobre flexível 5/8" x 1/32", com isolamento térmico em borracha elastomérica flexível e=19mm, instalado em ramal de alimentação de ar condicionado</t>
  </si>
  <si>
    <t>Tubo de cobre flexível 1/2" x 1/32", com isolamento térmico em borracha elastomérica flexível e=19mm, instalado em ramal de alimentação de ar condicionado</t>
  </si>
  <si>
    <t>Tubo de cobre flexível 3/8" x 1/32", com isolamento térmico em borracha elastomérica flexível e=19mm, instalado em ramal de alimentação de ar condicionado</t>
  </si>
  <si>
    <t>Tubo de cobre flexível 1/4" x 1/32", com isolamento térmico em borracha elastomérica flexível e=19mm, instalado em ramal de alimentação de ar condicionado</t>
  </si>
  <si>
    <t>Tubo de cobre rígido 1 1/2" x 1/16", com isolamento térmico em borracha elastomérica flexível e=19mm, para instalação de ar condicionado</t>
  </si>
  <si>
    <t>Tubo de cobre rígido 1 1/4" x 1/16", com isolamento térmico em borracha elastomérica flexível e=19mm, para instalação de ar condicionado</t>
  </si>
  <si>
    <t>Tubo de cobre rígido 1 1/8" x 1/16", com isolamento térmico em borracha elastomérica flexível e=19mm, para instalação de ar condicionado</t>
  </si>
  <si>
    <t>Tubo de cobre rígido 1" x 1/16", com isolamento térmico em borracha elastomérica flexível e=19mm, para instalação de ar condicionado</t>
  </si>
  <si>
    <t>Tubo de cobre rígido 7/8" x 1/16", com isolamento térmico em borracha elastomérica flexível e=19mm, para instalação de ar condicionado</t>
  </si>
  <si>
    <t>Tubo de cobre rígido 3/4" x 1/16", com isolamento térmico em borracha elastomérica flexível e=19mm, para instalação de ar condicionado</t>
  </si>
  <si>
    <t>04.01.701.01</t>
  </si>
  <si>
    <t>04.01.701.02</t>
  </si>
  <si>
    <t>Área de Granito (planta)</t>
  </si>
  <si>
    <t>Altura da saia</t>
  </si>
  <si>
    <t>Comp da saia</t>
  </si>
  <si>
    <t>Comp de rodabancada</t>
  </si>
  <si>
    <t>Quant Mão francesa</t>
  </si>
  <si>
    <t>Unidades</t>
  </si>
  <si>
    <t>unid</t>
  </si>
  <si>
    <t>PLANILHA ORÇAMENTÁRIA - CANTEIRO E ADMINISTRAÇÃO LOCAL</t>
  </si>
  <si>
    <t>02.04.402.01</t>
  </si>
  <si>
    <t>02.04.402.02</t>
  </si>
  <si>
    <t>Fundo do 1o lance</t>
  </si>
  <si>
    <t>Fundo do 2o lance</t>
  </si>
  <si>
    <t>Fundo do 3o lance</t>
  </si>
  <si>
    <t>Patamares</t>
  </si>
  <si>
    <t>Laterais 1o lance</t>
  </si>
  <si>
    <t>Laterais 2o lance</t>
  </si>
  <si>
    <t>Laterais 3o lance</t>
  </si>
  <si>
    <t>-</t>
  </si>
  <si>
    <t>Fundos dos patamares</t>
  </si>
  <si>
    <t>Laterais dos patamares</t>
  </si>
  <si>
    <t>Total para 1 escada</t>
  </si>
  <si>
    <t>Total pra 2 escadas</t>
  </si>
  <si>
    <t>Primeiro lance</t>
  </si>
  <si>
    <t>Segundo lance</t>
  </si>
  <si>
    <t>Terceiro lance</t>
  </si>
  <si>
    <t>Área lateral</t>
  </si>
  <si>
    <t>Sanitários femininos (térreo e superior)</t>
  </si>
  <si>
    <t>Sanitários masculinos (térreo e superior)</t>
  </si>
  <si>
    <t>Sanitários PNE masculinos (térreo e superior)</t>
  </si>
  <si>
    <t>Sanitários PNE femininos (térreo e superior)</t>
  </si>
  <si>
    <t>Copa</t>
  </si>
  <si>
    <t>DML</t>
  </si>
  <si>
    <t>Perímetro</t>
  </si>
  <si>
    <t>Desconto das portas PM2</t>
  </si>
  <si>
    <t>Desconto das portas PM1</t>
  </si>
  <si>
    <t>Desconto das janelas EA4</t>
  </si>
  <si>
    <t>Laje aparente do hall de entrada principal</t>
  </si>
  <si>
    <t>Laje aparente do hall de entrada secundário</t>
  </si>
  <si>
    <t>Serviço</t>
  </si>
  <si>
    <t>05.01.201.01</t>
  </si>
  <si>
    <t>05.01.201.02</t>
  </si>
  <si>
    <t>05.01.201.03</t>
  </si>
  <si>
    <t>05.01.201.04</t>
  </si>
  <si>
    <t>05.01.201.05</t>
  </si>
  <si>
    <t>05.01.201.06</t>
  </si>
  <si>
    <t>05.01.202.01</t>
  </si>
  <si>
    <t>05.01.202.02</t>
  </si>
  <si>
    <t>05.01.202.03</t>
  </si>
  <si>
    <t>05.01.202.04</t>
  </si>
  <si>
    <t>05.01.202.05</t>
  </si>
  <si>
    <t>05.01.202.06</t>
  </si>
  <si>
    <t>05.01.203.01</t>
  </si>
  <si>
    <t>05.01.203.02</t>
  </si>
  <si>
    <t>05.01.203.03</t>
  </si>
  <si>
    <t>05.01.203.04</t>
  </si>
  <si>
    <t>05.01.203.05</t>
  </si>
  <si>
    <t>05.01.203.06</t>
  </si>
  <si>
    <t>05.01.203.07</t>
  </si>
  <si>
    <t>05.01.203.08</t>
  </si>
  <si>
    <t>05.01.206.01</t>
  </si>
  <si>
    <t>05.01.206.02</t>
  </si>
  <si>
    <t>05.01.206.03</t>
  </si>
  <si>
    <t>05.01.206.04</t>
  </si>
  <si>
    <t>05.01.206.05</t>
  </si>
  <si>
    <t>05.01.206.06</t>
  </si>
  <si>
    <t>05.01.206.07</t>
  </si>
  <si>
    <t>05.01.206.08</t>
  </si>
  <si>
    <t>05.01.207.01</t>
  </si>
  <si>
    <t>05.01.207.02</t>
  </si>
  <si>
    <t>05.01.207.03</t>
  </si>
  <si>
    <t>05.01.207.04</t>
  </si>
  <si>
    <t>05.01.207.05</t>
  </si>
  <si>
    <t>05.01.208.01</t>
  </si>
  <si>
    <t>05.01.208.02</t>
  </si>
  <si>
    <t>05.01.208.03</t>
  </si>
  <si>
    <t>05.01.208.04</t>
  </si>
  <si>
    <t>05.01.208.07</t>
  </si>
  <si>
    <t>05.01.209.01</t>
  </si>
  <si>
    <t>05.01.209.02</t>
  </si>
  <si>
    <t>05.01.209.03</t>
  </si>
  <si>
    <t>05.01.209.04</t>
  </si>
  <si>
    <t>05.01.209.05</t>
  </si>
  <si>
    <t>05.01.209.06</t>
  </si>
  <si>
    <t>05.01.209.07</t>
  </si>
  <si>
    <t>05.01.209.08</t>
  </si>
  <si>
    <t>05.01.209.09</t>
  </si>
  <si>
    <t>05.01.209.10</t>
  </si>
  <si>
    <t>05.01.209.11</t>
  </si>
  <si>
    <t>Vaso sanitário de louça branca, exclusive conjunto de ligação, fornecimento e instalação</t>
  </si>
  <si>
    <t>Vaso sanitário de louça branca, para PCD, sem furo frontal, exclusive conjunto de ligação, fornecimento e instalação</t>
  </si>
  <si>
    <t>05.01.501.01</t>
  </si>
  <si>
    <t>05.01.501.02</t>
  </si>
  <si>
    <t>05.01.503.01</t>
  </si>
  <si>
    <t>05.01.503.02</t>
  </si>
  <si>
    <t>Tubo de ligação em latão cromado com canopla para vaso sanitário 38mm</t>
  </si>
  <si>
    <t>05.01.503.03</t>
  </si>
  <si>
    <t>05.01.517</t>
  </si>
  <si>
    <t>TUBO DE LIGAÇÃO EM PVC, COM ANEL EXPANSOR PARA VASO SANITÁRIO, ACABAMENTO CROMADO, DECA 1968C OU SIMILAR</t>
  </si>
  <si>
    <t>05.01.510.01</t>
  </si>
  <si>
    <t>05.01.510.02</t>
  </si>
  <si>
    <t>05.01.510.03</t>
  </si>
  <si>
    <t>05.01.510.04</t>
  </si>
  <si>
    <t>05.01.512.01</t>
  </si>
  <si>
    <t>05.01.512.02</t>
  </si>
  <si>
    <t>05.01.512.03</t>
  </si>
  <si>
    <t>05.01.512.04</t>
  </si>
  <si>
    <t>05.01.512.05</t>
  </si>
  <si>
    <t>Torneira de jardim ou torneira de uso geral, cromada, 1/2" ou 3/4"</t>
  </si>
  <si>
    <t>05.01.516.01</t>
  </si>
  <si>
    <t>05.01.516.02</t>
  </si>
  <si>
    <t>05.01.516.05</t>
  </si>
  <si>
    <t>Válvula de esfera bruta, bronze, roscável, 1", fornecimento e instalação</t>
  </si>
  <si>
    <t>Engate flexível plástico 1/2 - 30 cm, fornecimento e instalação</t>
  </si>
  <si>
    <t>05.01.506</t>
  </si>
  <si>
    <t>Bebedouro elétrico de pressão 40L, inox</t>
  </si>
  <si>
    <t>BEBEDOURO ELÉTRICO DE PRESSÃO 40 L INOX</t>
  </si>
  <si>
    <t>06.01.302.01</t>
  </si>
  <si>
    <t>06.01.302.02</t>
  </si>
  <si>
    <t>06.01.302.03</t>
  </si>
  <si>
    <t>06.01.304.01</t>
  </si>
  <si>
    <t>06.01.304.02</t>
  </si>
  <si>
    <t>06.01.304.03</t>
  </si>
  <si>
    <t>06.01.304.04</t>
  </si>
  <si>
    <t>06.01.305.01</t>
  </si>
  <si>
    <t>06.01.305.02</t>
  </si>
  <si>
    <t>06.01.305.03</t>
  </si>
  <si>
    <t>06.01.305.04</t>
  </si>
  <si>
    <t>06.01.305.05</t>
  </si>
  <si>
    <t>06.01.305.06</t>
  </si>
  <si>
    <t>06.01.305.07</t>
  </si>
  <si>
    <t>06.01.305.08</t>
  </si>
  <si>
    <t>06.01.305.09</t>
  </si>
  <si>
    <t>06.01.305.10</t>
  </si>
  <si>
    <t>06.01.305.11</t>
  </si>
  <si>
    <t>06.01.305.12</t>
  </si>
  <si>
    <t>06.01.305.13</t>
  </si>
  <si>
    <t>06.01.306.01</t>
  </si>
  <si>
    <t>06.01.306.02</t>
  </si>
  <si>
    <t>06.01.306.03</t>
  </si>
  <si>
    <t>06.01.306.04</t>
  </si>
  <si>
    <t>06.01.306.05</t>
  </si>
  <si>
    <t>06.01.306.06</t>
  </si>
  <si>
    <t>06.01.306.07</t>
  </si>
  <si>
    <t>06.01.306.08</t>
  </si>
  <si>
    <t>06.01.308.01</t>
  </si>
  <si>
    <t>06.01.308.02</t>
  </si>
  <si>
    <t>06.01.308.03</t>
  </si>
  <si>
    <t>06.01.308.04</t>
  </si>
  <si>
    <t>06.01.308.05</t>
  </si>
  <si>
    <t>06.01.308.06</t>
  </si>
  <si>
    <t>06.01.308.07</t>
  </si>
  <si>
    <t>06.01.308.08</t>
  </si>
  <si>
    <t>06.01.308.09</t>
  </si>
  <si>
    <t>06.01.308.10</t>
  </si>
  <si>
    <t>06.01.308.11</t>
  </si>
  <si>
    <t>06.01.308.12</t>
  </si>
  <si>
    <t>06.01.308.13</t>
  </si>
  <si>
    <t>06.01.308.14</t>
  </si>
  <si>
    <t>06.01.308.15</t>
  </si>
  <si>
    <t>06.01.309.02</t>
  </si>
  <si>
    <t>06.01.309.03</t>
  </si>
  <si>
    <t>06.01.309.04</t>
  </si>
  <si>
    <t>06.01.312.01</t>
  </si>
  <si>
    <t>06.01.312.02</t>
  </si>
  <si>
    <t>06.01.313.01</t>
  </si>
  <si>
    <t>06.01.313.02</t>
  </si>
  <si>
    <t>06.01.313.03</t>
  </si>
  <si>
    <t>06.01.313.04</t>
  </si>
  <si>
    <t>06.01.313.05</t>
  </si>
  <si>
    <t>Disjuntor tripolar tipo DIN, corrente nominal 70A - 18kA, fornecimento e instalação</t>
  </si>
  <si>
    <t>Disjuntor tripolar tipo DIN, corrente nominal 70A - 6kA, fornecimento e instalação</t>
  </si>
  <si>
    <t>Disjuntor tripolar tipo DIN, corrente nominal 20A - 6kA, fornecimento e instalação</t>
  </si>
  <si>
    <t>Disjuntor tripolar tipo DIN, corrente nominal 32A - 6kA, fornecimento e instalação</t>
  </si>
  <si>
    <t>Disjuntor tripolar tipo DIN, corrente nominal 40A - 6kA, fornecimento e instalação</t>
  </si>
  <si>
    <t>Disjuntor tripolar tipo DIN, corrente nominal 63A - 6kA, fornecimento e instalação</t>
  </si>
  <si>
    <t>Disjuntor tripolar tipo DIN, corrente nominal 20A - 18kA, fornecimento e instalação</t>
  </si>
  <si>
    <t>Disjuntor tripolar tipo DIN, corrente nominal 32A - 18kA, fornecimento e instalação</t>
  </si>
  <si>
    <t>Disjuntor tripolar tipo DIN, corrente nominal 40A - 18kA, fornecimento e instalação</t>
  </si>
  <si>
    <t>Disjuntor tripolar tipo DIN, corrente nominal 63A - 18kA, fornecimento e instalação</t>
  </si>
  <si>
    <t>Disjuntor tripolar tipo DIN, corrente nominal 63A - 6kA ou 18kA, fornecimento e instalação</t>
  </si>
  <si>
    <t>Disjuntor tripolar tipo DIN, corrente nominal 70A - 6kA ou 18kA, fornecimento e instalação</t>
  </si>
  <si>
    <t>DISJUNTOR TRIPOLAR 70A, PADRÃO DIN (LINHA BRANCA), CURVA DE DISPARO C</t>
  </si>
  <si>
    <t>Disjuntor tripolar tipo DIN, corrente nominal 100A - 6kA, fornecimento e instalação</t>
  </si>
  <si>
    <t>Disjuntor tripolar tipo DIN, corrente nominal 100A - 18kA, fornecimento e instalação</t>
  </si>
  <si>
    <t>Disjuntor tripolar tipo DIN, corrente nominal 100A - 6kA ou 18kA, fornecimento e instalação</t>
  </si>
  <si>
    <t>DISJUNTOR TRIPOLAR 100A, PADRÃO DIN (LINHA BRANCA), CURVA DE DISPARO C</t>
  </si>
  <si>
    <t>Disjuntor tripolar tipo DIN, corrente nominal 150A - 18kA, fornecimento e instalação</t>
  </si>
  <si>
    <t>DISJUNTOR TRIPOLAR 125A, PADRÃO DIN (LINHA BRANCA), CORRENTE DE INTERRUPÇÃO 22kA</t>
  </si>
  <si>
    <t>Disjuntor tripolar tipo DIN, corrente nominal 300A - 18kA ou 45kA, em caixa moldada, fornecimento e instalação</t>
  </si>
  <si>
    <t>06.01.308.16</t>
  </si>
  <si>
    <t>06.01.308.17</t>
  </si>
  <si>
    <t>06.01.308.18</t>
  </si>
  <si>
    <t>06.01.308.19</t>
  </si>
  <si>
    <t>06.01.308.20</t>
  </si>
  <si>
    <t>06.01.308.21</t>
  </si>
  <si>
    <t>06.01.308.22</t>
  </si>
  <si>
    <t>06.01.308.23</t>
  </si>
  <si>
    <t>06.01.308.24</t>
  </si>
  <si>
    <t>06.01.308.25</t>
  </si>
  <si>
    <t>8194 MOD 1</t>
  </si>
  <si>
    <t>8194 MOD 2</t>
  </si>
  <si>
    <t>8194 MOD 3</t>
  </si>
  <si>
    <t>8194 MOD 4</t>
  </si>
  <si>
    <t>8194 MOD 5</t>
  </si>
  <si>
    <t>06.01.401.01</t>
  </si>
  <si>
    <t>06.01.401.02</t>
  </si>
  <si>
    <t>06.01.401.03</t>
  </si>
  <si>
    <t>06.01.401.04</t>
  </si>
  <si>
    <t>06.01.401.05</t>
  </si>
  <si>
    <t>06.01.401.06</t>
  </si>
  <si>
    <t>06.01.401.07</t>
  </si>
  <si>
    <t>06.01.401.08</t>
  </si>
  <si>
    <t>06.01.401.09</t>
  </si>
  <si>
    <t>06.01.401.10</t>
  </si>
  <si>
    <t>06.01.401.11</t>
  </si>
  <si>
    <t>06.01.401.12</t>
  </si>
  <si>
    <t>06.01.401.13</t>
  </si>
  <si>
    <t>06.01.401.14</t>
  </si>
  <si>
    <t>06.01.403.01</t>
  </si>
  <si>
    <t>06.01.403.03</t>
  </si>
  <si>
    <t>06.01.404.01</t>
  </si>
  <si>
    <t>06.01.404.02</t>
  </si>
  <si>
    <t>Módulo de tomada hexagonal 2P+T, 20A, para instalação em condulete aparente de alumínio</t>
  </si>
  <si>
    <t>INSUMO 38102</t>
  </si>
  <si>
    <t>06.01.304.05</t>
  </si>
  <si>
    <t>40.04.140</t>
  </si>
  <si>
    <t>Tomada steck (3F+N+T), blindada industrial de sobrepor</t>
  </si>
  <si>
    <t>TOMADA INDUSTRIAL 3P+T, DE 32A, PARA 220/240, COM CARCAÇA, PRENSA CABOS, ALIVIADOR DE TENSÃO E TAMPA TRAVA, REF S-4209 OU EQUIVALENTE</t>
  </si>
  <si>
    <t>Curva 90º para eletroduto de PVC rígido 4"</t>
  </si>
  <si>
    <t>Curva 90º para eletroduto de PVC rígido 1"</t>
  </si>
  <si>
    <t>Curva 90º para eletroduto de PVC rígido 3/4"</t>
  </si>
  <si>
    <t>Luva para eletroduto de PVC rígido 4"</t>
  </si>
  <si>
    <t>Luva para eletroduto de PVC rígido 1"</t>
  </si>
  <si>
    <t>Luva para eletroduto de PVC rígido 3/4"</t>
  </si>
  <si>
    <t>06.01.304.06</t>
  </si>
  <si>
    <t>06.01.304.07</t>
  </si>
  <si>
    <t>06.01.304.08</t>
  </si>
  <si>
    <t>06.01.304.09</t>
  </si>
  <si>
    <t>06.01.304.10</t>
  </si>
  <si>
    <t>06.01.304.11</t>
  </si>
  <si>
    <t>06.01.304.12</t>
  </si>
  <si>
    <t>06.01.304.13</t>
  </si>
  <si>
    <t>Curva 90º para eletroduto de PVC rígido 1 1/2"</t>
  </si>
  <si>
    <t>Luva para eletroduto de PVC rígido 1 1/2"</t>
  </si>
  <si>
    <t>Curva de inversão, galvanizada, 300x100mm, chapa #18</t>
  </si>
  <si>
    <t>Curva de inversão, galvanizada, 200x100mm, chapa #18</t>
  </si>
  <si>
    <t>Curva de inversão, galvanizada, 100x100mm, chapa #18</t>
  </si>
  <si>
    <t>Curva horizontal 90º, galvanizada, 300x100mm, chapa #18</t>
  </si>
  <si>
    <t>Curva horizontal 90º, galvanizada, 200x100mm, chapa #18</t>
  </si>
  <si>
    <t>Curva horizontal 90º, galvanizada, 100x100mm, chapa #18</t>
  </si>
  <si>
    <t>Tê horizontal 90º, galvanizado, 200x100mm, chapa #18</t>
  </si>
  <si>
    <t>Tê horizontal 90º, galvanizado, 100x100mm, chapa #18</t>
  </si>
  <si>
    <t>Tampa galvanizada para eletrocalha 300x3000mm</t>
  </si>
  <si>
    <t>Tampa galvanizada para eletrocalha 100x3000mm</t>
  </si>
  <si>
    <t>06.01.309.06</t>
  </si>
  <si>
    <t>06.01.309.07</t>
  </si>
  <si>
    <t>06.01.309.08</t>
  </si>
  <si>
    <t>06.01.309.10</t>
  </si>
  <si>
    <t>06.01.309.11</t>
  </si>
  <si>
    <t>06.01.309.12</t>
  </si>
  <si>
    <t>06.01.309.13</t>
  </si>
  <si>
    <t>06.01.309.14</t>
  </si>
  <si>
    <t>06.01.309.15</t>
  </si>
  <si>
    <t>06.01.309.25</t>
  </si>
  <si>
    <t>CURVA DE INVERSÃO 300X100MM PARA ELETROCALHA METÁLICA</t>
  </si>
  <si>
    <t>CURVA DE INVERSÃO 200X100MM PARA ELETROCALHA METÁLICA</t>
  </si>
  <si>
    <t>Eletrocalha metálica perfurada, chapa #18, 300 x 100 mm</t>
  </si>
  <si>
    <t>Eletrocalha metálica perfurada, chapa #18, 200 x 100 mm</t>
  </si>
  <si>
    <t>Eletrocalha metálica perfurada, chapa #18, 100 x 100 mm</t>
  </si>
  <si>
    <t>CURVA HORIZONTAL 300X100MM PARA ELETROCALHA METÁLICA COM ÂNGULO DE 90</t>
  </si>
  <si>
    <t>CURVA HORIZONTAL 100X100MM PARA ELETROCALHA METÁLICA COM ÂNGULO DE 90</t>
  </si>
  <si>
    <t>TÊ HORIZONTAL 100X100 PARA ELETROCALHA METÁLICA</t>
  </si>
  <si>
    <t>TÊ HORIZONTAL 200X100 PARA ELETROCALHA METÁLICA</t>
  </si>
  <si>
    <t>9527 MOD 3</t>
  </si>
  <si>
    <t>TAMPA DE ENCAIXE PARA ELETROCALHA METÁLICA 300MM</t>
  </si>
  <si>
    <t>TAMPA DE ENCAIXE PARA ELETROCALHA METÁLICA 100MM</t>
  </si>
  <si>
    <t>06.01.410</t>
  </si>
  <si>
    <t>Vergalhão com rosca total 3/8" para fixação de eletrocalhas</t>
  </si>
  <si>
    <t>Saída horizontal de eletrocalha para eletroduto 3/4"</t>
  </si>
  <si>
    <t>VERGALHÃO (TIRANTE) COM ROSCA TOTAL 3/8"X1000MM</t>
  </si>
  <si>
    <t>SAÍDA HORIZONTAL PARA ELETRODUTO 3/4"</t>
  </si>
  <si>
    <t>06.09.002.01</t>
  </si>
  <si>
    <t>06.09.002.02</t>
  </si>
  <si>
    <t>06.09.002.03</t>
  </si>
  <si>
    <t>06.09.002.04</t>
  </si>
  <si>
    <t>06.09.006.01</t>
  </si>
  <si>
    <t>06.09.006.02</t>
  </si>
  <si>
    <t>06.09.008.01</t>
  </si>
  <si>
    <t>06.09.008.02</t>
  </si>
  <si>
    <t>Condulete de alumínio para instalações aparentes, 3/4", inclusive tampa (cega, ou com abertura para RJ45)</t>
  </si>
  <si>
    <t>Interruptor simples (apenas módulo), 10A/250V, para ser montado em condulete aparente de alumínio</t>
  </si>
  <si>
    <t>INSUMO 38112</t>
  </si>
  <si>
    <t>Interruptor paralelo (apenas módulo), 10A/250V, para ser montado em condulete aparente de alumínio</t>
  </si>
  <si>
    <t>INSUMO 38113</t>
  </si>
  <si>
    <t>06.09.009.01</t>
  </si>
  <si>
    <t>06.09.009.02</t>
  </si>
  <si>
    <t>06.09.009.03</t>
  </si>
  <si>
    <t>Eletroduto rígido roscável, PVC, DN 60mm (2"), embutida no piso (exclusive escavação)</t>
  </si>
  <si>
    <t>Curva 90º para eletroduto de PVC rígido 2"</t>
  </si>
  <si>
    <t>06.09.009.04</t>
  </si>
  <si>
    <t>06.09.009.05</t>
  </si>
  <si>
    <t>06.09.009.06</t>
  </si>
  <si>
    <t>06.09.009.07</t>
  </si>
  <si>
    <t>06.09.009.08</t>
  </si>
  <si>
    <t>06.09.009.09</t>
  </si>
  <si>
    <t>Tomada fêmea RJ45, cat 6</t>
  </si>
  <si>
    <t>INSUMO 38104</t>
  </si>
  <si>
    <t>Fornecimento e instalação de eletrocalha perfurada 100 x 100, chapa #18</t>
  </si>
  <si>
    <t>06.09.012.01</t>
  </si>
  <si>
    <t>06.09.012.02</t>
  </si>
  <si>
    <t>Caixa retangular 4"x2", PVC, fornecimento e instalação</t>
  </si>
  <si>
    <t>06.09.008.03</t>
  </si>
  <si>
    <t>06.09.008.04</t>
  </si>
  <si>
    <t>06.10.000</t>
  </si>
  <si>
    <t>SUBTOTAL (06.10.000)</t>
  </si>
  <si>
    <t>06.10.100</t>
  </si>
  <si>
    <t>Escavação de valas</t>
  </si>
  <si>
    <t>06.10.300</t>
  </si>
  <si>
    <t>Caixas de passagem</t>
  </si>
  <si>
    <t>06.10.301.01</t>
  </si>
  <si>
    <t>06.10.301.02</t>
  </si>
  <si>
    <t>06.09.011.01</t>
  </si>
  <si>
    <t>06.09.011.02</t>
  </si>
  <si>
    <t>06.09.011.03</t>
  </si>
  <si>
    <t>06.09.011.06</t>
  </si>
  <si>
    <t>Rodapé metálico, com tampa de encaixe, triplo, 3x30x40, fab. Alcan</t>
  </si>
  <si>
    <t>38.16.030</t>
  </si>
  <si>
    <t>RODAPÉ TÉCNICO TRIPLO COM TAMPA E PINTURA ELETROSTÁTICA DE 3X30X40</t>
  </si>
  <si>
    <t>P.04.000.062801</t>
  </si>
  <si>
    <t>06.09.011.07</t>
  </si>
  <si>
    <t>06.09.011.08</t>
  </si>
  <si>
    <t>Caixa para rodapé metálico, para 2 tomadas de energia e 2 tomadas RJ45</t>
  </si>
  <si>
    <t>38.16.090</t>
  </si>
  <si>
    <t>P.04.000.062806</t>
  </si>
  <si>
    <t>CAIXA PARA TOMADAS DE ENERGIA, RJ, SOBRESSALENTE, INTERRUPTOR OU ESPELHO DE 3X30X40</t>
  </si>
  <si>
    <t>06.09.014</t>
  </si>
  <si>
    <t>Fusão da fibra óptica</t>
  </si>
  <si>
    <t>06.01.501.01</t>
  </si>
  <si>
    <t>06.01.501.02</t>
  </si>
  <si>
    <t>06.01.501.03</t>
  </si>
  <si>
    <t>06.01.504.01</t>
  </si>
  <si>
    <t>06.01.504.02</t>
  </si>
  <si>
    <t>06.01.504.03</t>
  </si>
  <si>
    <t>06.01.504.04</t>
  </si>
  <si>
    <t>06.10.101.01</t>
  </si>
  <si>
    <t>06.10.101.02</t>
  </si>
  <si>
    <t>06.07.301.01</t>
  </si>
  <si>
    <t>06.07.301.02</t>
  </si>
  <si>
    <t>06.07.301.03</t>
  </si>
  <si>
    <t>Área de revestimento cerâmico em paredes de banheiros</t>
  </si>
  <si>
    <t>Impermeabilização com cristalizante (A+B) tipo Viaplus 5000, com quatro demãos cruzadas, aplicação de tela de poliéster (malha 1x1) na segunda demão (casas de máquinas)</t>
  </si>
  <si>
    <t>Casa de máquinas 01</t>
  </si>
  <si>
    <t>Casa de máquinas 02</t>
  </si>
  <si>
    <t>Casa de máquinas 03</t>
  </si>
  <si>
    <t>Casa de máquinas 04</t>
  </si>
  <si>
    <t>Fachada noroeste</t>
  </si>
  <si>
    <t>Fachada sudeste</t>
  </si>
  <si>
    <t>Cantoneira de alumínio 1"x1" para proteção de quinas de paredes dos banheiros</t>
  </si>
  <si>
    <t>Paredes com quina</t>
  </si>
  <si>
    <t>Divisória de sanitário em granito</t>
  </si>
  <si>
    <t>Faces</t>
  </si>
  <si>
    <t>Soleiras de granito</t>
  </si>
  <si>
    <t>Rodabancada</t>
  </si>
  <si>
    <t>Prateleiras de granito</t>
  </si>
  <si>
    <t>Compr.</t>
  </si>
  <si>
    <t>Pintura impermeabilizante para pedras (para pisos, divisórias, bancadas e soleiras de granito)</t>
  </si>
  <si>
    <t>Pisos de granito</t>
  </si>
  <si>
    <t>03.01.400</t>
  </si>
  <si>
    <t>Fundações profundas</t>
  </si>
  <si>
    <t>03.01.425.01</t>
  </si>
  <si>
    <t>Montagem de armadura longitudinal de estacas de seção circular, diâmetro = 10mm</t>
  </si>
  <si>
    <t>03.01.425.02</t>
  </si>
  <si>
    <t>03.01.425.03</t>
  </si>
  <si>
    <t>Arrasamento mecânico de estaca de concreto armado, diâmetro até 40cm</t>
  </si>
  <si>
    <t>03.01.430</t>
  </si>
  <si>
    <t>03.01.500</t>
  </si>
  <si>
    <t>Blocos de fundação</t>
  </si>
  <si>
    <t>03.01.501</t>
  </si>
  <si>
    <t>03.01.502</t>
  </si>
  <si>
    <t>03.01.504</t>
  </si>
  <si>
    <t>Lastro de concreto magro, aplicado em blocos de coroamento ou sapatas, espessura 5 cm</t>
  </si>
  <si>
    <t>Escavação mecanizada para bloco de coroamento ou sapata, com previsão de forma, com retroescavadeira</t>
  </si>
  <si>
    <t>Fabricação, montagem e desmontagem de forma para bloco de coroamento, em chapa de madeira compensada resinada, e=17mm, 4 utilizações</t>
  </si>
  <si>
    <t>03.01.503.01</t>
  </si>
  <si>
    <t>03.01.503.02</t>
  </si>
  <si>
    <t>03.01.503.03</t>
  </si>
  <si>
    <t>Armação de bloco, viga baldrame ou sapata, utilizando aço CA-50 de 8mm</t>
  </si>
  <si>
    <t>Armação de bloco, viga baldrame ou sapata, utilizando aço CA-50 de 10mm</t>
  </si>
  <si>
    <t>Armação de bloco, viga baldrame ou sapata, utilizando aço CA-50 de 16mm</t>
  </si>
  <si>
    <t>Concretagem de blocos de coroamento e vigas baldrames, fck = 20 MPa, com uso de bomba, lançamento, adensamento e acabamento</t>
  </si>
  <si>
    <t>96557 MOD</t>
  </si>
  <si>
    <t>03.01.550</t>
  </si>
  <si>
    <t>Vigas Baldrame</t>
  </si>
  <si>
    <t>Fabricação, montagem e desmontagem de forma para viga baldrame, em chapa de madeira compensada resinada, e=17mm, 4 utilizações</t>
  </si>
  <si>
    <t>03.01.551</t>
  </si>
  <si>
    <t>Armação de bloco, viga baldrame ou sapata, utilizando aço CA-50 de 6,3mm</t>
  </si>
  <si>
    <t>Armação de bloco, viga baldrame ou sapata, utilizando aço CA-50 de 12,5mm</t>
  </si>
  <si>
    <t>Armação de bloco, viga baldrame ou sapata, utilizando aço CA-50 de 20mm</t>
  </si>
  <si>
    <t>Armação de bloco, viga baldrame ou sapata, utilizando aço CA-60 de 5mm</t>
  </si>
  <si>
    <t>03.01.552.01</t>
  </si>
  <si>
    <t>03.01.552.02</t>
  </si>
  <si>
    <t>03.01.552.03</t>
  </si>
  <si>
    <t>03.01.552.04</t>
  </si>
  <si>
    <t>03.01.552.05</t>
  </si>
  <si>
    <t>03.01.552.06</t>
  </si>
  <si>
    <t>03.01.552.07</t>
  </si>
  <si>
    <t>Concretagem de blocos de coroamento e vigas baldrames, fck = 30 MPa, com uso de bomba, lançamento, adensamento e acabamento</t>
  </si>
  <si>
    <t>03.01.553</t>
  </si>
  <si>
    <t>Escavação mecanizada para viga baldrame, com previsão de forma, com mini-escavadeira</t>
  </si>
  <si>
    <t>03.01.102.01</t>
  </si>
  <si>
    <t>03.01.102.02</t>
  </si>
  <si>
    <t>SERVIÇOS TÉCNICO-PROFISSIONAIS</t>
  </si>
  <si>
    <t>01.03.000</t>
  </si>
  <si>
    <t>ESTUDOS E PROJETOS</t>
  </si>
  <si>
    <t>SUBTOTAL (01.03.000)</t>
  </si>
  <si>
    <t>01.00.000</t>
  </si>
  <si>
    <t>01.06.000</t>
  </si>
  <si>
    <t>PLANEJAMENTO E CONTROLE</t>
  </si>
  <si>
    <t>Ensaio de abatimento de tronco de cone (1 a cada caminhão de 8m3 de concreto usinado)</t>
  </si>
  <si>
    <t>01.06.001</t>
  </si>
  <si>
    <t>01.06.002</t>
  </si>
  <si>
    <t>de ensaio</t>
  </si>
  <si>
    <t>Estacas</t>
  </si>
  <si>
    <t>Blocos</t>
  </si>
  <si>
    <t>Escadas</t>
  </si>
  <si>
    <t>Baldrames</t>
  </si>
  <si>
    <t>Bancadas</t>
  </si>
  <si>
    <t>TOTAL (01.00.000)</t>
  </si>
  <si>
    <t>SUBTOTAL (01.06.000)</t>
  </si>
  <si>
    <t>08.01.200</t>
  </si>
  <si>
    <t>Tubulações de aço-carbono e conexões de ferro maleável</t>
  </si>
  <si>
    <t>Tubo de aço galvanizado com costura, classe média, conexão rosqueada, DN 65 (2 1/2"), instalado em rede de alimentação para hidrante, fornecimento e instalação</t>
  </si>
  <si>
    <t>Tubo de aço galvanizado com costura, classe média, conexão rosqueada, DN 25 (1"), instalado em rede de alimentação para hidrante, fornecimento e instalação</t>
  </si>
  <si>
    <t>Joelho 45 graus, em ferro galvanizado, DN 65 (2 1/2"), conexão rosqueada, instalado em rede de alimentação para hidrante, fornecimento e instalação</t>
  </si>
  <si>
    <t>Joelho 90 graus, em ferro galvanizado, DN 65 (2 1/2"), conexão rosqueada, instalado em rede de alimentação para hidrante, fornecimento e instalação</t>
  </si>
  <si>
    <t>Tê em ferro galvanizado, conexão rosqueadam DN 65 (2 1/2"), instalado em rede de alimentação para hidrante, fornecimento e instalação</t>
  </si>
  <si>
    <t>Tê em ferro galvanizado, conexão rosqueadam DN 25 (1"), instalado em rede de alimentação para hidrante, fornecimento e instalação</t>
  </si>
  <si>
    <t>08.01.201.01</t>
  </si>
  <si>
    <t>08.01.201.02</t>
  </si>
  <si>
    <t>08.01.203.01</t>
  </si>
  <si>
    <t>08.01.203.02</t>
  </si>
  <si>
    <t>08.01.204.01</t>
  </si>
  <si>
    <t>08.01.204.02</t>
  </si>
  <si>
    <t>08.01.500</t>
  </si>
  <si>
    <t>Conjunto de mangueira para combate a incêndio em fibra de poliéster pura, com 1 1/2", revestida internamente, com 2 lances de 15m cada</t>
  </si>
  <si>
    <t>Caixa de incêndio metálica com tampa, 60x90x17cm</t>
  </si>
  <si>
    <t>Registro de gaveta bruto, latão, roscável, 2 1/2, fornecimento e instalação</t>
  </si>
  <si>
    <t>Adaptador em latão, engate rápido, 2 1/2", rosca interna 5 fios 2 1/2, para instalação predial de combate a incêndio</t>
  </si>
  <si>
    <t>Registro/válvula globo angular 45 graus em latão para hidrantes de incêndio predial, DN 2 1/2, com volante, classe de pressão de até 200 PSI, fornecimento e instalação</t>
  </si>
  <si>
    <t>Válvula de retenção horizontal 65mm (2 1/2"), fornecimento e instalação</t>
  </si>
  <si>
    <t>Hidrante subterrâneo ferro fundido com curva longa e caixa DN=75mm</t>
  </si>
  <si>
    <t>Extintor de capacidade extintora mínima 3A:40B:C, carga mínima de 6kg</t>
  </si>
  <si>
    <t>Manômetro de 0 a 200 PSI (0 a 14 kgf/cms), fornecimento e colocação</t>
  </si>
  <si>
    <t>Tanque de pressão capacidade mínima 10L, classe 150</t>
  </si>
  <si>
    <t>Pressostato de acionamento da bomba jockey (liga a pressão 1,5 kg/cm2 e desliga a pressão 2 kg/cm2)</t>
  </si>
  <si>
    <t>Esguicho tipo jato sólido, em latão, engate rápido, 1 1/2" x 13mm, para mangueira em instalação predial de combate a incêndio</t>
  </si>
  <si>
    <t>Eletroduto de aço zincado 3/4"</t>
  </si>
  <si>
    <t>Conduletes de alumínio para tubulação de aço 3/4"</t>
  </si>
  <si>
    <t>06.03.302</t>
  </si>
  <si>
    <t>08.01.501</t>
  </si>
  <si>
    <t>08.01.502.01</t>
  </si>
  <si>
    <t>08.01.502.02</t>
  </si>
  <si>
    <t>Registro de gaveta para ligação de mangueira, 2 1/2</t>
  </si>
  <si>
    <t>08.01.503</t>
  </si>
  <si>
    <t>08.01.508</t>
  </si>
  <si>
    <t>08.01.510</t>
  </si>
  <si>
    <t>08.01.511</t>
  </si>
  <si>
    <t>72288 MOD</t>
  </si>
  <si>
    <t>08.01.516</t>
  </si>
  <si>
    <t>Bomba elétrica centrífuga, 2 CV, vazão 19,8 m3/h, altura manométrica de 11,25 mca, 2 1/2" x 2 1/2", fornecimento e instalação</t>
  </si>
  <si>
    <t>08.01.517</t>
  </si>
  <si>
    <t>BOMBA PARA INCÊNDIO JOCKEY 2CV</t>
  </si>
  <si>
    <t>08.01.519.01</t>
  </si>
  <si>
    <t>08.01.520</t>
  </si>
  <si>
    <t>08.01.521</t>
  </si>
  <si>
    <t>08.01.522</t>
  </si>
  <si>
    <t>PRESSOSTATO 0 A 10 KGF/CM2</t>
  </si>
  <si>
    <t>Placa de sinalização de saída de emergência (códs. 12, 13, 14A, 14B, 17A), em PVC, com fundo verde e símbolos fotoluminescentes, 26 x 13 cm</t>
  </si>
  <si>
    <t>Placa de sinalização de extintor de incêndio portátil (cód. 23), em PVC, com fundo vermelho e símbolos fotoluminescentes, 18x18 cm</t>
  </si>
  <si>
    <t>Placa de sinalização de abrigo de mangueira e hidrante (cód. 25), em PVC, com fundo vermelho e símbolos fotoluminescentes, 15x15 cm</t>
  </si>
  <si>
    <t>04.02.103.01</t>
  </si>
  <si>
    <t>04.02.103.02</t>
  </si>
  <si>
    <t>04.02.103.03</t>
  </si>
  <si>
    <t>TOTAL (08.00.000)</t>
  </si>
  <si>
    <t>SUBTOTAL (08.01.000)</t>
  </si>
  <si>
    <t>PLANILHA ORÇAMENTÁRIA - RESERVATÓRIO ENTERRADO</t>
  </si>
  <si>
    <t>Montagem de armadura transversal de estacas de seção circular, diâmetro = 6,3mm</t>
  </si>
  <si>
    <t>Bloco tipo 1 (B1, B2, etc)</t>
  </si>
  <si>
    <t>Bloco tipo 2 (B5, B11, B12)</t>
  </si>
  <si>
    <t>Bloco tipo 3 (B13)</t>
  </si>
  <si>
    <t>Arranques dos pilares</t>
  </si>
  <si>
    <t>Montagem e desmontagem de forma de pilares retangulares e estruturas similares, em chapa de madeira compensada resinada, e=17mm, 4 utilizações</t>
  </si>
  <si>
    <t>Armação de pilar ou viga de uma estrutura convencional de concreto armado em uma edificação térrea ou sobrado utilizando aço CA-50 de 10mm</t>
  </si>
  <si>
    <t>Armação de pilar ou viga de uma estrutura convencional de concreto armado em uma edificação térrea ou sobrado utilizando aço CA-50 de 16mm</t>
  </si>
  <si>
    <t>Armação de pilar ou viga de uma estrutura convencional de concreto armado em uma edificação térrea ou sobrado utilizando aço CA-60 de 5mm</t>
  </si>
  <si>
    <t>Concretagem de pilares, fck = 30MPa, com uso de grua em edificação com seção média de pilares menor ou igual a 0,25m2 - lançamento, adensamento e acabamento</t>
  </si>
  <si>
    <t>92719 MOD</t>
  </si>
  <si>
    <t>Volume enterrado do reservatório</t>
  </si>
  <si>
    <t>03.02.110</t>
  </si>
  <si>
    <t>Pilares</t>
  </si>
  <si>
    <t>03.02.111</t>
  </si>
  <si>
    <t>03.02.112.01</t>
  </si>
  <si>
    <t>03.02.112.02</t>
  </si>
  <si>
    <t>03.02.112.03</t>
  </si>
  <si>
    <t>03.02.113</t>
  </si>
  <si>
    <t>03.02.130</t>
  </si>
  <si>
    <t>Montagem e desmontagem de forma de laje maciça com área média menor ou igual a 20 m2, pé-direito simples, em chapa de madeira compensada resinada, 4 utilizações</t>
  </si>
  <si>
    <t>Lajes (de fundo do reservatório e tampas)</t>
  </si>
  <si>
    <t>03.02.131</t>
  </si>
  <si>
    <t>Armação de laje de uma estrutura convencional de concreto armado em uma edificação térrea ou sobrado utilizando aço CA-60 de 5mm</t>
  </si>
  <si>
    <t>Armação de laje de uma estrutura convencional de concreto armado em uma edificação térrea ou sobrado utilizando aço CA-50 de 8mm</t>
  </si>
  <si>
    <t>Concretagem de vigas e lajes, fck = 30MPa, para lajes maciças ou nervuradas com uso de bomba em edificação com área média de lajes menor ou igual a 20m2</t>
  </si>
  <si>
    <t>92725 MOD</t>
  </si>
  <si>
    <t>03.02.132.01</t>
  </si>
  <si>
    <t>03.02.132.02</t>
  </si>
  <si>
    <t>03.02.133</t>
  </si>
  <si>
    <t>03.02.140</t>
  </si>
  <si>
    <t>Paredes de contenção</t>
  </si>
  <si>
    <t>Montagem e desmontagem de forma de pilares retangulares e estruturas similares com área menor que 0,25m2, em chapa de madeira compensada resinada, e=17mm, 4 utilizações</t>
  </si>
  <si>
    <t>Montagem e desmontagem de forma de pilares retangulares e estruturas similares, com área maior que 0,25m2, em chapa de madeira compensada resinada, e=17mm, 4 utilizações</t>
  </si>
  <si>
    <t>03.02.141</t>
  </si>
  <si>
    <t>Armação de sistema de paredes de concreto, executadas como reforço, vergalhão de 8mm</t>
  </si>
  <si>
    <t>Armação de sistema de paredes de concreto, executadas como reforço, vergalhão de 10mm</t>
  </si>
  <si>
    <t>03.02.142.01</t>
  </si>
  <si>
    <t>03.02.142.02</t>
  </si>
  <si>
    <t>Concretagem das paredes de contenção, com uso de bomba, incluindo adensamento e acabamento</t>
  </si>
  <si>
    <t>03.02.143</t>
  </si>
  <si>
    <t>02.04.201</t>
  </si>
  <si>
    <t>Escavação mecanizada com retroescavadeira</t>
  </si>
  <si>
    <t>03.01.600</t>
  </si>
  <si>
    <t>Impermeabilização</t>
  </si>
  <si>
    <t>Impermeabilização de superfícies (faces de blocos de fundação e vigas baldrame) com emulsão asfáltica, duas demãos</t>
  </si>
  <si>
    <t>03.01.602</t>
  </si>
  <si>
    <t>Impermeabilização de superfícies (faces de blocos de fundação) com emulsão asfáltica, duas demãos</t>
  </si>
  <si>
    <t>Face sup</t>
  </si>
  <si>
    <t>Blocos tipo 1</t>
  </si>
  <si>
    <t>Blocos tipo 2</t>
  </si>
  <si>
    <t>Compactação mecânica de solo para execução de radier, com compactador de solos tipo placa vibratória</t>
  </si>
  <si>
    <t>Concretagem de radier, piso ou laje sobre o solo, fck = 30MPa, espessura de 10cm - lançamento, adensamento e acabamento</t>
  </si>
  <si>
    <t>04.01.531</t>
  </si>
  <si>
    <t>Paredes internas do reservatório de bombas</t>
  </si>
  <si>
    <t>Aplicação manual de tinta látex acrílica em teto, duas demãos</t>
  </si>
  <si>
    <t>Aplicação manual de tinta látex acrílica em paredes, duas demãos</t>
  </si>
  <si>
    <t>04.01.604</t>
  </si>
  <si>
    <t>Piso do poço de inspeção</t>
  </si>
  <si>
    <t>Paredes do poço de inspeção (I)</t>
  </si>
  <si>
    <t>Paredes do poço de inspeção (II)</t>
  </si>
  <si>
    <t>Paredes externas do reservatório</t>
  </si>
  <si>
    <t>Fundo do reservatório</t>
  </si>
  <si>
    <t>Teto do poço de inspeção</t>
  </si>
  <si>
    <t>Piso dos reservatórios</t>
  </si>
  <si>
    <t>Teto dos reservatórios</t>
  </si>
  <si>
    <t>Paredes dos reservatórios</t>
  </si>
  <si>
    <t>Impermeabilização com cristalizante (A+B) tipo Viaplus 5000, com quatro demãos cruzadas, aplicação de tela de poliéster (malha 1x1) na segunda demão (nas superfícies indicadas em projeto)</t>
  </si>
  <si>
    <t>Paredes laterais externas</t>
  </si>
  <si>
    <t>Escada tipo marinheiro 8 barras a cada 40 cm, chumbada na parede (acesso ao poço)</t>
  </si>
  <si>
    <t>05.01.518.01</t>
  </si>
  <si>
    <t>05.01.518.02</t>
  </si>
  <si>
    <t>05.01.601.01</t>
  </si>
  <si>
    <t>05.01.601.02</t>
  </si>
  <si>
    <t>05.01.609.01</t>
  </si>
  <si>
    <t>05.01.609.02</t>
  </si>
  <si>
    <t>05.01.609.03</t>
  </si>
  <si>
    <t>Total Prédio</t>
  </si>
  <si>
    <t>Aparelhos e acessórios</t>
  </si>
  <si>
    <t>Lajes</t>
  </si>
  <si>
    <t>Contenções</t>
  </si>
  <si>
    <t>Pisos</t>
  </si>
  <si>
    <t>Blocos e arranques</t>
  </si>
  <si>
    <t>Cabos de cobre enterrados (aterramento)</t>
  </si>
  <si>
    <t>Caixa de passagem em alvenaria, tipo R1, dimensões 60 x 35 x 60 cm (cabeamento estruturado + CFTV)</t>
  </si>
  <si>
    <t>Caixa de passagem tipo R1</t>
  </si>
  <si>
    <t>Escavação manual de vala (eletrodutos enterrados, aterramento e caixas de passagem)</t>
  </si>
  <si>
    <t>Eletroduto 2" enterrado (cab. Estruturado)</t>
  </si>
  <si>
    <t>Caixa de inspeção aterramento</t>
  </si>
  <si>
    <t>05.03.304.01</t>
  </si>
  <si>
    <t>05.03.304.02</t>
  </si>
  <si>
    <t>05.03.307.01</t>
  </si>
  <si>
    <t>05.03.307.02</t>
  </si>
  <si>
    <t>05.04.301.01</t>
  </si>
  <si>
    <t>05.04.301.02</t>
  </si>
  <si>
    <t>05.04.301.03</t>
  </si>
  <si>
    <t>05.04.301.04</t>
  </si>
  <si>
    <t>05.04.301.05</t>
  </si>
  <si>
    <t>05.04.302.01</t>
  </si>
  <si>
    <t>05.04.302.02</t>
  </si>
  <si>
    <t>05.04.302.03</t>
  </si>
  <si>
    <t>05.04.304.01</t>
  </si>
  <si>
    <t>05.04.304.02</t>
  </si>
  <si>
    <t>05.04.304.03</t>
  </si>
  <si>
    <t>05.04.304.04</t>
  </si>
  <si>
    <t>05.04.304.05</t>
  </si>
  <si>
    <t>05.04.304.06</t>
  </si>
  <si>
    <t>05.04.304.07</t>
  </si>
  <si>
    <t>05.04.304.08</t>
  </si>
  <si>
    <t>05.04.304.09</t>
  </si>
  <si>
    <t>05.04.304.10</t>
  </si>
  <si>
    <t>05.04.304.11</t>
  </si>
  <si>
    <t>05.04.304.12</t>
  </si>
  <si>
    <t>05.04.305.01</t>
  </si>
  <si>
    <t>05.04.305.02</t>
  </si>
  <si>
    <t>05.04.305.03</t>
  </si>
  <si>
    <t>05.04.305.04</t>
  </si>
  <si>
    <t>05.04.305.05</t>
  </si>
  <si>
    <t>05.04.305.06</t>
  </si>
  <si>
    <t>05.04.305.07</t>
  </si>
  <si>
    <t>05.04.305.08</t>
  </si>
  <si>
    <t>05.04.305.09</t>
  </si>
  <si>
    <t>05.04.306.01</t>
  </si>
  <si>
    <t>05.04.306.02</t>
  </si>
  <si>
    <t>05.04.306.03</t>
  </si>
  <si>
    <t>05.04.306.04</t>
  </si>
  <si>
    <t>05.04.306.05</t>
  </si>
  <si>
    <t>05.04.306.06</t>
  </si>
  <si>
    <t>05.04.307.01</t>
  </si>
  <si>
    <t>05.04.307.02</t>
  </si>
  <si>
    <t>05.04.307.03</t>
  </si>
  <si>
    <t>05.04.307.04</t>
  </si>
  <si>
    <t>05.04.309.01</t>
  </si>
  <si>
    <t>05.04.309.02</t>
  </si>
  <si>
    <t>05.04.309.03</t>
  </si>
  <si>
    <t>05.04.316.01</t>
  </si>
  <si>
    <t>05.04.316.02</t>
  </si>
  <si>
    <t>05.04.316.03</t>
  </si>
  <si>
    <t>05.04.316.04</t>
  </si>
  <si>
    <t>05.04.316.05</t>
  </si>
  <si>
    <t>05.04.316.06</t>
  </si>
  <si>
    <t>05.04.317.01</t>
  </si>
  <si>
    <t>05.04.317.02</t>
  </si>
  <si>
    <t>05.04.801.01</t>
  </si>
  <si>
    <t>05.04.801.02</t>
  </si>
  <si>
    <t>05.04.801.03</t>
  </si>
  <si>
    <t>Lavagem das tubulações com gás 141B e pressurização com nitrogênio (infraestrutura para sistema de climatização VRV)</t>
  </si>
  <si>
    <t>LAVAGEM DAS TUBULAÇÕES COM GÁS 141B E PRESSURIZACAO COM NITROGENIO</t>
  </si>
  <si>
    <t>85014 MOD</t>
  </si>
  <si>
    <t>06.01.200</t>
  </si>
  <si>
    <t>03.01.553, 03.02.113 e 03.02.123</t>
  </si>
  <si>
    <t>03.02.133 e 03.02.138</t>
  </si>
  <si>
    <t>04.01.528.03</t>
  </si>
  <si>
    <t>Piso em concreto 20MPa, usinado, espessura 7cm, com armação em tela soldada</t>
  </si>
  <si>
    <t>72183 MOD</t>
  </si>
  <si>
    <t>Regularização de piso em argamassa traço 1:4 (cimento e areia), preparo mecânico, e = 2 cm</t>
  </si>
  <si>
    <t>Impermeabilização de superfície com manta asfáltica com polímeros tipo app, e=4mm, antirraiz, incluindo aplicação de primer (superfície externa do reservatório enterrado)</t>
  </si>
  <si>
    <t>69.05.230 MOD</t>
  </si>
  <si>
    <t>Execução de almoxarifado em canteiro de obra em chapa de madeira compensada, incluindo prateleiras</t>
  </si>
  <si>
    <t>02.01.104</t>
  </si>
  <si>
    <t>Execução de refeitório em canteiro de obra em chapa de madeira compensada</t>
  </si>
  <si>
    <t>Execução de sanitário e vestiário em canteiro de obra, em chapa de madeira compensada</t>
  </si>
  <si>
    <t>FITA VEDAÇÃO TEFLON LARG=1/2"</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</si>
  <si>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</si>
  <si>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</si>
  <si>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</si>
  <si>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</si>
  <si>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</si>
  <si>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</si>
  <si>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</si>
  <si>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</si>
  <si>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</si>
  <si>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</si>
  <si>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</si>
  <si>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</si>
  <si>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</si>
  <si>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</si>
  <si>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</si>
  <si>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</si>
  <si>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</si>
  <si>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</si>
  <si>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</si>
  <si>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</si>
  <si>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</si>
  <si>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</si>
  <si>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Locação convencional de obra, através de gabarito de tábuas corridas pontaletadas a cada 2,00m, 2 utilizações</t>
  </si>
  <si>
    <t>98670 MOD</t>
  </si>
  <si>
    <t>Piso de ladrilho hidráulico colorido, modelo tátil (alerta ou direcional), 25x25cm aplicado em ambientes internos, incluso aplicação de resina</t>
  </si>
  <si>
    <t>9812 MOD</t>
  </si>
  <si>
    <t>QUADRO DE COMANDO PARA 2 BOMBAS DE RECALQUE DE 1/3 A 2CV, TRIFÁSICA, 220 VOLTS, COM CHAVE SELETORA, ACIONAMENTO MANUAL/AUTOMÁTICO, RELÉ DE SOBRECARGA E CONTATORA</t>
  </si>
  <si>
    <t>05.04.805.01</t>
  </si>
  <si>
    <t>06.01.305.15</t>
  </si>
  <si>
    <t>06.01.308.12 e 06.01.308.13</t>
  </si>
  <si>
    <t>DISJUNTOR TRIPOLAR 63A, PADRÃO DIN (LINHA BRANCA), CURVA DE DISPARO C</t>
  </si>
  <si>
    <t>06.01.308.14 e 06.01.308.15</t>
  </si>
  <si>
    <t>P.13.000.045614</t>
  </si>
  <si>
    <t>06.03.204.01</t>
  </si>
  <si>
    <t>06.03.204.02</t>
  </si>
  <si>
    <t>GUIA FRONTAL DE CABOS</t>
  </si>
  <si>
    <t>Painel de Preços do Governo</t>
  </si>
  <si>
    <t>DESCRIÇÃO EDITAL</t>
  </si>
  <si>
    <t>UASG</t>
  </si>
  <si>
    <t>pares de fusão</t>
  </si>
  <si>
    <t>PREÇO UNITÁRIO CONTRATADO</t>
  </si>
  <si>
    <t>IDENTIFICAÇÃO DA COMPRA</t>
  </si>
  <si>
    <t>DATA DO RESULTADO</t>
  </si>
  <si>
    <t>FUSÃO DE FIBRA ÓPTICA</t>
  </si>
  <si>
    <t>PAR DE FUSÃO</t>
  </si>
  <si>
    <t>Plataforma enclausurada, modelo Vertical Hidro Easy fabricante ThyssenKrupp Elevadores ou equivalente, Carga nominal: 250 kg; Cabina: 900 x 1400 x 1100 mm (medidas internas mínimas), incluindo o enclausuramento em vidro laminado</t>
  </si>
  <si>
    <t>Cotação por email</t>
  </si>
  <si>
    <t>90.347.840/0003-80</t>
  </si>
  <si>
    <t>(61) 2108-2333</t>
  </si>
  <si>
    <t>www.thyssenkruppelevadores.com.br</t>
  </si>
  <si>
    <t>geiser.silva@thyssenkrupp.com</t>
  </si>
  <si>
    <t>Duto em chapa de aço galvanizada zincada #26, inclusive portas de inspeção</t>
  </si>
  <si>
    <t>Duto em chapa de aço galvanizada zincada #24, inclusive portas de inspeção</t>
  </si>
  <si>
    <t>Duto em chapa de aço galvanizada zincada #22, inclusive portas de inspeção</t>
  </si>
  <si>
    <t>Instalação de unidades condensadoras tipo "VRV"</t>
  </si>
  <si>
    <t>CIRILO PEÇAS</t>
  </si>
  <si>
    <t>(17) 3322-3500</t>
  </si>
  <si>
    <t>contato@cirilopecas.com.br</t>
  </si>
  <si>
    <t>SPLIT PEÇAS</t>
  </si>
  <si>
    <t>(18) 3522-2090</t>
  </si>
  <si>
    <t xml:space="preserve"> 23.910.588/0001-16</t>
  </si>
  <si>
    <t>https://www.splitpecas.com.br/pecas-para-ar-condicionado/valvula-de-servico-7-8-soldavel-midea-carrier-piso-teto-36-000-a-90-000-btus-317410-401--p</t>
  </si>
  <si>
    <t>vendas@splitpecas.com.br</t>
  </si>
  <si>
    <t>VALVULA DE SERVICO 7/8"</t>
  </si>
  <si>
    <t>POLIPARTES</t>
  </si>
  <si>
    <t>39.118.153/0001-73</t>
  </si>
  <si>
    <t>(21) 2506-5672</t>
  </si>
  <si>
    <t>vendas@polipartes.com.br</t>
  </si>
  <si>
    <t>REFRIAR</t>
  </si>
  <si>
    <t>http://www.refriarparts.com.br/produtos/0,29252_valvula-de-servico-5-8-valvula-de-servico-da-condensadora-5-8</t>
  </si>
  <si>
    <t>07.006.993/0001-58</t>
  </si>
  <si>
    <t>(18) 3021-2150</t>
  </si>
  <si>
    <t>vendas@refriarparts.com.br</t>
  </si>
  <si>
    <t>VALVULA DE SERVICO 5/8"</t>
  </si>
  <si>
    <t>https://www.splitpecas.com.br/pecas-para-ar-condicionado/valvulas/valvula-de-servico-1-2-para-ar-condicionado</t>
  </si>
  <si>
    <t>http://www.refriarparts.com.br/produtos/0,86244_valvula-de-servico-da-condensadora-1-2-valvula-de-servico-1-2</t>
  </si>
  <si>
    <t>VALVULA DE SERVICO 1/2"</t>
  </si>
  <si>
    <t>https://www.splitpecas.com.br/pecas-para-ar-condicionado/valvulas/valvula-de-servico-3-8-para-ar-condicionado</t>
  </si>
  <si>
    <t>VALVULA DE SERVICO 3/8"</t>
  </si>
  <si>
    <t>https://www.splitpecas.com.br/pecas-para-ar-condicionado/valvulas/valvula-de-liquido-1-4-com-schrader-condensadora-7-000-9-000-e-12-000btus</t>
  </si>
  <si>
    <t>http://www.refriarparts.com.br/produtos/0,24211_valvula-liquido-condensadora-1-4-com-schrader-valvula-de-servico-condensadora-1-4</t>
  </si>
  <si>
    <t>VALVULA DE SERVICO 1/4"</t>
  </si>
  <si>
    <t>61.10.574 MOD 1</t>
  </si>
  <si>
    <t>61.10.574 MOD 2</t>
  </si>
  <si>
    <t>Dumper/Registro regulador de vazão RLB 750x200mm</t>
  </si>
  <si>
    <t>Dumper/Registro regulador de vazão RLB 350x350mm</t>
  </si>
  <si>
    <t>61.10.402 MOD</t>
  </si>
  <si>
    <t>61.10.401 MOD</t>
  </si>
  <si>
    <t>61.10.530 MOD 1</t>
  </si>
  <si>
    <t>61.10.530</t>
  </si>
  <si>
    <t>61.10.530 MOD 2</t>
  </si>
  <si>
    <t>61.10.530 MOD 3</t>
  </si>
  <si>
    <t>Q.04.000.031436</t>
  </si>
  <si>
    <t>Q.04.000.031434</t>
  </si>
  <si>
    <t>Q.04.000.031429</t>
  </si>
  <si>
    <t>GRELHA DE RETORNO/EXAUSTÃO COM REGISTRO, TAMANHO 0,03 A 0,06 M2</t>
  </si>
  <si>
    <t>DAMPER DE REGULAGEM MANUAL TAMANHO 0,15 A 0,20 M2</t>
  </si>
  <si>
    <t>Q.04.000.031418</t>
  </si>
  <si>
    <t>Q.04.000.031409</t>
  </si>
  <si>
    <t>DAMPER DE REGULAGEM MANUAL TAMANHO 0,10 A 0,14 M2</t>
  </si>
  <si>
    <t>Q.04.000.031417</t>
  </si>
  <si>
    <t>DIFUSOR DE INSUFLAÇÃO DE AR COM REGISTRO</t>
  </si>
  <si>
    <t>69.06.200 MOD</t>
  </si>
  <si>
    <t>Equipamentos e acessórios de sanitários</t>
  </si>
  <si>
    <t>04.01.802.01</t>
  </si>
  <si>
    <t>04.01.802.02</t>
  </si>
  <si>
    <t>09.03.000</t>
  </si>
  <si>
    <t>LIGAÇÕES DEFINITIVAS</t>
  </si>
  <si>
    <t>09.03.100</t>
  </si>
  <si>
    <t>Ligação definitiva de água e esgoto, conforme concessionária local</t>
  </si>
  <si>
    <t>CAESB</t>
  </si>
  <si>
    <t>TAXAS</t>
  </si>
  <si>
    <t>SUBTOTAL (09.03.000)</t>
  </si>
  <si>
    <t>SUBTOTAL (09.02.000)</t>
  </si>
  <si>
    <t>09.02.001</t>
  </si>
  <si>
    <t>THYSSENKRUPP</t>
  </si>
  <si>
    <t>Projeto e implementação de gerenciamento integrado de resíduos sólidos e gestão de perdas</t>
  </si>
  <si>
    <t>01.06.003</t>
  </si>
  <si>
    <t>01.27.011</t>
  </si>
  <si>
    <t>09.04.001</t>
  </si>
  <si>
    <t>Projeto as-built de arquitetura: reservatório</t>
  </si>
  <si>
    <t>Projeto as-built de instalações hidrossanitárias: reservatório</t>
  </si>
  <si>
    <t>Projeto as-built de estruturas e fundações: reservatório</t>
  </si>
  <si>
    <t>SUBTOTAL (09.04.000)</t>
  </si>
  <si>
    <t>TOTAL (09.00.000)</t>
  </si>
  <si>
    <t>09.04.002</t>
  </si>
  <si>
    <t>09.04.003</t>
  </si>
  <si>
    <t>09.04.004</t>
  </si>
  <si>
    <t>09.04.005</t>
  </si>
  <si>
    <t>09.04.006</t>
  </si>
  <si>
    <t>09.04.007</t>
  </si>
  <si>
    <t>09.04.008</t>
  </si>
  <si>
    <t>09.04.009</t>
  </si>
  <si>
    <t>09.04.015</t>
  </si>
  <si>
    <t>09.04.016</t>
  </si>
  <si>
    <t>09.04.017</t>
  </si>
  <si>
    <t>09.04.001 a 09.04.017</t>
  </si>
  <si>
    <t>Projetos as-built</t>
  </si>
  <si>
    <t>CANTEIRO E ADMINISTRAÇÃO LOCAL</t>
  </si>
  <si>
    <t>MÊS 5</t>
  </si>
  <si>
    <t>MÊS 6</t>
  </si>
  <si>
    <t>MÊS 7</t>
  </si>
  <si>
    <t>MÊS 8</t>
  </si>
  <si>
    <t>MÊS 9</t>
  </si>
  <si>
    <t>MÊS 10</t>
  </si>
  <si>
    <t>MÊS 11</t>
  </si>
  <si>
    <t>MÊS 12</t>
  </si>
  <si>
    <t>MÊS 13</t>
  </si>
  <si>
    <t>MÊS 14</t>
  </si>
  <si>
    <t>RESERVATÓRIO</t>
  </si>
  <si>
    <t>10.03.000</t>
  </si>
  <si>
    <t>MÁQUINAS E EQUIPAMENTOS</t>
  </si>
  <si>
    <t>SUBTOTAL (10.01.000)</t>
  </si>
  <si>
    <t>SUBTOTAL (10.03.000)</t>
  </si>
  <si>
    <t>TOTAL (10.00.000)</t>
  </si>
  <si>
    <t>10.03.702</t>
  </si>
  <si>
    <t>TX</t>
  </si>
  <si>
    <t>Locação de andaime fachadeiro</t>
  </si>
  <si>
    <t>m2 x mês</t>
  </si>
  <si>
    <t>Colocação de tela em andaime fachadeiro</t>
  </si>
  <si>
    <t>02.04.301</t>
  </si>
  <si>
    <t>Carga e descarga mecânicas de solo utilizando caminhão basculante 6m3/16T, e pá carregadeira sobre pneus 128 HP, capacidade de caçamba 1,7 a 2,8m3</t>
  </si>
  <si>
    <t>04.04.000</t>
  </si>
  <si>
    <t>PAISAGISMO</t>
  </si>
  <si>
    <t>SUBTOTAL (04.04.000)</t>
  </si>
  <si>
    <t>04.05.000</t>
  </si>
  <si>
    <t>PAVIMENTAÇÃO</t>
  </si>
  <si>
    <t>Execução de passeio (calçada) ou piso de concreto com concreto moldado in loco, usinado, acabamento camurçado, espessura 8cm</t>
  </si>
  <si>
    <t>04.05.502</t>
  </si>
  <si>
    <t>04.05.602</t>
  </si>
  <si>
    <t>SUBTOTAL (04.05.000)</t>
  </si>
  <si>
    <t>TECNICONTROL</t>
  </si>
  <si>
    <t>91.9295.105/0001-70</t>
  </si>
  <si>
    <t>(51) 3442-1756</t>
  </si>
  <si>
    <t>www.tecnicontrol.com.br</t>
  </si>
  <si>
    <t>arnon@tecnicontrol.com.br</t>
  </si>
  <si>
    <t>06.01.405</t>
  </si>
  <si>
    <t>Custo Total</t>
  </si>
  <si>
    <t>BDI Total</t>
  </si>
  <si>
    <t>mês</t>
  </si>
  <si>
    <t>h</t>
  </si>
  <si>
    <t>10.01.201.01</t>
  </si>
  <si>
    <t>10.01.201.02</t>
  </si>
  <si>
    <t>10.01.201.03</t>
  </si>
  <si>
    <t>10.01.205</t>
  </si>
  <si>
    <t>10.01.111</t>
  </si>
  <si>
    <t>Mestre de obras com encargos complementares</t>
  </si>
  <si>
    <t>Vigia noturno com encargos complementares</t>
  </si>
  <si>
    <t>03.01.425.04</t>
  </si>
  <si>
    <t>MAPA DE COTAÇÕES</t>
  </si>
  <si>
    <t>AR-CONDICIONADO</t>
  </si>
  <si>
    <t>07.02.001</t>
  </si>
  <si>
    <t>07.02.002</t>
  </si>
  <si>
    <t>07.02.003</t>
  </si>
  <si>
    <t>07.02.004</t>
  </si>
  <si>
    <t>Pesquisa de Mercado</t>
  </si>
  <si>
    <t>43.08.004 MOD</t>
  </si>
  <si>
    <t>Instalação de unidades evaporadoras tipo "VRV", HiWall</t>
  </si>
  <si>
    <t>Instalação de unidades evaporadoras tipo "VRV", cassete</t>
  </si>
  <si>
    <t>43.08.030 MOD</t>
  </si>
  <si>
    <t>43.08.040</t>
  </si>
  <si>
    <t>61.14.040 MOD 1</t>
  </si>
  <si>
    <t>61.14.040 MOD 2</t>
  </si>
  <si>
    <t>61.14.040 MOD 3</t>
  </si>
  <si>
    <t>GABINETE DE VENTILAÇÃO COM FILTRAGEM G4/F7 VAZÃO 9.198 M3/H X 60MMCA</t>
  </si>
  <si>
    <t>GABINETE DE VENTILAÇÃO COM FILTRAGEM G4/F7 VAZÃO 5970 M3/H X 60MMCA</t>
  </si>
  <si>
    <t>GABINETE DE EXAUSTÃO VAZÃO 5100 M3/H X 60MMCA</t>
  </si>
  <si>
    <t>06.01.315.01</t>
  </si>
  <si>
    <t>06.01.315.02</t>
  </si>
  <si>
    <t>NoBreak 40kVA, trifásico, 380/220V-380/220V, autonomia a plena carga de 20 min, com todos os acessórios inclusos, APENAS FORNECIMENTO</t>
  </si>
  <si>
    <t>NoBreak 40kVA, trifásico, 380/220V-380/220V, autonomia a plena carga de 20 min, com todos os acessórios inclusos, APENAS INSTALAÇÃO</t>
  </si>
  <si>
    <t>06.01.314.01</t>
  </si>
  <si>
    <t>06.01.314.02</t>
  </si>
  <si>
    <t>Estabilizador 60kVA, trifásico, 380/220V-220/127V, com todos os acessórios inclusos, APENAS FORNECIMENTO</t>
  </si>
  <si>
    <t>Estabilizador 60kVA, trifásico, 380/220V-220/127V, com todos os acessórios inclusos, APENAS INSTALAÇÃO</t>
  </si>
  <si>
    <t>06.07.101.01</t>
  </si>
  <si>
    <t>RESULTADO BDI DIFERENCIADO</t>
  </si>
  <si>
    <t>Projeção ULEG</t>
  </si>
  <si>
    <t>Placa de obra em chapa de aço galvanizado (3 placas de 3,00x1,85m + 1 placa 2,00x1,00m - IBRAM)</t>
  </si>
  <si>
    <t>Lastro com preparo de fundo, largura maior ou igual a 1,5 m, com camada de brita, lançamento mecanizado, em local com nível baixo de interferência (esp. 5 cm) - sob passeio a construir</t>
  </si>
  <si>
    <t>Volume proveniente da limpeza</t>
  </si>
  <si>
    <t>Reuso no plantio de grama</t>
  </si>
  <si>
    <t>02.02.000</t>
  </si>
  <si>
    <t>DEMOLIÇÃO</t>
  </si>
  <si>
    <t>SUBTOTAL (02.02.000)</t>
  </si>
  <si>
    <t>05.06.103</t>
  </si>
  <si>
    <t>SUBTOTAL (05.06.000)</t>
  </si>
  <si>
    <t>Dias úteis (12h - durante a noite)</t>
  </si>
  <si>
    <t>Fins de semana (24h - dia inteiro)</t>
  </si>
  <si>
    <t>Horas/dia</t>
  </si>
  <si>
    <t>Dias/mês</t>
  </si>
  <si>
    <t>Meses</t>
  </si>
  <si>
    <t>Total</t>
  </si>
  <si>
    <t>Horas</t>
  </si>
  <si>
    <t>Conversão p/kg: 2,20 kg/m2</t>
  </si>
  <si>
    <t>09.04.100</t>
  </si>
  <si>
    <t>03.03.200</t>
  </si>
  <si>
    <t>Peças principais</t>
  </si>
  <si>
    <t>04.01.811</t>
  </si>
  <si>
    <t>04.01.810</t>
  </si>
  <si>
    <t>04.01.812</t>
  </si>
  <si>
    <t>04.01.813</t>
  </si>
  <si>
    <t>04.01.814</t>
  </si>
  <si>
    <t>04.01.815</t>
  </si>
  <si>
    <t>04.01.816.01</t>
  </si>
  <si>
    <t>04.01.816.02</t>
  </si>
  <si>
    <t>04.01.817.01</t>
  </si>
  <si>
    <t>04.01.817.02</t>
  </si>
  <si>
    <t>73970/1 MOD</t>
  </si>
  <si>
    <t>Viga para apoio da pele de vidro, formada por dois perfis "U" enrijecidos, dimensões 300x100x25mm soldados (19,34 kg/m cada perfil), inclusive transporte vertical</t>
  </si>
  <si>
    <t>Observação: na tabela de referência ORSE, todos os perfis estruturais U enrijecidos tinham o mesmo preço por kg, independente da dimensão. Por isso se atribuiu o valor do perfil de dimensão diferente, já que a diferença é compensada pelo peso</t>
  </si>
  <si>
    <t>PERFIL AÇO, UDC, ENRIJECIDO</t>
  </si>
  <si>
    <t>01.03.502.01</t>
  </si>
  <si>
    <t>Projeto executivo estrutural, incluindo fundações, concreto armado, acima de 500m2</t>
  </si>
  <si>
    <t>PROJETO ESTRUTURAL INCLUINDO FUNDAÇÕES CONCRETO ARMADO ACIMA DE 500M2</t>
  </si>
  <si>
    <t>03.01.552.08</t>
  </si>
  <si>
    <t>Armação de bloco, viga baldrame ou sapata, utilizando aço CA-60 de 4,2mm</t>
  </si>
  <si>
    <t>96543 MOD</t>
  </si>
  <si>
    <t>04.01.223.06</t>
  </si>
  <si>
    <t>Caixilho fixo de alumínio para vidro, 350 x 100 cm, exclusive vidros (EA-07)</t>
  </si>
  <si>
    <t>Caixilho fixo de alumínio para vidro, 190 x 100 cm, exclusive vidros (EA-08)</t>
  </si>
  <si>
    <t>Caixilho fixo de alumínio para vidro, 375 x 100 cm, exclusive vidros (EA-09)</t>
  </si>
  <si>
    <t>Caixilho fixo de alumínio para tela metálica perfurada de alumínio, furo redondo 1", dimensões 215 x 40 cm (EA-10)</t>
  </si>
  <si>
    <t>H.03.000.026208</t>
  </si>
  <si>
    <t>CHAPA PERFURADA EM AÇO, FUROS REDONDOS DIÂMETRO 25MM</t>
  </si>
  <si>
    <t>06.01.316</t>
  </si>
  <si>
    <t>Alarme banheiro PCD conforme norma 9050, com acionador</t>
  </si>
  <si>
    <t>ALARME BANHEIRO PNE DEFICIENTE FÍSICO CONFORME NBR 9050 COM ACIONADOR</t>
  </si>
  <si>
    <t>Ensaio de resistência à compressão (4 corpos de prova por caminhão de 8m3 de concreto usinado e 4 corpos de prova a cada 8m3 de concreto pré-moldado)</t>
  </si>
  <si>
    <t>10.03.703.01</t>
  </si>
  <si>
    <t>10.03.703.02</t>
  </si>
  <si>
    <t>Área de impermeabilização medida em projeto</t>
  </si>
  <si>
    <t>Cobertura - Fechamento do telhado</t>
  </si>
  <si>
    <t>Engenheiro eletricista com encargos complementares (8h por dia, durante 6 meses)</t>
  </si>
  <si>
    <t>Engenheiro mecânico com encargos complementares (4h por dia, durante 5 meses)</t>
  </si>
  <si>
    <t>INSTALAÇÕES MECÂNICAS</t>
  </si>
  <si>
    <t>RESUMO DO ORÇAMENTO</t>
  </si>
  <si>
    <t>CANTEIRO DE OBRAS E ADMINISTRAÇÃO LOCAL</t>
  </si>
  <si>
    <t>MEMÓRIA DE CÁLCULO DE QUANTITATIVOS - CANTEIRO E ADM LOCAL</t>
  </si>
  <si>
    <t>MEMÓRIA DE CÁLCULO DE QUANTITATIVOS - EDIFÍCIO PRINCIPAL</t>
  </si>
  <si>
    <t>MEMÓRIA DE CÁLCULO DE QUANTITATIVOS - RESERVATÓRIO</t>
  </si>
  <si>
    <t>MEMÓRIA DE CÁLCULO DE QUANTITATIVOS - ÁGUA FRIA</t>
  </si>
  <si>
    <t>Resumo do Orçamento ...............................................................................................................</t>
  </si>
  <si>
    <t>Orçamento Sintético: Canteiro e Adm. Local ...............................................................................................................</t>
  </si>
  <si>
    <t>Orçamento Sintético: Reservatório ...............................................................................................................</t>
  </si>
  <si>
    <t>Composições Analíticas ...............................................................................................................</t>
  </si>
  <si>
    <t>Cronograma Físico-Financeiro ...............................................................................................................</t>
  </si>
  <si>
    <t>Curva ABC de Serviços ...............................................................................................................</t>
  </si>
  <si>
    <t>Mapa de Cotações ...............................................................................................................</t>
  </si>
  <si>
    <t>Composição de BDI ...............................................................................................................</t>
  </si>
  <si>
    <t>Composição de Encargos Sociais ...............................................................................................................</t>
  </si>
  <si>
    <t>Memória de Cálculo de Quantitativos ...............................................................................................................</t>
  </si>
  <si>
    <t>CRONOGRAMA FÍSICO-FINANCEIRO</t>
  </si>
  <si>
    <t>Perfil enrijecido 75x40x15, 2,25mm, 2,95 kg/m (terças do telhado)</t>
  </si>
  <si>
    <t>03.03.201.01</t>
  </si>
  <si>
    <t>Perfil quadrado metalon 40x40, espessura 1,25mm, 1,53 kg/m (pontaletes e tirantes)</t>
  </si>
  <si>
    <t>03.03.201.02</t>
  </si>
  <si>
    <t>03.03.201.03</t>
  </si>
  <si>
    <t>03.03.201.04</t>
  </si>
  <si>
    <t>03.03.300</t>
  </si>
  <si>
    <t>Dispositivos de ligação</t>
  </si>
  <si>
    <t>03.03.301</t>
  </si>
  <si>
    <t>Instalação e transporte vertical de trama de aço composta por terças para telhado</t>
  </si>
  <si>
    <t>92580 MOD</t>
  </si>
  <si>
    <t>CHUMBADOR PARABOLT 1/4" X 2"</t>
  </si>
  <si>
    <t>ARRUELA LISA DE AÇO GALVANIZADA DE 1/4</t>
  </si>
  <si>
    <t>CORDÃO DE SOLDA ELÉTRICA - ELETRODO 3MM</t>
  </si>
  <si>
    <t>MOD</t>
  </si>
  <si>
    <t>CM</t>
  </si>
  <si>
    <t>Fixação dos pontaletes sobre a laje de cobertura, com 4 parafusos do tipo parabolt 1/4" x 2" e soldas dos pontaletes</t>
  </si>
  <si>
    <t>cm</t>
  </si>
  <si>
    <t>3846 MOD</t>
  </si>
  <si>
    <t>03.03.302</t>
  </si>
  <si>
    <t>Fixação por solda 3mm dos tirantes nos montantes</t>
  </si>
  <si>
    <t>ALADIM METAIS</t>
  </si>
  <si>
    <t>PERFIL QUADRADO METALON 40X40MM, 1,53 KG/M</t>
  </si>
  <si>
    <t>51.225.522/0001-22</t>
  </si>
  <si>
    <t>(11) 5613-5777</t>
  </si>
  <si>
    <t>atendimento@aladimmetais.com.br</t>
  </si>
  <si>
    <t xml:space="preserve">Vigas em concreto armado, pré-moldado, fck = 40 MPa </t>
  </si>
  <si>
    <t xml:space="preserve">Pilares em concreto armado, pré-moldado, fck = 35 MPa </t>
  </si>
  <si>
    <t>Laje em painel pré-fabricado protendido alveolar, concreto 40 MPa espessura 20cm, inclusive capeamento de 5 cm com tela soldada</t>
  </si>
  <si>
    <t>E.05.000.026702</t>
  </si>
  <si>
    <t>INSERT MACIÇO COM FURO INFERIOR PARA ANCORAGEM, CARGA DE TRABALHO 3.000 KG, REF TS24 FABRICAÇÃO TEJOR</t>
  </si>
  <si>
    <t>E.05.000.026703</t>
  </si>
  <si>
    <t>IÇADOR, CARGA DE TRABALHO 3.000 KG, REF TP24 FABRICAÇÃO TREJOR</t>
  </si>
  <si>
    <t>E.05.000.026707</t>
  </si>
  <si>
    <t>POSICIONADOR, CARGA DE TRABALHO 3.000 KG, REF TP 24 FABRICAÇÃO TREJOR</t>
  </si>
  <si>
    <t>PREÇO UNITÁRIO</t>
  </si>
  <si>
    <t>13.03.150</t>
  </si>
  <si>
    <t>15.05.290</t>
  </si>
  <si>
    <t>Divisória em granito cinza andorinha, esp = 3cm, assentado com argamassa traço 1:4, arremate em cimento branco, inclusive ferragens</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</si>
  <si>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</si>
  <si>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</si>
  <si>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</si>
  <si>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</si>
  <si>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</si>
  <si>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</si>
  <si>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</si>
  <si>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</si>
  <si>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</si>
  <si>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</si>
  <si>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</si>
  <si>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</si>
  <si>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</si>
  <si>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</si>
  <si>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</si>
  <si>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</si>
  <si>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</si>
  <si>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</si>
  <si>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</si>
  <si>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</si>
  <si>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</si>
  <si>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</si>
  <si>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</si>
  <si>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</si>
  <si>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</si>
  <si>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</si>
  <si>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</si>
  <si>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</si>
  <si>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</si>
  <si>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</si>
  <si>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</si>
  <si>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</si>
  <si>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</si>
  <si>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</si>
  <si>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</si>
  <si>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</si>
  <si>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</si>
  <si>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</si>
  <si>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</si>
  <si>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</si>
  <si>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</si>
  <si>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</si>
  <si>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</si>
  <si>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</si>
  <si>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</si>
  <si>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</si>
  <si>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</si>
  <si>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</si>
  <si>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</si>
  <si>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</si>
  <si>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</si>
  <si>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</si>
  <si>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</si>
  <si>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</si>
  <si>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</si>
  <si>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</si>
  <si>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</si>
  <si>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</si>
  <si>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</si>
  <si>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</si>
  <si>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</si>
  <si>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</si>
  <si>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</si>
  <si>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</si>
  <si>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</si>
  <si>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</si>
  <si>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</si>
  <si>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</si>
  <si>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</si>
  <si>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</si>
  <si>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</si>
  <si>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</si>
  <si>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</si>
  <si>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</si>
  <si>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</si>
  <si>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</si>
  <si>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</si>
  <si>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</si>
  <si>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</si>
  <si>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</si>
  <si>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</si>
  <si>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</si>
  <si>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</si>
  <si>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</si>
  <si>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</si>
  <si>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</si>
  <si>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</si>
  <si>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</si>
  <si>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</si>
  <si>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</si>
  <si>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</si>
  <si>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</si>
  <si>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</si>
  <si>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</si>
  <si>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</si>
  <si>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</si>
  <si>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</si>
  <si>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</si>
  <si>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</si>
  <si>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</si>
  <si>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</si>
  <si>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</si>
  <si>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</si>
  <si>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</si>
  <si>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</si>
  <si>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</si>
  <si>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</si>
  <si>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</si>
  <si>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</si>
  <si>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</si>
  <si>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</si>
  <si>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</si>
  <si>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</si>
  <si>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</si>
  <si>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</si>
  <si>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</si>
  <si>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</si>
  <si>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</si>
  <si>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</si>
  <si>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</si>
  <si>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</si>
  <si>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</si>
  <si>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</si>
  <si>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</si>
  <si>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</si>
  <si>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</si>
  <si>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</si>
  <si>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</si>
  <si>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</si>
  <si>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</si>
  <si>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</si>
  <si>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</si>
  <si>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</si>
  <si>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</si>
  <si>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</si>
  <si>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</si>
  <si>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</si>
  <si>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</si>
  <si>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</si>
  <si>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</si>
  <si>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</si>
  <si>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</si>
  <si>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</si>
  <si>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</si>
  <si>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</si>
  <si>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</si>
  <si>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</si>
  <si>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</si>
  <si>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</si>
  <si>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</si>
  <si>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</si>
  <si>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</si>
  <si>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</si>
  <si>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</si>
  <si>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</si>
  <si>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</si>
  <si>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</si>
  <si>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</si>
  <si>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</si>
  <si>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</si>
  <si>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</si>
  <si>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</si>
  <si>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</si>
  <si>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</si>
  <si>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</si>
  <si>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</si>
  <si>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</si>
  <si>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</si>
  <si>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</si>
  <si>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</si>
  <si>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</si>
  <si>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</si>
  <si>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</si>
  <si>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</si>
  <si>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</si>
  <si>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</si>
  <si>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</si>
  <si>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</si>
  <si>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</si>
  <si>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</si>
  <si>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</si>
  <si>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</si>
  <si>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</si>
  <si>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</si>
  <si>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</si>
  <si>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</si>
  <si>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</si>
  <si>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</si>
  <si>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</si>
  <si>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</si>
  <si>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</si>
  <si>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</si>
  <si>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</si>
  <si>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</si>
  <si>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</si>
  <si>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</si>
  <si>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</si>
  <si>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</si>
  <si>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</si>
  <si>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</si>
  <si>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</si>
  <si>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</si>
  <si>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</si>
  <si>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</si>
  <si>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</si>
  <si>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</si>
  <si>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</si>
  <si>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</si>
  <si>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</si>
  <si>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</si>
  <si>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</si>
  <si>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</si>
  <si>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</si>
  <si>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</si>
  <si>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</si>
  <si>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</si>
  <si>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</si>
  <si>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</si>
  <si>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</si>
  <si>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</si>
  <si>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</si>
  <si>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</si>
  <si>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</si>
  <si>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</si>
  <si>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</si>
  <si>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</si>
  <si>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</si>
  <si>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</si>
  <si>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</si>
  <si>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</si>
  <si>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</si>
  <si>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</si>
  <si>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</si>
  <si>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</si>
  <si>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</si>
  <si>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</si>
  <si>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</si>
  <si>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</si>
  <si>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</si>
  <si>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</si>
  <si>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</si>
  <si>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</si>
  <si>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</si>
  <si>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</si>
  <si>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</si>
  <si>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</si>
  <si>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</si>
  <si>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</si>
  <si>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</si>
  <si>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</si>
  <si>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</si>
  <si>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</si>
  <si>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</si>
  <si>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</si>
  <si>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</si>
  <si>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</si>
  <si>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</si>
  <si>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</si>
  <si>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</si>
  <si>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</si>
  <si>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</si>
  <si>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</si>
  <si>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</si>
  <si>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</si>
  <si>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</si>
  <si>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</si>
  <si>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</si>
  <si>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</si>
  <si>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</si>
  <si>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</si>
  <si>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</si>
  <si>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</si>
  <si>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</si>
  <si>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</si>
  <si>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</si>
  <si>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</si>
  <si>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</si>
  <si>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</si>
  <si>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</si>
  <si>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</si>
  <si>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</si>
  <si>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</si>
  <si>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</si>
  <si>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</si>
  <si>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</si>
  <si>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</si>
  <si>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</si>
  <si>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</si>
  <si>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</si>
  <si>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</si>
  <si>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</si>
  <si>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</si>
  <si>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</si>
  <si>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</si>
  <si>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</si>
  <si>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</si>
  <si>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</si>
  <si>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</si>
  <si>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</si>
  <si>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</si>
  <si>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</si>
  <si>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</si>
  <si>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</si>
  <si>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</si>
  <si>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</si>
  <si>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</si>
  <si>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</si>
  <si>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</si>
  <si>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</si>
  <si>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</si>
  <si>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</si>
  <si>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</si>
  <si>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</si>
  <si>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</si>
  <si>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</si>
  <si>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</si>
  <si>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</si>
  <si>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</si>
  <si>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</si>
  <si>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</si>
  <si>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</si>
  <si>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</si>
  <si>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</si>
  <si>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</si>
  <si>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</si>
  <si>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</si>
  <si>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</si>
  <si>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</si>
  <si>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</si>
  <si>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</si>
  <si>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</si>
  <si>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</si>
  <si>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</si>
  <si>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</si>
  <si>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</si>
  <si>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</si>
  <si>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</si>
  <si>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</si>
  <si>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</si>
  <si>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</si>
  <si>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</si>
  <si>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</si>
  <si>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</si>
  <si>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</si>
  <si>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</si>
  <si>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</si>
  <si>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</si>
  <si>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</si>
  <si>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</si>
  <si>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</si>
  <si>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</si>
  <si>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</si>
  <si>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</si>
  <si>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</si>
  <si>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</si>
  <si>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</si>
  <si>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</si>
  <si>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</si>
  <si>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</si>
  <si>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</si>
  <si>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</si>
  <si>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</si>
  <si>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</si>
  <si>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</si>
  <si>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</si>
  <si>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</si>
  <si>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</si>
  <si>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INSUMO 4815</t>
  </si>
  <si>
    <t>ENSAIO DE CONSISTÊNCIA DO CONCRETO - SLUMP TEST</t>
  </si>
  <si>
    <t>Projeção do prédio em planta com um offset de 5 metros</t>
  </si>
  <si>
    <t>Placa do IBRAM</t>
  </si>
  <si>
    <t>10.01.102</t>
  </si>
  <si>
    <t>Armação para base de concreto das bancadas, em tela de aço CA-60, nervurada, 4,2mm, malha 15x15cm</t>
  </si>
  <si>
    <t>Térreo (conforme prancha PB-CO 02/12)</t>
  </si>
  <si>
    <t>1o Pavimento (conforme prancha PB-CO 03/12)</t>
  </si>
  <si>
    <t>Cobertura (conforme prancha PB-CO 04/12)</t>
  </si>
  <si>
    <t>Telhamento com telha metálica pré-pintada, espessura 0,65mm, altura 4 cm, com até duas águas, incluso içamento</t>
  </si>
  <si>
    <t>PARAFUSO AUTOATARRACHANTE PARA TELHA, COM PORCA, 2 ARRUELAS CÔNCAVAS</t>
  </si>
  <si>
    <t>01.REVE. FORR.022/ MOD</t>
  </si>
  <si>
    <t>97734 MOD</t>
  </si>
  <si>
    <t>05.01.207.06</t>
  </si>
  <si>
    <t>DISJUNTOR TRIPOLAR 150A, PADRÃO DIN (LINHA BRANCA), CORRENTE DE INTERRUPÇÃO 22kA</t>
  </si>
  <si>
    <t>CURVA DE INVERSÃO 100X100MM PARA ELETROCALHA METÁLICA</t>
  </si>
  <si>
    <t>CURVA HORIZONTAL 200X100MM PARA ELETROCALHA METÁLICA COM ÂNGULO DE 90</t>
  </si>
  <si>
    <t>P.15.000.046175</t>
  </si>
  <si>
    <t>S.04.000.034078</t>
  </si>
  <si>
    <t>66.20.225</t>
  </si>
  <si>
    <t>P.17.000.031490</t>
  </si>
  <si>
    <t>Switch 24 portas 10/100/1000Base-TX, 4 portas SFP fixas, 2 portas de empilhamento, fornecimento e instalação</t>
  </si>
  <si>
    <t>CERTIFICAÇÃO DA REDE DE CABEAMENTO ESTRUTURADO</t>
  </si>
  <si>
    <t>06.09.101.01</t>
  </si>
  <si>
    <t>AR-COTEC</t>
  </si>
  <si>
    <t>62.706.668/0001-06</t>
  </si>
  <si>
    <t>(11) 2935-2680</t>
  </si>
  <si>
    <t>http://www.arcotec.com.br/catalogo-produtos/acessorios-para-dutos-tdc/canto-para-duto-tdc-25mm-18/</t>
  </si>
  <si>
    <t>lojavirtual@arcotec.com.br</t>
  </si>
  <si>
    <t>Perfilado tipo “U” galvanizado 38x19mm, 6 metros de comprimento</t>
  </si>
  <si>
    <t>45cm</t>
  </si>
  <si>
    <t>Plantio de grama batatais em placas, com mão de obra, irrigação, adubo e reaproveitamento da terra proveniente da limpeza do terreno</t>
  </si>
  <si>
    <t>98504 MOD</t>
  </si>
  <si>
    <t>Elaboração de manual de uso e operação</t>
  </si>
  <si>
    <t>TANQUE DE PRESSÃO CAPACIDADE MÍNIMA 10L</t>
  </si>
  <si>
    <t>Barramento de cobre eletrolítico para 13,8 kV, em formato redondo maciço (vergalhão), 3/8"</t>
  </si>
  <si>
    <t>Fusível HH, 40A, 15/17,5kV</t>
  </si>
  <si>
    <t>Entrada e medição de energia em MT</t>
  </si>
  <si>
    <t>06.01.301</t>
  </si>
  <si>
    <t>06.01.206.02</t>
  </si>
  <si>
    <t>06.01.213</t>
  </si>
  <si>
    <t>37.12.120</t>
  </si>
  <si>
    <t>FUSÍVEL HH 15KV DE 2,5A A 50A</t>
  </si>
  <si>
    <t>P.27.000.042310</t>
  </si>
  <si>
    <t>P.12.000.041010</t>
  </si>
  <si>
    <t>TRANSFORMADOR DE POTÊNCIA TRIFÁSICO DE 500 KVA, CLASSE 15KV A SECO</t>
  </si>
  <si>
    <t>11850 MOD</t>
  </si>
  <si>
    <t>VERGALHÃO DE COBRE ELETROLÍTICO 3/8"</t>
  </si>
  <si>
    <t>Projeto as-built de arquitetura: edifício principal</t>
  </si>
  <si>
    <t>Projeto as-built de instalações hidrossanitárias: edifício principal</t>
  </si>
  <si>
    <t>Projeto as-built de instalações elétricas: edifício principal</t>
  </si>
  <si>
    <t>Projeto as-built de incêndio: edifício principal</t>
  </si>
  <si>
    <t>Projeto as-built de cabeamento estruturado: edifício principal</t>
  </si>
  <si>
    <t>Projeto as-built de climatização: edifício principal</t>
  </si>
  <si>
    <t>Projeto as-built de SPDA: edifício principal</t>
  </si>
  <si>
    <t>Projeto as-built de CFTV: edifício principal</t>
  </si>
  <si>
    <t>Projeto as-built de estruturas e fundações: edifício principal</t>
  </si>
  <si>
    <t>Almoxarife com encargos complementares (a partir do sexto mês)</t>
  </si>
  <si>
    <t>Eletrodutos entre subestação e prédio</t>
  </si>
  <si>
    <t>Cabo de cobre flexível, isolado em EPR, 95mm2, baixa emissão de fumaça e gases, 0,6/1,0 kV</t>
  </si>
  <si>
    <t>39.26.110</t>
  </si>
  <si>
    <t>P.08.000.043060</t>
  </si>
  <si>
    <t>CABO COBRE FLEXÍVEL 95MM2, ISOLAMENTO 0,6/1KV, ISOLAÇÃO HEPR 90, TÊMPERA MOLE, CLASSE 5, BAIXA EMISSÃO DE FUMAÇA, REF CABOS AFUMEX PRYSMIAN OU EQUIVALENTE</t>
  </si>
  <si>
    <t>Cabo de cobre flexível, isolado em EPR, 185mm2, baixa emissão de fumaça e gases, 0,6/1,0 kV</t>
  </si>
  <si>
    <t>39.26.140</t>
  </si>
  <si>
    <t>P.08.000.043063</t>
  </si>
  <si>
    <t>CABO COBRE FLEXÍVEL 185MM2, ISOLAMENTO 0,6/1KV, ISOLAÇÃO HEPR 90, TÊMPERA MOLE, CLASSE 5, BAIXA EMISSÃO DE FUMAÇA, REF CABOS AFUMEX PRYSMIAN OU EQUIVALENTE</t>
  </si>
  <si>
    <t>Cabo de cobre flexível, isolado em EPR, 2,5mm2, baixa emissão de fumaça e gases, 0,6/1,0 kV</t>
  </si>
  <si>
    <t>CABO COBRE FLEXÍVEL 2,5MM2, ISOLAMENTO 0,6/1KV, ISOLAÇÃO HEPR 90, TÊMPERA MOLE, CLASSE 5, BAIXA EMISSÃO DE FUMAÇA, REF CABOS AFUMEX PRYSMIAN OU EQUIVALENTE</t>
  </si>
  <si>
    <t>P.08.000.043051</t>
  </si>
  <si>
    <t>Cabo de cobre flexível, isolado em EPR, 4,0mm2, baixa emissão de fumaça e gases, 0,6/1,0 kV</t>
  </si>
  <si>
    <t>P.08.000.043052</t>
  </si>
  <si>
    <t>CABO COBRE FLEXÍVEL 4,0MM2, ISOLAMENTO 0,6/1KV, ISOLAÇÃO HEPR 90, TÊMPERA MOLE, CLASSE 5, BAIXA EMISSÃO DE FUMAÇA, REF CABOS AFUMEX PRYSMIAN OU EQUIVALENTE</t>
  </si>
  <si>
    <t>39.26.020</t>
  </si>
  <si>
    <t>39.26.030</t>
  </si>
  <si>
    <t>39.26.040</t>
  </si>
  <si>
    <t>P.08.000.043053</t>
  </si>
  <si>
    <t>CABO COBRE FLEXÍVEL 6,0MM2, ISOLAMENTO 0,6/1KV, ISOLAÇÃO HEPR 90, TÊMPERA MOLE, CLASSE 5, BAIXA EMISSÃO DE FUMAÇA, REF CABOS AFUMEX PRYSMIAN OU EQUIVALENTE</t>
  </si>
  <si>
    <t>Cabo de cobre flexível, isolado em EPR, 6,0mm2, baixa emissão de fumaça e gases, 0,6/1,0 kV</t>
  </si>
  <si>
    <t>39.16.050</t>
  </si>
  <si>
    <t>Cabo de cobre flexível, isolado em EPR, 10mm2, baixa emissão de fumaça e gases, 0,6/1,0 kV</t>
  </si>
  <si>
    <t>CABO COBRE FLEXÍVEL 10MM2, ISOLAMENTO 0,6/1KV, ISOLAÇÃO HEPR 90, TÊMPERA MOLE, CLASSE 5, BAIXA EMISSÃO DE FUMAÇA, REF CABOS AFUMEX PRYSMIAN OU EQUIVALENTE</t>
  </si>
  <si>
    <t>P.08.000.043054</t>
  </si>
  <si>
    <t>39.16.060</t>
  </si>
  <si>
    <t>P.08.000.043055</t>
  </si>
  <si>
    <t>CABO COBRE FLEXÍVEL 16MM2, ISOLAMENTO 0,6/1KV, ISOLAÇÃO HEPR 90, TÊMPERA MOLE, CLASSE 5, BAIXA EMISSÃO DE FUMAÇA, REF CABOS AFUMEX PRYSMIAN OU EQUIVALENTE</t>
  </si>
  <si>
    <t>Cabo de cobre flexível, isolado em EPR, 16mm2, baixa emissão de fumaça e gases, 0,6/1,0 kV</t>
  </si>
  <si>
    <t>39.26.070</t>
  </si>
  <si>
    <t>P.08.000.043056</t>
  </si>
  <si>
    <t>CABO COBRE FLEXÍVEL 25MM2, ISOLAMENTO 0,6/1KV, ISOLAÇÃO HEPR 90, TÊMPERA MOLE, CLASSE 5, BAIXA EMISSÃO DE FUMAÇA, REF CABOS AFUMEX PRYSMIAN OU EQUIVALENTE</t>
  </si>
  <si>
    <t>Cabo de cobre flexível, isolado em EPR, 25mm2, baixa emissão de fumaça e gases, 0,6/1,0 kV</t>
  </si>
  <si>
    <t>39.26.080</t>
  </si>
  <si>
    <t>Cabo de cobre flexível, isolado em EPR, 35mm2, baixa emissão de fumaça e gases, 0,6/1,0 kV</t>
  </si>
  <si>
    <t>CABO COBRE FLEXÍVEL 35MM2, ISOLAMENTO 0,6/1KV, ISOLAÇÃO HEPR 90, TÊMPERA MOLE, CLASSE 5, BAIXA EMISSÃO DE FUMAÇA, REF CABOS AFUMEX PRYSMIAN OU EQUIVALENTE</t>
  </si>
  <si>
    <t>P.08.000.043057</t>
  </si>
  <si>
    <t>39.26.090</t>
  </si>
  <si>
    <t>Cabo de cobre flexível, isolado em EPR, 50mm2, baixa emissão de fumaça e gases, 0,6/1,0 kV</t>
  </si>
  <si>
    <t>P.08.000.043058</t>
  </si>
  <si>
    <t>CABO COBRE FLEXÍVEL 50MM2, ISOLAMENTO 0,6/1KV, ISOLAÇÃO HEPR 90, TÊMPERA MOLE, CLASSE 5, BAIXA EMISSÃO DE FUMAÇA, REF CABOS AFUMEX PRYSMIAN OU EQUIVALENTE</t>
  </si>
  <si>
    <t>39.26.100</t>
  </si>
  <si>
    <t>Cabo de cobre flexível, isolado em EPR, 70mm2, baixa emissão de fumaça e gases, 0,6/1,0 kV</t>
  </si>
  <si>
    <t>P.08.000.043059</t>
  </si>
  <si>
    <t>CABO COBRE FLEXÍVEL 70MM2, ISOLAMENTO 0,6/1KV, ISOLAÇÃO HEPR 90, TÊMPERA MOLE, CLASSE 5, BAIXA EMISSÃO DE FUMAÇA, REF CABOS AFUMEX PRYSMIAN OU EQUIVALENTE</t>
  </si>
  <si>
    <t>06.01.305.14</t>
  </si>
  <si>
    <t>conjunto</t>
  </si>
  <si>
    <t>Daikin</t>
  </si>
  <si>
    <t>Proposta por email</t>
  </si>
  <si>
    <t>02.172.568/0001-15</t>
  </si>
  <si>
    <t>danilo.viana@daikin.com.br</t>
  </si>
  <si>
    <t>(11) 3123-2525</t>
  </si>
  <si>
    <t>https://www.daikin.com.br/</t>
  </si>
  <si>
    <t>Conjunto de unidades condensadoras e evaporadoras, conforme projeto de ar-condicionado, apenas fornecimento de máquinas, inclusive controles remotos e paineis das unidades cassete</t>
  </si>
  <si>
    <t>Campus Darcy Ribeiro</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</si>
  <si>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</si>
  <si>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</si>
  <si>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</si>
  <si>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</si>
  <si>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</si>
  <si>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</si>
  <si>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</si>
  <si>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</si>
  <si>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</si>
  <si>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</si>
  <si>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</si>
  <si>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</si>
  <si>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</si>
  <si>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</si>
  <si>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</si>
  <si>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</si>
  <si>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</si>
  <si>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</si>
  <si>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</si>
  <si>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</si>
  <si>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</si>
  <si>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</si>
  <si>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</si>
  <si>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</si>
  <si>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</si>
  <si>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</si>
  <si>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</si>
  <si>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</si>
  <si>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</si>
  <si>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</si>
  <si>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</si>
  <si>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</si>
  <si>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</si>
  <si>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</si>
  <si>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</si>
  <si>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</si>
  <si>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</si>
  <si>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</si>
  <si>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</si>
  <si>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</si>
  <si>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</si>
  <si>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</si>
  <si>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</si>
  <si>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</si>
  <si>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</si>
  <si>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</si>
  <si>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</si>
  <si>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</si>
  <si>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</si>
  <si>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</si>
  <si>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</si>
  <si>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</si>
  <si>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</si>
  <si>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</si>
  <si>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</si>
  <si>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</si>
  <si>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</si>
  <si>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</si>
  <si>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</si>
  <si>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</si>
  <si>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</si>
  <si>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</si>
  <si>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</si>
  <si>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</si>
  <si>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</si>
  <si>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</si>
  <si>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</si>
  <si>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</si>
  <si>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</si>
  <si>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</si>
  <si>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</si>
  <si>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</si>
  <si>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</si>
  <si>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</si>
  <si>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</si>
  <si>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</si>
  <si>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</si>
  <si>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</si>
  <si>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</si>
  <si>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</si>
  <si>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</si>
  <si>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</si>
  <si>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</si>
  <si>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</si>
  <si>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</si>
  <si>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</si>
  <si>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</si>
  <si>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</si>
  <si>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</si>
  <si>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</si>
  <si>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</si>
  <si>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</si>
  <si>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</si>
  <si>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</si>
  <si>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</si>
  <si>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</si>
  <si>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</si>
  <si>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</si>
  <si>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</si>
  <si>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</si>
  <si>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</si>
  <si>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</si>
  <si>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</si>
  <si>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</si>
  <si>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</si>
  <si>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</si>
  <si>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</si>
  <si>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</si>
  <si>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</si>
  <si>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</si>
  <si>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</si>
  <si>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</si>
  <si>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</si>
  <si>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</si>
  <si>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</si>
  <si>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</si>
  <si>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</si>
  <si>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</si>
  <si>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</si>
  <si>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</si>
  <si>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</si>
  <si>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</si>
  <si>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</si>
  <si>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</si>
  <si>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</si>
  <si>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</si>
  <si>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</si>
  <si>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</si>
  <si>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</si>
  <si>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</si>
  <si>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</si>
  <si>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</si>
  <si>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</si>
  <si>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</si>
  <si>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</si>
  <si>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</si>
  <si>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</si>
  <si>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</si>
  <si>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</si>
  <si>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</si>
  <si>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</si>
  <si>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</si>
  <si>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</si>
  <si>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</si>
  <si>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</si>
  <si>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</si>
  <si>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TECNICO DE EDIFICACOES COM ENCARGOS COMPLEMENTARES</t>
  </si>
  <si>
    <t>CURSO DE CAPACITAÇÃO PARA TECNICO DE EDIFICACOES (ENCARGOS COMPLEMENTARES) - HORISTA</t>
  </si>
  <si>
    <t>CURSO DE CAPACITAÇÃO PARA TECNICO DE EDIFICACOES (ENCARGOS COMPLEMENTARES) - MENSALISTA</t>
  </si>
  <si>
    <t>Limpeza final da obra</t>
  </si>
  <si>
    <t>Projeção de cada pavimento do edifício principal</t>
  </si>
  <si>
    <t>SETOP-MG</t>
  </si>
  <si>
    <t>ED-4292</t>
  </si>
  <si>
    <t>FALTAM PROJETOS DE FUNDAÇÕES</t>
  </si>
  <si>
    <t>40535 INSUMO</t>
  </si>
  <si>
    <t>CAIXILHO EM ALUMÍNIO FIXO SOB MEDIDA</t>
  </si>
  <si>
    <t>H.05.000.031155</t>
  </si>
  <si>
    <t>CAIXILHO EM ALUMÍNIO MAXIM-AR SOB MEDIDA</t>
  </si>
  <si>
    <t>H.05.000.031156</t>
  </si>
  <si>
    <t>CAIXILHO EM ALUMÍNIO ANODIZADO TIPO VENEZIANA, SOB MEDIDA</t>
  </si>
  <si>
    <t>H.05.000.090632</t>
  </si>
  <si>
    <t>GRELHA DE PORTA, MODELO DE REF. AGS-T, TAMANHO 300X200MM</t>
  </si>
  <si>
    <t>GRELHA DE PORTA, MODELO DE REF. AGS-T, TAMANHO 500X300</t>
  </si>
  <si>
    <t>26.01.170 MOD</t>
  </si>
  <si>
    <t>VIDRO LISO LAMINADO INCOLOR DE 10 MM</t>
  </si>
  <si>
    <t>H.07.000.037008</t>
  </si>
  <si>
    <t>87623 MOD</t>
  </si>
  <si>
    <t>Consumo de argamassa baritada obtido de https://www.grupogrx.com.br/aplicacao-argamassa-baritada</t>
  </si>
  <si>
    <t>04.01.561.05</t>
  </si>
  <si>
    <t>Bolsa de ligação para vaso sanitário 1 1/2"</t>
  </si>
  <si>
    <t>Joelho 90 graus com rosca e bucha de latão, PVC roscável 1/2"</t>
  </si>
  <si>
    <t>Joelho 90 graus com rosca e bucha de latão, PVC roscável 3/4"</t>
  </si>
  <si>
    <t>Joelho de redução 90 graus PVC soldável, 32mm-25mm, fornecimento e instalação</t>
  </si>
  <si>
    <t>Joelho de redução 90 graus PVC soldável, 40mm-32mm, fornecimento e instalação</t>
  </si>
  <si>
    <t>Pavto. Térreo (HID-01-08)</t>
  </si>
  <si>
    <t>Reservatório (HID-04-08 DET H1)</t>
  </si>
  <si>
    <t>Pavto. Superior (HID-05-08)</t>
  </si>
  <si>
    <t>Cobertura (HID-08-08)</t>
  </si>
  <si>
    <t>05.01.208.06</t>
  </si>
  <si>
    <t>Lavatório louça (tipo Deca-Linha Vogue Plus Conforto, ref L-510 ou similar) com coluna suspensa, (tipo Deca, Linha Vogue Plus Conforto, ref. C-510 ou similar), c/ sifão cromado, válvula cromada, engate cromado, exclusive torneira</t>
  </si>
  <si>
    <t>SCO-RJ</t>
  </si>
  <si>
    <t>TCPO</t>
  </si>
  <si>
    <t>8075 MOD</t>
  </si>
  <si>
    <t>Caixa de aterramento 250x250x250 com tampa metálica</t>
  </si>
  <si>
    <t>Haste de aterramento 5/8 para SPDA, fornecimento e instalação</t>
  </si>
  <si>
    <t>Tabela constante no site</t>
  </si>
  <si>
    <t>00.082.024/0001-37</t>
  </si>
  <si>
    <t>https://www.caesb.df.gov.br/</t>
  </si>
  <si>
    <t>06.001.000068.MAT</t>
  </si>
  <si>
    <t>PAINEL ALVEOLAR DE CONCRETO PROTENDIDO</t>
  </si>
  <si>
    <t>https://www.aladimmetais.com.br/produto/tubo-quadrado-metalon-40-x-40-1-25-galvanizado-6mts-76669?atributo=1.25%20Galv.:250</t>
  </si>
  <si>
    <t>Borille Metalúrgica</t>
  </si>
  <si>
    <t>Proposta email</t>
  </si>
  <si>
    <t>11.258.091/001-86</t>
  </si>
  <si>
    <t>(61) 98559-3940</t>
  </si>
  <si>
    <t>www.metalurgicaborille.com.br</t>
  </si>
  <si>
    <t>contato@metalurgicaborille.com.br</t>
  </si>
  <si>
    <t>Cortes</t>
  </si>
  <si>
    <t>02.04.200</t>
  </si>
  <si>
    <t>Escavação mecânica de material de 1a categoria proveninente de corte</t>
  </si>
  <si>
    <t>Volume de corte não compensado</t>
  </si>
  <si>
    <t>(corte -&gt; solto)</t>
  </si>
  <si>
    <t>Fator de conversão corte-&gt;solto obtido do livro "Como preparar orçamentos de obras" - Aldo Dórea Mattos, 2006, pág 140</t>
  </si>
  <si>
    <t>Transporte com caminhão basculante de 6m3 em via urbana pavimentada, DMT até 30 km (estimado em 2 km)</t>
  </si>
  <si>
    <t>98459 MOD</t>
  </si>
  <si>
    <t>Tapume com telha metálica, inclusive portão de pedestres, h=2,12m (2,02 de altura de fechamento + 10cm de espaçamento do chão)</t>
  </si>
  <si>
    <t>02.01.405</t>
  </si>
  <si>
    <t>Portão metálico para tapume, fechamento com telha metálica, comprimento de 6m</t>
  </si>
  <si>
    <t>12759 MOD</t>
  </si>
  <si>
    <t>MAT095800</t>
  </si>
  <si>
    <t>E.04.000.037504</t>
  </si>
  <si>
    <t>02.01.201.01</t>
  </si>
  <si>
    <t>02.01.201.02</t>
  </si>
  <si>
    <t>Execução de reservatório elevado de água (1000 litros) em canteiro de obra, apoiado em estrutura de madeira</t>
  </si>
  <si>
    <t>02.01.101.01</t>
  </si>
  <si>
    <t>02.01.101.02</t>
  </si>
  <si>
    <t>Locação de container tipo escritório, sem banheiros, dimensões 6,00x2,30m (para SESMT/ambulatório)</t>
  </si>
  <si>
    <t>und x mês</t>
  </si>
  <si>
    <t>Locação de container tipo escritório, com banheiros, dimensões 6,00x2,30m (3 escritórios da administração local)</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</si>
  <si>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</si>
  <si>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</si>
  <si>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</si>
  <si>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</si>
  <si>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</si>
  <si>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</si>
  <si>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</si>
  <si>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</si>
  <si>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</si>
  <si>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</si>
  <si>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</si>
  <si>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</si>
  <si>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</si>
  <si>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</si>
  <si>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</si>
  <si>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</si>
  <si>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</si>
  <si>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</si>
  <si>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</si>
  <si>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</si>
  <si>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</si>
  <si>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</si>
  <si>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</si>
  <si>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</si>
  <si>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</si>
  <si>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</si>
  <si>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</si>
  <si>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</si>
  <si>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</si>
  <si>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</si>
  <si>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</si>
  <si>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</si>
  <si>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</si>
  <si>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</si>
  <si>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</si>
  <si>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</si>
  <si>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</si>
  <si>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</si>
  <si>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</si>
  <si>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</si>
  <si>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</si>
  <si>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</si>
  <si>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</si>
  <si>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</si>
  <si>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</si>
  <si>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</si>
  <si>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</si>
  <si>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</si>
  <si>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</si>
  <si>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</si>
  <si>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</si>
  <si>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</si>
  <si>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</si>
  <si>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</si>
  <si>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</si>
  <si>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</si>
  <si>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</si>
  <si>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</si>
  <si>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</si>
  <si>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</si>
  <si>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</si>
  <si>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</si>
  <si>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</si>
  <si>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</si>
  <si>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</si>
  <si>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</si>
  <si>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</si>
  <si>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</si>
  <si>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</si>
  <si>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</si>
  <si>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</si>
  <si>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</si>
  <si>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</si>
  <si>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</si>
  <si>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</si>
  <si>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</si>
  <si>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</si>
  <si>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</si>
  <si>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</si>
  <si>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</si>
  <si>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</si>
  <si>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</si>
  <si>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</si>
  <si>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</si>
  <si>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</si>
  <si>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</si>
  <si>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</si>
  <si>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</si>
  <si>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</si>
  <si>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</si>
  <si>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</si>
  <si>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</si>
  <si>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</si>
  <si>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</si>
  <si>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</si>
  <si>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</si>
  <si>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</si>
  <si>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</si>
  <si>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</si>
  <si>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</si>
  <si>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</si>
  <si>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</si>
  <si>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</si>
  <si>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</si>
  <si>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</si>
  <si>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</si>
  <si>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</si>
  <si>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</si>
  <si>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</si>
  <si>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</si>
  <si>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</si>
  <si>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</si>
  <si>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</si>
  <si>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</si>
  <si>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</si>
  <si>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</si>
  <si>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</si>
  <si>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</si>
  <si>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</si>
  <si>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</si>
  <si>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</si>
  <si>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</si>
  <si>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</si>
  <si>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</si>
  <si>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</si>
  <si>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</si>
  <si>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</si>
  <si>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</si>
  <si>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</si>
  <si>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</si>
  <si>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</si>
  <si>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</si>
  <si>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</si>
  <si>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</si>
  <si>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</si>
  <si>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</si>
  <si>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</si>
  <si>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</si>
  <si>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</si>
  <si>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</si>
  <si>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</si>
  <si>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</si>
  <si>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</si>
  <si>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</si>
  <si>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</si>
  <si>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</si>
  <si>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</si>
  <si>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</si>
  <si>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</si>
  <si>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</si>
  <si>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</si>
  <si>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</si>
  <si>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</si>
  <si>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</si>
  <si>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</si>
  <si>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</si>
  <si>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</si>
  <si>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</si>
  <si>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</si>
  <si>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</si>
  <si>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</si>
  <si>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</si>
  <si>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</si>
  <si>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</si>
  <si>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</si>
  <si>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</si>
  <si>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</si>
  <si>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</si>
  <si>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</si>
  <si>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</si>
  <si>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</si>
  <si>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</si>
  <si>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</si>
  <si>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</si>
  <si>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</si>
  <si>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</si>
  <si>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</si>
  <si>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</si>
  <si>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</si>
  <si>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</si>
  <si>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</si>
  <si>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</si>
  <si>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</si>
  <si>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</si>
  <si>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</si>
  <si>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</si>
  <si>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</si>
  <si>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</si>
  <si>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</si>
  <si>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</si>
  <si>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</si>
  <si>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</si>
  <si>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</si>
  <si>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</si>
  <si>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</si>
  <si>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</si>
  <si>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</si>
  <si>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</si>
  <si>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</si>
  <si>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</si>
  <si>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</si>
  <si>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</si>
  <si>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</si>
  <si>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</si>
  <si>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</si>
  <si>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</si>
  <si>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</si>
  <si>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</si>
  <si>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</si>
  <si>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</si>
  <si>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</si>
  <si>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</si>
  <si>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</si>
  <si>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</si>
  <si>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</si>
  <si>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</si>
  <si>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</si>
  <si>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</si>
  <si>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</si>
  <si>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</si>
  <si>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</si>
  <si>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</si>
  <si>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</si>
  <si>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</si>
  <si>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</si>
  <si>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</si>
  <si>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</si>
  <si>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</si>
  <si>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</si>
  <si>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</si>
  <si>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</si>
  <si>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</si>
  <si>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</si>
  <si>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</si>
  <si>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</si>
  <si>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</si>
  <si>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</si>
  <si>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</si>
  <si>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</si>
  <si>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</si>
  <si>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</si>
  <si>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</si>
  <si>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</si>
  <si>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</si>
  <si>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</si>
  <si>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</si>
  <si>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</si>
  <si>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</si>
  <si>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</si>
  <si>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</si>
  <si>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</si>
  <si>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</si>
  <si>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</si>
  <si>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REGULARIZACAO/REFORCO DE SUBLEITO</t>
  </si>
  <si>
    <t>0055</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</si>
  <si>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</si>
  <si>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</si>
  <si>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</si>
  <si>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</si>
  <si>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</si>
  <si>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</si>
  <si>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</si>
  <si>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</si>
  <si>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</si>
  <si>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</si>
  <si>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</si>
  <si>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</si>
  <si>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</si>
  <si>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</si>
  <si>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</si>
  <si>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</si>
  <si>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</si>
  <si>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</si>
  <si>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</si>
  <si>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</si>
  <si>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</si>
  <si>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</si>
  <si>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</si>
  <si>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</si>
  <si>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</si>
  <si>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</si>
  <si>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Adaptador PEAD para ligação de água, 20mm x 3/4"</t>
  </si>
  <si>
    <t>05.01.250</t>
  </si>
  <si>
    <t>Tubulação de PEAD</t>
  </si>
  <si>
    <t>05.01.252</t>
  </si>
  <si>
    <t>Ramal predial em tubo PEAD 20mm - fornecimento, instalação, escavação e reaterro</t>
  </si>
  <si>
    <t>05.01.251</t>
  </si>
  <si>
    <t>02.02.320</t>
  </si>
  <si>
    <t>Remoção de redes hidráulicas, elétricas e de utilidades</t>
  </si>
  <si>
    <t>Remoção de rede coletora de esgoto DN 150</t>
  </si>
  <si>
    <t>02.02.321.01</t>
  </si>
  <si>
    <t>Demolição de poço de visita</t>
  </si>
  <si>
    <t>6397 MOD</t>
  </si>
  <si>
    <t>02.02.321.02</t>
  </si>
  <si>
    <t>Considerando a natureza de trabalho semelhante, foi usada como base a composição ORSE 6397 (mesma do item 02.02.321.01), com um comprimento de 3 metros</t>
  </si>
  <si>
    <t>05.03.301.01</t>
  </si>
  <si>
    <t>05.03.301.02</t>
  </si>
  <si>
    <t>Tubo de PVC série R para águas pluviais, diâmetro 150mm, fornecido e instalado</t>
  </si>
  <si>
    <t>05.03.905</t>
  </si>
  <si>
    <t>Poço de visita circular para drenagem, em concreto pré-moldado, diâmetro interno = 1m, profundidade até 1,45m</t>
  </si>
  <si>
    <t>03.DROP. PVIS. 053/03</t>
  </si>
  <si>
    <t>O anel de concreto com fundo foi substituído por um anel comum + tampa de fundo</t>
  </si>
  <si>
    <t>TAMPA OU FUNDO PRÉ-MOLDADO EM CONCRETO ARMADO, DIÂMETRO 1,00M, PARA POÇOS DE VISITA OU AFINS</t>
  </si>
  <si>
    <t>05.06.101</t>
  </si>
  <si>
    <t>Reaterro manual de valas</t>
  </si>
  <si>
    <t>Base para poço de visita circular para esgoto, em concreto pré-moldado, diâmetro interno = 1m, profundidade = 1,45m</t>
  </si>
  <si>
    <t>05.04.806.01</t>
  </si>
  <si>
    <t>05.04.806.02</t>
  </si>
  <si>
    <t>05.04.806.03</t>
  </si>
  <si>
    <t>Acréscimo para poço de visita circular para esgoto em concreto pré-moldado, diâmetro interno = 1m</t>
  </si>
  <si>
    <t>6096 MOD</t>
  </si>
  <si>
    <t>Ligação provisória predial de água</t>
  </si>
  <si>
    <t>Ligação provisória de esgoto DN 100mm, até a caixa, composta por 50m de tubo de PVC de esgoto predial DN 100mm e caixa de alvenaria com tampa de concreto</t>
  </si>
  <si>
    <t>73658 MOD</t>
  </si>
  <si>
    <t>04.04.304</t>
  </si>
  <si>
    <t>Complemento GC-01 no patamar</t>
  </si>
  <si>
    <t>Complemento GC-02 na subida</t>
  </si>
  <si>
    <t>Complemento GC-02 no 2º patamar</t>
  </si>
  <si>
    <t>GC-01 (trecho inclinado)</t>
  </si>
  <si>
    <t>GC-02 (patamar)</t>
  </si>
  <si>
    <t>GC-03 (patamar)</t>
  </si>
  <si>
    <t>Complemento GC-03 na subida</t>
  </si>
  <si>
    <t>GC-04 (1ª subida)</t>
  </si>
  <si>
    <t>GC-04 (2ª subida)</t>
  </si>
  <si>
    <t>GC-04 (3ª subida)</t>
  </si>
  <si>
    <t>GC-05</t>
  </si>
  <si>
    <t>GC-06</t>
  </si>
  <si>
    <t>GC-07</t>
  </si>
  <si>
    <t>GC-08</t>
  </si>
  <si>
    <t>GC-09</t>
  </si>
  <si>
    <t>Áreas descritas como "manutenção" (acessos e parte entre brise e fachada)</t>
  </si>
  <si>
    <t>Guarda-corpo de montantes em chapa metálica, com acabamento em pintura esmalte branco brilhante e vedação em vidro, com corrimãos nas alturas de 92 e 70cm em uma face, exclusive vidros (escadas internas e pavimento superior)</t>
  </si>
  <si>
    <t>Fornecimento de telhas perfuradas MBP-25, 16 furos/cm2, esp 0,8 mm, pintura em pó poliéster 50 micra na cor branco aplicado sobre superfície fosfotizada, fixadas em perfis metálicos, na cor branca e paineis bricromatizados Ecocel ou equivalente, para instalação na estrutura de brises</t>
  </si>
  <si>
    <t>GRUPO PIZZINATTO</t>
  </si>
  <si>
    <t>Proposta comercial via email</t>
  </si>
  <si>
    <t>05.552.129/0001-26</t>
  </si>
  <si>
    <t>https://grupopizzinatto.com.br/</t>
  </si>
  <si>
    <t>(19) 2106-7233</t>
  </si>
  <si>
    <t>contato@grupopizzinatto.com.br</t>
  </si>
  <si>
    <t>TELHA TRAPEZOIDAL PERFURADA GALVALUME 0,65 BRANCA</t>
  </si>
  <si>
    <t>Caixa metálica de sobrepor para montagem, 600x500x200mm (para até 12 disjuntores)</t>
  </si>
  <si>
    <t>Caixa metálica de sobrepor para montagem, 800x600x200 (para até 32 disjuntores)</t>
  </si>
  <si>
    <t>Caixa metálica de sobrepor para montagem, 1200x800x250mm (para até 45 disjuntores)</t>
  </si>
  <si>
    <t>37.04.250 MOD</t>
  </si>
  <si>
    <t>37.04.270 MOD</t>
  </si>
  <si>
    <t>37.04.280</t>
  </si>
  <si>
    <t>Eletroduto PVC rígido roscável 1 1/4"</t>
  </si>
  <si>
    <t>Eletroduto PVC rígido roscável 2"</t>
  </si>
  <si>
    <t>Cabo de cobre flexível isolado, #10mm2, anti-chama, 450/750V,  fornecimento e instalação</t>
  </si>
  <si>
    <t>Cabo de cobre flexível isolado, #16mm2, anti-chama, 450/750V,  fornecimento e instalação</t>
  </si>
  <si>
    <t>Cabo de cobre flexível isolado, #25mm2, anti-chama, 450/750V,  fornecimento e instalação</t>
  </si>
  <si>
    <t>06.01.305.16</t>
  </si>
  <si>
    <t>06.01.305.17</t>
  </si>
  <si>
    <t>Disjuntor tripolar tipo DIN, corrente nominal 125A - 6kA, fornecimento e instalação</t>
  </si>
  <si>
    <t>Disjuntor tripolar tipo DIN, corrente nominal 125A - 18kA, em caixa moldada, fornecimento e instalação</t>
  </si>
  <si>
    <t>DISJUNTOR TRIPOLAR 125A, PADRÃO DIN (LINHA BRANCA), CORRENTE DE INTERRUPÇÃO 10kA</t>
  </si>
  <si>
    <t>Disjuntor tripolar tipo DIN, corrente nominal 150A - 6kA, fornecimento e instalação</t>
  </si>
  <si>
    <t>DISJUNTOR TRIPOLAR 150A, PADRÃO DIN (LINHA BRANCA), CORRENTE DE INTERRUPÇÃO 10kA</t>
  </si>
  <si>
    <t>Disjuntor tripolar tipo DIN, corrente nominal 175A - 6kA, em caixa moldada, fornecimento e instalação</t>
  </si>
  <si>
    <t>DISJUNTOR TRIPOLAR 175 A COM CAIXA MOLDADA 10KA</t>
  </si>
  <si>
    <t>Disjuntor tripolar tipo DIN, corrente nominal 250A - 18kA, em caixa moldada, fornecimento e instalação</t>
  </si>
  <si>
    <t>DISJUNTOR TRIPOLAR 250A, COM CAIXA MOLDADA</t>
  </si>
  <si>
    <t>DISJUNTOR TRIPOLAR 300A, COM CAIXA MOLDADA</t>
  </si>
  <si>
    <t>Dispositivo residual diferencial (DR) tetrapolar, sensibilidade 30ma, corrente nominal 25A</t>
  </si>
  <si>
    <t>Dispositivo residual diferencial (DR) tetrapolar, sensibilidade 30ma, corrente nominal 40A</t>
  </si>
  <si>
    <t>Dispositivo residual diferencial (DR) tetrapolar, sensibilidade 30ma, corrente nominal 63A</t>
  </si>
  <si>
    <t>Dispositivo residual diferencial (DR) tetrapolar, sensibilidade 30ma, corrente nominal 80A</t>
  </si>
  <si>
    <t>Dispositivo residual diferencial (DR) tetrapolar, sensibilidade 30ma, corrente nominal 100A</t>
  </si>
  <si>
    <t>06.01.313.06</t>
  </si>
  <si>
    <t>Dispositivo residual diferencial (DR) bipolar, sensibilidade 30ma, corrente nominal 25A</t>
  </si>
  <si>
    <t>8194 MOD 6</t>
  </si>
  <si>
    <t>Tê horizontal 90º, galvanizado, 300x100mm, chapa #18</t>
  </si>
  <si>
    <t>TÊ HORIZONTAL 300X100 PARA ELETROCALHA METÁLICA</t>
  </si>
  <si>
    <t>06.01.416.01</t>
  </si>
  <si>
    <t>06.01.416.02</t>
  </si>
  <si>
    <t>Saída horizontal de eletrocalha para eletroduto 1"</t>
  </si>
  <si>
    <t>Saída horizontal de eletrocalha para eletroduto 1 1/4"</t>
  </si>
  <si>
    <t>Saída horizontal de eletrocalha para eletroduto 1 1/2"</t>
  </si>
  <si>
    <t>Saída horizontal de eletrocalha para eletroduto 2"</t>
  </si>
  <si>
    <t>Saída horizontal de eletrocalha para eletroduto 4"</t>
  </si>
  <si>
    <t>06.01.416.03</t>
  </si>
  <si>
    <t>06.01.416.04</t>
  </si>
  <si>
    <t>06.01.416.05</t>
  </si>
  <si>
    <t>06.01.416.06</t>
  </si>
  <si>
    <t>SAÍDA HORIZONTAL PARA ELETRODUTO 1"</t>
  </si>
  <si>
    <t>SAÍDA HORIZONTAL PARA ELETRODUTO 1 1/2"</t>
  </si>
  <si>
    <t>SAÍDA HORIZONTAL PARA ELETRODUTO 2"</t>
  </si>
  <si>
    <t>SAÍDA HORIZONTAL PARA ELETRODUTO 4"</t>
  </si>
  <si>
    <t>06.01.309.27</t>
  </si>
  <si>
    <t>Canaleta em aço galvanizado seção 73x25mm (Dutotec ou equivalente)</t>
  </si>
  <si>
    <t>10276 MOD</t>
  </si>
  <si>
    <t>CANALETA ALUMÍNIO 25MM BRANCA DUTOTEC REF 12240</t>
  </si>
  <si>
    <t>Luminária de embutir para duas lâmpadas fluorescentes tubulares de 14W, corpo em chapa de aço tratada pintura eletrostática branca, refletor e aletas parabólicas em alumínio anodizado alto brilho e cobre soquete com acabamento especular de alto brilho, porta lâmpadas antivibratório em policarbonato, com trava de segurança e proteção contra aquecimento dos contatos. Ref. Itaim 2005 2xT16 14W, completa (L-12)</t>
  </si>
  <si>
    <t>Condulete de PVC para instalações aparentes, 3/4", inclusive tampa (cega, ou com abertura para tomadas ou interruptores)</t>
  </si>
  <si>
    <t>Tampão de ferro fundido para caixa de passagem</t>
  </si>
  <si>
    <t>Tampa galvanizada para eletrocalha 200x3000mm</t>
  </si>
  <si>
    <t>12804 MOD</t>
  </si>
  <si>
    <t>TAMPA DE ENCAIXE PARA ELETROCALHA METÁLICA 200MM</t>
  </si>
  <si>
    <t>Caixa de passagem em PVC 4"x2"</t>
  </si>
  <si>
    <t>Retirada de rede aérea de 13,2kV (lance)</t>
  </si>
  <si>
    <t>Retirada de rede aérea de baixa tensão (lance)</t>
  </si>
  <si>
    <t>Retirada de conjunto de ferragens em rede de alta tensão</t>
  </si>
  <si>
    <t>Retirada de conjunto de ferragens em rede de baixa tensão</t>
  </si>
  <si>
    <t>Retirada de poste de concreto de 10m a 12m</t>
  </si>
  <si>
    <t>IP 59 20 0650</t>
  </si>
  <si>
    <t>IP 59 20 0600</t>
  </si>
  <si>
    <t>IP 59 20 0112</t>
  </si>
  <si>
    <t>IP 59 20 0106</t>
  </si>
  <si>
    <t>IP 59 20 0506</t>
  </si>
  <si>
    <t>Transformador trifásico a seco encapsulado em resina epoxi sob vacuo 13,8kV - 380/220V - IP 00 - 500kVA - padrão CEB  com rele de temperatura e laudo técnico, APENAS FORNECIMENTO</t>
  </si>
  <si>
    <t>Transformador trifásico a seco encapsulado em resina epoxi sob vacuo 13,8kV - 380/220V - IP 00 - 500kVA - padrão CEB  com rele de temperatura e laudo técnico, APENAS INSTALAÇÃO</t>
  </si>
  <si>
    <t>06.01.209.01</t>
  </si>
  <si>
    <t>06.01.209.02</t>
  </si>
  <si>
    <t>36.09.060 MOD</t>
  </si>
  <si>
    <t>P 12 000 041010</t>
  </si>
  <si>
    <t>9528 MOD</t>
  </si>
  <si>
    <t>QUADRO/PAINEL EM CHAPA GALVANIZADA E PINTURA ELETROSTÉTICA, SEM DISJUNTORES, COM BARRAMENTOS, ISOLADOR, PARAFUSOS, CONECTOR, ESPELHO E MONTAGEM - DIM APROX 1400X800X300MM</t>
  </si>
  <si>
    <t>Painel tipo armário para disjuntores e acessórios, sem disjuntores, com barramentos, isolador, parafusos, conector, espelho e montagem, 1200x800x250mm</t>
  </si>
  <si>
    <t>Eletroduto corrugado flexível em PEAD  3"</t>
  </si>
  <si>
    <t>06.01.250</t>
  </si>
  <si>
    <t>06.01.251</t>
  </si>
  <si>
    <t>06.01.254</t>
  </si>
  <si>
    <t>Redes em média e baixa tensão (internas ao prédio)</t>
  </si>
  <si>
    <t>Redes em média e baixa tensão (alimentação, subestação e rede)</t>
  </si>
  <si>
    <t>Cabo de alumínio protegido, encordoamento classe 2, coberto por XLPE, seção nominal 50mm²</t>
  </si>
  <si>
    <t>4616 INSUMO</t>
  </si>
  <si>
    <t>CABO PROTEGIDO ANTI-TRACKING 15KV 50MM2</t>
  </si>
  <si>
    <t>06.01.255.01</t>
  </si>
  <si>
    <t>06.01.255.02</t>
  </si>
  <si>
    <t>IP 14 10 0200</t>
  </si>
  <si>
    <t>Mão de obra para instalação de rede de média tensão, aérea, com 3 condutores de alumínio, exclusive fornecimento dos condutores (lance)</t>
  </si>
  <si>
    <t>lances</t>
  </si>
  <si>
    <t>06.01.255.03</t>
  </si>
  <si>
    <t>Cabo de aço de 9,5mm AWG (para compor a rede de média tensão aérea)</t>
  </si>
  <si>
    <t>CABO DE AÇO 9,5 MM AWG</t>
  </si>
  <si>
    <t>392 INSUMO</t>
  </si>
  <si>
    <t>Cabo de alumínio multiplexado, 0,6/1kV, quadruplex, seção nominal 35mm² (3x35mm² + 1x35mm²)</t>
  </si>
  <si>
    <t>06.01.255.04</t>
  </si>
  <si>
    <t>4618 INSUMO</t>
  </si>
  <si>
    <t>CABO DE ALUMÍNIO 0,6/1LV MULTIPLEXADOS 3X1X35 + 35MM2</t>
  </si>
  <si>
    <t>06.01.255.05</t>
  </si>
  <si>
    <t>06.01.255.06</t>
  </si>
  <si>
    <t>391 INSUMO</t>
  </si>
  <si>
    <t>Cabo de aço de 6,4mm média resistência</t>
  </si>
  <si>
    <t>CABO DE AÇO 6,4MM MÉDIA RESISTÊNCIA</t>
  </si>
  <si>
    <t>06.01.305.18</t>
  </si>
  <si>
    <t>39.26.120</t>
  </si>
  <si>
    <t>Cabo de cobre flexível, isolado em EPR, 120mm2, baixa emissão de fumaça e gases, 0,6/1,0 kV</t>
  </si>
  <si>
    <t>P.08.000.043061</t>
  </si>
  <si>
    <t>CABO COBRE FLEXÍVEL 120MM2, ISOLAMENTO 0,6/1KV, ISOLAÇÃO HEPR 90, TÊMPERA MOLE, CLASSE 5, BAIXA EMISSÃO DE FUMAÇA, REF CABOS AFUMEX PRYSMIAN OU EQUIVALENTE</t>
  </si>
  <si>
    <t>06.01.255.08</t>
  </si>
  <si>
    <t>Cordoalha de cobre nu 70mm2, não enterrada, com isolador, fornecimento e instalação</t>
  </si>
  <si>
    <t>06.01.305.19</t>
  </si>
  <si>
    <t>06.01.256</t>
  </si>
  <si>
    <t>Caixa de passagem CB1, padrão CEB</t>
  </si>
  <si>
    <t>06.01.258</t>
  </si>
  <si>
    <t>Disjuntor tripolar tipo DIN, corrente nominal 800A em caixa moldada, fornecimento e instalação</t>
  </si>
  <si>
    <t>06.01.262</t>
  </si>
  <si>
    <t>Sinalizadores</t>
  </si>
  <si>
    <t>Fita de advertência de rede elétrica enterrada</t>
  </si>
  <si>
    <t>06.01.262.01</t>
  </si>
  <si>
    <t>11201 INSUMO</t>
  </si>
  <si>
    <t>FITA DE ADVERTÊNCIA DE REDE ELÉTRICA ENTERRADA</t>
  </si>
  <si>
    <t>06.01.263</t>
  </si>
  <si>
    <t>Acessórios da rede de distribuição aérea</t>
  </si>
  <si>
    <t>Anel elastomérico de amarração</t>
  </si>
  <si>
    <t>10508 INSUMO</t>
  </si>
  <si>
    <t>Alça pré-formada para cabo de aço 9,5mm (3/8")</t>
  </si>
  <si>
    <t>Alça pré-formada fechada para cabo de alumínio (seção 50mm²)</t>
  </si>
  <si>
    <t>Conector de derivação cunha com capa de proteção</t>
  </si>
  <si>
    <t>10609 INSUMO</t>
  </si>
  <si>
    <t>10614 INSUMO</t>
  </si>
  <si>
    <t>Conector terminal CA 2 AWG - CA 50mm (Conector cunha 2-2 AWG)</t>
  </si>
  <si>
    <t>10624 INSUMO</t>
  </si>
  <si>
    <t>Conector terminal CA 4 AWG - 6,4mm (Conector cunha 4-4 AWG)</t>
  </si>
  <si>
    <t>Grampo de ancoragem para cabo protegido de 50 mm²</t>
  </si>
  <si>
    <t>Grampo de linha viva</t>
  </si>
  <si>
    <t>Para-raios ZnO - 10kA, polimérico</t>
  </si>
  <si>
    <t>Cinta com parafusos (Cinta de 180mm)</t>
  </si>
  <si>
    <t>Manilha-sapatilha</t>
  </si>
  <si>
    <t>Parafuso de cabeça abaulada - M16x45mm</t>
  </si>
  <si>
    <t>Parafuso máquina M16x400mm</t>
  </si>
  <si>
    <t>Parafuso de cabeça abaulada - M16x150mm</t>
  </si>
  <si>
    <t>Arruela quadrada de 38mm</t>
  </si>
  <si>
    <t>Mão francesa perfilada 619mm</t>
  </si>
  <si>
    <t>Parafuso máquina M16x125mm</t>
  </si>
  <si>
    <t>Sela para cruzeta</t>
  </si>
  <si>
    <t>Porca quadrada para parafuso M16</t>
  </si>
  <si>
    <t>Gancho-olhal</t>
  </si>
  <si>
    <t>Pino para cruzeta</t>
  </si>
  <si>
    <t>Isolador de pino polimérico</t>
  </si>
  <si>
    <t>Isolador de ancoragem polimérico</t>
  </si>
  <si>
    <t>Cruzeta polimérica 90x112x2400mm</t>
  </si>
  <si>
    <t>Braço Suporte Tipo C</t>
  </si>
  <si>
    <t>Cantoneira auxiliar para braço tipo C</t>
  </si>
  <si>
    <t>Cinta com parafusos (Cinta de 250 mm)</t>
  </si>
  <si>
    <t>Parafuso de cabeça abaulada - M16x70mm</t>
  </si>
  <si>
    <t>Pino curto para isolador</t>
  </si>
  <si>
    <t>Braço L</t>
  </si>
  <si>
    <t>Estribo para braço tipo L</t>
  </si>
  <si>
    <t>Espaçador losangular</t>
  </si>
  <si>
    <t>Braço anti-balanço</t>
  </si>
  <si>
    <t>Cinta com parafusos (200mm)</t>
  </si>
  <si>
    <t>Alça pré-formada para cabos multiplexados 35mm²</t>
  </si>
  <si>
    <t>Abraçadeira polimérica</t>
  </si>
  <si>
    <t>Conector de derivação cunha série I</t>
  </si>
  <si>
    <t>Cinta com parafusos (Cinta de 230mm)</t>
  </si>
  <si>
    <t>Isolador roldana</t>
  </si>
  <si>
    <t>Armação secundária de 2 estribos</t>
  </si>
  <si>
    <t>Fita de alumínio para proteção</t>
  </si>
  <si>
    <t>10630 INSUMO</t>
  </si>
  <si>
    <t>10692 INSUMO</t>
  </si>
  <si>
    <t>10507 INSUMO</t>
  </si>
  <si>
    <t>P 19 000 049517</t>
  </si>
  <si>
    <t>2007 INSUMO</t>
  </si>
  <si>
    <t>1585 INSUMO</t>
  </si>
  <si>
    <t>3457 INSUMO</t>
  </si>
  <si>
    <t>3854 INSUMO</t>
  </si>
  <si>
    <t>1592 INSUMO</t>
  </si>
  <si>
    <t>3238 INSUMO</t>
  </si>
  <si>
    <t>IOPES</t>
  </si>
  <si>
    <t>06.01.264</t>
  </si>
  <si>
    <t>Acessórios da Subestação</t>
  </si>
  <si>
    <t>Tapete de borracha isolante 15kV, 2350x1000x6mm</t>
  </si>
  <si>
    <t>Placa 'PERIGO ALTA TENSÃO'</t>
  </si>
  <si>
    <t>Canaleta 48x48cm, com grelha de perfil tipo "U", chapa #13</t>
  </si>
  <si>
    <t>ENCARGOS SOCIAIS DESONERADOS: 83,40%(HORA)   48,63%(MÊS)</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</si>
  <si>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</si>
  <si>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</si>
  <si>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</si>
  <si>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</si>
  <si>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</si>
  <si>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</si>
  <si>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KIT DE PORTA-PRONTA DE MADEIRA EM ACABAMENTO MELAMÍNICO BRANCO, FOLHA LEVE OU MÉDIA, E BATENTE METÁLICO, 60X210CM, EXCLUSIVE FECHADURA, FIXAÇÃO COM ARGAMASSA - FORNECIMENTO E INSTALAÇÃO.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</si>
  <si>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</si>
  <si>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</si>
  <si>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</si>
  <si>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</si>
  <si>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</si>
  <si>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</si>
  <si>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</si>
  <si>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</si>
  <si>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</si>
  <si>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</si>
  <si>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</si>
  <si>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</si>
  <si>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</si>
  <si>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</si>
  <si>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</si>
  <si>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</si>
  <si>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</si>
  <si>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</si>
  <si>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</si>
  <si>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</si>
  <si>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</si>
  <si>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</si>
  <si>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</si>
  <si>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</si>
  <si>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</si>
  <si>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</si>
  <si>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CAIXA DE INCÊNDIO 60X90X17CM - FORNECIMENTO E INSTALAÇÃO</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</si>
  <si>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</si>
  <si>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</si>
  <si>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</si>
  <si>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</si>
  <si>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</si>
  <si>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</si>
  <si>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</si>
  <si>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</si>
  <si>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</si>
  <si>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</si>
  <si>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</si>
  <si>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</si>
  <si>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</si>
  <si>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</si>
  <si>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</si>
  <si>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</si>
  <si>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</si>
  <si>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</si>
  <si>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</si>
  <si>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</si>
  <si>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</si>
  <si>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</si>
  <si>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</si>
  <si>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</si>
  <si>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</si>
  <si>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</si>
  <si>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</si>
  <si>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</si>
  <si>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</si>
  <si>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</si>
  <si>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</si>
  <si>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</si>
  <si>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</si>
  <si>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</si>
  <si>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</si>
  <si>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</si>
  <si>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</si>
  <si>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</si>
  <si>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</si>
  <si>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</si>
  <si>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</si>
  <si>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</si>
  <si>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</si>
  <si>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</si>
  <si>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</si>
  <si>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</si>
  <si>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</si>
  <si>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</si>
  <si>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</si>
  <si>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</si>
  <si>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</si>
  <si>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</si>
  <si>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</si>
  <si>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</si>
  <si>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</si>
  <si>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</si>
  <si>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</si>
  <si>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</si>
  <si>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</si>
  <si>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</si>
  <si>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</si>
  <si>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</si>
  <si>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</si>
  <si>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</si>
  <si>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</si>
  <si>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</si>
  <si>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</si>
  <si>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</si>
  <si>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</si>
  <si>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</si>
  <si>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</si>
  <si>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</si>
  <si>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</si>
  <si>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</si>
  <si>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</si>
  <si>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</si>
  <si>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</si>
  <si>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</si>
  <si>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</si>
  <si>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</si>
  <si>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</si>
  <si>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</si>
  <si>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</si>
  <si>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</si>
  <si>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</si>
  <si>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</si>
  <si>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</si>
  <si>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</si>
  <si>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</si>
  <si>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</si>
  <si>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</si>
  <si>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</si>
  <si>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</si>
  <si>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</si>
  <si>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</si>
  <si>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</si>
  <si>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</si>
  <si>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</si>
  <si>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</si>
  <si>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</si>
  <si>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</si>
  <si>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</si>
  <si>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</si>
  <si>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</si>
  <si>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</si>
  <si>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</si>
  <si>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</si>
  <si>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</si>
  <si>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</si>
  <si>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</si>
  <si>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</si>
  <si>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</si>
  <si>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</si>
  <si>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</si>
  <si>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</si>
  <si>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</si>
  <si>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</si>
  <si>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</si>
  <si>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</si>
  <si>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</si>
  <si>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</si>
  <si>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</si>
  <si>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</si>
  <si>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</si>
  <si>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</si>
  <si>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</si>
  <si>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</si>
  <si>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</si>
  <si>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</si>
  <si>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</si>
  <si>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</si>
  <si>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</si>
  <si>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</si>
  <si>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</si>
  <si>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</si>
  <si>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</si>
  <si>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</si>
  <si>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</si>
  <si>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</si>
  <si>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</si>
  <si>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</si>
  <si>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</si>
  <si>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</si>
  <si>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</si>
  <si>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</si>
  <si>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</si>
  <si>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</si>
  <si>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</si>
  <si>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</si>
  <si>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</si>
  <si>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</si>
  <si>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</si>
  <si>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Execução e compactação de aterro com solo predominantemente argiloso - exclusive solo, escavação, carga e transporte</t>
  </si>
  <si>
    <t>ANEL DE AMARRAÇÃO EM SILICONE PARA ISOLADOR POLIMÉRICO DE 25 KVA</t>
  </si>
  <si>
    <t>06.01.263.01</t>
  </si>
  <si>
    <t>ALÇA PARA CABO DE AÇO GDE 1107</t>
  </si>
  <si>
    <t>06.01.263.02</t>
  </si>
  <si>
    <t>73767/2 MOD 1</t>
  </si>
  <si>
    <t>73767/2 MOD 2</t>
  </si>
  <si>
    <t>06.01.263.03</t>
  </si>
  <si>
    <t>CONECTOR CUNHA COM CAPA DE PROTEÇÃO - CLASSE DE TENSÃO 15KV - EM LIGA DE ALUMÍNIO PARA CONDUTORES ISOLADOS DE 70MM/35MM - 50MM/50MM</t>
  </si>
  <si>
    <t>06.01.263.04</t>
  </si>
  <si>
    <t>CONECTOR CUNHA PARALELO - PARA CABO DE ALUMÍNIO 2-2/4-1/0AWG - EM LIGA DE ALUMÍNIO - TENSÃO 15KV</t>
  </si>
  <si>
    <t>06.01.263.05</t>
  </si>
  <si>
    <t>CONECTOR CUNHA PARA CABO 4-4 AWG 2 A 6AWG -FABRICADO EM LIGA DE ALUMÍNIO</t>
  </si>
  <si>
    <t>06.01.263.06</t>
  </si>
  <si>
    <t>GRAMPO DE ANCORAGEM EM ALUMÍNIO FUNDIDO E CUNHA EM POLIAMIDA E ESTRIBO OU ALÇA EM AÇO INOXIDÁVEL PARA CABO PROTEGIDO DE 50MM2 - CLASSE DE TENSÃO 15KV</t>
  </si>
  <si>
    <t>06.01.263.07</t>
  </si>
  <si>
    <t>06.01.263.08</t>
  </si>
  <si>
    <t>PARA RAIOS TIPO POLIMÉRICO 15KV - 12KA</t>
  </si>
  <si>
    <t>06.01.263.09</t>
  </si>
  <si>
    <t>06.01.263.10</t>
  </si>
  <si>
    <t>CINTA AÇO GALVANIZADO 180MM</t>
  </si>
  <si>
    <t>Olhal para parafuso</t>
  </si>
  <si>
    <t>P.19.000.049517</t>
  </si>
  <si>
    <t>OLHAL PARA PARAFUSO M16 (5/8)</t>
  </si>
  <si>
    <t>06.01.263.11</t>
  </si>
  <si>
    <t>Sapatilha para cabo de aço</t>
  </si>
  <si>
    <t xml:space="preserve">SAPATILHA PARA CABO DE AÇO </t>
  </si>
  <si>
    <t>06.01.263.12</t>
  </si>
  <si>
    <t>06.01.263.13</t>
  </si>
  <si>
    <t>MANILHA-SAPATILHA LIGA DE ALUMÍNIO</t>
  </si>
  <si>
    <t>06.01.263.14</t>
  </si>
  <si>
    <t>PARAFUSO MÁQUINA M16X400MM</t>
  </si>
  <si>
    <t>06.01.263.15</t>
  </si>
  <si>
    <t>06.01.263.16</t>
  </si>
  <si>
    <t>ARRUELA QUADRADA GALV. 38 x 38MM</t>
  </si>
  <si>
    <t>06.01.263.17</t>
  </si>
  <si>
    <t>MÃO FRANCESA PLANA 619MM</t>
  </si>
  <si>
    <t>06.01.263.18</t>
  </si>
  <si>
    <t>06.01.263.19</t>
  </si>
  <si>
    <t>P 36 20 340</t>
  </si>
  <si>
    <t>SELA PARA CRUZETA DE MADEIRA</t>
  </si>
  <si>
    <t>P.31.000.049514</t>
  </si>
  <si>
    <t>06.01.263.20</t>
  </si>
  <si>
    <t>PORCA QUADRADA ROSCA DN 16 MM</t>
  </si>
  <si>
    <t>06.01.263.21</t>
  </si>
  <si>
    <t>06.01.263.22</t>
  </si>
  <si>
    <t>PINO DE CRUZETA 19MM P/ISOLADOR DE DISTRIBUICAO</t>
  </si>
  <si>
    <t>06.01.263.23</t>
  </si>
  <si>
    <t>ISOLADOR PINO POLIMERICO 15 KV</t>
  </si>
  <si>
    <t>06.01.263.24</t>
  </si>
  <si>
    <t>ISOLADOR POLIMÉRICO TIPO ANCORAGEM - CLASSE DE TENSÃO 15 KV</t>
  </si>
  <si>
    <t>06.01.263.25</t>
  </si>
  <si>
    <t>3291 MOD</t>
  </si>
  <si>
    <t>Aterramento com 3 hastes cobreadas 5/8" x 2,4m</t>
  </si>
  <si>
    <t>HASTE COBREADA COPPERWELD P/ ATERRAMENTO 254 MICR D= 5/8" x 2,40 M</t>
  </si>
  <si>
    <t>06.01.263.26</t>
  </si>
  <si>
    <t>06.01.263.27</t>
  </si>
  <si>
    <t>CRUZETA POLIMÉRICA 90X112X2400MM</t>
  </si>
  <si>
    <t>BRAÇO TIPO C 15 KV</t>
  </si>
  <si>
    <t>06.01.263.28</t>
  </si>
  <si>
    <t>CANTONEIRA AUXILIAR PARA BRAÇO TIPO C</t>
  </si>
  <si>
    <t>06.01.263.29</t>
  </si>
  <si>
    <t>CINTA AÇO GALVANIZADO 250MM</t>
  </si>
  <si>
    <t>06.01.263.30</t>
  </si>
  <si>
    <t>PARAFUSO CABEÇA ABAIULADA16 x 70MM</t>
  </si>
  <si>
    <t>06.01.263.31</t>
  </si>
  <si>
    <t>PINO CURTO PARA ISOLADOR 15KV</t>
  </si>
  <si>
    <t>06.01.263.32</t>
  </si>
  <si>
    <t>Assentamento de poste circular de concreto com comprimento nominal de 11m, carga nominal de 1000 daN, engastamento com base concretada (concreto e solo), conforme projeto, exclusive fornecimento do poste</t>
  </si>
  <si>
    <t>Fornecimento de poste circular de concreto, com comprimento nominal de 11m, carga nominal de 1000 daN</t>
  </si>
  <si>
    <t>POSTE CIRCULAR DE CONCRETO 11/1000</t>
  </si>
  <si>
    <t>06.01.263.33</t>
  </si>
  <si>
    <t>06.01.263.34</t>
  </si>
  <si>
    <t>BRAÇO TIPO L 15 KV</t>
  </si>
  <si>
    <t>06.01.263.35</t>
  </si>
  <si>
    <t>ESTRIBO P/ BRAÇO TIPO L 15 KV</t>
  </si>
  <si>
    <t>06.01.263.36</t>
  </si>
  <si>
    <t>ESPAÇADOR LOSANGULAR 15 KV</t>
  </si>
  <si>
    <t>06.01.263.37</t>
  </si>
  <si>
    <t>Assentamento de poste circular de concreto com comprimento nominal de 11m, carga nominal de 300 daN, engastamento com base concretada (concreto e solo), conforme projeto, exclusive fornecimento do poste</t>
  </si>
  <si>
    <t>06.01.263.38</t>
  </si>
  <si>
    <t>06.01.263.39</t>
  </si>
  <si>
    <t>06.01.263.40</t>
  </si>
  <si>
    <t>CINTA AÇO GALVANIZADO 200MM</t>
  </si>
  <si>
    <t>06.01.263.41</t>
  </si>
  <si>
    <t>Assentamento de poste circular de concreto com comprimento nominal de 11m, carga nominal de 600 daN, engastamento com base concretada (concreto e solo), conforme projeto, exclusive fornecimento do poste</t>
  </si>
  <si>
    <t>Fornecimento de poste circular de concreto, com comprimento nominal de 11m, carga nominal de 600 daN</t>
  </si>
  <si>
    <t>Fornecimento de poste circular de concreto, com comprimento nominal de 11m, carga nominal de 300 daN</t>
  </si>
  <si>
    <t>POSTE CIRCULAR DE CONCRETO 11/ 600 PARA LINHA DE TRANSMISSÃO</t>
  </si>
  <si>
    <t>06.01.263.42</t>
  </si>
  <si>
    <t>06.01.263.43</t>
  </si>
  <si>
    <t>ALÇA PREFORMADA PARA CABO MULTIPLEX 35 MM2</t>
  </si>
  <si>
    <t>06.01.263.44</t>
  </si>
  <si>
    <t>06.01.263.45</t>
  </si>
  <si>
    <t>CONECTOR CUNHA I SÉRIE CINZA</t>
  </si>
  <si>
    <t>06.01.263.46</t>
  </si>
  <si>
    <t>CINTA AÇO GALVANIZADO 230MM</t>
  </si>
  <si>
    <t>06.01.263.47</t>
  </si>
  <si>
    <t>06.01.263.48</t>
  </si>
  <si>
    <t>06.01.263.49</t>
  </si>
  <si>
    <t>06.01.263.50</t>
  </si>
  <si>
    <t>Porca-olhal 16mm</t>
  </si>
  <si>
    <t>06.01.263.51</t>
  </si>
  <si>
    <t>06.01.263.52</t>
  </si>
  <si>
    <t>Fio de amarração 4AWG</t>
  </si>
  <si>
    <t>FIO ALUMÍNIO RECOZIDO PARA AMARRAÇÃO 4 AWG</t>
  </si>
  <si>
    <t>06.01.264.01</t>
  </si>
  <si>
    <t>TAPETE ISOLANTE 20KV 1,00X1,00M COM LAUDO</t>
  </si>
  <si>
    <t>65125 MOD</t>
  </si>
  <si>
    <t>BRAÇO ANTI-BALANÇO 15KV</t>
  </si>
  <si>
    <t>LP Ensaios</t>
  </si>
  <si>
    <t>22.514.705/0001-60</t>
  </si>
  <si>
    <t>(43) 99812-0002</t>
  </si>
  <si>
    <t>http://lpensaios.com.br/produto/braco-anti-balanco/</t>
  </si>
  <si>
    <t xml:space="preserve"> lp.vendas@yahoo.com</t>
  </si>
  <si>
    <t>06.01.264.02</t>
  </si>
  <si>
    <t>06.01.264.03</t>
  </si>
  <si>
    <t>PLACA "PERIGO ALTA TENSÃO" EM PVC EXPANDIDO, 25X18CM</t>
  </si>
  <si>
    <t>Seton</t>
  </si>
  <si>
    <t>https://www.seton.com.br/placa-de-perigo-alta-tens-o.html</t>
  </si>
  <si>
    <t xml:space="preserve"> 01.111.039/0004-91</t>
  </si>
  <si>
    <t xml:space="preserve"> (11) 98907-9399</t>
  </si>
  <si>
    <t>https://www.placasonline.com.br/prod,idproduto,2417283,industrial-placas-de-perigo-placa-perigo--alta-tensao</t>
  </si>
  <si>
    <t>Placas Online</t>
  </si>
  <si>
    <t xml:space="preserve"> 09.427.024/0001-04</t>
  </si>
  <si>
    <t>(19) 3227-6797</t>
  </si>
  <si>
    <t>vendas@placasonline.com.br</t>
  </si>
  <si>
    <t>Iplacas</t>
  </si>
  <si>
    <t>https://www.iplacas.com.br/n5h7hvbuf-perigo-maquinas-em-movimento</t>
  </si>
  <si>
    <t xml:space="preserve"> 31.424.454/0001-13 </t>
  </si>
  <si>
    <t>(19) 98157-5656</t>
  </si>
  <si>
    <t>vendas@iplacas.com.br</t>
  </si>
  <si>
    <t>06.01.255.09</t>
  </si>
  <si>
    <t>Kit solar para iluminação com poste de aço galvanizado de 6m, painel solar monocristalino, baterias, lâmpada LED, controle inteligente, conforme especificações, inclusive instalação e fundação</t>
  </si>
  <si>
    <t>CONSUMO DE MÃO DE OBRA E EQUIPAMENTOS BASEADOS NA COMPOSIÇÃO SINAPI 100622; ARMAÇÃO DA SAPATA BASEADA NA COMPOSIÇÃO SINAPI 95952</t>
  </si>
  <si>
    <t>KIT SOLAR P/ ILUMINAÇÃO HT-012 US35.115.160-6 COM POSTE DE AÇO GALV.DE 6M, PAINEL SOLAR MONOCRISTALINO 135W/24V, 2 BATERIAS 80AH/12V SELADAS DE CHUMBO-ÁCIDO, LÂMPADA LED 40W/24V/3360LM, CONTROLE INTELIGENTE 10A/12V/24V</t>
  </si>
  <si>
    <t>GRELHA FERRO 1/4 X 1/4</t>
  </si>
  <si>
    <t>Apesar do modelo especificado ser em placas 25x25cm, foi orçado o ladrilho de 20x20cm que constava no SINAPI, uma vez que o preço é dado por unidade de área.</t>
  </si>
  <si>
    <t>Tipo alerta - térreo</t>
  </si>
  <si>
    <t>Tipo direcional - térreo</t>
  </si>
  <si>
    <t>Tipo alerta - pav superior</t>
  </si>
  <si>
    <t>Tipo direcional - pav superior</t>
  </si>
  <si>
    <t>Bancadas da entrada</t>
  </si>
  <si>
    <t>1845 MOD 1</t>
  </si>
  <si>
    <t>04.01.804.01</t>
  </si>
  <si>
    <t>04.01.804.02</t>
  </si>
  <si>
    <t>04.01.804.03</t>
  </si>
  <si>
    <t>1845 MOD 2</t>
  </si>
  <si>
    <t>1845 MOD 3</t>
  </si>
  <si>
    <t>Alçapão em ferro 105 x 105 cm, incluso ferragens (P1)</t>
  </si>
  <si>
    <t>Alçapão em ferro 146 x 101 cm, incluso ferragens (P2)</t>
  </si>
  <si>
    <t>02.01.202</t>
  </si>
  <si>
    <t>Comp.  Montada</t>
  </si>
  <si>
    <t>Ligação provisória de energia elétrica</t>
  </si>
  <si>
    <t>CABO DE COBRE PP 3X2,5MM2</t>
  </si>
  <si>
    <t>CABO DE COBRE PP 5X4MM2</t>
  </si>
  <si>
    <t>O consumo de mão de obra para instalação dos cabos foi baseado nas composições 4119 e 11413 da ORSE</t>
  </si>
  <si>
    <t>Mictório sifonado de louça branca com pertences, com registro de pressão e conjunto de ligação</t>
  </si>
  <si>
    <t>PLANILHA ORÇAMENTÁRIA - EDIFÍCIO PRINCIPAL, SUBESTAÇÃO E URBANIZAÇÃO</t>
  </si>
  <si>
    <t>Piso em granitina espessura acabada 15 mm, incluso juntas de dilatação plásticas e regularização</t>
  </si>
  <si>
    <t>EDIFÍCIO PRINCIPAL, SUBESTAÇÃO E URBANIZAÇÃO</t>
  </si>
  <si>
    <t>Escavação manual de vala para assentamento de tubulações hidrossanitárias</t>
  </si>
  <si>
    <t>02.04.102.01</t>
  </si>
  <si>
    <t>Corte de árvore com diâmetro de tronco maior ou igual a 20cm e menor que 40cm</t>
  </si>
  <si>
    <t>02.04.102.02</t>
  </si>
  <si>
    <t>Remoção de raízes remanescentes de árvore com diâmetro de tronco maior ou igual a 20cm e menor que 40cm</t>
  </si>
  <si>
    <t>Limpeza mecanizada de camada vegetal, vegetação e pequenas árvores (diâmetro de tronco menor que 20cm) com trator de esteiras</t>
  </si>
  <si>
    <t>CONFERIDO 25/03/2020</t>
  </si>
  <si>
    <t>O peso em kg/m dos perfis foi obtido do catálogo de perfis industriais Arcelormittal</t>
  </si>
  <si>
    <t>PERFIL RETLANGULAR DE TUBO INDUSTRIAL 50X30 (METALON) (2,45KG/M)</t>
  </si>
  <si>
    <t>PERFIL RETANGULAR DE TUBO INDUSTRIAL 60X60 (METALON) (3,73KG/M)</t>
  </si>
  <si>
    <t>Mobilização e desmobilização de container locado para barracão de obra</t>
  </si>
  <si>
    <t>02.01.150</t>
  </si>
  <si>
    <t>MOBILIZAÇÃO E DESMOB. CONTEINER P/BARRACÃO DE OBRA (LABOR)</t>
  </si>
  <si>
    <t>03.03.500</t>
  </si>
  <si>
    <t>Tratamento</t>
  </si>
  <si>
    <t>03.03.501</t>
  </si>
  <si>
    <t>m2 * demãos</t>
  </si>
  <si>
    <t>Comp. Transver.</t>
  </si>
  <si>
    <t>Comp. Longit.</t>
  </si>
  <si>
    <t>Total de 1 demão</t>
  </si>
  <si>
    <t>Total de 2 demãos</t>
  </si>
  <si>
    <t>Pintura protetora (tipo zarcão) e acabamento esmalte pulverizadas sobre perfis metálicos</t>
  </si>
  <si>
    <t>03.02.183.01</t>
  </si>
  <si>
    <t>03.02.183.02</t>
  </si>
  <si>
    <t>Lançamento com uso de bomba, adensamento e acabamento de concreto em estruturas</t>
  </si>
  <si>
    <t>Concretagem de escadas moldadas in loco</t>
  </si>
  <si>
    <t>02.02.321.03</t>
  </si>
  <si>
    <t>02.02.321.04</t>
  </si>
  <si>
    <t>02.02.321.05</t>
  </si>
  <si>
    <t>02.02.321.06</t>
  </si>
  <si>
    <t>02.02.321.07</t>
  </si>
  <si>
    <t>02.02.321.08</t>
  </si>
  <si>
    <t>Retirada de poste de concreto ou aço de 4,50m a 9,00m</t>
  </si>
  <si>
    <t>IP 59 20 0500</t>
  </si>
  <si>
    <t xml:space="preserve">Concreto usinado bombeável, classe de resistência C40, exceto serviço de bombeamento                                                                                                                                                                                                                                                                                                                        </t>
  </si>
  <si>
    <t xml:space="preserve">SINAPI INSUMO </t>
  </si>
  <si>
    <t>Esta composição constava na referência CPOS 176, mas foi extinta na referência CPOS 177. Foram utilizados como referência os consumos unitários e os valores dos insumos foram obtidos de outras composições</t>
  </si>
  <si>
    <t>02.02.321.09</t>
  </si>
  <si>
    <t>IP 59 20 0150</t>
  </si>
  <si>
    <t>Retirada de condutores singelos ou múltiplos instalados em linha de dutos</t>
  </si>
  <si>
    <t>06.01.411</t>
  </si>
  <si>
    <t>83393 MOD</t>
  </si>
  <si>
    <t>Reator inversor de emergência para lâmpada fluorescente (módulo autônomo)</t>
  </si>
  <si>
    <t>REATOR INVERSOR DE EMERGENCIA</t>
  </si>
  <si>
    <t>17.155.342/0011-55</t>
  </si>
  <si>
    <t>Loja Elétrica</t>
  </si>
  <si>
    <t>(31) 3218-8000</t>
  </si>
  <si>
    <t>http://www.lojaeletrica.com.br/reator-inversor-emergencia-220v-2466--intral,product,2450806270035,dept,0.aspx</t>
  </si>
  <si>
    <t>CONFERIDO 26/03/2020</t>
  </si>
  <si>
    <t>04.02.105.01</t>
  </si>
  <si>
    <t>Placa tátil em braille para corrimão, 10x3cm</t>
  </si>
  <si>
    <t>04.02.105.02</t>
  </si>
  <si>
    <t xml:space="preserve">	ACESSIBILIDADE - PLACA TATIL BRAILLE/RELEVO ACO INOX 10X3cm PARA CORRIMAO</t>
  </si>
  <si>
    <t>UNDIADE</t>
  </si>
  <si>
    <t>Esquadria com montantes e quadro em alumínio, tipo basculante, fixo e veneziana, 690 x 166 cm, inclusive pintura, exclusive vidros (EA-04)</t>
  </si>
  <si>
    <t>Fita auto adesiva fotoluminescente para sinalização dos degraus, conforme projeto</t>
  </si>
  <si>
    <t>FITA AUTO-ADESIVA FOTOLUMINESCENTE 2,5CM x 9M</t>
  </si>
  <si>
    <t>04.01.818</t>
  </si>
  <si>
    <t>Trocador de fraldas de parede, horizontal</t>
  </si>
  <si>
    <t>Brama Materiais</t>
  </si>
  <si>
    <t>https://www.bramamateriais.com.br/trocador-de-fraldas-smart-air-ci300/p</t>
  </si>
  <si>
    <t>46.144.499/0001-01</t>
  </si>
  <si>
    <t>(11) 4448-8771</t>
  </si>
  <si>
    <t>sac@bramamateriais.com.br</t>
  </si>
  <si>
    <t>Grupo GRX</t>
  </si>
  <si>
    <t>30.197.031/0001-45</t>
  </si>
  <si>
    <t xml:space="preserve"> (16) 3916-5800  </t>
  </si>
  <si>
    <t>https://www.grupogrx.com.br/trocador-de-fraldas-horizontal-retratil-ci-300</t>
  </si>
  <si>
    <t>grx@grx.com.br</t>
  </si>
  <si>
    <t>CONFERIDO 30/03/2020</t>
  </si>
  <si>
    <t>CHAPA AÇO FINA A QUENTE E=3MM, 11MSG, 24KG/M2</t>
  </si>
  <si>
    <t>SUBTOTAL (03.03.000)</t>
  </si>
  <si>
    <t>Utilizou-se como referência para o quantitativo da cantoneira o peso por comprimento de 1,19 kg/m2, conforme catálogo técnico da GERDAU</t>
  </si>
  <si>
    <t>CAIXILHO EM ALUMÍNIO BASCULANTE SOB MEDIDA</t>
  </si>
  <si>
    <t>H.05.000.032437</t>
  </si>
  <si>
    <t xml:space="preserve">BORRACHA DE VEDACAO PARA ALUMINIO, PORTAS/JANELAS	</t>
  </si>
  <si>
    <t>A massa para vidro da composição original foi substituída pela borracha de vedação, quantificada conforme projeto</t>
  </si>
  <si>
    <t>Considerando o catálogo comercial de barras-chatas da Gerdau, o que constava no projeto como barra chata 40mmx5mm foi orçado como a barra 1 1/2"x1/4", e o que constava barra chata 25mmx3mm foi orçado como barra 1"x3/16"</t>
  </si>
  <si>
    <t>01.ESQV.GCAL.005/01 MOD</t>
  </si>
  <si>
    <t xml:space="preserve">PERFIL AÇO, UDC ENRIJECIDO 127 x 50 x 3,67(KG/M) - SAE 1008/1012	</t>
  </si>
  <si>
    <t>O quantitativo de mão de obra foi baseado na composição CPOS 15.03.090</t>
  </si>
  <si>
    <t>Estrutura metálica para fixação de brises composta por perfis U enrijecidos, soldados, dimensões 127x50x17x2,00 (3,67kg/m)</t>
  </si>
  <si>
    <t xml:space="preserve">ASSESSIBILIDADE - ASSENTO PARA VASO LINHA VOGUE CONFORTO PCD	</t>
  </si>
  <si>
    <t>05.01.516.03</t>
  </si>
  <si>
    <t>05.01.207.07</t>
  </si>
  <si>
    <t>Joelho 90 graus, PVC, soldável, DN 40mm, fornecimento e instalação</t>
  </si>
  <si>
    <t xml:space="preserve">União de PVC soldável, DN 50mm, fornecimento e instalação </t>
  </si>
  <si>
    <t>CONFERIDO 31/03/2020</t>
  </si>
  <si>
    <t>72293 MOD</t>
  </si>
  <si>
    <t>CONFERIDO 01/04/2020</t>
  </si>
  <si>
    <t>06.01.308.16 e 06.01.308.17</t>
  </si>
  <si>
    <t>8420 MOD 2</t>
  </si>
  <si>
    <t>8420 MOD 1</t>
  </si>
  <si>
    <t>06.01.403.02</t>
  </si>
  <si>
    <t>PARAFUSO COM PORCA GAIOLA</t>
  </si>
  <si>
    <t>PRESILHA DE POLIAMIDA 4,5 X 180</t>
  </si>
  <si>
    <t>RÉGUA (FILTRO DE LINHA) COM 08 TOMADAS</t>
  </si>
  <si>
    <t>RACK FECHADO TIPO ARMÁRIO 19" X 44 U</t>
  </si>
  <si>
    <t>"Fusão de fibra ótica..."</t>
  </si>
  <si>
    <t>"Fechamento de fibra (fusão)..."</t>
  </si>
  <si>
    <t>"Serviço de fusão de fibra óptica"</t>
  </si>
  <si>
    <t>Pregão 17/2020 - Item 13</t>
  </si>
  <si>
    <t>Pregão 02/2020 - Item 13</t>
  </si>
  <si>
    <t>Pregão 94/2019 - Item 47</t>
  </si>
  <si>
    <t>CONFERIDO 02/04/2020</t>
  </si>
  <si>
    <t>Pesquisa de mercado</t>
  </si>
  <si>
    <t>http://www.arcotec.com.br/catalogo-produtos/acessorios-em-geral/fita-de-vedacao/</t>
  </si>
  <si>
    <t>07.02.305.04</t>
  </si>
  <si>
    <t>07.02.305.05</t>
  </si>
  <si>
    <t>07.02.305.06</t>
  </si>
  <si>
    <t>https://www.cirilopecas.com.br/pecas-ar-condicionado/valvula-de-servico-7-8-carrier-60-000-r22</t>
  </si>
  <si>
    <t>ELETROFRIGOR</t>
  </si>
  <si>
    <t>07.885.198/0001-87</t>
  </si>
  <si>
    <t xml:space="preserve"> 20.511.530/0001-01</t>
  </si>
  <si>
    <t>(21) 3803-1428</t>
  </si>
  <si>
    <t>https://www.eletrofrigor.com.br/valvula-de-servico-78-r22-com-base-ar-condicionado-split-piso-teto-springer-carrier-midea-36-48-60.html?gclid=Cj0KCQjwmpb0BRCBARIsAG7y4zYwiPaYClosXbBT_tM0qBIXC9L6bUlm3mN1oqUEqGdvCCwzkzXNeNYaAi1mEALw_wcB</t>
  </si>
  <si>
    <t>https://www.polipartes.com.br/valvula-de-servico-5-8-ar-condicionado-r22-split-springer-07404040.html</t>
  </si>
  <si>
    <t>https://www.eletrofrigor.com.br/valvula-de-servico-58-condensadora-ar-condicionado-split-r22.htmlgclid=Cj0KCQjwmpb0BRCBARIsAG7y4zYwiPaYClosXbBT_tM0qBIXC9L6bUlm3mN1oqUEqGdvCCwzkzXNeNYaAi1mEALw_wcB</t>
  </si>
  <si>
    <t>https://www.polipartes.com.br/valvula-de-servico-para-condensadora-de-1-2-r22-80170-022.html</t>
  </si>
  <si>
    <t>https://www.polipartes.com.br/valvula-de-servico-para-condensadora-3-8-r22-80150-021.html</t>
  </si>
  <si>
    <t>MÉRITO COMERCIAL</t>
  </si>
  <si>
    <t>01.582.892/0001-49</t>
  </si>
  <si>
    <t>(11) 4750-2905</t>
  </si>
  <si>
    <t>https://www.meritocomercial.com.br/tanque-de-pressao-schneider-tap-20-20320095009-p1027818</t>
  </si>
  <si>
    <t>merito@meritocomercial.com.br</t>
  </si>
  <si>
    <t>CONFERIDO 02/042020</t>
  </si>
  <si>
    <t>CONFERIDO 03/04/2020</t>
  </si>
  <si>
    <t>CONFERIDO 07/04/2020</t>
  </si>
  <si>
    <t>24.595.350/0001-06</t>
  </si>
  <si>
    <t>CASA DO EXAUSTOR</t>
  </si>
  <si>
    <t>11 2020 7777</t>
  </si>
  <si>
    <t>https://www.casadoexaustor.com.br/</t>
  </si>
  <si>
    <t>vendas@casadoexaustor.com.br</t>
  </si>
  <si>
    <t xml:space="preserve">        PRECOS DE INSUMOS</t>
  </si>
  <si>
    <t>MES DE COLETA: 03/2020</t>
  </si>
  <si>
    <t>ENCARGOS SOCIAIS (%) HORISTA  83,40  MENSALISTA  48,63</t>
  </si>
  <si>
    <t xml:space="preserve">  PRECO MEDIANO R$</t>
  </si>
  <si>
    <t>!EM PROCESSO DE DESATIVACAO! CADEADO EM ACO INOX, LARGURA DE *50* MM, COM HASTE EM ACO TEMPERADO, SEM MOLA - CHAVES INCLUIDAS</t>
  </si>
  <si>
    <t>!EM PROCESSO DE DESATIVACAO! CAIXA DE PROTECAO PARA 1 MEDIDOR MONOFASICO, EM CHAPA DE ACO 20 USG (PADRAO DA CONCESSIONARIA LOCAL)</t>
  </si>
  <si>
    <t>!EM PROCESSO DE DESATIVACAO! CAIXA INTERNA/EXTERNA DE MEDICAO PARA 1 MEDIDOR MONOFASICO, COM VISOR, EM CHAPA DE ACO 18 USG (PADRAO DA CONCESSIONARIA LOCAL)</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</si>
  <si>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</si>
  <si>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</si>
  <si>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</si>
  <si>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</si>
  <si>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</si>
  <si>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</si>
  <si>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</si>
  <si>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</si>
  <si>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</si>
  <si>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</si>
  <si>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</si>
  <si>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</si>
  <si>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</si>
  <si>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</si>
  <si>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</si>
  <si>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</si>
  <si>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</si>
  <si>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</si>
  <si>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</si>
  <si>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</si>
  <si>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</si>
  <si>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</si>
  <si>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</si>
  <si>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</si>
  <si>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</si>
  <si>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</si>
  <si>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</si>
  <si>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</si>
  <si>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</si>
  <si>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!EM PROCESSO DE DESATIVACAO! LUMINARIA FECHADA P/ ILUMINACAO PUBLICA, TIPO ABL 50/F OU EQUIV, P/ LAMPADA A VAPOR DE MERCURIO 400W</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</si>
  <si>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</si>
  <si>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</si>
  <si>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</si>
  <si>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QUADRO DE DISTRIBUICAO SEM BARRAMENTO, COM PORTA, DE EMBUTIR, EM CHAPA DE ACO GALVANIZADO, PARA 3 DISJUNTORES NEMA</t>
  </si>
  <si>
    <t>!EM PROCESSO DE DESATIVACAO! QUADRO DE DISTRIBUICAO SEM BARRAMENTO, COM PORTA, DE EMBUTIR, EM CHAPA DE ACO GALVANIZADO, PARA 6 DISJUNTORES NEMA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</si>
  <si>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</si>
  <si>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</si>
  <si>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TERMINAL DE PORCELANA (MUFLA) UNIPOLAR, USO EXTERNO, TENSAO 3,6/6 KV, PARA CABO DE 10/16 MM2, COM ISOLAMENTO EPR</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</si>
  <si>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</si>
  <si>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</si>
  <si>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</si>
  <si>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</si>
  <si>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</si>
  <si>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</si>
  <si>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</si>
  <si>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</si>
  <si>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</si>
  <si>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</si>
  <si>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</si>
  <si>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</si>
  <si>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AÇO CA-25, 16,0 MM, BARRA DE TRANSFERENCIA</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</si>
  <si>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</si>
  <si>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</si>
  <si>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</si>
  <si>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</si>
  <si>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</si>
  <si>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</si>
  <si>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</si>
  <si>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</si>
  <si>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</si>
  <si>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</si>
  <si>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</si>
  <si>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</si>
  <si>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</si>
  <si>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</si>
  <si>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</si>
  <si>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</si>
  <si>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</si>
  <si>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</si>
  <si>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</si>
  <si>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</si>
  <si>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</si>
  <si>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</si>
  <si>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</si>
  <si>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</si>
  <si>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</si>
  <si>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</si>
  <si>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</si>
  <si>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</si>
  <si>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</si>
  <si>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</si>
  <si>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</si>
  <si>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</si>
  <si>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</si>
  <si>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</si>
  <si>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</si>
  <si>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</si>
  <si>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</si>
  <si>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</si>
  <si>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</si>
  <si>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</si>
  <si>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</si>
  <si>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</si>
  <si>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</si>
  <si>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</si>
  <si>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</si>
  <si>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</si>
  <si>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</si>
  <si>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</si>
  <si>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</si>
  <si>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</si>
  <si>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</si>
  <si>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</si>
  <si>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</si>
  <si>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</si>
  <si>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</si>
  <si>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</si>
  <si>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</si>
  <si>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</si>
  <si>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</si>
  <si>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</si>
  <si>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</si>
  <si>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</si>
  <si>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</si>
  <si>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</si>
  <si>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</si>
  <si>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</si>
  <si>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</si>
  <si>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</si>
  <si>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</si>
  <si>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</si>
  <si>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</si>
  <si>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</si>
  <si>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</si>
  <si>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</si>
  <si>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</si>
  <si>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</si>
  <si>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</si>
  <si>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</si>
  <si>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</si>
  <si>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</si>
  <si>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</si>
  <si>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</si>
  <si>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</si>
  <si>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</si>
  <si>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</si>
  <si>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</si>
  <si>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</si>
  <si>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</si>
  <si>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</si>
  <si>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</si>
  <si>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</si>
  <si>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</si>
  <si>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</si>
  <si>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</si>
  <si>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</si>
  <si>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</si>
  <si>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</si>
  <si>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</si>
  <si>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</si>
  <si>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</si>
  <si>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</si>
  <si>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</si>
  <si>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</si>
  <si>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</si>
  <si>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</si>
  <si>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</si>
  <si>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</si>
  <si>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</si>
  <si>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</si>
  <si>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</si>
  <si>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</si>
  <si>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</si>
  <si>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</si>
  <si>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</si>
  <si>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</si>
  <si>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</si>
  <si>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</si>
  <si>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</si>
  <si>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</si>
  <si>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</si>
  <si>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</si>
  <si>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</si>
  <si>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</si>
  <si>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</si>
  <si>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</si>
  <si>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</si>
  <si>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</si>
  <si>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</si>
  <si>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</si>
  <si>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</si>
  <si>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</si>
  <si>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</si>
  <si>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</si>
  <si>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</si>
  <si>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</si>
  <si>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</si>
  <si>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</si>
  <si>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</si>
  <si>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</si>
  <si>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</si>
  <si>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</si>
  <si>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</si>
  <si>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</si>
  <si>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</si>
  <si>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</si>
  <si>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</si>
  <si>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</si>
  <si>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</si>
  <si>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</si>
  <si>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</si>
  <si>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</si>
  <si>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</si>
  <si>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</si>
  <si>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</si>
  <si>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</si>
  <si>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</si>
  <si>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</si>
  <si>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</si>
  <si>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</si>
  <si>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</si>
  <si>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</si>
  <si>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</si>
  <si>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</si>
  <si>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</si>
  <si>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</si>
  <si>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</si>
  <si>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</si>
  <si>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</si>
  <si>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</si>
  <si>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</si>
  <si>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</si>
  <si>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</si>
  <si>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</si>
  <si>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</si>
  <si>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</si>
  <si>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</si>
  <si>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</si>
  <si>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</si>
  <si>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</si>
  <si>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</si>
  <si>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</si>
  <si>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</si>
  <si>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</si>
  <si>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</si>
  <si>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</si>
  <si>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</si>
  <si>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</si>
  <si>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</si>
  <si>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</si>
  <si>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</si>
  <si>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</si>
  <si>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</si>
  <si>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</si>
  <si>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</si>
  <si>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</si>
  <si>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</si>
  <si>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</si>
  <si>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</si>
  <si>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</si>
  <si>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</si>
  <si>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</si>
  <si>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</si>
  <si>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</si>
  <si>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</si>
  <si>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</si>
  <si>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</si>
  <si>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</si>
  <si>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</si>
  <si>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</si>
  <si>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</si>
  <si>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</si>
  <si>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</si>
  <si>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</si>
  <si>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</si>
  <si>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</si>
  <si>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</si>
  <si>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</si>
  <si>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</si>
  <si>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</si>
  <si>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</si>
  <si>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</si>
  <si>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</si>
  <si>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</si>
  <si>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</si>
  <si>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</si>
  <si>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</si>
  <si>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</si>
  <si>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</si>
  <si>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</si>
  <si>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</si>
  <si>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</si>
  <si>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</si>
  <si>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</si>
  <si>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</si>
  <si>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</si>
  <si>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</si>
  <si>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</si>
  <si>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</si>
  <si>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</si>
  <si>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</si>
  <si>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</si>
  <si>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</si>
  <si>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</si>
  <si>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</si>
  <si>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</si>
  <si>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</si>
  <si>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</si>
  <si>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</si>
  <si>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</si>
  <si>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</si>
  <si>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</si>
  <si>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</si>
  <si>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</si>
  <si>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</si>
  <si>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</si>
  <si>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</si>
  <si>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</si>
  <si>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</si>
  <si>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</si>
  <si>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</si>
  <si>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</si>
  <si>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</si>
  <si>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</si>
  <si>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</si>
  <si>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</si>
  <si>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</si>
  <si>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</si>
  <si>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</si>
  <si>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</si>
  <si>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</si>
  <si>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</si>
  <si>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</si>
  <si>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</si>
  <si>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</si>
  <si>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</si>
  <si>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</si>
  <si>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</si>
  <si>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</si>
  <si>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</si>
  <si>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</si>
  <si>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</si>
  <si>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</si>
  <si>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</si>
  <si>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</si>
  <si>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</si>
  <si>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</si>
  <si>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</si>
  <si>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</si>
  <si>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</si>
  <si>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</si>
  <si>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</si>
  <si>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</si>
  <si>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</si>
  <si>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</si>
  <si>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</si>
  <si>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</si>
  <si>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</si>
  <si>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</si>
  <si>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</si>
  <si>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</si>
  <si>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</si>
  <si>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</si>
  <si>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</si>
  <si>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</si>
  <si>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</si>
  <si>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</si>
  <si>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</si>
  <si>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</si>
  <si>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</si>
  <si>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</si>
  <si>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</si>
  <si>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</si>
  <si>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</si>
  <si>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</si>
  <si>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</si>
  <si>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</si>
  <si>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</si>
  <si>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</si>
  <si>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1,60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</si>
  <si>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</si>
  <si>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</si>
  <si>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</si>
  <si>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</si>
  <si>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</si>
  <si>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</si>
  <si>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</si>
  <si>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</si>
  <si>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</si>
  <si>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</si>
  <si>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</si>
  <si>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</si>
  <si>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</si>
  <si>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</si>
  <si>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</si>
  <si>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</si>
  <si>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</si>
  <si>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</si>
  <si>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</si>
  <si>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</si>
  <si>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</si>
  <si>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</si>
  <si>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</si>
  <si>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</si>
  <si>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</si>
  <si>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</si>
  <si>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</si>
  <si>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</si>
  <si>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</si>
  <si>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</si>
  <si>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</si>
  <si>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</si>
  <si>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</si>
  <si>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</si>
  <si>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</si>
  <si>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</si>
  <si>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</si>
  <si>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</si>
  <si>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</si>
  <si>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</si>
  <si>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</si>
  <si>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</si>
  <si>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</si>
  <si>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</si>
  <si>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</si>
  <si>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</si>
  <si>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</si>
  <si>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</si>
  <si>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</si>
  <si>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</si>
  <si>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</si>
  <si>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</si>
  <si>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</si>
  <si>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</si>
  <si>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</si>
  <si>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</si>
  <si>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</si>
  <si>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</si>
  <si>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</si>
  <si>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</si>
  <si>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</si>
  <si>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</si>
  <si>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</si>
  <si>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</si>
  <si>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</si>
  <si>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</si>
  <si>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</si>
  <si>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</si>
  <si>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</si>
  <si>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</si>
  <si>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</si>
  <si>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</si>
  <si>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</si>
  <si>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</si>
  <si>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</si>
  <si>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</si>
  <si>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</si>
  <si>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</si>
  <si>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</si>
  <si>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</si>
  <si>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</si>
  <si>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</si>
  <si>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</si>
  <si>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</si>
  <si>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</si>
  <si>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</si>
  <si>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</si>
  <si>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</si>
  <si>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</si>
  <si>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</si>
  <si>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</si>
  <si>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</si>
  <si>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</si>
  <si>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</si>
  <si>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</si>
  <si>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</si>
  <si>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</si>
  <si>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</si>
  <si>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</si>
  <si>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</si>
  <si>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</si>
  <si>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</si>
  <si>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</si>
  <si>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</si>
  <si>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</si>
  <si>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</si>
  <si>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</si>
  <si>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</si>
  <si>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</si>
  <si>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</si>
  <si>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</si>
  <si>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</si>
  <si>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</si>
  <si>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</si>
  <si>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</si>
  <si>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</si>
  <si>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</si>
  <si>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</si>
  <si>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</si>
  <si>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</si>
  <si>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</si>
  <si>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</si>
  <si>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</si>
  <si>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</si>
  <si>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</si>
  <si>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</si>
  <si>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</si>
  <si>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</si>
  <si>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</si>
  <si>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</si>
  <si>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</si>
  <si>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</si>
  <si>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</si>
  <si>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</si>
  <si>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</si>
  <si>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</si>
  <si>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</si>
  <si>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</si>
  <si>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</si>
  <si>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</si>
  <si>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</si>
  <si>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</si>
  <si>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</si>
  <si>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</si>
  <si>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</si>
  <si>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</si>
  <si>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</si>
  <si>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</si>
  <si>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</si>
  <si>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</si>
  <si>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</si>
  <si>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</si>
  <si>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</si>
  <si>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</si>
  <si>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</si>
  <si>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</si>
  <si>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</si>
  <si>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</si>
  <si>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</si>
  <si>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</si>
  <si>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</si>
  <si>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</si>
  <si>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</si>
  <si>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</si>
  <si>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</si>
  <si>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</si>
  <si>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</si>
  <si>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</si>
  <si>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</si>
  <si>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</si>
  <si>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</si>
  <si>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</si>
  <si>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</si>
  <si>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</si>
  <si>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</si>
  <si>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</si>
  <si>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</si>
  <si>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</si>
  <si>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</si>
  <si>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</si>
  <si>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</si>
  <si>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</si>
  <si>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</si>
  <si>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</si>
  <si>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</si>
  <si>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</si>
  <si>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</si>
  <si>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</si>
  <si>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</si>
  <si>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</si>
  <si>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</si>
  <si>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</si>
  <si>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</si>
  <si>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</si>
  <si>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</si>
  <si>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</si>
  <si>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</si>
  <si>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</si>
  <si>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</si>
  <si>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</si>
  <si>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</si>
  <si>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</si>
  <si>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</si>
  <si>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</si>
  <si>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</si>
  <si>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</si>
  <si>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</si>
  <si>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</si>
  <si>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</si>
  <si>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</si>
  <si>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</si>
  <si>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</si>
  <si>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</si>
  <si>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</si>
  <si>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</si>
  <si>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</si>
  <si>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</si>
  <si>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</si>
  <si>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</si>
  <si>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</si>
  <si>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</si>
  <si>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</si>
  <si>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</si>
  <si>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</si>
  <si>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</si>
  <si>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</si>
  <si>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</si>
  <si>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</si>
  <si>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</si>
  <si>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</si>
  <si>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</si>
  <si>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</si>
  <si>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</si>
  <si>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</si>
  <si>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</si>
  <si>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</si>
  <si>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</si>
  <si>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</si>
  <si>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</si>
  <si>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</si>
  <si>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</si>
  <si>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</si>
  <si>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</si>
  <si>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</si>
  <si>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</si>
  <si>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</si>
  <si>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</si>
  <si>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</si>
  <si>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</si>
  <si>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</si>
  <si>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</si>
  <si>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</si>
  <si>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</si>
  <si>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</si>
  <si>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</si>
  <si>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</si>
  <si>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</si>
  <si>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</si>
  <si>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</si>
  <si>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</si>
  <si>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</si>
  <si>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</si>
  <si>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</si>
  <si>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</si>
  <si>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</si>
  <si>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</si>
  <si>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</si>
  <si>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</si>
  <si>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</si>
  <si>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</si>
  <si>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</si>
  <si>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</si>
  <si>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</si>
  <si>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</si>
  <si>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</si>
  <si>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</si>
  <si>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</si>
  <si>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</si>
  <si>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</si>
  <si>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</si>
  <si>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</si>
  <si>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</si>
  <si>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</si>
  <si>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</si>
  <si>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</si>
  <si>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</si>
  <si>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</si>
  <si>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</si>
  <si>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</si>
  <si>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</si>
  <si>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</si>
  <si>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</si>
  <si>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</si>
  <si>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</si>
  <si>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</si>
  <si>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</si>
  <si>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</si>
  <si>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</si>
  <si>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</si>
  <si>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</si>
  <si>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</si>
  <si>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</si>
  <si>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</si>
  <si>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</si>
  <si>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</si>
  <si>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</si>
  <si>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</si>
  <si>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</si>
  <si>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</si>
  <si>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</si>
  <si>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</si>
  <si>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</si>
  <si>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</si>
  <si>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</si>
  <si>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</si>
  <si>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</si>
  <si>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</si>
  <si>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</si>
  <si>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</si>
  <si>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</si>
  <si>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</si>
  <si>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</si>
  <si>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</si>
  <si>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</si>
  <si>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</si>
  <si>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</si>
  <si>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</si>
  <si>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</si>
  <si>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</si>
  <si>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</si>
  <si>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</si>
  <si>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</si>
  <si>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</si>
  <si>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</si>
  <si>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</si>
  <si>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</si>
  <si>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</si>
  <si>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</si>
  <si>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</si>
  <si>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</si>
  <si>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</si>
  <si>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</si>
  <si>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</si>
  <si>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</si>
  <si>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</si>
  <si>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</si>
  <si>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</si>
  <si>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</si>
  <si>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</si>
  <si>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</si>
  <si>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</si>
  <si>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</si>
  <si>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</si>
  <si>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</si>
  <si>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</si>
  <si>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</si>
  <si>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</si>
  <si>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</si>
  <si>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</si>
  <si>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</si>
  <si>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</si>
  <si>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</si>
  <si>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</si>
  <si>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</si>
  <si>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</si>
  <si>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</si>
  <si>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</si>
  <si>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</si>
  <si>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</si>
  <si>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</si>
  <si>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</si>
  <si>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</si>
  <si>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</si>
  <si>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</si>
  <si>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</si>
  <si>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</si>
  <si>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</si>
  <si>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</si>
  <si>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</si>
  <si>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</si>
  <si>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</si>
  <si>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</si>
  <si>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</si>
  <si>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</si>
  <si>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</si>
  <si>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</si>
  <si>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</si>
  <si>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</si>
  <si>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</si>
  <si>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</si>
  <si>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</si>
  <si>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</si>
  <si>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</si>
  <si>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</si>
  <si>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</si>
  <si>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</si>
  <si>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</si>
  <si>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</si>
  <si>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</si>
  <si>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</si>
  <si>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</si>
  <si>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</si>
  <si>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</si>
  <si>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</si>
  <si>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</si>
  <si>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</si>
  <si>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</si>
  <si>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</si>
  <si>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</si>
  <si>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</si>
  <si>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</si>
  <si>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</si>
  <si>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</si>
  <si>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</si>
  <si>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</si>
  <si>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</si>
  <si>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</si>
  <si>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</si>
  <si>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</si>
  <si>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</si>
  <si>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</si>
  <si>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</si>
  <si>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</si>
  <si>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</si>
  <si>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</si>
  <si>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</si>
  <si>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</si>
  <si>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</si>
  <si>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</si>
  <si>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</si>
  <si>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</si>
  <si>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</si>
  <si>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</si>
  <si>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</si>
  <si>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</si>
  <si>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</si>
  <si>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</si>
  <si>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</si>
  <si>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</si>
  <si>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</si>
  <si>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</si>
  <si>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</si>
  <si>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</si>
  <si>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</si>
  <si>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</si>
  <si>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</si>
  <si>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</si>
  <si>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</si>
  <si>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</si>
  <si>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</si>
  <si>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</si>
  <si>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</si>
  <si>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</si>
  <si>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</si>
  <si>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</si>
  <si>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</si>
  <si>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</si>
  <si>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</si>
  <si>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</si>
  <si>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</si>
  <si>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</si>
  <si>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</si>
  <si>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</si>
  <si>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</si>
  <si>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</si>
  <si>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</si>
  <si>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</si>
  <si>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</si>
  <si>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</si>
  <si>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</si>
  <si>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</si>
  <si>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</si>
  <si>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</si>
  <si>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</si>
  <si>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</si>
  <si>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</si>
  <si>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</si>
  <si>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</si>
  <si>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</si>
  <si>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</si>
  <si>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</si>
  <si>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</si>
  <si>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</si>
  <si>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</si>
  <si>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</si>
  <si>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</si>
  <si>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</si>
  <si>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</si>
  <si>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</si>
  <si>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</si>
  <si>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</si>
  <si>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</si>
  <si>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</si>
  <si>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</si>
  <si>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</si>
  <si>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</si>
  <si>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</si>
  <si>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</si>
  <si>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</si>
  <si>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</si>
  <si>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</si>
  <si>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</si>
  <si>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</si>
  <si>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</si>
  <si>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</si>
  <si>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</si>
  <si>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</si>
  <si>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</si>
  <si>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</si>
  <si>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</si>
  <si>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</si>
  <si>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</si>
  <si>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</si>
  <si>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</si>
  <si>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</si>
  <si>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</si>
  <si>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</si>
  <si>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</si>
  <si>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</si>
  <si>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</si>
  <si>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</si>
  <si>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</si>
  <si>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</si>
  <si>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</si>
  <si>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</si>
  <si>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</si>
  <si>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</si>
  <si>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</si>
  <si>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</si>
  <si>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</si>
  <si>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</si>
  <si>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</si>
  <si>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</si>
  <si>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</si>
  <si>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</si>
  <si>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</si>
  <si>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</si>
  <si>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</si>
  <si>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</si>
  <si>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</si>
  <si>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</si>
  <si>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</si>
  <si>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</si>
  <si>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</si>
  <si>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</si>
  <si>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</si>
  <si>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</si>
  <si>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</si>
  <si>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</si>
  <si>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</si>
  <si>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</si>
  <si>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</si>
  <si>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</si>
  <si>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</si>
  <si>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</si>
  <si>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</si>
  <si>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</si>
  <si>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</si>
  <si>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</si>
  <si>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</si>
  <si>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</si>
  <si>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</si>
  <si>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</si>
  <si>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</si>
  <si>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</si>
  <si>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</si>
  <si>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</si>
  <si>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</si>
  <si>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</si>
  <si>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</si>
  <si>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</si>
  <si>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</si>
  <si>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</si>
  <si>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</si>
  <si>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</si>
  <si>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</si>
  <si>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</si>
  <si>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</si>
  <si>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</si>
  <si>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</si>
  <si>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</si>
  <si>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</si>
  <si>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</si>
  <si>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</si>
  <si>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</si>
  <si>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</si>
  <si>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</si>
  <si>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</si>
  <si>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</si>
  <si>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</si>
  <si>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</si>
  <si>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</si>
  <si>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</si>
  <si>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</si>
  <si>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</si>
  <si>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</si>
  <si>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</si>
  <si>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</si>
  <si>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</si>
  <si>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</si>
  <si>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</si>
  <si>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</si>
  <si>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</si>
  <si>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</si>
  <si>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</si>
  <si>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</si>
  <si>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</si>
  <si>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</si>
  <si>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</si>
  <si>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</si>
  <si>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</si>
  <si>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</si>
  <si>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</si>
  <si>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</si>
  <si>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</si>
  <si>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</si>
  <si>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</si>
  <si>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</si>
  <si>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</si>
  <si>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</si>
  <si>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</si>
  <si>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</si>
  <si>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</si>
  <si>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</si>
  <si>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</si>
  <si>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</si>
  <si>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</si>
  <si>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</si>
  <si>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</si>
  <si>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</si>
  <si>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</si>
  <si>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</si>
  <si>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</si>
  <si>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</si>
  <si>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</si>
  <si>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</si>
  <si>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</si>
  <si>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</si>
  <si>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</si>
  <si>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</si>
  <si>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</si>
  <si>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</si>
  <si>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</si>
  <si>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</si>
  <si>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</si>
  <si>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</si>
  <si>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</si>
  <si>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</si>
  <si>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</si>
  <si>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</si>
  <si>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</si>
  <si>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</si>
  <si>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</si>
  <si>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</si>
  <si>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</si>
  <si>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</si>
  <si>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</si>
  <si>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</si>
  <si>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</si>
  <si>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</si>
  <si>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</si>
  <si>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</si>
  <si>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</si>
  <si>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</si>
  <si>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</si>
  <si>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</si>
  <si>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</si>
  <si>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</si>
  <si>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</si>
  <si>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</si>
  <si>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</si>
  <si>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</si>
  <si>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</si>
  <si>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</si>
  <si>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</si>
  <si>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</si>
  <si>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</si>
  <si>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</si>
  <si>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</si>
  <si>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</si>
  <si>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</si>
  <si>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</si>
  <si>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</si>
  <si>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</si>
  <si>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</si>
  <si>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</si>
  <si>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</si>
  <si>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</si>
  <si>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</si>
  <si>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</si>
  <si>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</si>
  <si>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</si>
  <si>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</si>
  <si>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</si>
  <si>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</si>
  <si>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</si>
  <si>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</si>
  <si>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</si>
  <si>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</si>
  <si>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</si>
  <si>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</si>
  <si>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</si>
  <si>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</si>
  <si>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</si>
  <si>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</si>
  <si>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</si>
  <si>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</si>
  <si>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</si>
  <si>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</si>
  <si>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</si>
  <si>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</si>
  <si>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</si>
  <si>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</si>
  <si>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</si>
  <si>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</si>
  <si>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</si>
  <si>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</si>
  <si>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</si>
  <si>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</si>
  <si>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</si>
  <si>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</si>
  <si>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</si>
  <si>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</si>
  <si>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</si>
  <si>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</si>
  <si>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</si>
  <si>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</si>
  <si>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</si>
  <si>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</si>
  <si>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</si>
  <si>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</si>
  <si>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</si>
  <si>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</si>
  <si>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</si>
  <si>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</si>
  <si>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</si>
  <si>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</si>
  <si>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</si>
  <si>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</si>
  <si>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</si>
  <si>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</si>
  <si>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</si>
  <si>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</si>
  <si>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</si>
  <si>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</si>
  <si>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</si>
  <si>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</si>
  <si>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</si>
  <si>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</si>
  <si>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</si>
  <si>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</si>
  <si>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</si>
  <si>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</si>
  <si>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</si>
  <si>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</si>
  <si>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</si>
  <si>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</si>
  <si>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</si>
  <si>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</si>
  <si>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</si>
  <si>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</si>
  <si>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</si>
  <si>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</si>
  <si>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</si>
  <si>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</si>
  <si>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</si>
  <si>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</si>
  <si>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</si>
  <si>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</si>
  <si>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</si>
  <si>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</si>
  <si>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</si>
  <si>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</si>
  <si>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</si>
  <si>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</si>
  <si>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</si>
  <si>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</si>
  <si>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</si>
  <si>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</si>
  <si>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</si>
  <si>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</si>
  <si>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</si>
  <si>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</si>
  <si>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</si>
  <si>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</si>
  <si>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</si>
  <si>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</si>
  <si>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</si>
  <si>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</si>
  <si>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</si>
  <si>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</si>
  <si>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</si>
  <si>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</si>
  <si>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</si>
  <si>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</si>
  <si>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</si>
  <si>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</si>
  <si>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</si>
  <si>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</si>
  <si>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</si>
  <si>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</si>
  <si>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</si>
  <si>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</si>
  <si>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</si>
  <si>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</si>
  <si>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</si>
  <si>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</si>
  <si>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</si>
  <si>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</si>
  <si>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</si>
  <si>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</si>
  <si>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</si>
  <si>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</si>
  <si>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</si>
  <si>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</si>
  <si>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</si>
  <si>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</si>
  <si>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</si>
  <si>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</si>
  <si>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</si>
  <si>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</si>
  <si>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</si>
  <si>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</si>
  <si>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</si>
  <si>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</si>
  <si>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</si>
  <si>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</si>
  <si>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</si>
  <si>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</si>
  <si>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</si>
  <si>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</si>
  <si>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</si>
  <si>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</si>
  <si>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</si>
  <si>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</si>
  <si>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</si>
  <si>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</si>
  <si>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</si>
  <si>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</si>
  <si>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</si>
  <si>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</si>
  <si>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</si>
  <si>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</si>
  <si>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</si>
  <si>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</si>
  <si>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</si>
  <si>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</si>
  <si>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</si>
  <si>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</si>
  <si>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</si>
  <si>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</si>
  <si>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</si>
  <si>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</si>
  <si>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</si>
  <si>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</si>
  <si>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</si>
  <si>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</si>
  <si>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</si>
  <si>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</si>
  <si>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</si>
  <si>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</si>
  <si>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</si>
  <si>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</si>
  <si>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</si>
  <si>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</si>
  <si>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</si>
  <si>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</si>
  <si>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</si>
  <si>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</si>
  <si>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</si>
  <si>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</si>
  <si>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</si>
  <si>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</si>
  <si>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</si>
  <si>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</si>
  <si>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</si>
  <si>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</si>
  <si>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</si>
  <si>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</si>
  <si>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</si>
  <si>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</si>
  <si>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</si>
  <si>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</si>
  <si>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</si>
  <si>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ESPESSURA DE 0,50 MM, LARGURA DE 300 MM (LIGA 1.200 - H14)</t>
  </si>
  <si>
    <t>CHAPA/BOBINA LISA EM ALUMINIO, ESPESSURA DE 0,80 MM, LARGURA DE 1.000 MM (LIGA 1.200 - H14)</t>
  </si>
  <si>
    <t>CHAPA/BOBINA LISA EM ALUMINIO, ESPESSURA DE 0,80 MM, LARGURA DE 500 MM (LIGA 1.200 - H14)</t>
  </si>
  <si>
    <t>CHAPA/BOBINA LISA EM ALUMINIO, ESPESSURA DE 0,80 MM, LARGURA DE 600 MM (LIGA 1.200 - H14)</t>
  </si>
  <si>
    <t>CHAPA/BOBINA LISA EM ALUMINIO, ESPESSURA DE 3,00 MM, LARGURA DE 1.000 MM (LIGA 1.200 - H14)</t>
  </si>
  <si>
    <t>CHAPA/BOBINA LISA EM ALUMINIO, ESPESSURA DE 4,00 MM, LARGURA DE 1.000 MM (LIGA 1.200 - H14)</t>
  </si>
  <si>
    <t>CHAPA/BOBINA LISA EM ALUMINIO, ESPESSURA DE 5,00 MM, LARGURA DE 1.060 MM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</si>
  <si>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</si>
  <si>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</si>
  <si>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</si>
  <si>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</si>
  <si>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</si>
  <si>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</si>
  <si>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</si>
  <si>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</si>
  <si>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</si>
  <si>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</si>
  <si>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</si>
  <si>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</si>
  <si>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</si>
  <si>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</si>
  <si>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</si>
  <si>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</si>
  <si>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</si>
  <si>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</si>
  <si>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</si>
  <si>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</si>
  <si>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</si>
  <si>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</si>
  <si>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</si>
  <si>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</si>
  <si>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</si>
  <si>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</si>
  <si>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</si>
  <si>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</si>
  <si>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</si>
  <si>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</si>
  <si>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</si>
  <si>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</si>
  <si>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</si>
  <si>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</si>
  <si>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</si>
  <si>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</si>
  <si>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</si>
  <si>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</si>
  <si>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</si>
  <si>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</si>
  <si>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</si>
  <si>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</si>
  <si>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</si>
  <si>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</si>
  <si>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</si>
  <si>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</si>
  <si>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</si>
  <si>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</si>
  <si>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</si>
  <si>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</si>
  <si>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</si>
  <si>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</si>
  <si>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</si>
  <si>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</si>
  <si>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</si>
  <si>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</si>
  <si>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</si>
  <si>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</si>
  <si>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</si>
  <si>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</si>
  <si>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</si>
  <si>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</si>
  <si>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</si>
  <si>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</si>
  <si>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</si>
  <si>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</si>
  <si>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</si>
  <si>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</si>
  <si>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</si>
  <si>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</si>
  <si>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</si>
  <si>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</si>
  <si>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</si>
  <si>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</si>
  <si>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</si>
  <si>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</si>
  <si>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</si>
  <si>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</si>
  <si>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</si>
  <si>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</si>
  <si>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</si>
  <si>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</si>
  <si>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</si>
  <si>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</si>
  <si>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</si>
  <si>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</si>
  <si>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</si>
  <si>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</si>
  <si>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</si>
  <si>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</si>
  <si>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</si>
  <si>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</si>
  <si>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</si>
  <si>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</si>
  <si>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</si>
  <si>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</si>
  <si>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</si>
  <si>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</si>
  <si>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</si>
  <si>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</si>
  <si>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</si>
  <si>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</si>
  <si>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</si>
  <si>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</si>
  <si>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</si>
  <si>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</si>
  <si>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</si>
  <si>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</si>
  <si>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</si>
  <si>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</si>
  <si>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</si>
  <si>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</si>
  <si>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</si>
  <si>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</si>
  <si>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</si>
  <si>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</si>
  <si>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</si>
  <si>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</si>
  <si>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</si>
  <si>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</si>
  <si>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</si>
  <si>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</si>
  <si>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</si>
  <si>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</si>
  <si>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</si>
  <si>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</si>
  <si>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</si>
  <si>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</si>
  <si>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</si>
  <si>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</si>
  <si>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</si>
  <si>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</si>
  <si>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</si>
  <si>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</si>
  <si>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</si>
  <si>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</si>
  <si>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</si>
  <si>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</si>
  <si>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</si>
  <si>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</si>
  <si>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</si>
  <si>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</si>
  <si>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</si>
  <si>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</si>
  <si>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</si>
  <si>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</si>
  <si>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</si>
  <si>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</si>
  <si>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</si>
  <si>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</si>
  <si>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</si>
  <si>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</si>
  <si>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</si>
  <si>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</si>
  <si>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</si>
  <si>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</si>
  <si>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</si>
  <si>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</si>
  <si>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</si>
  <si>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</si>
  <si>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</si>
  <si>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</si>
  <si>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</si>
  <si>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</si>
  <si>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</si>
  <si>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</si>
  <si>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</si>
  <si>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</si>
  <si>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</si>
  <si>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</si>
  <si>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</si>
  <si>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</si>
  <si>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</si>
  <si>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</si>
  <si>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</si>
  <si>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</si>
  <si>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</si>
  <si>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</si>
  <si>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</si>
  <si>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</si>
  <si>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</si>
  <si>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</si>
  <si>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</si>
  <si>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</si>
  <si>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</si>
  <si>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</si>
  <si>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</si>
  <si>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</si>
  <si>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</si>
  <si>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</si>
  <si>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</si>
  <si>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</si>
  <si>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</si>
  <si>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</si>
  <si>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</si>
  <si>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</si>
  <si>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</si>
  <si>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</si>
  <si>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</si>
  <si>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</si>
  <si>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</si>
  <si>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</si>
  <si>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</si>
  <si>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</si>
  <si>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</si>
  <si>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</si>
  <si>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</si>
  <si>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</si>
  <si>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</si>
  <si>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</si>
  <si>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</si>
  <si>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</si>
  <si>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</si>
  <si>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</si>
  <si>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</si>
  <si>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</si>
  <si>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</si>
  <si>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</si>
  <si>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</si>
  <si>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</si>
  <si>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</si>
  <si>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</si>
  <si>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</si>
  <si>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</si>
  <si>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</si>
  <si>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</si>
  <si>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</si>
  <si>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</si>
  <si>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</si>
  <si>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</si>
  <si>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</si>
  <si>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</si>
  <si>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</si>
  <si>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</si>
  <si>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</si>
  <si>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</si>
  <si>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</si>
  <si>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</si>
  <si>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</si>
  <si>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</si>
  <si>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</si>
  <si>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</si>
  <si>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</si>
  <si>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</si>
  <si>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</si>
  <si>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</si>
  <si>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</si>
  <si>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</si>
  <si>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</si>
  <si>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</si>
  <si>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</si>
  <si>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</si>
  <si>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</si>
  <si>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</si>
  <si>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</si>
  <si>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</si>
  <si>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</si>
  <si>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</si>
  <si>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</si>
  <si>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</si>
  <si>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</si>
  <si>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</si>
  <si>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</si>
  <si>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</si>
  <si>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</si>
  <si>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</si>
  <si>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</si>
  <si>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</si>
  <si>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</si>
  <si>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</si>
  <si>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</si>
  <si>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</si>
  <si>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</si>
  <si>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</si>
  <si>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</si>
  <si>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</si>
  <si>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</si>
  <si>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</si>
  <si>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</si>
  <si>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</si>
  <si>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</si>
  <si>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</si>
  <si>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</si>
  <si>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</si>
  <si>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</si>
  <si>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</si>
  <si>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</si>
  <si>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</si>
  <si>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</si>
  <si>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</si>
  <si>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</si>
  <si>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</si>
  <si>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</si>
  <si>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</si>
  <si>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</si>
  <si>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</si>
  <si>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</si>
  <si>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</si>
  <si>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</si>
  <si>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</si>
  <si>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</si>
  <si>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</si>
  <si>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</si>
  <si>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</si>
  <si>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</si>
  <si>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</si>
  <si>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</si>
  <si>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</si>
  <si>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</si>
  <si>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</si>
  <si>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</si>
  <si>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</si>
  <si>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</si>
  <si>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</si>
  <si>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</si>
  <si>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</si>
  <si>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</si>
  <si>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</si>
  <si>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</si>
  <si>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</si>
  <si>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</si>
  <si>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</si>
  <si>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</si>
  <si>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</si>
  <si>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</si>
  <si>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</si>
  <si>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</si>
  <si>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</si>
  <si>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</si>
  <si>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</si>
  <si>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</si>
  <si>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</si>
  <si>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</si>
  <si>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</si>
  <si>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</si>
  <si>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</si>
  <si>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</si>
  <si>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</si>
  <si>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</si>
  <si>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</si>
  <si>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</si>
  <si>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</si>
  <si>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</si>
  <si>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</si>
  <si>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</si>
  <si>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</si>
  <si>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</si>
  <si>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</si>
  <si>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</si>
  <si>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</si>
  <si>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</si>
  <si>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</si>
  <si>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</si>
  <si>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</si>
  <si>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</si>
  <si>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</si>
  <si>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</si>
  <si>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</si>
  <si>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</si>
  <si>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</si>
  <si>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</si>
  <si>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</si>
  <si>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</si>
  <si>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</si>
  <si>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</si>
  <si>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</si>
  <si>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</si>
  <si>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</si>
  <si>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</si>
  <si>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</si>
  <si>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</si>
  <si>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</si>
  <si>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</si>
  <si>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</si>
  <si>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</si>
  <si>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</si>
  <si>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</si>
  <si>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</si>
  <si>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</si>
  <si>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</si>
  <si>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</si>
  <si>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</si>
  <si>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</si>
  <si>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</si>
  <si>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</si>
  <si>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</si>
  <si>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</si>
  <si>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</si>
  <si>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</si>
  <si>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</si>
  <si>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</si>
  <si>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</si>
  <si>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</si>
  <si>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</si>
  <si>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</si>
  <si>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</si>
  <si>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</si>
  <si>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</si>
  <si>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</si>
  <si>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</si>
  <si>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</si>
  <si>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</si>
  <si>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</si>
  <si>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</si>
  <si>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</si>
  <si>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</si>
  <si>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</si>
  <si>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</si>
  <si>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</si>
  <si>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</si>
  <si>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</si>
  <si>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</si>
  <si>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</si>
  <si>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</si>
  <si>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</si>
  <si>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</si>
  <si>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</si>
  <si>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</si>
  <si>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</si>
  <si>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</si>
  <si>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</si>
  <si>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</si>
  <si>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</si>
  <si>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</si>
  <si>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</si>
  <si>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</si>
  <si>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</si>
  <si>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</si>
  <si>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</si>
  <si>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</si>
  <si>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</si>
  <si>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</si>
  <si>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</si>
  <si>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</si>
  <si>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</si>
  <si>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</si>
  <si>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</si>
  <si>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</si>
  <si>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</si>
  <si>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</si>
  <si>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</si>
  <si>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</si>
  <si>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</si>
  <si>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</si>
  <si>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</si>
  <si>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</si>
  <si>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</si>
  <si>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</si>
  <si>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</si>
  <si>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</si>
  <si>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</si>
  <si>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</si>
  <si>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</si>
  <si>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</si>
  <si>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</si>
  <si>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</si>
  <si>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</si>
  <si>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</si>
  <si>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</si>
  <si>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</si>
  <si>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</si>
  <si>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</si>
  <si>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</si>
  <si>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</si>
  <si>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</si>
  <si>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</si>
  <si>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</si>
  <si>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</si>
  <si>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</si>
  <si>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</si>
  <si>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</si>
  <si>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</si>
  <si>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</si>
  <si>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</si>
  <si>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</si>
  <si>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</si>
  <si>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</si>
  <si>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</si>
  <si>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</si>
  <si>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</si>
  <si>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</si>
  <si>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</si>
  <si>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</si>
  <si>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</si>
  <si>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</si>
  <si>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</si>
  <si>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</si>
  <si>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</si>
  <si>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</si>
  <si>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</si>
  <si>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</si>
  <si>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</si>
  <si>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</si>
  <si>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</si>
  <si>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</si>
  <si>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</si>
  <si>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</si>
  <si>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</si>
  <si>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</si>
  <si>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</si>
  <si>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</si>
  <si>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</si>
  <si>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</si>
  <si>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</si>
  <si>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</si>
  <si>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</si>
  <si>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</si>
  <si>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</si>
  <si>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</si>
  <si>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</si>
  <si>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</si>
  <si>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</si>
  <si>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</si>
  <si>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</si>
  <si>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</si>
  <si>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</si>
  <si>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</si>
  <si>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</si>
  <si>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</si>
  <si>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</si>
  <si>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</si>
  <si>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</si>
  <si>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</si>
  <si>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</si>
  <si>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</si>
  <si>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</si>
  <si>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</si>
  <si>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</si>
  <si>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</si>
  <si>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</si>
  <si>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</si>
  <si>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</si>
  <si>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</si>
  <si>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</si>
  <si>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</si>
  <si>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</si>
  <si>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</si>
  <si>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</si>
  <si>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</si>
  <si>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</si>
  <si>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</si>
  <si>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</si>
  <si>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</si>
  <si>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</si>
  <si>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</si>
  <si>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</si>
  <si>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</si>
  <si>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</si>
  <si>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</si>
  <si>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</si>
  <si>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</si>
  <si>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</si>
  <si>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</si>
  <si>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</si>
  <si>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</si>
  <si>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</si>
  <si>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</si>
  <si>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</si>
  <si>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</si>
  <si>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</si>
  <si>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</si>
  <si>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</si>
  <si>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</si>
  <si>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</si>
  <si>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</si>
  <si>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</si>
  <si>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</si>
  <si>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</si>
  <si>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</si>
  <si>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</si>
  <si>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</si>
  <si>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</si>
  <si>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</si>
  <si>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</si>
  <si>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</si>
  <si>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</si>
  <si>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</si>
  <si>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</si>
  <si>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</si>
  <si>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</si>
  <si>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</si>
  <si>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</si>
  <si>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</si>
  <si>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</si>
  <si>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</si>
  <si>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</si>
  <si>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</si>
  <si>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</si>
  <si>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</si>
  <si>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</si>
  <si>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</si>
  <si>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</si>
  <si>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</si>
  <si>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</si>
  <si>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</si>
  <si>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</si>
  <si>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</si>
  <si>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</si>
  <si>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</si>
  <si>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</si>
  <si>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</si>
  <si>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</si>
  <si>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</si>
  <si>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</si>
  <si>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</si>
  <si>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</si>
  <si>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</si>
  <si>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</si>
  <si>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</si>
  <si>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</si>
  <si>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</si>
  <si>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</si>
  <si>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</si>
  <si>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</si>
  <si>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</si>
  <si>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</si>
  <si>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</si>
  <si>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</si>
  <si>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</si>
  <si>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</si>
  <si>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</si>
  <si>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</si>
  <si>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</si>
  <si>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</si>
  <si>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</si>
  <si>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</si>
  <si>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</si>
  <si>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</si>
  <si>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</si>
  <si>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</si>
  <si>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</si>
  <si>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</si>
  <si>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</si>
  <si>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</si>
  <si>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</si>
  <si>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</si>
  <si>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</si>
  <si>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</si>
  <si>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</si>
  <si>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</si>
  <si>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</si>
  <si>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</si>
  <si>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</si>
  <si>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</si>
  <si>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</si>
  <si>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</si>
  <si>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</si>
  <si>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</si>
  <si>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</si>
  <si>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</si>
  <si>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</si>
  <si>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</si>
  <si>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</si>
  <si>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</si>
  <si>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</si>
  <si>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</si>
  <si>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</si>
  <si>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</si>
  <si>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</si>
  <si>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</si>
  <si>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</si>
  <si>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</si>
  <si>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</si>
  <si>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</si>
  <si>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</si>
  <si>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</si>
  <si>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</si>
  <si>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</si>
  <si>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</si>
  <si>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</si>
  <si>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</si>
  <si>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</si>
  <si>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</si>
  <si>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</si>
  <si>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</si>
  <si>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</si>
  <si>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</si>
  <si>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</si>
  <si>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</si>
  <si>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</si>
  <si>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</si>
  <si>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</si>
  <si>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</si>
  <si>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</si>
  <si>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</si>
  <si>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</si>
  <si>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</si>
  <si>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</si>
  <si>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</si>
  <si>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</si>
  <si>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</si>
  <si>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</si>
  <si>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</si>
  <si>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</si>
  <si>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</si>
  <si>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</si>
  <si>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</si>
  <si>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</si>
  <si>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</si>
  <si>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</si>
  <si>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</si>
  <si>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</si>
  <si>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</si>
  <si>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</si>
  <si>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</si>
  <si>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</si>
  <si>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</si>
  <si>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</si>
  <si>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</si>
  <si>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</si>
  <si>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</si>
  <si>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</si>
  <si>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</si>
  <si>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</si>
  <si>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</si>
  <si>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</si>
  <si>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</si>
  <si>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</si>
  <si>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</si>
  <si>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</si>
  <si>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</si>
  <si>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</si>
  <si>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</si>
  <si>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</si>
  <si>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</si>
  <si>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</si>
  <si>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</si>
  <si>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</si>
  <si>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</si>
  <si>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</si>
  <si>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</si>
  <si>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</si>
  <si>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</si>
  <si>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</si>
  <si>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</si>
  <si>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</si>
  <si>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</si>
  <si>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</si>
  <si>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</si>
  <si>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</si>
  <si>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</si>
  <si>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</si>
  <si>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</si>
  <si>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</si>
  <si>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</si>
  <si>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</si>
  <si>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</si>
  <si>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</si>
  <si>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</si>
  <si>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</si>
  <si>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</si>
  <si>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</si>
  <si>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</si>
  <si>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</si>
  <si>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</si>
  <si>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</si>
  <si>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</si>
  <si>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</si>
  <si>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</si>
  <si>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</si>
  <si>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</si>
  <si>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</si>
  <si>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</si>
  <si>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</si>
  <si>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</si>
  <si>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</si>
  <si>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</si>
  <si>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</si>
  <si>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</si>
  <si>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</si>
  <si>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</si>
  <si>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</si>
  <si>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</si>
  <si>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</si>
  <si>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</si>
  <si>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</si>
  <si>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</si>
  <si>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</si>
  <si>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</si>
  <si>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</si>
  <si>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</si>
  <si>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</si>
  <si>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</si>
  <si>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</si>
  <si>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</si>
  <si>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</si>
  <si>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</si>
  <si>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</si>
  <si>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</si>
  <si>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</si>
  <si>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</si>
  <si>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</si>
  <si>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</si>
  <si>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</si>
  <si>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</si>
  <si>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</si>
  <si>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</si>
  <si>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</si>
  <si>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</si>
  <si>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</si>
  <si>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</si>
  <si>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</si>
  <si>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</si>
  <si>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</si>
  <si>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</si>
  <si>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</si>
  <si>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</si>
  <si>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</si>
  <si>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</si>
  <si>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</si>
  <si>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</si>
  <si>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</si>
  <si>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</si>
  <si>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</si>
  <si>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</si>
  <si>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</si>
  <si>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</si>
  <si>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</si>
  <si>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</si>
  <si>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</si>
  <si>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</si>
  <si>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</si>
  <si>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</si>
  <si>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</si>
  <si>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</si>
  <si>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</si>
  <si>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</si>
  <si>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</si>
  <si>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</si>
  <si>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</si>
  <si>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</si>
  <si>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</si>
  <si>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</si>
  <si>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</si>
  <si>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</si>
  <si>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</si>
  <si>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</si>
  <si>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</si>
  <si>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</si>
  <si>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</si>
  <si>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</si>
  <si>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</si>
  <si>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</si>
  <si>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</si>
  <si>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</si>
  <si>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</si>
  <si>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</si>
  <si>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</si>
  <si>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</si>
  <si>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</si>
  <si>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</si>
  <si>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</si>
  <si>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</si>
  <si>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</si>
  <si>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</si>
  <si>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</si>
  <si>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</si>
  <si>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</si>
  <si>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</si>
  <si>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</si>
  <si>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</si>
  <si>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</si>
  <si>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</si>
  <si>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</si>
  <si>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</si>
  <si>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</si>
  <si>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</si>
  <si>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</si>
  <si>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</si>
  <si>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</si>
  <si>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</si>
  <si>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</si>
  <si>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</si>
  <si>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</si>
  <si>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</si>
  <si>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</si>
  <si>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</si>
  <si>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</si>
  <si>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</si>
  <si>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</si>
  <si>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</si>
  <si>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</si>
  <si>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</si>
  <si>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</si>
  <si>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</si>
  <si>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</si>
  <si>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</si>
  <si>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</si>
  <si>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</si>
  <si>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</si>
  <si>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</si>
  <si>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</si>
  <si>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</si>
  <si>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</si>
  <si>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</si>
  <si>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</si>
  <si>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</si>
  <si>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</si>
  <si>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</si>
  <si>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</si>
  <si>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</si>
  <si>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</si>
  <si>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</si>
  <si>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</si>
  <si>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</si>
  <si>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</si>
  <si>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</si>
  <si>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</si>
  <si>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</si>
  <si>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</si>
  <si>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</si>
  <si>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</si>
  <si>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</si>
  <si>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</si>
  <si>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</si>
  <si>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</si>
  <si>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</si>
  <si>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</si>
  <si>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</si>
  <si>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</si>
  <si>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</si>
  <si>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</si>
  <si>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</si>
  <si>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</si>
  <si>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</si>
  <si>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</si>
  <si>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</si>
  <si>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</si>
  <si>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</si>
  <si>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</si>
  <si>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</si>
  <si>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</si>
  <si>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</si>
  <si>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</si>
  <si>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</si>
  <si>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</si>
  <si>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</si>
  <si>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</si>
  <si>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</si>
  <si>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</si>
  <si>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</si>
  <si>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</si>
  <si>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</si>
  <si>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</si>
  <si>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</si>
  <si>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</si>
  <si>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</si>
  <si>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</si>
  <si>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</si>
  <si>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</si>
  <si>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</si>
  <si>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</si>
  <si>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</si>
  <si>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</si>
  <si>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</si>
  <si>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</si>
  <si>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</si>
  <si>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</si>
  <si>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</si>
  <si>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</si>
  <si>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</si>
  <si>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</si>
  <si>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</si>
  <si>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</si>
  <si>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</si>
  <si>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</si>
  <si>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</si>
  <si>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</si>
  <si>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</si>
  <si>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</si>
  <si>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</si>
  <si>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</si>
  <si>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</si>
  <si>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</si>
  <si>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</si>
  <si>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</si>
  <si>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</si>
  <si>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</si>
  <si>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</si>
  <si>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</si>
  <si>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</si>
  <si>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</si>
  <si>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</si>
  <si>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</si>
  <si>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</si>
  <si>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</si>
  <si>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</si>
  <si>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</si>
  <si>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</si>
  <si>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</si>
  <si>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</si>
  <si>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</si>
  <si>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</si>
  <si>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</si>
  <si>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</si>
  <si>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</si>
  <si>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</si>
  <si>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</si>
  <si>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</si>
  <si>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</si>
  <si>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</si>
  <si>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</si>
  <si>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</si>
  <si>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</si>
  <si>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</si>
  <si>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</si>
  <si>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</si>
  <si>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</si>
  <si>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</si>
  <si>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</si>
  <si>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</si>
  <si>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</si>
  <si>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</si>
  <si>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</si>
  <si>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</si>
  <si>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</si>
  <si>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</si>
  <si>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</si>
  <si>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</si>
  <si>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</si>
  <si>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</si>
  <si>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</si>
  <si>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</si>
  <si>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</si>
  <si>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</si>
  <si>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</si>
  <si>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</si>
  <si>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</si>
  <si>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</si>
  <si>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</si>
  <si>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</si>
  <si>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</si>
  <si>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</si>
  <si>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</si>
  <si>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</si>
  <si>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</si>
  <si>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</si>
  <si>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</si>
  <si>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</si>
  <si>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</si>
  <si>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</si>
  <si>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</si>
  <si>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</si>
  <si>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</si>
  <si>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</si>
  <si>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</si>
  <si>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</si>
  <si>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</si>
  <si>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</si>
  <si>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</si>
  <si>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</si>
  <si>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</si>
  <si>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</si>
  <si>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</si>
  <si>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</si>
  <si>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</si>
  <si>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</si>
  <si>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</si>
  <si>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</si>
  <si>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</si>
  <si>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</si>
  <si>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</si>
  <si>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</si>
  <si>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</si>
  <si>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</si>
  <si>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</si>
  <si>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</si>
  <si>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</si>
  <si>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</si>
  <si>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</si>
  <si>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</si>
  <si>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</si>
  <si>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</si>
  <si>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</si>
  <si>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</si>
  <si>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</si>
  <si>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</si>
  <si>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</si>
  <si>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</si>
  <si>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</si>
  <si>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</si>
  <si>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</si>
  <si>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</si>
  <si>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</si>
  <si>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</si>
  <si>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</si>
  <si>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</si>
  <si>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</si>
  <si>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</si>
  <si>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</si>
  <si>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</si>
  <si>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</si>
  <si>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</si>
  <si>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</si>
  <si>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</si>
  <si>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</si>
  <si>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</si>
  <si>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</si>
  <si>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</si>
  <si>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</si>
  <si>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</si>
  <si>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</si>
  <si>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</si>
  <si>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</si>
  <si>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</si>
  <si>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</si>
  <si>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</si>
  <si>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</si>
  <si>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</si>
  <si>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</si>
  <si>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</si>
  <si>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</si>
  <si>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</si>
  <si>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</si>
  <si>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</si>
  <si>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</si>
  <si>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</si>
  <si>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</si>
  <si>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</si>
  <si>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</si>
  <si>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</si>
  <si>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</si>
  <si>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</si>
  <si>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</si>
  <si>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</si>
  <si>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</si>
  <si>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</si>
  <si>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</si>
  <si>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</si>
  <si>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</si>
  <si>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</si>
  <si>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</si>
  <si>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</si>
  <si>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</si>
  <si>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</si>
  <si>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</si>
  <si>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</si>
  <si>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</si>
  <si>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</si>
  <si>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</si>
  <si>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</si>
  <si>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</si>
  <si>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</si>
  <si>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</si>
  <si>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</si>
  <si>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</si>
  <si>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</si>
  <si>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</si>
  <si>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</si>
  <si>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</si>
  <si>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</si>
  <si>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</si>
  <si>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</si>
  <si>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</si>
  <si>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</si>
  <si>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</si>
  <si>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</si>
  <si>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</si>
  <si>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</si>
  <si>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</si>
  <si>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</si>
  <si>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</si>
  <si>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</si>
  <si>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</si>
  <si>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</si>
  <si>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</si>
  <si>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</si>
  <si>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</si>
  <si>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</si>
  <si>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</si>
  <si>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</si>
  <si>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</si>
  <si>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</si>
  <si>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</si>
  <si>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</si>
  <si>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</si>
  <si>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</si>
  <si>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</si>
  <si>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</si>
  <si>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</si>
  <si>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</si>
  <si>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</si>
  <si>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</si>
  <si>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</si>
  <si>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</si>
  <si>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</si>
  <si>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</si>
  <si>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</si>
  <si>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</si>
  <si>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</si>
  <si>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</si>
  <si>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</si>
  <si>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</si>
  <si>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</si>
  <si>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</si>
  <si>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</si>
  <si>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</si>
  <si>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</si>
  <si>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</si>
  <si>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</si>
  <si>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</si>
  <si>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</si>
  <si>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</si>
  <si>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</si>
  <si>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</si>
  <si>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</si>
  <si>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</si>
  <si>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</si>
  <si>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</si>
  <si>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</si>
  <si>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</si>
  <si>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</si>
  <si>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</si>
  <si>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</si>
  <si>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</si>
  <si>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</si>
  <si>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</si>
  <si>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</si>
  <si>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</si>
  <si>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</si>
  <si>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</si>
  <si>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</si>
  <si>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</si>
  <si>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</si>
  <si>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</si>
  <si>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</si>
  <si>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</si>
  <si>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</si>
  <si>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</si>
  <si>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</si>
  <si>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</si>
  <si>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</si>
  <si>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</si>
  <si>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</si>
  <si>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</si>
  <si>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</si>
  <si>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</si>
  <si>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</si>
  <si>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</si>
  <si>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</si>
  <si>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</si>
  <si>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</si>
  <si>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</si>
  <si>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</si>
  <si>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</si>
  <si>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</si>
  <si>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</si>
  <si>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</si>
  <si>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</si>
  <si>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</si>
  <si>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</si>
  <si>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</si>
  <si>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</si>
  <si>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</si>
  <si>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</si>
  <si>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</si>
  <si>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</si>
  <si>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</si>
  <si>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</si>
  <si>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</si>
  <si>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</si>
  <si>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</si>
  <si>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</si>
  <si>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</si>
  <si>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</si>
  <si>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</si>
  <si>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</si>
  <si>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</si>
  <si>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</si>
  <si>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</si>
  <si>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</si>
  <si>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</si>
  <si>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</si>
  <si>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</si>
  <si>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</si>
  <si>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</si>
  <si>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</si>
  <si>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</si>
  <si>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</si>
  <si>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</si>
  <si>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</si>
  <si>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</si>
  <si>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</si>
  <si>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</si>
  <si>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</si>
  <si>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</si>
  <si>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</si>
  <si>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</si>
  <si>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</si>
  <si>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</si>
  <si>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</si>
  <si>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</si>
  <si>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</si>
  <si>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</si>
  <si>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</si>
  <si>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</si>
  <si>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</si>
  <si>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</si>
  <si>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</si>
  <si>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</si>
  <si>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</si>
  <si>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</si>
  <si>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</si>
  <si>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</si>
  <si>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</si>
  <si>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</si>
  <si>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</si>
  <si>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</si>
  <si>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</si>
  <si>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</si>
  <si>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</si>
  <si>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</si>
  <si>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</si>
  <si>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</si>
  <si>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</si>
  <si>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</si>
  <si>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</si>
  <si>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</si>
  <si>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</si>
  <si>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</si>
  <si>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</si>
  <si>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</si>
  <si>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</si>
  <si>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</si>
  <si>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</si>
  <si>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</si>
  <si>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</si>
  <si>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</si>
  <si>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</si>
  <si>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</si>
  <si>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</si>
  <si>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</si>
  <si>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</si>
  <si>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</si>
  <si>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</si>
  <si>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</si>
  <si>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</si>
  <si>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</si>
  <si>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</si>
  <si>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</si>
  <si>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</si>
  <si>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</si>
  <si>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</si>
  <si>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</si>
  <si>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</si>
  <si>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</si>
  <si>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</si>
  <si>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</si>
  <si>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</si>
  <si>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</si>
  <si>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</si>
  <si>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</si>
  <si>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</si>
  <si>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</si>
  <si>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</si>
  <si>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</si>
  <si>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</si>
  <si>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</si>
  <si>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</si>
  <si>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</si>
  <si>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</si>
  <si>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</si>
  <si>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</si>
  <si>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</si>
  <si>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</si>
  <si>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</si>
  <si>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</si>
  <si>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</si>
  <si>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</si>
  <si>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</si>
  <si>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</si>
  <si>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</si>
  <si>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</si>
  <si>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</si>
  <si>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</si>
  <si>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</si>
  <si>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</si>
  <si>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</si>
  <si>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</si>
  <si>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</si>
  <si>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</si>
  <si>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</si>
  <si>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</si>
  <si>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</si>
  <si>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</si>
  <si>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</si>
  <si>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</si>
  <si>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</si>
  <si>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</si>
  <si>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</si>
  <si>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</si>
  <si>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</si>
  <si>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</si>
  <si>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</si>
  <si>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</si>
  <si>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</si>
  <si>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</si>
  <si>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</si>
  <si>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</si>
  <si>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</si>
  <si>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</si>
  <si>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</si>
  <si>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</si>
  <si>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</si>
  <si>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</si>
  <si>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</si>
  <si>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</si>
  <si>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</si>
  <si>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</si>
  <si>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</si>
  <si>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</si>
  <si>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</si>
  <si>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</si>
  <si>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</si>
  <si>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</si>
  <si>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</si>
  <si>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</si>
  <si>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</si>
  <si>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</si>
  <si>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</si>
  <si>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</si>
  <si>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</si>
  <si>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</si>
  <si>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</si>
  <si>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</si>
  <si>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</si>
  <si>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</si>
  <si>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</si>
  <si>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</si>
  <si>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</si>
  <si>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</si>
  <si>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</si>
  <si>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</si>
  <si>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</si>
  <si>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</si>
  <si>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</si>
  <si>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</si>
  <si>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</si>
  <si>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</si>
  <si>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</si>
  <si>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</si>
  <si>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</si>
  <si>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</si>
  <si>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</si>
  <si>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</si>
  <si>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</si>
  <si>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</si>
  <si>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</si>
  <si>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</si>
  <si>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</si>
  <si>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</si>
  <si>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</si>
  <si>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</si>
  <si>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</si>
  <si>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</si>
  <si>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</si>
  <si>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</si>
  <si>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</si>
  <si>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</si>
  <si>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</si>
  <si>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</si>
  <si>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</si>
  <si>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</si>
  <si>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</si>
  <si>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</si>
  <si>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</si>
  <si>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</si>
  <si>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</si>
  <si>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</si>
  <si>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</si>
  <si>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</si>
  <si>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</si>
  <si>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</si>
  <si>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</si>
  <si>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</si>
  <si>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</si>
  <si>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</si>
  <si>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</si>
  <si>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</si>
  <si>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</si>
  <si>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</si>
  <si>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</si>
  <si>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</si>
  <si>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</si>
  <si>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</si>
  <si>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</si>
  <si>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</si>
  <si>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</si>
  <si>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</si>
  <si>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</si>
  <si>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</si>
  <si>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</si>
  <si>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</si>
  <si>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</si>
  <si>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</si>
  <si>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</si>
  <si>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</si>
  <si>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</si>
  <si>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</si>
  <si>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</si>
  <si>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</si>
  <si>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</si>
  <si>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</si>
  <si>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</si>
  <si>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</si>
  <si>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</si>
  <si>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</si>
  <si>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</si>
  <si>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</si>
  <si>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</si>
  <si>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</si>
  <si>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</si>
  <si>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</si>
  <si>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</si>
  <si>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</si>
  <si>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</si>
  <si>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</si>
  <si>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</si>
  <si>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</si>
  <si>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</si>
  <si>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</si>
  <si>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</si>
  <si>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</si>
  <si>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</si>
  <si>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</si>
  <si>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</si>
  <si>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</si>
  <si>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</si>
  <si>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</si>
  <si>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</si>
  <si>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</si>
  <si>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</si>
  <si>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</si>
  <si>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</si>
  <si>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</si>
  <si>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</si>
  <si>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</si>
  <si>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</si>
  <si>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</si>
  <si>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</si>
  <si>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</si>
  <si>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</si>
  <si>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</si>
  <si>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</si>
  <si>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</si>
  <si>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</si>
  <si>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</si>
  <si>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</si>
  <si>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</si>
  <si>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</si>
  <si>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</si>
  <si>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</si>
  <si>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</si>
  <si>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</si>
  <si>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</si>
  <si>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</si>
  <si>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</si>
  <si>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</si>
  <si>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</si>
  <si>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</si>
  <si>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</si>
  <si>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</si>
  <si>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</si>
  <si>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</si>
  <si>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</si>
  <si>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</si>
  <si>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</si>
  <si>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</si>
  <si>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</si>
  <si>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</si>
  <si>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</si>
  <si>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</si>
  <si>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</si>
  <si>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</si>
  <si>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</si>
  <si>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</si>
  <si>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</si>
  <si>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</si>
  <si>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</si>
  <si>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</si>
  <si>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</si>
  <si>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</si>
  <si>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</si>
  <si>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</si>
  <si>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</si>
  <si>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</si>
  <si>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</si>
  <si>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</si>
  <si>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</si>
  <si>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</si>
  <si>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</si>
  <si>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</si>
  <si>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</si>
  <si>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</si>
  <si>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</si>
  <si>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</si>
  <si>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</si>
  <si>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</si>
  <si>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</si>
  <si>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</si>
  <si>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</si>
  <si>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</si>
  <si>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</si>
  <si>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</si>
  <si>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</si>
  <si>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</si>
  <si>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</si>
  <si>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</si>
  <si>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</si>
  <si>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</si>
  <si>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</si>
  <si>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</si>
  <si>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</si>
  <si>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</si>
  <si>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</si>
  <si>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</si>
  <si>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</si>
  <si>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</si>
  <si>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</si>
  <si>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</si>
  <si>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</si>
  <si>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</si>
  <si>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</si>
  <si>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</si>
  <si>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</si>
  <si>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</si>
  <si>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</si>
  <si>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</si>
  <si>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</si>
  <si>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</si>
  <si>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</si>
  <si>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</si>
  <si>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</si>
  <si>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</si>
  <si>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</si>
  <si>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</si>
  <si>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</si>
  <si>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</si>
  <si>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</si>
  <si>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</si>
  <si>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</si>
  <si>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 (COLETADO CAIXA)</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</si>
  <si>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</si>
  <si>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</si>
  <si>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</si>
  <si>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</si>
  <si>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</si>
  <si>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</si>
  <si>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</si>
  <si>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</si>
  <si>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</si>
  <si>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</si>
  <si>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</si>
  <si>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</si>
  <si>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</si>
  <si>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</si>
  <si>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</si>
  <si>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</si>
  <si>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</si>
  <si>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</si>
  <si>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</si>
  <si>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</si>
  <si>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</si>
  <si>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</si>
  <si>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</si>
  <si>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</si>
  <si>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</si>
  <si>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</si>
  <si>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</si>
  <si>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</si>
  <si>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</si>
  <si>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</si>
  <si>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</si>
  <si>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</si>
  <si>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</si>
  <si>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</si>
  <si>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</si>
  <si>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</si>
  <si>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</si>
  <si>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</si>
  <si>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</si>
  <si>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</si>
  <si>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</si>
  <si>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</si>
  <si>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</si>
  <si>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</si>
  <si>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</si>
  <si>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</si>
  <si>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</si>
  <si>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</si>
  <si>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</si>
  <si>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</si>
  <si>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</si>
  <si>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</si>
  <si>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</si>
  <si>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</si>
  <si>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</si>
  <si>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</si>
  <si>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</si>
  <si>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</si>
  <si>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</si>
  <si>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</si>
  <si>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</si>
  <si>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</si>
  <si>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</si>
  <si>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</si>
  <si>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</si>
  <si>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</si>
  <si>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</si>
  <si>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</si>
  <si>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</si>
  <si>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</si>
  <si>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</si>
  <si>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</si>
  <si>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</si>
  <si>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</si>
  <si>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</si>
  <si>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</si>
  <si>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</si>
  <si>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</si>
  <si>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</si>
  <si>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</si>
  <si>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</si>
  <si>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</si>
  <si>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</si>
  <si>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</si>
  <si>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</si>
  <si>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</si>
  <si>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</si>
  <si>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</si>
  <si>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</si>
  <si>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</si>
  <si>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</si>
  <si>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</si>
  <si>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</si>
  <si>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</si>
  <si>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</si>
  <si>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</si>
  <si>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</si>
  <si>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</si>
  <si>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</si>
  <si>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</si>
  <si>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</si>
  <si>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</si>
  <si>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</si>
  <si>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</si>
  <si>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</si>
  <si>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</si>
  <si>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</si>
  <si>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</si>
  <si>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</si>
  <si>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</si>
  <si>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</si>
  <si>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</si>
  <si>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</si>
  <si>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</si>
  <si>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</si>
  <si>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</si>
  <si>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</si>
  <si>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</si>
  <si>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</si>
  <si>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</si>
  <si>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</si>
  <si>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</si>
  <si>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</si>
  <si>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</si>
  <si>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</si>
  <si>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</si>
  <si>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</si>
  <si>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</si>
  <si>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</si>
  <si>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</si>
  <si>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</si>
  <si>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</si>
  <si>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</si>
  <si>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</si>
  <si>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</si>
  <si>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</si>
  <si>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</si>
  <si>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</si>
  <si>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</si>
  <si>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</si>
  <si>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</si>
  <si>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</si>
  <si>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</si>
  <si>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</si>
  <si>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</si>
  <si>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</si>
  <si>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</si>
  <si>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</si>
  <si>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</si>
  <si>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</si>
  <si>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</si>
  <si>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</si>
  <si>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</si>
  <si>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</si>
  <si>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</si>
  <si>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</si>
  <si>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</si>
  <si>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</si>
  <si>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</si>
  <si>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</si>
  <si>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</si>
  <si>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</si>
  <si>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</si>
  <si>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</si>
  <si>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</si>
  <si>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</si>
  <si>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</si>
  <si>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</si>
  <si>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</si>
  <si>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</si>
  <si>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</si>
  <si>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</si>
  <si>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</si>
  <si>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</si>
  <si>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</si>
  <si>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</si>
  <si>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</si>
  <si>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</si>
  <si>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</si>
  <si>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</si>
  <si>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</si>
  <si>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</si>
  <si>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</si>
  <si>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</si>
  <si>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</si>
  <si>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</si>
  <si>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</si>
  <si>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</si>
  <si>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</si>
  <si>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</si>
  <si>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</si>
  <si>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</si>
  <si>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</si>
  <si>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</si>
  <si>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</si>
  <si>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</si>
  <si>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</si>
  <si>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</si>
  <si>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</si>
  <si>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</si>
  <si>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</si>
  <si>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</si>
  <si>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</si>
  <si>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</si>
  <si>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</si>
  <si>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</si>
  <si>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</si>
  <si>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</si>
  <si>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</si>
  <si>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</si>
  <si>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</si>
  <si>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</si>
  <si>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</si>
  <si>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</si>
  <si>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</si>
  <si>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</si>
  <si>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</si>
  <si>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</si>
  <si>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</si>
  <si>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</si>
  <si>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</si>
  <si>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</si>
  <si>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</si>
  <si>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</si>
  <si>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</si>
  <si>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</si>
  <si>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</si>
  <si>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</si>
  <si>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</si>
  <si>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</si>
  <si>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</si>
  <si>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</si>
  <si>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</si>
  <si>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</si>
  <si>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</si>
  <si>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</si>
  <si>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</si>
  <si>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</si>
  <si>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</si>
  <si>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</si>
  <si>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</si>
  <si>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</si>
  <si>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</si>
  <si>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</si>
  <si>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</si>
  <si>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</si>
  <si>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</si>
  <si>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</si>
  <si>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</si>
  <si>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</si>
  <si>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</si>
  <si>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</si>
  <si>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</si>
  <si>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</si>
  <si>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</si>
  <si>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</si>
  <si>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</si>
  <si>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</si>
  <si>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</si>
  <si>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</si>
  <si>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</si>
  <si>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</si>
  <si>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</si>
  <si>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</si>
  <si>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</si>
  <si>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</si>
  <si>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</si>
  <si>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</si>
  <si>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</si>
  <si>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</si>
  <si>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</si>
  <si>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</si>
  <si>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</si>
  <si>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</si>
  <si>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</si>
  <si>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</si>
  <si>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</si>
  <si>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</si>
  <si>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</si>
  <si>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</si>
  <si>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</si>
  <si>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</si>
  <si>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</si>
  <si>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</si>
  <si>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</si>
  <si>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</si>
  <si>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</si>
  <si>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</si>
  <si>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</si>
  <si>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</si>
  <si>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</si>
  <si>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</si>
  <si>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</si>
  <si>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</si>
  <si>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</si>
  <si>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</si>
  <si>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</si>
  <si>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</si>
  <si>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</si>
  <si>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</si>
  <si>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</si>
  <si>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</si>
  <si>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</si>
  <si>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</si>
  <si>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</si>
  <si>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</si>
  <si>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</si>
  <si>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</si>
  <si>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</si>
  <si>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</si>
  <si>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</si>
  <si>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</si>
  <si>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</si>
  <si>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</si>
  <si>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</si>
  <si>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</si>
  <si>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</si>
  <si>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</si>
  <si>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</si>
  <si>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</si>
  <si>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</si>
  <si>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</si>
  <si>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</si>
  <si>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</si>
  <si>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</si>
  <si>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</si>
  <si>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</si>
  <si>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</si>
  <si>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</si>
  <si>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</si>
  <si>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</si>
  <si>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</si>
  <si>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</si>
  <si>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</si>
  <si>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</si>
  <si>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</si>
  <si>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</si>
  <si>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</si>
  <si>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</si>
  <si>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</si>
  <si>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</si>
  <si>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</si>
  <si>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</si>
  <si>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</si>
  <si>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</si>
  <si>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</si>
  <si>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</si>
  <si>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</si>
  <si>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</si>
  <si>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</si>
  <si>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</si>
  <si>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</si>
  <si>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</si>
  <si>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</si>
  <si>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</si>
  <si>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</si>
  <si>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</si>
  <si>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</si>
  <si>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</si>
  <si>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</si>
  <si>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</si>
  <si>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</si>
  <si>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</si>
  <si>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</si>
  <si>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</si>
  <si>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</si>
  <si>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</si>
  <si>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</si>
  <si>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</si>
  <si>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</si>
  <si>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</si>
  <si>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</si>
  <si>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</si>
  <si>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</si>
  <si>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</si>
  <si>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</si>
  <si>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</si>
  <si>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</si>
  <si>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</si>
  <si>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</si>
  <si>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</si>
  <si>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</si>
  <si>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</si>
  <si>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</si>
  <si>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</si>
  <si>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</si>
  <si>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</si>
  <si>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</si>
  <si>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</si>
  <si>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</si>
  <si>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</si>
  <si>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</si>
  <si>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</si>
  <si>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</si>
  <si>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</si>
  <si>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</si>
  <si>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</si>
  <si>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</si>
  <si>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</si>
  <si>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</si>
  <si>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</si>
  <si>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</si>
  <si>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</si>
  <si>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</si>
  <si>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</si>
  <si>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</si>
  <si>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</si>
  <si>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</si>
  <si>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</si>
  <si>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</si>
  <si>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</si>
  <si>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</si>
  <si>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</si>
  <si>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</si>
  <si>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</si>
  <si>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</si>
  <si>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</si>
  <si>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</si>
  <si>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</si>
  <si>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</si>
  <si>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</si>
  <si>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</si>
  <si>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</si>
  <si>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</si>
  <si>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</si>
  <si>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</si>
  <si>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</si>
  <si>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</si>
  <si>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</si>
  <si>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</si>
  <si>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</si>
  <si>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</si>
  <si>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</si>
  <si>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</si>
  <si>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</si>
  <si>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</si>
  <si>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</si>
  <si>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</si>
  <si>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</si>
  <si>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</si>
  <si>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</si>
  <si>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</si>
  <si>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</si>
  <si>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</si>
  <si>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</si>
  <si>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</si>
  <si>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</si>
  <si>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</si>
  <si>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</si>
  <si>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</si>
  <si>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</si>
  <si>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</si>
  <si>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</si>
  <si>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</si>
  <si>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</si>
  <si>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</si>
  <si>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</si>
  <si>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</si>
  <si>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</si>
  <si>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</si>
  <si>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</si>
  <si>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</si>
  <si>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</si>
  <si>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</si>
  <si>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</si>
  <si>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</si>
  <si>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</si>
  <si>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</si>
  <si>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</si>
  <si>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</si>
  <si>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</si>
  <si>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</si>
  <si>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</si>
  <si>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</si>
  <si>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</si>
  <si>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</si>
  <si>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</si>
  <si>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</si>
  <si>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</si>
  <si>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</si>
  <si>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</si>
  <si>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</si>
  <si>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</si>
  <si>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</si>
  <si>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</si>
  <si>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</si>
  <si>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</si>
  <si>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</si>
  <si>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</si>
  <si>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</si>
  <si>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</si>
  <si>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</si>
  <si>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</si>
  <si>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</si>
  <si>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</si>
  <si>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</si>
  <si>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</si>
  <si>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</si>
  <si>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</si>
  <si>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</si>
  <si>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</si>
  <si>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</si>
  <si>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</si>
  <si>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</si>
  <si>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</si>
  <si>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</si>
  <si>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</si>
  <si>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</si>
  <si>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</si>
  <si>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</si>
  <si>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</si>
  <si>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</si>
  <si>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</si>
  <si>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</si>
  <si>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</si>
  <si>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</si>
  <si>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</si>
  <si>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</si>
  <si>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</si>
  <si>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</si>
  <si>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</si>
  <si>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</si>
  <si>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</si>
  <si>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</si>
  <si>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</si>
  <si>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</si>
  <si>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</si>
  <si>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</si>
  <si>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</si>
  <si>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</si>
  <si>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</si>
  <si>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</si>
  <si>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</si>
  <si>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</si>
  <si>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</si>
  <si>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</si>
  <si>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</si>
  <si>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</si>
  <si>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</si>
  <si>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</si>
  <si>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</si>
  <si>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</si>
  <si>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</si>
  <si>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</si>
  <si>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</si>
  <si>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</si>
  <si>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</si>
  <si>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</si>
  <si>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</si>
  <si>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</si>
  <si>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</si>
  <si>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</si>
  <si>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</si>
  <si>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</si>
  <si>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</si>
  <si>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</si>
  <si>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</si>
  <si>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</si>
  <si>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</si>
  <si>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</si>
  <si>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</si>
  <si>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</si>
  <si>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</si>
  <si>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</si>
  <si>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</si>
  <si>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</si>
  <si>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</si>
  <si>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</si>
  <si>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</si>
  <si>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</si>
  <si>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</si>
  <si>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</si>
  <si>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</si>
  <si>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</si>
  <si>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</si>
  <si>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</si>
  <si>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</si>
  <si>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</si>
  <si>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</si>
  <si>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</si>
  <si>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</si>
  <si>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</si>
  <si>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</si>
  <si>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</si>
  <si>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</si>
  <si>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</si>
  <si>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</si>
  <si>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</si>
  <si>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</si>
  <si>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</si>
  <si>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</si>
  <si>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</si>
  <si>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</si>
  <si>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</si>
  <si>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</si>
  <si>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</si>
  <si>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</si>
  <si>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</si>
  <si>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</si>
  <si>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</si>
  <si>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</si>
  <si>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</si>
  <si>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</si>
  <si>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</si>
  <si>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</si>
  <si>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</si>
  <si>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</si>
  <si>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</si>
  <si>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</si>
  <si>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</si>
  <si>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</si>
  <si>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</si>
  <si>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</si>
  <si>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</si>
  <si>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</si>
  <si>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</si>
  <si>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</si>
  <si>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</si>
  <si>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</si>
  <si>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</si>
  <si>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</si>
  <si>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</si>
  <si>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</si>
  <si>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</si>
  <si>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</si>
  <si>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</si>
  <si>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</si>
  <si>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</si>
  <si>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</si>
  <si>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</si>
  <si>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</si>
  <si>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</si>
  <si>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</si>
  <si>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</si>
  <si>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</si>
  <si>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</si>
  <si>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</si>
  <si>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</si>
  <si>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</si>
  <si>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</si>
  <si>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</si>
  <si>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</si>
  <si>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</si>
  <si>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</si>
  <si>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</si>
  <si>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</si>
  <si>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</si>
  <si>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</si>
  <si>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</si>
  <si>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</si>
  <si>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</si>
  <si>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</si>
  <si>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</si>
  <si>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</si>
  <si>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</si>
  <si>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</si>
  <si>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</si>
  <si>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</si>
  <si>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</si>
  <si>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</si>
  <si>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</si>
  <si>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</si>
  <si>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</si>
  <si>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</si>
  <si>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</si>
  <si>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</si>
  <si>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</si>
  <si>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</si>
  <si>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</si>
  <si>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</si>
  <si>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</si>
  <si>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</si>
  <si>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</si>
  <si>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</si>
  <si>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</si>
  <si>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</si>
  <si>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</si>
  <si>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</si>
  <si>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</si>
  <si>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</si>
  <si>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</si>
  <si>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</si>
  <si>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</si>
  <si>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</si>
  <si>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</si>
  <si>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</si>
  <si>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</si>
  <si>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</si>
  <si>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</si>
  <si>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</si>
  <si>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</si>
  <si>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</si>
  <si>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</si>
  <si>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</si>
  <si>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</si>
  <si>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</si>
  <si>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</si>
  <si>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</si>
  <si>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</si>
  <si>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</si>
  <si>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</si>
  <si>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</si>
  <si>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</si>
  <si>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</si>
  <si>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</si>
  <si>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</si>
  <si>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</si>
  <si>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</si>
  <si>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</si>
  <si>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</si>
  <si>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</si>
  <si>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</si>
  <si>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</si>
  <si>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</si>
  <si>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</si>
  <si>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</si>
  <si>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</si>
  <si>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</si>
  <si>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</si>
  <si>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</si>
  <si>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</si>
  <si>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</si>
  <si>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</si>
  <si>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</si>
  <si>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</si>
  <si>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</si>
  <si>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</si>
  <si>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</si>
  <si>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</si>
  <si>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</si>
  <si>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</si>
  <si>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</si>
  <si>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</si>
  <si>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</si>
  <si>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</si>
  <si>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</si>
  <si>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</si>
  <si>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</si>
  <si>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</si>
  <si>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</si>
  <si>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</si>
  <si>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</si>
  <si>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</si>
  <si>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</si>
  <si>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</si>
  <si>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</si>
  <si>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</si>
  <si>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</si>
  <si>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</si>
  <si>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</si>
  <si>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</si>
  <si>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</si>
  <si>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</si>
  <si>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</si>
  <si>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</si>
  <si>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</si>
  <si>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</si>
  <si>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</si>
  <si>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</si>
  <si>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</si>
  <si>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</si>
  <si>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</si>
  <si>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</si>
  <si>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</si>
  <si>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</si>
  <si>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</si>
  <si>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</si>
  <si>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</si>
  <si>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</si>
  <si>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</si>
  <si>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</si>
  <si>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</si>
  <si>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</si>
  <si>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</si>
  <si>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</si>
  <si>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</si>
  <si>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</si>
  <si>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</si>
  <si>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</si>
  <si>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</si>
  <si>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</si>
  <si>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</si>
  <si>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</si>
  <si>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</si>
  <si>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</si>
  <si>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</si>
  <si>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</si>
  <si>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</si>
  <si>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</si>
  <si>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</si>
  <si>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</si>
  <si>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</si>
  <si>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</si>
  <si>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</si>
  <si>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</si>
  <si>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</si>
  <si>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</si>
  <si>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</si>
  <si>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</si>
  <si>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</si>
  <si>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</si>
  <si>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</si>
  <si>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</si>
  <si>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</si>
  <si>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</si>
  <si>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</si>
  <si>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</si>
  <si>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</si>
  <si>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</si>
  <si>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</si>
  <si>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</si>
  <si>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</si>
  <si>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</si>
  <si>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</si>
  <si>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</si>
  <si>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</si>
  <si>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</si>
  <si>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</si>
  <si>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</si>
  <si>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</si>
  <si>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</si>
  <si>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</si>
  <si>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</si>
  <si>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</si>
  <si>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</si>
  <si>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</si>
  <si>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</si>
  <si>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</si>
  <si>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</si>
  <si>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</si>
  <si>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</si>
  <si>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</si>
  <si>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</si>
  <si>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</si>
  <si>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</si>
  <si>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</si>
  <si>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</si>
  <si>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</si>
  <si>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</si>
  <si>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</si>
  <si>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</si>
  <si>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</si>
  <si>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</si>
  <si>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</si>
  <si>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</si>
  <si>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</si>
  <si>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</si>
  <si>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</si>
  <si>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</si>
  <si>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</si>
  <si>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</si>
  <si>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</si>
  <si>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</si>
  <si>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</si>
  <si>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</si>
  <si>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</si>
  <si>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</si>
  <si>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</si>
  <si>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</si>
  <si>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</si>
  <si>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</si>
  <si>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</si>
  <si>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</si>
  <si>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</si>
  <si>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</si>
  <si>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</si>
  <si>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</si>
  <si>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</si>
  <si>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</si>
  <si>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</si>
  <si>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</si>
  <si>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</si>
  <si>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</si>
  <si>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</si>
  <si>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</si>
  <si>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</si>
  <si>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</si>
  <si>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</si>
  <si>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</si>
  <si>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</si>
  <si>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</si>
  <si>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</si>
  <si>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</si>
  <si>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</si>
  <si>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</si>
  <si>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</si>
  <si>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</si>
  <si>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</si>
  <si>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</si>
  <si>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</si>
  <si>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</si>
  <si>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</si>
  <si>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</si>
  <si>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</si>
  <si>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</si>
  <si>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</si>
  <si>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</si>
  <si>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</si>
  <si>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</si>
  <si>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</si>
  <si>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</si>
  <si>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</si>
  <si>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</si>
  <si>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</si>
  <si>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</si>
  <si>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</si>
  <si>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</si>
  <si>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</si>
  <si>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</si>
  <si>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</si>
  <si>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</si>
  <si>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</si>
  <si>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</si>
  <si>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</si>
  <si>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</si>
  <si>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</si>
  <si>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</si>
  <si>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</si>
  <si>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</si>
  <si>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</si>
  <si>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</si>
  <si>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</si>
  <si>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</si>
  <si>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</si>
  <si>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</si>
  <si>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</si>
  <si>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</si>
  <si>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</si>
  <si>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</si>
  <si>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</si>
  <si>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</si>
  <si>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</si>
  <si>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</si>
  <si>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</si>
  <si>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</si>
  <si>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</si>
  <si>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</si>
  <si>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</si>
  <si>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</si>
  <si>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</si>
  <si>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</si>
  <si>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</si>
  <si>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</si>
  <si>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</si>
  <si>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</si>
  <si>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</si>
  <si>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</si>
  <si>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</si>
  <si>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</si>
  <si>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</si>
  <si>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</si>
  <si>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</si>
  <si>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</si>
  <si>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</si>
  <si>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</si>
  <si>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</si>
  <si>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</si>
  <si>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</si>
  <si>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</si>
  <si>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</si>
  <si>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</si>
  <si>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</si>
  <si>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</si>
  <si>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</si>
  <si>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</si>
  <si>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</si>
  <si>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</si>
  <si>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</si>
  <si>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</si>
  <si>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</si>
  <si>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</si>
  <si>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</si>
  <si>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</si>
  <si>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</si>
  <si>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</si>
  <si>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</si>
  <si>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</si>
  <si>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</si>
  <si>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</si>
  <si>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</si>
  <si>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</si>
  <si>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</si>
  <si>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</si>
  <si>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</si>
  <si>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</si>
  <si>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</si>
  <si>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</si>
  <si>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</si>
  <si>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</si>
  <si>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</si>
  <si>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</si>
  <si>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</si>
  <si>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</si>
  <si>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</si>
  <si>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</si>
  <si>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</si>
  <si>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</si>
  <si>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</si>
  <si>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</si>
  <si>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</si>
  <si>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</si>
  <si>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</si>
  <si>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</si>
  <si>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</si>
  <si>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</si>
  <si>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</si>
  <si>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</si>
  <si>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</si>
  <si>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</si>
  <si>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</si>
  <si>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</si>
  <si>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</si>
  <si>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</si>
  <si>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</si>
  <si>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</si>
  <si>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</si>
  <si>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</si>
  <si>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</si>
  <si>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</si>
  <si>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</si>
  <si>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</si>
  <si>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</si>
  <si>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</si>
  <si>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</si>
  <si>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</si>
  <si>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</si>
  <si>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</si>
  <si>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</si>
  <si>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</si>
  <si>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</si>
  <si>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</si>
  <si>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</si>
  <si>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</si>
  <si>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</si>
  <si>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</si>
  <si>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</si>
  <si>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</si>
  <si>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</si>
  <si>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</si>
  <si>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</si>
  <si>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</si>
  <si>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</si>
  <si>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</si>
  <si>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</si>
  <si>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</si>
  <si>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</si>
  <si>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</si>
  <si>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</si>
  <si>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</si>
  <si>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</si>
  <si>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</si>
  <si>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</si>
  <si>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</si>
  <si>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</si>
  <si>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</si>
  <si>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</si>
  <si>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</si>
  <si>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</si>
  <si>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</si>
  <si>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</si>
  <si>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</si>
  <si>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</si>
  <si>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</si>
  <si>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</si>
  <si>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</si>
  <si>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</si>
  <si>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</si>
  <si>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</si>
  <si>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</si>
  <si>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</si>
  <si>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</si>
  <si>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</si>
  <si>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</si>
  <si>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</si>
  <si>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</si>
  <si>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</si>
  <si>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</si>
  <si>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</si>
  <si>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</si>
  <si>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</si>
  <si>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</si>
  <si>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</si>
  <si>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</si>
  <si>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</si>
  <si>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</si>
  <si>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</si>
  <si>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</si>
  <si>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</si>
  <si>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</si>
  <si>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</si>
  <si>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</si>
  <si>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</si>
  <si>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</si>
  <si>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</si>
  <si>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</si>
  <si>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</si>
  <si>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</si>
  <si>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</si>
  <si>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</si>
  <si>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</si>
  <si>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</si>
  <si>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</si>
  <si>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</si>
  <si>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</si>
  <si>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</si>
  <si>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</si>
  <si>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</si>
  <si>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</si>
  <si>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</si>
  <si>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</si>
  <si>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</si>
  <si>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</si>
  <si>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</si>
  <si>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</si>
  <si>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</si>
  <si>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</si>
  <si>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</si>
  <si>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</si>
  <si>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</si>
  <si>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</si>
  <si>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</si>
  <si>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</si>
  <si>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</si>
  <si>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</si>
  <si>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</si>
  <si>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</si>
  <si>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</si>
  <si>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</si>
  <si>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</si>
  <si>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</si>
  <si>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</si>
  <si>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</si>
  <si>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</si>
  <si>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</si>
  <si>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</si>
  <si>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</si>
  <si>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</si>
  <si>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</si>
  <si>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</si>
  <si>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</si>
  <si>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</si>
  <si>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</si>
  <si>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</si>
  <si>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</si>
  <si>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</si>
  <si>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</si>
  <si>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</si>
  <si>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</si>
  <si>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</si>
  <si>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</si>
  <si>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</si>
  <si>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</si>
  <si>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</si>
  <si>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</si>
  <si>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</si>
  <si>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</si>
  <si>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</si>
  <si>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</si>
  <si>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</si>
  <si>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</si>
  <si>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</si>
  <si>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</si>
  <si>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</si>
  <si>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</si>
  <si>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</si>
  <si>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</si>
  <si>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</si>
  <si>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</si>
  <si>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</si>
  <si>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</si>
  <si>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</si>
  <si>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</si>
  <si>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</si>
  <si>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</si>
  <si>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</si>
  <si>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</si>
  <si>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</si>
  <si>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</si>
  <si>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</si>
  <si>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</si>
  <si>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</si>
  <si>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</si>
  <si>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</si>
  <si>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</si>
  <si>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</si>
  <si>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</si>
  <si>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</si>
  <si>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</si>
  <si>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</si>
  <si>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</si>
  <si>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</si>
  <si>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</si>
  <si>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</si>
  <si>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</si>
  <si>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</si>
  <si>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</si>
  <si>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</si>
  <si>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</si>
  <si>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</si>
  <si>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</si>
  <si>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</si>
  <si>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</si>
  <si>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</si>
  <si>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</si>
  <si>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</si>
  <si>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</si>
  <si>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</si>
  <si>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</si>
  <si>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</si>
  <si>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</si>
  <si>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</si>
  <si>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</si>
  <si>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</si>
  <si>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</si>
  <si>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</si>
  <si>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</si>
  <si>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</si>
  <si>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</si>
  <si>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</si>
  <si>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</si>
  <si>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</si>
  <si>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</si>
  <si>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</si>
  <si>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</si>
  <si>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</si>
  <si>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</si>
  <si>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</si>
  <si>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</si>
  <si>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</si>
  <si>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</si>
  <si>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</si>
  <si>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</si>
  <si>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</si>
  <si>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</si>
  <si>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</si>
  <si>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</si>
  <si>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</si>
  <si>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</si>
  <si>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</si>
  <si>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</si>
  <si>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</si>
  <si>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</si>
  <si>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</si>
  <si>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</si>
  <si>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</si>
  <si>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</si>
  <si>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</si>
  <si>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</si>
  <si>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</si>
  <si>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</si>
  <si>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</si>
  <si>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</si>
  <si>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</si>
  <si>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</si>
  <si>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</si>
  <si>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</si>
  <si>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</si>
  <si>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</si>
  <si>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</si>
  <si>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</si>
  <si>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</si>
  <si>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</si>
  <si>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</si>
  <si>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</si>
  <si>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</si>
  <si>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</si>
  <si>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</si>
  <si>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</si>
  <si>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</si>
  <si>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</si>
  <si>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</si>
  <si>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</si>
  <si>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</si>
  <si>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</si>
  <si>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</si>
  <si>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</si>
  <si>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</si>
  <si>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</si>
  <si>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</si>
  <si>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</si>
  <si>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</si>
  <si>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</si>
  <si>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</si>
  <si>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</si>
  <si>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</si>
  <si>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</si>
  <si>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</si>
  <si>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</si>
  <si>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</si>
  <si>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</si>
  <si>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</si>
  <si>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</si>
  <si>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</si>
  <si>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</si>
  <si>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</si>
  <si>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</si>
  <si>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</si>
  <si>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</si>
  <si>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</si>
  <si>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</si>
  <si>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</si>
  <si>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</si>
  <si>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</si>
  <si>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</si>
  <si>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</si>
  <si>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</si>
  <si>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</si>
  <si>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</si>
  <si>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</si>
  <si>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</si>
  <si>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</si>
  <si>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</si>
  <si>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</si>
  <si>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</si>
  <si>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</si>
  <si>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</si>
  <si>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</si>
  <si>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</si>
  <si>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</si>
  <si>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</si>
  <si>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</si>
  <si>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</si>
  <si>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</si>
  <si>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</si>
  <si>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</si>
  <si>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</si>
  <si>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</si>
  <si>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</si>
  <si>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</si>
  <si>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</si>
  <si>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</si>
  <si>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</si>
  <si>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</si>
  <si>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</si>
  <si>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</si>
  <si>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</si>
  <si>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</si>
  <si>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</si>
  <si>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</si>
  <si>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</si>
  <si>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</si>
  <si>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</si>
  <si>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</si>
  <si>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</si>
  <si>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</si>
  <si>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</si>
  <si>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</si>
  <si>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</si>
  <si>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</si>
  <si>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</si>
  <si>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</si>
  <si>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</si>
  <si>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</si>
  <si>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</si>
  <si>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</si>
  <si>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</si>
  <si>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</si>
  <si>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</si>
  <si>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</si>
  <si>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</si>
  <si>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</si>
  <si>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</si>
  <si>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</si>
  <si>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</si>
  <si>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</si>
  <si>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</si>
  <si>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</si>
  <si>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</si>
  <si>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</si>
  <si>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</si>
  <si>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</si>
  <si>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</si>
  <si>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</si>
  <si>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</si>
  <si>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</si>
  <si>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</si>
  <si>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</si>
  <si>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</si>
  <si>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</si>
  <si>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</si>
  <si>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</si>
  <si>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</si>
  <si>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</si>
  <si>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</si>
  <si>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</si>
  <si>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</si>
  <si>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</si>
  <si>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</si>
  <si>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</si>
  <si>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</si>
  <si>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</si>
  <si>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</si>
  <si>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</si>
  <si>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</si>
  <si>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</si>
  <si>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</si>
  <si>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</si>
  <si>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</si>
  <si>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</si>
  <si>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</si>
  <si>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</si>
  <si>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</si>
  <si>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</si>
  <si>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</si>
  <si>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</si>
  <si>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</si>
  <si>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</si>
  <si>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</si>
  <si>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</si>
  <si>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</si>
  <si>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</si>
  <si>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</si>
  <si>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</si>
  <si>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</si>
  <si>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</si>
  <si>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</si>
  <si>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</si>
  <si>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</si>
  <si>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</si>
  <si>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</si>
  <si>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</si>
  <si>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</si>
  <si>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</si>
  <si>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</si>
  <si>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</si>
  <si>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</si>
  <si>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</si>
  <si>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</si>
  <si>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</si>
  <si>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</si>
  <si>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</si>
  <si>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</si>
  <si>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</si>
  <si>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</si>
  <si>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</si>
  <si>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</si>
  <si>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</si>
  <si>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</si>
  <si>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</si>
  <si>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</si>
  <si>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</si>
  <si>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</si>
  <si>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</si>
  <si>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</si>
  <si>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</si>
  <si>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</si>
  <si>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</si>
  <si>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</si>
  <si>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</si>
  <si>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</si>
  <si>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</si>
  <si>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</si>
  <si>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</si>
  <si>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</si>
  <si>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</si>
  <si>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</si>
  <si>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</si>
  <si>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</si>
  <si>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</si>
  <si>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</si>
  <si>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</si>
  <si>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</si>
  <si>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</si>
  <si>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</si>
  <si>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</si>
  <si>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</si>
  <si>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</si>
  <si>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</si>
  <si>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</si>
  <si>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</si>
  <si>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</si>
  <si>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</si>
  <si>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</si>
  <si>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</si>
  <si>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</si>
  <si>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</si>
  <si>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</si>
  <si>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</si>
  <si>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</si>
  <si>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</si>
  <si>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</si>
  <si>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</si>
  <si>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</si>
  <si>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</si>
  <si>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</si>
  <si>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</si>
  <si>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</si>
  <si>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</si>
  <si>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</si>
  <si>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</si>
  <si>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</si>
  <si>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</si>
  <si>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</si>
  <si>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</si>
  <si>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</si>
  <si>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</si>
  <si>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</si>
  <si>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</si>
  <si>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</si>
  <si>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</si>
  <si>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</si>
  <si>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</si>
  <si>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</si>
  <si>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</si>
  <si>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</si>
  <si>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</si>
  <si>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</si>
  <si>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</si>
  <si>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</si>
  <si>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</si>
  <si>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</si>
  <si>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</si>
  <si>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</si>
  <si>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</si>
  <si>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</si>
  <si>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</si>
  <si>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</si>
  <si>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</si>
  <si>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</si>
  <si>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</si>
  <si>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</si>
  <si>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</si>
  <si>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</si>
  <si>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</si>
  <si>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</si>
  <si>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</si>
  <si>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</si>
  <si>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</si>
  <si>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</si>
  <si>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</si>
  <si>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</si>
  <si>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</si>
  <si>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</si>
  <si>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</si>
  <si>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</si>
  <si>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</si>
  <si>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</si>
  <si>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</si>
  <si>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</si>
  <si>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</si>
  <si>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</si>
  <si>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</si>
  <si>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</si>
  <si>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</si>
  <si>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</si>
  <si>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</si>
  <si>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</si>
  <si>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</si>
  <si>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</si>
  <si>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</si>
  <si>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</si>
  <si>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</si>
  <si>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</si>
  <si>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</si>
  <si>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</si>
  <si>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</si>
  <si>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</si>
  <si>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</si>
  <si>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</si>
  <si>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</si>
  <si>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</si>
  <si>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</si>
  <si>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</si>
  <si>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</si>
  <si>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</si>
  <si>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</si>
  <si>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</si>
  <si>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</si>
  <si>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</si>
  <si>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</si>
  <si>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</si>
  <si>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</si>
  <si>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</si>
  <si>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</si>
  <si>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</si>
  <si>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</si>
  <si>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</si>
  <si>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</si>
  <si>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</si>
  <si>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</si>
  <si>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</si>
  <si>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</si>
  <si>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</si>
  <si>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</si>
  <si>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</si>
  <si>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</si>
  <si>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</si>
  <si>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</si>
  <si>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</si>
  <si>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</si>
  <si>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</si>
  <si>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</si>
  <si>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</si>
  <si>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</si>
  <si>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</si>
  <si>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</si>
  <si>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</si>
  <si>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</si>
  <si>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</si>
  <si>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</si>
  <si>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</si>
  <si>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</si>
  <si>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</si>
  <si>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</si>
  <si>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</si>
  <si>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</si>
  <si>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</si>
  <si>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</si>
  <si>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</si>
  <si>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</si>
  <si>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</si>
  <si>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</si>
  <si>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</si>
  <si>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</si>
  <si>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</si>
  <si>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</si>
  <si>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</si>
  <si>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</si>
  <si>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</si>
  <si>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</si>
  <si>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</si>
  <si>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</si>
  <si>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</si>
  <si>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</si>
  <si>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</si>
  <si>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</si>
  <si>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</si>
  <si>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</si>
  <si>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</si>
  <si>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</si>
  <si>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</si>
  <si>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</si>
  <si>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</si>
  <si>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</si>
  <si>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</si>
  <si>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</si>
  <si>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</si>
  <si>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</si>
  <si>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</si>
  <si>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</si>
  <si>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</si>
  <si>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</si>
  <si>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</si>
  <si>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</si>
  <si>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</si>
  <si>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</si>
  <si>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</si>
  <si>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</si>
  <si>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</si>
  <si>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</si>
  <si>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</si>
  <si>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</si>
  <si>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</si>
  <si>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</si>
  <si>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</si>
  <si>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</si>
  <si>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</si>
  <si>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</si>
  <si>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</si>
  <si>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</si>
  <si>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</si>
  <si>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</si>
  <si>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</si>
  <si>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</si>
  <si>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</si>
  <si>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</si>
  <si>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</si>
  <si>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</si>
  <si>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</si>
  <si>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</si>
  <si>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</si>
  <si>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</si>
  <si>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</si>
  <si>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</si>
  <si>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</si>
  <si>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</si>
  <si>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</si>
  <si>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</si>
  <si>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</si>
  <si>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</si>
  <si>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</si>
  <si>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</si>
  <si>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</si>
  <si>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</si>
  <si>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</si>
  <si>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</si>
  <si>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</si>
  <si>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</si>
  <si>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</si>
  <si>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</si>
  <si>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</si>
  <si>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</si>
  <si>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</si>
  <si>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</si>
  <si>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</si>
  <si>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</si>
  <si>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</si>
  <si>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</si>
  <si>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</si>
  <si>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</si>
  <si>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</si>
  <si>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</si>
  <si>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</si>
  <si>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</si>
  <si>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</si>
  <si>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</si>
  <si>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</si>
  <si>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</si>
  <si>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</si>
  <si>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</si>
  <si>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</si>
  <si>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</si>
  <si>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</si>
  <si>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</si>
  <si>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</si>
  <si>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</si>
  <si>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</si>
  <si>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</si>
  <si>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</si>
  <si>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</si>
  <si>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</si>
  <si>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</si>
  <si>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</si>
  <si>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</si>
  <si>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</si>
  <si>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</si>
  <si>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</si>
  <si>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</si>
  <si>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</si>
  <si>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</si>
  <si>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</si>
  <si>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</si>
  <si>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</si>
  <si>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</si>
  <si>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</si>
  <si>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</si>
  <si>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</si>
  <si>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</si>
  <si>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</si>
  <si>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</si>
  <si>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</si>
  <si>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</si>
  <si>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</si>
  <si>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</si>
  <si>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</si>
  <si>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</si>
  <si>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</si>
  <si>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</si>
  <si>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</si>
  <si>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</si>
  <si>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</si>
  <si>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</si>
  <si>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</si>
  <si>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</si>
  <si>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</si>
  <si>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</si>
  <si>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</si>
  <si>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</si>
  <si>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</si>
  <si>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</si>
  <si>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</si>
  <si>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</si>
  <si>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</si>
  <si>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</si>
  <si>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</si>
  <si>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</si>
  <si>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</si>
  <si>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</si>
  <si>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</si>
  <si>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</si>
  <si>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</si>
  <si>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</si>
  <si>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</si>
  <si>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</si>
  <si>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</si>
  <si>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</si>
  <si>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</si>
  <si>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</si>
  <si>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</si>
  <si>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</si>
  <si>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</si>
  <si>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</si>
  <si>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</si>
  <si>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</si>
  <si>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</si>
  <si>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</si>
  <si>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</si>
  <si>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</si>
  <si>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</si>
  <si>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</si>
  <si>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</si>
  <si>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</si>
  <si>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</si>
  <si>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</si>
  <si>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</si>
  <si>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</si>
  <si>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</si>
  <si>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</si>
  <si>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</si>
  <si>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</si>
  <si>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</si>
  <si>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</si>
  <si>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</si>
  <si>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</si>
  <si>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</si>
  <si>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</si>
  <si>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</si>
  <si>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</si>
  <si>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</si>
  <si>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</si>
  <si>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</si>
  <si>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</si>
  <si>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</si>
  <si>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</si>
  <si>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</si>
  <si>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</si>
  <si>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</si>
  <si>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</si>
  <si>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</si>
  <si>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</si>
  <si>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</si>
  <si>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</si>
  <si>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</si>
  <si>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</si>
  <si>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</si>
  <si>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</si>
  <si>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</si>
  <si>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</si>
  <si>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</si>
  <si>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</si>
  <si>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</si>
  <si>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</si>
  <si>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</si>
  <si>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</si>
  <si>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</si>
  <si>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</si>
  <si>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</si>
  <si>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</si>
  <si>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</si>
  <si>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</si>
  <si>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</si>
  <si>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</si>
  <si>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</si>
  <si>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</si>
  <si>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</si>
  <si>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</si>
  <si>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</si>
  <si>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</si>
  <si>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</si>
  <si>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</si>
  <si>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</si>
  <si>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</si>
  <si>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</si>
  <si>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</si>
  <si>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</si>
  <si>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</si>
  <si>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</si>
  <si>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</si>
  <si>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</si>
  <si>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</si>
  <si>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</si>
  <si>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</si>
  <si>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</si>
  <si>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</si>
  <si>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</si>
  <si>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</si>
  <si>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</si>
  <si>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</si>
  <si>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</si>
  <si>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</si>
  <si>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</si>
  <si>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</si>
  <si>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</si>
  <si>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</si>
  <si>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</si>
  <si>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</si>
  <si>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</si>
  <si>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</si>
  <si>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</si>
  <si>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</si>
  <si>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</si>
  <si>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</si>
  <si>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</si>
  <si>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</si>
  <si>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</si>
  <si>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</si>
  <si>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</si>
  <si>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</si>
  <si>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</si>
  <si>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</si>
  <si>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</si>
  <si>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</si>
  <si>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</si>
  <si>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</si>
  <si>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</si>
  <si>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</si>
  <si>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</si>
  <si>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</si>
  <si>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</si>
  <si>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</si>
  <si>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</si>
  <si>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</si>
  <si>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</si>
  <si>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</si>
  <si>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</si>
  <si>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</si>
  <si>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</si>
  <si>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</si>
  <si>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</si>
  <si>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</si>
  <si>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</si>
  <si>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</si>
  <si>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</si>
  <si>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</si>
  <si>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</si>
  <si>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</si>
  <si>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</si>
  <si>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</si>
  <si>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</si>
  <si>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</si>
  <si>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</si>
  <si>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</si>
  <si>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</si>
  <si>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</si>
  <si>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</si>
  <si>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</si>
  <si>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</si>
  <si>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</si>
  <si>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</si>
  <si>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</si>
  <si>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</si>
  <si>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</si>
  <si>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</si>
  <si>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</si>
  <si>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</si>
  <si>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</si>
  <si>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</si>
  <si>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</si>
  <si>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</si>
  <si>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</si>
  <si>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</si>
  <si>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</si>
  <si>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</si>
  <si>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</si>
  <si>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</si>
  <si>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</si>
  <si>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</si>
  <si>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</si>
  <si>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</si>
  <si>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</si>
  <si>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</si>
  <si>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</si>
  <si>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</si>
  <si>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</si>
  <si>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</si>
  <si>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</si>
  <si>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</si>
  <si>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</si>
  <si>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</si>
  <si>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</si>
  <si>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</si>
  <si>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</si>
  <si>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</si>
  <si>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</si>
  <si>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</si>
  <si>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</si>
  <si>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</si>
  <si>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</si>
  <si>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</si>
  <si>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</si>
  <si>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</si>
  <si>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</si>
  <si>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</si>
  <si>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</si>
  <si>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</si>
  <si>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</si>
  <si>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</si>
  <si>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</si>
  <si>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</si>
  <si>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</si>
  <si>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</si>
  <si>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</si>
  <si>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</si>
  <si>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</si>
  <si>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</si>
  <si>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</si>
  <si>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</si>
  <si>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</si>
  <si>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</si>
  <si>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</si>
  <si>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</si>
  <si>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</si>
  <si>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</si>
  <si>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</si>
  <si>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</si>
  <si>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</si>
  <si>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</si>
  <si>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</si>
  <si>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</si>
  <si>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</si>
  <si>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</si>
  <si>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</si>
  <si>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</si>
  <si>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</si>
  <si>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</si>
  <si>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</si>
  <si>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</si>
  <si>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</si>
  <si>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</si>
  <si>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</si>
  <si>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</si>
  <si>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</si>
  <si>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</si>
  <si>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</si>
  <si>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</si>
  <si>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</si>
  <si>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</si>
  <si>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</si>
  <si>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</si>
  <si>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</si>
  <si>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</si>
  <si>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</si>
  <si>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</si>
  <si>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</si>
  <si>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</si>
  <si>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</si>
  <si>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</si>
  <si>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</si>
  <si>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</si>
  <si>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</si>
  <si>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</si>
  <si>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</si>
  <si>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</si>
  <si>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</si>
  <si>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</si>
  <si>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</si>
  <si>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</si>
  <si>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</si>
  <si>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</si>
  <si>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</si>
  <si>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</si>
  <si>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</si>
  <si>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</si>
  <si>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</si>
  <si>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</si>
  <si>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</si>
  <si>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</si>
  <si>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</si>
  <si>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</si>
  <si>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</si>
  <si>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</si>
  <si>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</si>
  <si>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</si>
  <si>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</si>
  <si>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</si>
  <si>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</si>
  <si>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</si>
  <si>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</si>
  <si>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</si>
  <si>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</si>
  <si>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</si>
  <si>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</si>
  <si>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</si>
  <si>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</si>
  <si>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</si>
  <si>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</si>
  <si>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</si>
  <si>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</si>
  <si>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</si>
  <si>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</si>
  <si>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</si>
  <si>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</si>
  <si>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</si>
  <si>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</si>
  <si>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</si>
  <si>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</si>
  <si>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</si>
  <si>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</si>
  <si>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</si>
  <si>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</si>
  <si>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</si>
  <si>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</si>
  <si>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</si>
  <si>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</si>
  <si>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</si>
  <si>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</si>
  <si>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</si>
  <si>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</si>
  <si>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</si>
  <si>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</si>
  <si>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</si>
  <si>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</si>
  <si>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</si>
  <si>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</si>
  <si>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</si>
  <si>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</si>
  <si>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</si>
  <si>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</si>
  <si>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</si>
  <si>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</si>
  <si>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</si>
  <si>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</si>
  <si>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</si>
  <si>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</si>
  <si>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</si>
  <si>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</si>
  <si>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</si>
  <si>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</si>
  <si>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</si>
  <si>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</si>
  <si>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</si>
  <si>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</si>
  <si>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</si>
  <si>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</si>
  <si>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</si>
  <si>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</si>
  <si>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</si>
  <si>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</si>
  <si>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</si>
  <si>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</si>
  <si>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</si>
  <si>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</si>
  <si>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</si>
  <si>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</si>
  <si>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</si>
  <si>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</si>
  <si>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</si>
  <si>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</si>
  <si>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</si>
  <si>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</si>
  <si>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</si>
  <si>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</si>
  <si>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</si>
  <si>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</si>
  <si>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</si>
  <si>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</si>
  <si>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</si>
  <si>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</si>
  <si>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</si>
  <si>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</si>
  <si>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</si>
  <si>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</si>
  <si>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</si>
  <si>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</si>
  <si>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</si>
  <si>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</si>
  <si>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</si>
  <si>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</si>
  <si>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</si>
  <si>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</si>
  <si>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</si>
  <si>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</si>
  <si>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</si>
  <si>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</si>
  <si>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</si>
  <si>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</si>
  <si>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</si>
  <si>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</si>
  <si>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</si>
  <si>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</si>
  <si>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</si>
  <si>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</si>
  <si>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</si>
  <si>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</si>
  <si>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</si>
  <si>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</si>
  <si>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</si>
  <si>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</si>
  <si>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</si>
  <si>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</si>
  <si>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</si>
  <si>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</si>
  <si>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</si>
  <si>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</si>
  <si>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</si>
  <si>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</si>
  <si>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</si>
  <si>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</si>
  <si>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</si>
  <si>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</si>
  <si>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</si>
  <si>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</si>
  <si>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</si>
  <si>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</si>
  <si>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</si>
  <si>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</si>
  <si>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</si>
  <si>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</si>
  <si>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</si>
  <si>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</si>
  <si>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</si>
  <si>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</si>
  <si>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</si>
  <si>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</si>
  <si>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</si>
  <si>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</si>
  <si>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</si>
  <si>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</si>
  <si>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</si>
  <si>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</si>
  <si>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</si>
  <si>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</si>
  <si>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</si>
  <si>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</si>
  <si>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</si>
  <si>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</si>
  <si>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</si>
  <si>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</si>
  <si>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</si>
  <si>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</si>
  <si>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</si>
  <si>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</si>
  <si>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</si>
  <si>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</si>
  <si>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</si>
  <si>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</si>
  <si>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</si>
  <si>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</si>
  <si>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</si>
  <si>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</si>
  <si>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</si>
  <si>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</si>
  <si>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</si>
  <si>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</si>
  <si>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</si>
  <si>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</si>
  <si>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</si>
  <si>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</si>
  <si>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</si>
  <si>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</si>
  <si>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</si>
  <si>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</si>
  <si>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</si>
  <si>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</si>
  <si>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</si>
  <si>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</si>
  <si>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</si>
  <si>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</si>
  <si>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</si>
  <si>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</si>
  <si>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</si>
  <si>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</si>
  <si>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</si>
  <si>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</si>
  <si>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</si>
  <si>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</si>
  <si>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</si>
  <si>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</si>
  <si>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</si>
  <si>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</si>
  <si>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</si>
  <si>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</si>
  <si>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</si>
  <si>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</si>
  <si>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</si>
  <si>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</si>
  <si>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</si>
  <si>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</si>
  <si>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</si>
  <si>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</si>
  <si>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</si>
  <si>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</si>
  <si>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</si>
  <si>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</si>
  <si>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</si>
  <si>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</si>
  <si>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</si>
  <si>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</si>
  <si>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</si>
  <si>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</si>
  <si>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</si>
  <si>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</si>
  <si>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</si>
  <si>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</si>
  <si>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</si>
  <si>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</si>
  <si>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</si>
  <si>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</si>
  <si>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</si>
  <si>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</si>
  <si>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</si>
  <si>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</si>
  <si>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</si>
  <si>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</si>
  <si>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</si>
  <si>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</si>
  <si>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</si>
  <si>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</si>
  <si>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</si>
  <si>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</si>
  <si>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</si>
  <si>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</si>
  <si>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</si>
  <si>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</si>
  <si>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</si>
  <si>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</si>
  <si>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</si>
  <si>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</si>
  <si>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</si>
  <si>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</si>
  <si>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</si>
  <si>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</si>
  <si>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</si>
  <si>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</si>
  <si>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</si>
  <si>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</si>
  <si>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</si>
  <si>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</si>
  <si>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</si>
  <si>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</si>
  <si>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</si>
  <si>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</si>
  <si>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</si>
  <si>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</si>
  <si>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</si>
  <si>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</si>
  <si>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</si>
  <si>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</si>
  <si>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</si>
  <si>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</si>
  <si>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</si>
  <si>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</si>
  <si>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</si>
  <si>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</si>
  <si>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</si>
  <si>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</si>
  <si>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</si>
  <si>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</si>
  <si>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</si>
  <si>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</si>
  <si>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</si>
  <si>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</si>
  <si>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</si>
  <si>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</si>
  <si>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</si>
  <si>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</si>
  <si>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</si>
  <si>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</si>
  <si>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</si>
  <si>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</si>
  <si>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</si>
  <si>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</si>
  <si>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</si>
  <si>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</si>
  <si>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</si>
  <si>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</si>
  <si>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</si>
  <si>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</si>
  <si>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</si>
  <si>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</si>
  <si>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</si>
  <si>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</si>
  <si>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</si>
  <si>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</si>
  <si>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</si>
  <si>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</si>
  <si>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</si>
  <si>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</si>
  <si>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</si>
  <si>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TOTAL DE INSUMOS : 5273</t>
  </si>
  <si>
    <t>PCI.817.01 - CUSTO DE COMPOSIÇÕES - SINTÉTICO                                               DATA DE EMISSÃO: 17/04/2020 23:21:13            DATA DE RT: 17/04/2020</t>
  </si>
  <si>
    <t>ABRANGÊNCIA : NACIONAL                                              LOCALIDADE  : BRASILIA                                                                                                            DATA DE PREÇO   : 03/2020 REFERÊNCIA COLETA : MEDIANO</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</si>
  <si>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</si>
  <si>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</si>
  <si>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</si>
  <si>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</si>
  <si>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</si>
  <si>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</si>
  <si>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</si>
  <si>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</si>
  <si>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</si>
  <si>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</si>
  <si>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</si>
  <si>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</si>
  <si>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IMPERMEABILIZAÇÃO DE SUPERFÍCIE COM MEMBRANA À BASE DE POLIURETANO, 2 DEMÃOS. AF_06/2018</t>
  </si>
  <si>
    <t>IMPERMEABILIZAÇÃO DE SUPERFÍCIE COM MEMBRANA À BASE DE RESINA ACRÍLICA, 3 DEMÃOS. AF_06/2018</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</si>
  <si>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</si>
  <si>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</si>
  <si>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</si>
  <si>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</si>
  <si>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</si>
  <si>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</si>
  <si>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</si>
  <si>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</si>
  <si>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</si>
  <si>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</si>
  <si>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</si>
  <si>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</si>
  <si>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</si>
  <si>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</si>
  <si>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</si>
  <si>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</si>
  <si>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</si>
  <si>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</si>
  <si>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</si>
  <si>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</si>
  <si>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</si>
  <si>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</si>
  <si>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</si>
  <si>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</si>
  <si>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</si>
  <si>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</si>
  <si>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</si>
  <si>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</si>
  <si>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</si>
  <si>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</si>
  <si>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</si>
  <si>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</si>
  <si>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</si>
  <si>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</si>
  <si>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</si>
  <si>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</si>
  <si>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</si>
  <si>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</si>
  <si>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</si>
  <si>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</si>
  <si>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</si>
  <si>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</si>
  <si>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</si>
  <si>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</si>
  <si>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</si>
  <si>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</si>
  <si>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</si>
  <si>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</si>
  <si>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</si>
  <si>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</si>
  <si>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</si>
  <si>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</si>
  <si>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</si>
  <si>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</si>
  <si>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</si>
  <si>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</si>
  <si>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</si>
  <si>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</si>
  <si>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</si>
  <si>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</si>
  <si>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</si>
  <si>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</si>
  <si>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</si>
  <si>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</si>
  <si>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ARGAMASSA TRAÇO 1:1,93 (EM VOLUME DE CIMENTO E AREIA MÉDIA ÚMIDA), FCK 20 MPA, PREPARO MECÂNICO COM MISTURADOR DUPLO HORIZONTAL DE ALTA TURBULÊNCIA. AF_03/2020</t>
  </si>
  <si>
    <t>40cm</t>
  </si>
  <si>
    <t>Arrasamento mecânico de estaca de concreto armado, diâmetro de até 40cm</t>
  </si>
  <si>
    <t>Blocos B1</t>
  </si>
  <si>
    <t>Blocos B2</t>
  </si>
  <si>
    <t>Vigas baldrame (perímetro medido em projeto)</t>
  </si>
  <si>
    <t>Maio de 2020</t>
  </si>
  <si>
    <t>CONFERIDO 30/04/2020</t>
  </si>
  <si>
    <t>INSUMO 12000</t>
  </si>
  <si>
    <t>Controle tecnológico do concreto por rompimento de corpo de prova (4 corpos de prova por caminhão de 8m3 de concreto usinado e 4 corpos de prova a cada 8m3 de concreto pré-moldado)</t>
  </si>
  <si>
    <t>CONTROLE TECNOLÓGICO DO CONCRETO - ROMPIMENTO DE CORPO DE PROVA</t>
  </si>
  <si>
    <t xml:space="preserve">CARTUCHO SOLDA EXOTERMICA NR115 EXOSOLDA	</t>
  </si>
  <si>
    <t>SINAPI 03/2020; SBC 03/2020; SCO-RJ 01/2020; ORSE 01/2019;  SETOP-MG 01/2020; CPOS 11/2019; IOPES 11/2019;  AGETOP 04/2019; TCPO 01/2019</t>
  </si>
  <si>
    <t>SINAPI ANTIGO</t>
  </si>
  <si>
    <t>CONFERIDO 31/04/2020</t>
  </si>
  <si>
    <t>REFERÊNCIAS DE ORIGEM DOS QUANTITATIVOS</t>
  </si>
  <si>
    <t>Referência do Quantitativo</t>
  </si>
  <si>
    <t>Curva PVC longa 45°, série R, água pluvial, DN 100mm, junta elástica, fornecida e instalada</t>
  </si>
  <si>
    <t>Caixa metálica sextavada 3" x 3"</t>
  </si>
  <si>
    <t>Caixa metálica octogonal 4" x 4"</t>
  </si>
  <si>
    <t>Caixa PVC octogonal 4" x 4"</t>
  </si>
  <si>
    <t>Caixa de passagem 50x50x80, fundo brita</t>
  </si>
  <si>
    <t>IP 14 05 0350</t>
  </si>
  <si>
    <t>Mão de obra para instalação de rede de baixa tensão, aérea, com 4 condutores de alumínio, exclusive fornecimento dos condutores (lance)</t>
  </si>
  <si>
    <t>06.01.417</t>
  </si>
  <si>
    <t>Caixa de passagem de embutir, em chapa de aço galvanizado, 20x20x12cm</t>
  </si>
  <si>
    <t>Caixa de passagem de embutir, em chapa de aço galvanizado, 80x80x12cm</t>
  </si>
  <si>
    <t>06.01.306.09</t>
  </si>
  <si>
    <t>Quant. Inst. Elétricas 1 (5238545)</t>
  </si>
  <si>
    <t>Quant. Inst. Elétricas 2 (5238548)</t>
  </si>
  <si>
    <t>Quant. Inst. Elétricas 1 (5238545) + Quant. Inst. Elétricas 2 (5238548)</t>
  </si>
  <si>
    <t>RESERVATÓRIO ENTERRADO</t>
  </si>
  <si>
    <t>Quant. Ligação de Água Fria (5233547)</t>
  </si>
  <si>
    <t>Quant. Ligação de Esgoto (5233552)</t>
  </si>
  <si>
    <t>Quant. Ligação de Esgoto (5233552) + Projeto de Ligação de Esgoto (5238969)</t>
  </si>
  <si>
    <t>Quant. Ligação de Águas Pluviais (5233560)</t>
  </si>
  <si>
    <t>Quant. Ligação de Esgoto (5233552) + Quant. Ligação de Águas Pluviais (5233560)</t>
  </si>
  <si>
    <t>PE-CAN 02/02 (5240118)</t>
  </si>
  <si>
    <t>Caderno de encargos e especificações (5240427)</t>
  </si>
  <si>
    <t>PE-CAN 01/02 (5240118)</t>
  </si>
  <si>
    <t>Passeio a construir (PE-AR 01/28)</t>
  </si>
  <si>
    <t>Grama a construir (PE-AR 01/28)</t>
  </si>
  <si>
    <t>Relatório SeMA (5162200)</t>
  </si>
  <si>
    <t>Referente ao item 02.04.402.01</t>
  </si>
  <si>
    <t>Mesma ideia do item 09.02.001</t>
  </si>
  <si>
    <t>CFF da obra</t>
  </si>
  <si>
    <t>Quantitativo com referência no item 01.06.003</t>
  </si>
  <si>
    <t>PB-CO 02/12 (5240050): Volume de vigas</t>
  </si>
  <si>
    <t>PB-CO 01/12 (5240050): Legenda das estacas</t>
  </si>
  <si>
    <t>Mesmo do item 03.01.102.01</t>
  </si>
  <si>
    <t>PB-CO 10/12 (5240050): Tabela de ferros</t>
  </si>
  <si>
    <t>PB-CO 02/12 (5240050): Formas de fundo e lateral</t>
  </si>
  <si>
    <t>PB-CO 09/12 (5240050): Tabela de ferros</t>
  </si>
  <si>
    <t>PB-CO 11/12 (5240050): Tabela de ferros</t>
  </si>
  <si>
    <t>03.02.185</t>
  </si>
  <si>
    <t>03.02.186</t>
  </si>
  <si>
    <t>03.02.187</t>
  </si>
  <si>
    <t>03.02.188</t>
  </si>
  <si>
    <t>*as vigas do térreo (baldrames) são moldadas in loco</t>
  </si>
  <si>
    <t>Viga para apoio da pele de vidro, formada por dois perfis "U" enrijecidos, dimensões 300x100x25mm soldados, inclusive transporte vertical</t>
  </si>
  <si>
    <t>Fixação por solda 3mm dos tirantes nos pilaretes</t>
  </si>
  <si>
    <t>Perímetro de cada solda (4*4cm)</t>
  </si>
  <si>
    <t>Contagem em planta do número de conexões tirantes-pilaretes (PB-ME 01/01 - Detalhe 2)</t>
  </si>
  <si>
    <t>(cm)</t>
  </si>
  <si>
    <t>Perfil das terças (valores da PB-ME 01/01)</t>
  </si>
  <si>
    <t>Pontaletes (valores da PB-ME 01/01)</t>
  </si>
  <si>
    <t>Viga da pele de vidro (valores da PE-AR 17/28)</t>
  </si>
  <si>
    <t>Mesmo que 04.01.121.02</t>
  </si>
  <si>
    <t>Porta em alumínio, tipo veneziana, com bandeira, 2 folhas, 222x214 cm (bandeira 81 cm), incluindo guarnição, maçaneta, fechaduras, ferragens e pintura, fixação com parafusos (PA03-A)</t>
  </si>
  <si>
    <t>CONFERIDO 05/05/2020</t>
  </si>
  <si>
    <t>Porta em alumínio, tipo veneziana, com bandeira, 2 folhas, 222x214 cm (bandeira 131 cm), incluindo guarnição, maçaneta, fechaduras, ferragens e pintura, fixação com parafusos (PA03-B)</t>
  </si>
  <si>
    <t>Porta em alumínio, tipo veneziana, com bandeira, seis folhas, 222x214 cm (bandeira 131 cm), incluindo guarnição, maçaneta, fechaduras, ferragens e pintura, fixação com parafusos (PA03-C)</t>
  </si>
  <si>
    <t>91341 MOD 6</t>
  </si>
  <si>
    <t>04.01.220.06</t>
  </si>
  <si>
    <t>Porta radiológica montada em batentes de aço, acabamento em fórmica branca 920x2100mm, 2mm de chumbo, ref.: OSMED ou similar (PE01)</t>
  </si>
  <si>
    <t>EA01 (PE-AR 02/28: Mapa de esquadrias)</t>
  </si>
  <si>
    <t>EA02 (PE-AR 02/28: Mapa de esquadrias)</t>
  </si>
  <si>
    <t>EA03 (PE-AR 02/28: Mapa de esquadrias)</t>
  </si>
  <si>
    <t>EA04 (PE-AR 02/28: Mapa de esquadrias)</t>
  </si>
  <si>
    <t>EA08 (PE-AR 02/28: Mapa de esquadrias)</t>
  </si>
  <si>
    <t>EA09 (PE-AR 02/28: Mapa de esquadrias)</t>
  </si>
  <si>
    <t>EA05 (medido na PE-AR 17/28)</t>
  </si>
  <si>
    <t>EA06 (medido na PE-AR 17/28)</t>
  </si>
  <si>
    <t>PE-AR 14/28</t>
  </si>
  <si>
    <t>PE-AR 04/28</t>
  </si>
  <si>
    <t>PE-AR 15/28</t>
  </si>
  <si>
    <t>Medidas no térreo</t>
  </si>
  <si>
    <t>PE-AR 12/28</t>
  </si>
  <si>
    <t>Medidas no pavto superior</t>
  </si>
  <si>
    <t>PE-AR 13/28</t>
  </si>
  <si>
    <t>Igual a 04.01.555.01</t>
  </si>
  <si>
    <t>Igual a 04.01.561.01 + 04.01.561.02</t>
  </si>
  <si>
    <t>Igual a 04.01.561.04</t>
  </si>
  <si>
    <t>Igual a 04.01.576.01</t>
  </si>
  <si>
    <t>Igual a 04.01.601.02</t>
  </si>
  <si>
    <t>Igual a 04.01.802.01</t>
  </si>
  <si>
    <t>Quantitativo de 04.05.502 multiplicado pela espessura de 5cm</t>
  </si>
  <si>
    <t>Projeção medida em planta</t>
  </si>
  <si>
    <t>CONFERIDO 06/05/2020</t>
  </si>
  <si>
    <t>Área de 04.01.528.01 * espessura de 10cm</t>
  </si>
  <si>
    <t>Mesma de 04.01.531</t>
  </si>
  <si>
    <t>Mesma de 04.01.601.02</t>
  </si>
  <si>
    <t>Distância a ser percorrida entre pavimento superior e cobertura</t>
  </si>
  <si>
    <t>Escada tipo marinheiro em aço CA-50 9,52mm, incluso pintura com fundo anticorrosivo tipo zarcão (instalada dentro do shaft, para acesso à cobertura)</t>
  </si>
  <si>
    <t>4 vezes a referência de 01.06.002</t>
  </si>
  <si>
    <t>08.01.509</t>
  </si>
  <si>
    <t>Luva para eletroduto de PVC rígido 2"</t>
  </si>
  <si>
    <t>As tesouras da cobertura foram numeradas conforme aparecem, da esquerda para a direita, na prancha PB-ME 01/01</t>
  </si>
  <si>
    <t>Tesoura tipo A (1, 2, 3, 28, 29 e 30)</t>
  </si>
  <si>
    <t>Tesoura tipo B (4, 5, 26 e 27)</t>
  </si>
  <si>
    <t>Tesoura tipo C (6, 7, 8, 9, 10, 11, 12, 13, 18, 19, 20, 21, 22, 23, 24, 25)</t>
  </si>
  <si>
    <t>Tesoura tipo D (14, 15, 16, 17)</t>
  </si>
  <si>
    <t>Pontaletes</t>
  </si>
  <si>
    <t>Tirantes</t>
  </si>
  <si>
    <t>As terças da cobertura foram numeradas conforme aparecem, de cima para baixo, na prancha PB-ME 01/01</t>
  </si>
  <si>
    <t>Terça tipo A (1, 2, 3, 4, 5)</t>
  </si>
  <si>
    <t>Terça tipo B (6 e 7)</t>
  </si>
  <si>
    <t>Terça tipo C (8)</t>
  </si>
  <si>
    <t>Terça tipo D (9)</t>
  </si>
  <si>
    <t>Terça tipo E (10, 11, 12)</t>
  </si>
  <si>
    <t>Quantitativos de ligação do cabeamento + Quantitativos CFTV</t>
  </si>
  <si>
    <t>APL-02/02 Lista de Materiais (5240009)</t>
  </si>
  <si>
    <t>APL-01/02 e APL-02/02 Lista de Materiais (5240009)</t>
  </si>
  <si>
    <t>APL-01/02 e APL-02/02 (5240009)</t>
  </si>
  <si>
    <t>SAN-01/06, 04/06 e 06/06: Lista de Materiais (5233552)</t>
  </si>
  <si>
    <t>Quant. Ligação de Esgoto (5233552) + SAN-01/06, 04/06 e 06/06: Lista de Materiais (5233552)</t>
  </si>
  <si>
    <t>09.04.010</t>
  </si>
  <si>
    <t>09.04.011</t>
  </si>
  <si>
    <t>09.04.012</t>
  </si>
  <si>
    <t>05.01.208.05</t>
  </si>
  <si>
    <t>05.01.516.04</t>
  </si>
  <si>
    <t>06.01.206.01</t>
  </si>
  <si>
    <t>06.01.255.07</t>
  </si>
  <si>
    <t>06.01.309.01</t>
  </si>
  <si>
    <t>06.01.309.05</t>
  </si>
  <si>
    <t>06.01.309.09</t>
  </si>
  <si>
    <t>06.01.309.16</t>
  </si>
  <si>
    <t>06.09.001</t>
  </si>
  <si>
    <t>06.09.011.04</t>
  </si>
  <si>
    <t>06.09.011.05</t>
  </si>
  <si>
    <t>08.01.519</t>
  </si>
  <si>
    <t>04.01.576</t>
  </si>
  <si>
    <t>Memorial de cálculos de quant. de canteiro (ao fim deste documento)</t>
  </si>
  <si>
    <t>Memorial de cálculos de quant. do edifício principal (ao fim deste documento)</t>
  </si>
  <si>
    <t>PB-ME 01/01 - Projeção da cobertura (5240050)</t>
  </si>
  <si>
    <t>PE-AR 17/28: Lista de Material (5249589)</t>
  </si>
  <si>
    <t>PB-ME 01/01 - Contagem visual do número de apoios (5240050)</t>
  </si>
  <si>
    <t>Medido em prancha em PE-AR 18/28 (5249589)</t>
  </si>
  <si>
    <t>PE-AR 02/28: Mapa de esquadrias (5249589)</t>
  </si>
  <si>
    <t>Medido em projeto prancha PE-AR 04/28 (5249589)</t>
  </si>
  <si>
    <t>PE-AR 01/28 (5249589)</t>
  </si>
  <si>
    <t>PE-AR 03/28 (5249589)</t>
  </si>
  <si>
    <t>PE-AR 01/28 (5249589): Quadro de movimentação de terra (5249589)</t>
  </si>
  <si>
    <t>Medido em PE-AR 04/28: Projeção de toda a laje da cobertura (5249589)</t>
  </si>
  <si>
    <t>Contabilizados conforme pranchas PE-AR 09/28 e 10/28 (5249589)</t>
  </si>
  <si>
    <t>Conforme detalhe da prancha PE-AR 21/28 (5249589)</t>
  </si>
  <si>
    <t>Memorial de quantitativos de água fria (ao fim deste documento)</t>
  </si>
  <si>
    <t>HID 01/08 + HID 05/08 (5240005)</t>
  </si>
  <si>
    <t>Caderno de encargos e especificações (5240427) e PE-AR 23, 24 e 25 (5249589)</t>
  </si>
  <si>
    <t>ALA 01/02 + ALA 02/02: lista de materiais (5240047)</t>
  </si>
  <si>
    <t>Quantitativos de CFTV (5248398)</t>
  </si>
  <si>
    <t>Projeto CAB 02/03 (5239907)</t>
  </si>
  <si>
    <t>Quantitativos de cabeamento estruturado (5248387)</t>
  </si>
  <si>
    <t>Quantitativos de cabeamento estruturado (5248387) + Quantitativos de ligação do cabeamento</t>
  </si>
  <si>
    <t>Memorial de quantitativos do edifício principal (ao fim deste documento)</t>
  </si>
  <si>
    <t>Quantitativos de climatização (5247403)</t>
  </si>
  <si>
    <t>INC 01/04 - Lista de materiais (5240047) + INC 02/04 - Lista de materiais (5240047)</t>
  </si>
  <si>
    <t>INC 01/04 - Lista de materiais (5240047)</t>
  </si>
  <si>
    <t>Memorial de quantitativos do reservatório enterrado (ao fim deste documento)</t>
  </si>
  <si>
    <t>Reservatório HID 02/02: Quadro de áreas (5240013)</t>
  </si>
  <si>
    <t>Reservatório FUN 01/01 (5240013)</t>
  </si>
  <si>
    <t>Reservatório EST 05/06 (5240013)</t>
  </si>
  <si>
    <t>Reservatório EST 04/06 (5240013)</t>
  </si>
  <si>
    <t>Reservatório EST 03/06 (5240013)</t>
  </si>
  <si>
    <t>Reservatório FUN 01/01 (5240013): Nota 9 (5240013)</t>
  </si>
  <si>
    <t>Reservatório FUN 01/01 (5240013): Resumo do aço (5240013)</t>
  </si>
  <si>
    <t>Reservatório HID 02/02: Mapa de Esquadrias (5240013)</t>
  </si>
  <si>
    <t>Reservatório HID 02/02: Dimensões do teto do reservatório de bombas (5240013)</t>
  </si>
  <si>
    <t>Reservatório HID 02/02: Altura da descida até o poço de inspeção (5240013)</t>
  </si>
  <si>
    <t>Quantitativos de ligação do cabeamento (5248395) + Quantitativos CFTV (5248398)</t>
  </si>
  <si>
    <t>CURVA ABC DE SERVIÇOS</t>
  </si>
  <si>
    <t>% Item</t>
  </si>
  <si>
    <t>% Acumulada</t>
  </si>
  <si>
    <t>06.01.405.01</t>
  </si>
  <si>
    <t>06.01.405.02</t>
  </si>
  <si>
    <t>Kit solar para iluminação com poste de aço galvanizado de 6m, painel solar monocristalino, baterias, lâmpada LED, controle inteligente, conforme especificações, APENAS FORNECIMENTO DOS KITS</t>
  </si>
  <si>
    <t>Kit solar para iluminação com poste de aço galvanizado de 6m, painel solar monocristalino, baterias, lâmpada LED, controle inteligente, conforme especificações, APENAS INSTALAÇÃO E FUNDAÇÃO</t>
  </si>
  <si>
    <t>05.01.608.01</t>
  </si>
  <si>
    <t>Reservatório metálico cilíndrico horizontal - capacidade de 20.000 L, APENAS FORNECIMENTO</t>
  </si>
  <si>
    <t>Reservatório metálico cilíndrico horizontal - capacidade de 20.000 L, APENAS IÇAMENTO E INSTALAÇÃO</t>
  </si>
  <si>
    <t>05.01.608.02</t>
  </si>
  <si>
    <t>Trecho da Curva</t>
  </si>
  <si>
    <t>Todos os custos de mão-de-obra utilizados nesse orçamento têm como referência o SINAPI. Os encargos sociais, portanto, são calculados de acordo com a metodologia dessa tabela, disponível em: http://www.caixa.gov.br/Downloads/sinapi-manual-de-metodologias-e-conceitos/Livro2_SINAPI_Calculos_e_Parametros_1_Edicao.pdf</t>
  </si>
  <si>
    <t>Orçamento Sintético: Edifício Principal, Subestação e Urbanização ...............................................................................................................</t>
  </si>
  <si>
    <t>Construção do Edifício ULEG-FM</t>
  </si>
  <si>
    <t>CONFERIDO ULEG-FM</t>
  </si>
  <si>
    <t>CONFERIDO ULEG FM</t>
  </si>
  <si>
    <t>CONFERIR MUDANÇAS PARA ULEG-FM</t>
  </si>
  <si>
    <t>Estaca escavada mecanicamente, com 40 cm de diâmetro, fck = 20 MPa, exclusive mobilização e desmobilização</t>
  </si>
  <si>
    <t>CONFERIDO 11/05/2020</t>
  </si>
  <si>
    <t>Partindo da composição do SINAPI 100897, foi alterado somente o insumo relativo à resistência do concreto</t>
  </si>
  <si>
    <t>Estaca escavada mecanicamente, com 45 cm de diâmetro, fck = 20 MPa, exclusive mobilização e desmobilização</t>
  </si>
  <si>
    <t>100897 MOD 2</t>
  </si>
  <si>
    <t>100897 MOD 1</t>
  </si>
  <si>
    <t>60cm</t>
  </si>
  <si>
    <t>Partindo das composições do SINAPI 100897 e 100898, foi alterado o insumo relativo à resistência do concreto e foram feitas as proporções para encontrar coeficientes relativos a uma estaca de 45cm de diâmetro</t>
  </si>
  <si>
    <t>MOBILIZAÇÃO E DESMOBILIZAÇÃO DE EQUIPAMENTO PARA BROCA TRADO DMT ATÉ 50 KM</t>
  </si>
  <si>
    <t>MATED-11042</t>
  </si>
  <si>
    <t>ED-49750</t>
  </si>
  <si>
    <t>Mobilização e desmobilização de equipamento para estaca escavada DMT até 50 km</t>
  </si>
  <si>
    <t>Engenheiro civil de obra pleno com encargos complementares</t>
  </si>
  <si>
    <t>10.01.202</t>
  </si>
  <si>
    <t>Técnico em segurança do trabalho com encargos complementares</t>
  </si>
  <si>
    <t>PLANEJAMENTO DA OBRA</t>
  </si>
  <si>
    <t>Mês</t>
  </si>
  <si>
    <t>Canteiro e Adm. Local</t>
  </si>
  <si>
    <t>Edifício principal, subestação e urbanização</t>
  </si>
  <si>
    <t>Reservatório Enterrado</t>
  </si>
  <si>
    <t>02.01.000 Canteiro de obras (100%)</t>
  </si>
  <si>
    <t>02.04.100 Limpeza e preparo da área (100%)</t>
  </si>
  <si>
    <t>02.04.200 Cortes (80%/acum.: 80%)</t>
  </si>
  <si>
    <t>01.03.000 Estudos e projetos (100%)</t>
  </si>
  <si>
    <t>02.02.000 Demolição (20%)</t>
  </si>
  <si>
    <t>02.04.200 Cortes (20%/acum.: 100%)</t>
  </si>
  <si>
    <t>10.03.702 Mobilização/desmobilização hélice contínua (100%)</t>
  </si>
  <si>
    <t>01.06.000 Planejamento e controle (39%/acum.: 39%)</t>
  </si>
  <si>
    <t>02.02.000 Demolição (80%)</t>
  </si>
  <si>
    <t>02.03.000 Locação de obras (100%)</t>
  </si>
  <si>
    <t>03.01.100 Escavação de valas de fundações (40%/acum.: 40%)</t>
  </si>
  <si>
    <t>03.01.400 Fundações profundas (40%/acum.: 40%)</t>
  </si>
  <si>
    <t>01.06.000 Planejamento e controle (31%/acum.: 31%)</t>
  </si>
  <si>
    <t>02.04.000 Terraplanagem (100%)</t>
  </si>
  <si>
    <t>03.01.100 Escavação de valas de fundações (100%)</t>
  </si>
  <si>
    <t>03.01.400 Fundações profundas (100%)</t>
  </si>
  <si>
    <t>01.06.000 Planejamento e controle (26%/acum.: 65%)</t>
  </si>
  <si>
    <t>03.01.100 Escavação de valas de fundações (60%/acum.: 100%)</t>
  </si>
  <si>
    <t>03.01.400 Fundações profundas (60%/acum.: 100%)</t>
  </si>
  <si>
    <t>03.01.500 Blocos de fundação (40%/acum.: 40%)</t>
  </si>
  <si>
    <t>03.01.550 Vigas baldrame (40%/acum.: 40%)</t>
  </si>
  <si>
    <t>01.06.000 Planejamento e controle (17%/acum.: 48%)</t>
  </si>
  <si>
    <t>03.01.500 Blocos de fundação (100%)</t>
  </si>
  <si>
    <t>03.01.550 Arranques dos pilares (100%)</t>
  </si>
  <si>
    <t>01.06.000 Planejamento e controle (24%/acum.: 89%)</t>
  </si>
  <si>
    <t>03.01.500 Blocos de fundação (60%/acum.: 100%)</t>
  </si>
  <si>
    <t>03.01.550 Vigas baldrame (60%/acum.: 100%)</t>
  </si>
  <si>
    <t>03.01.602 Impermeabilização de fundações (40%/acum.:40%)</t>
  </si>
  <si>
    <t>05.01.000 Água Fria (5%/acum.: 5%)</t>
  </si>
  <si>
    <t>05.03.000 Drenagem (10%/acum.: 10%)</t>
  </si>
  <si>
    <t>05.04.000 Esgoto (20%/acum.: 20%)</t>
  </si>
  <si>
    <t>03.01.602 Impermeabilização de fundações (100%)</t>
  </si>
  <si>
    <t>03.01.602 Impermeabilização de fundações (60%/acum.:100%)</t>
  </si>
  <si>
    <t>03.02.300 Concreto pré-moldado (50%/acum.: 50%)</t>
  </si>
  <si>
    <t>01.06.000 Planejamento e controle (26%/acum.: 74%)</t>
  </si>
  <si>
    <t>03.02.000 Estruturas de concreto (50%/acum.: 50%)</t>
  </si>
  <si>
    <t>01.06.000 Planejamento e controle (2%/acum.: 91%)</t>
  </si>
  <si>
    <t>03.02.180 Escadas em concreto armado (100%)</t>
  </si>
  <si>
    <t>03.02.300 Concreto pré-moldado (50%/acum.: 100%)</t>
  </si>
  <si>
    <t>04.01.100 Paredes (alvenarias e cobogós) (20%/acum.: 20%)</t>
  </si>
  <si>
    <t>01.06.000 Planejamento e controle (26%/acum.: 100%)</t>
  </si>
  <si>
    <t>03.02.000 Estruturas de concreto (50%/acum.: 100%)</t>
  </si>
  <si>
    <t>10.03.703 Locação e colocação de tela em andaime fachadeiro (12,5%/acum.: 12,5%)</t>
  </si>
  <si>
    <t>03.03.000 Estruturas metálicas (apenas cobertura, exceto viga de apoio da pele de vidro) (50%/acum.: 50%)</t>
  </si>
  <si>
    <t>04.01.100 Paredes (alvenarias e cobogós) (50%/acum.: 70%)</t>
  </si>
  <si>
    <t>04.01.510 Revestimentos de piso (12,5%/acum.: 12,5%)</t>
  </si>
  <si>
    <t>04.01.530 Revestimentos de paredes (20%/acum.: 20%)</t>
  </si>
  <si>
    <t>04.01.600 Impermeabilizações (40%/acum.: 40%)</t>
  </si>
  <si>
    <t>05.01.000 Água Fria (10%/acum.: 15%)</t>
  </si>
  <si>
    <t>05.04.000 Esgoto (5%/acum.: 25%)</t>
  </si>
  <si>
    <t>04.01.600 Impermeabilizações (30%/acum.: 30%)</t>
  </si>
  <si>
    <t>10.03.703 Locação e colocação de tela em andaime fachadeiro (12,5%/acum.: 25%)</t>
  </si>
  <si>
    <t>01.06.000 Planejamento e controle (9%/acum.: 100%)</t>
  </si>
  <si>
    <t>03.02.440 Base em concreto para bancadas de granito (100%)</t>
  </si>
  <si>
    <t>03.03.000 Estruturas metálicas (apenas cobertura, exceto viga de apoio da pele de vidro) (50%/acum.: 100%)</t>
  </si>
  <si>
    <t>04.01.100 Paredes (alvenarias e cobogós) (30%/acum.: 100%)</t>
  </si>
  <si>
    <t>04.01.400 Cobertura e fechamento lateral (80%/acum.: 80%)</t>
  </si>
  <si>
    <t>04.01.510 Revestimentos de piso (12,5%/acum.: 25%)</t>
  </si>
  <si>
    <t>04.01.530 Revestimentos de paredes (30%/acum.: 50%)</t>
  </si>
  <si>
    <t>04.01.600 Impermeabilizações (60%/acum.: 100%)</t>
  </si>
  <si>
    <t>05.01.000 Água Fria (10%/acum.: 25%)</t>
  </si>
  <si>
    <t>05.04.000 Esgoto (5%/acum.: 30%)</t>
  </si>
  <si>
    <t>06.01.000 Inst. Elétricas exceto SPDA (5%/acum.: 5%)</t>
  </si>
  <si>
    <t>08.00.000 PPCI (50%/acum.: 50%)</t>
  </si>
  <si>
    <t>04.01.200 Esquadrias (100%)</t>
  </si>
  <si>
    <t>04.01.510 Revestimentos de piso (100%)</t>
  </si>
  <si>
    <t>04.01.530 Revestimentos de paredes (100%)</t>
  </si>
  <si>
    <t>04.01.600 Impermeabilizações (70%/acum.: 100%)</t>
  </si>
  <si>
    <t>04.01.805 Escada marinheiro (100%)</t>
  </si>
  <si>
    <t>10.03.703 Locação e colocação de tela em andaime fachadeiro (12,5%/acum.: 37,5%)</t>
  </si>
  <si>
    <t>04.01.400 Cobertura e fechamento lateral (20%/acum.: 100%)</t>
  </si>
  <si>
    <t>04.01.510 Revestimentos de piso (25%/acum.: 50%)</t>
  </si>
  <si>
    <t>04.01.530 Revestimentos de paredes (30%/acum.: 80%)</t>
  </si>
  <si>
    <t>04.01.550 Revestimentos de forros (10%/acum.: 10%)</t>
  </si>
  <si>
    <t>04.01.700 Acabamentos e arremates (50%/acum.: 50%)</t>
  </si>
  <si>
    <t>04.01.804 Alçapão (50%/acum.: 50%)</t>
  </si>
  <si>
    <t>04.01.805 Escada marinheiro (50%/acum.: 50%)</t>
  </si>
  <si>
    <t>04.01.808 Bancadas de granito (50%/acum.: 50%)</t>
  </si>
  <si>
    <t>05.01.000 Água Fria (20%/acum.: 45%)</t>
  </si>
  <si>
    <t>05.03.000 Drenagem (30%/acum.: 40%)</t>
  </si>
  <si>
    <t>05.04.000 Esgoto (50%/acum.: 80%)</t>
  </si>
  <si>
    <t>07.02.000 Ar-condicionado (10%/acum.: 10%)</t>
  </si>
  <si>
    <t>08.00.000 PPCI (40%/acum.: 90%)</t>
  </si>
  <si>
    <t>05.01.000 Água Fria (50%/acum.: 50%)</t>
  </si>
  <si>
    <t>10.03.703 Locação e colocação de tela em andaime fachadeiro (12,5%/acum.: 50%)</t>
  </si>
  <si>
    <t>04.01.121 Paredes de drywall (50%/acum.: 50%)</t>
  </si>
  <si>
    <t>04.01.200 Esquadrias (30%/acum.: 30%)</t>
  </si>
  <si>
    <t>04.01.510 Revestimentos de piso (30%/acum.: 80%)</t>
  </si>
  <si>
    <t>04.01.530 Revestimentos de paredes (20%/acum.: 100%)</t>
  </si>
  <si>
    <t>04.01.550 Revestimentos de forros (25%/acum.: 35%)</t>
  </si>
  <si>
    <t>04.01.700 Acabamentos e arremates (30%/acum.: 80%)</t>
  </si>
  <si>
    <t>04.01.801 Guarda-corpos (40%/acum.: 40%)</t>
  </si>
  <si>
    <t>04.01.804 Alçapão (50%/acum.: 100%)</t>
  </si>
  <si>
    <t>04.01.805 Escada marinheiro (50%/acum.: 100%)</t>
  </si>
  <si>
    <t>04.01.808 Bancadas de granito (50%/acum.: 100%)</t>
  </si>
  <si>
    <t>04.01.810 Equipamentos e acessórios de sanitários (10%/acum.: 10%)</t>
  </si>
  <si>
    <t>05.01.000 Água Fria (25%/acum.: 70%)</t>
  </si>
  <si>
    <t>05.03.000 Drenagem (30%/acum.: 70%)</t>
  </si>
  <si>
    <t>05.04.000 Esgoto (20%/acum.: 100%)</t>
  </si>
  <si>
    <t>06.01.000 Inst. Elétricas exceto SPDA (10%/acum.: 15%)</t>
  </si>
  <si>
    <t>06.01.500 SPDA (50%/acum.: 50%)</t>
  </si>
  <si>
    <t>06.10.000 Serviços diversos de instalações elétricas (100%)</t>
  </si>
  <si>
    <t>07.02.000 Ar-condicionado (20%/acum.: 30%)</t>
  </si>
  <si>
    <t>04.01.560 Pinturas (100%)</t>
  </si>
  <si>
    <t>05.01.000 Água Fria (50%/acum.: 100%)</t>
  </si>
  <si>
    <t>10.03.703 Locação e colocação de tela em andaime fachadeiro (12,5%/acum.: 62,5%)</t>
  </si>
  <si>
    <t>03.03.201.04 Viga de apoio da pele de vidro (100%)</t>
  </si>
  <si>
    <t>04.01.120 Divisórias de granito dos banheiros (50%/acum.: 50%)</t>
  </si>
  <si>
    <t>04.01.121 Paredes de drywall (50%/acum.: 100%)</t>
  </si>
  <si>
    <t>04.01.200 Esquadrias (40%/acum.: 70%)</t>
  </si>
  <si>
    <t>04.01.510 Revestimentos de piso (20%/acum.: 100%)</t>
  </si>
  <si>
    <t>04.01.550 Revestimentos de forros (30%/acum.: 65%)</t>
  </si>
  <si>
    <t>04.01.700 Acabamentos e arremates (20%/acum.: 100%)</t>
  </si>
  <si>
    <t>04.01.801 Guarda-corpos (60%/acum.: 100%)</t>
  </si>
  <si>
    <t>04.01.810 Equipamentos e acessórios de sanitários (20%/acum.: 30%)</t>
  </si>
  <si>
    <t>05.01.000 Água Fria (30%/acum.: 100%)</t>
  </si>
  <si>
    <t>05.03.000 Drenagem (30%/acum.: 100%)</t>
  </si>
  <si>
    <t>06.01.000 Inst. Elétricas exceto SPDA (15%/acum.: 30%)</t>
  </si>
  <si>
    <t>06.01.500 SPDA (50%/acum.: 100%)</t>
  </si>
  <si>
    <t>06.03.000 Detecção e alarme de incêndio (50%/acum.: 50%)</t>
  </si>
  <si>
    <t>06.09.000 Cabeamento estruturado (20%/acum.: 20%)</t>
  </si>
  <si>
    <t>07.02.000 Ar-condicionado (30%/acum.: 60%)</t>
  </si>
  <si>
    <t>10.03.703 Locação e colocação de tela em andaime fachadeiro (12,5%/acum.: 75%)</t>
  </si>
  <si>
    <t>04.01.120 Divisórias de granito dos banheiros (50%/acum.: 100%)</t>
  </si>
  <si>
    <t>04.01.200 Esquadrias (30%/acum.: 100%)</t>
  </si>
  <si>
    <t>04.01.550 Revestimentos de forros (25%/acum.: 90%)</t>
  </si>
  <si>
    <t>04.01.560 Pinturas (30%/acum.: 30%)</t>
  </si>
  <si>
    <t>04.01.802 Brises (40%/acum.: 40%)</t>
  </si>
  <si>
    <t>04.01.810 Equipamentos e acessórios de sanitários (20%/acum.: 50%)</t>
  </si>
  <si>
    <t>06.01.000 Inst. Elétricas exceto SPDA (20%/acum.: 50%)</t>
  </si>
  <si>
    <t>06.03.000 Detecção e alarme de incêndio (50%/acum.: 100%)</t>
  </si>
  <si>
    <t>06.07.000 CFTV (30%/acum.: 30%)</t>
  </si>
  <si>
    <t>06.09.000 Cabeamento estruturado (30%/acum.: 50%)</t>
  </si>
  <si>
    <t>07.02.000 Ar-condicionado (30%/acum.: 90%)</t>
  </si>
  <si>
    <t>10.03.703 Locação e colocação de tela em andaime fachadeiro (12,5%/acum.: 87,5%)</t>
  </si>
  <si>
    <t>04.01.300 Vidros e espelhos (80%/acum.: 80%)</t>
  </si>
  <si>
    <t>04.01.550 Revestimentos de forros (10%/acum.: 100%)</t>
  </si>
  <si>
    <t>04.01.560 Pinturas (30%/acum.: 60%)</t>
  </si>
  <si>
    <t>04.01.802 Brises (40%/acum.: 80%)</t>
  </si>
  <si>
    <t>04.01.810 Equipamentos e acessórios de sanitários (50%/acum.: 100%)</t>
  </si>
  <si>
    <t>04.04.000 Paisagismo (20%/acum.: 20%)</t>
  </si>
  <si>
    <t>04.05.000 Pavimentação (70%/acum.: 70%)</t>
  </si>
  <si>
    <t>06.01.000 Inst. Elétricas exceto SPDA (30%/acum.: 80%)</t>
  </si>
  <si>
    <t>06.07.000 CFTV (70%/acum.: 100%)</t>
  </si>
  <si>
    <t>06.09.000 Cabeamento estruturado (50%/acum.: 100%)</t>
  </si>
  <si>
    <t>07.01.101 Plataforma elevatória (50%/acum.: 50%)</t>
  </si>
  <si>
    <t>07.02.000 Ar-condicionado (10%/acum.: 100%)</t>
  </si>
  <si>
    <t>08.00.000 PPCI (10%/acum.: 100%)</t>
  </si>
  <si>
    <t>10.03.703 Locação e colocação de tela em andaime fachadeiro (12,5%/acum.: 100%)</t>
  </si>
  <si>
    <t>09.00.000 Serviços complementares (100%)</t>
  </si>
  <si>
    <t>04.01.300 Vidros e espelhos (20%/acum.: 100%)</t>
  </si>
  <si>
    <t>04.01.560 Pinturas (40%/acum.: 100%)</t>
  </si>
  <si>
    <t>04.01.802 Brises (20%/acum.: 100%)</t>
  </si>
  <si>
    <t>04.02.000 Comunicação visual (100%)</t>
  </si>
  <si>
    <t>04.04.000 Paisagismo (80%/acum.: 100%)</t>
  </si>
  <si>
    <t>04.05.000 Pavimentação (30%/acum.: 100%)</t>
  </si>
  <si>
    <t>06.01.000 Inst. Elétricas exceto SPDA (20%/acum.: 100%)</t>
  </si>
  <si>
    <t>07.01.101 Plataforma elevatória (50%/acum.: 100%)</t>
  </si>
  <si>
    <t>Planejamento da obra .................................................................................................................................</t>
  </si>
  <si>
    <t>BDI UNITÁRIO (26,93%)</t>
  </si>
  <si>
    <t>BDI UNITÁRIO DIFERENCIADO (20,93%)</t>
  </si>
  <si>
    <t>BDI UNITÁRIO DIFERENCIADO(20,93%)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</si>
</sst>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R$&quot;* #,##0.00_-;\-&quot;R$&quot;* #,##0.00_-;_-&quot;R$&quot;* &quot;-&quot;??_-;_-@_-"/>
    <numFmt numFmtId="43" formatCode="_-* #,##0.00_-;\-* #,##0.00_-;_-* &quot;-&quot;??_-;_-@_-"/>
    <numFmt numFmtId="164" formatCode="_-&quot;R$&quot;\ * #,##0.00_-;\-&quot;R$&quot;\ * #,##0.00_-;_-&quot;R$&quot;\ * &quot;-&quot;??_-;_-@_-"/>
    <numFmt numFmtId="165" formatCode="#,##0.00;[Red]#,##0.00"/>
    <numFmt numFmtId="166" formatCode="&quot;R$ &quot;#,##0.00"/>
    <numFmt numFmtId="167" formatCode="&quot;R$&quot;\ #,##0.00"/>
    <numFmt numFmtId="168" formatCode="0.000000"/>
    <numFmt numFmtId="169" formatCode="0.0000"/>
    <numFmt numFmtId="170" formatCode="0.00000"/>
    <numFmt numFmtId="171" formatCode="_(* #,##0.0000_);_(* \(#,##0.0000\);_(* \-??_);_(@_)"/>
    <numFmt numFmtId="172" formatCode="_-[$R$-416]\ * #,##0.00_-;\-[$R$-416]\ * #,##0.00_-;_-[$R$-416]\ * &quot;-&quot;??_-;_-@_-"/>
    <numFmt numFmtId="173" formatCode="0.00000000"/>
    <numFmt numFmtId="174" formatCode="_(* #,##0.00_);_(* \(#,##0.00\);_(* \-??_);_(@_)"/>
    <numFmt numFmtId="175" formatCode="_-* #,##0.0000_-;\-* #,##0.0000_-;_-* &quot;-&quot;????_-;_-@_-"/>
  </numFmts>
  <fonts count="4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sz val="10"/>
      <name val="Calibri"/>
      <family val="2"/>
      <scheme val="minor"/>
    </font>
    <font>
      <b/>
      <sz val="10"/>
      <name val="Calibri"/>
      <family val="2"/>
      <scheme val="minor"/>
    </font>
    <font>
      <sz val="11"/>
      <name val="Calibri"/>
      <family val="2"/>
      <scheme val="minor"/>
    </font>
    <font>
      <b/>
      <sz val="11"/>
      <name val="Calibri"/>
      <family val="2"/>
      <scheme val="minor"/>
    </font>
    <font>
      <i/>
      <sz val="11"/>
      <name val="Calibri"/>
      <family val="2"/>
      <scheme val="minor"/>
    </font>
    <font>
      <i/>
      <sz val="11"/>
      <color indexed="9"/>
      <name val="Calibri"/>
      <family val="2"/>
      <scheme val="minor"/>
    </font>
    <font>
      <b/>
      <sz val="16"/>
      <name val="Calibri"/>
      <family val="2"/>
      <scheme val="minor"/>
    </font>
    <font>
      <b/>
      <sz val="11"/>
      <color indexed="9"/>
      <name val="Calibri"/>
      <family val="2"/>
      <scheme val="minor"/>
    </font>
    <font>
      <sz val="12"/>
      <name val="Calibri"/>
      <family val="2"/>
      <scheme val="minor"/>
    </font>
    <font>
      <b/>
      <sz val="12"/>
      <name val="Calibri"/>
      <family val="2"/>
      <scheme val="minor"/>
    </font>
    <font>
      <b/>
      <sz val="24"/>
      <name val="Calibri"/>
      <family val="2"/>
      <scheme val="minor"/>
    </font>
    <font>
      <sz val="16"/>
      <name val="Calibri"/>
      <family val="2"/>
      <scheme val="minor"/>
    </font>
    <font>
      <sz val="14"/>
      <name val="Calibri"/>
      <family val="2"/>
      <scheme val="minor"/>
    </font>
    <font>
      <sz val="8"/>
      <color indexed="24"/>
      <name val="Arial"/>
      <family val="2"/>
    </font>
    <font>
      <sz val="8"/>
      <color rgb="FFFF0000"/>
      <name val="Arial"/>
      <family val="2"/>
    </font>
    <font>
      <sz val="11"/>
      <name val="Calibri"/>
      <family val="2"/>
    </font>
    <font>
      <sz val="10"/>
      <name val="Courier New"/>
      <family val="3"/>
    </font>
    <font>
      <sz val="8"/>
      <name val="Arial"/>
      <family val="2"/>
    </font>
    <font>
      <b/>
      <sz val="8"/>
      <name val="Arial"/>
      <family val="2"/>
    </font>
    <font>
      <b/>
      <sz val="8"/>
      <color rgb="FF000000"/>
      <name val="Arial"/>
      <family val="2"/>
    </font>
    <font>
      <b/>
      <sz val="8"/>
      <color indexed="24"/>
      <name val="Arial"/>
      <family val="2"/>
    </font>
    <font>
      <sz val="8"/>
      <name val="Calibri"/>
      <family val="2"/>
      <scheme val="minor"/>
    </font>
    <font>
      <b/>
      <sz val="8"/>
      <name val="Calibri"/>
      <family val="2"/>
      <scheme val="minor"/>
    </font>
    <font>
      <sz val="8"/>
      <color indexed="8"/>
      <name val="Courier"/>
      <family val="3"/>
    </font>
    <font>
      <b/>
      <sz val="14"/>
      <name val="Calibri"/>
      <family val="2"/>
      <scheme val="minor"/>
    </font>
    <font>
      <b/>
      <sz val="10"/>
      <color theme="0"/>
      <name val="Calibri"/>
      <family val="2"/>
      <scheme val="minor"/>
    </font>
    <font>
      <sz val="10"/>
      <color theme="0"/>
      <name val="Calibri"/>
      <family val="2"/>
      <scheme val="minor"/>
    </font>
    <font>
      <b/>
      <i/>
      <sz val="11"/>
      <name val="Calibri"/>
      <family val="2"/>
      <scheme val="minor"/>
    </font>
    <font>
      <u/>
      <sz val="10"/>
      <color theme="10"/>
      <name val="Arial"/>
      <family val="2"/>
    </font>
    <font>
      <sz val="10"/>
      <name val="Courier New"/>
      <family val="3"/>
    </font>
    <font>
      <sz val="11"/>
      <color rgb="FF000000"/>
      <name val="Calibri"/>
      <family val="2"/>
    </font>
  </fonts>
  <fills count="19">
    <fill>
      <patternFill patternType="none"/>
    </fill>
    <fill>
      <patternFill patternType="gray125"/>
    </fill>
    <fill>
      <patternFill patternType="solid">
        <fgColor indexed="31"/>
        <bgColor indexed="42"/>
      </patternFill>
    </fill>
    <fill>
      <patternFill patternType="solid">
        <fgColor indexed="8"/>
        <bgColor indexed="58"/>
      </patternFill>
    </fill>
    <fill>
      <patternFill patternType="solid">
        <fgColor theme="0" tint="-0.34998626667073579"/>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rgb="FF29862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249977111117893"/>
        <bgColor indexed="42"/>
      </patternFill>
    </fill>
    <fill>
      <patternFill patternType="solid">
        <fgColor theme="1"/>
        <bgColor indexed="42"/>
      </patternFill>
    </fill>
    <fill>
      <patternFill patternType="solid">
        <fgColor theme="1"/>
        <bgColor indexed="64"/>
      </patternFill>
    </fill>
    <fill>
      <patternFill patternType="solid">
        <fgColor theme="6" tint="0.59999389629810485"/>
        <bgColor indexed="64"/>
      </patternFill>
    </fill>
    <fill>
      <patternFill patternType="solid">
        <fgColor theme="0" tint="-0.499984740745262"/>
        <bgColor indexed="64"/>
      </patternFill>
    </fill>
    <fill>
      <patternFill patternType="solid">
        <fgColor indexed="9"/>
        <bgColor indexed="8"/>
      </patternFill>
    </fill>
    <fill>
      <patternFill patternType="solid">
        <fgColor theme="9" tint="0.59999389629810485"/>
        <bgColor indexed="64"/>
      </patternFill>
    </fill>
    <fill>
      <patternFill patternType="solid">
        <fgColor theme="6" tint="-0.499984740745262"/>
        <bgColor indexed="64"/>
      </patternFill>
    </fill>
    <fill>
      <patternFill patternType="solid">
        <fgColor theme="5" tint="0.59999389629810485"/>
        <bgColor indexed="64"/>
      </patternFill>
    </fill>
  </fills>
  <borders count="40">
    <border>
      <left/>
      <right/>
      <top/>
      <bottom/>
      <diagonal/>
    </border>
    <border>
      <left/>
      <right/>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top style="thin">
        <color theme="4"/>
      </top>
      <bottom style="double">
        <color theme="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diagonal/>
    </border>
  </borders>
  <cellStyleXfs count="6">
    <xf numFmtId="0" fontId="0" fillId="0" borderId="0"/>
    <xf numFmtId="164" fontId="6" fillId="0" borderId="0" applyFill="0" applyBorder="0" applyAlignment="0" applyProtection="0"/>
    <xf numFmtId="0" fontId="8" fillId="0" borderId="20" applyNumberFormat="0" applyFill="0" applyAlignment="0" applyProtection="0"/>
    <xf numFmtId="43" fontId="6" fillId="0" borderId="0" applyFont="0" applyFill="0" applyBorder="0" applyAlignment="0" applyProtection="0"/>
    <xf numFmtId="0" fontId="37" fillId="0" borderId="0" applyNumberFormat="0" applyFill="0" applyBorder="0" applyAlignment="0" applyProtection="0"/>
    <xf numFmtId="0" fontId="39" fillId="0" borderId="0"/>
  </cellStyleXfs>
  <cellXfs count="2211">
    <xf numFmtId="0" fontId="0" fillId="0" borderId="0" xfId="0"/>
    <xf numFmtId="2" fontId="12" fillId="4" borderId="0" xfId="3" applyNumberFormat="1" applyFont="1" applyFill="1" applyBorder="1" applyAlignment="1">
      <alignment horizontal="center" vertical="center" wrapText="1"/>
    </xf>
    <xf numFmtId="0" fontId="0" fillId="0" borderId="0" xfId="0" applyBorder="1"/>
    <xf numFmtId="167" fontId="9" fillId="0" borderId="0" xfId="0" applyNumberFormat="1" applyFont="1" applyBorder="1" applyAlignment="1">
      <alignment horizontal="center" vertical="center"/>
    </xf>
    <xf numFmtId="167" fontId="9" fillId="0" borderId="0" xfId="0" applyNumberFormat="1" applyFont="1" applyAlignment="1">
      <alignment horizontal="center" vertical="center"/>
    </xf>
    <xf numFmtId="167" fontId="10" fillId="0" borderId="0" xfId="0" applyNumberFormat="1" applyFont="1" applyBorder="1" applyAlignment="1">
      <alignment horizontal="center" vertical="center"/>
    </xf>
    <xf numFmtId="0" fontId="9" fillId="0" borderId="0" xfId="0" applyFont="1" applyBorder="1" applyAlignment="1">
      <alignment vertical="center"/>
    </xf>
    <xf numFmtId="0" fontId="9" fillId="0" borderId="0" xfId="0" applyFont="1" applyBorder="1" applyAlignment="1">
      <alignment horizontal="left" vertical="center" wrapText="1"/>
    </xf>
    <xf numFmtId="0" fontId="9" fillId="0" borderId="0" xfId="0" applyFont="1" applyBorder="1" applyAlignment="1">
      <alignment horizontal="center" vertical="center"/>
    </xf>
    <xf numFmtId="0" fontId="9" fillId="0" borderId="0" xfId="0" applyFont="1" applyAlignment="1">
      <alignment horizontal="center" vertical="center"/>
    </xf>
    <xf numFmtId="1" fontId="10" fillId="8" borderId="0" xfId="0" applyNumberFormat="1" applyFont="1" applyFill="1" applyBorder="1" applyAlignment="1">
      <alignment vertical="center"/>
    </xf>
    <xf numFmtId="0" fontId="9" fillId="0" borderId="0" xfId="0" applyFont="1" applyAlignment="1">
      <alignment horizontal="center" vertical="center" wrapText="1"/>
    </xf>
    <xf numFmtId="0" fontId="9" fillId="0" borderId="0" xfId="0" applyFont="1" applyAlignment="1">
      <alignment horizontal="left" vertical="center" wrapText="1"/>
    </xf>
    <xf numFmtId="167" fontId="9" fillId="0" borderId="0" xfId="0" applyNumberFormat="1" applyFont="1" applyAlignment="1">
      <alignment horizontal="right" vertical="center"/>
    </xf>
    <xf numFmtId="167" fontId="11" fillId="0" borderId="0"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0" borderId="0" xfId="0" applyFont="1" applyBorder="1" applyAlignment="1">
      <alignment horizontal="left" vertical="center" wrapText="1"/>
    </xf>
    <xf numFmtId="0" fontId="11" fillId="0" borderId="0" xfId="0" applyFont="1" applyBorder="1" applyAlignment="1">
      <alignment horizontal="left" vertical="center" wrapText="1"/>
    </xf>
    <xf numFmtId="0" fontId="11" fillId="0" borderId="0" xfId="0" applyFont="1" applyBorder="1" applyAlignment="1">
      <alignment horizontal="center" vertical="center"/>
    </xf>
    <xf numFmtId="167" fontId="11" fillId="0" borderId="4" xfId="0" applyNumberFormat="1" applyFont="1" applyBorder="1" applyAlignment="1">
      <alignment horizontal="center" vertical="center"/>
    </xf>
    <xf numFmtId="0" fontId="11" fillId="0" borderId="0" xfId="0" applyFont="1" applyBorder="1" applyAlignment="1">
      <alignment horizontal="center" vertical="center" wrapText="1"/>
    </xf>
    <xf numFmtId="167" fontId="12" fillId="8" borderId="4" xfId="0" applyNumberFormat="1" applyFont="1" applyFill="1" applyBorder="1" applyAlignment="1">
      <alignment horizontal="right" vertical="center"/>
    </xf>
    <xf numFmtId="0" fontId="11" fillId="0" borderId="0" xfId="0" applyFont="1" applyFill="1" applyBorder="1" applyAlignment="1">
      <alignment horizontal="center" vertical="center" wrapText="1"/>
    </xf>
    <xf numFmtId="167" fontId="12" fillId="0" borderId="0" xfId="0" applyNumberFormat="1" applyFont="1" applyBorder="1" applyAlignment="1">
      <alignment horizontal="center" vertical="center" wrapText="1"/>
    </xf>
    <xf numFmtId="0" fontId="9" fillId="0" borderId="0" xfId="0" applyFont="1" applyAlignment="1">
      <alignment vertical="center"/>
    </xf>
    <xf numFmtId="0" fontId="9" fillId="0" borderId="0" xfId="0" applyFont="1" applyAlignment="1">
      <alignment vertical="center"/>
    </xf>
    <xf numFmtId="0" fontId="13"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165" fontId="13" fillId="0" borderId="0" xfId="0" applyNumberFormat="1" applyFont="1" applyBorder="1" applyAlignment="1">
      <alignment horizontal="center" vertical="center"/>
    </xf>
    <xf numFmtId="167" fontId="11" fillId="0" borderId="0"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0" borderId="0" xfId="0" applyFont="1" applyBorder="1" applyAlignment="1">
      <alignment horizontal="left" vertical="center" wrapText="1"/>
    </xf>
    <xf numFmtId="0" fontId="12" fillId="0" borderId="0" xfId="0" applyFont="1" applyBorder="1" applyAlignment="1">
      <alignment horizontal="center" vertical="center"/>
    </xf>
    <xf numFmtId="167" fontId="12" fillId="0" borderId="0" xfId="0" applyNumberFormat="1" applyFont="1" applyBorder="1" applyAlignment="1">
      <alignment horizontal="center" vertical="center"/>
    </xf>
    <xf numFmtId="165" fontId="12" fillId="0" borderId="0" xfId="0" applyNumberFormat="1" applyFont="1" applyBorder="1" applyAlignment="1">
      <alignment horizontal="center" vertical="center"/>
    </xf>
    <xf numFmtId="0" fontId="12" fillId="0" borderId="0" xfId="0" applyFont="1" applyBorder="1" applyAlignment="1">
      <alignment vertical="center" wrapText="1"/>
    </xf>
    <xf numFmtId="165" fontId="12" fillId="0" borderId="0" xfId="0" applyNumberFormat="1" applyFont="1" applyFill="1" applyBorder="1" applyAlignment="1">
      <alignment horizontal="center" vertical="center"/>
    </xf>
    <xf numFmtId="0" fontId="12" fillId="8" borderId="4" xfId="0" applyFont="1" applyFill="1" applyBorder="1" applyAlignment="1">
      <alignment horizontal="center" vertical="center" wrapText="1"/>
    </xf>
    <xf numFmtId="164" fontId="10" fillId="0" borderId="0" xfId="0" applyNumberFormat="1" applyFont="1" applyBorder="1" applyAlignment="1">
      <alignment horizontal="center" vertical="center"/>
    </xf>
    <xf numFmtId="164" fontId="10" fillId="0" borderId="0" xfId="0" applyNumberFormat="1" applyFont="1" applyBorder="1" applyAlignment="1">
      <alignment vertical="center"/>
    </xf>
    <xf numFmtId="0" fontId="12" fillId="0" borderId="0" xfId="0" applyFont="1" applyBorder="1" applyAlignment="1">
      <alignment horizontal="left" vertical="center"/>
    </xf>
    <xf numFmtId="0" fontId="12" fillId="0" borderId="0" xfId="0" applyFont="1" applyBorder="1" applyAlignment="1">
      <alignment vertical="center"/>
    </xf>
    <xf numFmtId="2" fontId="11" fillId="0" borderId="0" xfId="0" applyNumberFormat="1" applyFont="1" applyFill="1" applyBorder="1" applyAlignment="1">
      <alignment horizontal="center" vertical="center"/>
    </xf>
    <xf numFmtId="10" fontId="11" fillId="0" borderId="0" xfId="0" applyNumberFormat="1" applyFont="1" applyBorder="1" applyAlignment="1">
      <alignment horizontal="left" vertical="center" wrapText="1"/>
    </xf>
    <xf numFmtId="0" fontId="9" fillId="0" borderId="0" xfId="0" applyFont="1" applyBorder="1" applyAlignment="1">
      <alignment horizontal="center" vertical="center" wrapText="1"/>
    </xf>
    <xf numFmtId="0" fontId="12" fillId="10" borderId="3" xfId="0" applyFont="1" applyFill="1" applyBorder="1" applyAlignment="1">
      <alignment horizontal="center" vertical="center" wrapText="1"/>
    </xf>
    <xf numFmtId="2" fontId="12" fillId="10" borderId="3" xfId="0" applyNumberFormat="1" applyFont="1" applyFill="1" applyBorder="1" applyAlignment="1">
      <alignment horizontal="center" vertical="center"/>
    </xf>
    <xf numFmtId="1" fontId="10" fillId="8" borderId="0" xfId="0" applyNumberFormat="1" applyFont="1" applyFill="1" applyBorder="1" applyAlignment="1">
      <alignment horizontal="center" vertical="center"/>
    </xf>
    <xf numFmtId="1" fontId="10" fillId="0" borderId="0" xfId="0" applyNumberFormat="1" applyFont="1" applyBorder="1" applyAlignment="1">
      <alignment horizontal="center" vertical="center"/>
    </xf>
    <xf numFmtId="0" fontId="11" fillId="0" borderId="0" xfId="0" applyFont="1" applyBorder="1" applyAlignment="1">
      <alignment horizontal="left" vertical="center" wrapText="1"/>
    </xf>
    <xf numFmtId="0" fontId="11" fillId="0" borderId="0" xfId="0" applyFont="1" applyAlignment="1">
      <alignment vertical="center"/>
    </xf>
    <xf numFmtId="164" fontId="12" fillId="0" borderId="4" xfId="0" applyNumberFormat="1" applyFont="1" applyBorder="1" applyAlignment="1">
      <alignment horizontal="center" vertical="center"/>
    </xf>
    <xf numFmtId="0" fontId="12" fillId="0" borderId="4" xfId="0" applyFont="1" applyBorder="1" applyAlignment="1">
      <alignment horizontal="right" vertical="center" wrapText="1"/>
    </xf>
    <xf numFmtId="0" fontId="12" fillId="0" borderId="0" xfId="0" applyFont="1" applyBorder="1" applyAlignment="1">
      <alignment horizontal="left" vertical="center"/>
    </xf>
    <xf numFmtId="167" fontId="11" fillId="0" borderId="0" xfId="0" applyNumberFormat="1" applyFont="1" applyBorder="1" applyAlignment="1">
      <alignment horizontal="center" vertical="center"/>
    </xf>
    <xf numFmtId="167" fontId="11" fillId="0" borderId="0" xfId="0" applyNumberFormat="1" applyFont="1" applyBorder="1" applyAlignment="1">
      <alignment horizontal="right" vertical="center"/>
    </xf>
    <xf numFmtId="0" fontId="12" fillId="0" borderId="0" xfId="0" applyFont="1" applyBorder="1" applyAlignment="1">
      <alignment horizontal="center" vertical="center" wrapText="1"/>
    </xf>
    <xf numFmtId="0" fontId="12" fillId="0" borderId="0" xfId="0" applyFont="1" applyBorder="1" applyAlignment="1">
      <alignment horizontal="left" vertical="center" wrapText="1"/>
    </xf>
    <xf numFmtId="167" fontId="12" fillId="0" borderId="0" xfId="0" applyNumberFormat="1" applyFont="1" applyBorder="1" applyAlignment="1">
      <alignment horizontal="right" vertical="center"/>
    </xf>
    <xf numFmtId="0" fontId="11" fillId="0" borderId="0" xfId="0" applyFont="1" applyBorder="1" applyAlignment="1">
      <alignment horizontal="center"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165" fontId="13" fillId="0" borderId="0" xfId="0" applyNumberFormat="1" applyFont="1" applyBorder="1" applyAlignment="1">
      <alignment horizontal="center" vertical="center"/>
    </xf>
    <xf numFmtId="167" fontId="12" fillId="0" borderId="0" xfId="0" applyNumberFormat="1" applyFont="1" applyBorder="1" applyAlignment="1">
      <alignment horizontal="center" vertical="center"/>
    </xf>
    <xf numFmtId="165" fontId="12" fillId="0" borderId="0" xfId="0" applyNumberFormat="1" applyFont="1" applyBorder="1" applyAlignment="1">
      <alignment horizontal="center" vertical="center"/>
    </xf>
    <xf numFmtId="0" fontId="12" fillId="0" borderId="0" xfId="0" applyFont="1" applyBorder="1" applyAlignment="1">
      <alignment vertical="center" wrapText="1"/>
    </xf>
    <xf numFmtId="164" fontId="10" fillId="0" borderId="0" xfId="0" applyNumberFormat="1" applyFont="1" applyBorder="1" applyAlignment="1">
      <alignment horizontal="left" vertical="center" wrapText="1"/>
    </xf>
    <xf numFmtId="2" fontId="14" fillId="0" borderId="0" xfId="0" applyNumberFormat="1" applyFont="1" applyFill="1" applyBorder="1" applyAlignment="1">
      <alignment horizontal="center" vertical="center"/>
    </xf>
    <xf numFmtId="2" fontId="12" fillId="0" borderId="0" xfId="0" applyNumberFormat="1" applyFont="1" applyBorder="1" applyAlignment="1">
      <alignment horizontal="center" vertical="center"/>
    </xf>
    <xf numFmtId="2" fontId="11" fillId="0" borderId="0" xfId="0" applyNumberFormat="1" applyFont="1" applyBorder="1" applyAlignment="1">
      <alignment horizontal="center" vertical="center"/>
    </xf>
    <xf numFmtId="0" fontId="0" fillId="0" borderId="0" xfId="0"/>
    <xf numFmtId="2" fontId="0" fillId="0" borderId="0" xfId="0" applyNumberFormat="1"/>
    <xf numFmtId="167" fontId="9" fillId="0" borderId="0" xfId="0" applyNumberFormat="1" applyFont="1" applyBorder="1" applyAlignment="1">
      <alignment horizontal="right" vertical="center"/>
    </xf>
    <xf numFmtId="0" fontId="12" fillId="0" borderId="0" xfId="0" applyFont="1" applyBorder="1" applyAlignment="1">
      <alignment horizontal="center" vertical="center"/>
    </xf>
    <xf numFmtId="0" fontId="11" fillId="0" borderId="0" xfId="0" applyFont="1" applyBorder="1" applyAlignment="1">
      <alignment horizontal="left" vertical="center" wrapText="1"/>
    </xf>
    <xf numFmtId="167" fontId="12" fillId="0" borderId="0" xfId="0" applyNumberFormat="1" applyFont="1" applyFill="1" applyBorder="1" applyAlignment="1">
      <alignment horizontal="right" vertical="center"/>
    </xf>
    <xf numFmtId="0" fontId="12" fillId="0" borderId="0" xfId="0" applyNumberFormat="1" applyFont="1" applyFill="1" applyBorder="1" applyAlignment="1">
      <alignment vertical="center" wrapText="1"/>
    </xf>
    <xf numFmtId="0" fontId="12" fillId="0" borderId="0" xfId="0" applyFont="1" applyFill="1" applyBorder="1" applyAlignment="1">
      <alignment horizontal="left" vertical="center"/>
    </xf>
    <xf numFmtId="0" fontId="11" fillId="0" borderId="0" xfId="0" applyNumberFormat="1" applyFont="1" applyFill="1" applyBorder="1" applyAlignment="1">
      <alignment vertical="center" wrapText="1"/>
    </xf>
    <xf numFmtId="0" fontId="17" fillId="0" borderId="0" xfId="0" applyFont="1" applyBorder="1" applyAlignment="1">
      <alignment horizontal="left"/>
    </xf>
    <xf numFmtId="0" fontId="17" fillId="0" borderId="0" xfId="0" applyFont="1" applyBorder="1"/>
    <xf numFmtId="0" fontId="17" fillId="0" borderId="0" xfId="0" applyFont="1" applyAlignment="1">
      <alignment vertical="center"/>
    </xf>
    <xf numFmtId="164" fontId="18" fillId="0" borderId="0" xfId="0" applyNumberFormat="1" applyFont="1" applyBorder="1" applyAlignment="1">
      <alignment horizontal="left" vertical="center"/>
    </xf>
    <xf numFmtId="164" fontId="18" fillId="0" borderId="0" xfId="0" applyNumberFormat="1" applyFont="1" applyBorder="1" applyAlignment="1">
      <alignment horizontal="center" vertical="center"/>
    </xf>
    <xf numFmtId="164" fontId="18" fillId="0" borderId="0" xfId="0" applyNumberFormat="1" applyFont="1" applyBorder="1" applyAlignment="1">
      <alignment vertical="center"/>
    </xf>
    <xf numFmtId="0" fontId="17" fillId="0" borderId="13" xfId="0" applyFont="1" applyBorder="1"/>
    <xf numFmtId="0" fontId="21" fillId="0" borderId="0" xfId="0" applyFont="1" applyAlignment="1">
      <alignment vertical="center"/>
    </xf>
    <xf numFmtId="167" fontId="17" fillId="0" borderId="0" xfId="0" applyNumberFormat="1" applyFont="1" applyBorder="1" applyAlignment="1">
      <alignment horizontal="left" vertical="center"/>
    </xf>
    <xf numFmtId="167" fontId="17" fillId="0" borderId="0" xfId="0" applyNumberFormat="1" applyFont="1" applyBorder="1" applyAlignment="1">
      <alignment horizontal="center" vertical="center"/>
    </xf>
    <xf numFmtId="1" fontId="17" fillId="0" borderId="0" xfId="0" applyNumberFormat="1" applyFont="1" applyBorder="1" applyAlignment="1">
      <alignment horizontal="center" vertical="center"/>
    </xf>
    <xf numFmtId="1" fontId="17" fillId="0" borderId="0" xfId="0" applyNumberFormat="1" applyFont="1" applyBorder="1" applyAlignment="1">
      <alignment vertical="center"/>
    </xf>
    <xf numFmtId="10" fontId="14" fillId="0" borderId="0" xfId="0" applyNumberFormat="1" applyFont="1" applyFill="1" applyBorder="1" applyAlignment="1">
      <alignment horizontal="center" vertical="center"/>
    </xf>
    <xf numFmtId="10" fontId="12" fillId="0" borderId="0" xfId="0" applyNumberFormat="1" applyFont="1" applyBorder="1" applyAlignment="1">
      <alignment horizontal="center" vertical="center"/>
    </xf>
    <xf numFmtId="0" fontId="11" fillId="0" borderId="0" xfId="0" applyFont="1" applyBorder="1" applyAlignment="1">
      <alignment vertical="center" wrapText="1"/>
    </xf>
    <xf numFmtId="49" fontId="11" fillId="0" borderId="0" xfId="0" applyNumberFormat="1" applyFont="1" applyBorder="1" applyAlignment="1">
      <alignment vertical="center" wrapText="1"/>
    </xf>
    <xf numFmtId="10" fontId="11" fillId="0" borderId="0" xfId="0" applyNumberFormat="1" applyFont="1" applyBorder="1" applyAlignment="1">
      <alignment horizontal="center" vertical="center"/>
    </xf>
    <xf numFmtId="0" fontId="11" fillId="9" borderId="3" xfId="0" applyFont="1" applyFill="1" applyBorder="1" applyAlignment="1">
      <alignment horizontal="center" vertical="center" wrapText="1"/>
    </xf>
    <xf numFmtId="10" fontId="11" fillId="9" borderId="3" xfId="0" applyNumberFormat="1" applyFont="1" applyFill="1" applyBorder="1" applyAlignment="1">
      <alignment horizontal="center" vertical="center" wrapText="1"/>
    </xf>
    <xf numFmtId="0" fontId="11" fillId="0" borderId="3" xfId="0" applyFont="1" applyBorder="1" applyAlignment="1">
      <alignment horizontal="center"/>
    </xf>
    <xf numFmtId="0" fontId="11" fillId="0" borderId="3" xfId="0" applyFont="1" applyBorder="1"/>
    <xf numFmtId="10" fontId="12" fillId="0" borderId="3" xfId="0" applyNumberFormat="1" applyFont="1" applyBorder="1"/>
    <xf numFmtId="0" fontId="11" fillId="0" borderId="23" xfId="0" applyFont="1" applyBorder="1"/>
    <xf numFmtId="10" fontId="12" fillId="0" borderId="23" xfId="0" applyNumberFormat="1" applyFont="1" applyBorder="1"/>
    <xf numFmtId="0" fontId="11" fillId="0" borderId="24" xfId="0" applyFont="1" applyBorder="1"/>
    <xf numFmtId="10" fontId="11" fillId="0" borderId="25" xfId="0" applyNumberFormat="1" applyFont="1" applyBorder="1"/>
    <xf numFmtId="0" fontId="11" fillId="0" borderId="26" xfId="0" applyFont="1" applyBorder="1"/>
    <xf numFmtId="10" fontId="11" fillId="0" borderId="27" xfId="0" applyNumberFormat="1" applyFont="1" applyBorder="1"/>
    <xf numFmtId="0" fontId="12" fillId="0" borderId="28" xfId="0" applyFont="1" applyBorder="1" applyAlignment="1">
      <alignment horizontal="right"/>
    </xf>
    <xf numFmtId="10" fontId="12" fillId="0" borderId="29" xfId="0" applyNumberFormat="1" applyFont="1" applyBorder="1"/>
    <xf numFmtId="0" fontId="11" fillId="0" borderId="30" xfId="0" applyFont="1" applyBorder="1"/>
    <xf numFmtId="10" fontId="12" fillId="0" borderId="30" xfId="0" applyNumberFormat="1" applyFont="1" applyBorder="1"/>
    <xf numFmtId="0" fontId="11" fillId="0" borderId="0" xfId="0" applyFont="1" applyBorder="1"/>
    <xf numFmtId="10" fontId="7" fillId="12" borderId="3" xfId="0" applyNumberFormat="1" applyFont="1" applyFill="1" applyBorder="1"/>
    <xf numFmtId="10" fontId="11" fillId="0" borderId="0" xfId="0" applyNumberFormat="1" applyFont="1" applyBorder="1"/>
    <xf numFmtId="0" fontId="11" fillId="0" borderId="0" xfId="0" applyFont="1" applyBorder="1" applyAlignment="1">
      <alignment horizontal="center" vertical="center" wrapText="1"/>
    </xf>
    <xf numFmtId="0" fontId="12" fillId="0" borderId="31" xfId="0" applyFont="1" applyBorder="1" applyAlignment="1">
      <alignment horizontal="center" vertical="center"/>
    </xf>
    <xf numFmtId="0" fontId="12" fillId="0" borderId="32" xfId="0" applyFont="1" applyBorder="1" applyAlignment="1">
      <alignment horizontal="center" vertical="center"/>
    </xf>
    <xf numFmtId="10" fontId="12" fillId="0" borderId="32" xfId="0" applyNumberFormat="1" applyFont="1" applyBorder="1" applyAlignment="1">
      <alignment horizontal="center" vertical="center"/>
    </xf>
    <xf numFmtId="10" fontId="12" fillId="0" borderId="33" xfId="0" applyNumberFormat="1" applyFont="1" applyBorder="1" applyAlignment="1">
      <alignment horizontal="center" vertical="center"/>
    </xf>
    <xf numFmtId="0" fontId="11" fillId="0" borderId="0" xfId="0" applyFont="1" applyBorder="1" applyAlignment="1">
      <alignment horizontal="left" vertical="center"/>
    </xf>
    <xf numFmtId="10" fontId="11" fillId="0" borderId="0" xfId="0" applyNumberFormat="1" applyFont="1" applyBorder="1" applyAlignment="1">
      <alignment vertical="center"/>
    </xf>
    <xf numFmtId="10" fontId="11" fillId="0" borderId="0" xfId="0" applyNumberFormat="1" applyFont="1" applyBorder="1" applyAlignment="1">
      <alignment horizontal="right" vertical="center"/>
    </xf>
    <xf numFmtId="0" fontId="7" fillId="12" borderId="3" xfId="0" applyFont="1" applyFill="1" applyBorder="1" applyAlignment="1">
      <alignment horizontal="left" vertical="center"/>
    </xf>
    <xf numFmtId="0" fontId="11" fillId="0" borderId="3" xfId="0" applyFont="1" applyBorder="1" applyAlignment="1">
      <alignment horizontal="left" vertical="center"/>
    </xf>
    <xf numFmtId="10" fontId="11" fillId="0" borderId="3" xfId="0" applyNumberFormat="1" applyFont="1" applyBorder="1" applyAlignment="1">
      <alignment vertical="center"/>
    </xf>
    <xf numFmtId="10" fontId="11" fillId="0" borderId="3" xfId="0" applyNumberFormat="1" applyFont="1" applyBorder="1" applyAlignment="1">
      <alignment horizontal="right" vertical="center"/>
    </xf>
    <xf numFmtId="10" fontId="12" fillId="5" borderId="3" xfId="0" applyNumberFormat="1" applyFont="1" applyFill="1" applyBorder="1" applyAlignment="1">
      <alignment vertical="center"/>
    </xf>
    <xf numFmtId="10" fontId="12" fillId="5" borderId="3" xfId="0" applyNumberFormat="1" applyFont="1" applyFill="1" applyBorder="1" applyAlignment="1">
      <alignment horizontal="right" vertical="center"/>
    </xf>
    <xf numFmtId="10" fontId="12" fillId="0" borderId="0" xfId="0" applyNumberFormat="1" applyFont="1" applyBorder="1" applyAlignment="1">
      <alignment vertical="center"/>
    </xf>
    <xf numFmtId="10" fontId="12" fillId="0" borderId="0" xfId="0" applyNumberFormat="1" applyFont="1" applyBorder="1" applyAlignment="1">
      <alignment horizontal="right" vertical="center"/>
    </xf>
    <xf numFmtId="0" fontId="7" fillId="12" borderId="30" xfId="0" applyFont="1" applyFill="1" applyBorder="1" applyAlignment="1">
      <alignment horizontal="left" vertical="center"/>
    </xf>
    <xf numFmtId="0" fontId="11" fillId="0" borderId="3" xfId="0" applyFont="1" applyBorder="1" applyAlignment="1">
      <alignment horizontal="left" vertical="center" wrapText="1"/>
    </xf>
    <xf numFmtId="0" fontId="7" fillId="12" borderId="30" xfId="0" applyFont="1" applyFill="1" applyBorder="1" applyAlignment="1">
      <alignment horizontal="right" vertical="center"/>
    </xf>
    <xf numFmtId="10" fontId="7" fillId="12" borderId="30" xfId="0" applyNumberFormat="1" applyFont="1" applyFill="1" applyBorder="1" applyAlignment="1">
      <alignment horizontal="right" vertical="center"/>
    </xf>
    <xf numFmtId="1" fontId="0" fillId="0" borderId="0" xfId="0" applyNumberFormat="1"/>
    <xf numFmtId="0" fontId="0" fillId="0" borderId="0" xfId="0" applyBorder="1" applyAlignment="1">
      <alignment horizontal="left" vertical="center" wrapText="1"/>
    </xf>
    <xf numFmtId="167" fontId="9" fillId="0" borderId="0" xfId="0" applyNumberFormat="1" applyFont="1" applyBorder="1" applyAlignment="1">
      <alignment horizontal="left" vertical="center" wrapText="1"/>
    </xf>
    <xf numFmtId="167" fontId="10" fillId="8" borderId="0" xfId="0" applyNumberFormat="1" applyFont="1" applyFill="1" applyBorder="1" applyAlignment="1">
      <alignment horizontal="left" vertical="center" wrapText="1"/>
    </xf>
    <xf numFmtId="167" fontId="10" fillId="0" borderId="0" xfId="0" applyNumberFormat="1" applyFont="1" applyBorder="1" applyAlignment="1">
      <alignment horizontal="left" vertical="center" wrapText="1"/>
    </xf>
    <xf numFmtId="0" fontId="11" fillId="0" borderId="0" xfId="0" applyNumberFormat="1" applyFont="1" applyFill="1" applyBorder="1" applyAlignment="1">
      <alignment horizontal="left" vertical="center"/>
    </xf>
    <xf numFmtId="49" fontId="12" fillId="0" borderId="0" xfId="0" applyNumberFormat="1" applyFont="1" applyFill="1" applyBorder="1" applyAlignment="1">
      <alignment vertical="center"/>
    </xf>
    <xf numFmtId="0" fontId="12" fillId="0" borderId="0" xfId="0" applyNumberFormat="1" applyFont="1" applyFill="1" applyBorder="1" applyAlignment="1">
      <alignment horizontal="left" vertical="center" wrapText="1"/>
    </xf>
    <xf numFmtId="164" fontId="8" fillId="5" borderId="0" xfId="1" applyFont="1" applyFill="1" applyBorder="1" applyAlignment="1">
      <alignment vertical="center"/>
    </xf>
    <xf numFmtId="164" fontId="7" fillId="6" borderId="0" xfId="1" applyFont="1" applyFill="1" applyAlignment="1">
      <alignment vertical="center"/>
    </xf>
    <xf numFmtId="0" fontId="11" fillId="0" borderId="0" xfId="0" applyFont="1" applyFill="1" applyBorder="1" applyAlignment="1">
      <alignment horizontal="left" vertical="center"/>
    </xf>
    <xf numFmtId="0" fontId="7" fillId="6" borderId="0" xfId="0" applyNumberFormat="1" applyFont="1" applyFill="1" applyAlignment="1">
      <alignment horizontal="center" vertical="center"/>
    </xf>
    <xf numFmtId="2" fontId="5" fillId="5" borderId="0" xfId="1" applyNumberFormat="1" applyFont="1" applyFill="1" applyBorder="1" applyAlignment="1">
      <alignment vertical="center"/>
    </xf>
    <xf numFmtId="164" fontId="11" fillId="0" borderId="0" xfId="1" applyFont="1" applyAlignment="1">
      <alignment vertical="center"/>
    </xf>
    <xf numFmtId="164" fontId="7" fillId="7" borderId="0" xfId="0" applyNumberFormat="1" applyFont="1" applyFill="1" applyBorder="1" applyAlignment="1">
      <alignment horizontal="center" vertical="center" wrapText="1"/>
    </xf>
    <xf numFmtId="0" fontId="12" fillId="4" borderId="0" xfId="0" applyNumberFormat="1" applyFont="1" applyFill="1" applyBorder="1" applyAlignment="1">
      <alignment horizontal="center" vertical="center" wrapText="1"/>
    </xf>
    <xf numFmtId="164" fontId="12" fillId="4" borderId="0" xfId="1" applyFont="1" applyFill="1" applyBorder="1" applyAlignment="1">
      <alignment vertical="center"/>
    </xf>
    <xf numFmtId="164" fontId="11" fillId="0" borderId="0" xfId="0" applyNumberFormat="1" applyFont="1" applyAlignment="1">
      <alignment horizontal="left" vertical="center" wrapText="1"/>
    </xf>
    <xf numFmtId="164" fontId="7" fillId="6" borderId="0" xfId="0" applyNumberFormat="1" applyFont="1" applyFill="1" applyAlignment="1">
      <alignment vertical="center"/>
    </xf>
    <xf numFmtId="164" fontId="5" fillId="5" borderId="0" xfId="1" applyFont="1" applyFill="1" applyBorder="1" applyAlignment="1">
      <alignment vertical="center"/>
    </xf>
    <xf numFmtId="0" fontId="7" fillId="7" borderId="0" xfId="0" applyFont="1" applyFill="1" applyBorder="1" applyAlignment="1">
      <alignment horizontal="center" vertical="center" wrapText="1"/>
    </xf>
    <xf numFmtId="0" fontId="11" fillId="0" borderId="0" xfId="0" applyFont="1" applyFill="1" applyBorder="1" applyAlignment="1">
      <alignment vertical="center"/>
    </xf>
    <xf numFmtId="0" fontId="11" fillId="5" borderId="0" xfId="0" applyFont="1" applyFill="1" applyAlignment="1">
      <alignment horizontal="center" vertical="center"/>
    </xf>
    <xf numFmtId="0" fontId="7" fillId="6" borderId="0" xfId="0" applyNumberFormat="1" applyFont="1" applyFill="1" applyAlignment="1">
      <alignment horizontal="center" vertical="center" wrapText="1"/>
    </xf>
    <xf numFmtId="0" fontId="11" fillId="0" borderId="0" xfId="0" applyNumberFormat="1" applyFont="1" applyAlignment="1">
      <alignment vertical="center" wrapText="1"/>
    </xf>
    <xf numFmtId="166" fontId="11" fillId="0" borderId="0" xfId="0" applyNumberFormat="1" applyFont="1" applyFill="1" applyBorder="1" applyAlignment="1">
      <alignment horizontal="right" vertical="center" wrapText="1"/>
    </xf>
    <xf numFmtId="0" fontId="7" fillId="7" borderId="0" xfId="0" applyNumberFormat="1" applyFont="1" applyFill="1" applyBorder="1" applyAlignment="1">
      <alignment horizontal="center" vertical="center" wrapText="1"/>
    </xf>
    <xf numFmtId="164" fontId="11" fillId="0" borderId="0" xfId="0" applyNumberFormat="1" applyFont="1" applyFill="1" applyBorder="1" applyAlignment="1">
      <alignment horizontal="center" vertical="center" wrapText="1"/>
    </xf>
    <xf numFmtId="0" fontId="12" fillId="4" borderId="0" xfId="0" applyNumberFormat="1" applyFont="1" applyFill="1" applyBorder="1" applyAlignment="1">
      <alignment horizontal="left" vertical="center" wrapText="1"/>
    </xf>
    <xf numFmtId="164" fontId="11" fillId="0" borderId="0" xfId="0" applyNumberFormat="1" applyFont="1"/>
    <xf numFmtId="164" fontId="7" fillId="7" borderId="0" xfId="1" applyFont="1" applyFill="1" applyBorder="1" applyAlignment="1">
      <alignment horizontal="center" vertical="center" wrapText="1"/>
    </xf>
    <xf numFmtId="0" fontId="11" fillId="0" borderId="0" xfId="0" applyNumberFormat="1" applyFont="1"/>
    <xf numFmtId="164" fontId="11" fillId="0" borderId="0" xfId="0" applyNumberFormat="1" applyFont="1" applyAlignment="1">
      <alignment horizontal="center" vertical="center"/>
    </xf>
    <xf numFmtId="164" fontId="12" fillId="0" borderId="2" xfId="0" applyNumberFormat="1" applyFont="1" applyBorder="1" applyAlignment="1">
      <alignment horizontal="center" vertical="center"/>
    </xf>
    <xf numFmtId="49" fontId="11" fillId="0" borderId="0" xfId="0" applyNumberFormat="1" applyFont="1" applyFill="1" applyBorder="1"/>
    <xf numFmtId="164" fontId="12" fillId="0" borderId="0" xfId="0" applyNumberFormat="1" applyFont="1" applyBorder="1" applyAlignment="1">
      <alignment vertical="center"/>
    </xf>
    <xf numFmtId="0" fontId="11" fillId="0" borderId="0" xfId="0" applyNumberFormat="1" applyFont="1" applyAlignment="1">
      <alignment horizontal="center" vertical="center"/>
    </xf>
    <xf numFmtId="0" fontId="11" fillId="0"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0" fontId="11" fillId="0" borderId="0" xfId="0" applyNumberFormat="1" applyFont="1" applyFill="1" applyBorder="1" applyAlignment="1">
      <alignment horizontal="justify" vertical="center" wrapText="1"/>
    </xf>
    <xf numFmtId="0" fontId="7" fillId="7" borderId="0" xfId="0" applyNumberFormat="1" applyFont="1" applyFill="1" applyBorder="1" applyAlignment="1">
      <alignment horizontal="justify" vertical="center" wrapText="1"/>
    </xf>
    <xf numFmtId="0" fontId="11" fillId="0" borderId="0" xfId="0" applyNumberFormat="1" applyFont="1" applyAlignment="1">
      <alignment wrapText="1"/>
    </xf>
    <xf numFmtId="0" fontId="11" fillId="0" borderId="0" xfId="0" applyNumberFormat="1" applyFont="1" applyFill="1" applyAlignment="1">
      <alignment vertical="center"/>
    </xf>
    <xf numFmtId="164" fontId="11" fillId="0" borderId="0" xfId="0" applyNumberFormat="1" applyFont="1" applyAlignment="1">
      <alignment vertical="center"/>
    </xf>
    <xf numFmtId="0" fontId="11" fillId="5" borderId="0" xfId="0" applyNumberFormat="1" applyFont="1" applyFill="1" applyAlignment="1">
      <alignment horizontal="center" vertical="center"/>
    </xf>
    <xf numFmtId="0" fontId="12" fillId="0" borderId="0" xfId="0" applyFont="1" applyFill="1" applyBorder="1" applyAlignment="1">
      <alignment wrapText="1"/>
    </xf>
    <xf numFmtId="164" fontId="11" fillId="0" borderId="0" xfId="1" applyFont="1" applyFill="1" applyBorder="1" applyAlignment="1">
      <alignment horizontal="center" vertical="center" wrapText="1"/>
    </xf>
    <xf numFmtId="0" fontId="11" fillId="0" borderId="0" xfId="0" applyNumberFormat="1" applyFont="1" applyAlignment="1">
      <alignment horizontal="left" vertical="center" wrapText="1"/>
    </xf>
    <xf numFmtId="0" fontId="11" fillId="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167" fontId="11" fillId="0" borderId="0" xfId="0" applyNumberFormat="1" applyFont="1" applyBorder="1" applyAlignment="1">
      <alignment horizontal="center" vertical="center"/>
    </xf>
    <xf numFmtId="0" fontId="12" fillId="0" borderId="0" xfId="0" applyFont="1" applyBorder="1" applyAlignment="1">
      <alignment vertical="center"/>
    </xf>
    <xf numFmtId="164" fontId="11" fillId="0" borderId="0" xfId="0" applyNumberFormat="1" applyFont="1" applyBorder="1" applyAlignment="1">
      <alignment horizontal="center" vertical="center"/>
    </xf>
    <xf numFmtId="0" fontId="11" fillId="0" borderId="0" xfId="0" applyFont="1" applyAlignment="1">
      <alignment vertical="center"/>
    </xf>
    <xf numFmtId="0" fontId="11" fillId="0" borderId="0" xfId="0" applyFont="1" applyBorder="1" applyAlignment="1">
      <alignment horizontal="left" vertical="center" wrapText="1"/>
    </xf>
    <xf numFmtId="0" fontId="12" fillId="0" borderId="0" xfId="0" applyFont="1" applyBorder="1" applyAlignment="1">
      <alignment horizontal="left" vertical="center"/>
    </xf>
    <xf numFmtId="167" fontId="11" fillId="0" borderId="0" xfId="0" applyNumberFormat="1" applyFont="1" applyBorder="1" applyAlignment="1">
      <alignment horizontal="right" vertical="center"/>
    </xf>
    <xf numFmtId="0" fontId="11" fillId="0" borderId="0" xfId="0" applyFont="1"/>
    <xf numFmtId="0" fontId="12" fillId="0" borderId="0" xfId="0" applyFont="1" applyFill="1" applyBorder="1" applyAlignment="1">
      <alignment horizontal="center" vertical="center" wrapText="1"/>
    </xf>
    <xf numFmtId="164" fontId="12" fillId="0" borderId="0" xfId="0" applyNumberFormat="1" applyFont="1" applyFill="1" applyBorder="1" applyAlignment="1">
      <alignment horizontal="center" vertical="center"/>
    </xf>
    <xf numFmtId="167" fontId="12" fillId="0" borderId="0" xfId="0" applyNumberFormat="1" applyFont="1" applyFill="1" applyBorder="1" applyAlignment="1">
      <alignment horizontal="center" vertical="center"/>
    </xf>
    <xf numFmtId="0" fontId="12" fillId="0" borderId="0" xfId="0" applyFont="1" applyFill="1" applyBorder="1" applyAlignment="1">
      <alignment vertical="center" wrapText="1"/>
    </xf>
    <xf numFmtId="10" fontId="11" fillId="0" borderId="0" xfId="0" applyNumberFormat="1" applyFont="1" applyFill="1" applyBorder="1" applyAlignment="1">
      <alignment horizontal="left" vertical="center" wrapText="1"/>
    </xf>
    <xf numFmtId="0" fontId="11" fillId="0" borderId="0" xfId="0" applyFont="1" applyFill="1" applyAlignment="1">
      <alignment vertical="center"/>
    </xf>
    <xf numFmtId="0" fontId="11" fillId="0" borderId="0" xfId="0" applyFont="1" applyFill="1" applyBorder="1" applyAlignment="1">
      <alignment horizontal="left" vertical="center" wrapText="1"/>
    </xf>
    <xf numFmtId="0" fontId="11" fillId="0" borderId="0" xfId="0" applyNumberFormat="1" applyFont="1" applyFill="1" applyBorder="1" applyAlignment="1">
      <alignment horizontal="left" vertical="center" wrapText="1"/>
    </xf>
    <xf numFmtId="0" fontId="11" fillId="0" borderId="0" xfId="0" applyNumberFormat="1" applyFont="1" applyBorder="1" applyAlignment="1">
      <alignment horizontal="left" vertical="center" wrapText="1"/>
    </xf>
    <xf numFmtId="0" fontId="11" fillId="0" borderId="0" xfId="0" applyFont="1" applyBorder="1"/>
    <xf numFmtId="0" fontId="13" fillId="0" borderId="0" xfId="0" applyNumberFormat="1" applyFont="1" applyBorder="1" applyAlignment="1">
      <alignment horizontal="center" vertical="center"/>
    </xf>
    <xf numFmtId="0" fontId="12" fillId="0" borderId="0" xfId="0" applyNumberFormat="1" applyFont="1" applyFill="1" applyBorder="1" applyAlignment="1">
      <alignment horizontal="center" vertical="center"/>
    </xf>
    <xf numFmtId="164" fontId="12" fillId="0" borderId="0" xfId="0" applyNumberFormat="1" applyFont="1" applyBorder="1" applyAlignment="1">
      <alignment horizontal="center" vertical="center"/>
    </xf>
    <xf numFmtId="0" fontId="11" fillId="0" borderId="0" xfId="0" applyFont="1" applyAlignment="1">
      <alignment horizontal="center" vertical="center"/>
    </xf>
    <xf numFmtId="164" fontId="12" fillId="0" borderId="0" xfId="0" applyNumberFormat="1" applyFont="1" applyBorder="1" applyAlignment="1">
      <alignment horizontal="left" vertical="center" wrapText="1"/>
    </xf>
    <xf numFmtId="0" fontId="11" fillId="0" borderId="0" xfId="0" applyFont="1"/>
    <xf numFmtId="0" fontId="11" fillId="0" borderId="0" xfId="0" applyFont="1" applyAlignment="1">
      <alignment horizontal="center" vertical="center"/>
    </xf>
    <xf numFmtId="0" fontId="11" fillId="0" borderId="0" xfId="0" applyFont="1" applyAlignment="1">
      <alignment horizontal="center" vertical="center" wrapText="1"/>
    </xf>
    <xf numFmtId="0" fontId="11" fillId="0" borderId="0" xfId="0" applyFont="1"/>
    <xf numFmtId="0" fontId="12" fillId="0" borderId="0" xfId="0" applyFont="1" applyFill="1" applyBorder="1" applyAlignment="1">
      <alignment horizontal="center" vertical="center" wrapText="1"/>
    </xf>
    <xf numFmtId="0" fontId="11" fillId="0" borderId="0" xfId="0" applyFont="1" applyAlignment="1">
      <alignment horizontal="center" vertical="center"/>
    </xf>
    <xf numFmtId="0" fontId="7" fillId="7" borderId="0" xfId="0" applyNumberFormat="1" applyFont="1" applyFill="1" applyBorder="1" applyAlignment="1">
      <alignment horizontal="center" vertical="center" wrapText="1"/>
    </xf>
    <xf numFmtId="0" fontId="7" fillId="7" borderId="0" xfId="0" applyFont="1" applyFill="1" applyBorder="1" applyAlignment="1">
      <alignment horizontal="center" vertical="center" wrapText="1"/>
    </xf>
    <xf numFmtId="164" fontId="7" fillId="7" borderId="0" xfId="0" applyNumberFormat="1" applyFont="1" applyFill="1" applyBorder="1" applyAlignment="1">
      <alignment horizontal="center" vertical="center" wrapText="1"/>
    </xf>
    <xf numFmtId="164" fontId="7" fillId="7" borderId="0" xfId="1" applyFont="1" applyFill="1" applyBorder="1" applyAlignment="1">
      <alignment horizontal="center" vertical="center" wrapText="1"/>
    </xf>
    <xf numFmtId="0" fontId="12" fillId="0" borderId="0" xfId="0" applyFont="1" applyFill="1" applyBorder="1"/>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5" fillId="5" borderId="0" xfId="1" applyFont="1" applyFill="1" applyBorder="1" applyAlignment="1">
      <alignment vertical="center"/>
    </xf>
    <xf numFmtId="164" fontId="8" fillId="5" borderId="0" xfId="1" applyFont="1" applyFill="1" applyBorder="1" applyAlignment="1">
      <alignment vertical="center"/>
    </xf>
    <xf numFmtId="2" fontId="5" fillId="5" borderId="0" xfId="1" applyNumberFormat="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5" fillId="5" borderId="0" xfId="1" applyFont="1" applyFill="1" applyBorder="1" applyAlignment="1">
      <alignment vertical="center"/>
    </xf>
    <xf numFmtId="164" fontId="8" fillId="5" borderId="0" xfId="1" applyFont="1" applyFill="1" applyBorder="1" applyAlignment="1">
      <alignment vertical="center"/>
    </xf>
    <xf numFmtId="2" fontId="5" fillId="5" borderId="0" xfId="1" applyNumberFormat="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5" fillId="5" borderId="0" xfId="1" applyFont="1" applyFill="1" applyBorder="1" applyAlignment="1">
      <alignment vertical="center"/>
    </xf>
    <xf numFmtId="164" fontId="8" fillId="5" borderId="0" xfId="1" applyFont="1" applyFill="1" applyBorder="1" applyAlignment="1">
      <alignment vertical="center"/>
    </xf>
    <xf numFmtId="2" fontId="5" fillId="5" borderId="0" xfId="1" applyNumberFormat="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168" fontId="11" fillId="0" borderId="0" xfId="0" applyNumberFormat="1" applyFont="1" applyBorder="1" applyAlignment="1">
      <alignment horizontal="left" vertical="center" wrapText="1"/>
    </xf>
    <xf numFmtId="168" fontId="11" fillId="0" borderId="0" xfId="0" applyNumberFormat="1" applyFont="1" applyAlignment="1">
      <alignment horizontal="center"/>
    </xf>
    <xf numFmtId="168" fontId="11" fillId="0" borderId="0" xfId="0" applyNumberFormat="1" applyFont="1" applyAlignment="1">
      <alignment horizontal="center" vertical="center"/>
    </xf>
    <xf numFmtId="168" fontId="14" fillId="0" borderId="0" xfId="0" applyNumberFormat="1" applyFont="1" applyFill="1" applyBorder="1" applyAlignment="1">
      <alignment horizontal="center" vertical="center"/>
    </xf>
    <xf numFmtId="168" fontId="7" fillId="6" borderId="0" xfId="0" applyNumberFormat="1" applyFont="1" applyFill="1" applyAlignment="1">
      <alignment horizontal="center" vertical="center" wrapText="1"/>
    </xf>
    <xf numFmtId="168" fontId="11" fillId="0" borderId="0" xfId="0" applyNumberFormat="1" applyFont="1" applyFill="1" applyBorder="1" applyAlignment="1">
      <alignment horizontal="center" vertical="center" wrapText="1"/>
    </xf>
    <xf numFmtId="0" fontId="11" fillId="0" borderId="0" xfId="0" applyFont="1"/>
    <xf numFmtId="0" fontId="11" fillId="0" borderId="0" xfId="0" applyFont="1" applyAlignment="1">
      <alignment horizontal="center" vertical="center"/>
    </xf>
    <xf numFmtId="168" fontId="12" fillId="0" borderId="0" xfId="0" applyNumberFormat="1" applyFont="1" applyFill="1" applyBorder="1" applyAlignment="1">
      <alignment horizontal="center" vertical="center"/>
    </xf>
    <xf numFmtId="168" fontId="11" fillId="0" borderId="0" xfId="0" applyNumberFormat="1" applyFont="1" applyFill="1" applyBorder="1" applyAlignment="1">
      <alignment horizontal="left" vertical="center" wrapText="1"/>
    </xf>
    <xf numFmtId="168" fontId="7" fillId="7" borderId="0" xfId="0" applyNumberFormat="1" applyFont="1" applyFill="1" applyBorder="1" applyAlignment="1">
      <alignment horizontal="center" vertical="center" wrapText="1"/>
    </xf>
    <xf numFmtId="168" fontId="11" fillId="0" borderId="0" xfId="0" applyNumberFormat="1" applyFont="1" applyFill="1" applyAlignment="1">
      <alignment vertical="center"/>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168" fontId="11" fillId="0" borderId="0" xfId="0" applyNumberFormat="1" applyFont="1" applyFill="1" applyAlignment="1">
      <alignment horizontal="center" vertical="center"/>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applyAlignment="1">
      <alignment horizontal="center" vertical="center" wrapText="1"/>
    </xf>
    <xf numFmtId="164" fontId="11" fillId="0" borderId="0" xfId="0" applyNumberFormat="1" applyFont="1" applyAlignment="1">
      <alignment horizontal="left" vertical="center" wrapText="1"/>
    </xf>
    <xf numFmtId="0" fontId="11" fillId="0" borderId="0" xfId="0" applyNumberFormat="1" applyFont="1" applyAlignment="1">
      <alignment horizontal="center" vertical="center"/>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169" fontId="11" fillId="0" borderId="0" xfId="0" applyNumberFormat="1" applyFont="1" applyFill="1" applyAlignment="1">
      <alignment horizontal="center" vertical="center"/>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169" fontId="11" fillId="0" borderId="0" xfId="0" applyNumberFormat="1" applyFont="1" applyFill="1" applyAlignment="1">
      <alignment horizontal="center" vertical="center"/>
    </xf>
    <xf numFmtId="170" fontId="11" fillId="0" borderId="0" xfId="0" applyNumberFormat="1" applyFont="1" applyFill="1" applyAlignment="1">
      <alignment horizontal="center" vertical="center"/>
    </xf>
    <xf numFmtId="164" fontId="11" fillId="0" borderId="0" xfId="0" applyNumberFormat="1" applyFont="1" applyFill="1" applyAlignment="1">
      <alignment horizontal="center" vertical="center"/>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169" fontId="11" fillId="0" borderId="0" xfId="0" applyNumberFormat="1" applyFont="1" applyFill="1" applyAlignment="1">
      <alignment horizontal="center" vertical="center"/>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169" fontId="11" fillId="0" borderId="0" xfId="0" applyNumberFormat="1" applyFont="1" applyFill="1" applyAlignment="1">
      <alignment horizontal="center" vertical="center"/>
    </xf>
    <xf numFmtId="168" fontId="11" fillId="0" borderId="0" xfId="0" applyNumberFormat="1" applyFont="1" applyFill="1" applyAlignment="1">
      <alignment horizontal="center" vertical="center"/>
    </xf>
    <xf numFmtId="169" fontId="11" fillId="0" borderId="0" xfId="0" applyNumberFormat="1" applyFont="1" applyFill="1" applyAlignment="1">
      <alignment horizontal="center" vertical="center"/>
    </xf>
    <xf numFmtId="0" fontId="11" fillId="0" borderId="0" xfId="0" applyFont="1"/>
    <xf numFmtId="0" fontId="11" fillId="0" borderId="0" xfId="0" applyFont="1" applyAlignment="1">
      <alignment horizontal="center" vertical="center"/>
    </xf>
    <xf numFmtId="0" fontId="11" fillId="0" borderId="0" xfId="0" applyFont="1" applyAlignment="1">
      <alignment horizontal="center" vertical="center" wrapText="1"/>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4" fontId="11" fillId="0" borderId="0" xfId="0" applyNumberFormat="1" applyFont="1" applyAlignment="1">
      <alignment horizontal="left" vertical="center" wrapText="1"/>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169" fontId="11" fillId="0" borderId="0" xfId="0" applyNumberFormat="1" applyFont="1" applyFill="1" applyAlignment="1">
      <alignment horizontal="center" vertical="center"/>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169" fontId="11" fillId="0" borderId="0" xfId="0" applyNumberFormat="1" applyFont="1" applyFill="1" applyAlignment="1">
      <alignment horizontal="center" vertical="center"/>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169" fontId="11" fillId="0" borderId="0" xfId="0" applyNumberFormat="1" applyFont="1" applyFill="1" applyAlignment="1">
      <alignment horizontal="center" vertical="center"/>
    </xf>
    <xf numFmtId="168" fontId="11" fillId="0" borderId="0" xfId="0" applyNumberFormat="1" applyFont="1" applyFill="1" applyAlignment="1">
      <alignment horizontal="center" vertical="center"/>
    </xf>
    <xf numFmtId="169" fontId="11" fillId="0" borderId="0" xfId="0" applyNumberFormat="1" applyFont="1" applyFill="1" applyAlignment="1">
      <alignment horizontal="center" vertical="center"/>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xf numFmtId="0" fontId="11" fillId="0" borderId="0" xfId="0" applyFont="1" applyAlignment="1">
      <alignment horizontal="center" vertical="center"/>
    </xf>
    <xf numFmtId="0" fontId="11" fillId="0" borderId="0" xfId="0" applyFont="1" applyAlignment="1">
      <alignment horizontal="center" vertical="center" wrapText="1"/>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4" fontId="11" fillId="0" borderId="0" xfId="0" applyNumberFormat="1" applyFont="1" applyAlignment="1">
      <alignment horizontal="left" vertical="center" wrapText="1"/>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2" fontId="12" fillId="4" borderId="0" xfId="0" applyNumberFormat="1" applyFont="1" applyFill="1" applyBorder="1" applyAlignment="1">
      <alignment horizontal="center" vertical="center" wrapText="1"/>
    </xf>
    <xf numFmtId="168" fontId="11" fillId="0" borderId="0" xfId="0" applyNumberFormat="1" applyFont="1" applyFill="1" applyAlignment="1">
      <alignment horizontal="center" vertical="center"/>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0" fontId="12" fillId="4" borderId="0" xfId="0" applyNumberFormat="1" applyFont="1" applyFill="1" applyBorder="1" applyAlignment="1">
      <alignment horizontal="left"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0" fontId="11" fillId="0" borderId="0" xfId="0" applyFont="1" applyAlignment="1">
      <alignment horizontal="center" vertical="center"/>
    </xf>
    <xf numFmtId="164" fontId="11" fillId="0" borderId="0" xfId="0" applyNumberFormat="1" applyFont="1" applyAlignment="1">
      <alignment horizontal="left" vertical="center" wrapText="1"/>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168" fontId="11" fillId="0" borderId="0" xfId="0" applyNumberFormat="1" applyFont="1" applyFill="1" applyAlignment="1">
      <alignment horizontal="center" vertical="center"/>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0" fillId="0" borderId="0" xfId="0" applyAlignment="1">
      <alignment vertical="center"/>
    </xf>
    <xf numFmtId="0" fontId="0" fillId="0" borderId="0" xfId="0" applyBorder="1" applyAlignment="1">
      <alignment vertical="center"/>
    </xf>
    <xf numFmtId="0" fontId="0" fillId="0" borderId="0" xfId="0" applyAlignment="1">
      <alignment horizontal="center" vertical="center"/>
    </xf>
    <xf numFmtId="2" fontId="0" fillId="0" borderId="0" xfId="0" applyNumberFormat="1" applyFont="1" applyAlignment="1">
      <alignment horizontal="center" vertical="center"/>
    </xf>
    <xf numFmtId="0" fontId="11" fillId="0" borderId="0" xfId="0" applyNumberFormat="1" applyFont="1" applyAlignment="1">
      <alignment horizontal="center" vertical="center"/>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168" fontId="11" fillId="0" borderId="0" xfId="0" applyNumberFormat="1" applyFont="1" applyFill="1" applyAlignment="1">
      <alignment horizontal="center" vertical="center"/>
    </xf>
    <xf numFmtId="0" fontId="0" fillId="0" borderId="0" xfId="0"/>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0" fontId="12" fillId="4" borderId="0" xfId="0" applyNumberFormat="1" applyFont="1" applyFill="1" applyBorder="1" applyAlignment="1">
      <alignment horizontal="left"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1" fontId="12" fillId="4" borderId="0" xfId="0" applyNumberFormat="1" applyFont="1" applyFill="1" applyBorder="1" applyAlignment="1">
      <alignment vertical="center" wrapText="1"/>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0" fontId="12" fillId="4" borderId="0" xfId="0" applyNumberFormat="1" applyFont="1" applyFill="1" applyBorder="1" applyAlignment="1">
      <alignment horizontal="left"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4" fontId="11" fillId="0" borderId="0" xfId="0" applyNumberFormat="1" applyFont="1" applyAlignment="1">
      <alignment horizontal="left" vertical="center" wrapText="1"/>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applyAlignment="1">
      <alignment horizontal="center" vertical="center"/>
    </xf>
    <xf numFmtId="164" fontId="11" fillId="0" borderId="0" xfId="0" applyNumberFormat="1" applyFont="1" applyAlignment="1">
      <alignment horizontal="left" vertical="center" wrapText="1"/>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0" fontId="12" fillId="4" borderId="0" xfId="0" applyNumberFormat="1" applyFont="1" applyFill="1" applyBorder="1" applyAlignment="1">
      <alignment horizontal="left"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4" fontId="11" fillId="0" borderId="0" xfId="0" applyNumberFormat="1" applyFont="1" applyAlignment="1">
      <alignment horizontal="left" vertical="center" wrapText="1"/>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0" fontId="12" fillId="4" borderId="0" xfId="0" applyNumberFormat="1" applyFont="1" applyFill="1" applyBorder="1" applyAlignment="1">
      <alignment horizontal="left"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0" fontId="12" fillId="4" borderId="0" xfId="0" applyNumberFormat="1" applyFont="1" applyFill="1" applyBorder="1" applyAlignment="1">
      <alignment horizontal="left"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4" fontId="11" fillId="0" borderId="0" xfId="0" applyNumberFormat="1" applyFont="1" applyAlignment="1">
      <alignment horizontal="left" vertical="center" wrapText="1"/>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164" fontId="11" fillId="0" borderId="0" xfId="0" applyNumberFormat="1" applyFont="1" applyAlignment="1">
      <alignment horizontal="left" vertical="center" wrapText="1"/>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4" fontId="11" fillId="0" borderId="0" xfId="0" applyNumberFormat="1" applyFont="1" applyAlignment="1">
      <alignment horizontal="left" vertical="center" wrapText="1"/>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0" fontId="11" fillId="0" borderId="0" xfId="0" applyFont="1" applyAlignment="1">
      <alignment horizontal="center"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2"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4" fontId="11" fillId="0" borderId="0" xfId="0" applyNumberFormat="1" applyFont="1" applyAlignment="1">
      <alignment horizontal="left" vertical="center" wrapText="1"/>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xf numFmtId="0" fontId="11" fillId="0" borderId="0" xfId="0" applyFont="1" applyAlignment="1">
      <alignment horizontal="center" vertical="center"/>
    </xf>
    <xf numFmtId="0" fontId="11" fillId="0" borderId="0" xfId="0" applyFont="1" applyAlignment="1">
      <alignment horizontal="center" vertical="center" wrapText="1"/>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4" fontId="11" fillId="0" borderId="0" xfId="0" applyNumberFormat="1" applyFont="1" applyAlignment="1">
      <alignment horizontal="left" vertical="center" wrapText="1"/>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xf numFmtId="0" fontId="11" fillId="0" borderId="0" xfId="0" applyFont="1" applyAlignment="1">
      <alignment horizontal="center" vertical="center"/>
    </xf>
    <xf numFmtId="0" fontId="11" fillId="0" borderId="0" xfId="0" applyFont="1" applyAlignment="1">
      <alignment horizontal="center" vertical="center" wrapText="1"/>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4" fontId="11" fillId="0" borderId="0" xfId="0" applyNumberFormat="1" applyFont="1" applyAlignment="1">
      <alignment horizontal="left" vertical="center" wrapText="1"/>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xf numFmtId="0" fontId="11" fillId="0" borderId="0" xfId="0" applyFont="1" applyAlignment="1">
      <alignment horizontal="center" vertical="center"/>
    </xf>
    <xf numFmtId="0" fontId="11" fillId="0" borderId="0" xfId="0" applyFont="1" applyAlignment="1">
      <alignment horizontal="center" vertical="center" wrapText="1"/>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4" fontId="11" fillId="0" borderId="0" xfId="0" applyNumberFormat="1" applyFont="1" applyAlignment="1">
      <alignment horizontal="left" vertical="center" wrapText="1"/>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xf numFmtId="0" fontId="11" fillId="0" borderId="0" xfId="0" applyFont="1" applyAlignment="1">
      <alignment horizontal="center" vertical="center"/>
    </xf>
    <xf numFmtId="0" fontId="11" fillId="0" borderId="0" xfId="0" applyFont="1" applyAlignment="1">
      <alignment horizontal="center" vertical="center" wrapText="1"/>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4" fontId="11" fillId="0" borderId="0" xfId="0" applyNumberFormat="1" applyFont="1" applyAlignment="1">
      <alignment horizontal="left" vertical="center" wrapText="1"/>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xf numFmtId="0" fontId="11" fillId="0" borderId="0" xfId="0" applyFont="1" applyAlignment="1">
      <alignment horizontal="center" vertical="center"/>
    </xf>
    <xf numFmtId="0" fontId="11" fillId="0" borderId="0" xfId="0" applyFont="1" applyAlignment="1">
      <alignment horizontal="center" vertical="center" wrapText="1"/>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4" fontId="11" fillId="0" borderId="0" xfId="0" applyNumberFormat="1" applyFont="1" applyAlignment="1">
      <alignment horizontal="left" vertical="center" wrapText="1"/>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xf numFmtId="0" fontId="11" fillId="0" borderId="0" xfId="0" applyFont="1" applyAlignment="1">
      <alignment horizontal="center" vertical="center"/>
    </xf>
    <xf numFmtId="0" fontId="11" fillId="0" borderId="0" xfId="0" applyFont="1" applyAlignment="1">
      <alignment horizontal="center" vertical="center" wrapText="1"/>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4" fontId="11" fillId="0" borderId="0" xfId="0" applyNumberFormat="1" applyFont="1" applyAlignment="1">
      <alignment horizontal="left" vertical="center" wrapText="1"/>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164" fontId="11" fillId="0" borderId="0" xfId="0" applyNumberFormat="1" applyFont="1" applyAlignment="1">
      <alignment horizontal="left" vertical="center" wrapText="1"/>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applyAlignment="1">
      <alignment horizontal="center" vertical="center" wrapText="1"/>
    </xf>
    <xf numFmtId="164" fontId="11" fillId="0" borderId="0" xfId="0" applyNumberFormat="1" applyFont="1" applyAlignment="1">
      <alignment horizontal="left" vertical="center" wrapText="1"/>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xf numFmtId="0" fontId="11" fillId="0" borderId="0" xfId="0" applyFont="1" applyAlignment="1">
      <alignment horizontal="center" vertical="center"/>
    </xf>
    <xf numFmtId="0" fontId="11" fillId="0" borderId="0" xfId="0" applyFont="1" applyAlignment="1">
      <alignment horizontal="center" vertical="center" wrapText="1"/>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0" fontId="12" fillId="4" borderId="0" xfId="0" applyNumberFormat="1" applyFont="1" applyFill="1" applyBorder="1" applyAlignment="1">
      <alignment horizontal="left"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4" fontId="11" fillId="0" borderId="0" xfId="0" applyNumberFormat="1" applyFont="1" applyAlignment="1">
      <alignment horizontal="left" vertical="center" wrapText="1"/>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0" fontId="12" fillId="4" borderId="0" xfId="0" applyNumberFormat="1" applyFont="1" applyFill="1" applyBorder="1" applyAlignment="1">
      <alignment horizontal="left"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0" fontId="12" fillId="4" borderId="0" xfId="0" applyNumberFormat="1" applyFont="1" applyFill="1" applyBorder="1" applyAlignment="1">
      <alignment horizontal="left"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4" fontId="11" fillId="0" borderId="0" xfId="0" applyNumberFormat="1" applyFont="1" applyAlignment="1">
      <alignment horizontal="left" vertical="center" wrapText="1"/>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0" fontId="12" fillId="4" borderId="0" xfId="0" applyNumberFormat="1" applyFont="1" applyFill="1" applyBorder="1" applyAlignment="1">
      <alignment horizontal="left"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4" fontId="11" fillId="0" borderId="0" xfId="0" applyNumberFormat="1" applyFont="1" applyAlignment="1">
      <alignment horizontal="left" vertical="center" wrapText="1"/>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4" fontId="11" fillId="0" borderId="0" xfId="0" applyNumberFormat="1" applyFont="1" applyAlignment="1">
      <alignment horizontal="left" vertical="center" wrapText="1"/>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4" fontId="11" fillId="0" borderId="0" xfId="0" applyNumberFormat="1" applyFont="1" applyAlignment="1">
      <alignment horizontal="left" vertical="center" wrapText="1"/>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164" fontId="11" fillId="0" borderId="0" xfId="0" applyNumberFormat="1" applyFont="1" applyAlignment="1">
      <alignment horizontal="left" vertical="center" wrapText="1"/>
    </xf>
    <xf numFmtId="0" fontId="11" fillId="0" borderId="0" xfId="0" applyFont="1"/>
    <xf numFmtId="0" fontId="11" fillId="0" borderId="0" xfId="0" applyFont="1" applyAlignment="1">
      <alignment horizontal="center" vertical="center"/>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0" fontId="12" fillId="4" borderId="0" xfId="0" applyNumberFormat="1" applyFont="1" applyFill="1" applyBorder="1" applyAlignment="1">
      <alignment horizontal="left"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64" fontId="11" fillId="0" borderId="0" xfId="0" applyNumberFormat="1" applyFont="1" applyAlignment="1">
      <alignment horizontal="left" vertical="center" wrapText="1"/>
    </xf>
    <xf numFmtId="0" fontId="11" fillId="0" borderId="0" xfId="0" applyFont="1"/>
    <xf numFmtId="0" fontId="11" fillId="0" borderId="0" xfId="0" applyFont="1" applyAlignment="1">
      <alignment horizontal="center" vertical="center"/>
    </xf>
    <xf numFmtId="0" fontId="11" fillId="0" borderId="0" xfId="0" applyFont="1" applyAlignment="1">
      <alignment horizontal="center" vertical="center" wrapText="1"/>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0" fontId="12" fillId="4" borderId="0" xfId="0" applyNumberFormat="1" applyFont="1" applyFill="1" applyBorder="1" applyAlignment="1">
      <alignment horizontal="left"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0" fontId="11" fillId="0" borderId="0" xfId="0" applyFont="1"/>
    <xf numFmtId="0" fontId="11" fillId="0" borderId="0" xfId="0" applyFont="1" applyAlignment="1">
      <alignment horizontal="center" vertical="center"/>
    </xf>
    <xf numFmtId="0" fontId="11" fillId="0" borderId="0" xfId="0" applyFont="1" applyAlignment="1">
      <alignment horizontal="center" vertical="center" wrapText="1"/>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0" fontId="12" fillId="4" borderId="0" xfId="0" applyNumberFormat="1" applyFont="1" applyFill="1" applyBorder="1" applyAlignment="1">
      <alignment horizontal="left"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4" fontId="11" fillId="0" borderId="0" xfId="0" applyNumberFormat="1" applyFont="1" applyAlignment="1">
      <alignment horizontal="left" vertical="center" wrapText="1"/>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0" fontId="11" fillId="0" borderId="0" xfId="0" applyFont="1"/>
    <xf numFmtId="0" fontId="11" fillId="0" borderId="0" xfId="0" applyFont="1" applyAlignment="1">
      <alignment horizontal="center" vertical="center"/>
    </xf>
    <xf numFmtId="0" fontId="11" fillId="0" borderId="0" xfId="0" applyFont="1" applyAlignment="1">
      <alignment horizontal="center" vertical="center" wrapText="1"/>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0" fontId="12" fillId="4" borderId="0" xfId="0" applyNumberFormat="1" applyFont="1" applyFill="1" applyBorder="1" applyAlignment="1">
      <alignment horizontal="left"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4" fontId="11" fillId="0" borderId="0" xfId="0" applyNumberFormat="1" applyFont="1" applyAlignment="1">
      <alignment horizontal="left" vertical="center" wrapText="1"/>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64" fontId="11" fillId="0" borderId="0" xfId="0" applyNumberFormat="1" applyFont="1" applyAlignment="1">
      <alignment horizontal="left" vertical="center" wrapText="1"/>
    </xf>
    <xf numFmtId="0" fontId="11" fillId="0" borderId="0" xfId="0" applyFont="1"/>
    <xf numFmtId="0" fontId="11" fillId="0" borderId="0" xfId="0" applyFont="1" applyAlignment="1">
      <alignment horizontal="center" vertical="center"/>
    </xf>
    <xf numFmtId="0" fontId="11" fillId="0" borderId="0" xfId="0" applyFont="1" applyAlignment="1">
      <alignment horizontal="center" vertical="center" wrapText="1"/>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0" fontId="12" fillId="4" borderId="0" xfId="0" applyNumberFormat="1" applyFont="1" applyFill="1" applyBorder="1" applyAlignment="1">
      <alignment horizontal="left"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2" fontId="12" fillId="4" borderId="0" xfId="0" applyNumberFormat="1" applyFont="1" applyFill="1" applyBorder="1" applyAlignment="1">
      <alignment horizontal="center" vertical="center" wrapText="1"/>
    </xf>
    <xf numFmtId="164" fontId="11" fillId="0" borderId="0" xfId="0" applyNumberFormat="1" applyFont="1" applyAlignment="1">
      <alignment horizontal="left" vertical="center" wrapText="1"/>
    </xf>
    <xf numFmtId="0" fontId="11" fillId="0" borderId="0" xfId="0" applyFont="1"/>
    <xf numFmtId="0" fontId="11" fillId="0" borderId="0" xfId="0" applyFont="1" applyAlignment="1">
      <alignment horizontal="center" vertical="center"/>
    </xf>
    <xf numFmtId="0" fontId="11" fillId="0" borderId="0" xfId="0" applyFont="1" applyAlignment="1">
      <alignment horizontal="center" vertical="center" wrapText="1"/>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0" fontId="12" fillId="4" borderId="0" xfId="0" applyNumberFormat="1" applyFont="1" applyFill="1" applyBorder="1" applyAlignment="1">
      <alignment horizontal="left"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2" fontId="12" fillId="4" borderId="0" xfId="0" applyNumberFormat="1" applyFont="1" applyFill="1" applyBorder="1" applyAlignment="1">
      <alignment horizontal="center" vertical="center" wrapText="1"/>
    </xf>
    <xf numFmtId="164" fontId="11" fillId="0" borderId="0" xfId="0" applyNumberFormat="1" applyFont="1" applyAlignment="1">
      <alignment horizontal="left" vertical="center" wrapText="1"/>
    </xf>
    <xf numFmtId="0" fontId="11" fillId="0" borderId="0" xfId="0" applyFont="1"/>
    <xf numFmtId="0" fontId="11" fillId="0" borderId="0" xfId="0" applyFont="1" applyAlignment="1">
      <alignment horizontal="center" vertical="center" wrapText="1"/>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0" fontId="12" fillId="4" borderId="0" xfId="0" applyNumberFormat="1" applyFont="1" applyFill="1" applyBorder="1" applyAlignment="1">
      <alignment horizontal="left"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4" fontId="11" fillId="0" borderId="0" xfId="0" applyNumberFormat="1" applyFont="1" applyAlignment="1">
      <alignment horizontal="left" vertical="center" wrapText="1"/>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0" fontId="11" fillId="0" borderId="0" xfId="0" applyFont="1"/>
    <xf numFmtId="0" fontId="11" fillId="0" borderId="0" xfId="0" applyFont="1" applyAlignment="1">
      <alignment horizontal="center" vertical="center"/>
    </xf>
    <xf numFmtId="0" fontId="11" fillId="0" borderId="0" xfId="0" applyFont="1" applyAlignment="1">
      <alignment horizontal="center" vertical="center" wrapText="1"/>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xf numFmtId="0" fontId="11" fillId="0" borderId="0" xfId="0" applyFont="1" applyAlignment="1">
      <alignment horizontal="center" vertical="center"/>
    </xf>
    <xf numFmtId="0" fontId="11" fillId="0" borderId="0" xfId="0" applyFont="1" applyAlignment="1">
      <alignment horizontal="center" vertical="center" wrapText="1"/>
    </xf>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0" fontId="12" fillId="4" borderId="0" xfId="0" applyNumberFormat="1" applyFont="1" applyFill="1" applyBorder="1" applyAlignment="1">
      <alignment horizontal="left"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164" fontId="11" fillId="0" borderId="0" xfId="0" applyNumberFormat="1" applyFont="1" applyAlignment="1">
      <alignment horizontal="left" vertical="center" wrapText="1"/>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9" fillId="0" borderId="0" xfId="0" applyFont="1" applyAlignment="1">
      <alignment vertical="center"/>
    </xf>
    <xf numFmtId="0" fontId="11" fillId="0" borderId="0" xfId="0" applyFont="1"/>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0" fontId="11" fillId="0" borderId="0" xfId="0" applyFont="1" applyAlignment="1">
      <alignment horizontal="center" vertical="center"/>
    </xf>
    <xf numFmtId="0" fontId="11" fillId="0" borderId="0" xfId="0" applyFont="1" applyAlignment="1">
      <alignment horizontal="center" vertical="center" wrapText="1"/>
    </xf>
    <xf numFmtId="164" fontId="11" fillId="0" borderId="0" xfId="0" applyNumberFormat="1" applyFont="1" applyAlignment="1">
      <alignment horizontal="left" vertical="center" wrapText="1"/>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0" borderId="0" xfId="0" applyNumberFormat="1" applyFont="1" applyAlignment="1">
      <alignment horizontal="center" vertical="center"/>
    </xf>
    <xf numFmtId="2" fontId="12" fillId="0" borderId="0" xfId="0" applyNumberFormat="1" applyFont="1" applyFill="1" applyBorder="1" applyAlignment="1">
      <alignment horizontal="center" vertical="center"/>
    </xf>
    <xf numFmtId="2" fontId="9" fillId="0" borderId="0" xfId="0" applyNumberFormat="1" applyFont="1" applyFill="1" applyAlignment="1">
      <alignment vertical="center"/>
    </xf>
    <xf numFmtId="2" fontId="11" fillId="0" borderId="0" xfId="0" applyNumberFormat="1" applyFont="1" applyFill="1" applyBorder="1" applyAlignment="1">
      <alignment horizontal="left" vertical="center" wrapText="1"/>
    </xf>
    <xf numFmtId="2" fontId="12" fillId="0" borderId="4" xfId="0" applyNumberFormat="1" applyFont="1" applyFill="1" applyBorder="1" applyAlignment="1">
      <alignment horizontal="right" vertical="center" wrapText="1"/>
    </xf>
    <xf numFmtId="2" fontId="12" fillId="0" borderId="0" xfId="0" applyNumberFormat="1" applyFont="1" applyFill="1" applyBorder="1" applyAlignment="1">
      <alignment horizontal="center" vertical="center" wrapText="1"/>
    </xf>
    <xf numFmtId="2" fontId="9" fillId="0" borderId="0" xfId="0" applyNumberFormat="1" applyFont="1" applyFill="1" applyBorder="1" applyAlignment="1">
      <alignment horizontal="center" vertical="center"/>
    </xf>
    <xf numFmtId="2" fontId="9" fillId="0" borderId="0" xfId="0" applyNumberFormat="1" applyFont="1" applyFill="1" applyAlignment="1">
      <alignment horizontal="center" vertical="center"/>
    </xf>
    <xf numFmtId="2" fontId="12" fillId="9" borderId="3" xfId="0" applyNumberFormat="1" applyFont="1" applyFill="1" applyBorder="1" applyAlignment="1">
      <alignment horizontal="center" vertical="center"/>
    </xf>
    <xf numFmtId="167" fontId="9" fillId="0" borderId="0" xfId="0" applyNumberFormat="1" applyFont="1" applyBorder="1" applyAlignment="1">
      <alignment horizontal="center" vertical="center"/>
    </xf>
    <xf numFmtId="0" fontId="9" fillId="0" borderId="0" xfId="0" applyFont="1" applyAlignment="1">
      <alignment horizontal="center" vertical="center"/>
    </xf>
    <xf numFmtId="0" fontId="12" fillId="5" borderId="4" xfId="0" applyFont="1" applyFill="1" applyBorder="1" applyAlignment="1">
      <alignment horizontal="center" vertical="center" wrapText="1"/>
    </xf>
    <xf numFmtId="0" fontId="11" fillId="0" borderId="0" xfId="0" applyFont="1"/>
    <xf numFmtId="0" fontId="12" fillId="0" borderId="0" xfId="0" applyFont="1" applyFill="1" applyBorder="1" applyAlignment="1">
      <alignment vertical="center" wrapText="1"/>
    </xf>
    <xf numFmtId="0" fontId="11" fillId="0" borderId="0" xfId="0" applyFont="1" applyAlignment="1">
      <alignment horizontal="center" vertical="center"/>
    </xf>
    <xf numFmtId="0" fontId="11" fillId="0" borderId="0" xfId="0" applyFont="1" applyFill="1" applyBorder="1"/>
    <xf numFmtId="0" fontId="7" fillId="6" borderId="0" xfId="0" applyNumberFormat="1" applyFont="1" applyFill="1" applyAlignment="1">
      <alignment horizontal="center" vertical="center" wrapText="1"/>
    </xf>
    <xf numFmtId="164" fontId="7" fillId="6" borderId="0" xfId="0" applyNumberFormat="1" applyFont="1" applyFill="1" applyAlignment="1">
      <alignment vertical="center"/>
    </xf>
    <xf numFmtId="164" fontId="7" fillId="6" borderId="0" xfId="1" applyFont="1" applyFill="1" applyAlignment="1">
      <alignment vertical="center"/>
    </xf>
    <xf numFmtId="0" fontId="12" fillId="4" borderId="0" xfId="0" applyNumberFormat="1" applyFont="1" applyFill="1" applyBorder="1" applyAlignment="1">
      <alignment horizontal="center" vertical="center" wrapText="1"/>
    </xf>
    <xf numFmtId="0" fontId="12" fillId="4" borderId="0" xfId="0" applyNumberFormat="1" applyFont="1" applyFill="1" applyBorder="1" applyAlignment="1">
      <alignment horizontal="left" vertical="center" wrapText="1"/>
    </xf>
    <xf numFmtId="2"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vertical="center"/>
    </xf>
    <xf numFmtId="164" fontId="12" fillId="4" borderId="0" xfId="1" applyFont="1" applyFill="1" applyBorder="1" applyAlignment="1">
      <alignment vertical="center"/>
    </xf>
    <xf numFmtId="0" fontId="12" fillId="0" borderId="0" xfId="0" applyFont="1" applyFill="1" applyBorder="1" applyAlignment="1">
      <alignment vertical="center"/>
    </xf>
    <xf numFmtId="168"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164" fontId="11" fillId="0" borderId="0" xfId="0" applyNumberFormat="1" applyFont="1" applyAlignment="1">
      <alignment horizontal="center" vertical="center"/>
    </xf>
    <xf numFmtId="164" fontId="11" fillId="0" borderId="0" xfId="1" applyFont="1" applyAlignment="1">
      <alignment vertical="center"/>
    </xf>
    <xf numFmtId="0" fontId="11" fillId="5" borderId="0" xfId="0" applyFont="1" applyFill="1" applyAlignment="1">
      <alignment horizontal="center" vertical="center"/>
    </xf>
    <xf numFmtId="164" fontId="8" fillId="5" borderId="0" xfId="1" applyFont="1" applyFill="1" applyBorder="1" applyAlignment="1">
      <alignment vertical="center"/>
    </xf>
    <xf numFmtId="0" fontId="11" fillId="0" borderId="0" xfId="0" applyNumberFormat="1" applyFont="1"/>
    <xf numFmtId="164" fontId="11" fillId="0" borderId="0" xfId="0" applyNumberFormat="1" applyFont="1"/>
    <xf numFmtId="1" fontId="12" fillId="4" borderId="0" xfId="0" applyNumberFormat="1" applyFont="1" applyFill="1" applyBorder="1" applyAlignment="1">
      <alignment horizontal="center" vertical="center" wrapText="1"/>
    </xf>
    <xf numFmtId="1" fontId="12" fillId="4" borderId="0" xfId="0" applyNumberFormat="1" applyFont="1" applyFill="1" applyBorder="1" applyAlignment="1">
      <alignment horizontal="left" vertical="center" wrapText="1"/>
    </xf>
    <xf numFmtId="4" fontId="26" fillId="0" borderId="0" xfId="0" applyNumberFormat="1" applyFont="1" applyFill="1" applyBorder="1" applyAlignment="1" applyProtection="1">
      <alignment horizontal="justify" vertical="center" wrapText="1"/>
      <protection hidden="1"/>
    </xf>
    <xf numFmtId="4" fontId="26" fillId="0" borderId="0" xfId="0" applyNumberFormat="1" applyFont="1" applyFill="1" applyBorder="1" applyAlignment="1" applyProtection="1">
      <alignment vertical="center" wrapText="1"/>
      <protection hidden="1"/>
    </xf>
    <xf numFmtId="0" fontId="26" fillId="0" borderId="0" xfId="0" applyFont="1" applyFill="1" applyBorder="1" applyAlignment="1" applyProtection="1">
      <alignment horizontal="justify" vertical="center" wrapText="1"/>
      <protection hidden="1"/>
    </xf>
    <xf numFmtId="171" fontId="26" fillId="0" borderId="0" xfId="0" applyNumberFormat="1" applyFont="1" applyFill="1" applyBorder="1" applyAlignment="1" applyProtection="1">
      <alignment horizontal="justify" vertical="center" wrapText="1"/>
      <protection hidden="1"/>
    </xf>
    <xf numFmtId="0" fontId="26" fillId="0" borderId="0" xfId="0" applyFont="1" applyFill="1" applyBorder="1" applyAlignment="1" applyProtection="1">
      <alignment horizontal="center" vertical="center" wrapText="1"/>
      <protection hidden="1"/>
    </xf>
    <xf numFmtId="4" fontId="26" fillId="0" borderId="0" xfId="0" applyNumberFormat="1" applyFont="1" applyFill="1" applyBorder="1" applyAlignment="1" applyProtection="1">
      <alignment horizontal="center" vertical="center" wrapText="1"/>
      <protection hidden="1"/>
    </xf>
    <xf numFmtId="4" fontId="26" fillId="0" borderId="0" xfId="0" applyNumberFormat="1" applyFont="1" applyFill="1" applyBorder="1" applyAlignment="1" applyProtection="1">
      <alignment horizontal="center" vertical="center" wrapText="1"/>
      <protection hidden="1"/>
    </xf>
    <xf numFmtId="171" fontId="26" fillId="0" borderId="0" xfId="0" applyNumberFormat="1" applyFont="1" applyFill="1" applyBorder="1" applyAlignment="1" applyProtection="1">
      <alignment horizontal="center" vertical="center" wrapText="1"/>
      <protection hidden="1"/>
    </xf>
    <xf numFmtId="4" fontId="26" fillId="8" borderId="5" xfId="0" applyNumberFormat="1" applyFont="1" applyFill="1" applyBorder="1" applyAlignment="1" applyProtection="1">
      <alignment horizontal="center" vertical="center" wrapText="1"/>
      <protection hidden="1"/>
    </xf>
    <xf numFmtId="4" fontId="26" fillId="8" borderId="9" xfId="0" applyNumberFormat="1" applyFont="1" applyFill="1" applyBorder="1" applyAlignment="1" applyProtection="1">
      <alignment horizontal="center" vertical="center" wrapText="1"/>
      <protection hidden="1"/>
    </xf>
    <xf numFmtId="4" fontId="27" fillId="0" borderId="0" xfId="0" applyNumberFormat="1" applyFont="1" applyFill="1" applyBorder="1" applyAlignment="1" applyProtection="1">
      <alignment horizontal="center" vertical="center" wrapText="1"/>
      <protection hidden="1"/>
    </xf>
    <xf numFmtId="4" fontId="27" fillId="0" borderId="0" xfId="0" applyNumberFormat="1" applyFont="1" applyFill="1" applyBorder="1" applyAlignment="1" applyProtection="1">
      <alignment horizontal="justify" vertical="center" wrapText="1"/>
      <protection hidden="1"/>
    </xf>
    <xf numFmtId="0" fontId="27" fillId="0" borderId="0" xfId="0" applyFont="1" applyFill="1" applyBorder="1" applyAlignment="1" applyProtection="1">
      <alignment horizontal="justify" vertical="center" wrapText="1"/>
      <protection hidden="1"/>
    </xf>
    <xf numFmtId="0" fontId="26" fillId="0" borderId="0" xfId="0" applyFont="1" applyFill="1" applyBorder="1" applyAlignment="1" applyProtection="1">
      <alignment vertical="center" wrapText="1"/>
      <protection hidden="1"/>
    </xf>
    <xf numFmtId="0" fontId="26" fillId="0" borderId="0" xfId="0" applyFont="1" applyAlignment="1">
      <alignment horizontal="left" vertical="center"/>
    </xf>
    <xf numFmtId="4" fontId="26" fillId="0" borderId="0" xfId="0" applyNumberFormat="1" applyFont="1" applyFill="1" applyBorder="1" applyAlignment="1" applyProtection="1">
      <alignment horizontal="center" vertical="center" wrapText="1"/>
      <protection hidden="1"/>
    </xf>
    <xf numFmtId="0" fontId="26" fillId="0" borderId="0" xfId="0" applyFont="1" applyBorder="1" applyAlignment="1">
      <alignment vertical="center" wrapText="1"/>
    </xf>
    <xf numFmtId="2" fontId="26" fillId="0" borderId="0" xfId="0" applyNumberFormat="1" applyFont="1" applyFill="1" applyBorder="1" applyAlignment="1" applyProtection="1">
      <alignment horizontal="center" vertical="center" wrapText="1"/>
      <protection hidden="1"/>
    </xf>
    <xf numFmtId="2" fontId="26" fillId="0" borderId="0" xfId="0" applyNumberFormat="1" applyFont="1" applyFill="1" applyBorder="1" applyAlignment="1" applyProtection="1">
      <alignment horizontal="left" vertical="center" wrapText="1"/>
      <protection hidden="1"/>
    </xf>
    <xf numFmtId="0" fontId="11" fillId="0" borderId="0" xfId="0" applyNumberFormat="1" applyFont="1" applyAlignment="1">
      <alignment horizontal="center" vertical="center"/>
    </xf>
    <xf numFmtId="4" fontId="26" fillId="0" borderId="0" xfId="0" applyNumberFormat="1" applyFont="1" applyFill="1" applyBorder="1" applyAlignment="1" applyProtection="1">
      <alignment horizontal="center" vertical="center" wrapText="1"/>
      <protection hidden="1"/>
    </xf>
    <xf numFmtId="2" fontId="26" fillId="0" borderId="0" xfId="0" applyNumberFormat="1" applyFont="1" applyFill="1" applyBorder="1" applyAlignment="1" applyProtection="1">
      <alignment horizontal="right" vertical="center" wrapText="1"/>
      <protection hidden="1"/>
    </xf>
    <xf numFmtId="0" fontId="11" fillId="0" borderId="0" xfId="0" applyNumberFormat="1" applyFont="1" applyAlignment="1">
      <alignment horizontal="center" vertical="center"/>
    </xf>
    <xf numFmtId="0" fontId="12" fillId="4" borderId="0" xfId="0" applyNumberFormat="1" applyFont="1" applyFill="1" applyBorder="1" applyAlignment="1">
      <alignment vertical="center" wrapText="1"/>
    </xf>
    <xf numFmtId="0" fontId="11" fillId="0" borderId="0" xfId="0" applyNumberFormat="1" applyFont="1" applyAlignment="1">
      <alignment horizontal="center" vertical="center"/>
    </xf>
    <xf numFmtId="4" fontId="26" fillId="0" borderId="0" xfId="0" applyNumberFormat="1" applyFont="1" applyFill="1" applyBorder="1" applyAlignment="1" applyProtection="1">
      <alignment horizontal="center" vertical="center" wrapText="1"/>
      <protection hidden="1"/>
    </xf>
    <xf numFmtId="49" fontId="27" fillId="5" borderId="3" xfId="0" applyNumberFormat="1" applyFont="1" applyFill="1" applyBorder="1" applyAlignment="1" applyProtection="1">
      <alignment horizontal="center" vertical="center" wrapText="1"/>
    </xf>
    <xf numFmtId="0" fontId="27" fillId="5" borderId="3" xfId="0" applyNumberFormat="1" applyFont="1" applyFill="1" applyBorder="1" applyAlignment="1" applyProtection="1">
      <alignment horizontal="center" vertical="center" wrapText="1"/>
    </xf>
    <xf numFmtId="49" fontId="23" fillId="13" borderId="12" xfId="0" applyNumberFormat="1" applyFont="1" applyFill="1" applyBorder="1" applyAlignment="1" applyProtection="1">
      <alignment horizontal="left" vertical="center" wrapText="1"/>
    </xf>
    <xf numFmtId="2" fontId="27" fillId="13" borderId="12" xfId="0" applyNumberFormat="1" applyFont="1" applyFill="1" applyBorder="1" applyAlignment="1" applyProtection="1">
      <alignment horizontal="center" vertical="center" wrapText="1"/>
    </xf>
    <xf numFmtId="2" fontId="27" fillId="13" borderId="35" xfId="0" applyNumberFormat="1" applyFont="1" applyFill="1" applyBorder="1" applyAlignment="1">
      <alignment horizontal="center" vertical="center" wrapText="1"/>
    </xf>
    <xf numFmtId="49" fontId="27" fillId="0" borderId="34" xfId="0" applyNumberFormat="1" applyFont="1" applyFill="1" applyBorder="1" applyAlignment="1" applyProtection="1">
      <alignment vertical="center" wrapText="1"/>
    </xf>
    <xf numFmtId="0" fontId="27" fillId="0" borderId="12" xfId="0" applyNumberFormat="1" applyFont="1" applyFill="1" applyBorder="1" applyAlignment="1" applyProtection="1">
      <alignment horizontal="left" vertical="center" wrapText="1"/>
    </xf>
    <xf numFmtId="4" fontId="26" fillId="0" borderId="12" xfId="0" applyNumberFormat="1" applyFont="1" applyFill="1" applyBorder="1" applyAlignment="1" applyProtection="1">
      <alignment horizontal="center" vertical="center" wrapText="1"/>
    </xf>
    <xf numFmtId="49" fontId="27" fillId="0" borderId="2" xfId="0" applyNumberFormat="1" applyFont="1" applyFill="1" applyBorder="1" applyAlignment="1" applyProtection="1">
      <alignment vertical="center" wrapText="1"/>
    </xf>
    <xf numFmtId="0" fontId="27" fillId="0" borderId="0" xfId="0" applyNumberFormat="1" applyFont="1" applyFill="1" applyBorder="1" applyAlignment="1" applyProtection="1">
      <alignment horizontal="left" vertical="center" wrapText="1"/>
    </xf>
    <xf numFmtId="172" fontId="26" fillId="0" borderId="0" xfId="0" applyNumberFormat="1" applyFont="1" applyFill="1" applyBorder="1" applyAlignment="1" applyProtection="1">
      <alignment horizontal="center" vertical="center" wrapText="1"/>
    </xf>
    <xf numFmtId="4" fontId="26" fillId="0" borderId="0" xfId="0" applyNumberFormat="1" applyFont="1" applyFill="1" applyBorder="1" applyAlignment="1" applyProtection="1">
      <alignment horizontal="center" vertical="center" wrapText="1"/>
    </xf>
    <xf numFmtId="4" fontId="26" fillId="0" borderId="0" xfId="0" applyNumberFormat="1" applyFont="1" applyFill="1" applyBorder="1" applyAlignment="1" applyProtection="1">
      <alignment horizontal="center" vertical="center" wrapText="1"/>
      <protection locked="0"/>
    </xf>
    <xf numFmtId="14" fontId="27" fillId="0" borderId="0" xfId="0" applyNumberFormat="1" applyFont="1" applyFill="1" applyBorder="1" applyAlignment="1" applyProtection="1">
      <alignment horizontal="left" vertical="center" wrapText="1"/>
    </xf>
    <xf numFmtId="14" fontId="26" fillId="0" borderId="0" xfId="0" applyNumberFormat="1" applyFont="1" applyFill="1" applyBorder="1" applyAlignment="1" applyProtection="1">
      <alignment horizontal="center" vertical="center" wrapText="1"/>
    </xf>
    <xf numFmtId="49" fontId="27" fillId="0" borderId="22" xfId="0" applyNumberFormat="1" applyFont="1" applyFill="1" applyBorder="1" applyAlignment="1" applyProtection="1">
      <alignment vertical="center" wrapText="1"/>
    </xf>
    <xf numFmtId="14" fontId="27" fillId="0" borderId="13" xfId="0" applyNumberFormat="1" applyFont="1" applyFill="1" applyBorder="1" applyAlignment="1" applyProtection="1">
      <alignment horizontal="left" vertical="center" wrapText="1"/>
    </xf>
    <xf numFmtId="172" fontId="26" fillId="8" borderId="13" xfId="0" applyNumberFormat="1" applyFont="1" applyFill="1" applyBorder="1" applyAlignment="1" applyProtection="1">
      <alignment horizontal="center" vertical="center" wrapText="1"/>
    </xf>
    <xf numFmtId="14" fontId="26" fillId="0" borderId="21" xfId="0" applyNumberFormat="1" applyFont="1" applyFill="1" applyBorder="1" applyAlignment="1" applyProtection="1">
      <alignment horizontal="center" vertical="center" wrapText="1"/>
    </xf>
    <xf numFmtId="0" fontId="27" fillId="0" borderId="13" xfId="0" applyNumberFormat="1" applyFont="1" applyFill="1" applyBorder="1" applyAlignment="1" applyProtection="1">
      <alignment horizontal="right" vertical="center" wrapText="1"/>
    </xf>
    <xf numFmtId="0" fontId="28" fillId="13" borderId="34" xfId="0" applyNumberFormat="1" applyFont="1" applyFill="1" applyBorder="1" applyAlignment="1" applyProtection="1">
      <alignment horizontal="center" vertical="center" wrapText="1"/>
    </xf>
    <xf numFmtId="0" fontId="27" fillId="13" borderId="12" xfId="0" applyNumberFormat="1" applyFont="1" applyFill="1" applyBorder="1" applyAlignment="1" applyProtection="1">
      <alignment horizontal="justify" vertical="center"/>
    </xf>
    <xf numFmtId="0" fontId="27" fillId="13" borderId="12" xfId="0" applyNumberFormat="1" applyFont="1" applyFill="1" applyBorder="1" applyAlignment="1" applyProtection="1">
      <alignment horizontal="center" vertical="center" wrapText="1"/>
    </xf>
    <xf numFmtId="0" fontId="29" fillId="0" borderId="12" xfId="0" applyFont="1" applyFill="1" applyBorder="1" applyAlignment="1">
      <alignment horizontal="justify" vertical="center"/>
    </xf>
    <xf numFmtId="0" fontId="27" fillId="0" borderId="12" xfId="0" applyNumberFormat="1" applyFont="1" applyFill="1" applyBorder="1" applyAlignment="1" applyProtection="1">
      <alignment horizontal="center" vertical="center" wrapText="1"/>
    </xf>
    <xf numFmtId="0" fontId="0" fillId="0" borderId="2" xfId="0" applyBorder="1" applyAlignment="1">
      <alignment vertical="center"/>
    </xf>
    <xf numFmtId="0" fontId="27" fillId="0" borderId="0" xfId="0" applyNumberFormat="1" applyFont="1" applyFill="1" applyBorder="1" applyAlignment="1" applyProtection="1">
      <alignment horizontal="center" vertical="center" wrapText="1"/>
    </xf>
    <xf numFmtId="0" fontId="22" fillId="0" borderId="0" xfId="0" applyFont="1" applyFill="1" applyBorder="1" applyAlignment="1">
      <alignment vertical="center" wrapText="1"/>
    </xf>
    <xf numFmtId="0" fontId="27" fillId="0" borderId="0" xfId="0" applyNumberFormat="1" applyFont="1" applyFill="1" applyBorder="1" applyAlignment="1" applyProtection="1">
      <alignment horizontal="justify" vertical="center"/>
    </xf>
    <xf numFmtId="14" fontId="27" fillId="0" borderId="0" xfId="0" applyNumberFormat="1" applyFont="1" applyFill="1" applyBorder="1" applyAlignment="1" applyProtection="1">
      <alignment horizontal="justify" vertical="center"/>
    </xf>
    <xf numFmtId="14" fontId="27" fillId="0" borderId="0" xfId="0" applyNumberFormat="1" applyFont="1" applyFill="1" applyBorder="1" applyAlignment="1" applyProtection="1">
      <alignment horizontal="center" vertical="center" wrapText="1"/>
    </xf>
    <xf numFmtId="14" fontId="27" fillId="0" borderId="13" xfId="0" applyNumberFormat="1" applyFont="1" applyFill="1" applyBorder="1" applyAlignment="1" applyProtection="1">
      <alignment horizontal="justify" vertical="center"/>
    </xf>
    <xf numFmtId="14" fontId="27" fillId="0" borderId="13" xfId="0" applyNumberFormat="1" applyFont="1" applyFill="1" applyBorder="1" applyAlignment="1" applyProtection="1">
      <alignment horizontal="center" vertical="center" wrapText="1"/>
    </xf>
    <xf numFmtId="0" fontId="26" fillId="0" borderId="0" xfId="0" applyFont="1" applyAlignment="1">
      <alignment vertical="center"/>
    </xf>
    <xf numFmtId="0" fontId="12" fillId="0" borderId="0" xfId="0" applyFont="1" applyBorder="1" applyAlignment="1">
      <alignment horizontal="center" vertical="center"/>
    </xf>
    <xf numFmtId="0" fontId="11" fillId="0" borderId="0" xfId="0" applyFont="1" applyFill="1" applyBorder="1" applyAlignment="1">
      <alignment horizontal="center" vertical="center" wrapText="1"/>
    </xf>
    <xf numFmtId="0" fontId="11" fillId="0" borderId="0" xfId="0" applyFont="1" applyBorder="1" applyAlignment="1">
      <alignment horizontal="left" vertical="center" wrapText="1"/>
    </xf>
    <xf numFmtId="4" fontId="26" fillId="0" borderId="0" xfId="0" applyNumberFormat="1" applyFont="1" applyFill="1" applyBorder="1" applyAlignment="1" applyProtection="1">
      <alignment horizontal="center" vertical="center" wrapText="1"/>
      <protection hidden="1"/>
    </xf>
    <xf numFmtId="0" fontId="11" fillId="0" borderId="0" xfId="0" applyFont="1" applyBorder="1" applyAlignment="1">
      <alignment horizontal="center" vertical="center" wrapText="1"/>
    </xf>
    <xf numFmtId="49" fontId="0" fillId="0" borderId="0" xfId="0" applyNumberFormat="1" applyAlignment="1">
      <alignment vertical="center"/>
    </xf>
    <xf numFmtId="49" fontId="0" fillId="0" borderId="0" xfId="0" applyNumberFormat="1" applyBorder="1" applyAlignment="1">
      <alignment vertical="center"/>
    </xf>
    <xf numFmtId="49" fontId="0" fillId="0" borderId="0" xfId="0" applyNumberFormat="1" applyFont="1" applyAlignment="1">
      <alignment vertical="center"/>
    </xf>
    <xf numFmtId="49" fontId="0" fillId="0" borderId="0" xfId="0" applyNumberFormat="1" applyFont="1" applyBorder="1" applyAlignment="1">
      <alignment vertical="center"/>
    </xf>
    <xf numFmtId="0" fontId="26" fillId="0" borderId="0" xfId="0" applyFont="1" applyAlignment="1">
      <alignment horizontal="left" vertical="center" wrapText="1"/>
    </xf>
    <xf numFmtId="0" fontId="11" fillId="0" borderId="0" xfId="0" applyNumberFormat="1" applyFont="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2" fontId="26" fillId="0" borderId="0" xfId="0" applyNumberFormat="1" applyFont="1" applyFill="1" applyBorder="1" applyAlignment="1">
      <alignment horizontal="center" vertical="center"/>
    </xf>
    <xf numFmtId="2" fontId="27" fillId="0" borderId="0" xfId="0" applyNumberFormat="1" applyFont="1" applyFill="1" applyBorder="1" applyAlignment="1">
      <alignment horizontal="center" vertical="center"/>
    </xf>
    <xf numFmtId="0" fontId="26" fillId="0" borderId="0" xfId="0" applyFont="1" applyFill="1" applyBorder="1" applyAlignment="1">
      <alignment vertical="center"/>
    </xf>
    <xf numFmtId="0" fontId="30" fillId="0" borderId="3" xfId="0" applyFont="1" applyFill="1" applyBorder="1" applyAlignment="1">
      <alignment horizontal="left" vertical="center" wrapText="1"/>
    </xf>
    <xf numFmtId="2" fontId="31" fillId="0" borderId="3" xfId="0" applyNumberFormat="1" applyFont="1" applyFill="1" applyBorder="1" applyAlignment="1">
      <alignment horizontal="center" vertical="center"/>
    </xf>
    <xf numFmtId="0" fontId="30" fillId="0" borderId="3" xfId="0" applyFont="1" applyFill="1" applyBorder="1" applyAlignment="1">
      <alignment vertical="center"/>
    </xf>
    <xf numFmtId="2" fontId="26" fillId="0" borderId="0" xfId="0" applyNumberFormat="1" applyFont="1" applyFill="1" applyBorder="1" applyAlignment="1" applyProtection="1">
      <alignment horizontal="center" vertical="center" wrapText="1"/>
      <protection hidden="1"/>
    </xf>
    <xf numFmtId="0" fontId="11" fillId="0" borderId="0" xfId="0" applyNumberFormat="1" applyFont="1" applyAlignment="1">
      <alignment horizontal="center" vertical="center"/>
    </xf>
    <xf numFmtId="0" fontId="11" fillId="0" borderId="0" xfId="0" applyNumberFormat="1" applyFont="1" applyAlignment="1">
      <alignment horizontal="center" vertical="center"/>
    </xf>
    <xf numFmtId="0" fontId="11" fillId="0" borderId="0" xfId="0" applyNumberFormat="1" applyFont="1" applyAlignment="1">
      <alignment horizontal="center" vertical="center"/>
    </xf>
    <xf numFmtId="4" fontId="26" fillId="0" borderId="0" xfId="0" applyNumberFormat="1" applyFont="1" applyFill="1" applyBorder="1" applyAlignment="1" applyProtection="1">
      <alignment horizontal="center" vertical="center" wrapText="1"/>
      <protection hidden="1"/>
    </xf>
    <xf numFmtId="164" fontId="12" fillId="4" borderId="0" xfId="0" applyNumberFormat="1" applyFont="1" applyFill="1" applyBorder="1" applyAlignment="1">
      <alignment horizontal="center" vertical="center"/>
    </xf>
    <xf numFmtId="2" fontId="27" fillId="0" borderId="0" xfId="0" applyNumberFormat="1" applyFont="1" applyFill="1" applyBorder="1" applyAlignment="1" applyProtection="1">
      <alignment horizontal="center" vertical="center" wrapText="1"/>
      <protection hidden="1"/>
    </xf>
    <xf numFmtId="0" fontId="12" fillId="0" borderId="0" xfId="0" applyFont="1" applyBorder="1" applyAlignment="1">
      <alignment horizontal="center" vertical="center"/>
    </xf>
    <xf numFmtId="0" fontId="11" fillId="0" borderId="0" xfId="0" applyFont="1" applyBorder="1" applyAlignment="1">
      <alignment horizontal="left" vertical="center" wrapText="1"/>
    </xf>
    <xf numFmtId="0" fontId="11" fillId="0" borderId="0" xfId="0" applyFont="1" applyFill="1" applyBorder="1" applyAlignment="1">
      <alignment horizontal="center" vertical="center" wrapText="1"/>
    </xf>
    <xf numFmtId="0" fontId="11" fillId="0" borderId="0" xfId="0" applyNumberFormat="1" applyFont="1" applyAlignment="1">
      <alignment horizontal="center" vertical="center"/>
    </xf>
    <xf numFmtId="4" fontId="26" fillId="0" borderId="0" xfId="0" applyNumberFormat="1" applyFont="1" applyFill="1" applyBorder="1" applyAlignment="1" applyProtection="1">
      <alignment horizontal="center" vertical="center" wrapText="1"/>
      <protection hidden="1"/>
    </xf>
    <xf numFmtId="0" fontId="11" fillId="0" borderId="0" xfId="0" applyFont="1" applyBorder="1" applyAlignment="1">
      <alignment horizontal="center" vertical="center" wrapText="1"/>
    </xf>
    <xf numFmtId="0" fontId="12" fillId="5" borderId="4" xfId="0" applyFont="1" applyFill="1" applyBorder="1" applyAlignment="1">
      <alignment horizontal="left" vertical="center"/>
    </xf>
    <xf numFmtId="0" fontId="12" fillId="0" borderId="4" xfId="0" applyFont="1" applyFill="1" applyBorder="1" applyAlignment="1">
      <alignment horizontal="left" vertical="center"/>
    </xf>
    <xf numFmtId="167" fontId="9" fillId="0" borderId="0" xfId="0" applyNumberFormat="1" applyFont="1" applyBorder="1" applyAlignment="1">
      <alignment horizontal="center" vertical="center"/>
    </xf>
    <xf numFmtId="1" fontId="9" fillId="0" borderId="0" xfId="0" applyNumberFormat="1" applyFont="1" applyBorder="1" applyAlignment="1">
      <alignment vertical="center"/>
    </xf>
    <xf numFmtId="0" fontId="9" fillId="0" borderId="0" xfId="0" applyFont="1" applyAlignment="1">
      <alignment horizontal="center" vertical="center"/>
    </xf>
    <xf numFmtId="0" fontId="12" fillId="0" borderId="4" xfId="0" applyFont="1" applyFill="1" applyBorder="1" applyAlignment="1">
      <alignment horizontal="center" vertical="center" wrapText="1"/>
    </xf>
    <xf numFmtId="0" fontId="11" fillId="0" borderId="4" xfId="0" applyFont="1" applyFill="1" applyBorder="1" applyAlignment="1">
      <alignment horizontal="center" vertical="center" wrapText="1"/>
    </xf>
    <xf numFmtId="164" fontId="11" fillId="0" borderId="4" xfId="0" applyNumberFormat="1" applyFont="1" applyFill="1" applyBorder="1" applyAlignment="1">
      <alignment horizontal="center" vertical="center"/>
    </xf>
    <xf numFmtId="1" fontId="9" fillId="0" borderId="0" xfId="0" applyNumberFormat="1" applyFont="1" applyBorder="1" applyAlignment="1">
      <alignment horizontal="center" vertical="center"/>
    </xf>
    <xf numFmtId="2" fontId="11" fillId="0" borderId="4" xfId="0" applyNumberFormat="1" applyFont="1" applyFill="1" applyBorder="1" applyAlignment="1">
      <alignment horizontal="center" vertical="center"/>
    </xf>
    <xf numFmtId="165" fontId="11" fillId="0" borderId="4" xfId="0" applyNumberFormat="1" applyFont="1" applyFill="1" applyBorder="1" applyAlignment="1">
      <alignment horizontal="center" vertical="center"/>
    </xf>
    <xf numFmtId="0" fontId="11" fillId="0" borderId="0" xfId="0" applyNumberFormat="1" applyFont="1" applyAlignment="1">
      <alignment horizontal="center" vertical="center"/>
    </xf>
    <xf numFmtId="4" fontId="26" fillId="0" borderId="0" xfId="0" applyNumberFormat="1" applyFont="1" applyFill="1" applyBorder="1" applyAlignment="1" applyProtection="1">
      <alignment horizontal="center" vertical="center" wrapText="1"/>
      <protection hidden="1"/>
    </xf>
    <xf numFmtId="0" fontId="11" fillId="0" borderId="0" xfId="0" applyFont="1" applyFill="1" applyBorder="1" applyAlignment="1">
      <alignment horizontal="center" vertical="center" wrapText="1"/>
    </xf>
    <xf numFmtId="0" fontId="0" fillId="13" borderId="0" xfId="0" applyFill="1" applyAlignment="1">
      <alignment vertical="center"/>
    </xf>
    <xf numFmtId="44" fontId="11" fillId="0" borderId="0" xfId="0" applyNumberFormat="1" applyFont="1" applyBorder="1" applyAlignment="1">
      <alignment horizontal="center" vertical="center"/>
    </xf>
    <xf numFmtId="44" fontId="12" fillId="0" borderId="0" xfId="0" applyNumberFormat="1" applyFont="1" applyBorder="1" applyAlignment="1">
      <alignment horizontal="center" vertical="center"/>
    </xf>
    <xf numFmtId="44" fontId="9" fillId="0" borderId="0" xfId="0" applyNumberFormat="1" applyFont="1" applyAlignment="1">
      <alignment vertical="center"/>
    </xf>
    <xf numFmtId="44" fontId="11" fillId="0" borderId="0" xfId="0" applyNumberFormat="1" applyFont="1" applyBorder="1" applyAlignment="1">
      <alignment horizontal="left" vertical="center" wrapText="1"/>
    </xf>
    <xf numFmtId="44" fontId="11" fillId="0" borderId="4" xfId="0" applyNumberFormat="1" applyFont="1" applyFill="1" applyBorder="1" applyAlignment="1">
      <alignment horizontal="center" vertical="center"/>
    </xf>
    <xf numFmtId="44" fontId="12" fillId="0" borderId="4" xfId="0" applyNumberFormat="1" applyFont="1" applyBorder="1" applyAlignment="1">
      <alignment horizontal="right" vertical="center" wrapText="1"/>
    </xf>
    <xf numFmtId="44" fontId="11" fillId="0" borderId="4" xfId="0" applyNumberFormat="1" applyFont="1" applyBorder="1" applyAlignment="1">
      <alignment horizontal="center" vertical="center"/>
    </xf>
    <xf numFmtId="44" fontId="12" fillId="5" borderId="4" xfId="0" applyNumberFormat="1" applyFont="1" applyFill="1" applyBorder="1" applyAlignment="1">
      <alignment horizontal="left" vertical="center" wrapText="1"/>
    </xf>
    <xf numFmtId="44" fontId="12" fillId="0" borderId="4" xfId="0" applyNumberFormat="1" applyFont="1" applyFill="1" applyBorder="1" applyAlignment="1">
      <alignment horizontal="left" vertical="center" wrapText="1"/>
    </xf>
    <xf numFmtId="44" fontId="12" fillId="0" borderId="0" xfId="0" applyNumberFormat="1" applyFont="1" applyBorder="1" applyAlignment="1">
      <alignment horizontal="center" vertical="center" wrapText="1"/>
    </xf>
    <xf numFmtId="44" fontId="9" fillId="0" borderId="0" xfId="0" applyNumberFormat="1" applyFont="1" applyBorder="1" applyAlignment="1">
      <alignment horizontal="center" vertical="center"/>
    </xf>
    <xf numFmtId="44" fontId="9" fillId="0" borderId="0" xfId="0" applyNumberFormat="1" applyFont="1" applyAlignment="1">
      <alignment horizontal="center" vertical="center"/>
    </xf>
    <xf numFmtId="0" fontId="11" fillId="0" borderId="0" xfId="0" applyNumberFormat="1" applyFont="1" applyAlignment="1">
      <alignment horizontal="center" vertical="center"/>
    </xf>
    <xf numFmtId="0" fontId="11" fillId="0" borderId="0" xfId="0" applyNumberFormat="1" applyFont="1" applyAlignment="1">
      <alignment horizontal="center" vertical="center"/>
    </xf>
    <xf numFmtId="0" fontId="11" fillId="0" borderId="0" xfId="0" applyNumberFormat="1" applyFont="1" applyAlignment="1">
      <alignment horizontal="center" vertical="center"/>
    </xf>
    <xf numFmtId="0" fontId="11" fillId="0" borderId="0" xfId="0" applyNumberFormat="1" applyFont="1" applyAlignment="1">
      <alignment horizontal="center" vertical="center"/>
    </xf>
    <xf numFmtId="0" fontId="11" fillId="0" borderId="0" xfId="0" applyNumberFormat="1" applyFont="1" applyAlignment="1">
      <alignment horizontal="center" vertical="center"/>
    </xf>
    <xf numFmtId="0" fontId="11" fillId="0" borderId="0" xfId="0" applyNumberFormat="1" applyFont="1" applyAlignment="1">
      <alignment horizontal="center" vertical="center"/>
    </xf>
    <xf numFmtId="2" fontId="0" fillId="0" borderId="0" xfId="0" applyNumberFormat="1" applyAlignment="1">
      <alignment horizontal="right"/>
    </xf>
    <xf numFmtId="1" fontId="25" fillId="0" borderId="0" xfId="0" applyNumberFormat="1" applyFont="1" applyAlignment="1">
      <alignment horizontal="left"/>
    </xf>
    <xf numFmtId="2" fontId="25" fillId="0" borderId="0" xfId="0" applyNumberFormat="1" applyFont="1" applyAlignment="1">
      <alignment horizontal="right"/>
    </xf>
    <xf numFmtId="0" fontId="11" fillId="0" borderId="0" xfId="0" applyNumberFormat="1" applyFont="1" applyAlignment="1">
      <alignment horizontal="center" vertical="center"/>
    </xf>
    <xf numFmtId="0" fontId="11" fillId="0" borderId="0" xfId="0" applyNumberFormat="1" applyFont="1" applyAlignment="1">
      <alignment horizontal="center" vertical="center"/>
    </xf>
    <xf numFmtId="0" fontId="11" fillId="0" borderId="0" xfId="0" applyNumberFormat="1" applyFont="1" applyAlignment="1">
      <alignment horizontal="center" vertical="center" wrapText="1"/>
    </xf>
    <xf numFmtId="0" fontId="26" fillId="0" borderId="0" xfId="0" applyNumberFormat="1" applyFont="1" applyFill="1" applyBorder="1" applyAlignment="1" applyProtection="1">
      <alignment horizontal="center" vertical="center" wrapText="1"/>
    </xf>
    <xf numFmtId="0" fontId="11" fillId="0" borderId="0" xfId="0" applyNumberFormat="1" applyFont="1" applyAlignment="1">
      <alignment horizontal="center" vertical="center"/>
    </xf>
    <xf numFmtId="0" fontId="27" fillId="0" borderId="0" xfId="0" applyNumberFormat="1" applyFont="1" applyFill="1" applyBorder="1" applyAlignment="1" applyProtection="1">
      <alignment vertical="center" wrapText="1"/>
    </xf>
    <xf numFmtId="0" fontId="26" fillId="0" borderId="0" xfId="0" applyNumberFormat="1" applyFont="1" applyFill="1" applyBorder="1" applyAlignment="1" applyProtection="1">
      <alignment horizontal="center" vertical="center" wrapText="1"/>
      <protection locked="0"/>
    </xf>
    <xf numFmtId="49" fontId="26" fillId="0" borderId="0" xfId="0" applyNumberFormat="1" applyFont="1" applyFill="1" applyBorder="1" applyAlignment="1" applyProtection="1">
      <alignment horizontal="center" vertical="center" wrapText="1"/>
    </xf>
    <xf numFmtId="49" fontId="26" fillId="0" borderId="0" xfId="0" applyNumberFormat="1" applyFont="1" applyFill="1" applyBorder="1" applyAlignment="1" applyProtection="1">
      <alignment horizontal="center" vertical="center" wrapText="1"/>
      <protection locked="0"/>
    </xf>
    <xf numFmtId="167" fontId="9" fillId="0" borderId="0" xfId="0" applyNumberFormat="1" applyFont="1" applyBorder="1" applyAlignment="1">
      <alignment horizontal="center" vertical="center" wrapText="1"/>
    </xf>
    <xf numFmtId="0" fontId="11" fillId="0" borderId="0" xfId="0" applyNumberFormat="1" applyFont="1" applyAlignment="1">
      <alignment horizontal="center" vertical="center"/>
    </xf>
    <xf numFmtId="2" fontId="27" fillId="13" borderId="4" xfId="0" applyNumberFormat="1" applyFont="1" applyFill="1" applyBorder="1" applyAlignment="1">
      <alignment horizontal="center" vertical="center" wrapText="1"/>
    </xf>
    <xf numFmtId="2" fontId="27" fillId="13" borderId="4" xfId="0" applyNumberFormat="1" applyFont="1" applyFill="1" applyBorder="1" applyAlignment="1" applyProtection="1">
      <alignment horizontal="center" vertical="center" wrapText="1"/>
    </xf>
    <xf numFmtId="0" fontId="11" fillId="0" borderId="0" xfId="0" applyNumberFormat="1" applyFont="1" applyAlignment="1">
      <alignment horizontal="center" vertical="center"/>
    </xf>
    <xf numFmtId="44" fontId="0" fillId="0" borderId="0" xfId="0" applyNumberFormat="1" applyBorder="1"/>
    <xf numFmtId="44" fontId="10" fillId="0" borderId="0" xfId="0" applyNumberFormat="1" applyFont="1" applyBorder="1" applyAlignment="1">
      <alignment vertical="center"/>
    </xf>
    <xf numFmtId="44" fontId="9" fillId="0" borderId="0" xfId="0" applyNumberFormat="1" applyFont="1" applyBorder="1" applyAlignment="1">
      <alignment vertical="center"/>
    </xf>
    <xf numFmtId="44" fontId="9" fillId="0" borderId="0" xfId="0" applyNumberFormat="1" applyFont="1" applyBorder="1" applyAlignment="1">
      <alignment horizontal="right" vertical="center"/>
    </xf>
    <xf numFmtId="0" fontId="0" fillId="0" borderId="0" xfId="0" applyBorder="1" applyAlignment="1">
      <alignment horizontal="center" vertical="center" wrapText="1"/>
    </xf>
    <xf numFmtId="0" fontId="0" fillId="0" borderId="0" xfId="0" applyBorder="1" applyAlignment="1">
      <alignment horizontal="center"/>
    </xf>
    <xf numFmtId="164" fontId="10" fillId="0" borderId="0" xfId="0" applyNumberFormat="1" applyFont="1" applyBorder="1" applyAlignment="1">
      <alignment horizontal="center" vertical="center" wrapText="1"/>
    </xf>
    <xf numFmtId="167" fontId="10" fillId="0" borderId="0" xfId="0" applyNumberFormat="1" applyFont="1" applyBorder="1" applyAlignment="1">
      <alignment horizontal="center" vertical="center" wrapText="1"/>
    </xf>
    <xf numFmtId="0" fontId="11" fillId="0" borderId="0" xfId="0" applyNumberFormat="1" applyFont="1" applyAlignment="1">
      <alignment horizontal="center" vertical="center"/>
    </xf>
    <xf numFmtId="0" fontId="11" fillId="0" borderId="0" xfId="0" applyNumberFormat="1" applyFont="1" applyAlignment="1">
      <alignment horizontal="center" vertical="center"/>
    </xf>
    <xf numFmtId="0" fontId="33" fillId="0" borderId="0" xfId="0" applyFont="1" applyFill="1" applyBorder="1" applyAlignment="1">
      <alignment vertical="center"/>
    </xf>
    <xf numFmtId="0" fontId="11" fillId="0" borderId="0" xfId="0" applyNumberFormat="1" applyFont="1" applyAlignment="1">
      <alignment horizontal="center" vertical="center"/>
    </xf>
    <xf numFmtId="4" fontId="26" fillId="0" borderId="0" xfId="0" applyNumberFormat="1" applyFont="1" applyFill="1" applyBorder="1" applyAlignment="1" applyProtection="1">
      <alignment horizontal="center" vertical="center" wrapText="1"/>
      <protection hidden="1"/>
    </xf>
    <xf numFmtId="0" fontId="11" fillId="0" borderId="0" xfId="0" applyNumberFormat="1" applyFont="1" applyAlignment="1">
      <alignment horizontal="center" vertical="center"/>
    </xf>
    <xf numFmtId="0" fontId="12" fillId="4" borderId="0" xfId="0" applyNumberFormat="1" applyFont="1" applyFill="1" applyBorder="1" applyAlignment="1">
      <alignment horizontal="center" vertical="center" wrapText="1"/>
    </xf>
    <xf numFmtId="4" fontId="26" fillId="0" borderId="0" xfId="0" applyNumberFormat="1"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4" fontId="26" fillId="0" borderId="0" xfId="0" applyNumberFormat="1" applyFont="1" applyFill="1" applyBorder="1" applyAlignment="1" applyProtection="1">
      <alignment horizontal="center" vertical="center" wrapText="1"/>
      <protection hidden="1"/>
    </xf>
    <xf numFmtId="0" fontId="11" fillId="0" borderId="0" xfId="0" applyNumberFormat="1" applyFont="1" applyAlignment="1">
      <alignment horizontal="center" vertical="center"/>
    </xf>
    <xf numFmtId="0" fontId="12" fillId="4" borderId="0" xfId="0" applyNumberFormat="1" applyFont="1" applyFill="1" applyBorder="1" applyAlignment="1">
      <alignment horizontal="center" vertical="center" wrapText="1"/>
    </xf>
    <xf numFmtId="0" fontId="11" fillId="0" borderId="0" xfId="0" applyNumberFormat="1" applyFont="1" applyAlignment="1">
      <alignment horizontal="center" vertical="center"/>
    </xf>
    <xf numFmtId="0" fontId="12" fillId="4" borderId="0" xfId="0" applyNumberFormat="1" applyFont="1" applyFill="1" applyBorder="1" applyAlignment="1">
      <alignment horizontal="center" vertical="center" wrapText="1"/>
    </xf>
    <xf numFmtId="4" fontId="26" fillId="0" borderId="0" xfId="0" applyNumberFormat="1" applyFont="1" applyFill="1" applyBorder="1" applyAlignment="1" applyProtection="1">
      <alignment horizontal="center" vertical="center" wrapText="1"/>
      <protection hidden="1"/>
    </xf>
    <xf numFmtId="0" fontId="12" fillId="0" borderId="0" xfId="0" applyFont="1" applyBorder="1" applyAlignment="1">
      <alignment horizontal="center" vertical="center"/>
    </xf>
    <xf numFmtId="0" fontId="11" fillId="0" borderId="0" xfId="0" applyFont="1" applyBorder="1" applyAlignment="1">
      <alignment horizontal="left" vertical="center" wrapText="1"/>
    </xf>
    <xf numFmtId="0" fontId="11" fillId="0" borderId="0" xfId="0" applyFont="1" applyBorder="1" applyAlignment="1">
      <alignment horizontal="center" vertical="center" wrapText="1"/>
    </xf>
    <xf numFmtId="0" fontId="0" fillId="0" borderId="0" xfId="0"/>
    <xf numFmtId="0" fontId="12" fillId="8" borderId="4" xfId="0" applyFont="1" applyFill="1" applyBorder="1" applyAlignment="1">
      <alignment vertical="center" wrapText="1"/>
    </xf>
    <xf numFmtId="10" fontId="12" fillId="8" borderId="4" xfId="0" applyNumberFormat="1" applyFont="1" applyFill="1" applyBorder="1" applyAlignment="1">
      <alignment vertical="center" wrapText="1"/>
    </xf>
    <xf numFmtId="0" fontId="7" fillId="12" borderId="4" xfId="0" applyFont="1" applyFill="1" applyBorder="1" applyAlignment="1">
      <alignment horizontal="center" vertical="center" wrapText="1"/>
    </xf>
    <xf numFmtId="0" fontId="7" fillId="12" borderId="4" xfId="0" applyFont="1" applyFill="1" applyBorder="1" applyAlignment="1">
      <alignment vertical="center" wrapText="1"/>
    </xf>
    <xf numFmtId="167" fontId="7" fillId="12" borderId="4" xfId="0" applyNumberFormat="1" applyFont="1" applyFill="1" applyBorder="1" applyAlignment="1">
      <alignment horizontal="right" vertical="center"/>
    </xf>
    <xf numFmtId="44" fontId="12" fillId="8" borderId="4" xfId="0" applyNumberFormat="1" applyFont="1" applyFill="1" applyBorder="1" applyAlignment="1">
      <alignment vertical="center" wrapText="1"/>
    </xf>
    <xf numFmtId="44" fontId="7" fillId="12" borderId="4" xfId="0" applyNumberFormat="1" applyFont="1" applyFill="1" applyBorder="1" applyAlignment="1">
      <alignment vertical="center" wrapText="1"/>
    </xf>
    <xf numFmtId="167" fontId="34" fillId="12" borderId="0" xfId="0" applyNumberFormat="1" applyFont="1" applyFill="1" applyBorder="1" applyAlignment="1">
      <alignment horizontal="left" vertical="center" wrapText="1"/>
    </xf>
    <xf numFmtId="1" fontId="34" fillId="12" borderId="0" xfId="0" applyNumberFormat="1" applyFont="1" applyFill="1" applyBorder="1" applyAlignment="1">
      <alignment horizontal="center" vertical="center"/>
    </xf>
    <xf numFmtId="1" fontId="34" fillId="12" borderId="0" xfId="0" applyNumberFormat="1" applyFont="1" applyFill="1" applyBorder="1" applyAlignment="1">
      <alignment vertical="center"/>
    </xf>
    <xf numFmtId="0" fontId="35" fillId="12" borderId="0" xfId="0" applyFont="1" applyFill="1" applyAlignment="1">
      <alignment vertical="center"/>
    </xf>
    <xf numFmtId="0" fontId="12" fillId="0" borderId="0" xfId="0" applyFont="1" applyBorder="1" applyAlignment="1">
      <alignment horizontal="center" vertical="center"/>
    </xf>
    <xf numFmtId="4" fontId="26" fillId="0" borderId="0" xfId="0" applyNumberFormat="1" applyFont="1" applyFill="1" applyBorder="1" applyAlignment="1" applyProtection="1">
      <alignment horizontal="center" vertical="center" wrapText="1"/>
      <protection hidden="1"/>
    </xf>
    <xf numFmtId="167" fontId="11" fillId="0" borderId="0" xfId="0" applyNumberFormat="1" applyFont="1" applyFill="1" applyBorder="1" applyAlignment="1">
      <alignment horizontal="center" vertical="center"/>
    </xf>
    <xf numFmtId="44" fontId="12" fillId="8" borderId="4" xfId="0" applyNumberFormat="1" applyFont="1" applyFill="1" applyBorder="1" applyAlignment="1">
      <alignment horizontal="right" vertical="center"/>
    </xf>
    <xf numFmtId="44" fontId="12" fillId="0" borderId="0" xfId="0" applyNumberFormat="1" applyFont="1" applyBorder="1" applyAlignment="1">
      <alignment horizontal="right" vertical="center"/>
    </xf>
    <xf numFmtId="44" fontId="11" fillId="0" borderId="0" xfId="0" applyNumberFormat="1" applyFont="1" applyBorder="1" applyAlignment="1">
      <alignment horizontal="right" vertical="center"/>
    </xf>
    <xf numFmtId="44" fontId="11" fillId="0" borderId="4" xfId="0" applyNumberFormat="1" applyFont="1" applyFill="1" applyBorder="1" applyAlignment="1">
      <alignment horizontal="right" vertical="center"/>
    </xf>
    <xf numFmtId="44" fontId="12" fillId="5" borderId="4" xfId="0" applyNumberFormat="1" applyFont="1" applyFill="1" applyBorder="1" applyAlignment="1">
      <alignment horizontal="center" vertical="center"/>
    </xf>
    <xf numFmtId="44" fontId="12" fillId="0" borderId="4" xfId="0" applyNumberFormat="1" applyFont="1" applyBorder="1" applyAlignment="1">
      <alignment horizontal="center" vertical="center"/>
    </xf>
    <xf numFmtId="44" fontId="12" fillId="9" borderId="4" xfId="0" applyNumberFormat="1" applyFont="1" applyFill="1" applyBorder="1" applyAlignment="1">
      <alignment horizontal="center" vertical="center"/>
    </xf>
    <xf numFmtId="44" fontId="11" fillId="0" borderId="4" xfId="0" applyNumberFormat="1" applyFont="1" applyBorder="1" applyAlignment="1">
      <alignment horizontal="right" vertical="center"/>
    </xf>
    <xf numFmtId="44" fontId="9" fillId="0" borderId="0" xfId="0" applyNumberFormat="1" applyFont="1" applyAlignment="1">
      <alignment horizontal="right" vertical="center"/>
    </xf>
    <xf numFmtId="0" fontId="18" fillId="0" borderId="0" xfId="0" applyFont="1" applyBorder="1" applyAlignment="1">
      <alignment vertical="center"/>
    </xf>
    <xf numFmtId="0" fontId="10" fillId="0" borderId="0" xfId="0" applyFont="1" applyBorder="1" applyAlignment="1">
      <alignment vertical="center" wrapText="1"/>
    </xf>
    <xf numFmtId="0" fontId="10" fillId="0" borderId="0" xfId="0" applyFont="1" applyBorder="1" applyAlignment="1">
      <alignment vertical="center"/>
    </xf>
    <xf numFmtId="0" fontId="9" fillId="0" borderId="0" xfId="0" applyFont="1" applyBorder="1" applyAlignment="1">
      <alignment vertical="center" wrapText="1"/>
    </xf>
    <xf numFmtId="0" fontId="36" fillId="0" borderId="0" xfId="0" applyFont="1" applyFill="1" applyBorder="1" applyAlignment="1">
      <alignment horizontal="center" vertical="center" wrapText="1"/>
    </xf>
    <xf numFmtId="2" fontId="31" fillId="0" borderId="3" xfId="0" applyNumberFormat="1" applyFont="1" applyFill="1" applyBorder="1" applyAlignment="1">
      <alignment horizontal="center" vertical="center" wrapText="1"/>
    </xf>
    <xf numFmtId="0" fontId="11" fillId="0" borderId="0" xfId="0" applyNumberFormat="1" applyFont="1" applyAlignment="1">
      <alignment horizontal="center" vertical="center"/>
    </xf>
    <xf numFmtId="0" fontId="12" fillId="4" borderId="0" xfId="0" applyNumberFormat="1" applyFont="1" applyFill="1" applyBorder="1" applyAlignment="1">
      <alignment horizontal="center" vertical="center" wrapText="1"/>
    </xf>
    <xf numFmtId="0" fontId="11" fillId="5" borderId="0" xfId="0" applyNumberFormat="1" applyFont="1" applyFill="1" applyAlignment="1">
      <alignment horizontal="left" vertical="center" wrapText="1"/>
    </xf>
    <xf numFmtId="0" fontId="9" fillId="0" borderId="0" xfId="0" applyFont="1" applyAlignment="1">
      <alignment vertical="center"/>
    </xf>
    <xf numFmtId="0" fontId="12" fillId="0" borderId="0" xfId="0" applyFont="1" applyBorder="1" applyAlignment="1">
      <alignment horizontal="center" vertical="center" wrapText="1"/>
    </xf>
    <xf numFmtId="0" fontId="12" fillId="0" borderId="0" xfId="0" applyFont="1" applyBorder="1" applyAlignment="1">
      <alignment horizontal="left" vertical="center" wrapText="1"/>
    </xf>
    <xf numFmtId="2" fontId="12" fillId="0" borderId="0" xfId="0" applyNumberFormat="1" applyFont="1" applyFill="1" applyBorder="1" applyAlignment="1">
      <alignment horizontal="center" vertical="center"/>
    </xf>
    <xf numFmtId="0" fontId="12" fillId="0" borderId="0" xfId="0" applyFont="1" applyBorder="1" applyAlignment="1">
      <alignment horizontal="center" vertical="center"/>
    </xf>
    <xf numFmtId="44" fontId="12" fillId="0" borderId="0" xfId="0" applyNumberFormat="1" applyFont="1" applyBorder="1" applyAlignment="1">
      <alignment horizontal="center" vertical="center"/>
    </xf>
    <xf numFmtId="167" fontId="12" fillId="0" borderId="0" xfId="0" applyNumberFormat="1" applyFont="1" applyBorder="1" applyAlignment="1">
      <alignment horizontal="center" vertical="center"/>
    </xf>
    <xf numFmtId="44" fontId="12" fillId="0" borderId="0" xfId="0" applyNumberFormat="1" applyFont="1" applyBorder="1" applyAlignment="1">
      <alignment horizontal="right" vertical="center"/>
    </xf>
    <xf numFmtId="165" fontId="12" fillId="0" borderId="0" xfId="0" applyNumberFormat="1" applyFont="1" applyBorder="1" applyAlignment="1">
      <alignment horizontal="center" vertical="center"/>
    </xf>
    <xf numFmtId="44" fontId="11" fillId="0" borderId="0" xfId="0" applyNumberFormat="1" applyFont="1" applyBorder="1" applyAlignment="1">
      <alignment horizontal="center" vertical="center"/>
    </xf>
    <xf numFmtId="167" fontId="11" fillId="0" borderId="0" xfId="0" applyNumberFormat="1" applyFont="1" applyBorder="1" applyAlignment="1">
      <alignment horizontal="center" vertical="center"/>
    </xf>
    <xf numFmtId="44" fontId="11" fillId="0" borderId="0" xfId="0" applyNumberFormat="1" applyFont="1" applyBorder="1" applyAlignment="1">
      <alignment horizontal="right" vertical="center"/>
    </xf>
    <xf numFmtId="0" fontId="12" fillId="0" borderId="0" xfId="0" applyFont="1" applyBorder="1" applyAlignment="1">
      <alignment vertical="center" wrapText="1"/>
    </xf>
    <xf numFmtId="0" fontId="9" fillId="0" borderId="0" xfId="0" applyFont="1" applyBorder="1" applyAlignment="1">
      <alignment vertical="center"/>
    </xf>
    <xf numFmtId="0" fontId="11" fillId="0" borderId="0" xfId="0" applyFont="1" applyBorder="1" applyAlignment="1">
      <alignment horizontal="left" vertical="center" wrapText="1"/>
    </xf>
    <xf numFmtId="0" fontId="0" fillId="0" borderId="0" xfId="0"/>
    <xf numFmtId="0" fontId="7" fillId="14" borderId="36" xfId="0" applyFont="1" applyFill="1" applyBorder="1" applyAlignment="1">
      <alignment vertical="center"/>
    </xf>
    <xf numFmtId="0" fontId="7" fillId="14" borderId="0" xfId="0" applyFont="1" applyFill="1" applyBorder="1" applyAlignment="1">
      <alignment vertical="center"/>
    </xf>
    <xf numFmtId="10" fontId="4" fillId="0" borderId="9" xfId="0" applyNumberFormat="1" applyFont="1" applyFill="1" applyBorder="1" applyAlignment="1">
      <alignment horizontal="center" vertical="center"/>
    </xf>
    <xf numFmtId="0" fontId="4" fillId="0" borderId="8" xfId="0" applyFont="1" applyBorder="1" applyAlignment="1">
      <alignment horizontal="center" vertical="center"/>
    </xf>
    <xf numFmtId="0" fontId="4" fillId="0" borderId="16" xfId="0" applyFont="1" applyBorder="1" applyAlignment="1">
      <alignment horizontal="center" vertical="center"/>
    </xf>
    <xf numFmtId="10" fontId="8" fillId="0" borderId="16" xfId="0" applyNumberFormat="1" applyFont="1" applyBorder="1" applyAlignment="1">
      <alignment horizontal="center" vertical="center"/>
    </xf>
    <xf numFmtId="167" fontId="8" fillId="0" borderId="8" xfId="0" applyNumberFormat="1" applyFont="1" applyBorder="1" applyAlignment="1">
      <alignment horizontal="center" vertical="center"/>
    </xf>
    <xf numFmtId="0" fontId="4" fillId="0" borderId="14" xfId="0" applyFont="1" applyBorder="1" applyAlignment="1">
      <alignment horizontal="center" vertical="center"/>
    </xf>
    <xf numFmtId="0" fontId="4" fillId="0" borderId="6" xfId="0" applyFont="1" applyBorder="1" applyAlignment="1">
      <alignment horizontal="center" vertical="center"/>
    </xf>
    <xf numFmtId="10" fontId="8" fillId="0" borderId="6" xfId="0" applyNumberFormat="1" applyFont="1" applyBorder="1" applyAlignment="1">
      <alignment horizontal="center" vertical="center"/>
    </xf>
    <xf numFmtId="10" fontId="8" fillId="0" borderId="14" xfId="0" applyNumberFormat="1" applyFont="1" applyBorder="1" applyAlignment="1">
      <alignment horizontal="center" vertical="center"/>
    </xf>
    <xf numFmtId="167" fontId="0" fillId="0" borderId="0" xfId="0" applyNumberFormat="1"/>
    <xf numFmtId="10" fontId="6" fillId="0" borderId="0" xfId="0" applyNumberFormat="1" applyFont="1" applyBorder="1"/>
    <xf numFmtId="0" fontId="0" fillId="0" borderId="0" xfId="0" applyBorder="1"/>
    <xf numFmtId="0" fontId="11" fillId="0" borderId="0" xfId="0" applyNumberFormat="1" applyFont="1" applyAlignment="1">
      <alignment horizontal="center" vertical="center"/>
    </xf>
    <xf numFmtId="0" fontId="12" fillId="4" borderId="0" xfId="0" applyNumberFormat="1" applyFont="1" applyFill="1" applyBorder="1" applyAlignment="1">
      <alignment horizontal="center" vertical="center" wrapText="1"/>
    </xf>
    <xf numFmtId="168" fontId="11" fillId="5" borderId="0" xfId="0" applyNumberFormat="1" applyFont="1" applyFill="1" applyAlignment="1">
      <alignment horizontal="center" vertical="center"/>
    </xf>
    <xf numFmtId="164" fontId="11" fillId="5" borderId="0" xfId="0" applyNumberFormat="1" applyFont="1" applyFill="1" applyAlignment="1">
      <alignment horizontal="center" vertical="center"/>
    </xf>
    <xf numFmtId="164" fontId="11" fillId="5" borderId="0" xfId="1" applyFont="1" applyFill="1" applyAlignment="1">
      <alignment vertical="center"/>
    </xf>
    <xf numFmtId="0" fontId="11" fillId="0" borderId="4" xfId="0" applyFont="1" applyBorder="1" applyAlignment="1">
      <alignment horizontal="center" vertical="center" wrapText="1"/>
    </xf>
    <xf numFmtId="0" fontId="11" fillId="0" borderId="4" xfId="0" applyFont="1" applyBorder="1" applyAlignment="1">
      <alignment horizontal="left" vertical="center" wrapText="1"/>
    </xf>
    <xf numFmtId="3" fontId="11" fillId="0" borderId="4" xfId="0" applyNumberFormat="1" applyFont="1" applyFill="1" applyBorder="1" applyAlignment="1">
      <alignment horizontal="center" vertical="center" wrapText="1"/>
    </xf>
    <xf numFmtId="167" fontId="8" fillId="9" borderId="37" xfId="0" applyNumberFormat="1" applyFont="1" applyFill="1" applyBorder="1" applyAlignment="1">
      <alignment horizontal="center" vertical="center"/>
    </xf>
    <xf numFmtId="10" fontId="8" fillId="0" borderId="38" xfId="0" applyNumberFormat="1" applyFont="1" applyBorder="1" applyAlignment="1">
      <alignment horizontal="center" vertical="center"/>
    </xf>
    <xf numFmtId="0" fontId="11" fillId="0" borderId="0" xfId="0" applyNumberFormat="1" applyFont="1" applyAlignment="1">
      <alignment horizontal="center" vertical="center"/>
    </xf>
    <xf numFmtId="0" fontId="12" fillId="4" borderId="0" xfId="0" applyNumberFormat="1" applyFont="1" applyFill="1" applyBorder="1" applyAlignment="1">
      <alignment horizontal="center" vertical="center" wrapText="1"/>
    </xf>
    <xf numFmtId="4" fontId="26" fillId="0" borderId="0" xfId="0" applyNumberFormat="1" applyFont="1" applyFill="1" applyBorder="1" applyAlignment="1" applyProtection="1">
      <alignment horizontal="center" vertical="center" wrapText="1"/>
      <protection hidden="1"/>
    </xf>
    <xf numFmtId="0" fontId="11" fillId="0" borderId="0" xfId="0" applyFont="1" applyBorder="1" applyAlignment="1">
      <alignment vertical="center"/>
    </xf>
    <xf numFmtId="49" fontId="12" fillId="0" borderId="0" xfId="0" applyNumberFormat="1" applyFont="1" applyFill="1" applyBorder="1"/>
    <xf numFmtId="0" fontId="11" fillId="0" borderId="0" xfId="0" applyFont="1" applyFill="1" applyBorder="1" applyAlignment="1">
      <alignment wrapText="1"/>
    </xf>
    <xf numFmtId="49" fontId="11" fillId="0" borderId="0" xfId="0" applyNumberFormat="1" applyFont="1" applyFill="1" applyBorder="1" applyAlignment="1">
      <alignment vertical="center"/>
    </xf>
    <xf numFmtId="0" fontId="11" fillId="0" borderId="0" xfId="0" applyFont="1" applyFill="1" applyBorder="1" applyAlignment="1">
      <alignment vertical="center" wrapText="1"/>
    </xf>
    <xf numFmtId="0" fontId="11" fillId="0" borderId="0" xfId="0" applyNumberFormat="1" applyFont="1" applyAlignment="1">
      <alignment horizontal="center" vertical="center"/>
    </xf>
    <xf numFmtId="0" fontId="12" fillId="4" borderId="0" xfId="0" applyNumberFormat="1" applyFont="1" applyFill="1" applyBorder="1" applyAlignment="1">
      <alignment horizontal="center" vertical="center" wrapText="1"/>
    </xf>
    <xf numFmtId="0" fontId="12" fillId="0" borderId="0" xfId="0" applyFont="1" applyBorder="1" applyAlignment="1">
      <alignment horizontal="center" vertical="center"/>
    </xf>
    <xf numFmtId="0" fontId="11" fillId="0" borderId="0" xfId="0" applyNumberFormat="1" applyFont="1" applyAlignment="1">
      <alignment horizontal="center" vertical="center"/>
    </xf>
    <xf numFmtId="0" fontId="11" fillId="0" borderId="0" xfId="0" applyFont="1" applyBorder="1" applyAlignment="1">
      <alignment horizontal="center" vertical="center" wrapText="1"/>
    </xf>
    <xf numFmtId="0" fontId="11" fillId="0" borderId="0" xfId="0" applyNumberFormat="1" applyFont="1" applyAlignment="1">
      <alignment horizontal="center" vertical="center"/>
    </xf>
    <xf numFmtId="0" fontId="12" fillId="4"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xf>
    <xf numFmtId="166" fontId="11" fillId="0" borderId="0" xfId="0" applyNumberFormat="1" applyFont="1" applyFill="1" applyBorder="1" applyAlignment="1">
      <alignment horizontal="center" vertical="center" wrapText="1"/>
    </xf>
    <xf numFmtId="0" fontId="11" fillId="0" borderId="0" xfId="0" applyFont="1" applyFill="1" applyBorder="1" applyAlignment="1">
      <alignment horizontal="center"/>
    </xf>
    <xf numFmtId="166" fontId="12" fillId="0" borderId="0" xfId="0" applyNumberFormat="1" applyFont="1" applyFill="1" applyBorder="1" applyAlignment="1">
      <alignment horizontal="center" vertical="center" wrapText="1"/>
    </xf>
    <xf numFmtId="0" fontId="11" fillId="0" borderId="0" xfId="0" applyFont="1" applyFill="1" applyBorder="1" applyAlignment="1">
      <alignment horizontal="center" vertical="center"/>
    </xf>
    <xf numFmtId="0" fontId="11" fillId="0" borderId="0" xfId="0" applyFont="1" applyBorder="1" applyAlignment="1">
      <alignment horizontal="center"/>
    </xf>
    <xf numFmtId="164" fontId="12" fillId="0" borderId="0" xfId="0" applyNumberFormat="1" applyFont="1" applyBorder="1" applyAlignment="1">
      <alignment horizontal="center" vertical="center" wrapText="1"/>
    </xf>
    <xf numFmtId="0" fontId="12" fillId="0" borderId="0" xfId="0" applyFont="1" applyBorder="1" applyAlignment="1">
      <alignment horizontal="center" vertical="center"/>
    </xf>
    <xf numFmtId="0" fontId="11" fillId="0" borderId="0" xfId="0" applyFont="1" applyBorder="1" applyAlignment="1">
      <alignment horizontal="left" vertical="center" wrapText="1"/>
    </xf>
    <xf numFmtId="0" fontId="15" fillId="0" borderId="0" xfId="0" applyFont="1" applyBorder="1" applyAlignment="1">
      <alignment horizontal="center" vertical="center"/>
    </xf>
    <xf numFmtId="0" fontId="12" fillId="0" borderId="0" xfId="0" applyFont="1" applyBorder="1" applyAlignment="1">
      <alignment horizontal="justify" vertical="center" wrapText="1"/>
    </xf>
    <xf numFmtId="44" fontId="10" fillId="0" borderId="0" xfId="0" applyNumberFormat="1" applyFont="1" applyBorder="1" applyAlignment="1">
      <alignment horizontal="center" vertical="center"/>
    </xf>
    <xf numFmtId="44" fontId="0" fillId="0" borderId="0" xfId="0" applyNumberFormat="1" applyBorder="1" applyAlignment="1">
      <alignment horizontal="center"/>
    </xf>
    <xf numFmtId="44" fontId="10" fillId="0" borderId="0" xfId="0" applyNumberFormat="1" applyFont="1" applyBorder="1" applyAlignment="1">
      <alignment horizontal="center" vertical="center" wrapText="1"/>
    </xf>
    <xf numFmtId="1" fontId="0" fillId="0" borderId="0" xfId="0" applyNumberFormat="1" applyBorder="1" applyAlignment="1">
      <alignment horizontal="center"/>
    </xf>
    <xf numFmtId="44" fontId="9" fillId="0" borderId="0" xfId="0" applyNumberFormat="1" applyFont="1" applyBorder="1" applyAlignment="1">
      <alignment horizontal="left" vertical="center" wrapText="1"/>
    </xf>
    <xf numFmtId="0" fontId="9" fillId="0" borderId="0" xfId="0" applyFont="1" applyFill="1" applyBorder="1" applyAlignment="1">
      <alignment horizontal="center" vertical="center"/>
    </xf>
    <xf numFmtId="0" fontId="9" fillId="16" borderId="0" xfId="0" applyFont="1" applyFill="1" applyBorder="1" applyAlignment="1">
      <alignment horizontal="center" vertical="center"/>
    </xf>
    <xf numFmtId="0" fontId="11" fillId="0" borderId="4" xfId="0" applyFont="1" applyFill="1" applyBorder="1" applyAlignment="1">
      <alignment horizontal="center" vertical="center"/>
    </xf>
    <xf numFmtId="165" fontId="11" fillId="0" borderId="4" xfId="0" applyNumberFormat="1" applyFont="1" applyFill="1" applyBorder="1" applyAlignment="1">
      <alignment horizontal="center" vertical="center" wrapText="1"/>
    </xf>
    <xf numFmtId="0" fontId="11" fillId="0" borderId="4" xfId="0" applyFont="1" applyFill="1" applyBorder="1" applyAlignment="1">
      <alignment horizontal="left" vertical="center" wrapText="1"/>
    </xf>
    <xf numFmtId="17" fontId="11" fillId="0" borderId="0" xfId="0" applyNumberFormat="1" applyFont="1" applyFill="1" applyBorder="1" applyAlignment="1">
      <alignment vertical="center" wrapText="1"/>
    </xf>
    <xf numFmtId="4" fontId="26" fillId="0" borderId="0" xfId="0" applyNumberFormat="1" applyFont="1" applyFill="1" applyBorder="1" applyAlignment="1" applyProtection="1">
      <alignment horizontal="center" vertical="center" wrapText="1"/>
      <protection hidden="1"/>
    </xf>
    <xf numFmtId="0" fontId="11" fillId="0" borderId="0" xfId="0" applyNumberFormat="1" applyFont="1" applyAlignment="1">
      <alignment horizontal="center" vertical="center"/>
    </xf>
    <xf numFmtId="10" fontId="0" fillId="0" borderId="0" xfId="0" applyNumberFormat="1"/>
    <xf numFmtId="44" fontId="9" fillId="0" borderId="0" xfId="0" applyNumberFormat="1" applyFont="1" applyAlignment="1">
      <alignment vertical="center"/>
    </xf>
    <xf numFmtId="44" fontId="9" fillId="0" borderId="0" xfId="0" applyNumberFormat="1" applyFont="1" applyBorder="1" applyAlignment="1">
      <alignment vertical="center"/>
    </xf>
    <xf numFmtId="44" fontId="0" fillId="0" borderId="0" xfId="0" applyNumberFormat="1"/>
    <xf numFmtId="0" fontId="11" fillId="0" borderId="0" xfId="0" applyNumberFormat="1" applyFont="1" applyAlignment="1">
      <alignment horizontal="center" vertical="center"/>
    </xf>
    <xf numFmtId="0" fontId="11" fillId="0" borderId="0" xfId="0" applyFont="1" applyBorder="1" applyAlignment="1">
      <alignment horizontal="center" vertical="center" wrapText="1"/>
    </xf>
    <xf numFmtId="4" fontId="26" fillId="0" borderId="0" xfId="0" applyNumberFormat="1" applyFont="1" applyFill="1" applyBorder="1" applyAlignment="1" applyProtection="1">
      <alignment horizontal="center" vertical="center" wrapText="1"/>
      <protection hidden="1"/>
    </xf>
    <xf numFmtId="0" fontId="11" fillId="0" borderId="0" xfId="0" applyNumberFormat="1" applyFont="1" applyAlignment="1">
      <alignment horizontal="center" vertical="center"/>
    </xf>
    <xf numFmtId="17" fontId="11" fillId="0" borderId="0" xfId="0" applyNumberFormat="1" applyFont="1" applyFill="1" applyBorder="1" applyAlignment="1">
      <alignment horizontal="left" vertical="center"/>
    </xf>
    <xf numFmtId="167" fontId="11" fillId="0" borderId="0" xfId="0" applyNumberFormat="1" applyFont="1" applyBorder="1" applyAlignment="1">
      <alignment horizontal="center" vertical="center" wrapText="1"/>
    </xf>
    <xf numFmtId="167" fontId="12" fillId="0" borderId="0" xfId="0" applyNumberFormat="1" applyFont="1" applyFill="1" applyBorder="1" applyAlignment="1">
      <alignment horizontal="center" vertical="center" wrapText="1"/>
    </xf>
    <xf numFmtId="0" fontId="12" fillId="0" borderId="0" xfId="0" applyNumberFormat="1" applyFont="1" applyFill="1" applyBorder="1" applyAlignment="1">
      <alignment horizontal="center" vertical="center" wrapText="1"/>
    </xf>
    <xf numFmtId="0" fontId="11" fillId="0" borderId="0" xfId="0" applyFont="1" applyFill="1" applyAlignment="1">
      <alignment horizontal="center" vertical="center" wrapText="1"/>
    </xf>
    <xf numFmtId="0" fontId="11" fillId="0" borderId="0" xfId="0" applyFont="1" applyFill="1" applyBorder="1" applyAlignment="1">
      <alignment horizontal="center" wrapText="1"/>
    </xf>
    <xf numFmtId="0" fontId="11" fillId="0" borderId="0" xfId="0" applyFont="1" applyAlignment="1">
      <alignment horizontal="center" wrapText="1"/>
    </xf>
    <xf numFmtId="0" fontId="12" fillId="13" borderId="0" xfId="0" applyFont="1" applyFill="1" applyBorder="1" applyAlignment="1">
      <alignment horizontal="center" vertical="center" wrapText="1"/>
    </xf>
    <xf numFmtId="0" fontId="0" fillId="16" borderId="0" xfId="0" applyFill="1" applyAlignment="1">
      <alignment vertical="center"/>
    </xf>
    <xf numFmtId="0" fontId="0" fillId="13" borderId="0" xfId="0" applyFill="1" applyAlignment="1">
      <alignment horizontal="center" vertical="center"/>
    </xf>
    <xf numFmtId="4" fontId="26" fillId="13" borderId="5" xfId="0" applyNumberFormat="1" applyFont="1" applyFill="1" applyBorder="1" applyAlignment="1" applyProtection="1">
      <alignment horizontal="center" vertical="center" wrapText="1"/>
      <protection hidden="1"/>
    </xf>
    <xf numFmtId="4" fontId="26" fillId="13" borderId="9" xfId="0" applyNumberFormat="1" applyFont="1" applyFill="1" applyBorder="1" applyAlignment="1" applyProtection="1">
      <alignment horizontal="center" vertical="center" wrapText="1"/>
      <protection hidden="1"/>
    </xf>
    <xf numFmtId="0" fontId="0" fillId="13" borderId="0" xfId="0" applyFill="1" applyAlignment="1">
      <alignment horizontal="center" vertical="center" wrapText="1"/>
    </xf>
    <xf numFmtId="2" fontId="0" fillId="13" borderId="0" xfId="0" applyNumberFormat="1" applyFont="1" applyFill="1" applyAlignment="1">
      <alignment horizontal="center" vertical="center"/>
    </xf>
    <xf numFmtId="0" fontId="11" fillId="0" borderId="0" xfId="0" applyNumberFormat="1" applyFont="1" applyAlignment="1">
      <alignment horizontal="center" vertical="center"/>
    </xf>
    <xf numFmtId="0" fontId="11" fillId="5" borderId="0" xfId="0" applyNumberFormat="1" applyFont="1" applyFill="1" applyAlignment="1">
      <alignment horizontal="center" vertical="center"/>
    </xf>
    <xf numFmtId="0" fontId="12" fillId="4" borderId="0" xfId="0" applyNumberFormat="1" applyFont="1" applyFill="1" applyBorder="1" applyAlignment="1">
      <alignment horizontal="center" vertical="center" wrapText="1"/>
    </xf>
    <xf numFmtId="0" fontId="0" fillId="0" borderId="0" xfId="0" applyFill="1" applyAlignment="1">
      <alignment vertical="center" wrapText="1"/>
    </xf>
    <xf numFmtId="0" fontId="31" fillId="5" borderId="3" xfId="0" applyFont="1" applyFill="1" applyBorder="1" applyAlignment="1">
      <alignment horizontal="center" vertical="center" wrapText="1"/>
    </xf>
    <xf numFmtId="2" fontId="31" fillId="5" borderId="3" xfId="0" applyNumberFormat="1" applyFont="1" applyFill="1" applyBorder="1" applyAlignment="1">
      <alignment horizontal="center" vertical="center" wrapText="1"/>
    </xf>
    <xf numFmtId="0" fontId="0" fillId="0" borderId="0" xfId="0" applyFill="1" applyBorder="1" applyAlignment="1">
      <alignment vertical="center" wrapText="1"/>
    </xf>
    <xf numFmtId="0" fontId="11" fillId="0" borderId="0" xfId="0" applyNumberFormat="1" applyFont="1" applyAlignment="1">
      <alignment horizontal="center" vertical="center"/>
    </xf>
    <xf numFmtId="0" fontId="11" fillId="5" borderId="0" xfId="0" applyNumberFormat="1" applyFont="1" applyFill="1" applyAlignment="1">
      <alignment horizontal="center" vertical="center"/>
    </xf>
    <xf numFmtId="0" fontId="12" fillId="4" borderId="0" xfId="0" applyNumberFormat="1" applyFont="1" applyFill="1" applyBorder="1" applyAlignment="1">
      <alignment horizontal="center" vertical="center" wrapText="1"/>
    </xf>
    <xf numFmtId="4" fontId="26" fillId="0" borderId="0" xfId="0" applyNumberFormat="1" applyFont="1" applyFill="1" applyBorder="1" applyAlignment="1" applyProtection="1">
      <alignment horizontal="center" vertical="center" wrapText="1"/>
      <protection hidden="1"/>
    </xf>
    <xf numFmtId="0" fontId="11" fillId="0" borderId="0" xfId="0" applyNumberFormat="1" applyFont="1" applyFill="1" applyAlignment="1">
      <alignment horizontal="left" vertical="center" wrapText="1"/>
    </xf>
    <xf numFmtId="0" fontId="11" fillId="0" borderId="0" xfId="0" applyNumberFormat="1" applyFont="1" applyFill="1" applyAlignment="1">
      <alignment horizontal="center" vertical="center"/>
    </xf>
    <xf numFmtId="164" fontId="11" fillId="0" borderId="0" xfId="1" applyFont="1" applyFill="1" applyAlignment="1">
      <alignment vertical="center"/>
    </xf>
    <xf numFmtId="164" fontId="11" fillId="0" borderId="0" xfId="0" applyNumberFormat="1" applyFont="1" applyFill="1" applyAlignment="1">
      <alignment horizontal="left" vertical="center" wrapText="1"/>
    </xf>
    <xf numFmtId="0" fontId="11" fillId="0" borderId="0" xfId="0" applyNumberFormat="1" applyFont="1" applyAlignment="1">
      <alignment horizontal="center" vertical="center"/>
    </xf>
    <xf numFmtId="0" fontId="12" fillId="4" borderId="0" xfId="0" applyNumberFormat="1" applyFont="1" applyFill="1" applyBorder="1" applyAlignment="1">
      <alignment horizontal="center" vertical="center" wrapText="1"/>
    </xf>
    <xf numFmtId="0" fontId="11" fillId="0" borderId="0" xfId="0" applyFont="1" applyFill="1" applyBorder="1" applyAlignment="1">
      <alignment horizontal="center" vertical="center" wrapText="1"/>
    </xf>
    <xf numFmtId="164" fontId="11" fillId="0" borderId="0" xfId="1" applyFont="1" applyAlignment="1">
      <alignment vertical="center"/>
    </xf>
    <xf numFmtId="0" fontId="12" fillId="4" borderId="0" xfId="0" applyNumberFormat="1" applyFont="1" applyFill="1" applyBorder="1" applyAlignment="1">
      <alignment horizontal="center" vertical="center" wrapText="1"/>
    </xf>
    <xf numFmtId="0" fontId="11" fillId="0" borderId="0" xfId="0" applyFont="1" applyFill="1" applyBorder="1" applyAlignment="1">
      <alignment vertical="center"/>
    </xf>
    <xf numFmtId="164" fontId="11" fillId="0" borderId="0" xfId="0" applyNumberFormat="1" applyFont="1" applyAlignment="1">
      <alignment horizontal="center" vertical="center"/>
    </xf>
    <xf numFmtId="0" fontId="11" fillId="0" borderId="0" xfId="0" applyNumberFormat="1" applyFont="1" applyAlignment="1">
      <alignment horizontal="center" vertical="center"/>
    </xf>
    <xf numFmtId="0" fontId="11" fillId="0" borderId="0" xfId="0" applyNumberFormat="1" applyFont="1" applyAlignment="1">
      <alignment horizontal="left" vertical="center" wrapText="1"/>
    </xf>
    <xf numFmtId="0" fontId="11" fillId="0" borderId="0" xfId="0" applyFont="1" applyAlignment="1">
      <alignment horizontal="center" vertical="center"/>
    </xf>
    <xf numFmtId="168" fontId="11" fillId="0" borderId="0" xfId="0" applyNumberFormat="1" applyFont="1" applyFill="1" applyAlignment="1">
      <alignment horizontal="center" vertical="center"/>
    </xf>
    <xf numFmtId="0" fontId="12" fillId="4" borderId="0" xfId="0" applyNumberFormat="1" applyFont="1" applyFill="1" applyBorder="1" applyAlignment="1">
      <alignment horizontal="left" vertical="center" wrapText="1"/>
    </xf>
    <xf numFmtId="2" fontId="12" fillId="4" borderId="0" xfId="0" applyNumberFormat="1" applyFont="1" applyFill="1" applyBorder="1" applyAlignment="1">
      <alignment horizontal="center" vertical="center" wrapText="1"/>
    </xf>
    <xf numFmtId="0" fontId="11" fillId="0" borderId="0" xfId="0" applyNumberFormat="1" applyFont="1" applyAlignment="1">
      <alignment horizontal="center" vertical="center"/>
    </xf>
    <xf numFmtId="0" fontId="12" fillId="4" borderId="0" xfId="0" applyNumberFormat="1" applyFont="1" applyFill="1" applyBorder="1" applyAlignment="1">
      <alignment horizontal="center" vertical="center" wrapText="1"/>
    </xf>
    <xf numFmtId="0" fontId="25" fillId="0" borderId="0" xfId="0" applyFont="1" applyAlignment="1">
      <alignment horizontal="left"/>
    </xf>
    <xf numFmtId="0" fontId="25" fillId="0" borderId="0" xfId="0" applyFont="1" applyAlignment="1">
      <alignment horizontal="right"/>
    </xf>
    <xf numFmtId="4" fontId="26" fillId="0" borderId="0" xfId="0" applyNumberFormat="1" applyFont="1" applyFill="1" applyBorder="1" applyAlignment="1" applyProtection="1">
      <alignment horizontal="center" vertical="center" wrapText="1"/>
      <protection hidden="1"/>
    </xf>
    <xf numFmtId="0" fontId="11" fillId="0" borderId="0" xfId="0" applyNumberFormat="1" applyFont="1" applyFill="1" applyAlignment="1">
      <alignment horizontal="center" vertical="center"/>
    </xf>
    <xf numFmtId="0" fontId="12" fillId="4" borderId="0" xfId="0" applyNumberFormat="1" applyFont="1" applyFill="1" applyBorder="1" applyAlignment="1">
      <alignment horizontal="center" vertical="center" wrapText="1"/>
    </xf>
    <xf numFmtId="4" fontId="26" fillId="0" borderId="0" xfId="0" applyNumberFormat="1" applyFont="1" applyFill="1" applyBorder="1" applyAlignment="1" applyProtection="1">
      <alignment horizontal="center" vertical="center" wrapText="1"/>
      <protection hidden="1"/>
    </xf>
    <xf numFmtId="0" fontId="11" fillId="0" borderId="0" xfId="0" applyNumberFormat="1" applyFont="1" applyAlignment="1">
      <alignment horizontal="center" vertical="center"/>
    </xf>
    <xf numFmtId="0" fontId="12" fillId="4" borderId="0" xfId="0" applyNumberFormat="1" applyFont="1" applyFill="1" applyBorder="1" applyAlignment="1">
      <alignment horizontal="center" vertical="center" wrapText="1"/>
    </xf>
    <xf numFmtId="0" fontId="11" fillId="0" borderId="0" xfId="0" applyFont="1" applyFill="1" applyAlignment="1">
      <alignment horizontal="center" vertical="center"/>
    </xf>
    <xf numFmtId="2" fontId="27" fillId="0" borderId="0" xfId="0" applyNumberFormat="1" applyFont="1" applyFill="1" applyBorder="1" applyAlignment="1" applyProtection="1">
      <alignment horizontal="justify" vertical="center" wrapText="1"/>
      <protection hidden="1"/>
    </xf>
    <xf numFmtId="171" fontId="26" fillId="0" borderId="0" xfId="0" applyNumberFormat="1" applyFont="1" applyFill="1" applyBorder="1" applyAlignment="1" applyProtection="1">
      <alignment vertical="center" wrapText="1"/>
      <protection hidden="1"/>
    </xf>
    <xf numFmtId="2" fontId="26" fillId="0" borderId="0" xfId="0" applyNumberFormat="1" applyFont="1" applyFill="1" applyBorder="1" applyAlignment="1" applyProtection="1">
      <alignment vertical="center" wrapText="1"/>
      <protection hidden="1"/>
    </xf>
    <xf numFmtId="0" fontId="11" fillId="0" borderId="0" xfId="0" applyNumberFormat="1" applyFont="1" applyAlignment="1">
      <alignment horizontal="center" vertical="center"/>
    </xf>
    <xf numFmtId="0" fontId="12" fillId="4" borderId="0" xfId="0" applyNumberFormat="1" applyFont="1" applyFill="1" applyBorder="1" applyAlignment="1">
      <alignment horizontal="center" vertical="center" wrapText="1"/>
    </xf>
    <xf numFmtId="1" fontId="28" fillId="13" borderId="34" xfId="0" applyNumberFormat="1" applyFont="1" applyFill="1" applyBorder="1" applyAlignment="1" applyProtection="1">
      <alignment horizontal="center" vertical="center" wrapText="1"/>
    </xf>
    <xf numFmtId="0" fontId="11" fillId="0" borderId="0" xfId="0" applyNumberFormat="1" applyFont="1" applyAlignment="1">
      <alignment horizontal="center" vertical="center"/>
    </xf>
    <xf numFmtId="0" fontId="12" fillId="4" borderId="0" xfId="0" applyNumberFormat="1" applyFont="1" applyFill="1" applyBorder="1" applyAlignment="1">
      <alignment horizontal="center" vertical="center" wrapText="1"/>
    </xf>
    <xf numFmtId="173" fontId="7" fillId="6" borderId="0" xfId="0" applyNumberFormat="1" applyFont="1" applyFill="1" applyAlignment="1">
      <alignment horizontal="center" vertical="center" wrapText="1"/>
    </xf>
    <xf numFmtId="0" fontId="11" fillId="0" borderId="0" xfId="0" applyNumberFormat="1" applyFont="1" applyAlignment="1">
      <alignment horizontal="center" vertical="center"/>
    </xf>
    <xf numFmtId="0" fontId="12" fillId="4" borderId="0" xfId="0" applyNumberFormat="1" applyFont="1" applyFill="1" applyBorder="1" applyAlignment="1">
      <alignment horizontal="center" vertical="center" wrapText="1"/>
    </xf>
    <xf numFmtId="0"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0" fontId="12" fillId="4" borderId="0" xfId="0" applyNumberFormat="1" applyFont="1" applyFill="1" applyBorder="1" applyAlignment="1">
      <alignment horizontal="center" vertical="center" wrapText="1"/>
    </xf>
    <xf numFmtId="0" fontId="11" fillId="0" borderId="0" xfId="0" applyNumberFormat="1" applyFont="1" applyAlignment="1">
      <alignment horizontal="center" vertical="center"/>
    </xf>
    <xf numFmtId="0" fontId="12" fillId="4" borderId="0" xfId="0" applyNumberFormat="1" applyFont="1" applyFill="1" applyBorder="1" applyAlignment="1">
      <alignment horizontal="center" vertical="center" wrapText="1"/>
    </xf>
    <xf numFmtId="0" fontId="11" fillId="0" borderId="0" xfId="0" applyNumberFormat="1" applyFont="1" applyAlignment="1">
      <alignment horizontal="center" vertical="center"/>
    </xf>
    <xf numFmtId="0" fontId="12" fillId="4" borderId="0" xfId="0" applyNumberFormat="1" applyFont="1" applyFill="1" applyBorder="1" applyAlignment="1">
      <alignment horizontal="center" vertical="center" wrapText="1"/>
    </xf>
    <xf numFmtId="0" fontId="11" fillId="0" borderId="0" xfId="0" applyNumberFormat="1" applyFont="1" applyAlignment="1">
      <alignment horizontal="center" vertical="center"/>
    </xf>
    <xf numFmtId="0" fontId="12" fillId="4" borderId="0" xfId="0" applyNumberFormat="1" applyFont="1" applyFill="1" applyBorder="1" applyAlignment="1">
      <alignment horizontal="center" vertical="center" wrapText="1"/>
    </xf>
    <xf numFmtId="0" fontId="11" fillId="0" borderId="0" xfId="0" applyNumberFormat="1" applyFont="1" applyAlignment="1">
      <alignment horizontal="center" vertical="center"/>
    </xf>
    <xf numFmtId="0" fontId="11" fillId="0" borderId="0" xfId="0" applyNumberFormat="1" applyFont="1" applyFill="1" applyAlignment="1">
      <alignment horizontal="center" vertical="center"/>
    </xf>
    <xf numFmtId="4" fontId="26" fillId="0" borderId="0" xfId="0" applyNumberFormat="1" applyFont="1" applyFill="1" applyBorder="1" applyAlignment="1" applyProtection="1">
      <alignment horizontal="center" vertical="center" wrapText="1"/>
      <protection hidden="1"/>
    </xf>
    <xf numFmtId="0" fontId="11" fillId="0" borderId="0" xfId="0" applyNumberFormat="1" applyFont="1" applyAlignment="1">
      <alignment horizontal="center" vertical="center"/>
    </xf>
    <xf numFmtId="0" fontId="11" fillId="0" borderId="0" xfId="0" applyNumberFormat="1" applyFont="1" applyAlignment="1">
      <alignment horizontal="center" vertical="center"/>
    </xf>
    <xf numFmtId="0" fontId="12" fillId="4" borderId="0" xfId="0" applyNumberFormat="1" applyFont="1" applyFill="1" applyBorder="1" applyAlignment="1">
      <alignment horizontal="center" vertical="center" wrapText="1"/>
    </xf>
    <xf numFmtId="167" fontId="11" fillId="0" borderId="9" xfId="0" applyNumberFormat="1" applyFont="1" applyFill="1" applyBorder="1" applyAlignment="1">
      <alignment horizontal="center" vertical="center"/>
    </xf>
    <xf numFmtId="10" fontId="11" fillId="0" borderId="9" xfId="0" applyNumberFormat="1" applyFont="1" applyFill="1" applyBorder="1" applyAlignment="1">
      <alignment horizontal="center" vertical="center"/>
    </xf>
    <xf numFmtId="0" fontId="11" fillId="0" borderId="0" xfId="0" applyNumberFormat="1" applyFont="1" applyAlignment="1">
      <alignment horizontal="center" vertical="center"/>
    </xf>
    <xf numFmtId="0" fontId="11" fillId="5" borderId="0" xfId="0" applyNumberFormat="1" applyFont="1" applyFill="1" applyAlignment="1">
      <alignment horizontal="center" vertical="center"/>
    </xf>
    <xf numFmtId="0" fontId="12" fillId="4" borderId="0" xfId="0" applyNumberFormat="1" applyFont="1" applyFill="1" applyBorder="1" applyAlignment="1">
      <alignment horizontal="center" vertical="center" wrapText="1"/>
    </xf>
    <xf numFmtId="4" fontId="26" fillId="0" borderId="0" xfId="0" applyNumberFormat="1" applyFont="1" applyFill="1" applyBorder="1" applyAlignment="1" applyProtection="1">
      <alignment horizontal="center" vertical="center" wrapText="1"/>
      <protection hidden="1"/>
    </xf>
    <xf numFmtId="0" fontId="7" fillId="17" borderId="0" xfId="0" applyFont="1" applyFill="1" applyBorder="1" applyAlignment="1">
      <alignment horizontal="center" vertical="center" wrapText="1"/>
    </xf>
    <xf numFmtId="174" fontId="26" fillId="0" borderId="0" xfId="0" applyNumberFormat="1" applyFont="1" applyFill="1" applyBorder="1" applyAlignment="1" applyProtection="1">
      <alignment horizontal="center" vertical="center" wrapText="1"/>
      <protection hidden="1"/>
    </xf>
    <xf numFmtId="0" fontId="11" fillId="0" borderId="0" xfId="0" applyNumberFormat="1" applyFont="1" applyAlignment="1">
      <alignment horizontal="center" vertical="center"/>
    </xf>
    <xf numFmtId="0" fontId="11" fillId="5" borderId="0" xfId="0" applyNumberFormat="1" applyFont="1" applyFill="1" applyAlignment="1">
      <alignment horizontal="center" vertical="center"/>
    </xf>
    <xf numFmtId="0" fontId="12" fillId="4" borderId="0" xfId="0" applyNumberFormat="1" applyFont="1" applyFill="1" applyBorder="1" applyAlignment="1">
      <alignment horizontal="center" vertical="center" wrapText="1"/>
    </xf>
    <xf numFmtId="0" fontId="12" fillId="4" borderId="0" xfId="0" applyNumberFormat="1" applyFont="1" applyFill="1" applyBorder="1" applyAlignment="1">
      <alignment horizontal="center" vertical="center" wrapText="1"/>
    </xf>
    <xf numFmtId="0" fontId="11" fillId="0" borderId="0" xfId="0" applyNumberFormat="1" applyFont="1" applyAlignment="1">
      <alignment horizontal="center" vertical="center"/>
    </xf>
    <xf numFmtId="0" fontId="11" fillId="0" borderId="0" xfId="0" applyNumberFormat="1" applyFont="1" applyFill="1" applyAlignment="1">
      <alignment horizontal="center" vertical="center"/>
    </xf>
    <xf numFmtId="0" fontId="11" fillId="0" borderId="0" xfId="0" applyNumberFormat="1" applyFont="1" applyAlignment="1">
      <alignment horizontal="center" vertical="center"/>
    </xf>
    <xf numFmtId="0" fontId="12" fillId="4" borderId="0" xfId="0" applyNumberFormat="1" applyFont="1" applyFill="1" applyBorder="1" applyAlignment="1">
      <alignment horizontal="center" vertical="center" wrapText="1"/>
    </xf>
    <xf numFmtId="4" fontId="37" fillId="0" borderId="0" xfId="4" applyNumberFormat="1" applyFill="1" applyBorder="1" applyAlignment="1" applyProtection="1">
      <alignment horizontal="center" vertical="center" wrapText="1"/>
    </xf>
    <xf numFmtId="2" fontId="27" fillId="13" borderId="9" xfId="0" applyNumberFormat="1" applyFont="1" applyFill="1" applyBorder="1" applyAlignment="1">
      <alignment horizontal="center" vertical="center" wrapText="1"/>
    </xf>
    <xf numFmtId="0" fontId="11" fillId="0" borderId="0" xfId="0" applyNumberFormat="1" applyFont="1" applyAlignment="1">
      <alignment horizontal="center" vertical="center"/>
    </xf>
    <xf numFmtId="0" fontId="11" fillId="5" borderId="0" xfId="0" applyNumberFormat="1" applyFont="1" applyFill="1" applyAlignment="1">
      <alignment horizontal="center" vertical="center"/>
    </xf>
    <xf numFmtId="0" fontId="12" fillId="4" borderId="0" xfId="0" applyNumberFormat="1" applyFont="1" applyFill="1" applyBorder="1" applyAlignment="1">
      <alignment horizontal="center" vertical="center" wrapText="1"/>
    </xf>
    <xf numFmtId="4" fontId="26" fillId="0" borderId="0" xfId="0" applyNumberFormat="1" applyFont="1" applyFill="1" applyBorder="1" applyAlignment="1" applyProtection="1">
      <alignment horizontal="center" vertical="center" wrapText="1"/>
      <protection hidden="1"/>
    </xf>
    <xf numFmtId="0" fontId="0" fillId="0" borderId="0" xfId="0"/>
    <xf numFmtId="0" fontId="11" fillId="0" borderId="0" xfId="0" applyNumberFormat="1" applyFont="1" applyAlignment="1">
      <alignment horizontal="center" vertical="center"/>
    </xf>
    <xf numFmtId="0" fontId="12" fillId="4" borderId="0" xfId="0" applyNumberFormat="1" applyFont="1" applyFill="1" applyBorder="1" applyAlignment="1">
      <alignment horizontal="center" vertical="center" wrapText="1"/>
    </xf>
    <xf numFmtId="0" fontId="11" fillId="5" borderId="0" xfId="0" applyNumberFormat="1" applyFont="1" applyFill="1" applyAlignment="1">
      <alignment horizontal="center" vertical="center"/>
    </xf>
    <xf numFmtId="0" fontId="38" fillId="0" borderId="0" xfId="0" applyFont="1" applyAlignment="1">
      <alignment horizontal="left"/>
    </xf>
    <xf numFmtId="0" fontId="38" fillId="0" borderId="0" xfId="0" applyFont="1" applyAlignment="1">
      <alignment horizontal="right"/>
    </xf>
    <xf numFmtId="1" fontId="38" fillId="0" borderId="0" xfId="0" applyNumberFormat="1" applyFont="1" applyAlignment="1">
      <alignment horizontal="left"/>
    </xf>
    <xf numFmtId="2" fontId="38" fillId="0" borderId="0" xfId="0" applyNumberFormat="1" applyFont="1" applyAlignment="1">
      <alignment horizontal="right"/>
    </xf>
    <xf numFmtId="168" fontId="11" fillId="0" borderId="0" xfId="0" applyNumberFormat="1" applyFont="1" applyFill="1" applyBorder="1" applyAlignment="1">
      <alignment vertical="center"/>
    </xf>
    <xf numFmtId="2" fontId="12" fillId="0" borderId="0" xfId="0" applyNumberFormat="1" applyFont="1" applyFill="1" applyBorder="1" applyAlignment="1">
      <alignment vertical="center"/>
    </xf>
    <xf numFmtId="2" fontId="12" fillId="0" borderId="0" xfId="0" applyNumberFormat="1" applyFont="1" applyFill="1" applyBorder="1" applyAlignment="1">
      <alignment vertical="center" wrapText="1"/>
    </xf>
    <xf numFmtId="2" fontId="26" fillId="0" borderId="0" xfId="0" applyNumberFormat="1" applyFont="1" applyFill="1" applyBorder="1" applyAlignment="1" applyProtection="1">
      <alignment horizontal="justify" vertical="center" wrapText="1"/>
      <protection hidden="1"/>
    </xf>
    <xf numFmtId="175" fontId="26" fillId="0" borderId="0" xfId="0" applyNumberFormat="1" applyFont="1" applyFill="1" applyBorder="1" applyAlignment="1" applyProtection="1">
      <alignment horizontal="justify" vertical="center" wrapText="1"/>
      <protection hidden="1"/>
    </xf>
    <xf numFmtId="0" fontId="12" fillId="0" borderId="0" xfId="0" applyFont="1" applyBorder="1" applyAlignment="1">
      <alignment horizontal="center" vertical="center"/>
    </xf>
    <xf numFmtId="0" fontId="11" fillId="0" borderId="0" xfId="0" applyNumberFormat="1" applyFont="1" applyBorder="1" applyAlignment="1">
      <alignment horizontal="left" vertical="center" wrapText="1"/>
    </xf>
    <xf numFmtId="0" fontId="12" fillId="10" borderId="9" xfId="0" applyFont="1" applyFill="1" applyBorder="1" applyAlignment="1">
      <alignment horizontal="center" vertical="center" wrapText="1"/>
    </xf>
    <xf numFmtId="0" fontId="12" fillId="10" borderId="5" xfId="0" applyNumberFormat="1" applyFont="1" applyFill="1" applyBorder="1" applyAlignment="1">
      <alignment horizontal="center" vertical="center" wrapText="1"/>
    </xf>
    <xf numFmtId="0" fontId="12" fillId="0" borderId="0" xfId="0" applyNumberFormat="1" applyFont="1" applyBorder="1" applyAlignment="1">
      <alignment horizontal="left" vertical="center" wrapText="1"/>
    </xf>
    <xf numFmtId="0" fontId="11" fillId="0" borderId="4" xfId="0" applyNumberFormat="1" applyFont="1" applyFill="1" applyBorder="1" applyAlignment="1">
      <alignment horizontal="left" vertical="center" wrapText="1"/>
    </xf>
    <xf numFmtId="0" fontId="9" fillId="0" borderId="0" xfId="0" applyNumberFormat="1" applyFont="1" applyAlignment="1">
      <alignment horizontal="left" vertical="center" wrapText="1"/>
    </xf>
    <xf numFmtId="4" fontId="26" fillId="0" borderId="0" xfId="0" applyNumberFormat="1" applyFont="1" applyFill="1" applyBorder="1" applyAlignment="1" applyProtection="1">
      <alignment horizontal="center" vertical="center" wrapText="1"/>
      <protection hidden="1"/>
    </xf>
    <xf numFmtId="4" fontId="26" fillId="0" borderId="0" xfId="0" applyNumberFormat="1" applyFont="1" applyFill="1" applyBorder="1" applyAlignment="1" applyProtection="1">
      <alignment horizontal="center" vertical="center" wrapText="1"/>
      <protection hidden="1"/>
    </xf>
    <xf numFmtId="0" fontId="11" fillId="0" borderId="0" xfId="0" applyNumberFormat="1" applyFont="1" applyAlignment="1">
      <alignment horizontal="center" vertical="center"/>
    </xf>
    <xf numFmtId="0" fontId="11" fillId="0" borderId="0" xfId="0" applyNumberFormat="1" applyFont="1" applyFill="1" applyAlignment="1">
      <alignment horizontal="center" vertical="center"/>
    </xf>
    <xf numFmtId="0" fontId="12" fillId="4" borderId="0" xfId="0" applyNumberFormat="1" applyFont="1" applyFill="1" applyBorder="1" applyAlignment="1">
      <alignment horizontal="center" vertical="center" wrapText="1"/>
    </xf>
    <xf numFmtId="0" fontId="11" fillId="5" borderId="0" xfId="0" applyNumberFormat="1" applyFont="1" applyFill="1" applyAlignment="1">
      <alignment horizontal="center" vertical="center"/>
    </xf>
    <xf numFmtId="175" fontId="26" fillId="0" borderId="0" xfId="0" applyNumberFormat="1" applyFont="1" applyFill="1" applyBorder="1" applyAlignment="1" applyProtection="1">
      <alignment horizontal="center" vertical="center" wrapText="1"/>
      <protection hidden="1"/>
    </xf>
    <xf numFmtId="0" fontId="9" fillId="0" borderId="0" xfId="0" applyFont="1" applyBorder="1" applyAlignment="1">
      <alignment horizontal="right" vertical="center"/>
    </xf>
    <xf numFmtId="9" fontId="9" fillId="0" borderId="0" xfId="0" applyNumberFormat="1" applyFont="1" applyBorder="1" applyAlignment="1">
      <alignment vertical="center"/>
    </xf>
    <xf numFmtId="0" fontId="9" fillId="0" borderId="0" xfId="0" applyFont="1" applyFill="1" applyBorder="1" applyAlignment="1">
      <alignment horizontal="right" vertical="center"/>
    </xf>
    <xf numFmtId="0" fontId="26" fillId="0" borderId="0" xfId="0" applyFont="1" applyFill="1" applyBorder="1" applyAlignment="1" applyProtection="1">
      <alignment horizontal="center" vertical="center" wrapText="1"/>
      <protection hidden="1"/>
    </xf>
    <xf numFmtId="0" fontId="26" fillId="0" borderId="0" xfId="0" applyFont="1" applyFill="1" applyBorder="1" applyAlignment="1" applyProtection="1">
      <alignment horizontal="right" vertical="center" wrapText="1"/>
      <protection hidden="1"/>
    </xf>
    <xf numFmtId="17" fontId="26" fillId="0" borderId="0" xfId="0" applyNumberFormat="1" applyFont="1" applyFill="1" applyBorder="1" applyAlignment="1" applyProtection="1">
      <alignment horizontal="center" vertical="center" wrapText="1"/>
      <protection hidden="1"/>
    </xf>
    <xf numFmtId="4" fontId="26" fillId="0" borderId="0" xfId="0" applyNumberFormat="1" applyFont="1" applyFill="1" applyBorder="1" applyAlignment="1" applyProtection="1">
      <alignment horizontal="center" vertical="center" wrapText="1"/>
      <protection hidden="1"/>
    </xf>
    <xf numFmtId="0" fontId="26" fillId="0" borderId="0" xfId="0" applyFont="1" applyFill="1" applyBorder="1" applyAlignment="1" applyProtection="1">
      <alignment horizontal="center" vertical="center" wrapText="1"/>
      <protection hidden="1"/>
    </xf>
    <xf numFmtId="0" fontId="12" fillId="4" borderId="0" xfId="0" applyNumberFormat="1" applyFont="1" applyFill="1" applyBorder="1" applyAlignment="1">
      <alignment horizontal="center" vertical="center" wrapText="1"/>
    </xf>
    <xf numFmtId="0" fontId="11" fillId="0" borderId="0" xfId="0" applyNumberFormat="1" applyFont="1" applyAlignment="1">
      <alignment horizontal="center" vertical="center" wrapText="1"/>
    </xf>
    <xf numFmtId="0" fontId="11" fillId="5" borderId="0" xfId="0" applyNumberFormat="1" applyFont="1" applyFill="1" applyAlignment="1">
      <alignment horizontal="center" vertical="center"/>
    </xf>
    <xf numFmtId="175" fontId="26" fillId="0" borderId="0" xfId="0" applyNumberFormat="1" applyFont="1" applyFill="1" applyBorder="1" applyAlignment="1" applyProtection="1">
      <alignment horizontal="right" vertical="center" wrapText="1"/>
      <protection hidden="1"/>
    </xf>
    <xf numFmtId="171" fontId="26" fillId="0" borderId="0" xfId="0" applyNumberFormat="1" applyFont="1" applyFill="1" applyBorder="1" applyAlignment="1" applyProtection="1">
      <alignment horizontal="right" vertical="center" wrapText="1"/>
      <protection hidden="1"/>
    </xf>
    <xf numFmtId="2" fontId="27" fillId="0" borderId="0" xfId="0" applyNumberFormat="1" applyFont="1" applyFill="1" applyBorder="1" applyAlignment="1" applyProtection="1">
      <alignment horizontal="right" vertical="center" wrapText="1"/>
      <protection hidden="1"/>
    </xf>
    <xf numFmtId="168" fontId="11" fillId="0" borderId="0" xfId="0" applyNumberFormat="1" applyFont="1" applyFill="1" applyAlignment="1">
      <alignment horizontal="center" vertical="center" wrapText="1"/>
    </xf>
    <xf numFmtId="164" fontId="11" fillId="0" borderId="0" xfId="0" applyNumberFormat="1" applyFont="1" applyAlignment="1">
      <alignment horizontal="center" vertical="center" wrapText="1"/>
    </xf>
    <xf numFmtId="164" fontId="11" fillId="0" borderId="0" xfId="1" applyFont="1" applyAlignment="1">
      <alignment vertical="center" wrapText="1"/>
    </xf>
    <xf numFmtId="49" fontId="11" fillId="0" borderId="0" xfId="0" applyNumberFormat="1" applyFont="1" applyFill="1" applyBorder="1" applyAlignment="1">
      <alignment vertical="center" wrapText="1"/>
    </xf>
    <xf numFmtId="0" fontId="12" fillId="5" borderId="4" xfId="0" applyFont="1" applyFill="1" applyBorder="1" applyAlignment="1">
      <alignment horizontal="left" vertical="center" wrapText="1"/>
    </xf>
    <xf numFmtId="0" fontId="12" fillId="10" borderId="9" xfId="0" applyFont="1" applyFill="1" applyBorder="1" applyAlignment="1">
      <alignment horizontal="center" vertical="center" wrapText="1"/>
    </xf>
    <xf numFmtId="0" fontId="16" fillId="3" borderId="4" xfId="0" applyFont="1" applyFill="1" applyBorder="1" applyAlignment="1">
      <alignment horizontal="center" vertical="center"/>
    </xf>
    <xf numFmtId="1" fontId="11" fillId="0" borderId="4" xfId="0" applyNumberFormat="1" applyFont="1" applyFill="1" applyBorder="1" applyAlignment="1">
      <alignment horizontal="center" vertical="center" wrapText="1"/>
    </xf>
    <xf numFmtId="0" fontId="11" fillId="0" borderId="0" xfId="0" applyNumberFormat="1" applyFont="1" applyAlignment="1">
      <alignment horizontal="center" vertical="center"/>
    </xf>
    <xf numFmtId="0" fontId="12" fillId="4" borderId="0" xfId="0" applyNumberFormat="1" applyFont="1" applyFill="1" applyBorder="1" applyAlignment="1">
      <alignment horizontal="center" vertical="center" wrapText="1"/>
    </xf>
    <xf numFmtId="0" fontId="11" fillId="5" borderId="0" xfId="0" applyNumberFormat="1" applyFont="1" applyFill="1" applyAlignment="1">
      <alignment horizontal="center" vertical="center"/>
    </xf>
    <xf numFmtId="0" fontId="11" fillId="0" borderId="0" xfId="0" applyFont="1" applyBorder="1" applyAlignment="1">
      <alignment horizontal="center" vertical="center" wrapText="1"/>
    </xf>
    <xf numFmtId="0" fontId="12" fillId="0" borderId="0" xfId="0" applyFont="1" applyBorder="1" applyAlignment="1">
      <alignment horizontal="center" vertical="center"/>
    </xf>
    <xf numFmtId="0" fontId="12" fillId="5" borderId="4" xfId="0" applyFont="1" applyFill="1" applyBorder="1" applyAlignment="1">
      <alignment horizontal="left" vertical="center" wrapText="1"/>
    </xf>
    <xf numFmtId="0" fontId="16" fillId="3" borderId="4" xfId="0" applyFont="1" applyFill="1" applyBorder="1" applyAlignment="1">
      <alignment horizontal="center" vertical="center"/>
    </xf>
    <xf numFmtId="0" fontId="12" fillId="10" borderId="9" xfId="0" applyFont="1" applyFill="1" applyBorder="1" applyAlignment="1">
      <alignment horizontal="center" vertical="center" wrapText="1"/>
    </xf>
    <xf numFmtId="0" fontId="12" fillId="0" borderId="4" xfId="0" applyFont="1" applyFill="1" applyBorder="1" applyAlignment="1">
      <alignment horizontal="left" vertical="center" wrapText="1"/>
    </xf>
    <xf numFmtId="1" fontId="11" fillId="0" borderId="4" xfId="0" applyNumberFormat="1" applyFont="1" applyFill="1" applyBorder="1" applyAlignment="1">
      <alignment horizontal="center" vertical="center" wrapText="1"/>
    </xf>
    <xf numFmtId="0" fontId="12" fillId="10" borderId="4" xfId="0" applyFont="1" applyFill="1" applyBorder="1" applyAlignment="1">
      <alignment horizontal="center" vertical="center" wrapText="1"/>
    </xf>
    <xf numFmtId="2" fontId="12" fillId="9" borderId="4" xfId="0" applyNumberFormat="1" applyFont="1" applyFill="1" applyBorder="1" applyAlignment="1">
      <alignment horizontal="center" vertical="center"/>
    </xf>
    <xf numFmtId="2" fontId="12" fillId="10" borderId="4" xfId="0" applyNumberFormat="1" applyFont="1" applyFill="1" applyBorder="1" applyAlignment="1">
      <alignment horizontal="center" vertical="center"/>
    </xf>
    <xf numFmtId="0" fontId="7" fillId="11" borderId="4" xfId="0" applyFont="1" applyFill="1" applyBorder="1" applyAlignment="1">
      <alignment horizontal="center" vertical="center" wrapText="1"/>
    </xf>
    <xf numFmtId="167" fontId="12" fillId="10" borderId="4" xfId="0" applyNumberFormat="1" applyFont="1" applyFill="1" applyBorder="1" applyAlignment="1">
      <alignment horizontal="center" vertical="center" wrapText="1"/>
    </xf>
    <xf numFmtId="44" fontId="12" fillId="10" borderId="4" xfId="0" applyNumberFormat="1" applyFont="1" applyFill="1" applyBorder="1" applyAlignment="1">
      <alignment horizontal="center" vertical="center" wrapText="1"/>
    </xf>
    <xf numFmtId="10" fontId="9" fillId="0" borderId="0" xfId="0" applyNumberFormat="1" applyFont="1" applyAlignment="1">
      <alignment horizontal="center" vertical="center"/>
    </xf>
    <xf numFmtId="0" fontId="11" fillId="18" borderId="4" xfId="0" applyFont="1" applyFill="1" applyBorder="1" applyAlignment="1">
      <alignment horizontal="center" vertical="center" wrapText="1"/>
    </xf>
    <xf numFmtId="0" fontId="11" fillId="18" borderId="4" xfId="0" applyFont="1" applyFill="1" applyBorder="1" applyAlignment="1">
      <alignment horizontal="left" vertical="center" wrapText="1"/>
    </xf>
    <xf numFmtId="10" fontId="11" fillId="18" borderId="4" xfId="0" applyNumberFormat="1" applyFont="1" applyFill="1" applyBorder="1" applyAlignment="1">
      <alignment horizontal="center" vertical="center"/>
    </xf>
    <xf numFmtId="0" fontId="11" fillId="18" borderId="4" xfId="0" applyFont="1" applyFill="1" applyBorder="1" applyAlignment="1">
      <alignment vertical="center" wrapText="1"/>
    </xf>
    <xf numFmtId="3" fontId="11" fillId="18" borderId="4" xfId="0" applyNumberFormat="1" applyFont="1" applyFill="1" applyBorder="1" applyAlignment="1">
      <alignment horizontal="center" vertical="center" wrapText="1"/>
    </xf>
    <xf numFmtId="0" fontId="11" fillId="18" borderId="4" xfId="0" applyFont="1" applyFill="1" applyBorder="1" applyAlignment="1">
      <alignment horizontal="center" vertical="center"/>
    </xf>
    <xf numFmtId="44" fontId="11" fillId="18" borderId="4" xfId="0" applyNumberFormat="1" applyFont="1" applyFill="1" applyBorder="1" applyAlignment="1">
      <alignment horizontal="center" vertical="center"/>
    </xf>
    <xf numFmtId="10" fontId="12" fillId="0" borderId="4" xfId="0" applyNumberFormat="1" applyFont="1" applyBorder="1" applyAlignment="1">
      <alignment horizontal="center" vertical="center"/>
    </xf>
    <xf numFmtId="44" fontId="10" fillId="2" borderId="4" xfId="0" applyNumberFormat="1" applyFont="1" applyFill="1" applyBorder="1" applyAlignment="1">
      <alignment horizontal="center" vertical="center" wrapText="1"/>
    </xf>
    <xf numFmtId="44" fontId="10" fillId="2" borderId="4" xfId="0" applyNumberFormat="1" applyFont="1" applyFill="1" applyBorder="1" applyAlignment="1">
      <alignment vertical="center" wrapText="1"/>
    </xf>
    <xf numFmtId="44" fontId="9" fillId="0" borderId="4" xfId="0" applyNumberFormat="1" applyFont="1" applyBorder="1" applyAlignment="1">
      <alignment vertical="center"/>
    </xf>
    <xf numFmtId="0" fontId="9" fillId="0" borderId="4" xfId="0" applyFont="1" applyBorder="1" applyAlignment="1">
      <alignment vertical="center"/>
    </xf>
    <xf numFmtId="0" fontId="12" fillId="10" borderId="4" xfId="0" applyFont="1" applyFill="1" applyBorder="1" applyAlignment="1">
      <alignment horizontal="center" vertical="center" wrapText="1"/>
    </xf>
    <xf numFmtId="44" fontId="9" fillId="0" borderId="4" xfId="0" applyNumberFormat="1" applyFont="1" applyBorder="1" applyAlignment="1">
      <alignment horizontal="center" vertical="center"/>
    </xf>
    <xf numFmtId="0" fontId="9" fillId="0" borderId="4" xfId="0" applyFont="1" applyBorder="1" applyAlignment="1">
      <alignment horizontal="center" vertical="center"/>
    </xf>
    <xf numFmtId="164" fontId="11" fillId="0" borderId="4" xfId="0" applyNumberFormat="1" applyFont="1" applyFill="1" applyBorder="1" applyAlignment="1">
      <alignment horizontal="right" vertical="center"/>
    </xf>
    <xf numFmtId="44" fontId="9" fillId="0" borderId="4" xfId="0" applyNumberFormat="1" applyFont="1" applyFill="1" applyBorder="1" applyAlignment="1">
      <alignment horizontal="right" vertical="center"/>
    </xf>
    <xf numFmtId="0" fontId="9" fillId="0" borderId="4" xfId="0" applyFont="1" applyFill="1" applyBorder="1" applyAlignment="1">
      <alignment horizontal="center" vertical="center"/>
    </xf>
    <xf numFmtId="164" fontId="12" fillId="5" borderId="4" xfId="0" applyNumberFormat="1" applyFont="1" applyFill="1" applyBorder="1" applyAlignment="1">
      <alignment horizontal="center" vertical="center"/>
    </xf>
    <xf numFmtId="164" fontId="12" fillId="9" borderId="4" xfId="0" applyNumberFormat="1" applyFont="1" applyFill="1" applyBorder="1" applyAlignment="1">
      <alignment horizontal="center" vertical="center"/>
    </xf>
    <xf numFmtId="167" fontId="11" fillId="0" borderId="4" xfId="0" applyNumberFormat="1" applyFont="1" applyBorder="1" applyAlignment="1">
      <alignment horizontal="right" vertical="center"/>
    </xf>
    <xf numFmtId="10" fontId="9" fillId="0" borderId="4" xfId="0" applyNumberFormat="1" applyFont="1" applyBorder="1" applyAlignment="1">
      <alignment horizontal="center" vertical="center"/>
    </xf>
    <xf numFmtId="167" fontId="10" fillId="2" borderId="4" xfId="0" applyNumberFormat="1" applyFont="1" applyFill="1" applyBorder="1" applyAlignment="1">
      <alignment horizontal="left" vertical="center" wrapText="1"/>
    </xf>
    <xf numFmtId="167" fontId="9" fillId="0" borderId="4" xfId="0" applyNumberFormat="1" applyFont="1" applyBorder="1" applyAlignment="1">
      <alignment horizontal="left" vertical="center" wrapText="1"/>
    </xf>
    <xf numFmtId="44" fontId="9" fillId="0" borderId="4" xfId="0" applyNumberFormat="1" applyFont="1" applyFill="1" applyBorder="1" applyAlignment="1">
      <alignment horizontal="center" vertical="center"/>
    </xf>
    <xf numFmtId="44" fontId="9" fillId="0" borderId="4" xfId="0" applyNumberFormat="1" applyFont="1" applyFill="1" applyBorder="1" applyAlignment="1">
      <alignment vertical="center"/>
    </xf>
    <xf numFmtId="167" fontId="9" fillId="0" borderId="4" xfId="0" applyNumberFormat="1" applyFont="1" applyFill="1" applyBorder="1" applyAlignment="1">
      <alignment horizontal="left" vertical="center" wrapText="1"/>
    </xf>
    <xf numFmtId="167" fontId="12" fillId="8" borderId="4" xfId="0" applyNumberFormat="1" applyFont="1" applyFill="1" applyBorder="1" applyAlignment="1">
      <alignment horizontal="left" vertical="center" wrapText="1"/>
    </xf>
    <xf numFmtId="44" fontId="10" fillId="8" borderId="4" xfId="0" applyNumberFormat="1" applyFont="1" applyFill="1" applyBorder="1" applyAlignment="1">
      <alignment vertical="center"/>
    </xf>
    <xf numFmtId="167" fontId="10" fillId="8" borderId="4" xfId="0" applyNumberFormat="1" applyFont="1" applyFill="1" applyBorder="1" applyAlignment="1">
      <alignment horizontal="left" vertical="center" wrapText="1"/>
    </xf>
    <xf numFmtId="44" fontId="10" fillId="8" borderId="4" xfId="0" applyNumberFormat="1" applyFont="1" applyFill="1" applyBorder="1" applyAlignment="1">
      <alignment horizontal="center" vertical="center"/>
    </xf>
    <xf numFmtId="167" fontId="10" fillId="0" borderId="4" xfId="0" applyNumberFormat="1" applyFont="1" applyBorder="1" applyAlignment="1">
      <alignment horizontal="left" vertical="center" wrapText="1"/>
    </xf>
    <xf numFmtId="44" fontId="10" fillId="0" borderId="4" xfId="0" applyNumberFormat="1" applyFont="1" applyBorder="1" applyAlignment="1">
      <alignment horizontal="center" vertical="center"/>
    </xf>
    <xf numFmtId="44" fontId="10" fillId="0" borderId="4" xfId="0" applyNumberFormat="1" applyFont="1" applyBorder="1" applyAlignment="1">
      <alignment vertical="center"/>
    </xf>
    <xf numFmtId="0" fontId="11" fillId="0" borderId="13" xfId="0" applyFont="1" applyFill="1" applyBorder="1" applyAlignment="1">
      <alignment horizontal="center" vertical="center" wrapText="1"/>
    </xf>
    <xf numFmtId="0" fontId="12" fillId="0" borderId="13" xfId="0" applyFont="1" applyBorder="1" applyAlignment="1">
      <alignment horizontal="center" vertical="center" wrapText="1"/>
    </xf>
    <xf numFmtId="0" fontId="12" fillId="0" borderId="13" xfId="0" applyFont="1" applyBorder="1" applyAlignment="1">
      <alignment horizontal="left" vertical="center" wrapText="1"/>
    </xf>
    <xf numFmtId="2" fontId="12" fillId="0" borderId="13" xfId="0" applyNumberFormat="1" applyFont="1" applyFill="1" applyBorder="1" applyAlignment="1">
      <alignment horizontal="center" vertical="center" wrapText="1"/>
    </xf>
    <xf numFmtId="44" fontId="12" fillId="0" borderId="13" xfId="0" applyNumberFormat="1" applyFont="1" applyBorder="1" applyAlignment="1">
      <alignment horizontal="center" vertical="center" wrapText="1"/>
    </xf>
    <xf numFmtId="167" fontId="12" fillId="0" borderId="13" xfId="0" applyNumberFormat="1" applyFont="1" applyBorder="1" applyAlignment="1">
      <alignment horizontal="center" vertical="center" wrapText="1"/>
    </xf>
    <xf numFmtId="44" fontId="12" fillId="0" borderId="13" xfId="0" applyNumberFormat="1" applyFont="1" applyBorder="1" applyAlignment="1">
      <alignment horizontal="right" vertical="center"/>
    </xf>
    <xf numFmtId="44" fontId="12" fillId="0" borderId="4" xfId="0" applyNumberFormat="1" applyFont="1" applyFill="1" applyBorder="1" applyAlignment="1">
      <alignment horizontal="center" vertical="center"/>
    </xf>
    <xf numFmtId="164" fontId="11" fillId="13" borderId="4" xfId="0" applyNumberFormat="1" applyFont="1" applyFill="1" applyBorder="1" applyAlignment="1">
      <alignment horizontal="right" vertical="center"/>
    </xf>
    <xf numFmtId="44" fontId="9" fillId="13" borderId="4" xfId="0" applyNumberFormat="1" applyFont="1" applyFill="1" applyBorder="1" applyAlignment="1">
      <alignment horizontal="center" vertical="center"/>
    </xf>
    <xf numFmtId="0" fontId="9" fillId="13" borderId="4" xfId="0" applyFont="1" applyFill="1" applyBorder="1" applyAlignment="1">
      <alignment horizontal="center" vertical="center"/>
    </xf>
    <xf numFmtId="167" fontId="10" fillId="2" borderId="4" xfId="0" applyNumberFormat="1" applyFont="1" applyFill="1" applyBorder="1" applyAlignment="1">
      <alignment horizontal="center" vertical="center" wrapText="1"/>
    </xf>
    <xf numFmtId="167" fontId="9" fillId="0" borderId="4" xfId="0" applyNumberFormat="1" applyFont="1" applyBorder="1" applyAlignment="1">
      <alignment horizontal="center" vertical="center" wrapText="1"/>
    </xf>
    <xf numFmtId="167" fontId="9" fillId="0" borderId="4" xfId="0" applyNumberFormat="1" applyFont="1" applyBorder="1" applyAlignment="1">
      <alignment horizontal="center" vertical="center"/>
    </xf>
    <xf numFmtId="167" fontId="9" fillId="0" borderId="4" xfId="0" applyNumberFormat="1" applyFont="1" applyFill="1" applyBorder="1" applyAlignment="1">
      <alignment horizontal="center" vertical="center" wrapText="1"/>
    </xf>
    <xf numFmtId="167" fontId="9" fillId="0" borderId="4" xfId="0" applyNumberFormat="1" applyFont="1" applyFill="1" applyBorder="1" applyAlignment="1">
      <alignment horizontal="center" vertical="center"/>
    </xf>
    <xf numFmtId="167" fontId="10" fillId="8" borderId="4" xfId="0" applyNumberFormat="1" applyFont="1" applyFill="1" applyBorder="1" applyAlignment="1">
      <alignment horizontal="center" vertical="center" wrapText="1"/>
    </xf>
    <xf numFmtId="167" fontId="10" fillId="8" borderId="4" xfId="0" applyNumberFormat="1" applyFont="1" applyFill="1" applyBorder="1" applyAlignment="1">
      <alignment horizontal="center" vertical="center"/>
    </xf>
    <xf numFmtId="167" fontId="10" fillId="0" borderId="4" xfId="0" applyNumberFormat="1" applyFont="1" applyBorder="1" applyAlignment="1">
      <alignment horizontal="center" vertical="center" wrapText="1"/>
    </xf>
    <xf numFmtId="167" fontId="10" fillId="0" borderId="4" xfId="0" applyNumberFormat="1" applyFont="1" applyBorder="1" applyAlignment="1">
      <alignment horizontal="center" vertical="center"/>
    </xf>
    <xf numFmtId="17" fontId="11" fillId="0" borderId="0" xfId="0" applyNumberFormat="1" applyFont="1" applyFill="1" applyBorder="1" applyAlignment="1">
      <alignment vertical="center"/>
    </xf>
    <xf numFmtId="0" fontId="11" fillId="16" borderId="4" xfId="0" applyFont="1" applyFill="1" applyBorder="1" applyAlignment="1">
      <alignment horizontal="center" vertical="center"/>
    </xf>
    <xf numFmtId="0" fontId="11" fillId="16" borderId="4" xfId="0" applyFont="1" applyFill="1" applyBorder="1" applyAlignment="1">
      <alignment horizontal="left" vertical="center" wrapText="1"/>
    </xf>
    <xf numFmtId="44" fontId="11" fillId="16" borderId="4" xfId="0" applyNumberFormat="1" applyFont="1" applyFill="1" applyBorder="1" applyAlignment="1">
      <alignment horizontal="center" vertical="center"/>
    </xf>
    <xf numFmtId="10" fontId="11" fillId="16" borderId="4" xfId="0" applyNumberFormat="1" applyFont="1" applyFill="1" applyBorder="1" applyAlignment="1">
      <alignment horizontal="center" vertical="center"/>
    </xf>
    <xf numFmtId="0" fontId="11" fillId="16" borderId="4" xfId="0" applyFont="1" applyFill="1" applyBorder="1" applyAlignment="1">
      <alignment horizontal="center" vertical="center" wrapText="1"/>
    </xf>
    <xf numFmtId="3" fontId="11" fillId="16" borderId="4" xfId="0" applyNumberFormat="1" applyFont="1" applyFill="1" applyBorder="1" applyAlignment="1">
      <alignment horizontal="center" vertical="center" wrapText="1"/>
    </xf>
    <xf numFmtId="0" fontId="11" fillId="16" borderId="4" xfId="0" applyFont="1" applyFill="1" applyBorder="1" applyAlignment="1">
      <alignment vertical="center" wrapText="1"/>
    </xf>
    <xf numFmtId="0" fontId="11" fillId="13" borderId="4" xfId="0" applyFont="1" applyFill="1" applyBorder="1" applyAlignment="1">
      <alignment horizontal="center" vertical="center" wrapText="1"/>
    </xf>
    <xf numFmtId="0" fontId="11" fillId="13" borderId="4" xfId="0" applyFont="1" applyFill="1" applyBorder="1" applyAlignment="1">
      <alignment horizontal="left" vertical="center" wrapText="1"/>
    </xf>
    <xf numFmtId="44" fontId="11" fillId="13" borderId="4" xfId="0" applyNumberFormat="1" applyFont="1" applyFill="1" applyBorder="1" applyAlignment="1">
      <alignment horizontal="center" vertical="center"/>
    </xf>
    <xf numFmtId="10" fontId="11" fillId="13" borderId="4" xfId="0" applyNumberFormat="1" applyFont="1" applyFill="1" applyBorder="1" applyAlignment="1">
      <alignment horizontal="center" vertical="center"/>
    </xf>
    <xf numFmtId="0" fontId="11" fillId="13" borderId="4" xfId="0" applyFont="1" applyFill="1" applyBorder="1" applyAlignment="1">
      <alignment vertical="center" wrapText="1"/>
    </xf>
    <xf numFmtId="1" fontId="11" fillId="13" borderId="4" xfId="0" applyNumberFormat="1" applyFont="1" applyFill="1" applyBorder="1" applyAlignment="1">
      <alignment horizontal="center" vertical="center" wrapText="1"/>
    </xf>
    <xf numFmtId="0" fontId="9" fillId="18" borderId="4" xfId="0" applyFont="1" applyFill="1" applyBorder="1" applyAlignment="1">
      <alignment horizontal="center" vertical="center"/>
    </xf>
    <xf numFmtId="0" fontId="9" fillId="18" borderId="4" xfId="0" applyFont="1" applyFill="1" applyBorder="1" applyAlignment="1">
      <alignment vertical="center"/>
    </xf>
    <xf numFmtId="0" fontId="9" fillId="16" borderId="4" xfId="0" applyFont="1" applyFill="1" applyBorder="1" applyAlignment="1">
      <alignment horizontal="center" vertical="center"/>
    </xf>
    <xf numFmtId="0" fontId="9" fillId="16" borderId="4" xfId="0" applyFont="1" applyFill="1" applyBorder="1" applyAlignment="1">
      <alignment vertical="center"/>
    </xf>
    <xf numFmtId="0" fontId="9" fillId="13" borderId="4" xfId="0" applyFont="1" applyFill="1" applyBorder="1" applyAlignment="1">
      <alignment vertical="center"/>
    </xf>
    <xf numFmtId="0" fontId="11" fillId="0" borderId="0" xfId="0" applyNumberFormat="1" applyFont="1" applyBorder="1" applyAlignment="1">
      <alignment vertical="center" wrapText="1"/>
    </xf>
    <xf numFmtId="0" fontId="15" fillId="0" borderId="0" xfId="0" applyFont="1" applyBorder="1" applyAlignment="1">
      <alignment vertical="center"/>
    </xf>
    <xf numFmtId="0" fontId="11" fillId="0" borderId="0" xfId="0" applyNumberFormat="1" applyFont="1" applyBorder="1" applyAlignment="1">
      <alignment vertical="center"/>
    </xf>
    <xf numFmtId="0" fontId="11" fillId="0" borderId="12" xfId="0" applyFont="1" applyFill="1" applyBorder="1" applyAlignment="1">
      <alignment horizontal="center" vertical="center" wrapText="1"/>
    </xf>
    <xf numFmtId="0" fontId="11" fillId="0" borderId="12" xfId="0" applyFont="1" applyFill="1" applyBorder="1" applyAlignment="1">
      <alignment horizontal="left" vertical="center" wrapText="1"/>
    </xf>
    <xf numFmtId="2" fontId="11" fillId="0" borderId="12" xfId="0" applyNumberFormat="1" applyFont="1" applyFill="1" applyBorder="1" applyAlignment="1">
      <alignment horizontal="center" vertical="center"/>
    </xf>
    <xf numFmtId="165" fontId="11" fillId="0" borderId="12" xfId="0" applyNumberFormat="1" applyFont="1" applyFill="1" applyBorder="1" applyAlignment="1">
      <alignment horizontal="center" vertical="center"/>
    </xf>
    <xf numFmtId="0" fontId="11" fillId="0" borderId="12" xfId="0" applyNumberFormat="1" applyFont="1" applyFill="1" applyBorder="1" applyAlignment="1">
      <alignment horizontal="left" vertical="center" wrapText="1"/>
    </xf>
    <xf numFmtId="0" fontId="11" fillId="0" borderId="13" xfId="0" applyFont="1" applyFill="1" applyBorder="1" applyAlignment="1">
      <alignment horizontal="left" vertical="center" wrapText="1"/>
    </xf>
    <xf numFmtId="2" fontId="11" fillId="0" borderId="13" xfId="0" applyNumberFormat="1" applyFont="1" applyFill="1" applyBorder="1" applyAlignment="1">
      <alignment horizontal="center" vertical="center"/>
    </xf>
    <xf numFmtId="165" fontId="11" fillId="0" borderId="13" xfId="0" applyNumberFormat="1" applyFont="1" applyFill="1" applyBorder="1" applyAlignment="1">
      <alignment horizontal="center" vertical="center"/>
    </xf>
    <xf numFmtId="0" fontId="11" fillId="0" borderId="13" xfId="0" applyNumberFormat="1" applyFont="1" applyFill="1" applyBorder="1" applyAlignment="1">
      <alignment horizontal="left" vertical="center" wrapText="1"/>
    </xf>
    <xf numFmtId="0" fontId="12" fillId="10" borderId="4" xfId="0" applyNumberFormat="1" applyFont="1" applyFill="1" applyBorder="1" applyAlignment="1">
      <alignment horizontal="center" vertical="center" wrapText="1"/>
    </xf>
    <xf numFmtId="0" fontId="9" fillId="0" borderId="4" xfId="0" applyFont="1" applyBorder="1" applyAlignment="1">
      <alignment horizontal="right" vertical="center"/>
    </xf>
    <xf numFmtId="0" fontId="12" fillId="10" borderId="4" xfId="0" applyFont="1" applyFill="1" applyBorder="1" applyAlignment="1">
      <alignment horizontal="center" vertical="center" wrapText="1"/>
    </xf>
    <xf numFmtId="1" fontId="11" fillId="0" borderId="4" xfId="0" applyNumberFormat="1" applyFont="1" applyFill="1" applyBorder="1" applyAlignment="1">
      <alignment horizontal="center" vertical="center" wrapText="1"/>
    </xf>
    <xf numFmtId="0" fontId="11" fillId="5" borderId="0" xfId="0" applyNumberFormat="1" applyFont="1" applyFill="1" applyAlignment="1">
      <alignment horizontal="center" vertical="center"/>
    </xf>
    <xf numFmtId="0" fontId="11" fillId="0" borderId="0" xfId="0" applyNumberFormat="1" applyFont="1" applyAlignment="1">
      <alignment horizontal="center" vertical="center"/>
    </xf>
    <xf numFmtId="0" fontId="0" fillId="0" borderId="0" xfId="0"/>
    <xf numFmtId="0" fontId="12" fillId="10" borderId="4" xfId="0" applyFont="1" applyFill="1" applyBorder="1" applyAlignment="1">
      <alignment horizontal="center" vertical="center" wrapText="1"/>
    </xf>
    <xf numFmtId="0" fontId="11" fillId="0" borderId="0" xfId="0" applyFont="1" applyBorder="1" applyAlignment="1">
      <alignment horizontal="center" vertical="center" wrapText="1"/>
    </xf>
    <xf numFmtId="0" fontId="32" fillId="15" borderId="3" xfId="5" applyNumberFormat="1" applyFont="1" applyFill="1" applyBorder="1" applyAlignment="1">
      <alignment horizontal="center" vertical="center" wrapText="1"/>
    </xf>
    <xf numFmtId="0" fontId="11" fillId="13" borderId="4" xfId="0" applyFont="1" applyFill="1" applyBorder="1" applyAlignment="1">
      <alignment horizontal="center" vertical="center"/>
    </xf>
    <xf numFmtId="10" fontId="0" fillId="0" borderId="0" xfId="0" applyNumberFormat="1" applyBorder="1"/>
    <xf numFmtId="4" fontId="26" fillId="0" borderId="35" xfId="0" applyNumberFormat="1" applyFont="1" applyFill="1" applyBorder="1" applyAlignment="1" applyProtection="1">
      <alignment horizontal="center" vertical="center" wrapText="1"/>
    </xf>
    <xf numFmtId="172" fontId="26" fillId="0" borderId="39" xfId="0" applyNumberFormat="1" applyFont="1" applyFill="1" applyBorder="1" applyAlignment="1" applyProtection="1">
      <alignment horizontal="center" vertical="center" wrapText="1"/>
    </xf>
    <xf numFmtId="4" fontId="26" fillId="0" borderId="39" xfId="0" applyNumberFormat="1" applyFont="1" applyFill="1" applyBorder="1" applyAlignment="1" applyProtection="1">
      <alignment horizontal="center" vertical="center" wrapText="1"/>
    </xf>
    <xf numFmtId="4" fontId="26" fillId="0" borderId="39" xfId="0" applyNumberFormat="1" applyFont="1" applyFill="1" applyBorder="1" applyAlignment="1" applyProtection="1">
      <alignment horizontal="center" vertical="center" wrapText="1"/>
      <protection locked="0"/>
    </xf>
    <xf numFmtId="14" fontId="26" fillId="0" borderId="39" xfId="0" applyNumberFormat="1" applyFont="1" applyFill="1" applyBorder="1" applyAlignment="1" applyProtection="1">
      <alignment horizontal="center" vertical="center" wrapText="1"/>
    </xf>
    <xf numFmtId="49" fontId="26" fillId="0" borderId="39" xfId="0" applyNumberFormat="1" applyFont="1" applyFill="1" applyBorder="1" applyAlignment="1" applyProtection="1">
      <alignment horizontal="center" vertical="center" wrapText="1"/>
      <protection locked="0"/>
    </xf>
    <xf numFmtId="0" fontId="26" fillId="0" borderId="39" xfId="0" applyNumberFormat="1" applyFont="1" applyFill="1" applyBorder="1" applyAlignment="1" applyProtection="1">
      <alignment horizontal="center" vertical="center" wrapText="1"/>
      <protection locked="0"/>
    </xf>
    <xf numFmtId="2" fontId="26" fillId="0" borderId="35" xfId="0" applyNumberFormat="1" applyFont="1" applyFill="1" applyBorder="1" applyAlignment="1" applyProtection="1">
      <alignment horizontal="center" vertical="center" wrapText="1"/>
    </xf>
    <xf numFmtId="0" fontId="9" fillId="0" borderId="0" xfId="0" applyFont="1" applyFill="1" applyBorder="1" applyAlignment="1">
      <alignment vertical="center"/>
    </xf>
    <xf numFmtId="0" fontId="9" fillId="0" borderId="12" xfId="0" applyFont="1" applyBorder="1" applyAlignment="1">
      <alignment horizontal="center" vertical="center"/>
    </xf>
    <xf numFmtId="44" fontId="11" fillId="0" borderId="0" xfId="0" applyNumberFormat="1" applyFont="1" applyFill="1" applyBorder="1" applyAlignment="1">
      <alignment horizontal="center" vertical="center" wrapText="1"/>
    </xf>
    <xf numFmtId="10" fontId="11" fillId="0" borderId="0" xfId="0" applyNumberFormat="1" applyFont="1" applyFill="1" applyBorder="1" applyAlignment="1">
      <alignment horizontal="center" vertical="center" wrapText="1"/>
    </xf>
    <xf numFmtId="44" fontId="12" fillId="0" borderId="0" xfId="0" applyNumberFormat="1" applyFont="1" applyFill="1" applyBorder="1" applyAlignment="1">
      <alignment horizontal="center" vertical="center" wrapText="1"/>
    </xf>
    <xf numFmtId="1" fontId="11" fillId="0" borderId="0" xfId="0" applyNumberFormat="1" applyFont="1" applyFill="1" applyBorder="1" applyAlignment="1">
      <alignment horizontal="center" vertical="center" wrapText="1"/>
    </xf>
    <xf numFmtId="0" fontId="9" fillId="0" borderId="0" xfId="0" applyFont="1" applyFill="1" applyBorder="1" applyAlignment="1">
      <alignment horizontal="center" vertical="center" wrapText="1"/>
    </xf>
    <xf numFmtId="44" fontId="11" fillId="0" borderId="12" xfId="0" applyNumberFormat="1" applyFont="1" applyFill="1" applyBorder="1" applyAlignment="1">
      <alignment horizontal="center" vertical="center" wrapText="1"/>
    </xf>
    <xf numFmtId="10" fontId="11" fillId="0" borderId="35" xfId="0" applyNumberFormat="1" applyFont="1" applyFill="1" applyBorder="1" applyAlignment="1">
      <alignment horizontal="center" vertical="center" wrapText="1"/>
    </xf>
    <xf numFmtId="10" fontId="11" fillId="0" borderId="39" xfId="0" applyNumberFormat="1" applyFont="1" applyFill="1" applyBorder="1" applyAlignment="1">
      <alignment horizontal="center" vertical="center" wrapText="1"/>
    </xf>
    <xf numFmtId="44" fontId="11" fillId="0" borderId="13" xfId="0" applyNumberFormat="1" applyFont="1" applyFill="1" applyBorder="1" applyAlignment="1">
      <alignment horizontal="center" vertical="center" wrapText="1"/>
    </xf>
    <xf numFmtId="10" fontId="11" fillId="0" borderId="21" xfId="0" applyNumberFormat="1" applyFont="1" applyFill="1" applyBorder="1" applyAlignment="1">
      <alignment horizontal="center" vertical="center" wrapText="1"/>
    </xf>
    <xf numFmtId="0" fontId="12" fillId="10" borderId="5" xfId="0" applyFont="1" applyFill="1" applyBorder="1" applyAlignment="1">
      <alignment horizontal="center" vertical="center" wrapText="1"/>
    </xf>
    <xf numFmtId="44" fontId="12" fillId="10" borderId="9" xfId="0" applyNumberFormat="1" applyFont="1" applyFill="1" applyBorder="1" applyAlignment="1">
      <alignment horizontal="center" vertical="center" wrapText="1"/>
    </xf>
    <xf numFmtId="44" fontId="11" fillId="0" borderId="0" xfId="0" applyNumberFormat="1" applyFont="1" applyBorder="1" applyAlignment="1">
      <alignment horizontal="center" vertical="center" wrapText="1"/>
    </xf>
    <xf numFmtId="167" fontId="9" fillId="0" borderId="0" xfId="0" applyNumberFormat="1" applyFont="1" applyFill="1" applyBorder="1" applyAlignment="1">
      <alignment horizontal="center" vertical="center" wrapText="1"/>
    </xf>
    <xf numFmtId="10" fontId="9" fillId="0" borderId="0" xfId="0" applyNumberFormat="1" applyFont="1" applyFill="1" applyBorder="1" applyAlignment="1">
      <alignment horizontal="center" vertical="center" wrapText="1"/>
    </xf>
    <xf numFmtId="0" fontId="11" fillId="8" borderId="12" xfId="0" applyFont="1" applyFill="1" applyBorder="1" applyAlignment="1">
      <alignment horizontal="center" vertical="center" wrapText="1"/>
    </xf>
    <xf numFmtId="44" fontId="11" fillId="8" borderId="12" xfId="0" applyNumberFormat="1" applyFont="1" applyFill="1" applyBorder="1" applyAlignment="1">
      <alignment horizontal="center" vertical="center" wrapText="1"/>
    </xf>
    <xf numFmtId="10" fontId="11" fillId="8" borderId="39" xfId="0" applyNumberFormat="1" applyFont="1" applyFill="1" applyBorder="1" applyAlignment="1">
      <alignment horizontal="center" vertical="center" wrapText="1"/>
    </xf>
    <xf numFmtId="44" fontId="11" fillId="8" borderId="0" xfId="0" applyNumberFormat="1" applyFont="1" applyFill="1" applyBorder="1" applyAlignment="1">
      <alignment horizontal="center" vertical="center" wrapText="1"/>
    </xf>
    <xf numFmtId="0" fontId="11" fillId="8" borderId="0" xfId="0" applyFont="1" applyFill="1" applyBorder="1" applyAlignment="1">
      <alignment horizontal="center" vertical="center" wrapText="1"/>
    </xf>
    <xf numFmtId="10" fontId="11" fillId="8" borderId="21" xfId="0" applyNumberFormat="1" applyFont="1" applyFill="1" applyBorder="1" applyAlignment="1">
      <alignment horizontal="center" vertical="center" wrapText="1"/>
    </xf>
    <xf numFmtId="10" fontId="11" fillId="8" borderId="35" xfId="0" applyNumberFormat="1" applyFont="1" applyFill="1" applyBorder="1" applyAlignment="1">
      <alignment horizontal="center" vertical="center" wrapText="1"/>
    </xf>
    <xf numFmtId="0" fontId="11" fillId="8" borderId="13" xfId="0" applyFont="1" applyFill="1" applyBorder="1" applyAlignment="1">
      <alignment horizontal="center" vertical="center" wrapText="1"/>
    </xf>
    <xf numFmtId="44" fontId="11" fillId="8" borderId="13" xfId="0" applyNumberFormat="1" applyFont="1" applyFill="1" applyBorder="1" applyAlignment="1">
      <alignment horizontal="center" vertical="center" wrapText="1"/>
    </xf>
    <xf numFmtId="0" fontId="12" fillId="0" borderId="0" xfId="0" applyFont="1" applyBorder="1" applyAlignment="1">
      <alignment horizontal="center" vertical="center"/>
    </xf>
    <xf numFmtId="0" fontId="19" fillId="0" borderId="0" xfId="0" applyFont="1" applyBorder="1" applyAlignment="1">
      <alignment horizontal="center"/>
    </xf>
    <xf numFmtId="0" fontId="20" fillId="0" borderId="0" xfId="0" applyFont="1" applyAlignment="1">
      <alignment horizontal="center"/>
    </xf>
    <xf numFmtId="17" fontId="11" fillId="0" borderId="0" xfId="0" applyNumberFormat="1" applyFont="1" applyBorder="1" applyAlignment="1">
      <alignment horizontal="left" vertical="center" wrapText="1"/>
    </xf>
    <xf numFmtId="0" fontId="11" fillId="0" borderId="0" xfId="0" applyFont="1" applyBorder="1" applyAlignment="1">
      <alignment horizontal="left" vertical="center" wrapText="1"/>
    </xf>
    <xf numFmtId="0" fontId="15" fillId="0" borderId="0" xfId="0" applyFont="1" applyBorder="1" applyAlignment="1">
      <alignment horizontal="center" vertical="center"/>
    </xf>
    <xf numFmtId="0" fontId="12" fillId="8" borderId="4" xfId="0" applyFont="1" applyFill="1" applyBorder="1" applyAlignment="1">
      <alignment horizontal="right" vertical="center" wrapText="1"/>
    </xf>
    <xf numFmtId="0" fontId="12" fillId="5" borderId="4" xfId="0" applyFont="1" applyFill="1" applyBorder="1" applyAlignment="1">
      <alignment horizontal="left" vertical="center" wrapText="1"/>
    </xf>
    <xf numFmtId="0" fontId="12" fillId="10" borderId="4" xfId="0" applyFont="1" applyFill="1" applyBorder="1" applyAlignment="1">
      <alignment horizontal="center" vertical="center" wrapText="1"/>
    </xf>
    <xf numFmtId="0" fontId="12" fillId="9" borderId="4" xfId="0" applyFont="1" applyFill="1" applyBorder="1" applyAlignment="1">
      <alignment horizontal="right" vertical="center" wrapText="1"/>
    </xf>
    <xf numFmtId="0" fontId="12" fillId="5" borderId="4" xfId="0" applyFont="1" applyFill="1" applyBorder="1" applyAlignment="1">
      <alignment horizontal="right" vertical="center" wrapText="1"/>
    </xf>
    <xf numFmtId="10" fontId="12" fillId="8" borderId="4" xfId="0" applyNumberFormat="1" applyFont="1" applyFill="1" applyBorder="1" applyAlignment="1">
      <alignment horizontal="right" vertical="center" wrapText="1"/>
    </xf>
    <xf numFmtId="0" fontId="16" fillId="3" borderId="4" xfId="0" applyFont="1" applyFill="1" applyBorder="1" applyAlignment="1">
      <alignment horizontal="center" vertical="center"/>
    </xf>
    <xf numFmtId="0" fontId="12" fillId="0" borderId="4" xfId="0" applyFont="1" applyFill="1" applyBorder="1" applyAlignment="1">
      <alignment horizontal="left" vertical="center" wrapText="1"/>
    </xf>
    <xf numFmtId="17" fontId="11" fillId="0" borderId="0" xfId="0" applyNumberFormat="1" applyFont="1" applyFill="1" applyBorder="1" applyAlignment="1">
      <alignment horizontal="left" vertical="center" wrapText="1"/>
    </xf>
    <xf numFmtId="0" fontId="11" fillId="0" borderId="0" xfId="0" applyFont="1" applyFill="1" applyBorder="1" applyAlignment="1">
      <alignment horizontal="left" vertical="center" wrapText="1"/>
    </xf>
    <xf numFmtId="0" fontId="12" fillId="0" borderId="0" xfId="0" applyFont="1" applyBorder="1" applyAlignment="1">
      <alignment horizontal="justify" vertical="center" wrapText="1"/>
    </xf>
    <xf numFmtId="1" fontId="11" fillId="0" borderId="4" xfId="0" applyNumberFormat="1" applyFont="1" applyFill="1" applyBorder="1" applyAlignment="1">
      <alignment horizontal="center" vertical="center" wrapText="1"/>
    </xf>
    <xf numFmtId="4" fontId="5" fillId="5" borderId="0" xfId="0" applyNumberFormat="1" applyFont="1" applyFill="1" applyBorder="1" applyAlignment="1">
      <alignment horizontal="right" wrapText="1"/>
    </xf>
    <xf numFmtId="4" fontId="8" fillId="5" borderId="0" xfId="0" applyNumberFormat="1" applyFont="1" applyFill="1" applyBorder="1" applyAlignment="1">
      <alignment horizontal="right" wrapText="1"/>
    </xf>
    <xf numFmtId="0" fontId="7" fillId="6" borderId="0" xfId="0" applyFont="1" applyFill="1" applyAlignment="1">
      <alignment horizontal="center" vertical="center"/>
    </xf>
    <xf numFmtId="0" fontId="11" fillId="0" borderId="0" xfId="0" applyNumberFormat="1" applyFont="1" applyAlignment="1">
      <alignment horizontal="center" vertical="center"/>
    </xf>
    <xf numFmtId="0" fontId="11" fillId="0" borderId="0" xfId="0" applyNumberFormat="1" applyFont="1" applyAlignment="1">
      <alignment horizontal="center" vertical="center" wrapText="1"/>
    </xf>
    <xf numFmtId="0" fontId="11" fillId="0" borderId="0" xfId="0" applyNumberFormat="1" applyFont="1" applyFill="1" applyAlignment="1">
      <alignment horizontal="center" vertical="center" wrapText="1"/>
    </xf>
    <xf numFmtId="0" fontId="11" fillId="5" borderId="0" xfId="0" applyNumberFormat="1" applyFont="1" applyFill="1" applyAlignment="1">
      <alignment horizontal="center" vertical="center" wrapText="1"/>
    </xf>
    <xf numFmtId="0" fontId="11" fillId="0" borderId="0" xfId="0" applyNumberFormat="1" applyFont="1" applyFill="1" applyAlignment="1">
      <alignment horizontal="center" vertical="center"/>
    </xf>
    <xf numFmtId="0" fontId="11" fillId="5" borderId="0" xfId="0" applyNumberFormat="1" applyFont="1" applyFill="1" applyAlignment="1">
      <alignment horizontal="left" vertical="center"/>
    </xf>
    <xf numFmtId="0" fontId="11" fillId="5" borderId="0" xfId="0" applyNumberFormat="1" applyFont="1" applyFill="1" applyAlignment="1">
      <alignment horizontal="left" vertical="center" wrapText="1"/>
    </xf>
    <xf numFmtId="0" fontId="12" fillId="4" borderId="0" xfId="0" applyNumberFormat="1" applyFont="1" applyFill="1" applyBorder="1" applyAlignment="1">
      <alignment horizontal="center" vertical="center" wrapText="1"/>
    </xf>
    <xf numFmtId="4" fontId="2" fillId="5" borderId="0" xfId="0" applyNumberFormat="1" applyFont="1" applyFill="1" applyBorder="1" applyAlignment="1">
      <alignment horizontal="right" wrapText="1"/>
    </xf>
    <xf numFmtId="0" fontId="11" fillId="5" borderId="0" xfId="0" applyNumberFormat="1" applyFont="1" applyFill="1" applyAlignment="1">
      <alignment horizontal="center" vertical="center"/>
    </xf>
    <xf numFmtId="0" fontId="33" fillId="0" borderId="0" xfId="0" applyFont="1" applyFill="1" applyBorder="1" applyAlignment="1">
      <alignment horizontal="center" vertical="center"/>
    </xf>
    <xf numFmtId="4" fontId="3" fillId="5" borderId="0" xfId="0" applyNumberFormat="1" applyFont="1" applyFill="1" applyBorder="1" applyAlignment="1">
      <alignment horizontal="right" wrapText="1"/>
    </xf>
    <xf numFmtId="0" fontId="11" fillId="0" borderId="0" xfId="0" applyNumberFormat="1" applyFont="1" applyFill="1" applyBorder="1" applyAlignment="1">
      <alignment horizontal="left" vertical="center" wrapText="1"/>
    </xf>
    <xf numFmtId="0" fontId="11" fillId="8" borderId="34" xfId="0" applyFont="1" applyFill="1" applyBorder="1" applyAlignment="1">
      <alignment horizontal="center" vertical="center"/>
    </xf>
    <xf numFmtId="0" fontId="11" fillId="8" borderId="2" xfId="0" applyFont="1" applyFill="1" applyBorder="1" applyAlignment="1">
      <alignment horizontal="center" vertical="center"/>
    </xf>
    <xf numFmtId="0" fontId="11" fillId="8" borderId="22" xfId="0" applyFont="1" applyFill="1" applyBorder="1" applyAlignment="1">
      <alignment horizontal="center" vertical="center"/>
    </xf>
    <xf numFmtId="0" fontId="11" fillId="8" borderId="12" xfId="0" applyFont="1" applyFill="1" applyBorder="1" applyAlignment="1">
      <alignment horizontal="center" vertical="center" wrapText="1"/>
    </xf>
    <xf numFmtId="0" fontId="11" fillId="8" borderId="0" xfId="0" applyFont="1" applyFill="1" applyBorder="1" applyAlignment="1">
      <alignment horizontal="center" vertical="center" wrapText="1"/>
    </xf>
    <xf numFmtId="0" fontId="11" fillId="0" borderId="34" xfId="0" applyFont="1" applyFill="1" applyBorder="1" applyAlignment="1">
      <alignment horizontal="center" vertical="center"/>
    </xf>
    <xf numFmtId="0" fontId="11" fillId="0" borderId="2" xfId="0" applyFont="1" applyFill="1" applyBorder="1" applyAlignment="1">
      <alignment horizontal="center" vertical="center"/>
    </xf>
    <xf numFmtId="0" fontId="11" fillId="0" borderId="22" xfId="0" applyFont="1" applyFill="1" applyBorder="1" applyAlignment="1">
      <alignment horizontal="center" vertical="center"/>
    </xf>
    <xf numFmtId="0" fontId="8" fillId="0" borderId="3" xfId="0" applyFont="1" applyBorder="1" applyAlignment="1">
      <alignment horizontal="center" vertical="center" textRotation="90"/>
    </xf>
    <xf numFmtId="0" fontId="7" fillId="12" borderId="16" xfId="0" applyFont="1" applyFill="1" applyBorder="1" applyAlignment="1">
      <alignment horizontal="center" vertical="center"/>
    </xf>
    <xf numFmtId="0" fontId="7" fillId="12" borderId="6" xfId="0" applyFont="1" applyFill="1" applyBorder="1" applyAlignment="1">
      <alignment horizontal="center" vertical="center"/>
    </xf>
    <xf numFmtId="0" fontId="7" fillId="12" borderId="11" xfId="0" applyFont="1" applyFill="1" applyBorder="1" applyAlignment="1">
      <alignment horizontal="center" vertical="center"/>
    </xf>
    <xf numFmtId="0" fontId="7" fillId="12" borderId="15" xfId="0" applyFont="1" applyFill="1" applyBorder="1" applyAlignment="1">
      <alignment horizontal="center" vertical="center"/>
    </xf>
    <xf numFmtId="0" fontId="7" fillId="12" borderId="16"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10" xfId="0" applyFont="1" applyFill="1" applyBorder="1" applyAlignment="1">
      <alignment horizontal="center" vertical="center" wrapText="1"/>
    </xf>
    <xf numFmtId="0" fontId="7" fillId="12" borderId="1" xfId="0" applyFont="1" applyFill="1" applyBorder="1" applyAlignment="1">
      <alignment horizontal="center" vertical="center" wrapText="1"/>
    </xf>
    <xf numFmtId="0" fontId="4" fillId="0" borderId="18" xfId="0" applyFont="1" applyBorder="1" applyAlignment="1">
      <alignment horizontal="center" vertical="center"/>
    </xf>
    <xf numFmtId="0" fontId="4" fillId="0" borderId="17" xfId="0" applyFont="1" applyBorder="1" applyAlignment="1">
      <alignment horizontal="center" vertical="center"/>
    </xf>
    <xf numFmtId="0" fontId="4" fillId="0" borderId="19" xfId="0" applyFont="1" applyFill="1" applyBorder="1" applyAlignment="1">
      <alignment horizontal="left" vertical="center" wrapText="1"/>
    </xf>
    <xf numFmtId="10" fontId="4" fillId="0" borderId="7" xfId="0" applyNumberFormat="1" applyFont="1" applyBorder="1" applyAlignment="1">
      <alignment horizontal="center" vertical="center"/>
    </xf>
    <xf numFmtId="167" fontId="4" fillId="0" borderId="7" xfId="0" applyNumberFormat="1" applyFont="1" applyBorder="1" applyAlignment="1">
      <alignment horizontal="center" vertical="center"/>
    </xf>
    <xf numFmtId="0" fontId="1" fillId="0" borderId="18" xfId="0" quotePrefix="1" applyFont="1" applyBorder="1" applyAlignment="1">
      <alignment horizontal="center" vertical="center"/>
    </xf>
    <xf numFmtId="167" fontId="11" fillId="0" borderId="7" xfId="0" applyNumberFormat="1" applyFont="1" applyBorder="1" applyAlignment="1">
      <alignment horizontal="center" vertical="center"/>
    </xf>
    <xf numFmtId="0" fontId="4" fillId="0" borderId="18" xfId="0" applyFont="1" applyFill="1" applyBorder="1" applyAlignment="1">
      <alignment horizontal="left" vertical="center" wrapText="1"/>
    </xf>
    <xf numFmtId="0" fontId="4" fillId="0" borderId="17" xfId="0" applyFont="1" applyFill="1" applyBorder="1" applyAlignment="1">
      <alignment horizontal="left" vertical="center" wrapText="1"/>
    </xf>
    <xf numFmtId="167" fontId="4" fillId="0" borderId="7" xfId="0" applyNumberFormat="1" applyFont="1" applyFill="1" applyBorder="1" applyAlignment="1">
      <alignment horizontal="center" vertical="center"/>
    </xf>
    <xf numFmtId="0" fontId="27" fillId="13" borderId="4" xfId="0" applyNumberFormat="1" applyFont="1" applyFill="1" applyBorder="1" applyAlignment="1" applyProtection="1">
      <alignment horizontal="left" vertical="center" wrapText="1"/>
    </xf>
    <xf numFmtId="0" fontId="27" fillId="5" borderId="5" xfId="0" applyNumberFormat="1" applyFont="1" applyFill="1" applyBorder="1" applyAlignment="1" applyProtection="1">
      <alignment horizontal="center" vertical="center" wrapText="1"/>
    </xf>
    <xf numFmtId="0" fontId="27" fillId="5" borderId="4" xfId="0" applyNumberFormat="1" applyFont="1" applyFill="1" applyBorder="1" applyAlignment="1" applyProtection="1">
      <alignment horizontal="center" vertical="center" wrapText="1"/>
    </xf>
    <xf numFmtId="0" fontId="27" fillId="5" borderId="9" xfId="0" applyNumberFormat="1" applyFont="1" applyFill="1" applyBorder="1" applyAlignment="1" applyProtection="1">
      <alignment horizontal="center" vertical="center" wrapText="1"/>
    </xf>
    <xf numFmtId="0" fontId="27" fillId="13" borderId="4" xfId="0" applyNumberFormat="1" applyFont="1" applyFill="1" applyBorder="1" applyAlignment="1" applyProtection="1">
      <alignment vertical="center" wrapText="1"/>
    </xf>
    <xf numFmtId="0" fontId="27" fillId="13" borderId="4" xfId="0" applyNumberFormat="1" applyFont="1" applyFill="1" applyBorder="1" applyAlignment="1" applyProtection="1">
      <alignment horizontal="left" vertical="center"/>
    </xf>
    <xf numFmtId="0" fontId="11" fillId="0" borderId="5" xfId="0" applyFont="1" applyBorder="1" applyAlignment="1">
      <alignment horizontal="center" vertical="center"/>
    </xf>
    <xf numFmtId="0" fontId="7" fillId="12" borderId="5" xfId="0" applyFont="1" applyFill="1" applyBorder="1" applyAlignment="1">
      <alignment horizontal="right"/>
    </xf>
    <xf numFmtId="0" fontId="7" fillId="12" borderId="9" xfId="0" applyFont="1" applyFill="1" applyBorder="1" applyAlignment="1">
      <alignment horizontal="right"/>
    </xf>
    <xf numFmtId="0" fontId="7" fillId="12" borderId="3" xfId="0" applyFont="1" applyFill="1" applyBorder="1" applyAlignment="1">
      <alignment horizontal="center" vertical="center" wrapText="1"/>
    </xf>
    <xf numFmtId="0" fontId="12" fillId="5" borderId="5" xfId="0" applyFont="1" applyFill="1" applyBorder="1" applyAlignment="1">
      <alignment horizontal="right" vertical="center"/>
    </xf>
    <xf numFmtId="0" fontId="12" fillId="5" borderId="9" xfId="0" applyFont="1" applyFill="1" applyBorder="1" applyAlignment="1">
      <alignment horizontal="right" vertical="center"/>
    </xf>
    <xf numFmtId="0" fontId="11" fillId="0" borderId="0" xfId="0" applyNumberFormat="1" applyFont="1" applyBorder="1" applyAlignment="1">
      <alignment horizontal="left" vertical="center" wrapText="1"/>
    </xf>
    <xf numFmtId="0" fontId="11" fillId="0" borderId="0" xfId="0" applyFont="1" applyBorder="1" applyAlignment="1">
      <alignment horizontal="center" vertical="center" wrapText="1"/>
    </xf>
    <xf numFmtId="0" fontId="7" fillId="12" borderId="13" xfId="0" applyFont="1" applyFill="1" applyBorder="1" applyAlignment="1">
      <alignment horizontal="center" vertical="center" wrapText="1"/>
    </xf>
    <xf numFmtId="0" fontId="7" fillId="12" borderId="4" xfId="0" applyFont="1" applyFill="1" applyBorder="1" applyAlignment="1">
      <alignment horizontal="center" vertical="center" wrapText="1"/>
    </xf>
    <xf numFmtId="4" fontId="27" fillId="0" borderId="0" xfId="0" applyNumberFormat="1" applyFont="1" applyFill="1" applyBorder="1" applyAlignment="1" applyProtection="1">
      <alignment horizontal="right" vertical="center" wrapText="1"/>
      <protection hidden="1"/>
    </xf>
    <xf numFmtId="4" fontId="26" fillId="0" borderId="0" xfId="0" applyNumberFormat="1" applyFont="1" applyFill="1" applyBorder="1" applyAlignment="1" applyProtection="1">
      <alignment horizontal="left" vertical="center" wrapText="1"/>
      <protection hidden="1"/>
    </xf>
    <xf numFmtId="4" fontId="26" fillId="0" borderId="0" xfId="0" applyNumberFormat="1" applyFont="1" applyFill="1" applyBorder="1" applyAlignment="1" applyProtection="1">
      <alignment horizontal="center" vertical="center" wrapText="1"/>
      <protection hidden="1"/>
    </xf>
    <xf numFmtId="4" fontId="26" fillId="8" borderId="4" xfId="0" applyNumberFormat="1" applyFont="1" applyFill="1" applyBorder="1" applyAlignment="1" applyProtection="1">
      <alignment horizontal="left" vertical="center" wrapText="1"/>
      <protection hidden="1"/>
    </xf>
    <xf numFmtId="0" fontId="9" fillId="0" borderId="0" xfId="0" applyFont="1" applyBorder="1" applyAlignment="1">
      <alignment horizontal="left" vertical="center" wrapText="1"/>
    </xf>
    <xf numFmtId="0" fontId="18" fillId="0" borderId="0" xfId="0" applyFont="1" applyBorder="1" applyAlignment="1">
      <alignment horizontal="center" vertical="center"/>
    </xf>
    <xf numFmtId="0" fontId="10" fillId="0" borderId="0" xfId="0" applyFont="1" applyBorder="1" applyAlignment="1">
      <alignment horizontal="center" vertical="center"/>
    </xf>
    <xf numFmtId="4" fontId="26" fillId="13" borderId="4" xfId="0" applyNumberFormat="1" applyFont="1" applyFill="1" applyBorder="1" applyAlignment="1" applyProtection="1">
      <alignment horizontal="left" vertical="center" wrapText="1"/>
      <protection hidden="1"/>
    </xf>
    <xf numFmtId="0" fontId="26" fillId="0" borderId="0" xfId="0" applyFont="1" applyFill="1" applyBorder="1" applyAlignment="1" applyProtection="1">
      <alignment horizontal="center" vertical="center" wrapText="1"/>
      <protection hidden="1"/>
    </xf>
    <xf numFmtId="0" fontId="38" fillId="0" borderId="0" xfId="0" applyFont="1" applyAlignment="1">
      <alignment horizontal="left" wrapText="1"/>
    </xf>
    <xf numFmtId="0" fontId="0" fillId="0" borderId="0" xfId="0"/>
  </cellXfs>
  <cellStyles count="6">
    <cellStyle name="Hiperlink" xfId="4" builtinId="8"/>
    <cellStyle name="Moeda" xfId="1" builtinId="4"/>
    <cellStyle name="Normal" xfId="0" builtinId="0"/>
    <cellStyle name="Normal_Pesquisa no referencial 10 de maio de 2013" xfId="5" xr:uid="{182EF764-111E-49CD-B5B4-6A6C7D5149AB}"/>
    <cellStyle name="Total" xfId="2" builtinId="25" customBuiltin="1"/>
    <cellStyle name="Vírgula" xfId="3" builtinId="3"/>
  </cellStyles>
  <dxfs count="2233">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E3E3E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33CC"/>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8</xdr:row>
      <xdr:rowOff>0</xdr:rowOff>
    </xdr:from>
    <xdr:ext cx="184731" cy="264560"/>
    <xdr:sp macro="" textlink="">
      <xdr:nvSpPr>
        <xdr:cNvPr id="2" name="CaixaDeTexto 1">
          <a:extLst>
            <a:ext uri="{FF2B5EF4-FFF2-40B4-BE49-F238E27FC236}">
              <a16:creationId xmlns:a16="http://schemas.microsoft.com/office/drawing/2014/main" id="{00000000-0008-0000-0000-000002000000}"/>
            </a:ext>
          </a:extLst>
        </xdr:cNvPr>
        <xdr:cNvSpPr txBox="1"/>
      </xdr:nvSpPr>
      <xdr:spPr>
        <a:xfrm>
          <a:off x="0"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76200</xdr:colOff>
      <xdr:row>1</xdr:row>
      <xdr:rowOff>76200</xdr:rowOff>
    </xdr:from>
    <xdr:to>
      <xdr:col>1</xdr:col>
      <xdr:colOff>524436</xdr:colOff>
      <xdr:row>4</xdr:row>
      <xdr:rowOff>71809</xdr:rowOff>
    </xdr:to>
    <xdr:pic>
      <xdr:nvPicPr>
        <xdr:cNvPr id="3" name="Picture 1024" descr="Resultado de imagem para LOGO UNB">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76200" y="314325"/>
          <a:ext cx="1095936" cy="509959"/>
        </a:xfrm>
        <a:prstGeom prst="rect">
          <a:avLst/>
        </a:prstGeom>
        <a:noFill/>
        <a:ln w="9525">
          <a:noFill/>
          <a:miter lim="800000"/>
          <a:headEnd/>
          <a:tailEnd/>
        </a:ln>
      </xdr:spPr>
    </xdr:pic>
    <xdr:clientData/>
  </xdr:twoCellAnchor>
  <xdr:twoCellAnchor editAs="oneCell">
    <xdr:from>
      <xdr:col>8</xdr:col>
      <xdr:colOff>140633</xdr:colOff>
      <xdr:row>1</xdr:row>
      <xdr:rowOff>144318</xdr:rowOff>
    </xdr:from>
    <xdr:to>
      <xdr:col>9</xdr:col>
      <xdr:colOff>285189</xdr:colOff>
      <xdr:row>4</xdr:row>
      <xdr:rowOff>153231</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2233" y="382443"/>
          <a:ext cx="1097056" cy="5232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85726</xdr:colOff>
      <xdr:row>0</xdr:row>
      <xdr:rowOff>85725</xdr:rowOff>
    </xdr:from>
    <xdr:to>
      <xdr:col>1</xdr:col>
      <xdr:colOff>552450</xdr:colOff>
      <xdr:row>3</xdr:row>
      <xdr:rowOff>114300</xdr:rowOff>
    </xdr:to>
    <xdr:pic>
      <xdr:nvPicPr>
        <xdr:cNvPr id="2" name="Picture 1024" descr="Resultado de imagem para LOGO UNB">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85726" y="85725"/>
          <a:ext cx="1276349" cy="600075"/>
        </a:xfrm>
        <a:prstGeom prst="rect">
          <a:avLst/>
        </a:prstGeom>
        <a:noFill/>
        <a:ln w="9525">
          <a:noFill/>
          <a:miter lim="800000"/>
          <a:headEnd/>
          <a:tailEnd/>
        </a:ln>
      </xdr:spPr>
    </xdr:pic>
    <xdr:clientData/>
  </xdr:twoCellAnchor>
  <xdr:twoCellAnchor editAs="oneCell">
    <xdr:from>
      <xdr:col>6</xdr:col>
      <xdr:colOff>9525</xdr:colOff>
      <xdr:row>0</xdr:row>
      <xdr:rowOff>95251</xdr:rowOff>
    </xdr:from>
    <xdr:to>
      <xdr:col>6</xdr:col>
      <xdr:colOff>1266825</xdr:colOff>
      <xdr:row>3</xdr:row>
      <xdr:rowOff>76201</xdr:rowOff>
    </xdr:to>
    <xdr:pic>
      <xdr:nvPicPr>
        <xdr:cNvPr id="3" name="Imagem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86525" y="95251"/>
          <a:ext cx="1257300" cy="5524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145676</xdr:colOff>
      <xdr:row>0</xdr:row>
      <xdr:rowOff>179294</xdr:rowOff>
    </xdr:from>
    <xdr:to>
      <xdr:col>1</xdr:col>
      <xdr:colOff>1170</xdr:colOff>
      <xdr:row>3</xdr:row>
      <xdr:rowOff>122144</xdr:rowOff>
    </xdr:to>
    <xdr:pic>
      <xdr:nvPicPr>
        <xdr:cNvPr id="2" name="Picture 1024" descr="Resultado de imagem para LOGO UNB">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45676" y="179294"/>
          <a:ext cx="1085340" cy="514350"/>
        </a:xfrm>
        <a:prstGeom prst="rect">
          <a:avLst/>
        </a:prstGeom>
        <a:noFill/>
        <a:ln w="9525">
          <a:noFill/>
          <a:miter lim="800000"/>
          <a:headEnd/>
          <a:tailEnd/>
        </a:ln>
      </xdr:spPr>
    </xdr:pic>
    <xdr:clientData/>
  </xdr:twoCellAnchor>
  <xdr:twoCellAnchor editAs="oneCell">
    <xdr:from>
      <xdr:col>4</xdr:col>
      <xdr:colOff>300214</xdr:colOff>
      <xdr:row>0</xdr:row>
      <xdr:rowOff>177613</xdr:rowOff>
    </xdr:from>
    <xdr:to>
      <xdr:col>4</xdr:col>
      <xdr:colOff>1262778</xdr:colOff>
      <xdr:row>3</xdr:row>
      <xdr:rowOff>110938</xdr:rowOff>
    </xdr:to>
    <xdr:pic>
      <xdr:nvPicPr>
        <xdr:cNvPr id="3" name="Imagem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40185" y="177613"/>
          <a:ext cx="962564" cy="504825"/>
        </a:xfrm>
        <a:prstGeom prst="rect">
          <a:avLst/>
        </a:prstGeom>
      </xdr:spPr>
    </xdr:pic>
    <xdr:clientData/>
  </xdr:twoCellAnchor>
  <xdr:oneCellAnchor>
    <xdr:from>
      <xdr:col>2</xdr:col>
      <xdr:colOff>11206</xdr:colOff>
      <xdr:row>13</xdr:row>
      <xdr:rowOff>100853</xdr:rowOff>
    </xdr:from>
    <xdr:ext cx="3135345" cy="451277"/>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00000000-0008-0000-1400-000004000000}"/>
                </a:ext>
              </a:extLst>
            </xdr:cNvPr>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a:rPr>
                      <m:t>𝐵𝐷𝐼</m:t>
                    </m:r>
                    <m:r>
                      <a:rPr lang="pt-BR" sz="1100" i="1">
                        <a:latin typeface="Cambria Math"/>
                      </a:rPr>
                      <m:t>=</m:t>
                    </m:r>
                    <m:f>
                      <m:fPr>
                        <m:ctrlPr>
                          <a:rPr lang="pt-BR" sz="1100" i="1">
                            <a:latin typeface="Cambria Math" panose="02040503050406030204" pitchFamily="18" charset="0"/>
                          </a:rPr>
                        </m:ctrlPr>
                      </m:fPr>
                      <m:num>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𝐶</m:t>
                            </m:r>
                            <m:r>
                              <a:rPr lang="pt-BR" sz="1100" b="0" i="1">
                                <a:latin typeface="Cambria Math"/>
                              </a:rPr>
                              <m:t>+</m:t>
                            </m:r>
                            <m:r>
                              <a:rPr lang="pt-BR" sz="1100" b="0" i="1">
                                <a:latin typeface="Cambria Math"/>
                              </a:rPr>
                              <m:t>𝑅</m:t>
                            </m:r>
                            <m:r>
                              <a:rPr lang="pt-BR" sz="1100" b="0" i="1">
                                <a:latin typeface="Cambria Math"/>
                              </a:rPr>
                              <m:t>+</m:t>
                            </m:r>
                            <m:r>
                              <a:rPr lang="pt-BR" sz="1100" b="0" i="1">
                                <a:latin typeface="Cambria Math"/>
                              </a:rPr>
                              <m:t>𝐴</m:t>
                            </m:r>
                          </m:e>
                        </m:d>
                        <m:r>
                          <a:rPr lang="pt-BR" sz="1100" b="0" i="1">
                            <a:latin typeface="Cambria Math"/>
                          </a:rPr>
                          <m:t>∗</m:t>
                        </m:r>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𝐵</m:t>
                            </m:r>
                          </m:e>
                        </m:d>
                        <m:r>
                          <a:rPr lang="pt-BR" sz="1100" b="0" i="1">
                            <a:latin typeface="Cambria Math"/>
                          </a:rPr>
                          <m:t>∗</m:t>
                        </m:r>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𝐸</m:t>
                            </m:r>
                          </m:e>
                        </m:d>
                      </m:num>
                      <m:den>
                        <m:r>
                          <a:rPr lang="pt-BR" sz="1100" b="0" i="1">
                            <a:latin typeface="Cambria Math"/>
                          </a:rPr>
                          <m:t>[1−</m:t>
                        </m:r>
                        <m:d>
                          <m:dPr>
                            <m:ctrlPr>
                              <a:rPr lang="pt-BR" sz="1100" b="0" i="1">
                                <a:latin typeface="Cambria Math" panose="02040503050406030204" pitchFamily="18" charset="0"/>
                              </a:rPr>
                            </m:ctrlPr>
                          </m:dPr>
                          <m:e>
                            <m:r>
                              <a:rPr lang="pt-BR" sz="1100" b="0" i="1">
                                <a:latin typeface="Cambria Math"/>
                              </a:rPr>
                              <m:t>𝐷</m:t>
                            </m:r>
                            <m:r>
                              <a:rPr lang="pt-BR" sz="1100" b="0" i="1">
                                <a:latin typeface="Cambria Math"/>
                              </a:rPr>
                              <m:t>+</m:t>
                            </m:r>
                            <m:r>
                              <a:rPr lang="pt-BR" sz="1100" b="0" i="1">
                                <a:latin typeface="Cambria Math"/>
                              </a:rPr>
                              <m:t>𝑇</m:t>
                            </m:r>
                          </m:e>
                        </m:d>
                        <m:r>
                          <a:rPr lang="pt-BR" sz="1100" b="0" i="1">
                            <a:latin typeface="Cambria Math"/>
                          </a:rPr>
                          <m:t>]</m:t>
                        </m:r>
                      </m:den>
                    </m:f>
                    <m:r>
                      <a:rPr lang="pt-BR" sz="1100" b="0" i="1">
                        <a:latin typeface="Cambria Math"/>
                      </a:rPr>
                      <m:t>−1</m:t>
                    </m:r>
                  </m:oMath>
                </m:oMathPara>
              </a14:m>
              <a:endParaRPr lang="pt-BR" sz="1100"/>
            </a:p>
          </xdr:txBody>
        </xdr:sp>
      </mc:Choice>
      <mc:Fallback xmlns="">
        <xdr:sp macro="" textlink="">
          <xdr:nvSpPr>
            <xdr:cNvPr id="4" name="CaixaDeTexto 3"/>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100" b="0" i="0">
                  <a:latin typeface="Cambria Math"/>
                </a:rPr>
                <a:t>𝐵𝐷𝐼</a:t>
              </a:r>
              <a:r>
                <a:rPr lang="pt-BR" sz="1100" i="0">
                  <a:latin typeface="Cambria Math"/>
                </a:rPr>
                <a:t>=(</a:t>
              </a:r>
              <a:r>
                <a:rPr lang="pt-BR" sz="1100" b="0" i="0">
                  <a:latin typeface="Cambria Math"/>
                </a:rPr>
                <a:t>(1+𝐶+𝑅+𝐴)∗(1+𝐵)∗(1+𝐸))/([1−(𝐷+𝑇)])−1</a:t>
              </a:r>
              <a:endParaRPr lang="pt-BR" sz="1100"/>
            </a:p>
          </xdr:txBody>
        </xdr:sp>
      </mc:Fallback>
    </mc:AlternateContent>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95250</xdr:colOff>
      <xdr:row>0</xdr:row>
      <xdr:rowOff>142875</xdr:rowOff>
    </xdr:from>
    <xdr:to>
      <xdr:col>1</xdr:col>
      <xdr:colOff>85215</xdr:colOff>
      <xdr:row>3</xdr:row>
      <xdr:rowOff>85725</xdr:rowOff>
    </xdr:to>
    <xdr:pic>
      <xdr:nvPicPr>
        <xdr:cNvPr id="2" name="Picture 1024" descr="Resultado de imagem para LOGO UNB">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5250" y="142875"/>
          <a:ext cx="1094865" cy="514350"/>
        </a:xfrm>
        <a:prstGeom prst="rect">
          <a:avLst/>
        </a:prstGeom>
        <a:noFill/>
        <a:ln w="9525">
          <a:noFill/>
          <a:miter lim="800000"/>
          <a:headEnd/>
          <a:tailEnd/>
        </a:ln>
      </xdr:spPr>
    </xdr:pic>
    <xdr:clientData/>
  </xdr:twoCellAnchor>
  <xdr:twoCellAnchor editAs="oneCell">
    <xdr:from>
      <xdr:col>4</xdr:col>
      <xdr:colOff>863311</xdr:colOff>
      <xdr:row>0</xdr:row>
      <xdr:rowOff>171450</xdr:rowOff>
    </xdr:from>
    <xdr:to>
      <xdr:col>5</xdr:col>
      <xdr:colOff>391522</xdr:colOff>
      <xdr:row>3</xdr:row>
      <xdr:rowOff>104775</xdr:rowOff>
    </xdr:to>
    <xdr:pic>
      <xdr:nvPicPr>
        <xdr:cNvPr id="3" name="Imagem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02136" y="171450"/>
          <a:ext cx="985536" cy="5048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49696</xdr:colOff>
      <xdr:row>460</xdr:row>
      <xdr:rowOff>0</xdr:rowOff>
    </xdr:from>
    <xdr:ext cx="184731" cy="264560"/>
    <xdr:sp macro="" textlink="">
      <xdr:nvSpPr>
        <xdr:cNvPr id="2" name="CaixaDeTexto 1">
          <a:extLst>
            <a:ext uri="{FF2B5EF4-FFF2-40B4-BE49-F238E27FC236}">
              <a16:creationId xmlns:a16="http://schemas.microsoft.com/office/drawing/2014/main" id="{27E9EBBA-1226-4319-9439-AC58E99C844C}"/>
            </a:ext>
          </a:extLst>
        </xdr:cNvPr>
        <xdr:cNvSpPr txBox="1"/>
      </xdr:nvSpPr>
      <xdr:spPr>
        <a:xfrm>
          <a:off x="2249971" y="2960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a:extLst>
            <a:ext uri="{FF2B5EF4-FFF2-40B4-BE49-F238E27FC236}">
              <a16:creationId xmlns:a16="http://schemas.microsoft.com/office/drawing/2014/main" id="{8701E5B9-C894-43F0-B7CB-97D43D847BD5}"/>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4</xdr:col>
      <xdr:colOff>123825</xdr:colOff>
      <xdr:row>1</xdr:row>
      <xdr:rowOff>0</xdr:rowOff>
    </xdr:from>
    <xdr:to>
      <xdr:col>4</xdr:col>
      <xdr:colOff>1543838</xdr:colOff>
      <xdr:row>4</xdr:row>
      <xdr:rowOff>66675</xdr:rowOff>
    </xdr:to>
    <xdr:pic>
      <xdr:nvPicPr>
        <xdr:cNvPr id="4" name="Imagem 3">
          <a:extLst>
            <a:ext uri="{FF2B5EF4-FFF2-40B4-BE49-F238E27FC236}">
              <a16:creationId xmlns:a16="http://schemas.microsoft.com/office/drawing/2014/main" id="{9EFF576E-0FD3-4E94-BC0A-C210AF4E00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39200" y="190500"/>
          <a:ext cx="1420013" cy="6381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91637</xdr:colOff>
      <xdr:row>0</xdr:row>
      <xdr:rowOff>98535</xdr:rowOff>
    </xdr:from>
    <xdr:to>
      <xdr:col>1</xdr:col>
      <xdr:colOff>591207</xdr:colOff>
      <xdr:row>4</xdr:row>
      <xdr:rowOff>82113</xdr:rowOff>
    </xdr:to>
    <xdr:pic>
      <xdr:nvPicPr>
        <xdr:cNvPr id="2" name="Picture 1024" descr="Resultado de imagem para LOGO UNB">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1637" y="98535"/>
          <a:ext cx="1202449" cy="666750"/>
        </a:xfrm>
        <a:prstGeom prst="rect">
          <a:avLst/>
        </a:prstGeom>
        <a:noFill/>
        <a:ln w="9525">
          <a:noFill/>
          <a:miter lim="800000"/>
          <a:headEnd/>
          <a:tailEnd/>
        </a:ln>
      </xdr:spPr>
    </xdr:pic>
    <xdr:clientData/>
  </xdr:twoCellAnchor>
  <xdr:twoCellAnchor editAs="oneCell">
    <xdr:from>
      <xdr:col>8</xdr:col>
      <xdr:colOff>453259</xdr:colOff>
      <xdr:row>0</xdr:row>
      <xdr:rowOff>151086</xdr:rowOff>
    </xdr:from>
    <xdr:to>
      <xdr:col>10</xdr:col>
      <xdr:colOff>413844</xdr:colOff>
      <xdr:row>4</xdr:row>
      <xdr:rowOff>106089</xdr:rowOff>
    </xdr:to>
    <xdr:pic>
      <xdr:nvPicPr>
        <xdr:cNvPr id="3" name="Imagem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68259" y="151086"/>
          <a:ext cx="1123291" cy="6381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91637</xdr:colOff>
      <xdr:row>0</xdr:row>
      <xdr:rowOff>98535</xdr:rowOff>
    </xdr:from>
    <xdr:to>
      <xdr:col>1</xdr:col>
      <xdr:colOff>518949</xdr:colOff>
      <xdr:row>4</xdr:row>
      <xdr:rowOff>82113</xdr:rowOff>
    </xdr:to>
    <xdr:pic>
      <xdr:nvPicPr>
        <xdr:cNvPr id="2" name="Picture 1024" descr="Resultado de imagem para LOGO UNB">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1637" y="98535"/>
          <a:ext cx="1242520" cy="659853"/>
        </a:xfrm>
        <a:prstGeom prst="rect">
          <a:avLst/>
        </a:prstGeom>
        <a:noFill/>
        <a:ln w="9525">
          <a:noFill/>
          <a:miter lim="800000"/>
          <a:headEnd/>
          <a:tailEnd/>
        </a:ln>
      </xdr:spPr>
    </xdr:pic>
    <xdr:clientData/>
  </xdr:twoCellAnchor>
  <xdr:twoCellAnchor editAs="oneCell">
    <xdr:from>
      <xdr:col>8</xdr:col>
      <xdr:colOff>453259</xdr:colOff>
      <xdr:row>0</xdr:row>
      <xdr:rowOff>151086</xdr:rowOff>
    </xdr:from>
    <xdr:to>
      <xdr:col>10</xdr:col>
      <xdr:colOff>447346</xdr:colOff>
      <xdr:row>4</xdr:row>
      <xdr:rowOff>106089</xdr:rowOff>
    </xdr:to>
    <xdr:pic>
      <xdr:nvPicPr>
        <xdr:cNvPr id="3" name="Imagem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58784" y="151086"/>
          <a:ext cx="1184711" cy="63127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91637</xdr:colOff>
      <xdr:row>0</xdr:row>
      <xdr:rowOff>98535</xdr:rowOff>
    </xdr:from>
    <xdr:to>
      <xdr:col>1</xdr:col>
      <xdr:colOff>533229</xdr:colOff>
      <xdr:row>4</xdr:row>
      <xdr:rowOff>82113</xdr:rowOff>
    </xdr:to>
    <xdr:pic>
      <xdr:nvPicPr>
        <xdr:cNvPr id="2" name="Picture 1024" descr="Resultado de imagem para LOGO UNB">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1637" y="98535"/>
          <a:ext cx="1242520" cy="659853"/>
        </a:xfrm>
        <a:prstGeom prst="rect">
          <a:avLst/>
        </a:prstGeom>
        <a:noFill/>
        <a:ln w="9525">
          <a:noFill/>
          <a:miter lim="800000"/>
          <a:headEnd/>
          <a:tailEnd/>
        </a:ln>
      </xdr:spPr>
    </xdr:pic>
    <xdr:clientData/>
  </xdr:twoCellAnchor>
  <xdr:twoCellAnchor editAs="oneCell">
    <xdr:from>
      <xdr:col>8</xdr:col>
      <xdr:colOff>453259</xdr:colOff>
      <xdr:row>0</xdr:row>
      <xdr:rowOff>151086</xdr:rowOff>
    </xdr:from>
    <xdr:to>
      <xdr:col>10</xdr:col>
      <xdr:colOff>466395</xdr:colOff>
      <xdr:row>4</xdr:row>
      <xdr:rowOff>106089</xdr:rowOff>
    </xdr:to>
    <xdr:pic>
      <xdr:nvPicPr>
        <xdr:cNvPr id="3" name="Imagem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58784" y="151086"/>
          <a:ext cx="1184711" cy="63127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72587</xdr:colOff>
      <xdr:row>0</xdr:row>
      <xdr:rowOff>123825</xdr:rowOff>
    </xdr:from>
    <xdr:to>
      <xdr:col>1</xdr:col>
      <xdr:colOff>430924</xdr:colOff>
      <xdr:row>4</xdr:row>
      <xdr:rowOff>15438</xdr:rowOff>
    </xdr:to>
    <xdr:pic>
      <xdr:nvPicPr>
        <xdr:cNvPr id="6" name="Picture 1024" descr="Resultado de imagem para LOGO UNB">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72587" y="123825"/>
          <a:ext cx="1063187" cy="567888"/>
        </a:xfrm>
        <a:prstGeom prst="rect">
          <a:avLst/>
        </a:prstGeom>
        <a:noFill/>
        <a:ln w="9525">
          <a:noFill/>
          <a:miter lim="800000"/>
          <a:headEnd/>
          <a:tailEnd/>
        </a:ln>
      </xdr:spPr>
    </xdr:pic>
    <xdr:clientData/>
  </xdr:twoCellAnchor>
  <xdr:twoCellAnchor editAs="oneCell">
    <xdr:from>
      <xdr:col>5</xdr:col>
      <xdr:colOff>762000</xdr:colOff>
      <xdr:row>0</xdr:row>
      <xdr:rowOff>141561</xdr:rowOff>
    </xdr:from>
    <xdr:to>
      <xdr:col>7</xdr:col>
      <xdr:colOff>523545</xdr:colOff>
      <xdr:row>4</xdr:row>
      <xdr:rowOff>50632</xdr:rowOff>
    </xdr:to>
    <xdr:pic>
      <xdr:nvPicPr>
        <xdr:cNvPr id="7" name="Imagem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41561"/>
          <a:ext cx="1142670" cy="5853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49696</xdr:colOff>
      <xdr:row>16</xdr:row>
      <xdr:rowOff>0</xdr:rowOff>
    </xdr:from>
    <xdr:ext cx="184731" cy="264560"/>
    <xdr:sp macro="" textlink="">
      <xdr:nvSpPr>
        <xdr:cNvPr id="2" name="CaixaDeTexto 1">
          <a:extLst>
            <a:ext uri="{FF2B5EF4-FFF2-40B4-BE49-F238E27FC236}">
              <a16:creationId xmlns:a16="http://schemas.microsoft.com/office/drawing/2014/main" id="{00000000-0008-0000-0200-000002000000}"/>
            </a:ext>
          </a:extLst>
        </xdr:cNvPr>
        <xdr:cNvSpPr txBox="1"/>
      </xdr:nvSpPr>
      <xdr:spPr>
        <a:xfrm>
          <a:off x="2249971" y="3227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526596</xdr:colOff>
      <xdr:row>4</xdr:row>
      <xdr:rowOff>95250</xdr:rowOff>
    </xdr:to>
    <xdr:pic>
      <xdr:nvPicPr>
        <xdr:cNvPr id="3" name="Picture 1024" descr="Resultado de imagem para LOGO UNB">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6</xdr:col>
      <xdr:colOff>400050</xdr:colOff>
      <xdr:row>0</xdr:row>
      <xdr:rowOff>228600</xdr:rowOff>
    </xdr:from>
    <xdr:to>
      <xdr:col>7</xdr:col>
      <xdr:colOff>819939</xdr:colOff>
      <xdr:row>4</xdr:row>
      <xdr:rowOff>66675</xdr:rowOff>
    </xdr:to>
    <xdr:pic>
      <xdr:nvPicPr>
        <xdr:cNvPr id="4" name="Imagem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53450" y="190500"/>
          <a:ext cx="1420014" cy="638175"/>
        </a:xfrm>
        <a:prstGeom prst="rect">
          <a:avLst/>
        </a:prstGeom>
      </xdr:spPr>
    </xdr:pic>
    <xdr:clientData/>
  </xdr:twoCellAnchor>
  <xdr:oneCellAnchor>
    <xdr:from>
      <xdr:col>3</xdr:col>
      <xdr:colOff>49696</xdr:colOff>
      <xdr:row>18</xdr:row>
      <xdr:rowOff>0</xdr:rowOff>
    </xdr:from>
    <xdr:ext cx="184731" cy="264560"/>
    <xdr:sp macro="" textlink="">
      <xdr:nvSpPr>
        <xdr:cNvPr id="5" name="CaixaDeTexto 4">
          <a:extLst>
            <a:ext uri="{FF2B5EF4-FFF2-40B4-BE49-F238E27FC236}">
              <a16:creationId xmlns:a16="http://schemas.microsoft.com/office/drawing/2014/main" id="{00000000-0008-0000-0200-000005000000}"/>
            </a:ext>
          </a:extLst>
        </xdr:cNvPr>
        <xdr:cNvSpPr txBox="1"/>
      </xdr:nvSpPr>
      <xdr:spPr>
        <a:xfrm>
          <a:off x="2249971" y="350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49696</xdr:colOff>
      <xdr:row>108</xdr:row>
      <xdr:rowOff>0</xdr:rowOff>
    </xdr:from>
    <xdr:ext cx="184731" cy="264560"/>
    <xdr:sp macro="" textlink="">
      <xdr:nvSpPr>
        <xdr:cNvPr id="2" name="CaixaDeTexto 1">
          <a:extLst>
            <a:ext uri="{FF2B5EF4-FFF2-40B4-BE49-F238E27FC236}">
              <a16:creationId xmlns:a16="http://schemas.microsoft.com/office/drawing/2014/main" id="{00000000-0008-0000-0400-000002000000}"/>
            </a:ext>
          </a:extLst>
        </xdr:cNvPr>
        <xdr:cNvSpPr txBox="1"/>
      </xdr:nvSpPr>
      <xdr:spPr>
        <a:xfrm>
          <a:off x="2249971" y="31134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57150</xdr:rowOff>
    </xdr:from>
    <xdr:to>
      <xdr:col>1</xdr:col>
      <xdr:colOff>469446</xdr:colOff>
      <xdr:row>3</xdr:row>
      <xdr:rowOff>152400</xdr:rowOff>
    </xdr:to>
    <xdr:pic>
      <xdr:nvPicPr>
        <xdr:cNvPr id="3" name="Picture 1024" descr="Resultado de imagem para LOGO UNB">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57150"/>
          <a:ext cx="1231446" cy="666750"/>
        </a:xfrm>
        <a:prstGeom prst="rect">
          <a:avLst/>
        </a:prstGeom>
        <a:noFill/>
        <a:ln w="9525">
          <a:noFill/>
          <a:miter lim="800000"/>
          <a:headEnd/>
          <a:tailEnd/>
        </a:ln>
      </xdr:spPr>
    </xdr:pic>
    <xdr:clientData/>
  </xdr:twoCellAnchor>
  <xdr:twoCellAnchor editAs="oneCell">
    <xdr:from>
      <xdr:col>8</xdr:col>
      <xdr:colOff>400050</xdr:colOff>
      <xdr:row>0</xdr:row>
      <xdr:rowOff>66675</xdr:rowOff>
    </xdr:from>
    <xdr:to>
      <xdr:col>9</xdr:col>
      <xdr:colOff>819938</xdr:colOff>
      <xdr:row>3</xdr:row>
      <xdr:rowOff>133350</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86775" y="66675"/>
          <a:ext cx="1420013" cy="638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3</xdr:col>
      <xdr:colOff>49696</xdr:colOff>
      <xdr:row>835</xdr:row>
      <xdr:rowOff>0</xdr:rowOff>
    </xdr:from>
    <xdr:ext cx="184731" cy="264560"/>
    <xdr:sp macro="" textlink="">
      <xdr:nvSpPr>
        <xdr:cNvPr id="2" name="CaixaDeTexto 1">
          <a:extLst>
            <a:ext uri="{FF2B5EF4-FFF2-40B4-BE49-F238E27FC236}">
              <a16:creationId xmlns:a16="http://schemas.microsoft.com/office/drawing/2014/main" id="{00000000-0008-0000-0500-000002000000}"/>
            </a:ext>
          </a:extLst>
        </xdr:cNvPr>
        <xdr:cNvSpPr txBox="1"/>
      </xdr:nvSpPr>
      <xdr:spPr>
        <a:xfrm>
          <a:off x="762000" y="191493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14888" name="Picture 1024" descr="Resultado de imagem para LOGO UNB">
          <a:extLst>
            <a:ext uri="{FF2B5EF4-FFF2-40B4-BE49-F238E27FC236}">
              <a16:creationId xmlns:a16="http://schemas.microsoft.com/office/drawing/2014/main" id="{00000000-0008-0000-0500-0000283A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8250" cy="666750"/>
        </a:xfrm>
        <a:prstGeom prst="rect">
          <a:avLst/>
        </a:prstGeom>
        <a:noFill/>
        <a:ln w="9525">
          <a:noFill/>
          <a:miter lim="800000"/>
          <a:headEnd/>
          <a:tailEnd/>
        </a:ln>
      </xdr:spPr>
    </xdr:pic>
    <xdr:clientData/>
  </xdr:twoCellAnchor>
  <xdr:twoCellAnchor editAs="oneCell">
    <xdr:from>
      <xdr:col>8</xdr:col>
      <xdr:colOff>400050</xdr:colOff>
      <xdr:row>0</xdr:row>
      <xdr:rowOff>228600</xdr:rowOff>
    </xdr:from>
    <xdr:to>
      <xdr:col>9</xdr:col>
      <xdr:colOff>819939</xdr:colOff>
      <xdr:row>4</xdr:row>
      <xdr:rowOff>66675</xdr:rowOff>
    </xdr:to>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81950" y="228600"/>
          <a:ext cx="1420014" cy="6381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49696</xdr:colOff>
      <xdr:row>142</xdr:row>
      <xdr:rowOff>0</xdr:rowOff>
    </xdr:from>
    <xdr:ext cx="184731" cy="264560"/>
    <xdr:sp macro="" textlink="">
      <xdr:nvSpPr>
        <xdr:cNvPr id="2" name="CaixaDeTexto 1">
          <a:extLst>
            <a:ext uri="{FF2B5EF4-FFF2-40B4-BE49-F238E27FC236}">
              <a16:creationId xmlns:a16="http://schemas.microsoft.com/office/drawing/2014/main" id="{00000000-0008-0000-0800-000002000000}"/>
            </a:ext>
          </a:extLst>
        </xdr:cNvPr>
        <xdr:cNvSpPr txBox="1"/>
      </xdr:nvSpPr>
      <xdr:spPr>
        <a:xfrm>
          <a:off x="2249971" y="33477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8</xdr:col>
      <xdr:colOff>400050</xdr:colOff>
      <xdr:row>0</xdr:row>
      <xdr:rowOff>228600</xdr:rowOff>
    </xdr:from>
    <xdr:to>
      <xdr:col>9</xdr:col>
      <xdr:colOff>819939</xdr:colOff>
      <xdr:row>4</xdr:row>
      <xdr:rowOff>66675</xdr:rowOff>
    </xdr:to>
    <xdr:pic>
      <xdr:nvPicPr>
        <xdr:cNvPr id="4" name="Imagem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53450" y="190500"/>
          <a:ext cx="1420014" cy="6381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104775</xdr:colOff>
      <xdr:row>0</xdr:row>
      <xdr:rowOff>190500</xdr:rowOff>
    </xdr:from>
    <xdr:ext cx="1462709" cy="666750"/>
    <xdr:pic>
      <xdr:nvPicPr>
        <xdr:cNvPr id="12588" name="Picture 1024" descr="Resultado de imagem para LOGO UNB">
          <a:extLst>
            <a:ext uri="{FF2B5EF4-FFF2-40B4-BE49-F238E27FC236}">
              <a16:creationId xmlns:a16="http://schemas.microsoft.com/office/drawing/2014/main" id="{00000000-0008-0000-0700-00002C31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466850" cy="666750"/>
        </a:xfrm>
        <a:prstGeom prst="rect">
          <a:avLst/>
        </a:prstGeom>
        <a:noFill/>
        <a:ln w="9525">
          <a:noFill/>
          <a:miter lim="800000"/>
          <a:headEnd/>
          <a:tailEnd/>
        </a:ln>
      </xdr:spPr>
    </xdr:pic>
    <xdr:clientData/>
  </xdr:oneCellAnchor>
  <xdr:oneCellAnchor>
    <xdr:from>
      <xdr:col>6</xdr:col>
      <xdr:colOff>742950</xdr:colOff>
      <xdr:row>0</xdr:row>
      <xdr:rowOff>180975</xdr:rowOff>
    </xdr:from>
    <xdr:ext cx="1420016" cy="638175"/>
    <xdr:pic>
      <xdr:nvPicPr>
        <xdr:cNvPr id="3" name="Imagem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34250" y="180975"/>
          <a:ext cx="1420016" cy="63817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2</xdr:col>
      <xdr:colOff>0</xdr:colOff>
      <xdr:row>738</xdr:row>
      <xdr:rowOff>0</xdr:rowOff>
    </xdr:from>
    <xdr:ext cx="184731" cy="264560"/>
    <xdr:sp macro="" textlink="">
      <xdr:nvSpPr>
        <xdr:cNvPr id="2" name="CaixaDeTexto 1">
          <a:extLst>
            <a:ext uri="{FF2B5EF4-FFF2-40B4-BE49-F238E27FC236}">
              <a16:creationId xmlns:a16="http://schemas.microsoft.com/office/drawing/2014/main" id="{D419FEFA-FE8A-4FBC-AD0B-4AF650B7A0D5}"/>
            </a:ext>
          </a:extLst>
        </xdr:cNvPr>
        <xdr:cNvSpPr txBox="1"/>
      </xdr:nvSpPr>
      <xdr:spPr>
        <a:xfrm>
          <a:off x="1649896" y="23648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599332</xdr:colOff>
      <xdr:row>4</xdr:row>
      <xdr:rowOff>95250</xdr:rowOff>
    </xdr:to>
    <xdr:pic>
      <xdr:nvPicPr>
        <xdr:cNvPr id="3" name="Picture 1024" descr="Resultado de imagem para LOGO UNB">
          <a:extLst>
            <a:ext uri="{FF2B5EF4-FFF2-40B4-BE49-F238E27FC236}">
              <a16:creationId xmlns:a16="http://schemas.microsoft.com/office/drawing/2014/main" id="{EBDCEDD9-F1AE-47D6-93FC-A3026B8A688C}"/>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27982" cy="666750"/>
        </a:xfrm>
        <a:prstGeom prst="rect">
          <a:avLst/>
        </a:prstGeom>
        <a:noFill/>
        <a:ln w="9525">
          <a:noFill/>
          <a:miter lim="800000"/>
          <a:headEnd/>
          <a:tailEnd/>
        </a:ln>
      </xdr:spPr>
    </xdr:pic>
    <xdr:clientData/>
  </xdr:twoCellAnchor>
  <xdr:twoCellAnchor editAs="oneCell">
    <xdr:from>
      <xdr:col>3</xdr:col>
      <xdr:colOff>1664278</xdr:colOff>
      <xdr:row>0</xdr:row>
      <xdr:rowOff>77933</xdr:rowOff>
    </xdr:from>
    <xdr:to>
      <xdr:col>3</xdr:col>
      <xdr:colOff>3088621</xdr:colOff>
      <xdr:row>3</xdr:row>
      <xdr:rowOff>144608</xdr:rowOff>
    </xdr:to>
    <xdr:pic>
      <xdr:nvPicPr>
        <xdr:cNvPr id="4" name="Imagem 3">
          <a:extLst>
            <a:ext uri="{FF2B5EF4-FFF2-40B4-BE49-F238E27FC236}">
              <a16:creationId xmlns:a16="http://schemas.microsoft.com/office/drawing/2014/main" id="{9E040830-EC20-4147-B93E-B9796DED44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56073" y="77933"/>
          <a:ext cx="1424343" cy="638175"/>
        </a:xfrm>
        <a:prstGeom prst="rect">
          <a:avLst/>
        </a:prstGeom>
      </xdr:spPr>
    </xdr:pic>
    <xdr:clientData/>
  </xdr:twoCellAnchor>
  <xdr:oneCellAnchor>
    <xdr:from>
      <xdr:col>2</xdr:col>
      <xdr:colOff>0</xdr:colOff>
      <xdr:row>796</xdr:row>
      <xdr:rowOff>0</xdr:rowOff>
    </xdr:from>
    <xdr:ext cx="184731" cy="264560"/>
    <xdr:sp macro="" textlink="">
      <xdr:nvSpPr>
        <xdr:cNvPr id="5" name="CaixaDeTexto 4">
          <a:extLst>
            <a:ext uri="{FF2B5EF4-FFF2-40B4-BE49-F238E27FC236}">
              <a16:creationId xmlns:a16="http://schemas.microsoft.com/office/drawing/2014/main" id="{BCE8C698-2267-4408-A666-1D348F652EE5}"/>
            </a:ext>
          </a:extLst>
        </xdr:cNvPr>
        <xdr:cNvSpPr txBox="1"/>
      </xdr:nvSpPr>
      <xdr:spPr>
        <a:xfrm>
          <a:off x="1649896" y="25020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2</xdr:col>
      <xdr:colOff>0</xdr:colOff>
      <xdr:row>480</xdr:row>
      <xdr:rowOff>0</xdr:rowOff>
    </xdr:from>
    <xdr:ext cx="184731" cy="264560"/>
    <xdr:sp macro="" textlink="">
      <xdr:nvSpPr>
        <xdr:cNvPr id="6" name="CaixaDeTexto 5">
          <a:extLst>
            <a:ext uri="{FF2B5EF4-FFF2-40B4-BE49-F238E27FC236}">
              <a16:creationId xmlns:a16="http://schemas.microsoft.com/office/drawing/2014/main" id="{59188C1D-B148-4694-AA1D-F579CA68AE1A}"/>
            </a:ext>
          </a:extLst>
        </xdr:cNvPr>
        <xdr:cNvSpPr txBox="1"/>
      </xdr:nvSpPr>
      <xdr:spPr>
        <a:xfrm>
          <a:off x="1649896" y="16276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127187</xdr:colOff>
      <xdr:row>0</xdr:row>
      <xdr:rowOff>44823</xdr:rowOff>
    </xdr:from>
    <xdr:to>
      <xdr:col>1</xdr:col>
      <xdr:colOff>409414</xdr:colOff>
      <xdr:row>3</xdr:row>
      <xdr:rowOff>140073</xdr:rowOff>
    </xdr:to>
    <xdr:pic>
      <xdr:nvPicPr>
        <xdr:cNvPr id="2" name="Picture 1024" descr="Resultado de imagem para LOGO UNB">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27187" y="44823"/>
          <a:ext cx="1167492" cy="666750"/>
        </a:xfrm>
        <a:prstGeom prst="rect">
          <a:avLst/>
        </a:prstGeom>
        <a:noFill/>
        <a:ln w="9525">
          <a:noFill/>
          <a:miter lim="800000"/>
          <a:headEnd/>
          <a:tailEnd/>
        </a:ln>
      </xdr:spPr>
    </xdr:pic>
    <xdr:clientData/>
  </xdr:twoCellAnchor>
  <xdr:twoCellAnchor editAs="oneCell">
    <xdr:from>
      <xdr:col>16</xdr:col>
      <xdr:colOff>422462</xdr:colOff>
      <xdr:row>0</xdr:row>
      <xdr:rowOff>100853</xdr:rowOff>
    </xdr:from>
    <xdr:to>
      <xdr:col>17</xdr:col>
      <xdr:colOff>683068</xdr:colOff>
      <xdr:row>3</xdr:row>
      <xdr:rowOff>167528</xdr:rowOff>
    </xdr:to>
    <xdr:pic>
      <xdr:nvPicPr>
        <xdr:cNvPr id="3" name="Imagem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349387" y="100853"/>
          <a:ext cx="1407768" cy="6381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2</xdr:col>
      <xdr:colOff>49696</xdr:colOff>
      <xdr:row>738</xdr:row>
      <xdr:rowOff>0</xdr:rowOff>
    </xdr:from>
    <xdr:ext cx="184731" cy="264560"/>
    <xdr:sp macro="" textlink="">
      <xdr:nvSpPr>
        <xdr:cNvPr id="2" name="CaixaDeTexto 1">
          <a:extLst>
            <a:ext uri="{FF2B5EF4-FFF2-40B4-BE49-F238E27FC236}">
              <a16:creationId xmlns:a16="http://schemas.microsoft.com/office/drawing/2014/main" id="{4A04C5A5-89B1-4637-8028-7C8A1E7FB5AA}"/>
            </a:ext>
          </a:extLst>
        </xdr:cNvPr>
        <xdr:cNvSpPr txBox="1"/>
      </xdr:nvSpPr>
      <xdr:spPr>
        <a:xfrm>
          <a:off x="2249971" y="2960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599332</xdr:colOff>
      <xdr:row>4</xdr:row>
      <xdr:rowOff>95250</xdr:rowOff>
    </xdr:to>
    <xdr:pic>
      <xdr:nvPicPr>
        <xdr:cNvPr id="3" name="Picture 1024" descr="Resultado de imagem para LOGO UNB">
          <a:extLst>
            <a:ext uri="{FF2B5EF4-FFF2-40B4-BE49-F238E27FC236}">
              <a16:creationId xmlns:a16="http://schemas.microsoft.com/office/drawing/2014/main" id="{4AAC8EAA-6B6B-4E51-A00D-39D42B3AA752}"/>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3</xdr:col>
      <xdr:colOff>867641</xdr:colOff>
      <xdr:row>0</xdr:row>
      <xdr:rowOff>147205</xdr:rowOff>
    </xdr:from>
    <xdr:to>
      <xdr:col>5</xdr:col>
      <xdr:colOff>793962</xdr:colOff>
      <xdr:row>4</xdr:row>
      <xdr:rowOff>23380</xdr:rowOff>
    </xdr:to>
    <xdr:pic>
      <xdr:nvPicPr>
        <xdr:cNvPr id="4" name="Imagem 3">
          <a:extLst>
            <a:ext uri="{FF2B5EF4-FFF2-40B4-BE49-F238E27FC236}">
              <a16:creationId xmlns:a16="http://schemas.microsoft.com/office/drawing/2014/main" id="{5DEB0E6D-7335-4BE8-8FD7-CDD26ACF44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83482" y="147205"/>
          <a:ext cx="1424343" cy="638175"/>
        </a:xfrm>
        <a:prstGeom prst="rect">
          <a:avLst/>
        </a:prstGeom>
      </xdr:spPr>
    </xdr:pic>
    <xdr:clientData/>
  </xdr:twoCellAnchor>
  <xdr:oneCellAnchor>
    <xdr:from>
      <xdr:col>2</xdr:col>
      <xdr:colOff>49696</xdr:colOff>
      <xdr:row>796</xdr:row>
      <xdr:rowOff>0</xdr:rowOff>
    </xdr:from>
    <xdr:ext cx="184731" cy="264560"/>
    <xdr:sp macro="" textlink="">
      <xdr:nvSpPr>
        <xdr:cNvPr id="5" name="CaixaDeTexto 4">
          <a:extLst>
            <a:ext uri="{FF2B5EF4-FFF2-40B4-BE49-F238E27FC236}">
              <a16:creationId xmlns:a16="http://schemas.microsoft.com/office/drawing/2014/main" id="{43F06D8E-3040-47C5-8F30-2F1EF18EE745}"/>
            </a:ext>
          </a:extLst>
        </xdr:cNvPr>
        <xdr:cNvSpPr txBox="1"/>
      </xdr:nvSpPr>
      <xdr:spPr>
        <a:xfrm>
          <a:off x="2249971" y="9448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2</xdr:col>
      <xdr:colOff>49696</xdr:colOff>
      <xdr:row>480</xdr:row>
      <xdr:rowOff>0</xdr:rowOff>
    </xdr:from>
    <xdr:ext cx="184731" cy="264560"/>
    <xdr:sp macro="" textlink="">
      <xdr:nvSpPr>
        <xdr:cNvPr id="6" name="CaixaDeTexto 5">
          <a:extLst>
            <a:ext uri="{FF2B5EF4-FFF2-40B4-BE49-F238E27FC236}">
              <a16:creationId xmlns:a16="http://schemas.microsoft.com/office/drawing/2014/main" id="{6B79E838-0004-4684-9D7C-0CCD1D36C5CE}"/>
            </a:ext>
          </a:extLst>
        </xdr:cNvPr>
        <xdr:cNvSpPr txBox="1"/>
      </xdr:nvSpPr>
      <xdr:spPr>
        <a:xfrm>
          <a:off x="2249971"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mailto:vendas@refriarparts.com.br" TargetMode="External"/><Relationship Id="rId18" Type="http://schemas.openxmlformats.org/officeDocument/2006/relationships/hyperlink" Target="mailto:lojavirtual@arcotec.com.br" TargetMode="External"/><Relationship Id="rId26" Type="http://schemas.openxmlformats.org/officeDocument/2006/relationships/hyperlink" Target="https://www.polipartes.com.br/valvula-de-servico-para-condensadora-3-8-r22-80150-021.html" TargetMode="External"/><Relationship Id="rId39" Type="http://schemas.openxmlformats.org/officeDocument/2006/relationships/hyperlink" Target="https://www.splitpecas.com.br/pecas-para-ar-condicionado/valvulas/valvula-de-liquido-1-4-com-schrader-condensadora-7-000-9-000-e-12-000btus" TargetMode="External"/><Relationship Id="rId21" Type="http://schemas.openxmlformats.org/officeDocument/2006/relationships/hyperlink" Target="http://www.refriarparts.com.br/produtos/0,29252_valvula-de-servico-5-8-valvula-de-servico-da-condensadora-5-8" TargetMode="External"/><Relationship Id="rId34" Type="http://schemas.openxmlformats.org/officeDocument/2006/relationships/hyperlink" Target="mailto:geiser.silva@thyssenkrupp.com" TargetMode="External"/><Relationship Id="rId42" Type="http://schemas.openxmlformats.org/officeDocument/2006/relationships/hyperlink" Target="mailto:merito@meritocomercial.com.br" TargetMode="External"/><Relationship Id="rId47" Type="http://schemas.openxmlformats.org/officeDocument/2006/relationships/hyperlink" Target="https://www.casadoexaustor.com.br/" TargetMode="External"/><Relationship Id="rId50" Type="http://schemas.openxmlformats.org/officeDocument/2006/relationships/drawing" Target="../drawings/drawing10.xml"/><Relationship Id="rId7" Type="http://schemas.openxmlformats.org/officeDocument/2006/relationships/hyperlink" Target="mailto:vendas@polipartes.com.br" TargetMode="External"/><Relationship Id="rId2" Type="http://schemas.openxmlformats.org/officeDocument/2006/relationships/hyperlink" Target="mailto:contato@cirilopecas.com.br" TargetMode="External"/><Relationship Id="rId16" Type="http://schemas.openxmlformats.org/officeDocument/2006/relationships/hyperlink" Target="mailto:arnon@tecnicontrol.com.br" TargetMode="External"/><Relationship Id="rId29" Type="http://schemas.openxmlformats.org/officeDocument/2006/relationships/hyperlink" Target="https://www.daikin.com.br/" TargetMode="External"/><Relationship Id="rId11" Type="http://schemas.openxmlformats.org/officeDocument/2006/relationships/hyperlink" Target="mailto:vendas@refriarparts.com.br" TargetMode="External"/><Relationship Id="rId24" Type="http://schemas.openxmlformats.org/officeDocument/2006/relationships/hyperlink" Target="http://www.refriarparts.com.br/produtos/0,86244_valvula-de-servico-da-condensadora-1-2-valvula-de-servico-1-2" TargetMode="External"/><Relationship Id="rId32" Type="http://schemas.openxmlformats.org/officeDocument/2006/relationships/hyperlink" Target="http://www.tecnicontrol.com.br/" TargetMode="External"/><Relationship Id="rId37" Type="http://schemas.openxmlformats.org/officeDocument/2006/relationships/hyperlink" Target="https://www.eletrofrigor.com.br/valvula-de-servico-78-r22-com-base-ar-condicionado-split-piso-teto-springer-carrier-midea-36-48-60.html?gclid=Cj0KCQjwmpb0BRCBARIsAG7y4zYwiPaYClosXbBT_tM0qBIXC9L6bUlm3mN1oqUEqGdvCCwzkzXNeNYaAi1mEALw_wcB" TargetMode="External"/><Relationship Id="rId40" Type="http://schemas.openxmlformats.org/officeDocument/2006/relationships/hyperlink" Target="http://www.refriarparts.com.br/produtos/0,24211_valvula-liquido-condensadora-1-4-com-schrader-valvula-de-servico-condensadora-1-4" TargetMode="External"/><Relationship Id="rId45" Type="http://schemas.openxmlformats.org/officeDocument/2006/relationships/hyperlink" Target="https://www.casadoexaustor.com.br/" TargetMode="External"/><Relationship Id="rId5" Type="http://schemas.openxmlformats.org/officeDocument/2006/relationships/hyperlink" Target="mailto:vendas@polipartes.com.br" TargetMode="External"/><Relationship Id="rId15" Type="http://schemas.openxmlformats.org/officeDocument/2006/relationships/hyperlink" Target="http://www.tecnicontrol.com.br/" TargetMode="External"/><Relationship Id="rId23" Type="http://schemas.openxmlformats.org/officeDocument/2006/relationships/hyperlink" Target="https://www.polipartes.com.br/valvula-de-servico-para-condensadora-de-1-2-r22-80170-022.html" TargetMode="External"/><Relationship Id="rId28" Type="http://schemas.openxmlformats.org/officeDocument/2006/relationships/hyperlink" Target="mailto:danilo.viana@daikin.com.br" TargetMode="External"/><Relationship Id="rId36" Type="http://schemas.openxmlformats.org/officeDocument/2006/relationships/hyperlink" Target="http://www.arcotec.com.br/catalogo-produtos/acessorios-em-geral/fita-de-vedacao/" TargetMode="External"/><Relationship Id="rId49" Type="http://schemas.openxmlformats.org/officeDocument/2006/relationships/printerSettings" Target="../printerSettings/printerSettings10.bin"/><Relationship Id="rId10" Type="http://schemas.openxmlformats.org/officeDocument/2006/relationships/hyperlink" Target="mailto:vendas@polipartes.com.br" TargetMode="External"/><Relationship Id="rId19" Type="http://schemas.openxmlformats.org/officeDocument/2006/relationships/hyperlink" Target="mailto:lojavirtual@arcotec.com.br" TargetMode="External"/><Relationship Id="rId31" Type="http://schemas.openxmlformats.org/officeDocument/2006/relationships/hyperlink" Target="https://www.aladimmetais.com.br/produto/tubo-quadrado-metalon-40-x-40-1-25-galvanizado-6mts-76669?atributo=1.25%20Galv.:250" TargetMode="External"/><Relationship Id="rId44" Type="http://schemas.openxmlformats.org/officeDocument/2006/relationships/hyperlink" Target="mailto:vendas@casadoexaustor.com.br" TargetMode="External"/><Relationship Id="rId4" Type="http://schemas.openxmlformats.org/officeDocument/2006/relationships/hyperlink" Target="mailto:vendas@splitpecas.com.br" TargetMode="External"/><Relationship Id="rId9" Type="http://schemas.openxmlformats.org/officeDocument/2006/relationships/hyperlink" Target="mailto:vendas@splitpecas.com.br" TargetMode="External"/><Relationship Id="rId14" Type="http://schemas.openxmlformats.org/officeDocument/2006/relationships/hyperlink" Target="mailto:vendas@splitpecas.com.br" TargetMode="External"/><Relationship Id="rId22" Type="http://schemas.openxmlformats.org/officeDocument/2006/relationships/hyperlink" Target="https://www.splitpecas.com.br/pecas-para-ar-condicionado/valvulas/valvula-de-servico-1-2-para-ar-condicionado" TargetMode="External"/><Relationship Id="rId27" Type="http://schemas.openxmlformats.org/officeDocument/2006/relationships/hyperlink" Target="http://www.refriarparts.com.br/produtos/0,86244_valvula-de-servico-da-condensadora-1-2-valvula-de-servico-1-2" TargetMode="External"/><Relationship Id="rId30" Type="http://schemas.openxmlformats.org/officeDocument/2006/relationships/hyperlink" Target="https://www.aladimmetais.com.br/produto/tubo-quadrado-metalon-40-x-40-1-25-galvanizado-6mts-76669?atributo=1.25%20Galv.:250" TargetMode="External"/><Relationship Id="rId35" Type="http://schemas.openxmlformats.org/officeDocument/2006/relationships/hyperlink" Target="http://www.thyssenkruppelevadores.com.br/" TargetMode="External"/><Relationship Id="rId43" Type="http://schemas.openxmlformats.org/officeDocument/2006/relationships/hyperlink" Target="https://www.casadoexaustor.com.br/" TargetMode="External"/><Relationship Id="rId48" Type="http://schemas.openxmlformats.org/officeDocument/2006/relationships/hyperlink" Target="mailto:vendas@casadoexaustor.com.br" TargetMode="External"/><Relationship Id="rId8" Type="http://schemas.openxmlformats.org/officeDocument/2006/relationships/hyperlink" Target="mailto:vendas@refriarparts.com.br" TargetMode="External"/><Relationship Id="rId3" Type="http://schemas.openxmlformats.org/officeDocument/2006/relationships/hyperlink" Target="https://www.splitpecas.com.br/pecas-para-ar-condicionado/valvula-de-servico-7-8-soldavel-midea-carrier-piso-teto-36-000-a-90-000-btus-317410-401--p" TargetMode="External"/><Relationship Id="rId12" Type="http://schemas.openxmlformats.org/officeDocument/2006/relationships/hyperlink" Target="mailto:vendas@splitpecas.com.br" TargetMode="External"/><Relationship Id="rId17" Type="http://schemas.openxmlformats.org/officeDocument/2006/relationships/hyperlink" Target="http://www.arcotec.com.br/catalogo-produtos/acessorios-para-dutos-tdc/canto-para-duto-tdc-25mm-18/" TargetMode="External"/><Relationship Id="rId25" Type="http://schemas.openxmlformats.org/officeDocument/2006/relationships/hyperlink" Target="https://www.splitpecas.com.br/pecas-para-ar-condicionado/valvulas/valvula-de-servico-3-8-para-ar-condicionado" TargetMode="External"/><Relationship Id="rId33" Type="http://schemas.openxmlformats.org/officeDocument/2006/relationships/hyperlink" Target="mailto:arnon@tecnicontrol.com.br" TargetMode="External"/><Relationship Id="rId38" Type="http://schemas.openxmlformats.org/officeDocument/2006/relationships/hyperlink" Target="https://www.eletrofrigor.com.br/valvula-de-servico-58-condensadora-ar-condicionado-split-r22.htmlgclid=Cj0KCQjwmpb0BRCBARIsAG7y4zYwiPaYClosXbBT_tM0qBIXC9L6bUlm3mN1oqUEqGdvCCwzkzXNeNYaAi1mEALw_wcB" TargetMode="External"/><Relationship Id="rId46" Type="http://schemas.openxmlformats.org/officeDocument/2006/relationships/hyperlink" Target="mailto:vendas@casadoexaustor.com.br" TargetMode="External"/><Relationship Id="rId20" Type="http://schemas.openxmlformats.org/officeDocument/2006/relationships/hyperlink" Target="https://www.polipartes.com.br/valvula-de-servico-5-8-ar-condicionado-r22-split-springer-07404040.html" TargetMode="External"/><Relationship Id="rId41" Type="http://schemas.openxmlformats.org/officeDocument/2006/relationships/hyperlink" Target="https://www.meritocomercial.com.br/tanque-de-pressao-schneider-tap-20-20320095009-p1027818" TargetMode="External"/><Relationship Id="rId1" Type="http://schemas.openxmlformats.org/officeDocument/2006/relationships/hyperlink" Target="https://www.cirilopecas.com.br/pecas-ar-condicionado/valvula-de-servico-7-8-carrier-60-000-r22" TargetMode="External"/><Relationship Id="rId6" Type="http://schemas.openxmlformats.org/officeDocument/2006/relationships/hyperlink" Target="mailto:vendas@refriarparts.com.br"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8">
    <pageSetUpPr fitToPage="1"/>
  </sheetPr>
  <dimension ref="A1:J32"/>
  <sheetViews>
    <sheetView tabSelected="1" view="pageBreakPreview" zoomScaleNormal="100" zoomScaleSheetLayoutView="100" zoomScalePageLayoutView="85" workbookViewId="0">
      <selection activeCell="J33" sqref="J33"/>
    </sheetView>
  </sheetViews>
  <sheetFormatPr defaultColWidth="8.42578125" defaultRowHeight="15.75" x14ac:dyDescent="0.2"/>
  <cols>
    <col min="1" max="1" width="9.7109375" style="88" customWidth="1"/>
    <col min="2" max="2" width="9.7109375" style="89" customWidth="1"/>
    <col min="3" max="3" width="9.7109375" style="90" customWidth="1"/>
    <col min="4" max="4" width="9.7109375" style="91" customWidth="1"/>
    <col min="5" max="8" width="9.7109375" style="82" customWidth="1"/>
    <col min="9" max="9" width="14.28515625" style="82" customWidth="1"/>
    <col min="10" max="10" width="5.42578125" style="82" customWidth="1"/>
    <col min="11" max="16384" width="8.42578125" style="82"/>
  </cols>
  <sheetData>
    <row r="1" spans="1:10" ht="18.75" customHeight="1" x14ac:dyDescent="0.25">
      <c r="A1" s="80"/>
      <c r="B1" s="81"/>
      <c r="C1" s="81"/>
      <c r="D1" s="81"/>
    </row>
    <row r="2" spans="1:10" ht="12.75" customHeight="1" x14ac:dyDescent="0.2">
      <c r="A2" s="83"/>
      <c r="B2" s="84"/>
      <c r="C2" s="84"/>
      <c r="D2" s="85"/>
    </row>
    <row r="3" spans="1:10" ht="15" customHeight="1" x14ac:dyDescent="0.2">
      <c r="A3" s="2123" t="s">
        <v>34</v>
      </c>
      <c r="B3" s="2123"/>
      <c r="C3" s="2123"/>
      <c r="D3" s="2123"/>
      <c r="E3" s="2123"/>
      <c r="F3" s="2123"/>
      <c r="G3" s="2123"/>
      <c r="H3" s="2123"/>
      <c r="I3" s="2123"/>
      <c r="J3" s="2123"/>
    </row>
    <row r="4" spans="1:10" ht="12.75" customHeight="1" x14ac:dyDescent="0.2">
      <c r="A4" s="2123" t="s">
        <v>35</v>
      </c>
      <c r="B4" s="2123"/>
      <c r="C4" s="2123"/>
      <c r="D4" s="2123"/>
      <c r="E4" s="2123"/>
      <c r="F4" s="2123"/>
      <c r="G4" s="2123"/>
      <c r="H4" s="2123"/>
      <c r="I4" s="2123"/>
      <c r="J4" s="2123"/>
    </row>
    <row r="5" spans="1:10" x14ac:dyDescent="0.2">
      <c r="A5" s="2123" t="s">
        <v>4980</v>
      </c>
      <c r="B5" s="2123"/>
      <c r="C5" s="2123"/>
      <c r="D5" s="2123"/>
      <c r="E5" s="2123"/>
      <c r="F5" s="2123"/>
      <c r="G5" s="2123"/>
      <c r="H5" s="2123"/>
      <c r="I5" s="2123"/>
      <c r="J5" s="2123"/>
    </row>
    <row r="6" spans="1:10" x14ac:dyDescent="0.25">
      <c r="A6" s="80"/>
      <c r="B6" s="81"/>
      <c r="C6" s="81"/>
      <c r="D6" s="81"/>
    </row>
    <row r="7" spans="1:10" x14ac:dyDescent="0.2">
      <c r="A7" s="83"/>
      <c r="B7" s="84"/>
      <c r="C7" s="84"/>
      <c r="D7" s="85"/>
    </row>
    <row r="8" spans="1:10" x14ac:dyDescent="0.2">
      <c r="A8" s="83"/>
      <c r="B8" s="84"/>
      <c r="C8" s="84"/>
      <c r="D8" s="85"/>
    </row>
    <row r="15" spans="1:10" ht="31.5" x14ac:dyDescent="0.5">
      <c r="A15" s="2124" t="s">
        <v>5176</v>
      </c>
      <c r="B15" s="2124"/>
      <c r="C15" s="2124"/>
      <c r="D15" s="2124"/>
      <c r="E15" s="2124"/>
      <c r="F15" s="2124"/>
      <c r="G15" s="2124"/>
      <c r="H15" s="2124"/>
      <c r="I15" s="2124"/>
      <c r="J15" s="2124"/>
    </row>
    <row r="17" spans="1:10" ht="21" x14ac:dyDescent="0.35">
      <c r="A17" s="2125" t="s">
        <v>15152</v>
      </c>
      <c r="B17" s="2125"/>
      <c r="C17" s="2125"/>
      <c r="D17" s="2125"/>
      <c r="E17" s="2125"/>
      <c r="F17" s="2125"/>
      <c r="G17" s="2125"/>
      <c r="H17" s="2125"/>
      <c r="I17" s="2125"/>
      <c r="J17" s="2125"/>
    </row>
    <row r="18" spans="1:10" x14ac:dyDescent="0.25">
      <c r="A18" s="86"/>
      <c r="B18" s="86"/>
      <c r="C18" s="86"/>
      <c r="D18" s="86"/>
      <c r="E18" s="86"/>
      <c r="F18" s="86"/>
      <c r="G18" s="86"/>
      <c r="H18" s="86"/>
      <c r="I18" s="86"/>
      <c r="J18" s="86"/>
    </row>
    <row r="21" spans="1:10" ht="18.75" x14ac:dyDescent="0.2">
      <c r="A21" s="87" t="s">
        <v>7852</v>
      </c>
      <c r="B21" s="87"/>
      <c r="C21" s="87"/>
      <c r="D21" s="87"/>
      <c r="E21" s="87"/>
      <c r="F21" s="87"/>
      <c r="G21" s="87"/>
      <c r="H21" s="87"/>
      <c r="I21" s="87"/>
      <c r="J21" s="87">
        <v>1</v>
      </c>
    </row>
    <row r="22" spans="1:10" ht="18.75" x14ac:dyDescent="0.2">
      <c r="A22" s="87" t="s">
        <v>7853</v>
      </c>
      <c r="B22" s="87"/>
      <c r="C22" s="87"/>
      <c r="D22" s="87"/>
      <c r="E22" s="87"/>
      <c r="F22" s="87"/>
      <c r="G22" s="87"/>
      <c r="H22" s="87"/>
      <c r="I22" s="87"/>
      <c r="J22" s="87">
        <v>2</v>
      </c>
    </row>
    <row r="23" spans="1:10" ht="18.75" x14ac:dyDescent="0.2">
      <c r="A23" s="87" t="s">
        <v>15151</v>
      </c>
      <c r="B23" s="87"/>
      <c r="C23" s="87"/>
      <c r="D23" s="87"/>
      <c r="E23" s="87"/>
      <c r="F23" s="87"/>
      <c r="G23" s="87"/>
      <c r="H23" s="87"/>
      <c r="I23" s="87"/>
      <c r="J23" s="87">
        <v>5</v>
      </c>
    </row>
    <row r="24" spans="1:10" ht="18.75" x14ac:dyDescent="0.2">
      <c r="A24" s="87" t="s">
        <v>7854</v>
      </c>
      <c r="B24" s="87"/>
      <c r="C24" s="87"/>
      <c r="D24" s="87"/>
      <c r="E24" s="87"/>
      <c r="F24" s="87"/>
      <c r="G24" s="87"/>
      <c r="H24" s="87"/>
      <c r="I24" s="87"/>
      <c r="J24" s="87">
        <v>30</v>
      </c>
    </row>
    <row r="25" spans="1:10" ht="18.75" x14ac:dyDescent="0.2">
      <c r="A25" s="87" t="s">
        <v>7855</v>
      </c>
      <c r="B25" s="87"/>
      <c r="C25" s="87"/>
      <c r="D25" s="87"/>
      <c r="E25" s="87"/>
      <c r="F25" s="87"/>
      <c r="G25" s="87"/>
      <c r="H25" s="87"/>
      <c r="I25" s="87"/>
      <c r="J25" s="87">
        <v>34</v>
      </c>
    </row>
    <row r="26" spans="1:10" ht="18.75" x14ac:dyDescent="0.2">
      <c r="A26" s="87" t="s">
        <v>15334</v>
      </c>
      <c r="B26" s="87"/>
      <c r="C26" s="87"/>
      <c r="D26" s="87"/>
      <c r="E26" s="87"/>
      <c r="F26" s="87"/>
      <c r="G26" s="87"/>
      <c r="H26" s="87"/>
      <c r="I26" s="87"/>
      <c r="J26" s="87">
        <v>151</v>
      </c>
    </row>
    <row r="27" spans="1:10" ht="18.75" x14ac:dyDescent="0.2">
      <c r="A27" s="87" t="s">
        <v>7856</v>
      </c>
      <c r="B27" s="87"/>
      <c r="C27" s="87"/>
      <c r="D27" s="87"/>
      <c r="E27" s="87"/>
      <c r="F27" s="87"/>
      <c r="G27" s="87"/>
      <c r="H27" s="87"/>
      <c r="I27" s="87"/>
      <c r="J27" s="87">
        <v>156</v>
      </c>
    </row>
    <row r="28" spans="1:10" ht="18.75" x14ac:dyDescent="0.2">
      <c r="A28" s="87" t="s">
        <v>7857</v>
      </c>
      <c r="B28" s="87"/>
      <c r="C28" s="87"/>
      <c r="D28" s="87"/>
      <c r="E28" s="87"/>
      <c r="F28" s="87"/>
      <c r="G28" s="87"/>
      <c r="H28" s="87"/>
      <c r="I28" s="87"/>
      <c r="J28" s="87">
        <v>157</v>
      </c>
    </row>
    <row r="29" spans="1:10" ht="18.75" x14ac:dyDescent="0.2">
      <c r="A29" s="87" t="s">
        <v>7858</v>
      </c>
      <c r="J29" s="87">
        <v>179</v>
      </c>
    </row>
    <row r="30" spans="1:10" ht="18.75" x14ac:dyDescent="0.2">
      <c r="A30" s="87" t="s">
        <v>7859</v>
      </c>
      <c r="J30" s="87">
        <v>186</v>
      </c>
    </row>
    <row r="31" spans="1:10" ht="18.75" x14ac:dyDescent="0.2">
      <c r="A31" s="87" t="s">
        <v>7860</v>
      </c>
      <c r="J31" s="87">
        <v>187</v>
      </c>
    </row>
    <row r="32" spans="1:10" ht="18.75" x14ac:dyDescent="0.2">
      <c r="A32" s="87" t="s">
        <v>7861</v>
      </c>
      <c r="J32" s="87">
        <v>188</v>
      </c>
    </row>
  </sheetData>
  <sheetProtection selectLockedCells="1" selectUnlockedCells="1"/>
  <mergeCells count="5">
    <mergeCell ref="A3:J3"/>
    <mergeCell ref="A4:J4"/>
    <mergeCell ref="A5:J5"/>
    <mergeCell ref="A15:J15"/>
    <mergeCell ref="A17:J17"/>
  </mergeCells>
  <printOptions horizontalCentered="1"/>
  <pageMargins left="0.39370078740157483" right="0.39370078740157483" top="0.39370078740157483" bottom="0.98425196850393704" header="0" footer="0.39370078740157483"/>
  <pageSetup paperSize="9" scale="99" fitToHeight="0" orientation="portrait" useFirstPageNumber="1" horizontalDpi="300" verticalDpi="300" r:id="rId1"/>
  <headerFooter alignWithMargins="0">
    <oddFooter xml:space="preserve">&amp;R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22"/>
  <dimension ref="A1:N252"/>
  <sheetViews>
    <sheetView view="pageBreakPreview" topLeftCell="C1" zoomScaleNormal="100" zoomScaleSheetLayoutView="100" workbookViewId="0">
      <selection activeCell="E302" sqref="E302"/>
    </sheetView>
  </sheetViews>
  <sheetFormatPr defaultRowHeight="12.75" x14ac:dyDescent="0.2"/>
  <cols>
    <col min="1" max="1" width="12.140625" style="1596" customWidth="1"/>
    <col min="2" max="2" width="12.42578125" style="1596" customWidth="1"/>
    <col min="3" max="3" width="25.42578125" style="1596" customWidth="1"/>
    <col min="4" max="4" width="7.7109375" style="1596" customWidth="1"/>
    <col min="5" max="7" width="19.7109375" style="1596" customWidth="1"/>
    <col min="8" max="11" width="19.7109375" style="614" customWidth="1"/>
    <col min="12" max="256" width="9.140625" style="614"/>
    <col min="257" max="257" width="14.140625" style="614" customWidth="1"/>
    <col min="258" max="258" width="10.140625" style="614" bestFit="1" customWidth="1"/>
    <col min="259" max="259" width="39.7109375" style="614" customWidth="1"/>
    <col min="260" max="260" width="4.5703125" style="614" customWidth="1"/>
    <col min="261" max="261" width="17.7109375" style="614" customWidth="1"/>
    <col min="262" max="262" width="16.85546875" style="614" customWidth="1"/>
    <col min="263" max="263" width="17.140625" style="614" customWidth="1"/>
    <col min="264" max="512" width="9.140625" style="614"/>
    <col min="513" max="513" width="14.140625" style="614" customWidth="1"/>
    <col min="514" max="514" width="10.140625" style="614" bestFit="1" customWidth="1"/>
    <col min="515" max="515" width="39.7109375" style="614" customWidth="1"/>
    <col min="516" max="516" width="4.5703125" style="614" customWidth="1"/>
    <col min="517" max="517" width="17.7109375" style="614" customWidth="1"/>
    <col min="518" max="518" width="16.85546875" style="614" customWidth="1"/>
    <col min="519" max="519" width="17.140625" style="614" customWidth="1"/>
    <col min="520" max="768" width="9.140625" style="614"/>
    <col min="769" max="769" width="14.140625" style="614" customWidth="1"/>
    <col min="770" max="770" width="10.140625" style="614" bestFit="1" customWidth="1"/>
    <col min="771" max="771" width="39.7109375" style="614" customWidth="1"/>
    <col min="772" max="772" width="4.5703125" style="614" customWidth="1"/>
    <col min="773" max="773" width="17.7109375" style="614" customWidth="1"/>
    <col min="774" max="774" width="16.85546875" style="614" customWidth="1"/>
    <col min="775" max="775" width="17.140625" style="614" customWidth="1"/>
    <col min="776" max="1024" width="9.140625" style="614"/>
    <col min="1025" max="1025" width="14.140625" style="614" customWidth="1"/>
    <col min="1026" max="1026" width="10.140625" style="614" bestFit="1" customWidth="1"/>
    <col min="1027" max="1027" width="39.7109375" style="614" customWidth="1"/>
    <col min="1028" max="1028" width="4.5703125" style="614" customWidth="1"/>
    <col min="1029" max="1029" width="17.7109375" style="614" customWidth="1"/>
    <col min="1030" max="1030" width="16.85546875" style="614" customWidth="1"/>
    <col min="1031" max="1031" width="17.140625" style="614" customWidth="1"/>
    <col min="1032" max="1280" width="9.140625" style="614"/>
    <col min="1281" max="1281" width="14.140625" style="614" customWidth="1"/>
    <col min="1282" max="1282" width="10.140625" style="614" bestFit="1" customWidth="1"/>
    <col min="1283" max="1283" width="39.7109375" style="614" customWidth="1"/>
    <col min="1284" max="1284" width="4.5703125" style="614" customWidth="1"/>
    <col min="1285" max="1285" width="17.7109375" style="614" customWidth="1"/>
    <col min="1286" max="1286" width="16.85546875" style="614" customWidth="1"/>
    <col min="1287" max="1287" width="17.140625" style="614" customWidth="1"/>
    <col min="1288" max="1536" width="9.140625" style="614"/>
    <col min="1537" max="1537" width="14.140625" style="614" customWidth="1"/>
    <col min="1538" max="1538" width="10.140625" style="614" bestFit="1" customWidth="1"/>
    <col min="1539" max="1539" width="39.7109375" style="614" customWidth="1"/>
    <col min="1540" max="1540" width="4.5703125" style="614" customWidth="1"/>
    <col min="1541" max="1541" width="17.7109375" style="614" customWidth="1"/>
    <col min="1542" max="1542" width="16.85546875" style="614" customWidth="1"/>
    <col min="1543" max="1543" width="17.140625" style="614" customWidth="1"/>
    <col min="1544" max="1792" width="9.140625" style="614"/>
    <col min="1793" max="1793" width="14.140625" style="614" customWidth="1"/>
    <col min="1794" max="1794" width="10.140625" style="614" bestFit="1" customWidth="1"/>
    <col min="1795" max="1795" width="39.7109375" style="614" customWidth="1"/>
    <col min="1796" max="1796" width="4.5703125" style="614" customWidth="1"/>
    <col min="1797" max="1797" width="17.7109375" style="614" customWidth="1"/>
    <col min="1798" max="1798" width="16.85546875" style="614" customWidth="1"/>
    <col min="1799" max="1799" width="17.140625" style="614" customWidth="1"/>
    <col min="1800" max="2048" width="9.140625" style="614"/>
    <col min="2049" max="2049" width="14.140625" style="614" customWidth="1"/>
    <col min="2050" max="2050" width="10.140625" style="614" bestFit="1" customWidth="1"/>
    <col min="2051" max="2051" width="39.7109375" style="614" customWidth="1"/>
    <col min="2052" max="2052" width="4.5703125" style="614" customWidth="1"/>
    <col min="2053" max="2053" width="17.7109375" style="614" customWidth="1"/>
    <col min="2054" max="2054" width="16.85546875" style="614" customWidth="1"/>
    <col min="2055" max="2055" width="17.140625" style="614" customWidth="1"/>
    <col min="2056" max="2304" width="9.140625" style="614"/>
    <col min="2305" max="2305" width="14.140625" style="614" customWidth="1"/>
    <col min="2306" max="2306" width="10.140625" style="614" bestFit="1" customWidth="1"/>
    <col min="2307" max="2307" width="39.7109375" style="614" customWidth="1"/>
    <col min="2308" max="2308" width="4.5703125" style="614" customWidth="1"/>
    <col min="2309" max="2309" width="17.7109375" style="614" customWidth="1"/>
    <col min="2310" max="2310" width="16.85546875" style="614" customWidth="1"/>
    <col min="2311" max="2311" width="17.140625" style="614" customWidth="1"/>
    <col min="2312" max="2560" width="9.140625" style="614"/>
    <col min="2561" max="2561" width="14.140625" style="614" customWidth="1"/>
    <col min="2562" max="2562" width="10.140625" style="614" bestFit="1" customWidth="1"/>
    <col min="2563" max="2563" width="39.7109375" style="614" customWidth="1"/>
    <col min="2564" max="2564" width="4.5703125" style="614" customWidth="1"/>
    <col min="2565" max="2565" width="17.7109375" style="614" customWidth="1"/>
    <col min="2566" max="2566" width="16.85546875" style="614" customWidth="1"/>
    <col min="2567" max="2567" width="17.140625" style="614" customWidth="1"/>
    <col min="2568" max="2816" width="9.140625" style="614"/>
    <col min="2817" max="2817" width="14.140625" style="614" customWidth="1"/>
    <col min="2818" max="2818" width="10.140625" style="614" bestFit="1" customWidth="1"/>
    <col min="2819" max="2819" width="39.7109375" style="614" customWidth="1"/>
    <col min="2820" max="2820" width="4.5703125" style="614" customWidth="1"/>
    <col min="2821" max="2821" width="17.7109375" style="614" customWidth="1"/>
    <col min="2822" max="2822" width="16.85546875" style="614" customWidth="1"/>
    <col min="2823" max="2823" width="17.140625" style="614" customWidth="1"/>
    <col min="2824" max="3072" width="9.140625" style="614"/>
    <col min="3073" max="3073" width="14.140625" style="614" customWidth="1"/>
    <col min="3074" max="3074" width="10.140625" style="614" bestFit="1" customWidth="1"/>
    <col min="3075" max="3075" width="39.7109375" style="614" customWidth="1"/>
    <col min="3076" max="3076" width="4.5703125" style="614" customWidth="1"/>
    <col min="3077" max="3077" width="17.7109375" style="614" customWidth="1"/>
    <col min="3078" max="3078" width="16.85546875" style="614" customWidth="1"/>
    <col min="3079" max="3079" width="17.140625" style="614" customWidth="1"/>
    <col min="3080" max="3328" width="9.140625" style="614"/>
    <col min="3329" max="3329" width="14.140625" style="614" customWidth="1"/>
    <col min="3330" max="3330" width="10.140625" style="614" bestFit="1" customWidth="1"/>
    <col min="3331" max="3331" width="39.7109375" style="614" customWidth="1"/>
    <col min="3332" max="3332" width="4.5703125" style="614" customWidth="1"/>
    <col min="3333" max="3333" width="17.7109375" style="614" customWidth="1"/>
    <col min="3334" max="3334" width="16.85546875" style="614" customWidth="1"/>
    <col min="3335" max="3335" width="17.140625" style="614" customWidth="1"/>
    <col min="3336" max="3584" width="9.140625" style="614"/>
    <col min="3585" max="3585" width="14.140625" style="614" customWidth="1"/>
    <col min="3586" max="3586" width="10.140625" style="614" bestFit="1" customWidth="1"/>
    <col min="3587" max="3587" width="39.7109375" style="614" customWidth="1"/>
    <col min="3588" max="3588" width="4.5703125" style="614" customWidth="1"/>
    <col min="3589" max="3589" width="17.7109375" style="614" customWidth="1"/>
    <col min="3590" max="3590" width="16.85546875" style="614" customWidth="1"/>
    <col min="3591" max="3591" width="17.140625" style="614" customWidth="1"/>
    <col min="3592" max="3840" width="9.140625" style="614"/>
    <col min="3841" max="3841" width="14.140625" style="614" customWidth="1"/>
    <col min="3842" max="3842" width="10.140625" style="614" bestFit="1" customWidth="1"/>
    <col min="3843" max="3843" width="39.7109375" style="614" customWidth="1"/>
    <col min="3844" max="3844" width="4.5703125" style="614" customWidth="1"/>
    <col min="3845" max="3845" width="17.7109375" style="614" customWidth="1"/>
    <col min="3846" max="3846" width="16.85546875" style="614" customWidth="1"/>
    <col min="3847" max="3847" width="17.140625" style="614" customWidth="1"/>
    <col min="3848" max="4096" width="9.140625" style="614"/>
    <col min="4097" max="4097" width="14.140625" style="614" customWidth="1"/>
    <col min="4098" max="4098" width="10.140625" style="614" bestFit="1" customWidth="1"/>
    <col min="4099" max="4099" width="39.7109375" style="614" customWidth="1"/>
    <col min="4100" max="4100" width="4.5703125" style="614" customWidth="1"/>
    <col min="4101" max="4101" width="17.7109375" style="614" customWidth="1"/>
    <col min="4102" max="4102" width="16.85546875" style="614" customWidth="1"/>
    <col min="4103" max="4103" width="17.140625" style="614" customWidth="1"/>
    <col min="4104" max="4352" width="9.140625" style="614"/>
    <col min="4353" max="4353" width="14.140625" style="614" customWidth="1"/>
    <col min="4354" max="4354" width="10.140625" style="614" bestFit="1" customWidth="1"/>
    <col min="4355" max="4355" width="39.7109375" style="614" customWidth="1"/>
    <col min="4356" max="4356" width="4.5703125" style="614" customWidth="1"/>
    <col min="4357" max="4357" width="17.7109375" style="614" customWidth="1"/>
    <col min="4358" max="4358" width="16.85546875" style="614" customWidth="1"/>
    <col min="4359" max="4359" width="17.140625" style="614" customWidth="1"/>
    <col min="4360" max="4608" width="9.140625" style="614"/>
    <col min="4609" max="4609" width="14.140625" style="614" customWidth="1"/>
    <col min="4610" max="4610" width="10.140625" style="614" bestFit="1" customWidth="1"/>
    <col min="4611" max="4611" width="39.7109375" style="614" customWidth="1"/>
    <col min="4612" max="4612" width="4.5703125" style="614" customWidth="1"/>
    <col min="4613" max="4613" width="17.7109375" style="614" customWidth="1"/>
    <col min="4614" max="4614" width="16.85546875" style="614" customWidth="1"/>
    <col min="4615" max="4615" width="17.140625" style="614" customWidth="1"/>
    <col min="4616" max="4864" width="9.140625" style="614"/>
    <col min="4865" max="4865" width="14.140625" style="614" customWidth="1"/>
    <col min="4866" max="4866" width="10.140625" style="614" bestFit="1" customWidth="1"/>
    <col min="4867" max="4867" width="39.7109375" style="614" customWidth="1"/>
    <col min="4868" max="4868" width="4.5703125" style="614" customWidth="1"/>
    <col min="4869" max="4869" width="17.7109375" style="614" customWidth="1"/>
    <col min="4870" max="4870" width="16.85546875" style="614" customWidth="1"/>
    <col min="4871" max="4871" width="17.140625" style="614" customWidth="1"/>
    <col min="4872" max="5120" width="9.140625" style="614"/>
    <col min="5121" max="5121" width="14.140625" style="614" customWidth="1"/>
    <col min="5122" max="5122" width="10.140625" style="614" bestFit="1" customWidth="1"/>
    <col min="5123" max="5123" width="39.7109375" style="614" customWidth="1"/>
    <col min="5124" max="5124" width="4.5703125" style="614" customWidth="1"/>
    <col min="5125" max="5125" width="17.7109375" style="614" customWidth="1"/>
    <col min="5126" max="5126" width="16.85546875" style="614" customWidth="1"/>
    <col min="5127" max="5127" width="17.140625" style="614" customWidth="1"/>
    <col min="5128" max="5376" width="9.140625" style="614"/>
    <col min="5377" max="5377" width="14.140625" style="614" customWidth="1"/>
    <col min="5378" max="5378" width="10.140625" style="614" bestFit="1" customWidth="1"/>
    <col min="5379" max="5379" width="39.7109375" style="614" customWidth="1"/>
    <col min="5380" max="5380" width="4.5703125" style="614" customWidth="1"/>
    <col min="5381" max="5381" width="17.7109375" style="614" customWidth="1"/>
    <col min="5382" max="5382" width="16.85546875" style="614" customWidth="1"/>
    <col min="5383" max="5383" width="17.140625" style="614" customWidth="1"/>
    <col min="5384" max="5632" width="9.140625" style="614"/>
    <col min="5633" max="5633" width="14.140625" style="614" customWidth="1"/>
    <col min="5634" max="5634" width="10.140625" style="614" bestFit="1" customWidth="1"/>
    <col min="5635" max="5635" width="39.7109375" style="614" customWidth="1"/>
    <col min="5636" max="5636" width="4.5703125" style="614" customWidth="1"/>
    <col min="5637" max="5637" width="17.7109375" style="614" customWidth="1"/>
    <col min="5638" max="5638" width="16.85546875" style="614" customWidth="1"/>
    <col min="5639" max="5639" width="17.140625" style="614" customWidth="1"/>
    <col min="5640" max="5888" width="9.140625" style="614"/>
    <col min="5889" max="5889" width="14.140625" style="614" customWidth="1"/>
    <col min="5890" max="5890" width="10.140625" style="614" bestFit="1" customWidth="1"/>
    <col min="5891" max="5891" width="39.7109375" style="614" customWidth="1"/>
    <col min="5892" max="5892" width="4.5703125" style="614" customWidth="1"/>
    <col min="5893" max="5893" width="17.7109375" style="614" customWidth="1"/>
    <col min="5894" max="5894" width="16.85546875" style="614" customWidth="1"/>
    <col min="5895" max="5895" width="17.140625" style="614" customWidth="1"/>
    <col min="5896" max="6144" width="9.140625" style="614"/>
    <col min="6145" max="6145" width="14.140625" style="614" customWidth="1"/>
    <col min="6146" max="6146" width="10.140625" style="614" bestFit="1" customWidth="1"/>
    <col min="6147" max="6147" width="39.7109375" style="614" customWidth="1"/>
    <col min="6148" max="6148" width="4.5703125" style="614" customWidth="1"/>
    <col min="6149" max="6149" width="17.7109375" style="614" customWidth="1"/>
    <col min="6150" max="6150" width="16.85546875" style="614" customWidth="1"/>
    <col min="6151" max="6151" width="17.140625" style="614" customWidth="1"/>
    <col min="6152" max="6400" width="9.140625" style="614"/>
    <col min="6401" max="6401" width="14.140625" style="614" customWidth="1"/>
    <col min="6402" max="6402" width="10.140625" style="614" bestFit="1" customWidth="1"/>
    <col min="6403" max="6403" width="39.7109375" style="614" customWidth="1"/>
    <col min="6404" max="6404" width="4.5703125" style="614" customWidth="1"/>
    <col min="6405" max="6405" width="17.7109375" style="614" customWidth="1"/>
    <col min="6406" max="6406" width="16.85546875" style="614" customWidth="1"/>
    <col min="6407" max="6407" width="17.140625" style="614" customWidth="1"/>
    <col min="6408" max="6656" width="9.140625" style="614"/>
    <col min="6657" max="6657" width="14.140625" style="614" customWidth="1"/>
    <col min="6658" max="6658" width="10.140625" style="614" bestFit="1" customWidth="1"/>
    <col min="6659" max="6659" width="39.7109375" style="614" customWidth="1"/>
    <col min="6660" max="6660" width="4.5703125" style="614" customWidth="1"/>
    <col min="6661" max="6661" width="17.7109375" style="614" customWidth="1"/>
    <col min="6662" max="6662" width="16.85546875" style="614" customWidth="1"/>
    <col min="6663" max="6663" width="17.140625" style="614" customWidth="1"/>
    <col min="6664" max="6912" width="9.140625" style="614"/>
    <col min="6913" max="6913" width="14.140625" style="614" customWidth="1"/>
    <col min="6914" max="6914" width="10.140625" style="614" bestFit="1" customWidth="1"/>
    <col min="6915" max="6915" width="39.7109375" style="614" customWidth="1"/>
    <col min="6916" max="6916" width="4.5703125" style="614" customWidth="1"/>
    <col min="6917" max="6917" width="17.7109375" style="614" customWidth="1"/>
    <col min="6918" max="6918" width="16.85546875" style="614" customWidth="1"/>
    <col min="6919" max="6919" width="17.140625" style="614" customWidth="1"/>
    <col min="6920" max="7168" width="9.140625" style="614"/>
    <col min="7169" max="7169" width="14.140625" style="614" customWidth="1"/>
    <col min="7170" max="7170" width="10.140625" style="614" bestFit="1" customWidth="1"/>
    <col min="7171" max="7171" width="39.7109375" style="614" customWidth="1"/>
    <col min="7172" max="7172" width="4.5703125" style="614" customWidth="1"/>
    <col min="7173" max="7173" width="17.7109375" style="614" customWidth="1"/>
    <col min="7174" max="7174" width="16.85546875" style="614" customWidth="1"/>
    <col min="7175" max="7175" width="17.140625" style="614" customWidth="1"/>
    <col min="7176" max="7424" width="9.140625" style="614"/>
    <col min="7425" max="7425" width="14.140625" style="614" customWidth="1"/>
    <col min="7426" max="7426" width="10.140625" style="614" bestFit="1" customWidth="1"/>
    <col min="7427" max="7427" width="39.7109375" style="614" customWidth="1"/>
    <col min="7428" max="7428" width="4.5703125" style="614" customWidth="1"/>
    <col min="7429" max="7429" width="17.7109375" style="614" customWidth="1"/>
    <col min="7430" max="7430" width="16.85546875" style="614" customWidth="1"/>
    <col min="7431" max="7431" width="17.140625" style="614" customWidth="1"/>
    <col min="7432" max="7680" width="9.140625" style="614"/>
    <col min="7681" max="7681" width="14.140625" style="614" customWidth="1"/>
    <col min="7682" max="7682" width="10.140625" style="614" bestFit="1" customWidth="1"/>
    <col min="7683" max="7683" width="39.7109375" style="614" customWidth="1"/>
    <col min="7684" max="7684" width="4.5703125" style="614" customWidth="1"/>
    <col min="7685" max="7685" width="17.7109375" style="614" customWidth="1"/>
    <col min="7686" max="7686" width="16.85546875" style="614" customWidth="1"/>
    <col min="7687" max="7687" width="17.140625" style="614" customWidth="1"/>
    <col min="7688" max="7936" width="9.140625" style="614"/>
    <col min="7937" max="7937" width="14.140625" style="614" customWidth="1"/>
    <col min="7938" max="7938" width="10.140625" style="614" bestFit="1" customWidth="1"/>
    <col min="7939" max="7939" width="39.7109375" style="614" customWidth="1"/>
    <col min="7940" max="7940" width="4.5703125" style="614" customWidth="1"/>
    <col min="7941" max="7941" width="17.7109375" style="614" customWidth="1"/>
    <col min="7942" max="7942" width="16.85546875" style="614" customWidth="1"/>
    <col min="7943" max="7943" width="17.140625" style="614" customWidth="1"/>
    <col min="7944" max="8192" width="9.140625" style="614"/>
    <col min="8193" max="8193" width="14.140625" style="614" customWidth="1"/>
    <col min="8194" max="8194" width="10.140625" style="614" bestFit="1" customWidth="1"/>
    <col min="8195" max="8195" width="39.7109375" style="614" customWidth="1"/>
    <col min="8196" max="8196" width="4.5703125" style="614" customWidth="1"/>
    <col min="8197" max="8197" width="17.7109375" style="614" customWidth="1"/>
    <col min="8198" max="8198" width="16.85546875" style="614" customWidth="1"/>
    <col min="8199" max="8199" width="17.140625" style="614" customWidth="1"/>
    <col min="8200" max="8448" width="9.140625" style="614"/>
    <col min="8449" max="8449" width="14.140625" style="614" customWidth="1"/>
    <col min="8450" max="8450" width="10.140625" style="614" bestFit="1" customWidth="1"/>
    <col min="8451" max="8451" width="39.7109375" style="614" customWidth="1"/>
    <col min="8452" max="8452" width="4.5703125" style="614" customWidth="1"/>
    <col min="8453" max="8453" width="17.7109375" style="614" customWidth="1"/>
    <col min="8454" max="8454" width="16.85546875" style="614" customWidth="1"/>
    <col min="8455" max="8455" width="17.140625" style="614" customWidth="1"/>
    <col min="8456" max="8704" width="9.140625" style="614"/>
    <col min="8705" max="8705" width="14.140625" style="614" customWidth="1"/>
    <col min="8706" max="8706" width="10.140625" style="614" bestFit="1" customWidth="1"/>
    <col min="8707" max="8707" width="39.7109375" style="614" customWidth="1"/>
    <col min="8708" max="8708" width="4.5703125" style="614" customWidth="1"/>
    <col min="8709" max="8709" width="17.7109375" style="614" customWidth="1"/>
    <col min="8710" max="8710" width="16.85546875" style="614" customWidth="1"/>
    <col min="8711" max="8711" width="17.140625" style="614" customWidth="1"/>
    <col min="8712" max="8960" width="9.140625" style="614"/>
    <col min="8961" max="8961" width="14.140625" style="614" customWidth="1"/>
    <col min="8962" max="8962" width="10.140625" style="614" bestFit="1" customWidth="1"/>
    <col min="8963" max="8963" width="39.7109375" style="614" customWidth="1"/>
    <col min="8964" max="8964" width="4.5703125" style="614" customWidth="1"/>
    <col min="8965" max="8965" width="17.7109375" style="614" customWidth="1"/>
    <col min="8966" max="8966" width="16.85546875" style="614" customWidth="1"/>
    <col min="8967" max="8967" width="17.140625" style="614" customWidth="1"/>
    <col min="8968" max="9216" width="9.140625" style="614"/>
    <col min="9217" max="9217" width="14.140625" style="614" customWidth="1"/>
    <col min="9218" max="9218" width="10.140625" style="614" bestFit="1" customWidth="1"/>
    <col min="9219" max="9219" width="39.7109375" style="614" customWidth="1"/>
    <col min="9220" max="9220" width="4.5703125" style="614" customWidth="1"/>
    <col min="9221" max="9221" width="17.7109375" style="614" customWidth="1"/>
    <col min="9222" max="9222" width="16.85546875" style="614" customWidth="1"/>
    <col min="9223" max="9223" width="17.140625" style="614" customWidth="1"/>
    <col min="9224" max="9472" width="9.140625" style="614"/>
    <col min="9473" max="9473" width="14.140625" style="614" customWidth="1"/>
    <col min="9474" max="9474" width="10.140625" style="614" bestFit="1" customWidth="1"/>
    <col min="9475" max="9475" width="39.7109375" style="614" customWidth="1"/>
    <col min="9476" max="9476" width="4.5703125" style="614" customWidth="1"/>
    <col min="9477" max="9477" width="17.7109375" style="614" customWidth="1"/>
    <col min="9478" max="9478" width="16.85546875" style="614" customWidth="1"/>
    <col min="9479" max="9479" width="17.140625" style="614" customWidth="1"/>
    <col min="9480" max="9728" width="9.140625" style="614"/>
    <col min="9729" max="9729" width="14.140625" style="614" customWidth="1"/>
    <col min="9730" max="9730" width="10.140625" style="614" bestFit="1" customWidth="1"/>
    <col min="9731" max="9731" width="39.7109375" style="614" customWidth="1"/>
    <col min="9732" max="9732" width="4.5703125" style="614" customWidth="1"/>
    <col min="9733" max="9733" width="17.7109375" style="614" customWidth="1"/>
    <col min="9734" max="9734" width="16.85546875" style="614" customWidth="1"/>
    <col min="9735" max="9735" width="17.140625" style="614" customWidth="1"/>
    <col min="9736" max="9984" width="9.140625" style="614"/>
    <col min="9985" max="9985" width="14.140625" style="614" customWidth="1"/>
    <col min="9986" max="9986" width="10.140625" style="614" bestFit="1" customWidth="1"/>
    <col min="9987" max="9987" width="39.7109375" style="614" customWidth="1"/>
    <col min="9988" max="9988" width="4.5703125" style="614" customWidth="1"/>
    <col min="9989" max="9989" width="17.7109375" style="614" customWidth="1"/>
    <col min="9990" max="9990" width="16.85546875" style="614" customWidth="1"/>
    <col min="9991" max="9991" width="17.140625" style="614" customWidth="1"/>
    <col min="9992" max="10240" width="9.140625" style="614"/>
    <col min="10241" max="10241" width="14.140625" style="614" customWidth="1"/>
    <col min="10242" max="10242" width="10.140625" style="614" bestFit="1" customWidth="1"/>
    <col min="10243" max="10243" width="39.7109375" style="614" customWidth="1"/>
    <col min="10244" max="10244" width="4.5703125" style="614" customWidth="1"/>
    <col min="10245" max="10245" width="17.7109375" style="614" customWidth="1"/>
    <col min="10246" max="10246" width="16.85546875" style="614" customWidth="1"/>
    <col min="10247" max="10247" width="17.140625" style="614" customWidth="1"/>
    <col min="10248" max="10496" width="9.140625" style="614"/>
    <col min="10497" max="10497" width="14.140625" style="614" customWidth="1"/>
    <col min="10498" max="10498" width="10.140625" style="614" bestFit="1" customWidth="1"/>
    <col min="10499" max="10499" width="39.7109375" style="614" customWidth="1"/>
    <col min="10500" max="10500" width="4.5703125" style="614" customWidth="1"/>
    <col min="10501" max="10501" width="17.7109375" style="614" customWidth="1"/>
    <col min="10502" max="10502" width="16.85546875" style="614" customWidth="1"/>
    <col min="10503" max="10503" width="17.140625" style="614" customWidth="1"/>
    <col min="10504" max="10752" width="9.140625" style="614"/>
    <col min="10753" max="10753" width="14.140625" style="614" customWidth="1"/>
    <col min="10754" max="10754" width="10.140625" style="614" bestFit="1" customWidth="1"/>
    <col min="10755" max="10755" width="39.7109375" style="614" customWidth="1"/>
    <col min="10756" max="10756" width="4.5703125" style="614" customWidth="1"/>
    <col min="10757" max="10757" width="17.7109375" style="614" customWidth="1"/>
    <col min="10758" max="10758" width="16.85546875" style="614" customWidth="1"/>
    <col min="10759" max="10759" width="17.140625" style="614" customWidth="1"/>
    <col min="10760" max="11008" width="9.140625" style="614"/>
    <col min="11009" max="11009" width="14.140625" style="614" customWidth="1"/>
    <col min="11010" max="11010" width="10.140625" style="614" bestFit="1" customWidth="1"/>
    <col min="11011" max="11011" width="39.7109375" style="614" customWidth="1"/>
    <col min="11012" max="11012" width="4.5703125" style="614" customWidth="1"/>
    <col min="11013" max="11013" width="17.7109375" style="614" customWidth="1"/>
    <col min="11014" max="11014" width="16.85546875" style="614" customWidth="1"/>
    <col min="11015" max="11015" width="17.140625" style="614" customWidth="1"/>
    <col min="11016" max="11264" width="9.140625" style="614"/>
    <col min="11265" max="11265" width="14.140625" style="614" customWidth="1"/>
    <col min="11266" max="11266" width="10.140625" style="614" bestFit="1" customWidth="1"/>
    <col min="11267" max="11267" width="39.7109375" style="614" customWidth="1"/>
    <col min="11268" max="11268" width="4.5703125" style="614" customWidth="1"/>
    <col min="11269" max="11269" width="17.7109375" style="614" customWidth="1"/>
    <col min="11270" max="11270" width="16.85546875" style="614" customWidth="1"/>
    <col min="11271" max="11271" width="17.140625" style="614" customWidth="1"/>
    <col min="11272" max="11520" width="9.140625" style="614"/>
    <col min="11521" max="11521" width="14.140625" style="614" customWidth="1"/>
    <col min="11522" max="11522" width="10.140625" style="614" bestFit="1" customWidth="1"/>
    <col min="11523" max="11523" width="39.7109375" style="614" customWidth="1"/>
    <col min="11524" max="11524" width="4.5703125" style="614" customWidth="1"/>
    <col min="11525" max="11525" width="17.7109375" style="614" customWidth="1"/>
    <col min="11526" max="11526" width="16.85546875" style="614" customWidth="1"/>
    <col min="11527" max="11527" width="17.140625" style="614" customWidth="1"/>
    <col min="11528" max="11776" width="9.140625" style="614"/>
    <col min="11777" max="11777" width="14.140625" style="614" customWidth="1"/>
    <col min="11778" max="11778" width="10.140625" style="614" bestFit="1" customWidth="1"/>
    <col min="11779" max="11779" width="39.7109375" style="614" customWidth="1"/>
    <col min="11780" max="11780" width="4.5703125" style="614" customWidth="1"/>
    <col min="11781" max="11781" width="17.7109375" style="614" customWidth="1"/>
    <col min="11782" max="11782" width="16.85546875" style="614" customWidth="1"/>
    <col min="11783" max="11783" width="17.140625" style="614" customWidth="1"/>
    <col min="11784" max="12032" width="9.140625" style="614"/>
    <col min="12033" max="12033" width="14.140625" style="614" customWidth="1"/>
    <col min="12034" max="12034" width="10.140625" style="614" bestFit="1" customWidth="1"/>
    <col min="12035" max="12035" width="39.7109375" style="614" customWidth="1"/>
    <col min="12036" max="12036" width="4.5703125" style="614" customWidth="1"/>
    <col min="12037" max="12037" width="17.7109375" style="614" customWidth="1"/>
    <col min="12038" max="12038" width="16.85546875" style="614" customWidth="1"/>
    <col min="12039" max="12039" width="17.140625" style="614" customWidth="1"/>
    <col min="12040" max="12288" width="9.140625" style="614"/>
    <col min="12289" max="12289" width="14.140625" style="614" customWidth="1"/>
    <col min="12290" max="12290" width="10.140625" style="614" bestFit="1" customWidth="1"/>
    <col min="12291" max="12291" width="39.7109375" style="614" customWidth="1"/>
    <col min="12292" max="12292" width="4.5703125" style="614" customWidth="1"/>
    <col min="12293" max="12293" width="17.7109375" style="614" customWidth="1"/>
    <col min="12294" max="12294" width="16.85546875" style="614" customWidth="1"/>
    <col min="12295" max="12295" width="17.140625" style="614" customWidth="1"/>
    <col min="12296" max="12544" width="9.140625" style="614"/>
    <col min="12545" max="12545" width="14.140625" style="614" customWidth="1"/>
    <col min="12546" max="12546" width="10.140625" style="614" bestFit="1" customWidth="1"/>
    <col min="12547" max="12547" width="39.7109375" style="614" customWidth="1"/>
    <col min="12548" max="12548" width="4.5703125" style="614" customWidth="1"/>
    <col min="12549" max="12549" width="17.7109375" style="614" customWidth="1"/>
    <col min="12550" max="12550" width="16.85546875" style="614" customWidth="1"/>
    <col min="12551" max="12551" width="17.140625" style="614" customWidth="1"/>
    <col min="12552" max="12800" width="9.140625" style="614"/>
    <col min="12801" max="12801" width="14.140625" style="614" customWidth="1"/>
    <col min="12802" max="12802" width="10.140625" style="614" bestFit="1" customWidth="1"/>
    <col min="12803" max="12803" width="39.7109375" style="614" customWidth="1"/>
    <col min="12804" max="12804" width="4.5703125" style="614" customWidth="1"/>
    <col min="12805" max="12805" width="17.7109375" style="614" customWidth="1"/>
    <col min="12806" max="12806" width="16.85546875" style="614" customWidth="1"/>
    <col min="12807" max="12807" width="17.140625" style="614" customWidth="1"/>
    <col min="12808" max="13056" width="9.140625" style="614"/>
    <col min="13057" max="13057" width="14.140625" style="614" customWidth="1"/>
    <col min="13058" max="13058" width="10.140625" style="614" bestFit="1" customWidth="1"/>
    <col min="13059" max="13059" width="39.7109375" style="614" customWidth="1"/>
    <col min="13060" max="13060" width="4.5703125" style="614" customWidth="1"/>
    <col min="13061" max="13061" width="17.7109375" style="614" customWidth="1"/>
    <col min="13062" max="13062" width="16.85546875" style="614" customWidth="1"/>
    <col min="13063" max="13063" width="17.140625" style="614" customWidth="1"/>
    <col min="13064" max="13312" width="9.140625" style="614"/>
    <col min="13313" max="13313" width="14.140625" style="614" customWidth="1"/>
    <col min="13314" max="13314" width="10.140625" style="614" bestFit="1" customWidth="1"/>
    <col min="13315" max="13315" width="39.7109375" style="614" customWidth="1"/>
    <col min="13316" max="13316" width="4.5703125" style="614" customWidth="1"/>
    <col min="13317" max="13317" width="17.7109375" style="614" customWidth="1"/>
    <col min="13318" max="13318" width="16.85546875" style="614" customWidth="1"/>
    <col min="13319" max="13319" width="17.140625" style="614" customWidth="1"/>
    <col min="13320" max="13568" width="9.140625" style="614"/>
    <col min="13569" max="13569" width="14.140625" style="614" customWidth="1"/>
    <col min="13570" max="13570" width="10.140625" style="614" bestFit="1" customWidth="1"/>
    <col min="13571" max="13571" width="39.7109375" style="614" customWidth="1"/>
    <col min="13572" max="13572" width="4.5703125" style="614" customWidth="1"/>
    <col min="13573" max="13573" width="17.7109375" style="614" customWidth="1"/>
    <col min="13574" max="13574" width="16.85546875" style="614" customWidth="1"/>
    <col min="13575" max="13575" width="17.140625" style="614" customWidth="1"/>
    <col min="13576" max="13824" width="9.140625" style="614"/>
    <col min="13825" max="13825" width="14.140625" style="614" customWidth="1"/>
    <col min="13826" max="13826" width="10.140625" style="614" bestFit="1" customWidth="1"/>
    <col min="13827" max="13827" width="39.7109375" style="614" customWidth="1"/>
    <col min="13828" max="13828" width="4.5703125" style="614" customWidth="1"/>
    <col min="13829" max="13829" width="17.7109375" style="614" customWidth="1"/>
    <col min="13830" max="13830" width="16.85546875" style="614" customWidth="1"/>
    <col min="13831" max="13831" width="17.140625" style="614" customWidth="1"/>
    <col min="13832" max="14080" width="9.140625" style="614"/>
    <col min="14081" max="14081" width="14.140625" style="614" customWidth="1"/>
    <col min="14082" max="14082" width="10.140625" style="614" bestFit="1" customWidth="1"/>
    <col min="14083" max="14083" width="39.7109375" style="614" customWidth="1"/>
    <col min="14084" max="14084" width="4.5703125" style="614" customWidth="1"/>
    <col min="14085" max="14085" width="17.7109375" style="614" customWidth="1"/>
    <col min="14086" max="14086" width="16.85546875" style="614" customWidth="1"/>
    <col min="14087" max="14087" width="17.140625" style="614" customWidth="1"/>
    <col min="14088" max="14336" width="9.140625" style="614"/>
    <col min="14337" max="14337" width="14.140625" style="614" customWidth="1"/>
    <col min="14338" max="14338" width="10.140625" style="614" bestFit="1" customWidth="1"/>
    <col min="14339" max="14339" width="39.7109375" style="614" customWidth="1"/>
    <col min="14340" max="14340" width="4.5703125" style="614" customWidth="1"/>
    <col min="14341" max="14341" width="17.7109375" style="614" customWidth="1"/>
    <col min="14342" max="14342" width="16.85546875" style="614" customWidth="1"/>
    <col min="14343" max="14343" width="17.140625" style="614" customWidth="1"/>
    <col min="14344" max="14592" width="9.140625" style="614"/>
    <col min="14593" max="14593" width="14.140625" style="614" customWidth="1"/>
    <col min="14594" max="14594" width="10.140625" style="614" bestFit="1" customWidth="1"/>
    <col min="14595" max="14595" width="39.7109375" style="614" customWidth="1"/>
    <col min="14596" max="14596" width="4.5703125" style="614" customWidth="1"/>
    <col min="14597" max="14597" width="17.7109375" style="614" customWidth="1"/>
    <col min="14598" max="14598" width="16.85546875" style="614" customWidth="1"/>
    <col min="14599" max="14599" width="17.140625" style="614" customWidth="1"/>
    <col min="14600" max="14848" width="9.140625" style="614"/>
    <col min="14849" max="14849" width="14.140625" style="614" customWidth="1"/>
    <col min="14850" max="14850" width="10.140625" style="614" bestFit="1" customWidth="1"/>
    <col min="14851" max="14851" width="39.7109375" style="614" customWidth="1"/>
    <col min="14852" max="14852" width="4.5703125" style="614" customWidth="1"/>
    <col min="14853" max="14853" width="17.7109375" style="614" customWidth="1"/>
    <col min="14854" max="14854" width="16.85546875" style="614" customWidth="1"/>
    <col min="14855" max="14855" width="17.140625" style="614" customWidth="1"/>
    <col min="14856" max="15104" width="9.140625" style="614"/>
    <col min="15105" max="15105" width="14.140625" style="614" customWidth="1"/>
    <col min="15106" max="15106" width="10.140625" style="614" bestFit="1" customWidth="1"/>
    <col min="15107" max="15107" width="39.7109375" style="614" customWidth="1"/>
    <col min="15108" max="15108" width="4.5703125" style="614" customWidth="1"/>
    <col min="15109" max="15109" width="17.7109375" style="614" customWidth="1"/>
    <col min="15110" max="15110" width="16.85546875" style="614" customWidth="1"/>
    <col min="15111" max="15111" width="17.140625" style="614" customWidth="1"/>
    <col min="15112" max="15360" width="9.140625" style="614"/>
    <col min="15361" max="15361" width="14.140625" style="614" customWidth="1"/>
    <col min="15362" max="15362" width="10.140625" style="614" bestFit="1" customWidth="1"/>
    <col min="15363" max="15363" width="39.7109375" style="614" customWidth="1"/>
    <col min="15364" max="15364" width="4.5703125" style="614" customWidth="1"/>
    <col min="15365" max="15365" width="17.7109375" style="614" customWidth="1"/>
    <col min="15366" max="15366" width="16.85546875" style="614" customWidth="1"/>
    <col min="15367" max="15367" width="17.140625" style="614" customWidth="1"/>
    <col min="15368" max="15616" width="9.140625" style="614"/>
    <col min="15617" max="15617" width="14.140625" style="614" customWidth="1"/>
    <col min="15618" max="15618" width="10.140625" style="614" bestFit="1" customWidth="1"/>
    <col min="15619" max="15619" width="39.7109375" style="614" customWidth="1"/>
    <col min="15620" max="15620" width="4.5703125" style="614" customWidth="1"/>
    <col min="15621" max="15621" width="17.7109375" style="614" customWidth="1"/>
    <col min="15622" max="15622" width="16.85546875" style="614" customWidth="1"/>
    <col min="15623" max="15623" width="17.140625" style="614" customWidth="1"/>
    <col min="15624" max="15872" width="9.140625" style="614"/>
    <col min="15873" max="15873" width="14.140625" style="614" customWidth="1"/>
    <col min="15874" max="15874" width="10.140625" style="614" bestFit="1" customWidth="1"/>
    <col min="15875" max="15875" width="39.7109375" style="614" customWidth="1"/>
    <col min="15876" max="15876" width="4.5703125" style="614" customWidth="1"/>
    <col min="15877" max="15877" width="17.7109375" style="614" customWidth="1"/>
    <col min="15878" max="15878" width="16.85546875" style="614" customWidth="1"/>
    <col min="15879" max="15879" width="17.140625" style="614" customWidth="1"/>
    <col min="15880" max="16128" width="9.140625" style="614"/>
    <col min="16129" max="16129" width="14.140625" style="614" customWidth="1"/>
    <col min="16130" max="16130" width="10.140625" style="614" bestFit="1" customWidth="1"/>
    <col min="16131" max="16131" width="39.7109375" style="614" customWidth="1"/>
    <col min="16132" max="16132" width="4.5703125" style="614" customWidth="1"/>
    <col min="16133" max="16133" width="17.7109375" style="614" customWidth="1"/>
    <col min="16134" max="16134" width="16.85546875" style="614" customWidth="1"/>
    <col min="16135" max="16135" width="17.140625" style="614" customWidth="1"/>
    <col min="16136" max="16384" width="9.140625" style="614"/>
  </cols>
  <sheetData>
    <row r="1" spans="1:14" s="188" customFormat="1" ht="15" x14ac:dyDescent="0.2">
      <c r="A1" s="2123" t="s">
        <v>34</v>
      </c>
      <c r="B1" s="2123"/>
      <c r="C1" s="2123"/>
      <c r="D1" s="2123"/>
      <c r="E1" s="2123"/>
      <c r="F1" s="2123"/>
      <c r="G1" s="2123"/>
      <c r="H1" s="186"/>
      <c r="I1" s="186"/>
      <c r="J1" s="186"/>
      <c r="K1" s="205"/>
      <c r="L1" s="168"/>
      <c r="M1" s="170"/>
    </row>
    <row r="2" spans="1:14" s="188" customFormat="1" ht="15" x14ac:dyDescent="0.2">
      <c r="A2" s="2123" t="s">
        <v>35</v>
      </c>
      <c r="B2" s="2123"/>
      <c r="C2" s="2123"/>
      <c r="D2" s="2123"/>
      <c r="E2" s="2123"/>
      <c r="F2" s="2123"/>
      <c r="G2" s="2123"/>
      <c r="H2" s="186"/>
      <c r="I2" s="186"/>
      <c r="J2" s="186"/>
      <c r="K2" s="205"/>
      <c r="L2" s="168"/>
      <c r="M2" s="170"/>
    </row>
    <row r="3" spans="1:14" s="188" customFormat="1" ht="15" x14ac:dyDescent="0.2">
      <c r="A3" s="2123" t="s">
        <v>4980</v>
      </c>
      <c r="B3" s="2123"/>
      <c r="C3" s="2123"/>
      <c r="D3" s="2123"/>
      <c r="E3" s="2123"/>
      <c r="F3" s="2123"/>
      <c r="G3" s="2123"/>
      <c r="H3" s="186"/>
      <c r="I3" s="186"/>
      <c r="J3" s="186"/>
      <c r="K3" s="205"/>
      <c r="L3" s="168"/>
      <c r="M3" s="170"/>
    </row>
    <row r="4" spans="1:14" s="188" customFormat="1" ht="15" x14ac:dyDescent="0.2">
      <c r="A4" s="212"/>
      <c r="B4" s="212"/>
      <c r="C4" s="212"/>
      <c r="D4" s="142" t="s">
        <v>29</v>
      </c>
      <c r="E4" s="282"/>
      <c r="F4" s="204"/>
      <c r="G4" s="194"/>
      <c r="H4" s="195"/>
      <c r="I4" s="195"/>
      <c r="J4" s="76"/>
      <c r="K4" s="205"/>
      <c r="L4" s="168"/>
      <c r="M4" s="170"/>
    </row>
    <row r="5" spans="1:14" s="188" customFormat="1" ht="15" x14ac:dyDescent="0.2">
      <c r="A5" s="212"/>
      <c r="B5" s="212"/>
      <c r="C5" s="212"/>
      <c r="D5" s="142"/>
      <c r="E5" s="282"/>
      <c r="F5" s="204"/>
      <c r="G5" s="194"/>
      <c r="H5" s="195"/>
      <c r="I5" s="195"/>
      <c r="J5" s="76"/>
      <c r="K5" s="205"/>
      <c r="L5" s="205"/>
      <c r="M5" s="170"/>
    </row>
    <row r="6" spans="1:14" s="188" customFormat="1" ht="18.75" x14ac:dyDescent="0.2">
      <c r="A6" s="2154" t="s">
        <v>7759</v>
      </c>
      <c r="B6" s="2154"/>
      <c r="C6" s="2154"/>
      <c r="D6" s="2154"/>
      <c r="E6" s="2154"/>
      <c r="F6" s="2154"/>
      <c r="G6" s="2154"/>
      <c r="H6" s="1689"/>
      <c r="I6" s="1526"/>
      <c r="J6" s="1526"/>
      <c r="K6" s="205"/>
      <c r="L6" s="168"/>
      <c r="M6" s="170"/>
    </row>
    <row r="7" spans="1:14" s="1517" customFormat="1" ht="15" x14ac:dyDescent="0.25">
      <c r="A7" s="172"/>
      <c r="B7" s="172"/>
      <c r="C7" s="1642"/>
      <c r="D7" s="174"/>
      <c r="E7" s="279"/>
      <c r="F7" s="172"/>
      <c r="G7" s="162"/>
      <c r="H7" s="181"/>
      <c r="I7" s="1642"/>
      <c r="J7" s="160"/>
      <c r="K7" s="145"/>
      <c r="L7" s="169"/>
      <c r="M7" s="180"/>
    </row>
    <row r="8" spans="1:14" s="1517" customFormat="1" ht="15" x14ac:dyDescent="0.25">
      <c r="A8" s="1515" t="s">
        <v>4443</v>
      </c>
      <c r="B8" s="140" t="str">
        <f>'Orç - Canteiro e Adm'!B9:J9</f>
        <v>Construção do Edifício ULEG-FM</v>
      </c>
      <c r="C8" s="200"/>
      <c r="D8" s="200"/>
      <c r="E8" s="283"/>
      <c r="F8" s="200"/>
      <c r="G8" s="200"/>
      <c r="H8" s="79"/>
      <c r="I8" s="77"/>
      <c r="K8" s="207"/>
      <c r="L8" s="207"/>
      <c r="M8" s="202"/>
      <c r="N8" s="202"/>
    </row>
    <row r="9" spans="1:14" s="1517" customFormat="1" ht="15" x14ac:dyDescent="0.25">
      <c r="A9" s="1515" t="s">
        <v>128</v>
      </c>
      <c r="B9" s="140" t="str">
        <f>'Orç - Canteiro e Adm'!B10:J10</f>
        <v>Campus Darcy Ribeiro</v>
      </c>
      <c r="C9" s="200"/>
      <c r="D9" s="200"/>
      <c r="E9" s="283"/>
      <c r="F9" s="200"/>
      <c r="G9" s="200"/>
      <c r="H9" s="79"/>
      <c r="I9" s="77"/>
      <c r="K9" s="207"/>
      <c r="L9" s="207"/>
      <c r="M9" s="202"/>
      <c r="N9" s="202"/>
    </row>
    <row r="10" spans="1:14" s="1517" customFormat="1" ht="15" x14ac:dyDescent="0.25">
      <c r="A10" s="1515" t="s">
        <v>4444</v>
      </c>
      <c r="B10" s="140" t="str">
        <f>'Orç - Canteiro e Adm'!B11:J11</f>
        <v>Maio de 2020</v>
      </c>
      <c r="C10" s="200"/>
      <c r="D10" s="200"/>
      <c r="E10" s="283"/>
      <c r="F10" s="200"/>
      <c r="G10" s="200"/>
      <c r="H10" s="79"/>
      <c r="I10" s="77"/>
      <c r="K10" s="207"/>
      <c r="L10" s="207"/>
      <c r="M10" s="202"/>
      <c r="N10" s="202"/>
    </row>
    <row r="12" spans="1:14" x14ac:dyDescent="0.2">
      <c r="A12" s="1563" t="s">
        <v>6886</v>
      </c>
      <c r="B12" s="1564" t="s">
        <v>5751</v>
      </c>
      <c r="C12" s="1564" t="s">
        <v>6887</v>
      </c>
      <c r="D12" s="1564" t="s">
        <v>6888</v>
      </c>
      <c r="E12" s="2185" t="s">
        <v>6889</v>
      </c>
      <c r="F12" s="2186"/>
      <c r="G12" s="2187"/>
    </row>
    <row r="14" spans="1:14" ht="26.25" customHeight="1" x14ac:dyDescent="0.2">
      <c r="A14" s="1583" t="str">
        <f>'Orç - Prédio'!A105</f>
        <v>03.03.201.02</v>
      </c>
      <c r="B14" s="2184" t="str">
        <f>'Orç - Prédio'!D105</f>
        <v>Perfil quadrado metalon 40x40, espessura 1,25mm, 1,53 kg/m (pontaletes e tirantes)</v>
      </c>
      <c r="C14" s="2184"/>
      <c r="D14" s="1585" t="s">
        <v>5713</v>
      </c>
      <c r="E14" s="1566" t="s">
        <v>7884</v>
      </c>
      <c r="F14" s="1566"/>
      <c r="G14" s="1567"/>
    </row>
    <row r="15" spans="1:14" x14ac:dyDescent="0.2">
      <c r="A15" s="1568"/>
      <c r="B15" s="1569" t="s">
        <v>6897</v>
      </c>
      <c r="C15" s="1586"/>
      <c r="D15" s="1587"/>
      <c r="E15" s="1570" t="s">
        <v>6895</v>
      </c>
      <c r="F15" s="1570"/>
      <c r="G15" s="2089"/>
      <c r="H15" s="1588"/>
    </row>
    <row r="16" spans="1:14" x14ac:dyDescent="0.2">
      <c r="A16" s="1571"/>
      <c r="B16" s="1572" t="s">
        <v>6890</v>
      </c>
      <c r="C16" s="1572"/>
      <c r="D16" s="1589"/>
      <c r="E16" s="1573">
        <f>73.34/6</f>
        <v>12.223333333333334</v>
      </c>
      <c r="F16" s="1573"/>
      <c r="G16" s="2090"/>
      <c r="H16" s="1588"/>
    </row>
    <row r="17" spans="1:8" x14ac:dyDescent="0.2">
      <c r="A17" s="1571"/>
      <c r="B17" s="1572" t="s">
        <v>6891</v>
      </c>
      <c r="C17" s="1590"/>
      <c r="D17" s="1590"/>
      <c r="E17" s="1574" t="s">
        <v>7886</v>
      </c>
      <c r="F17" s="1574"/>
      <c r="G17" s="2091"/>
      <c r="H17" s="1588"/>
    </row>
    <row r="18" spans="1:8" x14ac:dyDescent="0.2">
      <c r="A18" s="1571"/>
      <c r="B18" s="1572" t="s">
        <v>4636</v>
      </c>
      <c r="C18" s="1591"/>
      <c r="D18" s="1589"/>
      <c r="E18" s="1574" t="s">
        <v>7887</v>
      </c>
      <c r="F18" s="1574"/>
      <c r="G18" s="2092"/>
      <c r="H18" s="1588"/>
    </row>
    <row r="19" spans="1:8" ht="67.5" x14ac:dyDescent="0.2">
      <c r="A19" s="1571"/>
      <c r="B19" s="1572" t="s">
        <v>6896</v>
      </c>
      <c r="C19" s="1591"/>
      <c r="D19" s="1589"/>
      <c r="E19" s="1574" t="s">
        <v>8572</v>
      </c>
      <c r="F19" s="1574"/>
      <c r="G19" s="2092"/>
      <c r="H19" s="1588"/>
    </row>
    <row r="20" spans="1:8" ht="22.5" x14ac:dyDescent="0.2">
      <c r="A20" s="1571"/>
      <c r="B20" s="1572" t="s">
        <v>6892</v>
      </c>
      <c r="C20" s="1591"/>
      <c r="D20" s="1589"/>
      <c r="E20" s="1574" t="s">
        <v>7888</v>
      </c>
      <c r="F20" s="1574"/>
      <c r="G20" s="2092"/>
      <c r="H20" s="1588"/>
    </row>
    <row r="21" spans="1:8" x14ac:dyDescent="0.2">
      <c r="A21" s="1571"/>
      <c r="B21" s="1576" t="s">
        <v>6893</v>
      </c>
      <c r="C21" s="1592"/>
      <c r="D21" s="1593"/>
      <c r="E21" s="1577">
        <v>43957</v>
      </c>
      <c r="F21" s="1577"/>
      <c r="G21" s="2093"/>
      <c r="H21" s="1588"/>
    </row>
    <row r="22" spans="1:8" x14ac:dyDescent="0.2">
      <c r="A22" s="1578"/>
      <c r="B22" s="1579"/>
      <c r="C22" s="1594"/>
      <c r="D22" s="1595"/>
      <c r="E22" s="1582" t="s">
        <v>6894</v>
      </c>
      <c r="F22" s="1580">
        <f>MEDIAN(E16:G16)</f>
        <v>12.223333333333334</v>
      </c>
      <c r="G22" s="1581"/>
    </row>
    <row r="24" spans="1:8" ht="123.75" x14ac:dyDescent="0.2">
      <c r="A24" s="1883" t="str">
        <f>'Orç - Prédio'!A210</f>
        <v>04.01.802.01</v>
      </c>
      <c r="B24" s="1565"/>
      <c r="C24" s="1584" t="str">
        <f>'Orç - Prédio'!D210</f>
        <v>Fornecimento de telhas perfuradas MBP-25, 16 furos/cm2, esp 0,8 mm, pintura em pó poliéster 50 micra na cor branco aplicado sobre superfície fosfotizada, fixadas em perfis metálicos, na cor branca e paineis bricromatizados Ecocel ou equivalente, para instalação na estrutura de brises</v>
      </c>
      <c r="D24" s="1566" t="str">
        <f>'Orç - Prédio'!F210</f>
        <v>m2</v>
      </c>
      <c r="E24" s="1676" t="s">
        <v>8934</v>
      </c>
      <c r="F24" s="1677"/>
      <c r="G24" s="1921"/>
    </row>
    <row r="25" spans="1:8" ht="22.5" x14ac:dyDescent="0.2">
      <c r="A25" s="1568"/>
      <c r="B25" s="1569" t="s">
        <v>6897</v>
      </c>
      <c r="C25" s="1586"/>
      <c r="D25" s="1587"/>
      <c r="E25" s="1574" t="s">
        <v>8935</v>
      </c>
      <c r="F25" s="1574"/>
      <c r="G25" s="2091"/>
      <c r="H25" s="615"/>
    </row>
    <row r="26" spans="1:8" x14ac:dyDescent="0.2">
      <c r="A26" s="1571"/>
      <c r="B26" s="1572" t="s">
        <v>6890</v>
      </c>
      <c r="C26" s="1572"/>
      <c r="D26" s="1589"/>
      <c r="E26" s="1573">
        <v>71.510000000000005</v>
      </c>
      <c r="F26" s="1573"/>
      <c r="G26" s="2090"/>
      <c r="H26" s="615"/>
    </row>
    <row r="27" spans="1:8" x14ac:dyDescent="0.2">
      <c r="A27" s="1571"/>
      <c r="B27" s="1572" t="s">
        <v>6891</v>
      </c>
      <c r="C27" s="1590"/>
      <c r="D27" s="1590"/>
      <c r="E27" s="1574" t="s">
        <v>8936</v>
      </c>
      <c r="F27" s="1574"/>
      <c r="G27" s="2091"/>
      <c r="H27" s="615"/>
    </row>
    <row r="28" spans="1:8" x14ac:dyDescent="0.2">
      <c r="A28" s="1571"/>
      <c r="B28" s="1572" t="s">
        <v>4636</v>
      </c>
      <c r="C28" s="1591"/>
      <c r="D28" s="1589"/>
      <c r="E28" s="1574" t="s">
        <v>8938</v>
      </c>
      <c r="F28" s="1574"/>
      <c r="G28" s="2091"/>
      <c r="H28" s="615"/>
    </row>
    <row r="29" spans="1:8" ht="56.25" customHeight="1" x14ac:dyDescent="0.2">
      <c r="A29" s="1571"/>
      <c r="B29" s="1572" t="s">
        <v>6896</v>
      </c>
      <c r="C29" s="1591"/>
      <c r="D29" s="1589"/>
      <c r="E29" s="1574" t="s">
        <v>8937</v>
      </c>
      <c r="F29" s="1574"/>
      <c r="G29" s="2091"/>
      <c r="H29" s="615"/>
    </row>
    <row r="30" spans="1:8" ht="22.5" x14ac:dyDescent="0.2">
      <c r="A30" s="1571"/>
      <c r="B30" s="1572" t="s">
        <v>6892</v>
      </c>
      <c r="C30" s="1591"/>
      <c r="D30" s="1589"/>
      <c r="E30" s="1574" t="s">
        <v>8939</v>
      </c>
      <c r="F30" s="1574"/>
      <c r="G30" s="2091"/>
      <c r="H30" s="615"/>
    </row>
    <row r="31" spans="1:8" x14ac:dyDescent="0.2">
      <c r="A31" s="1571"/>
      <c r="B31" s="1576" t="s">
        <v>6893</v>
      </c>
      <c r="C31" s="1592"/>
      <c r="D31" s="1593"/>
      <c r="E31" s="1577">
        <v>43867</v>
      </c>
      <c r="F31" s="1577"/>
      <c r="G31" s="2093"/>
      <c r="H31" s="615"/>
    </row>
    <row r="32" spans="1:8" x14ac:dyDescent="0.2">
      <c r="A32" s="1578"/>
      <c r="B32" s="1579"/>
      <c r="C32" s="1594"/>
      <c r="D32" s="1595"/>
      <c r="E32" s="1582" t="s">
        <v>6894</v>
      </c>
      <c r="F32" s="1580">
        <f>MEDIAN(E26:G26)</f>
        <v>71.510000000000005</v>
      </c>
      <c r="G32" s="1581"/>
    </row>
    <row r="34" spans="1:8" ht="26.25" customHeight="1" x14ac:dyDescent="0.2">
      <c r="A34" s="1583" t="str">
        <f>'Orç - Prédio'!A228</f>
        <v>04.01.818</v>
      </c>
      <c r="B34" s="2184" t="str">
        <f>'Orç - Prédio'!D228</f>
        <v>Trocador de fraldas de parede, horizontal</v>
      </c>
      <c r="C34" s="2184"/>
      <c r="D34" s="1585" t="str">
        <f>'Orç - Prédio'!F228</f>
        <v>unidade</v>
      </c>
      <c r="E34" s="1566" t="s">
        <v>9534</v>
      </c>
      <c r="F34" s="1566" t="s">
        <v>9539</v>
      </c>
      <c r="G34" s="1567"/>
    </row>
    <row r="35" spans="1:8" x14ac:dyDescent="0.2">
      <c r="A35" s="1568"/>
      <c r="B35" s="1569" t="s">
        <v>6897</v>
      </c>
      <c r="C35" s="1586"/>
      <c r="D35" s="1587"/>
      <c r="E35" s="1570" t="s">
        <v>6895</v>
      </c>
      <c r="F35" s="1570" t="s">
        <v>6895</v>
      </c>
      <c r="G35" s="2089"/>
      <c r="H35" s="1588"/>
    </row>
    <row r="36" spans="1:8" x14ac:dyDescent="0.2">
      <c r="A36" s="1571"/>
      <c r="B36" s="1572" t="s">
        <v>6890</v>
      </c>
      <c r="C36" s="1572"/>
      <c r="D36" s="1589"/>
      <c r="E36" s="1573">
        <v>1282.4100000000001</v>
      </c>
      <c r="F36" s="1573">
        <v>1290</v>
      </c>
      <c r="G36" s="2090"/>
      <c r="H36" s="1588"/>
    </row>
    <row r="37" spans="1:8" x14ac:dyDescent="0.2">
      <c r="A37" s="1571"/>
      <c r="B37" s="1572" t="s">
        <v>6891</v>
      </c>
      <c r="C37" s="1590"/>
      <c r="D37" s="1590"/>
      <c r="E37" s="1574" t="s">
        <v>9536</v>
      </c>
      <c r="F37" s="1574" t="s">
        <v>9540</v>
      </c>
      <c r="G37" s="2091"/>
      <c r="H37" s="1588"/>
    </row>
    <row r="38" spans="1:8" x14ac:dyDescent="0.2">
      <c r="A38" s="1571"/>
      <c r="B38" s="1572" t="s">
        <v>4636</v>
      </c>
      <c r="C38" s="1591"/>
      <c r="D38" s="1589"/>
      <c r="E38" s="1574" t="s">
        <v>9537</v>
      </c>
      <c r="F38" s="1574" t="s">
        <v>9541</v>
      </c>
      <c r="G38" s="2092"/>
      <c r="H38" s="1588"/>
    </row>
    <row r="39" spans="1:8" ht="33.75" x14ac:dyDescent="0.2">
      <c r="A39" s="1571"/>
      <c r="B39" s="1572" t="s">
        <v>6896</v>
      </c>
      <c r="C39" s="1591"/>
      <c r="D39" s="1589"/>
      <c r="E39" s="1574" t="s">
        <v>9535</v>
      </c>
      <c r="F39" s="1574" t="s">
        <v>9542</v>
      </c>
      <c r="G39" s="2092"/>
      <c r="H39" s="1588"/>
    </row>
    <row r="40" spans="1:8" ht="22.5" x14ac:dyDescent="0.2">
      <c r="A40" s="1571"/>
      <c r="B40" s="1572" t="s">
        <v>6892</v>
      </c>
      <c r="C40" s="1591"/>
      <c r="D40" s="1589"/>
      <c r="E40" s="1574" t="s">
        <v>9538</v>
      </c>
      <c r="F40" s="1574" t="s">
        <v>9543</v>
      </c>
      <c r="G40" s="2092"/>
      <c r="H40" s="1588"/>
    </row>
    <row r="41" spans="1:8" x14ac:dyDescent="0.2">
      <c r="A41" s="1571"/>
      <c r="B41" s="1576" t="s">
        <v>6893</v>
      </c>
      <c r="C41" s="1592"/>
      <c r="D41" s="1593"/>
      <c r="E41" s="1577">
        <v>43917</v>
      </c>
      <c r="F41" s="1577">
        <v>43917</v>
      </c>
      <c r="G41" s="2093"/>
      <c r="H41" s="1588"/>
    </row>
    <row r="42" spans="1:8" x14ac:dyDescent="0.2">
      <c r="A42" s="1578"/>
      <c r="B42" s="1579"/>
      <c r="C42" s="1594"/>
      <c r="D42" s="1595"/>
      <c r="E42" s="1582" t="s">
        <v>6894</v>
      </c>
      <c r="F42" s="1580">
        <f>MEDIAN(E36:G36)</f>
        <v>1286.2049999999999</v>
      </c>
      <c r="G42" s="1581"/>
    </row>
    <row r="44" spans="1:8" ht="26.25" customHeight="1" x14ac:dyDescent="0.2">
      <c r="A44" s="1583" t="str">
        <f>Composições!A1928</f>
        <v>05.01.608.02</v>
      </c>
      <c r="B44" s="2184" t="str">
        <f>'Orç - Prédio'!D337</f>
        <v>Reservatório metálico cilíndrico horizontal - capacidade de 20.000 L, APENAS FORNECIMENTO</v>
      </c>
      <c r="C44" s="2184"/>
      <c r="D44" s="1585" t="s">
        <v>5713</v>
      </c>
      <c r="E44" s="1566" t="s">
        <v>8573</v>
      </c>
      <c r="F44" s="1566"/>
      <c r="G44" s="1567"/>
    </row>
    <row r="45" spans="1:8" x14ac:dyDescent="0.2">
      <c r="A45" s="1568"/>
      <c r="B45" s="1569" t="s">
        <v>6897</v>
      </c>
      <c r="C45" s="1586"/>
      <c r="D45" s="1587"/>
      <c r="E45" s="1570" t="s">
        <v>8574</v>
      </c>
      <c r="F45" s="1570"/>
      <c r="G45" s="2089"/>
      <c r="H45" s="1588"/>
    </row>
    <row r="46" spans="1:8" x14ac:dyDescent="0.2">
      <c r="A46" s="1571"/>
      <c r="B46" s="1572" t="s">
        <v>6890</v>
      </c>
      <c r="C46" s="1572"/>
      <c r="D46" s="1589"/>
      <c r="E46" s="1573">
        <v>36000</v>
      </c>
      <c r="F46" s="1573"/>
      <c r="G46" s="2090"/>
      <c r="H46" s="1588"/>
    </row>
    <row r="47" spans="1:8" x14ac:dyDescent="0.2">
      <c r="A47" s="1571"/>
      <c r="B47" s="1572" t="s">
        <v>6891</v>
      </c>
      <c r="C47" s="1590"/>
      <c r="D47" s="1590"/>
      <c r="E47" s="1574" t="s">
        <v>8575</v>
      </c>
      <c r="F47" s="1574"/>
      <c r="G47" s="2091"/>
      <c r="H47" s="1588"/>
    </row>
    <row r="48" spans="1:8" x14ac:dyDescent="0.2">
      <c r="A48" s="1571"/>
      <c r="B48" s="1572" t="s">
        <v>4636</v>
      </c>
      <c r="C48" s="1591"/>
      <c r="D48" s="1589"/>
      <c r="E48" s="1574" t="s">
        <v>8576</v>
      </c>
      <c r="F48" s="1574"/>
      <c r="G48" s="2092"/>
      <c r="H48" s="1588"/>
    </row>
    <row r="49" spans="1:8" ht="22.5" x14ac:dyDescent="0.2">
      <c r="A49" s="1571"/>
      <c r="B49" s="1572" t="s">
        <v>6896</v>
      </c>
      <c r="C49" s="1591"/>
      <c r="D49" s="1589"/>
      <c r="E49" s="1574" t="s">
        <v>8577</v>
      </c>
      <c r="F49" s="1574"/>
      <c r="G49" s="2092"/>
      <c r="H49" s="1588"/>
    </row>
    <row r="50" spans="1:8" ht="22.5" x14ac:dyDescent="0.2">
      <c r="A50" s="1571"/>
      <c r="B50" s="1572" t="s">
        <v>6892</v>
      </c>
      <c r="C50" s="1591"/>
      <c r="D50" s="1589"/>
      <c r="E50" s="1574" t="s">
        <v>8578</v>
      </c>
      <c r="F50" s="1574"/>
      <c r="G50" s="2092"/>
      <c r="H50" s="1588"/>
    </row>
    <row r="51" spans="1:8" x14ac:dyDescent="0.2">
      <c r="A51" s="1571"/>
      <c r="B51" s="1576" t="s">
        <v>6893</v>
      </c>
      <c r="C51" s="1592"/>
      <c r="D51" s="1593"/>
      <c r="E51" s="1577">
        <v>43846</v>
      </c>
      <c r="F51" s="1577"/>
      <c r="G51" s="2093"/>
      <c r="H51" s="1588"/>
    </row>
    <row r="52" spans="1:8" x14ac:dyDescent="0.2">
      <c r="A52" s="1578"/>
      <c r="B52" s="1579"/>
      <c r="C52" s="1594"/>
      <c r="D52" s="1595"/>
      <c r="E52" s="1582" t="s">
        <v>6894</v>
      </c>
      <c r="F52" s="1580">
        <f>MEDIAN(E46:G46)</f>
        <v>36000</v>
      </c>
      <c r="G52" s="1581"/>
    </row>
    <row r="54" spans="1:8" ht="27.75" customHeight="1" x14ac:dyDescent="0.2">
      <c r="A54" s="1583" t="str">
        <f>'Orç - Prédio'!A493</f>
        <v>06.01.263.38</v>
      </c>
      <c r="B54" s="2184" t="str">
        <f>'Orç - Prédio'!D493</f>
        <v>Braço anti-balanço</v>
      </c>
      <c r="C54" s="2184"/>
      <c r="D54" s="1585" t="str">
        <f>'Orç - Prédio'!F493</f>
        <v>unidade</v>
      </c>
      <c r="E54" s="1566" t="s">
        <v>9424</v>
      </c>
      <c r="F54" s="1566"/>
      <c r="G54" s="1567"/>
    </row>
    <row r="55" spans="1:8" x14ac:dyDescent="0.2">
      <c r="A55" s="1568"/>
      <c r="B55" s="1569" t="s">
        <v>6897</v>
      </c>
      <c r="C55" s="1586"/>
      <c r="D55" s="1587"/>
      <c r="E55" s="1570" t="s">
        <v>6895</v>
      </c>
      <c r="F55" s="1570"/>
      <c r="G55" s="2089"/>
      <c r="H55" s="1588"/>
    </row>
    <row r="56" spans="1:8" x14ac:dyDescent="0.2">
      <c r="A56" s="1571"/>
      <c r="B56" s="1572" t="s">
        <v>6890</v>
      </c>
      <c r="C56" s="1572"/>
      <c r="D56" s="1589"/>
      <c r="E56" s="1573">
        <v>27.36</v>
      </c>
      <c r="F56" s="1573"/>
      <c r="G56" s="2090"/>
      <c r="H56" s="1588"/>
    </row>
    <row r="57" spans="1:8" x14ac:dyDescent="0.2">
      <c r="A57" s="1571"/>
      <c r="B57" s="1572" t="s">
        <v>6891</v>
      </c>
      <c r="C57" s="1590"/>
      <c r="D57" s="1590"/>
      <c r="E57" s="1574" t="s">
        <v>9425</v>
      </c>
      <c r="F57" s="1574"/>
      <c r="G57" s="2091"/>
      <c r="H57" s="1588"/>
    </row>
    <row r="58" spans="1:8" x14ac:dyDescent="0.2">
      <c r="A58" s="1571"/>
      <c r="B58" s="1572" t="s">
        <v>4636</v>
      </c>
      <c r="C58" s="1591"/>
      <c r="D58" s="1589"/>
      <c r="E58" s="1574" t="s">
        <v>9426</v>
      </c>
      <c r="F58" s="1574"/>
      <c r="G58" s="2092"/>
      <c r="H58" s="1588"/>
    </row>
    <row r="59" spans="1:8" ht="22.5" x14ac:dyDescent="0.2">
      <c r="A59" s="1571"/>
      <c r="B59" s="1572" t="s">
        <v>6896</v>
      </c>
      <c r="C59" s="1591"/>
      <c r="D59" s="1589"/>
      <c r="E59" s="1574" t="s">
        <v>9427</v>
      </c>
      <c r="F59" s="1574"/>
      <c r="G59" s="2092"/>
      <c r="H59" s="1588"/>
    </row>
    <row r="60" spans="1:8" x14ac:dyDescent="0.2">
      <c r="A60" s="1571"/>
      <c r="B60" s="1572" t="s">
        <v>6892</v>
      </c>
      <c r="C60" s="1591"/>
      <c r="D60" s="1589"/>
      <c r="E60" s="1574" t="s">
        <v>9428</v>
      </c>
      <c r="F60" s="1574"/>
      <c r="G60" s="2092"/>
      <c r="H60" s="1588"/>
    </row>
    <row r="61" spans="1:8" x14ac:dyDescent="0.2">
      <c r="A61" s="1571"/>
      <c r="B61" s="1576" t="s">
        <v>6893</v>
      </c>
      <c r="C61" s="1592"/>
      <c r="D61" s="1593"/>
      <c r="E61" s="1577">
        <v>43909</v>
      </c>
      <c r="F61" s="1577"/>
      <c r="G61" s="2093"/>
      <c r="H61" s="1588"/>
    </row>
    <row r="62" spans="1:8" x14ac:dyDescent="0.2">
      <c r="A62" s="1578"/>
      <c r="B62" s="1579"/>
      <c r="C62" s="1594"/>
      <c r="D62" s="1595"/>
      <c r="E62" s="1582" t="s">
        <v>6894</v>
      </c>
      <c r="F62" s="1580">
        <f>MEDIAN(E56:G56)</f>
        <v>27.36</v>
      </c>
      <c r="G62" s="1581"/>
    </row>
    <row r="64" spans="1:8" ht="27.75" customHeight="1" x14ac:dyDescent="0.2">
      <c r="A64" s="1583" t="str">
        <f>'Orç - Prédio'!A510</f>
        <v>06.01.264.02</v>
      </c>
      <c r="B64" s="2184" t="str">
        <f>Composições!D2900</f>
        <v>PLACA "PERIGO ALTA TENSÃO" EM PVC EXPANDIDO, 25X18CM</v>
      </c>
      <c r="C64" s="2184"/>
      <c r="D64" s="1585" t="str">
        <f>Composições!F2900</f>
        <v>UNIDADE</v>
      </c>
      <c r="E64" s="1566" t="s">
        <v>9432</v>
      </c>
      <c r="F64" s="1566" t="s">
        <v>9437</v>
      </c>
      <c r="G64" s="1567" t="s">
        <v>9441</v>
      </c>
    </row>
    <row r="65" spans="1:8" x14ac:dyDescent="0.2">
      <c r="A65" s="1568"/>
      <c r="B65" s="1569" t="s">
        <v>6897</v>
      </c>
      <c r="C65" s="1586"/>
      <c r="D65" s="1587"/>
      <c r="E65" s="1570" t="s">
        <v>6895</v>
      </c>
      <c r="F65" s="1570" t="s">
        <v>6895</v>
      </c>
      <c r="G65" s="2089" t="s">
        <v>6895</v>
      </c>
      <c r="H65" s="1588"/>
    </row>
    <row r="66" spans="1:8" x14ac:dyDescent="0.2">
      <c r="A66" s="1571"/>
      <c r="B66" s="1572" t="s">
        <v>6890</v>
      </c>
      <c r="C66" s="1572"/>
      <c r="D66" s="1589"/>
      <c r="E66" s="1573">
        <v>12.44</v>
      </c>
      <c r="F66" s="1573">
        <v>9.9</v>
      </c>
      <c r="G66" s="2090">
        <v>9</v>
      </c>
      <c r="H66" s="1588"/>
    </row>
    <row r="67" spans="1:8" x14ac:dyDescent="0.2">
      <c r="A67" s="1571"/>
      <c r="B67" s="1572" t="s">
        <v>6891</v>
      </c>
      <c r="C67" s="1590"/>
      <c r="D67" s="1590"/>
      <c r="E67" s="1574" t="s">
        <v>9434</v>
      </c>
      <c r="F67" s="1574" t="s">
        <v>9438</v>
      </c>
      <c r="G67" s="2091" t="s">
        <v>9443</v>
      </c>
      <c r="H67" s="1588"/>
    </row>
    <row r="68" spans="1:8" x14ac:dyDescent="0.2">
      <c r="A68" s="1571"/>
      <c r="B68" s="1572" t="s">
        <v>4636</v>
      </c>
      <c r="C68" s="1591"/>
      <c r="D68" s="1589"/>
      <c r="E68" s="1574" t="s">
        <v>9435</v>
      </c>
      <c r="F68" s="1574" t="s">
        <v>9439</v>
      </c>
      <c r="G68" s="2092" t="s">
        <v>9444</v>
      </c>
      <c r="H68" s="1588"/>
    </row>
    <row r="69" spans="1:8" ht="56.25" x14ac:dyDescent="0.2">
      <c r="A69" s="1571"/>
      <c r="B69" s="1572" t="s">
        <v>6896</v>
      </c>
      <c r="C69" s="1591"/>
      <c r="D69" s="1589"/>
      <c r="E69" s="1574" t="s">
        <v>9433</v>
      </c>
      <c r="F69" s="1574" t="s">
        <v>9436</v>
      </c>
      <c r="G69" s="2092" t="s">
        <v>9442</v>
      </c>
      <c r="H69" s="1588"/>
    </row>
    <row r="70" spans="1:8" ht="22.5" x14ac:dyDescent="0.2">
      <c r="A70" s="1571"/>
      <c r="B70" s="1572" t="s">
        <v>6892</v>
      </c>
      <c r="C70" s="1591"/>
      <c r="D70" s="1589"/>
      <c r="E70" s="1574" t="s">
        <v>6938</v>
      </c>
      <c r="F70" s="1574" t="s">
        <v>9440</v>
      </c>
      <c r="G70" s="2092" t="s">
        <v>9445</v>
      </c>
      <c r="H70" s="1588"/>
    </row>
    <row r="71" spans="1:8" x14ac:dyDescent="0.2">
      <c r="A71" s="1571"/>
      <c r="B71" s="1576" t="s">
        <v>6893</v>
      </c>
      <c r="C71" s="1592"/>
      <c r="D71" s="1593"/>
      <c r="E71" s="1577">
        <v>43909</v>
      </c>
      <c r="F71" s="1577">
        <v>43909</v>
      </c>
      <c r="G71" s="2093">
        <v>43909</v>
      </c>
      <c r="H71" s="1588"/>
    </row>
    <row r="72" spans="1:8" x14ac:dyDescent="0.2">
      <c r="A72" s="1578"/>
      <c r="B72" s="1579"/>
      <c r="C72" s="1594"/>
      <c r="D72" s="1595"/>
      <c r="E72" s="1582" t="s">
        <v>6894</v>
      </c>
      <c r="F72" s="1580">
        <f>MEDIAN(E66:G66)</f>
        <v>9.9</v>
      </c>
      <c r="G72" s="1581"/>
    </row>
    <row r="74" spans="1:8" s="1643" customFormat="1" ht="42.75" customHeight="1" x14ac:dyDescent="0.2">
      <c r="A74" s="1583" t="str">
        <f>'Orç - Prédio'!A609</f>
        <v>06.01.314.01</v>
      </c>
      <c r="B74" s="2184" t="str">
        <f>'Orç - Prédio'!D609</f>
        <v>Estabilizador 60kVA, trifásico, 380/220V-220/127V, com todos os acessórios inclusos, APENAS FORNECIMENTO</v>
      </c>
      <c r="C74" s="2184"/>
      <c r="D74" s="1585" t="str">
        <f>'Orç - Prédio'!F609</f>
        <v>unidade</v>
      </c>
      <c r="E74" s="1566" t="s">
        <v>7741</v>
      </c>
      <c r="F74" s="1566"/>
      <c r="G74" s="1567"/>
    </row>
    <row r="75" spans="1:8" x14ac:dyDescent="0.2">
      <c r="A75" s="1568"/>
      <c r="B75" s="1569" t="s">
        <v>6897</v>
      </c>
      <c r="C75" s="1586"/>
      <c r="D75" s="1587"/>
      <c r="E75" s="1570" t="s">
        <v>7616</v>
      </c>
      <c r="F75" s="1570"/>
      <c r="G75" s="2089"/>
      <c r="H75" s="1588"/>
    </row>
    <row r="76" spans="1:8" x14ac:dyDescent="0.2">
      <c r="A76" s="1571"/>
      <c r="B76" s="1572" t="s">
        <v>6890</v>
      </c>
      <c r="C76" s="1572"/>
      <c r="D76" s="1589"/>
      <c r="E76" s="1573">
        <v>41000</v>
      </c>
      <c r="F76" s="1573"/>
      <c r="G76" s="2090"/>
      <c r="H76" s="1588"/>
    </row>
    <row r="77" spans="1:8" x14ac:dyDescent="0.2">
      <c r="A77" s="1571"/>
      <c r="B77" s="1572" t="s">
        <v>6891</v>
      </c>
      <c r="C77" s="1590"/>
      <c r="D77" s="1590"/>
      <c r="E77" s="1574" t="s">
        <v>7742</v>
      </c>
      <c r="F77" s="1574"/>
      <c r="G77" s="2091"/>
      <c r="H77" s="1588"/>
    </row>
    <row r="78" spans="1:8" x14ac:dyDescent="0.2">
      <c r="A78" s="1571"/>
      <c r="B78" s="1572" t="s">
        <v>4636</v>
      </c>
      <c r="C78" s="1591"/>
      <c r="D78" s="1589"/>
      <c r="E78" s="1574" t="s">
        <v>7743</v>
      </c>
      <c r="F78" s="1574"/>
      <c r="G78" s="2092"/>
      <c r="H78" s="1588"/>
    </row>
    <row r="79" spans="1:8" x14ac:dyDescent="0.2">
      <c r="A79" s="1571"/>
      <c r="B79" s="1572" t="s">
        <v>6896</v>
      </c>
      <c r="C79" s="1591"/>
      <c r="D79" s="1589"/>
      <c r="E79" s="1574" t="s">
        <v>7744</v>
      </c>
      <c r="F79" s="1574"/>
      <c r="G79" s="2092"/>
      <c r="H79" s="1588"/>
    </row>
    <row r="80" spans="1:8" ht="22.5" x14ac:dyDescent="0.2">
      <c r="A80" s="1571"/>
      <c r="B80" s="1572" t="s">
        <v>6892</v>
      </c>
      <c r="C80" s="1591"/>
      <c r="D80" s="1589"/>
      <c r="E80" s="1574" t="s">
        <v>7745</v>
      </c>
      <c r="F80" s="1574"/>
      <c r="G80" s="2092"/>
      <c r="H80" s="1588"/>
    </row>
    <row r="81" spans="1:8" x14ac:dyDescent="0.2">
      <c r="A81" s="1571"/>
      <c r="B81" s="1576" t="s">
        <v>6893</v>
      </c>
      <c r="C81" s="1592"/>
      <c r="D81" s="1593"/>
      <c r="E81" s="1577">
        <v>43878</v>
      </c>
      <c r="F81" s="1577"/>
      <c r="G81" s="2093"/>
      <c r="H81" s="1588"/>
    </row>
    <row r="82" spans="1:8" x14ac:dyDescent="0.2">
      <c r="A82" s="1578"/>
      <c r="B82" s="1579"/>
      <c r="C82" s="1594"/>
      <c r="D82" s="1595"/>
      <c r="E82" s="1582" t="s">
        <v>6894</v>
      </c>
      <c r="F82" s="1580">
        <f>MEDIAN(E76:G76)</f>
        <v>41000</v>
      </c>
      <c r="G82" s="1581"/>
    </row>
    <row r="84" spans="1:8" ht="39.75" customHeight="1" x14ac:dyDescent="0.2">
      <c r="A84" s="1583" t="str">
        <f>'Orç - Prédio'!A611</f>
        <v>06.01.315.01</v>
      </c>
      <c r="B84" s="2184" t="str">
        <f>'Orç - Prédio'!D611</f>
        <v>NoBreak 40kVA, trifásico, 380/220V-380/220V, autonomia a plena carga de 20 min, com todos os acessórios inclusos, APENAS FORNECIMENTO</v>
      </c>
      <c r="C84" s="2184"/>
      <c r="D84" s="1585" t="str">
        <f>'Orç - Prédio'!F611</f>
        <v>unidade</v>
      </c>
      <c r="E84" s="1566" t="s">
        <v>7741</v>
      </c>
      <c r="F84" s="1566"/>
      <c r="G84" s="1567"/>
    </row>
    <row r="85" spans="1:8" x14ac:dyDescent="0.2">
      <c r="A85" s="1568"/>
      <c r="B85" s="1569" t="s">
        <v>6897</v>
      </c>
      <c r="C85" s="1586"/>
      <c r="D85" s="1587"/>
      <c r="E85" s="1570" t="s">
        <v>7616</v>
      </c>
      <c r="F85" s="1570"/>
      <c r="G85" s="2089"/>
      <c r="H85" s="1588"/>
    </row>
    <row r="86" spans="1:8" x14ac:dyDescent="0.2">
      <c r="A86" s="1571"/>
      <c r="B86" s="1572" t="s">
        <v>6890</v>
      </c>
      <c r="C86" s="1572"/>
      <c r="D86" s="1589"/>
      <c r="E86" s="1573">
        <v>103000</v>
      </c>
      <c r="F86" s="1573"/>
      <c r="G86" s="2090"/>
      <c r="H86" s="1588"/>
    </row>
    <row r="87" spans="1:8" x14ac:dyDescent="0.2">
      <c r="A87" s="1571"/>
      <c r="B87" s="1572" t="s">
        <v>6891</v>
      </c>
      <c r="C87" s="1590"/>
      <c r="D87" s="1590"/>
      <c r="E87" s="1574" t="s">
        <v>7742</v>
      </c>
      <c r="F87" s="1574"/>
      <c r="G87" s="2091"/>
      <c r="H87" s="1588"/>
    </row>
    <row r="88" spans="1:8" x14ac:dyDescent="0.2">
      <c r="A88" s="1571"/>
      <c r="B88" s="1572" t="s">
        <v>4636</v>
      </c>
      <c r="C88" s="1591"/>
      <c r="D88" s="1589"/>
      <c r="E88" s="1574" t="s">
        <v>7743</v>
      </c>
      <c r="F88" s="1574"/>
      <c r="G88" s="2092"/>
      <c r="H88" s="1588"/>
    </row>
    <row r="89" spans="1:8" x14ac:dyDescent="0.2">
      <c r="A89" s="1571"/>
      <c r="B89" s="1572" t="s">
        <v>6896</v>
      </c>
      <c r="C89" s="1591"/>
      <c r="D89" s="1589"/>
      <c r="E89" s="1574" t="s">
        <v>7744</v>
      </c>
      <c r="F89" s="1574"/>
      <c r="G89" s="2092"/>
      <c r="H89" s="1588"/>
    </row>
    <row r="90" spans="1:8" ht="22.5" x14ac:dyDescent="0.2">
      <c r="A90" s="1571"/>
      <c r="B90" s="1572" t="s">
        <v>6892</v>
      </c>
      <c r="C90" s="1591"/>
      <c r="D90" s="1589"/>
      <c r="E90" s="1574" t="s">
        <v>7745</v>
      </c>
      <c r="F90" s="1574"/>
      <c r="G90" s="2092"/>
      <c r="H90" s="1588"/>
    </row>
    <row r="91" spans="1:8" x14ac:dyDescent="0.2">
      <c r="A91" s="1571"/>
      <c r="B91" s="1576" t="s">
        <v>6893</v>
      </c>
      <c r="C91" s="1592"/>
      <c r="D91" s="1593"/>
      <c r="E91" s="1577">
        <v>43878</v>
      </c>
      <c r="F91" s="1577"/>
      <c r="G91" s="2093"/>
      <c r="H91" s="1588"/>
    </row>
    <row r="92" spans="1:8" x14ac:dyDescent="0.2">
      <c r="A92" s="1578"/>
      <c r="B92" s="1579"/>
      <c r="C92" s="1594"/>
      <c r="D92" s="1595"/>
      <c r="E92" s="1582" t="s">
        <v>6894</v>
      </c>
      <c r="F92" s="1580">
        <f>MEDIAN(E86:G86)</f>
        <v>103000</v>
      </c>
      <c r="G92" s="1581"/>
    </row>
    <row r="94" spans="1:8" ht="39.75" customHeight="1" x14ac:dyDescent="0.2">
      <c r="A94" s="1583" t="str">
        <f>Composições!A3864</f>
        <v>06.01.411</v>
      </c>
      <c r="B94" s="2184" t="str">
        <f>'Orç - Prédio'!D637</f>
        <v>Reator inversor de emergência para lâmpada fluorescente (módulo autônomo)</v>
      </c>
      <c r="C94" s="2184"/>
      <c r="D94" s="1585" t="str">
        <f>'Orç - Prédio'!F637</f>
        <v>unidade</v>
      </c>
      <c r="E94" s="1566" t="s">
        <v>9520</v>
      </c>
      <c r="F94" s="1566"/>
      <c r="G94" s="1567"/>
    </row>
    <row r="95" spans="1:8" x14ac:dyDescent="0.2">
      <c r="A95" s="1568"/>
      <c r="B95" s="1569" t="s">
        <v>6897</v>
      </c>
      <c r="C95" s="1586"/>
      <c r="D95" s="1587"/>
      <c r="E95" s="1570" t="s">
        <v>6895</v>
      </c>
      <c r="F95" s="1570"/>
      <c r="G95" s="2089"/>
      <c r="H95" s="1588"/>
    </row>
    <row r="96" spans="1:8" x14ac:dyDescent="0.2">
      <c r="A96" s="1571"/>
      <c r="B96" s="1572" t="s">
        <v>6890</v>
      </c>
      <c r="C96" s="1572"/>
      <c r="D96" s="1589"/>
      <c r="E96" s="1573">
        <v>258.45999999999998</v>
      </c>
      <c r="F96" s="1573"/>
      <c r="G96" s="2090"/>
      <c r="H96" s="1588"/>
    </row>
    <row r="97" spans="1:8" x14ac:dyDescent="0.2">
      <c r="A97" s="1571"/>
      <c r="B97" s="1572" t="s">
        <v>6891</v>
      </c>
      <c r="C97" s="1590"/>
      <c r="D97" s="1590"/>
      <c r="E97" s="1574" t="s">
        <v>9519</v>
      </c>
      <c r="F97" s="1574"/>
      <c r="G97" s="2091"/>
      <c r="H97" s="1588"/>
    </row>
    <row r="98" spans="1:8" x14ac:dyDescent="0.2">
      <c r="A98" s="1571"/>
      <c r="B98" s="1572" t="s">
        <v>4636</v>
      </c>
      <c r="C98" s="1591"/>
      <c r="D98" s="1589"/>
      <c r="E98" s="1574" t="s">
        <v>9521</v>
      </c>
      <c r="F98" s="1574"/>
      <c r="G98" s="2092"/>
      <c r="H98" s="1588"/>
    </row>
    <row r="99" spans="1:8" ht="56.25" x14ac:dyDescent="0.2">
      <c r="A99" s="1571"/>
      <c r="B99" s="1572" t="s">
        <v>6896</v>
      </c>
      <c r="C99" s="1591"/>
      <c r="D99" s="1589"/>
      <c r="E99" s="1574" t="s">
        <v>9522</v>
      </c>
      <c r="F99" s="1574"/>
      <c r="G99" s="2092"/>
      <c r="H99" s="1588"/>
    </row>
    <row r="100" spans="1:8" x14ac:dyDescent="0.2">
      <c r="A100" s="1571"/>
      <c r="B100" s="1572" t="s">
        <v>6892</v>
      </c>
      <c r="C100" s="1591"/>
      <c r="D100" s="1589"/>
      <c r="E100" s="1574" t="s">
        <v>6938</v>
      </c>
      <c r="F100" s="1574"/>
      <c r="G100" s="2092"/>
      <c r="H100" s="1588"/>
    </row>
    <row r="101" spans="1:8" x14ac:dyDescent="0.2">
      <c r="A101" s="1571"/>
      <c r="B101" s="1576" t="s">
        <v>6893</v>
      </c>
      <c r="C101" s="1592"/>
      <c r="D101" s="1593"/>
      <c r="E101" s="1577">
        <v>43916</v>
      </c>
      <c r="F101" s="1577"/>
      <c r="G101" s="2093"/>
      <c r="H101" s="1588"/>
    </row>
    <row r="102" spans="1:8" x14ac:dyDescent="0.2">
      <c r="A102" s="1578"/>
      <c r="B102" s="1579"/>
      <c r="C102" s="1594"/>
      <c r="D102" s="1595"/>
      <c r="E102" s="1582" t="s">
        <v>6894</v>
      </c>
      <c r="F102" s="1580">
        <f>MEDIAN(E96:G96)</f>
        <v>258.45999999999998</v>
      </c>
      <c r="G102" s="1581"/>
    </row>
    <row r="104" spans="1:8" ht="33.75" x14ac:dyDescent="0.2">
      <c r="A104" s="1583" t="str">
        <f>'Orç - Prédio'!A724</f>
        <v>06.09.014</v>
      </c>
      <c r="B104" s="2189" t="str">
        <f>'Orç - Prédio'!D724</f>
        <v>Fusão da fibra óptica</v>
      </c>
      <c r="C104" s="2189"/>
      <c r="D104" s="1585" t="str">
        <f>'Orç - Prédio'!F724</f>
        <v>pares de fusão</v>
      </c>
      <c r="E104" s="1566"/>
      <c r="F104" s="1566"/>
      <c r="G104" s="1567"/>
    </row>
    <row r="105" spans="1:8" ht="22.5" x14ac:dyDescent="0.2">
      <c r="A105" s="1568"/>
      <c r="B105" s="1569" t="s">
        <v>6897</v>
      </c>
      <c r="C105" s="1586"/>
      <c r="D105" s="1587"/>
      <c r="E105" s="1570" t="s">
        <v>7606</v>
      </c>
      <c r="F105" s="1570" t="s">
        <v>7606</v>
      </c>
      <c r="G105" s="2089" t="s">
        <v>7606</v>
      </c>
      <c r="H105" s="1588"/>
    </row>
    <row r="106" spans="1:8" ht="22.5" x14ac:dyDescent="0.2">
      <c r="A106" s="1571"/>
      <c r="B106" s="1670" t="s">
        <v>7607</v>
      </c>
      <c r="C106" s="1670"/>
      <c r="D106" s="1590"/>
      <c r="E106" s="1574" t="s">
        <v>9573</v>
      </c>
      <c r="F106" s="1574" t="s">
        <v>9574</v>
      </c>
      <c r="G106" s="2091" t="s">
        <v>9575</v>
      </c>
      <c r="H106" s="1588"/>
    </row>
    <row r="107" spans="1:8" ht="33.75" x14ac:dyDescent="0.2">
      <c r="A107" s="1571"/>
      <c r="B107" s="1670" t="s">
        <v>7610</v>
      </c>
      <c r="C107" s="1670"/>
      <c r="D107" s="1589"/>
      <c r="E107" s="1573">
        <v>23.8</v>
      </c>
      <c r="F107" s="1573">
        <v>85</v>
      </c>
      <c r="G107" s="2090">
        <v>40</v>
      </c>
      <c r="H107" s="1588"/>
    </row>
    <row r="108" spans="1:8" ht="22.5" x14ac:dyDescent="0.2">
      <c r="A108" s="1571"/>
      <c r="B108" s="1572" t="s">
        <v>7611</v>
      </c>
      <c r="C108" s="1591"/>
      <c r="D108" s="1589"/>
      <c r="E108" s="1672" t="s">
        <v>9576</v>
      </c>
      <c r="F108" s="1673" t="s">
        <v>9577</v>
      </c>
      <c r="G108" s="2094" t="s">
        <v>9578</v>
      </c>
      <c r="H108" s="1588"/>
    </row>
    <row r="109" spans="1:8" x14ac:dyDescent="0.2">
      <c r="A109" s="1571"/>
      <c r="B109" s="1572" t="s">
        <v>7608</v>
      </c>
      <c r="C109" s="1591"/>
      <c r="D109" s="1589"/>
      <c r="E109" s="1668">
        <v>926306</v>
      </c>
      <c r="F109" s="1671">
        <v>160098</v>
      </c>
      <c r="G109" s="2095">
        <v>120016</v>
      </c>
      <c r="H109" s="1588"/>
    </row>
    <row r="110" spans="1:8" x14ac:dyDescent="0.2">
      <c r="A110" s="1571"/>
      <c r="B110" s="1572"/>
      <c r="C110" s="1591"/>
      <c r="D110" s="1589"/>
      <c r="E110" s="1574"/>
      <c r="F110" s="1575"/>
      <c r="G110" s="2092"/>
      <c r="H110" s="1588"/>
    </row>
    <row r="111" spans="1:8" ht="22.5" x14ac:dyDescent="0.2">
      <c r="A111" s="1571"/>
      <c r="B111" s="1576" t="s">
        <v>7612</v>
      </c>
      <c r="C111" s="1592"/>
      <c r="D111" s="1593"/>
      <c r="E111" s="1577">
        <v>43920</v>
      </c>
      <c r="F111" s="1577">
        <v>43859</v>
      </c>
      <c r="G111" s="2093">
        <v>43903</v>
      </c>
      <c r="H111" s="1588"/>
    </row>
    <row r="112" spans="1:8" x14ac:dyDescent="0.2">
      <c r="A112" s="1578"/>
      <c r="B112" s="1579"/>
      <c r="C112" s="1594"/>
      <c r="D112" s="1595"/>
      <c r="E112" s="1582" t="s">
        <v>6894</v>
      </c>
      <c r="F112" s="1580">
        <f>MEDIAN(E107:G107)</f>
        <v>40</v>
      </c>
      <c r="G112" s="1581"/>
    </row>
    <row r="114" spans="1:8" ht="70.5" customHeight="1" x14ac:dyDescent="0.2">
      <c r="A114" s="1583" t="str">
        <f>'Orç - Prédio'!A742</f>
        <v>07.01.101</v>
      </c>
      <c r="B114" s="2188" t="str">
        <f>'Orç - Prédio'!D742</f>
        <v>Plataforma enclausurada, modelo Vertical Hidro Easy fabricante ThyssenKrupp Elevadores ou equivalente, Carga nominal: 250 kg; Cabina: 900 x 1400 x 1100 mm (medidas internas mínimas), incluindo o enclausuramento em vidro laminado</v>
      </c>
      <c r="C114" s="2188"/>
      <c r="D114" s="1585" t="str">
        <f>'Orç - Prédio'!F742</f>
        <v>unidade</v>
      </c>
      <c r="E114" s="1566" t="s">
        <v>7685</v>
      </c>
      <c r="F114" s="1566"/>
      <c r="G114" s="1567"/>
    </row>
    <row r="115" spans="1:8" x14ac:dyDescent="0.2">
      <c r="A115" s="1568"/>
      <c r="B115" s="1569" t="s">
        <v>6897</v>
      </c>
      <c r="C115" s="1586"/>
      <c r="D115" s="1587"/>
      <c r="E115" s="1570" t="s">
        <v>7616</v>
      </c>
      <c r="F115" s="1570"/>
      <c r="G115" s="2096"/>
      <c r="H115" s="1588"/>
    </row>
    <row r="116" spans="1:8" x14ac:dyDescent="0.2">
      <c r="A116" s="1571"/>
      <c r="B116" s="1572" t="s">
        <v>6890</v>
      </c>
      <c r="C116" s="1572"/>
      <c r="D116" s="1589"/>
      <c r="E116" s="1573">
        <v>62900</v>
      </c>
      <c r="F116" s="1573"/>
      <c r="G116" s="2090"/>
      <c r="H116" s="1588"/>
    </row>
    <row r="117" spans="1:8" x14ac:dyDescent="0.2">
      <c r="A117" s="1571"/>
      <c r="B117" s="1572" t="s">
        <v>6891</v>
      </c>
      <c r="C117" s="1590"/>
      <c r="D117" s="1590"/>
      <c r="E117" s="1574" t="s">
        <v>7617</v>
      </c>
      <c r="F117" s="1574"/>
      <c r="G117" s="2091"/>
      <c r="H117" s="1588"/>
    </row>
    <row r="118" spans="1:8" x14ac:dyDescent="0.2">
      <c r="A118" s="1571"/>
      <c r="B118" s="1572" t="s">
        <v>4636</v>
      </c>
      <c r="C118" s="1591"/>
      <c r="D118" s="1589"/>
      <c r="E118" s="1574" t="s">
        <v>7618</v>
      </c>
      <c r="F118" s="1574"/>
      <c r="G118" s="2092"/>
      <c r="H118" s="1588"/>
    </row>
    <row r="119" spans="1:8" ht="22.5" x14ac:dyDescent="0.2">
      <c r="A119" s="1571"/>
      <c r="B119" s="1572" t="s">
        <v>6896</v>
      </c>
      <c r="C119" s="1591"/>
      <c r="D119" s="1589"/>
      <c r="E119" s="1574" t="s">
        <v>7619</v>
      </c>
      <c r="F119" s="1574"/>
      <c r="G119" s="2092"/>
      <c r="H119" s="1588"/>
    </row>
    <row r="120" spans="1:8" ht="22.5" x14ac:dyDescent="0.2">
      <c r="A120" s="1571"/>
      <c r="B120" s="1572" t="s">
        <v>6892</v>
      </c>
      <c r="C120" s="1591"/>
      <c r="D120" s="1589"/>
      <c r="E120" s="1574" t="s">
        <v>7620</v>
      </c>
      <c r="F120" s="1574"/>
      <c r="G120" s="2092"/>
      <c r="H120" s="1588"/>
    </row>
    <row r="121" spans="1:8" x14ac:dyDescent="0.2">
      <c r="A121" s="1571"/>
      <c r="B121" s="1576" t="s">
        <v>6893</v>
      </c>
      <c r="C121" s="1592"/>
      <c r="D121" s="1593"/>
      <c r="E121" s="1577">
        <v>43887</v>
      </c>
      <c r="F121" s="1577"/>
      <c r="G121" s="2093"/>
      <c r="H121" s="1588"/>
    </row>
    <row r="122" spans="1:8" x14ac:dyDescent="0.2">
      <c r="A122" s="1578"/>
      <c r="B122" s="1579"/>
      <c r="C122" s="1594"/>
      <c r="D122" s="1595"/>
      <c r="E122" s="1582" t="s">
        <v>6894</v>
      </c>
      <c r="F122" s="1580">
        <f>MEDIAN(E116:G116)</f>
        <v>62900</v>
      </c>
      <c r="G122" s="1581"/>
    </row>
    <row r="124" spans="1:8" ht="57.75" customHeight="1" x14ac:dyDescent="0.2">
      <c r="A124" s="1583" t="str">
        <f>'Orç - Prédio'!A746</f>
        <v>07.02.001</v>
      </c>
      <c r="B124" s="2184" t="str">
        <f>'Orç - Prédio'!D746</f>
        <v>Conjunto de unidades condensadoras e evaporadoras, conforme projeto de ar-condicionado, apenas fornecimento de máquinas, inclusive controles remotos e paineis das unidades cassete</v>
      </c>
      <c r="C124" s="2184"/>
      <c r="D124" s="1585" t="s">
        <v>8373</v>
      </c>
      <c r="E124" s="1566" t="s">
        <v>8374</v>
      </c>
      <c r="F124" s="1566"/>
      <c r="G124" s="1567"/>
    </row>
    <row r="125" spans="1:8" x14ac:dyDescent="0.2">
      <c r="A125" s="1568"/>
      <c r="B125" s="1569" t="s">
        <v>6897</v>
      </c>
      <c r="C125" s="1586"/>
      <c r="D125" s="1587"/>
      <c r="E125" s="1570" t="s">
        <v>8375</v>
      </c>
      <c r="F125" s="1570"/>
      <c r="G125" s="2096"/>
      <c r="H125" s="1588"/>
    </row>
    <row r="126" spans="1:8" x14ac:dyDescent="0.2">
      <c r="A126" s="1571"/>
      <c r="B126" s="1572" t="s">
        <v>6890</v>
      </c>
      <c r="C126" s="1572"/>
      <c r="D126" s="1589"/>
      <c r="E126" s="1573">
        <v>579968.02</v>
      </c>
      <c r="F126" s="1573"/>
      <c r="G126" s="2090"/>
      <c r="H126" s="1588"/>
    </row>
    <row r="127" spans="1:8" x14ac:dyDescent="0.2">
      <c r="A127" s="1571"/>
      <c r="B127" s="1572" t="s">
        <v>6891</v>
      </c>
      <c r="C127" s="1590"/>
      <c r="D127" s="1590"/>
      <c r="E127" s="1574" t="s">
        <v>8376</v>
      </c>
      <c r="F127" s="1574"/>
      <c r="G127" s="2091"/>
      <c r="H127" s="1588"/>
    </row>
    <row r="128" spans="1:8" x14ac:dyDescent="0.2">
      <c r="A128" s="1571"/>
      <c r="B128" s="1572" t="s">
        <v>4636</v>
      </c>
      <c r="C128" s="1591"/>
      <c r="D128" s="1589"/>
      <c r="E128" s="1574" t="s">
        <v>8378</v>
      </c>
      <c r="F128" s="1574"/>
      <c r="G128" s="2092"/>
      <c r="H128" s="1588"/>
    </row>
    <row r="129" spans="1:8" ht="22.5" x14ac:dyDescent="0.2">
      <c r="A129" s="1571"/>
      <c r="B129" s="1572" t="s">
        <v>6896</v>
      </c>
      <c r="C129" s="1591"/>
      <c r="D129" s="1589"/>
      <c r="E129" s="1574" t="s">
        <v>8379</v>
      </c>
      <c r="F129" s="1574"/>
      <c r="G129" s="2092"/>
      <c r="H129" s="1588"/>
    </row>
    <row r="130" spans="1:8" ht="22.5" x14ac:dyDescent="0.2">
      <c r="A130" s="1571"/>
      <c r="B130" s="1572" t="s">
        <v>6892</v>
      </c>
      <c r="C130" s="1591"/>
      <c r="D130" s="1589"/>
      <c r="E130" s="1574" t="s">
        <v>8377</v>
      </c>
      <c r="F130" s="1574"/>
      <c r="G130" s="2092"/>
      <c r="H130" s="1588"/>
    </row>
    <row r="131" spans="1:8" x14ac:dyDescent="0.2">
      <c r="A131" s="1571"/>
      <c r="B131" s="1576" t="s">
        <v>6893</v>
      </c>
      <c r="C131" s="1592"/>
      <c r="D131" s="1593"/>
      <c r="E131" s="1577">
        <v>43878</v>
      </c>
      <c r="F131" s="1577"/>
      <c r="G131" s="2093"/>
      <c r="H131" s="1588"/>
    </row>
    <row r="132" spans="1:8" x14ac:dyDescent="0.2">
      <c r="A132" s="1578"/>
      <c r="B132" s="1579"/>
      <c r="C132" s="1594"/>
      <c r="D132" s="1595"/>
      <c r="E132" s="1582" t="s">
        <v>6894</v>
      </c>
      <c r="F132" s="1580">
        <f>MEDIAN(E126:G126)</f>
        <v>579968.02</v>
      </c>
      <c r="G132" s="1581"/>
    </row>
    <row r="134" spans="1:8" ht="33.75" x14ac:dyDescent="0.2">
      <c r="A134" s="1583" t="str">
        <f>'Orç - Prédio'!A756</f>
        <v>07.02.305.02</v>
      </c>
      <c r="B134" s="1565"/>
      <c r="C134" s="1584" t="str">
        <f>'Orç - Prédio'!D756</f>
        <v>Canto para duto tipo TDC 25mm - POWERMATIC ou EQUIVALENTE</v>
      </c>
      <c r="D134" s="1585" t="str">
        <f>'Orç - Prédio'!F756</f>
        <v>unidade</v>
      </c>
      <c r="E134" s="1566" t="s">
        <v>8293</v>
      </c>
      <c r="F134" s="1566"/>
      <c r="G134" s="1567"/>
    </row>
    <row r="135" spans="1:8" x14ac:dyDescent="0.2">
      <c r="A135" s="1568"/>
      <c r="B135" s="1569" t="s">
        <v>6897</v>
      </c>
      <c r="C135" s="1586"/>
      <c r="D135" s="1587"/>
      <c r="E135" s="1570" t="s">
        <v>6895</v>
      </c>
      <c r="F135" s="1570"/>
      <c r="G135" s="2096"/>
      <c r="H135" s="1588"/>
    </row>
    <row r="136" spans="1:8" x14ac:dyDescent="0.2">
      <c r="A136" s="1571"/>
      <c r="B136" s="1572" t="s">
        <v>6890</v>
      </c>
      <c r="C136" s="1572"/>
      <c r="D136" s="1589"/>
      <c r="E136" s="1573">
        <v>0.47</v>
      </c>
      <c r="F136" s="1573"/>
      <c r="G136" s="2090"/>
      <c r="H136" s="1588"/>
    </row>
    <row r="137" spans="1:8" x14ac:dyDescent="0.2">
      <c r="A137" s="1571"/>
      <c r="B137" s="1572" t="s">
        <v>6891</v>
      </c>
      <c r="C137" s="1590"/>
      <c r="D137" s="1590"/>
      <c r="E137" s="1574" t="s">
        <v>8294</v>
      </c>
      <c r="F137" s="1574"/>
      <c r="G137" s="2091"/>
      <c r="H137" s="1588"/>
    </row>
    <row r="138" spans="1:8" x14ac:dyDescent="0.2">
      <c r="A138" s="1571"/>
      <c r="B138" s="1572" t="s">
        <v>4636</v>
      </c>
      <c r="C138" s="1591"/>
      <c r="D138" s="1589"/>
      <c r="E138" s="1574" t="s">
        <v>8295</v>
      </c>
      <c r="F138" s="1574"/>
      <c r="G138" s="2092"/>
      <c r="H138" s="1588"/>
    </row>
    <row r="139" spans="1:8" ht="56.25" x14ac:dyDescent="0.2">
      <c r="A139" s="1571"/>
      <c r="B139" s="1572" t="s">
        <v>6896</v>
      </c>
      <c r="C139" s="1591"/>
      <c r="D139" s="1589"/>
      <c r="E139" s="1574" t="s">
        <v>8296</v>
      </c>
      <c r="F139" s="1574"/>
      <c r="G139" s="2092"/>
      <c r="H139" s="1588"/>
    </row>
    <row r="140" spans="1:8" x14ac:dyDescent="0.2">
      <c r="A140" s="1571"/>
      <c r="B140" s="1572" t="s">
        <v>6892</v>
      </c>
      <c r="C140" s="1591"/>
      <c r="D140" s="1589"/>
      <c r="E140" s="1574" t="s">
        <v>8297</v>
      </c>
      <c r="F140" s="1574"/>
      <c r="G140" s="2092"/>
      <c r="H140" s="1588"/>
    </row>
    <row r="141" spans="1:8" x14ac:dyDescent="0.2">
      <c r="A141" s="1571"/>
      <c r="B141" s="1576" t="s">
        <v>6893</v>
      </c>
      <c r="C141" s="1592"/>
      <c r="D141" s="1593"/>
      <c r="E141" s="1577">
        <v>43713</v>
      </c>
      <c r="F141" s="1577"/>
      <c r="G141" s="2093"/>
      <c r="H141" s="1588"/>
    </row>
    <row r="142" spans="1:8" x14ac:dyDescent="0.2">
      <c r="A142" s="1578"/>
      <c r="B142" s="1579"/>
      <c r="C142" s="1594"/>
      <c r="D142" s="1595"/>
      <c r="E142" s="1582" t="s">
        <v>6894</v>
      </c>
      <c r="F142" s="1580">
        <f>MEDIAN(E136:G136)</f>
        <v>0.47</v>
      </c>
      <c r="G142" s="1581"/>
    </row>
    <row r="144" spans="1:8" ht="33.75" x14ac:dyDescent="0.2">
      <c r="A144" s="1583" t="str">
        <f>'Orç - Prédio'!A757</f>
        <v>07.02.305.03</v>
      </c>
      <c r="B144" s="1565"/>
      <c r="C144" s="1584" t="str">
        <f>'Orç - Prédio'!D757</f>
        <v>Fita de vedação 20 x 4mm, rolo com 10m - POWERMATIC ou EQUIVALENTE</v>
      </c>
      <c r="D144" s="1585" t="str">
        <f>'Orç - Prédio'!F763</f>
        <v>unidade</v>
      </c>
      <c r="E144" s="1566" t="s">
        <v>8293</v>
      </c>
      <c r="F144" s="1566"/>
      <c r="G144" s="1567"/>
    </row>
    <row r="145" spans="1:8" x14ac:dyDescent="0.2">
      <c r="A145" s="1568"/>
      <c r="B145" s="1569" t="s">
        <v>6897</v>
      </c>
      <c r="C145" s="1586"/>
      <c r="D145" s="1587"/>
      <c r="E145" s="1570" t="s">
        <v>6895</v>
      </c>
      <c r="F145" s="1570"/>
      <c r="G145" s="2096"/>
      <c r="H145" s="1588"/>
    </row>
    <row r="146" spans="1:8" x14ac:dyDescent="0.2">
      <c r="A146" s="1571"/>
      <c r="B146" s="1572" t="s">
        <v>6890</v>
      </c>
      <c r="C146" s="1572"/>
      <c r="D146" s="1589"/>
      <c r="E146" s="1573">
        <v>6.48</v>
      </c>
      <c r="F146" s="1573"/>
      <c r="G146" s="2090"/>
      <c r="H146" s="1588"/>
    </row>
    <row r="147" spans="1:8" x14ac:dyDescent="0.2">
      <c r="A147" s="1571"/>
      <c r="B147" s="1572" t="s">
        <v>6891</v>
      </c>
      <c r="C147" s="1590"/>
      <c r="D147" s="1590"/>
      <c r="E147" s="1574" t="s">
        <v>8294</v>
      </c>
      <c r="F147" s="1574"/>
      <c r="G147" s="2091"/>
      <c r="H147" s="1588"/>
    </row>
    <row r="148" spans="1:8" x14ac:dyDescent="0.2">
      <c r="A148" s="1571"/>
      <c r="B148" s="1572" t="s">
        <v>4636</v>
      </c>
      <c r="C148" s="1591"/>
      <c r="D148" s="1589"/>
      <c r="E148" s="1574" t="s">
        <v>8295</v>
      </c>
      <c r="F148" s="1574"/>
      <c r="G148" s="2092"/>
      <c r="H148" s="1588"/>
    </row>
    <row r="149" spans="1:8" ht="45" x14ac:dyDescent="0.2">
      <c r="A149" s="1571"/>
      <c r="B149" s="1572" t="s">
        <v>6896</v>
      </c>
      <c r="C149" s="1591"/>
      <c r="D149" s="1589"/>
      <c r="E149" s="1574" t="s">
        <v>9581</v>
      </c>
      <c r="F149" s="1574"/>
      <c r="G149" s="2092"/>
      <c r="H149" s="1588"/>
    </row>
    <row r="150" spans="1:8" x14ac:dyDescent="0.2">
      <c r="A150" s="1571"/>
      <c r="B150" s="1572" t="s">
        <v>6892</v>
      </c>
      <c r="C150" s="1591"/>
      <c r="D150" s="1589"/>
      <c r="E150" s="1574" t="s">
        <v>8297</v>
      </c>
      <c r="F150" s="1574"/>
      <c r="G150" s="2092"/>
      <c r="H150" s="1588"/>
    </row>
    <row r="151" spans="1:8" x14ac:dyDescent="0.2">
      <c r="A151" s="1571"/>
      <c r="B151" s="1576" t="s">
        <v>6893</v>
      </c>
      <c r="C151" s="1592"/>
      <c r="D151" s="1593"/>
      <c r="E151" s="1577">
        <v>43713</v>
      </c>
      <c r="F151" s="1577"/>
      <c r="G151" s="2093"/>
      <c r="H151" s="1588"/>
    </row>
    <row r="152" spans="1:8" x14ac:dyDescent="0.2">
      <c r="A152" s="1578"/>
      <c r="B152" s="1579"/>
      <c r="C152" s="1594"/>
      <c r="D152" s="1595"/>
      <c r="E152" s="1582" t="s">
        <v>6894</v>
      </c>
      <c r="F152" s="1580">
        <f>MEDIAN(E146:G146)</f>
        <v>6.48</v>
      </c>
      <c r="G152" s="1581"/>
    </row>
    <row r="154" spans="1:8" ht="22.5" x14ac:dyDescent="0.2">
      <c r="A154" s="1583" t="str">
        <f>'Orç - Prédio'!A767</f>
        <v>07.02.501.01</v>
      </c>
      <c r="B154" s="1565"/>
      <c r="C154" s="1584" t="str">
        <f>'Orç - Prédio'!D767</f>
        <v>Valvula de serviço, Ref.: GBC (Danfoss) 7/8”</v>
      </c>
      <c r="D154" s="1566" t="str">
        <f>'Orç - Prédio'!F767</f>
        <v>unidade</v>
      </c>
      <c r="E154" s="1566" t="s">
        <v>7625</v>
      </c>
      <c r="F154" s="1566" t="s">
        <v>9586</v>
      </c>
      <c r="G154" s="1567" t="s">
        <v>7628</v>
      </c>
    </row>
    <row r="155" spans="1:8" x14ac:dyDescent="0.2">
      <c r="A155" s="1568"/>
      <c r="B155" s="1569" t="s">
        <v>6897</v>
      </c>
      <c r="C155" s="1586"/>
      <c r="D155" s="1587"/>
      <c r="E155" s="1570" t="s">
        <v>6895</v>
      </c>
      <c r="F155" s="1570" t="s">
        <v>6895</v>
      </c>
      <c r="G155" s="2089" t="s">
        <v>6895</v>
      </c>
      <c r="H155" s="1588"/>
    </row>
    <row r="156" spans="1:8" x14ac:dyDescent="0.2">
      <c r="A156" s="1571"/>
      <c r="B156" s="1572" t="s">
        <v>6890</v>
      </c>
      <c r="C156" s="1572"/>
      <c r="D156" s="1589"/>
      <c r="E156" s="1573">
        <v>298.89999999999998</v>
      </c>
      <c r="F156" s="1573">
        <v>89.99</v>
      </c>
      <c r="G156" s="2090">
        <v>191.25</v>
      </c>
      <c r="H156" s="1588"/>
    </row>
    <row r="157" spans="1:8" x14ac:dyDescent="0.2">
      <c r="A157" s="1571"/>
      <c r="B157" s="1572" t="s">
        <v>6891</v>
      </c>
      <c r="C157" s="1590"/>
      <c r="D157" s="1590"/>
      <c r="E157" s="1574" t="s">
        <v>9588</v>
      </c>
      <c r="F157" s="1574" t="s">
        <v>9587</v>
      </c>
      <c r="G157" s="2091" t="s">
        <v>7630</v>
      </c>
      <c r="H157" s="1588"/>
    </row>
    <row r="158" spans="1:8" x14ac:dyDescent="0.2">
      <c r="A158" s="1571"/>
      <c r="B158" s="1572" t="s">
        <v>4636</v>
      </c>
      <c r="C158" s="1591"/>
      <c r="D158" s="1589"/>
      <c r="E158" s="1574" t="s">
        <v>7626</v>
      </c>
      <c r="F158" s="1574" t="s">
        <v>9589</v>
      </c>
      <c r="G158" s="2091" t="s">
        <v>7629</v>
      </c>
      <c r="H158" s="1588"/>
    </row>
    <row r="159" spans="1:8" ht="135" x14ac:dyDescent="0.2">
      <c r="A159" s="1571"/>
      <c r="B159" s="1572" t="s">
        <v>6896</v>
      </c>
      <c r="C159" s="1591"/>
      <c r="D159" s="1589"/>
      <c r="E159" s="1574" t="s">
        <v>9585</v>
      </c>
      <c r="F159" s="1574" t="s">
        <v>9590</v>
      </c>
      <c r="G159" s="2091" t="s">
        <v>7631</v>
      </c>
      <c r="H159" s="1588"/>
    </row>
    <row r="160" spans="1:8" ht="22.5" x14ac:dyDescent="0.2">
      <c r="A160" s="1571"/>
      <c r="B160" s="1572" t="s">
        <v>6892</v>
      </c>
      <c r="C160" s="1591"/>
      <c r="D160" s="1589"/>
      <c r="E160" s="1574" t="s">
        <v>7627</v>
      </c>
      <c r="F160" s="1574" t="s">
        <v>6938</v>
      </c>
      <c r="G160" s="2091" t="s">
        <v>7632</v>
      </c>
      <c r="H160" s="1588"/>
    </row>
    <row r="161" spans="1:8" x14ac:dyDescent="0.2">
      <c r="A161" s="1571"/>
      <c r="B161" s="1576" t="s">
        <v>6893</v>
      </c>
      <c r="C161" s="1592"/>
      <c r="D161" s="1593"/>
      <c r="E161" s="1577">
        <v>43923</v>
      </c>
      <c r="F161" s="1577">
        <v>43923</v>
      </c>
      <c r="G161" s="2093">
        <v>43923</v>
      </c>
      <c r="H161" s="1588"/>
    </row>
    <row r="162" spans="1:8" x14ac:dyDescent="0.2">
      <c r="A162" s="1578"/>
      <c r="B162" s="1579"/>
      <c r="C162" s="1594"/>
      <c r="D162" s="1595"/>
      <c r="E162" s="1582" t="s">
        <v>6894</v>
      </c>
      <c r="F162" s="1580">
        <f>MEDIAN(E156:G156)</f>
        <v>191.25</v>
      </c>
      <c r="G162" s="1581"/>
    </row>
    <row r="164" spans="1:8" ht="22.5" x14ac:dyDescent="0.2">
      <c r="A164" s="1583" t="str">
        <f>'Orç - Prédio'!A768</f>
        <v>07.02.501.02</v>
      </c>
      <c r="B164" s="1565"/>
      <c r="C164" s="1584" t="str">
        <f>'Orç - Prédio'!D768</f>
        <v>Valvula de serviço, Ref.: GBC (Danfoss) 5/8”</v>
      </c>
      <c r="D164" s="1566" t="str">
        <f>'Orç - Prédio'!F768</f>
        <v>unidade</v>
      </c>
      <c r="E164" s="1566" t="s">
        <v>9586</v>
      </c>
      <c r="F164" s="1566" t="s">
        <v>7634</v>
      </c>
      <c r="G164" s="1567" t="s">
        <v>7638</v>
      </c>
    </row>
    <row r="165" spans="1:8" x14ac:dyDescent="0.2">
      <c r="A165" s="1568"/>
      <c r="B165" s="1569" t="s">
        <v>6897</v>
      </c>
      <c r="C165" s="1586"/>
      <c r="D165" s="1587"/>
      <c r="E165" s="1570" t="s">
        <v>6895</v>
      </c>
      <c r="F165" s="1570" t="s">
        <v>6895</v>
      </c>
      <c r="G165" s="2089" t="s">
        <v>6895</v>
      </c>
      <c r="H165" s="1588"/>
    </row>
    <row r="166" spans="1:8" x14ac:dyDescent="0.2">
      <c r="A166" s="1571"/>
      <c r="B166" s="1572" t="s">
        <v>6890</v>
      </c>
      <c r="C166" s="1572"/>
      <c r="D166" s="1589"/>
      <c r="E166" s="1573">
        <v>34.99</v>
      </c>
      <c r="F166" s="1573">
        <v>79</v>
      </c>
      <c r="G166" s="2090">
        <v>46</v>
      </c>
      <c r="H166" s="1588"/>
    </row>
    <row r="167" spans="1:8" x14ac:dyDescent="0.2">
      <c r="A167" s="1571"/>
      <c r="B167" s="1572" t="s">
        <v>6891</v>
      </c>
      <c r="C167" s="1590"/>
      <c r="D167" s="1590"/>
      <c r="E167" s="1574" t="s">
        <v>9587</v>
      </c>
      <c r="F167" s="1574" t="s">
        <v>7635</v>
      </c>
      <c r="G167" s="2091" t="s">
        <v>7640</v>
      </c>
      <c r="H167" s="1588"/>
    </row>
    <row r="168" spans="1:8" x14ac:dyDescent="0.2">
      <c r="A168" s="1571"/>
      <c r="B168" s="1572" t="s">
        <v>4636</v>
      </c>
      <c r="C168" s="1591"/>
      <c r="D168" s="1589"/>
      <c r="E168" s="1574" t="s">
        <v>9589</v>
      </c>
      <c r="F168" s="1574" t="s">
        <v>7636</v>
      </c>
      <c r="G168" s="2091" t="s">
        <v>7641</v>
      </c>
      <c r="H168" s="1588"/>
    </row>
    <row r="169" spans="1:8" ht="112.5" x14ac:dyDescent="0.2">
      <c r="A169" s="1571"/>
      <c r="B169" s="1572" t="s">
        <v>6896</v>
      </c>
      <c r="C169" s="1591"/>
      <c r="D169" s="1589"/>
      <c r="E169" s="1574" t="s">
        <v>9592</v>
      </c>
      <c r="F169" s="1574" t="s">
        <v>9591</v>
      </c>
      <c r="G169" s="2091" t="s">
        <v>7639</v>
      </c>
      <c r="H169" s="1588"/>
    </row>
    <row r="170" spans="1:8" ht="22.5" x14ac:dyDescent="0.2">
      <c r="A170" s="1571"/>
      <c r="B170" s="1572" t="s">
        <v>6892</v>
      </c>
      <c r="C170" s="1591"/>
      <c r="D170" s="1589"/>
      <c r="E170" s="1574" t="s">
        <v>6938</v>
      </c>
      <c r="F170" s="1574" t="s">
        <v>7637</v>
      </c>
      <c r="G170" s="2091" t="s">
        <v>7642</v>
      </c>
      <c r="H170" s="1588"/>
    </row>
    <row r="171" spans="1:8" x14ac:dyDescent="0.2">
      <c r="A171" s="1571"/>
      <c r="B171" s="1576" t="s">
        <v>6893</v>
      </c>
      <c r="C171" s="1592"/>
      <c r="D171" s="1593"/>
      <c r="E171" s="1577">
        <v>43923</v>
      </c>
      <c r="F171" s="1577">
        <v>43923</v>
      </c>
      <c r="G171" s="2093">
        <v>43923</v>
      </c>
      <c r="H171" s="1588"/>
    </row>
    <row r="172" spans="1:8" x14ac:dyDescent="0.2">
      <c r="A172" s="1578"/>
      <c r="B172" s="1579"/>
      <c r="C172" s="1594"/>
      <c r="D172" s="1595"/>
      <c r="E172" s="1582" t="s">
        <v>6894</v>
      </c>
      <c r="F172" s="1580">
        <f>MEDIAN(E166:G166)</f>
        <v>46</v>
      </c>
      <c r="G172" s="1581"/>
    </row>
    <row r="174" spans="1:8" ht="22.5" x14ac:dyDescent="0.2">
      <c r="A174" s="1583" t="str">
        <f>'Orç - Prédio'!A769</f>
        <v>07.02.501.03</v>
      </c>
      <c r="B174" s="1565"/>
      <c r="C174" s="1584" t="str">
        <f>'Orç - Prédio'!D769</f>
        <v>Valvula de serviço, Ref.: GBC (Danfoss) 1/2”</v>
      </c>
      <c r="D174" s="1566" t="str">
        <f>'Orç - Prédio'!F769</f>
        <v>unidade</v>
      </c>
      <c r="E174" s="1676" t="s">
        <v>7628</v>
      </c>
      <c r="F174" s="1677" t="s">
        <v>7634</v>
      </c>
      <c r="G174" s="1921" t="s">
        <v>7638</v>
      </c>
    </row>
    <row r="175" spans="1:8" x14ac:dyDescent="0.2">
      <c r="A175" s="1568"/>
      <c r="B175" s="1569" t="s">
        <v>6897</v>
      </c>
      <c r="C175" s="1586"/>
      <c r="D175" s="1587"/>
      <c r="E175" s="1574" t="s">
        <v>6895</v>
      </c>
      <c r="F175" s="1574" t="s">
        <v>6895</v>
      </c>
      <c r="G175" s="2091" t="s">
        <v>6895</v>
      </c>
      <c r="H175" s="615"/>
    </row>
    <row r="176" spans="1:8" x14ac:dyDescent="0.2">
      <c r="A176" s="1571"/>
      <c r="B176" s="1572" t="s">
        <v>6890</v>
      </c>
      <c r="C176" s="1572"/>
      <c r="D176" s="1589"/>
      <c r="E176" s="1573">
        <v>21.25</v>
      </c>
      <c r="F176" s="1573">
        <v>26.9</v>
      </c>
      <c r="G176" s="2090">
        <v>46</v>
      </c>
      <c r="H176" s="615"/>
    </row>
    <row r="177" spans="1:8" x14ac:dyDescent="0.2">
      <c r="A177" s="1571"/>
      <c r="B177" s="1572" t="s">
        <v>6891</v>
      </c>
      <c r="C177" s="1590"/>
      <c r="D177" s="1590"/>
      <c r="E177" s="1574" t="s">
        <v>7630</v>
      </c>
      <c r="F177" s="1574" t="s">
        <v>7635</v>
      </c>
      <c r="G177" s="2091" t="s">
        <v>7640</v>
      </c>
      <c r="H177" s="615"/>
    </row>
    <row r="178" spans="1:8" x14ac:dyDescent="0.2">
      <c r="A178" s="1571"/>
      <c r="B178" s="1572" t="s">
        <v>4636</v>
      </c>
      <c r="C178" s="1591"/>
      <c r="D178" s="1589"/>
      <c r="E178" s="1574" t="s">
        <v>7629</v>
      </c>
      <c r="F178" s="1574" t="s">
        <v>7636</v>
      </c>
      <c r="G178" s="2091" t="s">
        <v>7641</v>
      </c>
      <c r="H178" s="615"/>
    </row>
    <row r="179" spans="1:8" ht="56.25" x14ac:dyDescent="0.2">
      <c r="A179" s="1571"/>
      <c r="B179" s="1572" t="s">
        <v>6896</v>
      </c>
      <c r="C179" s="1591"/>
      <c r="D179" s="1574"/>
      <c r="E179" s="1574" t="s">
        <v>7644</v>
      </c>
      <c r="F179" s="1574" t="s">
        <v>9593</v>
      </c>
      <c r="G179" s="2091" t="s">
        <v>7645</v>
      </c>
      <c r="H179" s="615"/>
    </row>
    <row r="180" spans="1:8" ht="22.5" x14ac:dyDescent="0.2">
      <c r="A180" s="1571"/>
      <c r="B180" s="1572" t="s">
        <v>6892</v>
      </c>
      <c r="C180" s="1591"/>
      <c r="D180" s="1589"/>
      <c r="E180" s="1574" t="s">
        <v>7632</v>
      </c>
      <c r="F180" s="1574" t="s">
        <v>7637</v>
      </c>
      <c r="G180" s="2091" t="s">
        <v>7642</v>
      </c>
      <c r="H180" s="615"/>
    </row>
    <row r="181" spans="1:8" x14ac:dyDescent="0.2">
      <c r="A181" s="1571"/>
      <c r="B181" s="1576" t="s">
        <v>6893</v>
      </c>
      <c r="C181" s="1592"/>
      <c r="D181" s="1593"/>
      <c r="E181" s="1577">
        <v>43923</v>
      </c>
      <c r="F181" s="1577">
        <v>43923</v>
      </c>
      <c r="G181" s="2093">
        <v>43923</v>
      </c>
      <c r="H181" s="615"/>
    </row>
    <row r="182" spans="1:8" x14ac:dyDescent="0.2">
      <c r="A182" s="1578"/>
      <c r="B182" s="1579"/>
      <c r="C182" s="1594"/>
      <c r="D182" s="1595"/>
      <c r="E182" s="1582" t="s">
        <v>6894</v>
      </c>
      <c r="F182" s="1580">
        <f>MEDIAN(E176:G176)</f>
        <v>26.9</v>
      </c>
      <c r="G182" s="1581"/>
    </row>
    <row r="184" spans="1:8" ht="22.5" x14ac:dyDescent="0.2">
      <c r="A184" s="1583" t="str">
        <f>'Orç - Prédio'!A770</f>
        <v>07.02.501.04</v>
      </c>
      <c r="B184" s="1565"/>
      <c r="C184" s="1584" t="str">
        <f>'Orç - Prédio'!D770</f>
        <v>Valvula de serviço, Ref.: GBC (Danfoss) 3/8”</v>
      </c>
      <c r="D184" s="1566" t="str">
        <f>'Orç - Prédio'!F770</f>
        <v>unidade</v>
      </c>
      <c r="E184" s="1676" t="s">
        <v>7628</v>
      </c>
      <c r="F184" s="1677" t="s">
        <v>7634</v>
      </c>
      <c r="G184" s="1921" t="s">
        <v>7638</v>
      </c>
    </row>
    <row r="185" spans="1:8" x14ac:dyDescent="0.2">
      <c r="A185" s="1568"/>
      <c r="B185" s="1569" t="s">
        <v>6897</v>
      </c>
      <c r="C185" s="1586"/>
      <c r="D185" s="1587"/>
      <c r="E185" s="1574" t="s">
        <v>6895</v>
      </c>
      <c r="F185" s="1574" t="s">
        <v>6895</v>
      </c>
      <c r="G185" s="2091" t="s">
        <v>6895</v>
      </c>
      <c r="H185" s="615"/>
    </row>
    <row r="186" spans="1:8" x14ac:dyDescent="0.2">
      <c r="A186" s="1571"/>
      <c r="B186" s="1572" t="s">
        <v>6890</v>
      </c>
      <c r="C186" s="1572"/>
      <c r="D186" s="1589"/>
      <c r="E186" s="1573">
        <v>38.25</v>
      </c>
      <c r="F186" s="1573">
        <v>21.9</v>
      </c>
      <c r="G186" s="2090">
        <v>46</v>
      </c>
      <c r="H186" s="615"/>
    </row>
    <row r="187" spans="1:8" x14ac:dyDescent="0.2">
      <c r="A187" s="1571"/>
      <c r="B187" s="1572" t="s">
        <v>6891</v>
      </c>
      <c r="C187" s="1590"/>
      <c r="D187" s="1590"/>
      <c r="E187" s="1574" t="s">
        <v>7630</v>
      </c>
      <c r="F187" s="1574" t="s">
        <v>7635</v>
      </c>
      <c r="G187" s="2091" t="s">
        <v>7640</v>
      </c>
      <c r="H187" s="615"/>
    </row>
    <row r="188" spans="1:8" x14ac:dyDescent="0.2">
      <c r="A188" s="1571"/>
      <c r="B188" s="1572" t="s">
        <v>4636</v>
      </c>
      <c r="C188" s="1591"/>
      <c r="D188" s="1589"/>
      <c r="E188" s="1574" t="s">
        <v>7629</v>
      </c>
      <c r="F188" s="1574" t="s">
        <v>7636</v>
      </c>
      <c r="G188" s="2091" t="s">
        <v>7641</v>
      </c>
      <c r="H188" s="615"/>
    </row>
    <row r="189" spans="1:8" ht="56.25" x14ac:dyDescent="0.2">
      <c r="A189" s="1571"/>
      <c r="B189" s="1572" t="s">
        <v>6896</v>
      </c>
      <c r="C189" s="1591"/>
      <c r="D189" s="1589"/>
      <c r="E189" s="1577" t="s">
        <v>7647</v>
      </c>
      <c r="F189" s="1577" t="s">
        <v>9594</v>
      </c>
      <c r="G189" s="2093" t="s">
        <v>7645</v>
      </c>
      <c r="H189" s="615"/>
    </row>
    <row r="190" spans="1:8" ht="22.5" x14ac:dyDescent="0.2">
      <c r="A190" s="1571"/>
      <c r="B190" s="1572" t="s">
        <v>6892</v>
      </c>
      <c r="C190" s="1591"/>
      <c r="D190" s="1589"/>
      <c r="E190" s="1574" t="s">
        <v>7632</v>
      </c>
      <c r="F190" s="1574" t="s">
        <v>7637</v>
      </c>
      <c r="G190" s="2091" t="s">
        <v>7642</v>
      </c>
      <c r="H190" s="615"/>
    </row>
    <row r="191" spans="1:8" x14ac:dyDescent="0.2">
      <c r="A191" s="1571"/>
      <c r="B191" s="1576" t="s">
        <v>6893</v>
      </c>
      <c r="C191" s="1592"/>
      <c r="D191" s="1593"/>
      <c r="E191" s="1577">
        <v>43923</v>
      </c>
      <c r="F191" s="1577">
        <v>43923</v>
      </c>
      <c r="G191" s="2093">
        <v>43923</v>
      </c>
      <c r="H191" s="615"/>
    </row>
    <row r="192" spans="1:8" x14ac:dyDescent="0.2">
      <c r="A192" s="1578"/>
      <c r="B192" s="1579"/>
      <c r="C192" s="1594"/>
      <c r="D192" s="1595"/>
      <c r="E192" s="1582" t="s">
        <v>6894</v>
      </c>
      <c r="F192" s="1580">
        <f>MEDIAN(E186:G186)</f>
        <v>38.25</v>
      </c>
      <c r="G192" s="1581"/>
    </row>
    <row r="194" spans="1:8" ht="22.5" x14ac:dyDescent="0.2">
      <c r="A194" s="1583" t="str">
        <f>'Orç - Prédio'!A771</f>
        <v>07.02.501.05</v>
      </c>
      <c r="B194" s="1565"/>
      <c r="C194" s="1584" t="str">
        <f>'Orç - Prédio'!D771</f>
        <v>Valvula de serviço, Ref.: GBC (Danfoss) 1/4”</v>
      </c>
      <c r="D194" s="1566" t="str">
        <f>'Orç - Prédio'!F771</f>
        <v>unidade</v>
      </c>
      <c r="E194" s="1676" t="s">
        <v>7628</v>
      </c>
      <c r="F194" s="1677"/>
      <c r="G194" s="1921" t="s">
        <v>7638</v>
      </c>
    </row>
    <row r="195" spans="1:8" x14ac:dyDescent="0.2">
      <c r="A195" s="1568"/>
      <c r="B195" s="1569" t="s">
        <v>6897</v>
      </c>
      <c r="C195" s="1586"/>
      <c r="D195" s="1587"/>
      <c r="E195" s="1574" t="s">
        <v>6895</v>
      </c>
      <c r="F195" s="1574"/>
      <c r="G195" s="2091" t="s">
        <v>6895</v>
      </c>
      <c r="H195" s="615"/>
    </row>
    <row r="196" spans="1:8" x14ac:dyDescent="0.2">
      <c r="A196" s="1571"/>
      <c r="B196" s="1572" t="s">
        <v>6890</v>
      </c>
      <c r="C196" s="1572"/>
      <c r="D196" s="1589"/>
      <c r="E196" s="1573">
        <v>15.3</v>
      </c>
      <c r="F196" s="1573"/>
      <c r="G196" s="2090">
        <v>32</v>
      </c>
      <c r="H196" s="615"/>
    </row>
    <row r="197" spans="1:8" x14ac:dyDescent="0.2">
      <c r="A197" s="1571"/>
      <c r="B197" s="1572" t="s">
        <v>6891</v>
      </c>
      <c r="C197" s="1590"/>
      <c r="D197" s="1590"/>
      <c r="E197" s="1574" t="s">
        <v>7630</v>
      </c>
      <c r="F197" s="1574"/>
      <c r="G197" s="2091" t="s">
        <v>7640</v>
      </c>
      <c r="H197" s="615"/>
    </row>
    <row r="198" spans="1:8" x14ac:dyDescent="0.2">
      <c r="A198" s="1571"/>
      <c r="B198" s="1572" t="s">
        <v>4636</v>
      </c>
      <c r="C198" s="1591"/>
      <c r="D198" s="1589"/>
      <c r="E198" s="1574" t="s">
        <v>7629</v>
      </c>
      <c r="F198" s="1574"/>
      <c r="G198" s="2091" t="s">
        <v>7641</v>
      </c>
      <c r="H198" s="615"/>
    </row>
    <row r="199" spans="1:8" ht="70.5" customHeight="1" x14ac:dyDescent="0.2">
      <c r="A199" s="1571"/>
      <c r="B199" s="1572" t="s">
        <v>6896</v>
      </c>
      <c r="C199" s="1591"/>
      <c r="D199" s="1589"/>
      <c r="E199" s="1577" t="s">
        <v>7649</v>
      </c>
      <c r="F199" s="1577"/>
      <c r="G199" s="2093" t="s">
        <v>7650</v>
      </c>
      <c r="H199" s="615"/>
    </row>
    <row r="200" spans="1:8" ht="22.5" x14ac:dyDescent="0.2">
      <c r="A200" s="1571"/>
      <c r="B200" s="1572" t="s">
        <v>6892</v>
      </c>
      <c r="C200" s="1591"/>
      <c r="D200" s="1589"/>
      <c r="E200" s="1574" t="s">
        <v>7632</v>
      </c>
      <c r="F200" s="1574"/>
      <c r="G200" s="2091" t="s">
        <v>7642</v>
      </c>
      <c r="H200" s="615"/>
    </row>
    <row r="201" spans="1:8" x14ac:dyDescent="0.2">
      <c r="A201" s="1571"/>
      <c r="B201" s="1576" t="s">
        <v>6893</v>
      </c>
      <c r="C201" s="1592"/>
      <c r="D201" s="1593"/>
      <c r="E201" s="1577">
        <v>43923</v>
      </c>
      <c r="F201" s="1577"/>
      <c r="G201" s="2093">
        <v>43923</v>
      </c>
      <c r="H201" s="615"/>
    </row>
    <row r="202" spans="1:8" x14ac:dyDescent="0.2">
      <c r="A202" s="1578"/>
      <c r="B202" s="1579"/>
      <c r="C202" s="1594"/>
      <c r="D202" s="1595"/>
      <c r="E202" s="1582" t="s">
        <v>6894</v>
      </c>
      <c r="F202" s="1580">
        <f>MEDIAN(E196:G196)</f>
        <v>23.65</v>
      </c>
      <c r="G202" s="1581"/>
    </row>
    <row r="204" spans="1:8" s="1643" customFormat="1" ht="45" x14ac:dyDescent="0.2">
      <c r="A204" s="1583" t="str">
        <f>'Orç - Prédio'!A772</f>
        <v>07.02.502.01</v>
      </c>
      <c r="B204" s="1565"/>
      <c r="C204" s="1584" t="str">
        <f>'Orç - Prédio'!D772</f>
        <v>Gabinete de ventilação para ar exterior (BOOSTER) com filtragem (G4/F7) vazão=9.198m3/h x 60 mmca</v>
      </c>
      <c r="D204" s="1566" t="str">
        <f>'Orç - Prédio'!F772</f>
        <v>unidade</v>
      </c>
      <c r="E204" s="1676" t="s">
        <v>9604</v>
      </c>
      <c r="F204" s="1677"/>
      <c r="G204" s="1921"/>
    </row>
    <row r="205" spans="1:8" x14ac:dyDescent="0.2">
      <c r="A205" s="1568"/>
      <c r="B205" s="1569" t="s">
        <v>6897</v>
      </c>
      <c r="C205" s="1586"/>
      <c r="D205" s="1587"/>
      <c r="E205" s="1574" t="s">
        <v>8375</v>
      </c>
      <c r="F205" s="1574"/>
      <c r="G205" s="2091"/>
      <c r="H205" s="615"/>
    </row>
    <row r="206" spans="1:8" x14ac:dyDescent="0.2">
      <c r="A206" s="1571"/>
      <c r="B206" s="1572" t="s">
        <v>6890</v>
      </c>
      <c r="C206" s="1572"/>
      <c r="D206" s="1589"/>
      <c r="E206" s="1573">
        <v>9436</v>
      </c>
      <c r="F206" s="1573"/>
      <c r="G206" s="2090"/>
      <c r="H206" s="615"/>
    </row>
    <row r="207" spans="1:8" x14ac:dyDescent="0.2">
      <c r="A207" s="1571"/>
      <c r="B207" s="1572" t="s">
        <v>6891</v>
      </c>
      <c r="C207" s="1590"/>
      <c r="D207" s="1590"/>
      <c r="E207" s="1574" t="s">
        <v>9603</v>
      </c>
      <c r="F207" s="1574"/>
      <c r="G207" s="2091"/>
      <c r="H207" s="615"/>
    </row>
    <row r="208" spans="1:8" x14ac:dyDescent="0.2">
      <c r="A208" s="1571"/>
      <c r="B208" s="1572" t="s">
        <v>4636</v>
      </c>
      <c r="C208" s="1591"/>
      <c r="D208" s="1589"/>
      <c r="E208" s="1574" t="s">
        <v>9605</v>
      </c>
      <c r="F208" s="1574"/>
      <c r="G208" s="2091"/>
      <c r="H208" s="615"/>
    </row>
    <row r="209" spans="1:8" ht="56.25" customHeight="1" x14ac:dyDescent="0.2">
      <c r="A209" s="1571"/>
      <c r="B209" s="1572" t="s">
        <v>6896</v>
      </c>
      <c r="C209" s="1591"/>
      <c r="D209" s="1589"/>
      <c r="E209" s="1574" t="s">
        <v>9606</v>
      </c>
      <c r="F209" s="1574"/>
      <c r="G209" s="2091"/>
      <c r="H209" s="615"/>
    </row>
    <row r="210" spans="1:8" ht="22.5" x14ac:dyDescent="0.2">
      <c r="A210" s="1571"/>
      <c r="B210" s="1572" t="s">
        <v>6892</v>
      </c>
      <c r="C210" s="1591"/>
      <c r="D210" s="1589"/>
      <c r="E210" s="1574" t="s">
        <v>9607</v>
      </c>
      <c r="F210" s="1920"/>
      <c r="G210" s="2091"/>
      <c r="H210" s="615"/>
    </row>
    <row r="211" spans="1:8" x14ac:dyDescent="0.2">
      <c r="A211" s="1571"/>
      <c r="B211" s="1576" t="s">
        <v>6893</v>
      </c>
      <c r="C211" s="1592"/>
      <c r="D211" s="1593"/>
      <c r="E211" s="1577">
        <v>43928</v>
      </c>
      <c r="F211" s="1577"/>
      <c r="G211" s="2093"/>
      <c r="H211" s="615"/>
    </row>
    <row r="212" spans="1:8" x14ac:dyDescent="0.2">
      <c r="A212" s="1578"/>
      <c r="B212" s="1579"/>
      <c r="C212" s="1594"/>
      <c r="D212" s="1595"/>
      <c r="E212" s="1582" t="s">
        <v>6894</v>
      </c>
      <c r="F212" s="1580">
        <f>MEDIAN(E206:G206)</f>
        <v>9436</v>
      </c>
      <c r="G212" s="1581"/>
    </row>
    <row r="214" spans="1:8" s="1643" customFormat="1" ht="45" x14ac:dyDescent="0.2">
      <c r="A214" s="1583" t="str">
        <f>'Orç - Prédio'!A773</f>
        <v>07.02.502.02</v>
      </c>
      <c r="B214" s="1565"/>
      <c r="C214" s="1584" t="str">
        <f>'Orç - Prédio'!D773</f>
        <v>Gabinete de ventilação para ar exterior (BOOSTER) com filtragem (G4/F7) vazão=5.970m3/h x 60 mmca</v>
      </c>
      <c r="D214" s="1566" t="str">
        <f>'Orç - Prédio'!F773</f>
        <v>unidade</v>
      </c>
      <c r="E214" s="1676" t="s">
        <v>9604</v>
      </c>
      <c r="F214" s="1677"/>
      <c r="G214" s="1921"/>
    </row>
    <row r="215" spans="1:8" x14ac:dyDescent="0.2">
      <c r="A215" s="1568"/>
      <c r="B215" s="1569" t="s">
        <v>6897</v>
      </c>
      <c r="C215" s="1586"/>
      <c r="D215" s="1587"/>
      <c r="E215" s="1574" t="s">
        <v>8375</v>
      </c>
      <c r="F215" s="1574"/>
      <c r="G215" s="2091"/>
      <c r="H215" s="615"/>
    </row>
    <row r="216" spans="1:8" x14ac:dyDescent="0.2">
      <c r="A216" s="1571"/>
      <c r="B216" s="1572" t="s">
        <v>6890</v>
      </c>
      <c r="C216" s="1572"/>
      <c r="D216" s="1589"/>
      <c r="E216" s="1573">
        <v>8991</v>
      </c>
      <c r="F216" s="1573"/>
      <c r="G216" s="2090"/>
      <c r="H216" s="615"/>
    </row>
    <row r="217" spans="1:8" x14ac:dyDescent="0.2">
      <c r="A217" s="1571"/>
      <c r="B217" s="1572" t="s">
        <v>6891</v>
      </c>
      <c r="C217" s="1590"/>
      <c r="D217" s="1590"/>
      <c r="E217" s="1574" t="s">
        <v>9603</v>
      </c>
      <c r="F217" s="1574"/>
      <c r="G217" s="2091"/>
      <c r="H217" s="615"/>
    </row>
    <row r="218" spans="1:8" x14ac:dyDescent="0.2">
      <c r="A218" s="1571"/>
      <c r="B218" s="1572" t="s">
        <v>4636</v>
      </c>
      <c r="C218" s="1591"/>
      <c r="D218" s="1589"/>
      <c r="E218" s="1574" t="s">
        <v>9605</v>
      </c>
      <c r="F218" s="1574"/>
      <c r="G218" s="2091"/>
      <c r="H218" s="615"/>
    </row>
    <row r="219" spans="1:8" ht="56.25" customHeight="1" x14ac:dyDescent="0.2">
      <c r="A219" s="1571"/>
      <c r="B219" s="1572" t="s">
        <v>6896</v>
      </c>
      <c r="C219" s="1591"/>
      <c r="D219" s="1589"/>
      <c r="E219" s="1573" t="s">
        <v>9606</v>
      </c>
      <c r="F219" s="1574"/>
      <c r="G219" s="2091"/>
      <c r="H219" s="615"/>
    </row>
    <row r="220" spans="1:8" ht="33.75" x14ac:dyDescent="0.2">
      <c r="A220" s="1571"/>
      <c r="B220" s="1572" t="s">
        <v>6892</v>
      </c>
      <c r="C220" s="1591"/>
      <c r="D220" s="1589"/>
      <c r="E220" s="1573" t="s">
        <v>9607</v>
      </c>
      <c r="F220" s="1574"/>
      <c r="G220" s="2091"/>
      <c r="H220" s="615"/>
    </row>
    <row r="221" spans="1:8" x14ac:dyDescent="0.2">
      <c r="A221" s="1571"/>
      <c r="B221" s="1576" t="s">
        <v>6893</v>
      </c>
      <c r="C221" s="1592"/>
      <c r="D221" s="1593"/>
      <c r="E221" s="1577">
        <v>43928</v>
      </c>
      <c r="F221" s="1577"/>
      <c r="G221" s="2093"/>
      <c r="H221" s="615"/>
    </row>
    <row r="222" spans="1:8" x14ac:dyDescent="0.2">
      <c r="A222" s="1578"/>
      <c r="B222" s="1579"/>
      <c r="C222" s="1594"/>
      <c r="D222" s="1595"/>
      <c r="E222" s="1582" t="s">
        <v>6894</v>
      </c>
      <c r="F222" s="1580">
        <f>MEDIAN(E216:G216)</f>
        <v>8991</v>
      </c>
      <c r="G222" s="1581"/>
    </row>
    <row r="224" spans="1:8" s="1643" customFormat="1" ht="22.5" x14ac:dyDescent="0.2">
      <c r="A224" s="1583" t="str">
        <f>'Orç - Prédio'!A774</f>
        <v>07.02.502.03</v>
      </c>
      <c r="B224" s="1565"/>
      <c r="C224" s="1584" t="str">
        <f>'Orç - Prédio'!D774</f>
        <v>Gabinete de exaustão vazão=5.100m3/h x 30 mmca</v>
      </c>
      <c r="D224" s="1566" t="str">
        <f>'Orç - Prédio'!F774</f>
        <v>unidade</v>
      </c>
      <c r="E224" s="1676" t="s">
        <v>9604</v>
      </c>
      <c r="F224" s="1677"/>
      <c r="G224" s="1921"/>
    </row>
    <row r="225" spans="1:8" x14ac:dyDescent="0.2">
      <c r="A225" s="1568"/>
      <c r="B225" s="1569" t="s">
        <v>6897</v>
      </c>
      <c r="C225" s="1586"/>
      <c r="D225" s="1587"/>
      <c r="E225" s="1574" t="s">
        <v>8375</v>
      </c>
      <c r="F225" s="1574"/>
      <c r="G225" s="2091"/>
      <c r="H225" s="615"/>
    </row>
    <row r="226" spans="1:8" x14ac:dyDescent="0.2">
      <c r="A226" s="1571"/>
      <c r="B226" s="1572" t="s">
        <v>6890</v>
      </c>
      <c r="C226" s="1572"/>
      <c r="D226" s="1589"/>
      <c r="E226" s="1573">
        <v>6105</v>
      </c>
      <c r="F226" s="1573"/>
      <c r="G226" s="2090"/>
      <c r="H226" s="615"/>
    </row>
    <row r="227" spans="1:8" x14ac:dyDescent="0.2">
      <c r="A227" s="1571"/>
      <c r="B227" s="1572" t="s">
        <v>6891</v>
      </c>
      <c r="C227" s="1590"/>
      <c r="D227" s="1590"/>
      <c r="E227" s="1574" t="s">
        <v>9603</v>
      </c>
      <c r="F227" s="1574"/>
      <c r="G227" s="2091"/>
      <c r="H227" s="615"/>
    </row>
    <row r="228" spans="1:8" x14ac:dyDescent="0.2">
      <c r="A228" s="1571"/>
      <c r="B228" s="1572" t="s">
        <v>4636</v>
      </c>
      <c r="C228" s="1591"/>
      <c r="D228" s="1589"/>
      <c r="E228" s="1574" t="s">
        <v>9605</v>
      </c>
      <c r="F228" s="1574"/>
      <c r="G228" s="2091"/>
      <c r="H228" s="615"/>
    </row>
    <row r="229" spans="1:8" ht="56.25" customHeight="1" x14ac:dyDescent="0.2">
      <c r="A229" s="1571"/>
      <c r="B229" s="1572" t="s">
        <v>6896</v>
      </c>
      <c r="C229" s="1591"/>
      <c r="D229" s="1589"/>
      <c r="E229" s="1574" t="s">
        <v>9606</v>
      </c>
      <c r="F229" s="1574"/>
      <c r="G229" s="2091"/>
      <c r="H229" s="615"/>
    </row>
    <row r="230" spans="1:8" ht="22.5" x14ac:dyDescent="0.2">
      <c r="A230" s="1571"/>
      <c r="B230" s="1572" t="s">
        <v>6892</v>
      </c>
      <c r="C230" s="1591"/>
      <c r="D230" s="1589"/>
      <c r="E230" s="1574" t="s">
        <v>9607</v>
      </c>
      <c r="F230" s="1574"/>
      <c r="G230" s="2091"/>
      <c r="H230" s="615"/>
    </row>
    <row r="231" spans="1:8" x14ac:dyDescent="0.2">
      <c r="A231" s="1571"/>
      <c r="B231" s="1576" t="s">
        <v>6893</v>
      </c>
      <c r="C231" s="1592"/>
      <c r="D231" s="1593"/>
      <c r="E231" s="1577">
        <v>43928</v>
      </c>
      <c r="F231" s="1577"/>
      <c r="G231" s="2093"/>
      <c r="H231" s="615"/>
    </row>
    <row r="232" spans="1:8" x14ac:dyDescent="0.2">
      <c r="A232" s="1578"/>
      <c r="B232" s="1579"/>
      <c r="C232" s="1594"/>
      <c r="D232" s="1595"/>
      <c r="E232" s="1582" t="s">
        <v>6894</v>
      </c>
      <c r="F232" s="1580">
        <f>MEDIAN(E226:G226)</f>
        <v>6105</v>
      </c>
      <c r="G232" s="1581"/>
    </row>
    <row r="234" spans="1:8" ht="33.75" x14ac:dyDescent="0.2">
      <c r="A234" s="1583" t="str">
        <f>'Orç - Prédio'!A830</f>
        <v>08.01.521</v>
      </c>
      <c r="B234" s="1565"/>
      <c r="C234" s="1584" t="str">
        <f>'Orç - Prédio'!D830</f>
        <v>Tanque de pressão capacidade mínima 10L, classe 150</v>
      </c>
      <c r="D234" s="1585" t="str">
        <f>'Orç - Prédio'!F822</f>
        <v>unidade</v>
      </c>
      <c r="E234" s="1677" t="s">
        <v>9595</v>
      </c>
      <c r="F234" s="1677"/>
      <c r="G234" s="1921"/>
    </row>
    <row r="235" spans="1:8" x14ac:dyDescent="0.2">
      <c r="A235" s="1568"/>
      <c r="B235" s="1569" t="s">
        <v>6897</v>
      </c>
      <c r="C235" s="1586"/>
      <c r="D235" s="1587"/>
      <c r="E235" s="1574" t="s">
        <v>6895</v>
      </c>
      <c r="F235" s="1574"/>
      <c r="G235" s="2091"/>
      <c r="H235" s="1588"/>
    </row>
    <row r="236" spans="1:8" x14ac:dyDescent="0.2">
      <c r="A236" s="1571"/>
      <c r="B236" s="1572" t="s">
        <v>6890</v>
      </c>
      <c r="C236" s="1572"/>
      <c r="D236" s="1589"/>
      <c r="E236" s="1573">
        <v>441.4</v>
      </c>
      <c r="F236" s="1573"/>
      <c r="G236" s="2090"/>
      <c r="H236" s="1588"/>
    </row>
    <row r="237" spans="1:8" x14ac:dyDescent="0.2">
      <c r="A237" s="1571"/>
      <c r="B237" s="1572" t="s">
        <v>6891</v>
      </c>
      <c r="C237" s="1590"/>
      <c r="D237" s="1590"/>
      <c r="E237" s="1574" t="s">
        <v>9596</v>
      </c>
      <c r="F237" s="1574"/>
      <c r="G237" s="2091"/>
      <c r="H237" s="1588"/>
    </row>
    <row r="238" spans="1:8" x14ac:dyDescent="0.2">
      <c r="A238" s="1571"/>
      <c r="B238" s="1572" t="s">
        <v>4636</v>
      </c>
      <c r="C238" s="1591"/>
      <c r="D238" s="1589"/>
      <c r="E238" s="1574" t="s">
        <v>9597</v>
      </c>
      <c r="F238" s="1574"/>
      <c r="G238" s="2091"/>
      <c r="H238" s="1588"/>
    </row>
    <row r="239" spans="1:8" ht="56.25" customHeight="1" x14ac:dyDescent="0.2">
      <c r="A239" s="1571"/>
      <c r="B239" s="1572" t="s">
        <v>6896</v>
      </c>
      <c r="C239" s="1591"/>
      <c r="D239" s="1589"/>
      <c r="E239" s="1577" t="s">
        <v>9598</v>
      </c>
      <c r="F239" s="1574"/>
      <c r="G239" s="2091"/>
      <c r="H239" s="1588"/>
    </row>
    <row r="240" spans="1:8" ht="22.5" x14ac:dyDescent="0.2">
      <c r="A240" s="1571"/>
      <c r="B240" s="1572" t="s">
        <v>6892</v>
      </c>
      <c r="C240" s="1591"/>
      <c r="D240" s="1589"/>
      <c r="E240" s="1577" t="s">
        <v>9599</v>
      </c>
      <c r="F240" s="1574"/>
      <c r="G240" s="2091"/>
      <c r="H240" s="1588"/>
    </row>
    <row r="241" spans="1:8" x14ac:dyDescent="0.2">
      <c r="A241" s="1571"/>
      <c r="B241" s="1576" t="s">
        <v>6893</v>
      </c>
      <c r="C241" s="1592"/>
      <c r="D241" s="1593"/>
      <c r="E241" s="1577">
        <v>43957</v>
      </c>
      <c r="F241" s="1577"/>
      <c r="G241" s="2093"/>
      <c r="H241" s="1588"/>
    </row>
    <row r="242" spans="1:8" x14ac:dyDescent="0.2">
      <c r="A242" s="1578"/>
      <c r="B242" s="1579"/>
      <c r="C242" s="1594"/>
      <c r="D242" s="1595"/>
      <c r="E242" s="1582" t="s">
        <v>6894</v>
      </c>
      <c r="F242" s="1580">
        <f>MEDIAN(E236:G236)</f>
        <v>441.4</v>
      </c>
      <c r="G242" s="1581"/>
    </row>
    <row r="244" spans="1:8" ht="27.75" customHeight="1" x14ac:dyDescent="0.2">
      <c r="A244" s="1583" t="str">
        <f>'Orç - Canteiro e Adm'!A68</f>
        <v>09.03.100</v>
      </c>
      <c r="B244" s="2184" t="str">
        <f>'Orç - Canteiro e Adm'!D68</f>
        <v>Ligação definitiva de água e esgoto, conforme concessionária local</v>
      </c>
      <c r="C244" s="2184"/>
      <c r="D244" s="1585" t="str">
        <f>'Orç - Canteiro e Adm'!F68</f>
        <v>unidade</v>
      </c>
      <c r="E244" s="1566" t="s">
        <v>7680</v>
      </c>
      <c r="F244" s="1566"/>
      <c r="G244" s="1567"/>
    </row>
    <row r="245" spans="1:8" x14ac:dyDescent="0.2">
      <c r="A245" s="1568"/>
      <c r="B245" s="1569" t="s">
        <v>6897</v>
      </c>
      <c r="C245" s="1586"/>
      <c r="D245" s="1587"/>
      <c r="E245" s="1570" t="s">
        <v>8567</v>
      </c>
      <c r="F245" s="1570"/>
      <c r="G245" s="2089"/>
      <c r="H245" s="1588"/>
    </row>
    <row r="246" spans="1:8" x14ac:dyDescent="0.2">
      <c r="A246" s="1571"/>
      <c r="B246" s="1572" t="s">
        <v>6890</v>
      </c>
      <c r="C246" s="1572"/>
      <c r="D246" s="1589"/>
      <c r="E246" s="1573">
        <v>1128.8499999999999</v>
      </c>
      <c r="F246" s="1573"/>
      <c r="G246" s="2090"/>
      <c r="H246" s="1588"/>
    </row>
    <row r="247" spans="1:8" x14ac:dyDescent="0.2">
      <c r="A247" s="1571"/>
      <c r="B247" s="1572" t="s">
        <v>6891</v>
      </c>
      <c r="C247" s="1590"/>
      <c r="D247" s="1590"/>
      <c r="E247" s="1574" t="s">
        <v>8568</v>
      </c>
      <c r="F247" s="1574"/>
      <c r="G247" s="2091"/>
      <c r="H247" s="1588"/>
    </row>
    <row r="248" spans="1:8" x14ac:dyDescent="0.2">
      <c r="A248" s="1571"/>
      <c r="B248" s="1572" t="s">
        <v>4636</v>
      </c>
      <c r="C248" s="1591"/>
      <c r="D248" s="1589"/>
      <c r="E248" s="1668">
        <v>115</v>
      </c>
      <c r="F248" s="1574"/>
      <c r="G248" s="2092"/>
      <c r="H248" s="1588"/>
    </row>
    <row r="249" spans="1:8" ht="22.5" x14ac:dyDescent="0.2">
      <c r="A249" s="1571"/>
      <c r="B249" s="1572" t="s">
        <v>6896</v>
      </c>
      <c r="C249" s="1591"/>
      <c r="D249" s="1589"/>
      <c r="E249" s="1574" t="s">
        <v>8569</v>
      </c>
      <c r="F249" s="1574"/>
      <c r="G249" s="2092"/>
      <c r="H249" s="1588"/>
    </row>
    <row r="250" spans="1:8" x14ac:dyDescent="0.2">
      <c r="A250" s="1571"/>
      <c r="B250" s="1572" t="s">
        <v>6892</v>
      </c>
      <c r="C250" s="1591"/>
      <c r="D250" s="1589"/>
      <c r="E250" s="1574" t="s">
        <v>6938</v>
      </c>
      <c r="F250" s="1574"/>
      <c r="G250" s="2092"/>
      <c r="H250" s="1588"/>
    </row>
    <row r="251" spans="1:8" x14ac:dyDescent="0.2">
      <c r="A251" s="1571"/>
      <c r="B251" s="1576" t="s">
        <v>6893</v>
      </c>
      <c r="C251" s="1592"/>
      <c r="D251" s="1593"/>
      <c r="E251" s="1577">
        <v>43874</v>
      </c>
      <c r="F251" s="1577"/>
      <c r="G251" s="2093"/>
      <c r="H251" s="1588"/>
    </row>
    <row r="252" spans="1:8" x14ac:dyDescent="0.2">
      <c r="A252" s="1578"/>
      <c r="B252" s="1579"/>
      <c r="C252" s="1594"/>
      <c r="D252" s="1595"/>
      <c r="E252" s="1582" t="s">
        <v>6890</v>
      </c>
      <c r="F252" s="1580">
        <f>MEDIAN(E246:G246)</f>
        <v>1128.8499999999999</v>
      </c>
      <c r="G252" s="1581"/>
    </row>
  </sheetData>
  <mergeCells count="17">
    <mergeCell ref="B34:C34"/>
    <mergeCell ref="B244:C244"/>
    <mergeCell ref="E12:G12"/>
    <mergeCell ref="B114:C114"/>
    <mergeCell ref="B124:C124"/>
    <mergeCell ref="A1:G1"/>
    <mergeCell ref="A2:G2"/>
    <mergeCell ref="A3:G3"/>
    <mergeCell ref="A6:G6"/>
    <mergeCell ref="B104:C104"/>
    <mergeCell ref="B14:C14"/>
    <mergeCell ref="B54:C54"/>
    <mergeCell ref="B74:C74"/>
    <mergeCell ref="B84:C84"/>
    <mergeCell ref="B44:C44"/>
    <mergeCell ref="B64:C64"/>
    <mergeCell ref="B94:C94"/>
  </mergeCells>
  <hyperlinks>
    <hyperlink ref="E159" r:id="rId1" xr:uid="{00000000-0004-0000-0D00-000004000000}"/>
    <hyperlink ref="E160" r:id="rId2" xr:uid="{00000000-0004-0000-0D00-000005000000}"/>
    <hyperlink ref="G159" r:id="rId3" xr:uid="{00000000-0004-0000-0D00-000007000000}"/>
    <hyperlink ref="G160" r:id="rId4" xr:uid="{00000000-0004-0000-0D00-000008000000}"/>
    <hyperlink ref="F170" r:id="rId5" xr:uid="{00000000-0004-0000-0D00-00000A000000}"/>
    <hyperlink ref="G170" r:id="rId6" xr:uid="{00000000-0004-0000-0D00-00000B000000}"/>
    <hyperlink ref="F180" r:id="rId7" xr:uid="{00000000-0004-0000-0D00-00000C000000}"/>
    <hyperlink ref="G180" r:id="rId8" xr:uid="{00000000-0004-0000-0D00-00000D000000}"/>
    <hyperlink ref="E180" r:id="rId9" xr:uid="{00000000-0004-0000-0D00-00000E000000}"/>
    <hyperlink ref="F190" r:id="rId10" xr:uid="{00000000-0004-0000-0D00-00000F000000}"/>
    <hyperlink ref="G190" r:id="rId11" xr:uid="{00000000-0004-0000-0D00-000010000000}"/>
    <hyperlink ref="E190" r:id="rId12" xr:uid="{00000000-0004-0000-0D00-000011000000}"/>
    <hyperlink ref="G200" r:id="rId13" xr:uid="{00000000-0004-0000-0D00-000012000000}"/>
    <hyperlink ref="E200" r:id="rId14" xr:uid="{00000000-0004-0000-0D00-000013000000}"/>
    <hyperlink ref="E89" r:id="rId15" xr:uid="{00000000-0004-0000-0D00-000015000000}"/>
    <hyperlink ref="E90" r:id="rId16" xr:uid="{00000000-0004-0000-0D00-000016000000}"/>
    <hyperlink ref="E139" r:id="rId17" xr:uid="{00000000-0004-0000-0D00-000020000000}"/>
    <hyperlink ref="E140" r:id="rId18" xr:uid="{00000000-0004-0000-0D00-000021000000}"/>
    <hyperlink ref="E150" r:id="rId19" xr:uid="{00000000-0004-0000-0D00-000023000000}"/>
    <hyperlink ref="F169" r:id="rId20" xr:uid="{00000000-0004-0000-0D00-000026000000}"/>
    <hyperlink ref="G169" r:id="rId21" xr:uid="{00000000-0004-0000-0D00-000027000000}"/>
    <hyperlink ref="E179" r:id="rId22" xr:uid="{00000000-0004-0000-0D00-000028000000}"/>
    <hyperlink ref="F179" r:id="rId23" xr:uid="{00000000-0004-0000-0D00-000029000000}"/>
    <hyperlink ref="G179" r:id="rId24" xr:uid="{00000000-0004-0000-0D00-00002A000000}"/>
    <hyperlink ref="E189" r:id="rId25" xr:uid="{00000000-0004-0000-0D00-00002B000000}"/>
    <hyperlink ref="F189" r:id="rId26" xr:uid="{00000000-0004-0000-0D00-00002C000000}"/>
    <hyperlink ref="G189" r:id="rId27" xr:uid="{00000000-0004-0000-0D00-00002D000000}"/>
    <hyperlink ref="E130" r:id="rId28" xr:uid="{00000000-0004-0000-0D00-000035000000}"/>
    <hyperlink ref="E129" r:id="rId29" xr:uid="{00000000-0004-0000-0D00-000036000000}"/>
    <hyperlink ref="E19" r:id="rId30" xr:uid="{00000000-0004-0000-0D00-000037000000}"/>
    <hyperlink ref="E49" r:id="rId31" display="https://www.aladimmetais.com.br/produto/tubo-quadrado-metalon-40-x-40-1-25-galvanizado-6mts-76669?atributo=1.25%20Galv.:250" xr:uid="{00000000-0004-0000-0D00-000038000000}"/>
    <hyperlink ref="E79" r:id="rId32" xr:uid="{00000000-0004-0000-0D00-000032000000}"/>
    <hyperlink ref="E80" r:id="rId33" xr:uid="{00000000-0004-0000-0D00-000031000000}"/>
    <hyperlink ref="E120" r:id="rId34" xr:uid="{00000000-0004-0000-0D00-000001000000}"/>
    <hyperlink ref="E119" r:id="rId35" xr:uid="{00000000-0004-0000-0D00-000000000000}"/>
    <hyperlink ref="E149" r:id="rId36" xr:uid="{050AF928-9509-4150-9C8E-878F0CFFBE5E}"/>
    <hyperlink ref="F159" r:id="rId37" xr:uid="{5DA1165A-97E0-47AA-8579-7BB1830130D7}"/>
    <hyperlink ref="E169" r:id="rId38" xr:uid="{83F76548-9C35-4A06-ADAC-AC01BFE392D8}"/>
    <hyperlink ref="E199" r:id="rId39" xr:uid="{05C44B85-FB32-44AB-94F1-18FA1D71AB3B}"/>
    <hyperlink ref="G199" r:id="rId40" xr:uid="{778FD205-95A7-44CA-A913-D4A3D7A3B7A0}"/>
    <hyperlink ref="E239" r:id="rId41" xr:uid="{6506CBDE-9A53-490C-A103-C6F92C8A65EB}"/>
    <hyperlink ref="E240" r:id="rId42" xr:uid="{DB42FE00-017A-4BAA-AB25-DA1583D116A3}"/>
    <hyperlink ref="E209" r:id="rId43" xr:uid="{10A0FF61-506C-4372-85A8-BD5FE4BDD642}"/>
    <hyperlink ref="E210" r:id="rId44" xr:uid="{ED18B3AF-0B94-47D4-8A4E-A9BE169DBABE}"/>
    <hyperlink ref="E219" r:id="rId45" xr:uid="{EA583F25-743D-4AE3-8BDB-19E51EF5D615}"/>
    <hyperlink ref="E220" r:id="rId46" xr:uid="{1502BCD6-0497-4E27-834C-698DF67C5E70}"/>
    <hyperlink ref="E229" r:id="rId47" xr:uid="{2EEF6CF4-D21C-4DDF-82AA-8AA655A904DB}"/>
    <hyperlink ref="E230" r:id="rId48" xr:uid="{61C64117-9C8D-4CBA-9508-FE447FD37CFF}"/>
  </hyperlinks>
  <pageMargins left="0.39370078740157483" right="0.39370078740157483" top="0.39370078740157483" bottom="0.98425196850393704" header="0" footer="0.39370078740157483"/>
  <pageSetup paperSize="9" scale="83" firstPageNumber="179" orientation="portrait" useFirstPageNumber="1" r:id="rId49"/>
  <headerFooter>
    <oddHeader xml:space="preserve">&amp;L
&amp;C&amp;"Arial,Negrito"
</oddHeader>
    <oddFooter>&amp;RPágina &amp;P de 249</oddFooter>
  </headerFooter>
  <rowBreaks count="3" manualBreakCount="3">
    <brk id="43" max="6" man="1"/>
    <brk id="133" max="6" man="1"/>
    <brk id="163" max="6" man="1"/>
  </rowBreaks>
  <drawing r:id="rId5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3">
    <pageSetUpPr fitToPage="1"/>
  </sheetPr>
  <dimension ref="A1:I50"/>
  <sheetViews>
    <sheetView view="pageBreakPreview" zoomScale="85" zoomScaleNormal="100" zoomScaleSheetLayoutView="85" workbookViewId="0">
      <selection activeCell="C54" sqref="C54"/>
    </sheetView>
  </sheetViews>
  <sheetFormatPr defaultRowHeight="12.75" x14ac:dyDescent="0.2"/>
  <cols>
    <col min="1" max="1" width="18.42578125" style="71" customWidth="1"/>
    <col min="2" max="2" width="12.140625" style="71" customWidth="1"/>
    <col min="3" max="3" width="41.7109375" style="71" customWidth="1"/>
    <col min="4" max="4" width="18.28515625" style="71" customWidth="1"/>
    <col min="5" max="5" width="21.42578125" style="71" customWidth="1"/>
    <col min="6" max="6" width="8.85546875" style="71" customWidth="1"/>
    <col min="7" max="16384" width="9.140625" style="71"/>
  </cols>
  <sheetData>
    <row r="1" spans="1:9" ht="15" x14ac:dyDescent="0.2">
      <c r="A1" s="61"/>
      <c r="B1" s="61"/>
      <c r="C1" s="62"/>
      <c r="D1" s="92"/>
      <c r="E1" s="63"/>
      <c r="F1" s="54"/>
      <c r="G1" s="54"/>
      <c r="H1" s="54"/>
      <c r="I1" s="55"/>
    </row>
    <row r="2" spans="1:9" ht="15" x14ac:dyDescent="0.2">
      <c r="A2" s="2123" t="s">
        <v>34</v>
      </c>
      <c r="B2" s="2123"/>
      <c r="C2" s="2123"/>
      <c r="D2" s="2123"/>
      <c r="E2" s="2123"/>
      <c r="F2" s="186"/>
      <c r="G2" s="41"/>
      <c r="H2" s="41"/>
      <c r="I2" s="41"/>
    </row>
    <row r="3" spans="1:9" ht="15" x14ac:dyDescent="0.2">
      <c r="A3" s="2123" t="s">
        <v>35</v>
      </c>
      <c r="B3" s="2123"/>
      <c r="C3" s="2123"/>
      <c r="D3" s="2123"/>
      <c r="E3" s="2123"/>
      <c r="F3" s="186"/>
      <c r="G3" s="41"/>
      <c r="H3" s="41"/>
      <c r="I3" s="41"/>
    </row>
    <row r="4" spans="1:9" ht="15" x14ac:dyDescent="0.2">
      <c r="A4" s="2123" t="s">
        <v>4980</v>
      </c>
      <c r="B4" s="2123"/>
      <c r="C4" s="2123"/>
      <c r="D4" s="2123"/>
      <c r="E4" s="2123"/>
      <c r="F4" s="186"/>
      <c r="G4" s="41"/>
      <c r="H4" s="41"/>
      <c r="I4" s="41"/>
    </row>
    <row r="5" spans="1:9" ht="15" x14ac:dyDescent="0.2">
      <c r="A5" s="1739"/>
      <c r="B5" s="1739"/>
      <c r="C5" s="1740" t="s">
        <v>29</v>
      </c>
      <c r="D5" s="93"/>
      <c r="E5" s="1979"/>
      <c r="F5" s="1744"/>
      <c r="G5" s="64"/>
      <c r="H5" s="64"/>
      <c r="I5" s="58"/>
    </row>
    <row r="6" spans="1:9" ht="15" x14ac:dyDescent="0.2">
      <c r="A6" s="1739"/>
      <c r="B6" s="1739"/>
      <c r="C6" s="1740"/>
      <c r="D6" s="93"/>
      <c r="E6" s="1746"/>
      <c r="F6" s="1748"/>
      <c r="G6" s="54"/>
      <c r="H6" s="54"/>
      <c r="I6" s="55"/>
    </row>
    <row r="7" spans="1:9" ht="21" x14ac:dyDescent="0.2">
      <c r="A7" s="2128" t="s">
        <v>5177</v>
      </c>
      <c r="B7" s="2128"/>
      <c r="C7" s="2128"/>
      <c r="D7" s="2128"/>
      <c r="E7" s="2128"/>
      <c r="F7" s="2066"/>
      <c r="G7" s="41"/>
      <c r="H7" s="41"/>
      <c r="I7" s="41"/>
    </row>
    <row r="8" spans="1:9" ht="15" x14ac:dyDescent="0.2">
      <c r="A8" s="1739"/>
      <c r="B8" s="1739"/>
      <c r="C8" s="1740"/>
      <c r="D8" s="93"/>
      <c r="E8" s="1979"/>
      <c r="F8" s="1744"/>
      <c r="G8" s="64"/>
      <c r="H8" s="64"/>
      <c r="I8" s="58"/>
    </row>
    <row r="9" spans="1:9" ht="15" customHeight="1" x14ac:dyDescent="0.2">
      <c r="A9" s="1750" t="s">
        <v>4443</v>
      </c>
      <c r="B9" s="1781" t="str">
        <f>'Orç - Canteiro e Adm'!B9:J9</f>
        <v>Construção do Edifício ULEG-FM</v>
      </c>
      <c r="C9" s="94"/>
      <c r="D9" s="94"/>
      <c r="E9" s="94"/>
      <c r="F9" s="94"/>
      <c r="G9" s="94"/>
      <c r="H9" s="94"/>
      <c r="I9" s="66"/>
    </row>
    <row r="10" spans="1:9" ht="15" customHeight="1" x14ac:dyDescent="0.2">
      <c r="A10" s="1750" t="s">
        <v>128</v>
      </c>
      <c r="B10" s="1781" t="str">
        <f>'Orç - Canteiro e Adm'!B10:J10</f>
        <v>Campus Darcy Ribeiro</v>
      </c>
      <c r="C10" s="94"/>
      <c r="D10" s="94"/>
      <c r="E10" s="94"/>
      <c r="F10" s="94"/>
      <c r="G10" s="94"/>
      <c r="H10" s="94"/>
      <c r="I10" s="66"/>
    </row>
    <row r="11" spans="1:9" ht="15" customHeight="1" x14ac:dyDescent="0.2">
      <c r="A11" s="1750" t="s">
        <v>4444</v>
      </c>
      <c r="B11" s="2067" t="str">
        <f>'Orç - Canteiro e Adm'!B11:J11</f>
        <v>Maio de 2020</v>
      </c>
      <c r="C11" s="2065"/>
      <c r="D11" s="2065"/>
      <c r="E11" s="2065"/>
      <c r="F11" s="2065"/>
      <c r="G11" s="95"/>
      <c r="H11" s="95"/>
      <c r="I11" s="66"/>
    </row>
    <row r="12" spans="1:9" ht="15" x14ac:dyDescent="0.2">
      <c r="A12" s="60"/>
      <c r="B12" s="60"/>
      <c r="C12" s="75"/>
      <c r="D12" s="96"/>
      <c r="E12" s="59"/>
      <c r="F12" s="54"/>
      <c r="G12" s="54"/>
      <c r="H12" s="54"/>
      <c r="I12" s="55"/>
    </row>
    <row r="13" spans="1:9" ht="15" x14ac:dyDescent="0.2">
      <c r="A13" s="94"/>
      <c r="B13" s="2138" t="s">
        <v>5178</v>
      </c>
      <c r="C13" s="2138"/>
      <c r="D13" s="2138"/>
      <c r="E13" s="94"/>
      <c r="F13" s="94"/>
      <c r="G13" s="94"/>
      <c r="H13" s="94"/>
      <c r="I13" s="94"/>
    </row>
    <row r="14" spans="1:9" ht="63.75" customHeight="1" x14ac:dyDescent="0.2">
      <c r="A14" s="94"/>
      <c r="B14" s="22"/>
      <c r="C14" s="22"/>
      <c r="D14" s="22"/>
      <c r="E14" s="94"/>
      <c r="F14" s="94"/>
      <c r="G14" s="94"/>
      <c r="H14" s="94"/>
      <c r="I14" s="94"/>
    </row>
    <row r="15" spans="1:9" ht="15" x14ac:dyDescent="0.2">
      <c r="A15" s="94"/>
      <c r="B15" s="2193" t="s">
        <v>5179</v>
      </c>
      <c r="C15" s="2193"/>
      <c r="D15" s="2193"/>
      <c r="E15" s="94"/>
      <c r="F15" s="94"/>
      <c r="G15" s="94"/>
      <c r="H15" s="94"/>
      <c r="I15" s="94"/>
    </row>
    <row r="16" spans="1:9" ht="6" customHeight="1" x14ac:dyDescent="0.2">
      <c r="A16" s="94"/>
      <c r="B16" s="22"/>
      <c r="C16" s="22"/>
      <c r="D16" s="22"/>
      <c r="E16" s="94"/>
      <c r="F16" s="94"/>
      <c r="G16" s="94"/>
      <c r="H16" s="94"/>
      <c r="I16" s="94"/>
    </row>
    <row r="17" spans="1:9" ht="15" x14ac:dyDescent="0.2">
      <c r="A17" s="60"/>
      <c r="B17" s="97" t="s">
        <v>6</v>
      </c>
      <c r="C17" s="97" t="s">
        <v>5180</v>
      </c>
      <c r="D17" s="98" t="s">
        <v>5181</v>
      </c>
      <c r="E17" s="60"/>
      <c r="F17" s="60"/>
      <c r="G17" s="94"/>
      <c r="H17" s="94"/>
      <c r="I17" s="94"/>
    </row>
    <row r="18" spans="1:9" ht="15" x14ac:dyDescent="0.25">
      <c r="B18" s="99" t="s">
        <v>21</v>
      </c>
      <c r="C18" s="100" t="s">
        <v>5182</v>
      </c>
      <c r="D18" s="101">
        <v>0.04</v>
      </c>
    </row>
    <row r="19" spans="1:9" ht="15" x14ac:dyDescent="0.25">
      <c r="B19" s="99" t="s">
        <v>22</v>
      </c>
      <c r="C19" s="100" t="s">
        <v>5183</v>
      </c>
      <c r="D19" s="101">
        <v>1.23E-2</v>
      </c>
    </row>
    <row r="20" spans="1:9" ht="15" x14ac:dyDescent="0.25">
      <c r="B20" s="99" t="s">
        <v>5184</v>
      </c>
      <c r="C20" s="102" t="s">
        <v>5185</v>
      </c>
      <c r="D20" s="103">
        <v>8.0000000000000002E-3</v>
      </c>
    </row>
    <row r="21" spans="1:9" ht="15" x14ac:dyDescent="0.25">
      <c r="B21" s="2190" t="s">
        <v>5186</v>
      </c>
      <c r="C21" s="104" t="s">
        <v>5187</v>
      </c>
      <c r="D21" s="105">
        <v>0.01</v>
      </c>
    </row>
    <row r="22" spans="1:9" ht="15" x14ac:dyDescent="0.25">
      <c r="B22" s="2190"/>
      <c r="C22" s="106" t="s">
        <v>5188</v>
      </c>
      <c r="D22" s="107">
        <v>6.4999999999999997E-3</v>
      </c>
    </row>
    <row r="23" spans="1:9" ht="15" x14ac:dyDescent="0.25">
      <c r="B23" s="2190"/>
      <c r="C23" s="106" t="s">
        <v>5189</v>
      </c>
      <c r="D23" s="107">
        <v>0.03</v>
      </c>
    </row>
    <row r="24" spans="1:9" ht="15" x14ac:dyDescent="0.25">
      <c r="B24" s="2190"/>
      <c r="C24" s="108" t="s">
        <v>5190</v>
      </c>
      <c r="D24" s="109">
        <v>4.65E-2</v>
      </c>
    </row>
    <row r="25" spans="1:9" ht="15" x14ac:dyDescent="0.25">
      <c r="B25" s="99" t="s">
        <v>5191</v>
      </c>
      <c r="C25" s="110" t="s">
        <v>5192</v>
      </c>
      <c r="D25" s="111">
        <v>7.3999999999999996E-2</v>
      </c>
    </row>
    <row r="26" spans="1:9" ht="15" x14ac:dyDescent="0.25">
      <c r="B26" s="99" t="s">
        <v>5193</v>
      </c>
      <c r="C26" s="100" t="s">
        <v>5194</v>
      </c>
      <c r="D26" s="101">
        <v>1.2699999999999999E-2</v>
      </c>
    </row>
    <row r="27" spans="1:9" ht="15" x14ac:dyDescent="0.25">
      <c r="B27" s="99" t="s">
        <v>3524</v>
      </c>
      <c r="C27" s="100" t="s">
        <v>5195</v>
      </c>
      <c r="D27" s="101">
        <v>4.4999999999999998E-2</v>
      </c>
    </row>
    <row r="28" spans="1:9" ht="8.25" customHeight="1" x14ac:dyDescent="0.2"/>
    <row r="29" spans="1:9" ht="15" x14ac:dyDescent="0.25">
      <c r="A29" s="112"/>
      <c r="B29" s="2191" t="s">
        <v>5196</v>
      </c>
      <c r="C29" s="2192"/>
      <c r="D29" s="113">
        <v>0.26934932211337381</v>
      </c>
      <c r="E29" s="112"/>
      <c r="F29" s="112"/>
      <c r="G29" s="112"/>
      <c r="H29" s="112"/>
      <c r="I29" s="112"/>
    </row>
    <row r="34" spans="2:4" ht="15" x14ac:dyDescent="0.2">
      <c r="B34" s="2193" t="s">
        <v>5197</v>
      </c>
      <c r="C34" s="2193"/>
      <c r="D34" s="2193"/>
    </row>
    <row r="35" spans="2:4" ht="6.75" customHeight="1" x14ac:dyDescent="0.2">
      <c r="B35" s="22"/>
      <c r="C35" s="22"/>
      <c r="D35" s="22"/>
    </row>
    <row r="36" spans="2:4" ht="15" x14ac:dyDescent="0.2">
      <c r="B36" s="97" t="s">
        <v>6</v>
      </c>
      <c r="C36" s="97" t="s">
        <v>5180</v>
      </c>
      <c r="D36" s="98" t="s">
        <v>5181</v>
      </c>
    </row>
    <row r="37" spans="2:4" ht="15" x14ac:dyDescent="0.25">
      <c r="B37" s="99" t="s">
        <v>21</v>
      </c>
      <c r="C37" s="100" t="s">
        <v>5182</v>
      </c>
      <c r="D37" s="101">
        <v>3.4500000000000003E-2</v>
      </c>
    </row>
    <row r="38" spans="2:4" ht="15" x14ac:dyDescent="0.25">
      <c r="B38" s="99" t="s">
        <v>22</v>
      </c>
      <c r="C38" s="100" t="s">
        <v>5183</v>
      </c>
      <c r="D38" s="101">
        <v>8.5000000000000006E-3</v>
      </c>
    </row>
    <row r="39" spans="2:4" ht="15" x14ac:dyDescent="0.25">
      <c r="B39" s="99" t="s">
        <v>5184</v>
      </c>
      <c r="C39" s="102" t="s">
        <v>5185</v>
      </c>
      <c r="D39" s="103">
        <v>4.7999999999999996E-3</v>
      </c>
    </row>
    <row r="40" spans="2:4" ht="15" x14ac:dyDescent="0.25">
      <c r="B40" s="2190" t="s">
        <v>5186</v>
      </c>
      <c r="C40" s="104" t="s">
        <v>5187</v>
      </c>
      <c r="D40" s="105">
        <v>0</v>
      </c>
    </row>
    <row r="41" spans="2:4" ht="15" x14ac:dyDescent="0.25">
      <c r="B41" s="2190"/>
      <c r="C41" s="106" t="s">
        <v>5188</v>
      </c>
      <c r="D41" s="107">
        <v>6.4999999999999997E-3</v>
      </c>
    </row>
    <row r="42" spans="2:4" ht="15" x14ac:dyDescent="0.25">
      <c r="B42" s="2190"/>
      <c r="C42" s="106" t="s">
        <v>5189</v>
      </c>
      <c r="D42" s="107">
        <v>0.03</v>
      </c>
    </row>
    <row r="43" spans="2:4" ht="15" x14ac:dyDescent="0.25">
      <c r="B43" s="2190"/>
      <c r="C43" s="108" t="s">
        <v>5190</v>
      </c>
      <c r="D43" s="109">
        <v>3.6499999999999998E-2</v>
      </c>
    </row>
    <row r="44" spans="2:4" ht="15" x14ac:dyDescent="0.25">
      <c r="B44" s="99" t="s">
        <v>5191</v>
      </c>
      <c r="C44" s="110" t="s">
        <v>5192</v>
      </c>
      <c r="D44" s="111">
        <v>5.11E-2</v>
      </c>
    </row>
    <row r="45" spans="2:4" ht="15" x14ac:dyDescent="0.25">
      <c r="B45" s="99" t="s">
        <v>5193</v>
      </c>
      <c r="C45" s="100" t="s">
        <v>5194</v>
      </c>
      <c r="D45" s="101">
        <v>8.5000000000000006E-3</v>
      </c>
    </row>
    <row r="46" spans="2:4" ht="15" x14ac:dyDescent="0.25">
      <c r="B46" s="99" t="s">
        <v>3524</v>
      </c>
      <c r="C46" s="100" t="s">
        <v>5195</v>
      </c>
      <c r="D46" s="101">
        <v>4.4999999999999998E-2</v>
      </c>
    </row>
    <row r="47" spans="2:4" ht="6.75" customHeight="1" x14ac:dyDescent="0.2"/>
    <row r="48" spans="2:4" ht="15" x14ac:dyDescent="0.25">
      <c r="B48" s="2191" t="s">
        <v>7786</v>
      </c>
      <c r="C48" s="2192"/>
      <c r="D48" s="113">
        <v>0.20925856497550321</v>
      </c>
    </row>
    <row r="50" spans="4:4" ht="15" x14ac:dyDescent="0.25">
      <c r="D50" s="114"/>
    </row>
  </sheetData>
  <mergeCells count="11">
    <mergeCell ref="B48:C48"/>
    <mergeCell ref="B13:D13"/>
    <mergeCell ref="B15:D15"/>
    <mergeCell ref="B21:B24"/>
    <mergeCell ref="B29:C29"/>
    <mergeCell ref="B34:D34"/>
    <mergeCell ref="A2:E2"/>
    <mergeCell ref="A3:E3"/>
    <mergeCell ref="A4:E4"/>
    <mergeCell ref="A7:E7"/>
    <mergeCell ref="B40:B43"/>
  </mergeCells>
  <pageMargins left="0.39370078740157483" right="0.39370078740157483" top="0.39370078740157483" bottom="0.98425196850393704" header="0" footer="0.39370078740157483"/>
  <pageSetup paperSize="9" scale="86" firstPageNumber="186" fitToHeight="0" orientation="portrait" useFirstPageNumber="1" r:id="rId1"/>
  <headerFooter>
    <oddFooter>&amp;RPágina &amp;P de 249</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14">
    <pageSetUpPr fitToPage="1"/>
  </sheetPr>
  <dimension ref="A1:F55"/>
  <sheetViews>
    <sheetView view="pageBreakPreview" zoomScaleNormal="100" zoomScaleSheetLayoutView="100" workbookViewId="0">
      <selection activeCell="C59" sqref="C59"/>
    </sheetView>
  </sheetViews>
  <sheetFormatPr defaultRowHeight="12.75" x14ac:dyDescent="0.2"/>
  <cols>
    <col min="1" max="1" width="16.5703125" style="71" customWidth="1"/>
    <col min="2" max="2" width="14.42578125" style="71" customWidth="1"/>
    <col min="3" max="3" width="40.140625" style="71" customWidth="1"/>
    <col min="4" max="4" width="16.42578125" style="71" customWidth="1"/>
    <col min="5" max="5" width="21.85546875" style="71" customWidth="1"/>
    <col min="6" max="16384" width="9.140625" style="71"/>
  </cols>
  <sheetData>
    <row r="1" spans="1:6" ht="15" x14ac:dyDescent="0.2">
      <c r="A1" s="61"/>
      <c r="B1" s="61"/>
      <c r="C1" s="62"/>
      <c r="D1" s="68"/>
      <c r="E1" s="63"/>
      <c r="F1" s="54"/>
    </row>
    <row r="2" spans="1:6" ht="15" x14ac:dyDescent="0.2">
      <c r="A2" s="2123" t="s">
        <v>34</v>
      </c>
      <c r="B2" s="2123"/>
      <c r="C2" s="2123"/>
      <c r="D2" s="2123"/>
      <c r="E2" s="2123"/>
      <c r="F2" s="2123"/>
    </row>
    <row r="3" spans="1:6" ht="15" x14ac:dyDescent="0.2">
      <c r="A3" s="2123" t="s">
        <v>35</v>
      </c>
      <c r="B3" s="2123"/>
      <c r="C3" s="2123"/>
      <c r="D3" s="2123"/>
      <c r="E3" s="2123"/>
      <c r="F3" s="2123"/>
    </row>
    <row r="4" spans="1:6" ht="15" x14ac:dyDescent="0.2">
      <c r="A4" s="2123" t="s">
        <v>4980</v>
      </c>
      <c r="B4" s="2123"/>
      <c r="C4" s="2123"/>
      <c r="D4" s="2123"/>
      <c r="E4" s="2123"/>
      <c r="F4" s="2123"/>
    </row>
    <row r="5" spans="1:6" ht="15" x14ac:dyDescent="0.2">
      <c r="A5" s="56"/>
      <c r="B5" s="56"/>
      <c r="C5" s="57" t="s">
        <v>29</v>
      </c>
      <c r="D5" s="69"/>
      <c r="E5" s="74"/>
      <c r="F5" s="64"/>
    </row>
    <row r="6" spans="1:6" ht="15" x14ac:dyDescent="0.2">
      <c r="A6" s="56"/>
      <c r="B6" s="56"/>
      <c r="C6" s="57"/>
      <c r="D6" s="69"/>
      <c r="E6" s="65"/>
      <c r="F6" s="54"/>
    </row>
    <row r="7" spans="1:6" ht="21" x14ac:dyDescent="0.2">
      <c r="A7" s="2128" t="s">
        <v>5198</v>
      </c>
      <c r="B7" s="2128"/>
      <c r="C7" s="2128"/>
      <c r="D7" s="2128"/>
      <c r="E7" s="2128"/>
      <c r="F7" s="2128"/>
    </row>
    <row r="8" spans="1:6" ht="15" x14ac:dyDescent="0.2">
      <c r="A8" s="56"/>
      <c r="B8" s="56"/>
      <c r="C8" s="57"/>
      <c r="D8" s="69"/>
      <c r="E8" s="74"/>
      <c r="F8" s="64"/>
    </row>
    <row r="9" spans="1:6" ht="15" x14ac:dyDescent="0.2">
      <c r="A9" s="66" t="s">
        <v>4443</v>
      </c>
      <c r="B9" s="2127" t="str">
        <f>'Orç - Canteiro e Adm'!B9:J9</f>
        <v>Construção do Edifício ULEG-FM</v>
      </c>
      <c r="C9" s="2127"/>
      <c r="D9" s="2127"/>
      <c r="E9" s="2127"/>
      <c r="F9" s="2127"/>
    </row>
    <row r="10" spans="1:6" ht="15" x14ac:dyDescent="0.2">
      <c r="A10" s="66" t="s">
        <v>128</v>
      </c>
      <c r="B10" s="2127" t="str">
        <f>'Orç - Canteiro e Adm'!B10:J10</f>
        <v>Campus Darcy Ribeiro</v>
      </c>
      <c r="C10" s="2127"/>
      <c r="D10" s="2127"/>
      <c r="E10" s="2127"/>
      <c r="F10" s="2127"/>
    </row>
    <row r="11" spans="1:6" ht="15" x14ac:dyDescent="0.2">
      <c r="A11" s="66" t="s">
        <v>4444</v>
      </c>
      <c r="B11" s="2196" t="str">
        <f>'Orç - Canteiro e Adm'!B11:J11</f>
        <v>Maio de 2020</v>
      </c>
      <c r="C11" s="2196"/>
      <c r="D11" s="2196"/>
      <c r="E11" s="2196"/>
      <c r="F11" s="2196"/>
    </row>
    <row r="12" spans="1:6" ht="15" x14ac:dyDescent="0.2">
      <c r="A12" s="60"/>
      <c r="B12" s="60"/>
      <c r="C12" s="75"/>
      <c r="D12" s="70"/>
      <c r="E12" s="59"/>
      <c r="F12" s="54"/>
    </row>
    <row r="13" spans="1:6" ht="53.25" customHeight="1" x14ac:dyDescent="0.2">
      <c r="A13" s="2197" t="s">
        <v>15150</v>
      </c>
      <c r="B13" s="2197"/>
      <c r="C13" s="2197"/>
      <c r="D13" s="2197"/>
      <c r="E13" s="2197"/>
      <c r="F13" s="2197"/>
    </row>
    <row r="14" spans="1:6" ht="15.75" thickBot="1" x14ac:dyDescent="0.25">
      <c r="A14" s="60"/>
      <c r="B14" s="60"/>
      <c r="C14" s="75"/>
      <c r="D14" s="70"/>
      <c r="E14" s="59"/>
      <c r="F14" s="54"/>
    </row>
    <row r="15" spans="1:6" ht="15.75" thickBot="1" x14ac:dyDescent="0.25">
      <c r="B15" s="116" t="s">
        <v>6</v>
      </c>
      <c r="C15" s="117" t="s">
        <v>121</v>
      </c>
      <c r="D15" s="118" t="s">
        <v>5199</v>
      </c>
      <c r="E15" s="119" t="s">
        <v>5200</v>
      </c>
    </row>
    <row r="16" spans="1:6" ht="5.25" customHeight="1" x14ac:dyDescent="0.2">
      <c r="B16" s="120"/>
      <c r="C16" s="120"/>
      <c r="D16" s="121"/>
      <c r="E16" s="122"/>
    </row>
    <row r="17" spans="2:5" ht="15" x14ac:dyDescent="0.2">
      <c r="B17" s="123" t="s">
        <v>5201</v>
      </c>
      <c r="C17" s="123" t="s">
        <v>5202</v>
      </c>
      <c r="D17" s="123"/>
      <c r="E17" s="123"/>
    </row>
    <row r="18" spans="2:5" ht="15" x14ac:dyDescent="0.2">
      <c r="B18" s="124" t="s">
        <v>5203</v>
      </c>
      <c r="C18" s="124" t="s">
        <v>5204</v>
      </c>
      <c r="D18" s="125">
        <v>0</v>
      </c>
      <c r="E18" s="126">
        <v>0</v>
      </c>
    </row>
    <row r="19" spans="2:5" ht="15" x14ac:dyDescent="0.2">
      <c r="B19" s="124" t="s">
        <v>5205</v>
      </c>
      <c r="C19" s="124" t="s">
        <v>5206</v>
      </c>
      <c r="D19" s="125">
        <v>1.4999999999999999E-2</v>
      </c>
      <c r="E19" s="126">
        <v>1.4999999999999999E-2</v>
      </c>
    </row>
    <row r="20" spans="2:5" ht="15" x14ac:dyDescent="0.2">
      <c r="B20" s="124" t="s">
        <v>5207</v>
      </c>
      <c r="C20" s="124" t="s">
        <v>5208</v>
      </c>
      <c r="D20" s="125">
        <v>0.01</v>
      </c>
      <c r="E20" s="126">
        <v>0.01</v>
      </c>
    </row>
    <row r="21" spans="2:5" ht="15" x14ac:dyDescent="0.2">
      <c r="B21" s="124" t="s">
        <v>5209</v>
      </c>
      <c r="C21" s="124" t="s">
        <v>5210</v>
      </c>
      <c r="D21" s="125">
        <v>2E-3</v>
      </c>
      <c r="E21" s="126">
        <v>2E-3</v>
      </c>
    </row>
    <row r="22" spans="2:5" ht="15" x14ac:dyDescent="0.2">
      <c r="B22" s="124" t="s">
        <v>5211</v>
      </c>
      <c r="C22" s="124" t="s">
        <v>5212</v>
      </c>
      <c r="D22" s="125">
        <v>6.0000000000000001E-3</v>
      </c>
      <c r="E22" s="126">
        <v>6.0000000000000001E-3</v>
      </c>
    </row>
    <row r="23" spans="2:5" ht="15" x14ac:dyDescent="0.2">
      <c r="B23" s="124" t="s">
        <v>5213</v>
      </c>
      <c r="C23" s="124" t="s">
        <v>5214</v>
      </c>
      <c r="D23" s="125">
        <v>2.5000000000000001E-2</v>
      </c>
      <c r="E23" s="126">
        <v>2.5000000000000001E-2</v>
      </c>
    </row>
    <row r="24" spans="2:5" ht="15" x14ac:dyDescent="0.2">
      <c r="B24" s="124" t="s">
        <v>5215</v>
      </c>
      <c r="C24" s="124" t="s">
        <v>5216</v>
      </c>
      <c r="D24" s="125">
        <v>0.03</v>
      </c>
      <c r="E24" s="126">
        <v>0.03</v>
      </c>
    </row>
    <row r="25" spans="2:5" ht="15" x14ac:dyDescent="0.2">
      <c r="B25" s="124" t="s">
        <v>5217</v>
      </c>
      <c r="C25" s="124" t="s">
        <v>5218</v>
      </c>
      <c r="D25" s="125">
        <v>0.08</v>
      </c>
      <c r="E25" s="126">
        <v>0.08</v>
      </c>
    </row>
    <row r="26" spans="2:5" ht="15" x14ac:dyDescent="0.2">
      <c r="B26" s="124" t="s">
        <v>5219</v>
      </c>
      <c r="C26" s="124" t="s">
        <v>5220</v>
      </c>
      <c r="D26" s="125">
        <v>0.01</v>
      </c>
      <c r="E26" s="126">
        <v>0.01</v>
      </c>
    </row>
    <row r="27" spans="2:5" ht="15" x14ac:dyDescent="0.2">
      <c r="B27" s="2194" t="s">
        <v>5221</v>
      </c>
      <c r="C27" s="2195"/>
      <c r="D27" s="127">
        <v>0.17799999999999999</v>
      </c>
      <c r="E27" s="128">
        <v>0.17799999999999999</v>
      </c>
    </row>
    <row r="28" spans="2:5" ht="7.5" customHeight="1" x14ac:dyDescent="0.2">
      <c r="B28" s="53"/>
      <c r="C28" s="53"/>
      <c r="D28" s="129"/>
      <c r="E28" s="130"/>
    </row>
    <row r="29" spans="2:5" ht="15" x14ac:dyDescent="0.2">
      <c r="B29" s="131" t="s">
        <v>5222</v>
      </c>
      <c r="C29" s="131" t="s">
        <v>5223</v>
      </c>
      <c r="D29" s="131"/>
      <c r="E29" s="131"/>
    </row>
    <row r="30" spans="2:5" ht="15" x14ac:dyDescent="0.2">
      <c r="B30" s="124" t="s">
        <v>5224</v>
      </c>
      <c r="C30" s="124" t="s">
        <v>5225</v>
      </c>
      <c r="D30" s="125">
        <v>0.17749999999999999</v>
      </c>
      <c r="E30" s="126" t="s">
        <v>5226</v>
      </c>
    </row>
    <row r="31" spans="2:5" ht="15" x14ac:dyDescent="0.2">
      <c r="B31" s="124" t="s">
        <v>5227</v>
      </c>
      <c r="C31" s="124" t="s">
        <v>5228</v>
      </c>
      <c r="D31" s="125">
        <v>3.4099999999999998E-2</v>
      </c>
      <c r="E31" s="126" t="s">
        <v>5226</v>
      </c>
    </row>
    <row r="32" spans="2:5" ht="15" x14ac:dyDescent="0.2">
      <c r="B32" s="124" t="s">
        <v>5229</v>
      </c>
      <c r="C32" s="124" t="s">
        <v>5230</v>
      </c>
      <c r="D32" s="125">
        <v>8.8000000000000005E-3</v>
      </c>
      <c r="E32" s="126">
        <v>6.8999999999999999E-3</v>
      </c>
    </row>
    <row r="33" spans="2:5" ht="15" x14ac:dyDescent="0.2">
      <c r="B33" s="124" t="s">
        <v>5231</v>
      </c>
      <c r="C33" s="124" t="s">
        <v>5232</v>
      </c>
      <c r="D33" s="125">
        <v>0.10580000000000001</v>
      </c>
      <c r="E33" s="126">
        <v>8.3299999999999999E-2</v>
      </c>
    </row>
    <row r="34" spans="2:5" ht="15" x14ac:dyDescent="0.2">
      <c r="B34" s="124" t="s">
        <v>5233</v>
      </c>
      <c r="C34" s="124" t="s">
        <v>5234</v>
      </c>
      <c r="D34" s="125">
        <v>6.9999999999999999E-4</v>
      </c>
      <c r="E34" s="126">
        <v>5.9999999999999995E-4</v>
      </c>
    </row>
    <row r="35" spans="2:5" ht="15" x14ac:dyDescent="0.2">
      <c r="B35" s="124" t="s">
        <v>5235</v>
      </c>
      <c r="C35" s="124" t="s">
        <v>5236</v>
      </c>
      <c r="D35" s="125">
        <v>7.1000000000000004E-3</v>
      </c>
      <c r="E35" s="126">
        <v>5.5999999999999999E-3</v>
      </c>
    </row>
    <row r="36" spans="2:5" ht="15" x14ac:dyDescent="0.2">
      <c r="B36" s="124" t="s">
        <v>5237</v>
      </c>
      <c r="C36" s="124" t="s">
        <v>5238</v>
      </c>
      <c r="D36" s="125">
        <v>1.2999999999999999E-2</v>
      </c>
      <c r="E36" s="126" t="s">
        <v>5226</v>
      </c>
    </row>
    <row r="37" spans="2:5" ht="15" x14ac:dyDescent="0.2">
      <c r="B37" s="124" t="s">
        <v>5239</v>
      </c>
      <c r="C37" s="124" t="s">
        <v>5240</v>
      </c>
      <c r="D37" s="125">
        <v>1.1000000000000001E-3</v>
      </c>
      <c r="E37" s="126">
        <v>8.9999999999999998E-4</v>
      </c>
    </row>
    <row r="38" spans="2:5" ht="15" x14ac:dyDescent="0.2">
      <c r="B38" s="124" t="s">
        <v>5241</v>
      </c>
      <c r="C38" s="124" t="s">
        <v>5242</v>
      </c>
      <c r="D38" s="125">
        <v>0.123</v>
      </c>
      <c r="E38" s="126">
        <v>9.6799999999999997E-2</v>
      </c>
    </row>
    <row r="39" spans="2:5" ht="15" x14ac:dyDescent="0.2">
      <c r="B39" s="124" t="s">
        <v>5243</v>
      </c>
      <c r="C39" s="124" t="s">
        <v>5244</v>
      </c>
      <c r="D39" s="125">
        <v>2.9999999999999997E-4</v>
      </c>
      <c r="E39" s="126">
        <v>2.9999999999999997E-4</v>
      </c>
    </row>
    <row r="40" spans="2:5" ht="15" x14ac:dyDescent="0.2">
      <c r="B40" s="2194" t="s">
        <v>5245</v>
      </c>
      <c r="C40" s="2195"/>
      <c r="D40" s="127">
        <v>0.47139999999999999</v>
      </c>
      <c r="E40" s="128">
        <v>0.19439999999999999</v>
      </c>
    </row>
    <row r="41" spans="2:5" ht="5.25" customHeight="1" x14ac:dyDescent="0.2">
      <c r="B41" s="53"/>
      <c r="C41" s="53"/>
      <c r="D41" s="129"/>
      <c r="E41" s="130"/>
    </row>
    <row r="42" spans="2:5" ht="15" x14ac:dyDescent="0.2">
      <c r="B42" s="131" t="s">
        <v>5246</v>
      </c>
      <c r="C42" s="131" t="s">
        <v>5247</v>
      </c>
      <c r="D42" s="131"/>
      <c r="E42" s="131"/>
    </row>
    <row r="43" spans="2:5" ht="15" x14ac:dyDescent="0.2">
      <c r="B43" s="124" t="s">
        <v>5248</v>
      </c>
      <c r="C43" s="124" t="s">
        <v>5249</v>
      </c>
      <c r="D43" s="125">
        <v>3.8100000000000002E-2</v>
      </c>
      <c r="E43" s="126">
        <v>0.03</v>
      </c>
    </row>
    <row r="44" spans="2:5" ht="15" x14ac:dyDescent="0.2">
      <c r="B44" s="124" t="s">
        <v>5250</v>
      </c>
      <c r="C44" s="124" t="s">
        <v>5251</v>
      </c>
      <c r="D44" s="125">
        <v>8.9999999999999998E-4</v>
      </c>
      <c r="E44" s="126">
        <v>6.9999999999999999E-4</v>
      </c>
    </row>
    <row r="45" spans="2:5" ht="15" x14ac:dyDescent="0.2">
      <c r="B45" s="124" t="s">
        <v>5252</v>
      </c>
      <c r="C45" s="124" t="s">
        <v>5253</v>
      </c>
      <c r="D45" s="125">
        <v>1.7100000000000001E-2</v>
      </c>
      <c r="E45" s="126">
        <v>1.35E-2</v>
      </c>
    </row>
    <row r="46" spans="2:5" ht="15" x14ac:dyDescent="0.2">
      <c r="B46" s="124" t="s">
        <v>5254</v>
      </c>
      <c r="C46" s="124" t="s">
        <v>5255</v>
      </c>
      <c r="D46" s="125">
        <v>3.8199999999999998E-2</v>
      </c>
      <c r="E46" s="126">
        <v>3.0099999999999998E-2</v>
      </c>
    </row>
    <row r="47" spans="2:5" ht="15" x14ac:dyDescent="0.2">
      <c r="B47" s="124" t="s">
        <v>5256</v>
      </c>
      <c r="C47" s="124" t="s">
        <v>5257</v>
      </c>
      <c r="D47" s="125">
        <v>3.2000000000000002E-3</v>
      </c>
      <c r="E47" s="126">
        <v>2.5000000000000001E-3</v>
      </c>
    </row>
    <row r="48" spans="2:5" ht="15" x14ac:dyDescent="0.2">
      <c r="B48" s="2194" t="s">
        <v>5258</v>
      </c>
      <c r="C48" s="2195"/>
      <c r="D48" s="127">
        <v>9.7500000000000003E-2</v>
      </c>
      <c r="E48" s="128">
        <v>7.6799999999999993E-2</v>
      </c>
    </row>
    <row r="49" spans="2:5" ht="5.25" customHeight="1" x14ac:dyDescent="0.2">
      <c r="B49" s="53"/>
      <c r="C49" s="53"/>
      <c r="D49" s="129"/>
      <c r="E49" s="130"/>
    </row>
    <row r="50" spans="2:5" ht="15" x14ac:dyDescent="0.2">
      <c r="B50" s="131" t="s">
        <v>5259</v>
      </c>
      <c r="C50" s="131" t="s">
        <v>5260</v>
      </c>
      <c r="D50" s="131"/>
      <c r="E50" s="131"/>
    </row>
    <row r="51" spans="2:5" ht="15" x14ac:dyDescent="0.2">
      <c r="B51" s="124" t="s">
        <v>5261</v>
      </c>
      <c r="C51" s="124" t="s">
        <v>5262</v>
      </c>
      <c r="D51" s="125">
        <v>8.3900000000000002E-2</v>
      </c>
      <c r="E51" s="126">
        <v>3.4599999999999999E-2</v>
      </c>
    </row>
    <row r="52" spans="2:5" ht="45" x14ac:dyDescent="0.2">
      <c r="B52" s="124" t="s">
        <v>5263</v>
      </c>
      <c r="C52" s="132" t="s">
        <v>5264</v>
      </c>
      <c r="D52" s="125">
        <v>3.2000000000000002E-3</v>
      </c>
      <c r="E52" s="126">
        <v>2.5000000000000001E-3</v>
      </c>
    </row>
    <row r="53" spans="2:5" ht="15" x14ac:dyDescent="0.2">
      <c r="B53" s="2194" t="s">
        <v>5265</v>
      </c>
      <c r="C53" s="2195"/>
      <c r="D53" s="127">
        <v>8.7099999999999997E-2</v>
      </c>
      <c r="E53" s="128">
        <v>3.7100000000000001E-2</v>
      </c>
    </row>
    <row r="55" spans="2:5" ht="15" x14ac:dyDescent="0.2">
      <c r="B55" s="131" t="s">
        <v>5266</v>
      </c>
      <c r="C55" s="133" t="s">
        <v>5267</v>
      </c>
      <c r="D55" s="134">
        <v>0.83399999999999996</v>
      </c>
      <c r="E55" s="134">
        <v>0.48630000000000001</v>
      </c>
    </row>
  </sheetData>
  <mergeCells count="12">
    <mergeCell ref="B53:C53"/>
    <mergeCell ref="A2:F2"/>
    <mergeCell ref="A3:F3"/>
    <mergeCell ref="A4:F4"/>
    <mergeCell ref="A7:F7"/>
    <mergeCell ref="B9:F9"/>
    <mergeCell ref="B10:F10"/>
    <mergeCell ref="B11:F11"/>
    <mergeCell ref="A13:F13"/>
    <mergeCell ref="B27:C27"/>
    <mergeCell ref="B40:C40"/>
    <mergeCell ref="B48:C48"/>
  </mergeCells>
  <pageMargins left="0.39370078740157483" right="0.39370078740157483" top="0.39370078740157483" bottom="0.98425196850393704" header="0" footer="0.39370078740157483"/>
  <pageSetup paperSize="9" scale="82" firstPageNumber="187" fitToHeight="0" orientation="portrait" useFirstPageNumber="1" r:id="rId1"/>
  <headerFooter>
    <oddFooter>&amp;RPágina &amp;P de 249</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CEED4-7274-4CD2-8801-299E08660BCE}">
  <sheetPr codeName="Plan16">
    <tabColor rgb="FF7030A0"/>
    <pageSetUpPr fitToPage="1"/>
  </sheetPr>
  <dimension ref="A1:I829"/>
  <sheetViews>
    <sheetView view="pageLayout" topLeftCell="A28" zoomScale="90" zoomScaleNormal="100" zoomScaleSheetLayoutView="100" zoomScalePageLayoutView="90" workbookViewId="0">
      <selection activeCell="B844" sqref="B844:B846"/>
    </sheetView>
  </sheetViews>
  <sheetFormatPr defaultRowHeight="12.75" x14ac:dyDescent="0.2"/>
  <cols>
    <col min="1" max="1" width="13" style="11" customWidth="1"/>
    <col min="2" max="2" width="46.42578125" style="12" customWidth="1"/>
    <col min="3" max="3" width="11.5703125" style="1509" bestFit="1" customWidth="1"/>
    <col min="4" max="4" width="14" style="1633" bestFit="1" customWidth="1"/>
    <col min="5" max="5" width="29.42578125" style="1945" customWidth="1"/>
    <col min="6" max="6" width="9.140625" style="1751"/>
    <col min="7" max="7" width="11.42578125" style="1751" bestFit="1" customWidth="1"/>
    <col min="8" max="16384" width="9.140625" style="1751"/>
  </cols>
  <sheetData>
    <row r="1" spans="1:9" ht="15" x14ac:dyDescent="0.2">
      <c r="A1" s="184"/>
      <c r="B1" s="62"/>
      <c r="C1" s="68"/>
      <c r="D1" s="63"/>
      <c r="E1" s="1940"/>
    </row>
    <row r="2" spans="1:9" ht="15" x14ac:dyDescent="0.2">
      <c r="A2" s="2123" t="s">
        <v>34</v>
      </c>
      <c r="B2" s="2123"/>
      <c r="C2" s="2123"/>
      <c r="D2" s="2123"/>
      <c r="E2" s="2123"/>
    </row>
    <row r="3" spans="1:9" ht="15" x14ac:dyDescent="0.2">
      <c r="A3" s="2123" t="s">
        <v>35</v>
      </c>
      <c r="B3" s="2123"/>
      <c r="C3" s="2123"/>
      <c r="D3" s="2123"/>
      <c r="E3" s="2123"/>
    </row>
    <row r="4" spans="1:9" ht="15" x14ac:dyDescent="0.2">
      <c r="A4" s="2123" t="s">
        <v>4980</v>
      </c>
      <c r="B4" s="2123"/>
      <c r="C4" s="2123"/>
      <c r="D4" s="2123"/>
      <c r="E4" s="2123"/>
    </row>
    <row r="5" spans="1:9" ht="15" x14ac:dyDescent="0.2">
      <c r="A5" s="1739"/>
      <c r="B5" s="1740" t="s">
        <v>29</v>
      </c>
      <c r="C5" s="1741"/>
      <c r="D5" s="1939"/>
      <c r="E5" s="1943"/>
    </row>
    <row r="6" spans="1:9" ht="15" x14ac:dyDescent="0.2">
      <c r="A6" s="1739"/>
      <c r="B6" s="1740"/>
      <c r="C6" s="1741"/>
      <c r="D6" s="1746"/>
      <c r="E6" s="1940"/>
    </row>
    <row r="7" spans="1:9" ht="21" x14ac:dyDescent="0.2">
      <c r="A7" s="2128" t="s">
        <v>14973</v>
      </c>
      <c r="B7" s="2128"/>
      <c r="C7" s="2128"/>
      <c r="D7" s="2128"/>
      <c r="E7" s="2128"/>
    </row>
    <row r="8" spans="1:9" ht="15" x14ac:dyDescent="0.2">
      <c r="A8" s="1739"/>
      <c r="B8" s="1740"/>
      <c r="C8" s="1741"/>
      <c r="D8" s="1939"/>
      <c r="E8" s="1943"/>
    </row>
    <row r="9" spans="1:9" ht="15" x14ac:dyDescent="0.2">
      <c r="A9" s="1750" t="s">
        <v>4443</v>
      </c>
      <c r="B9" s="94" t="s">
        <v>15152</v>
      </c>
      <c r="C9" s="94"/>
      <c r="D9" s="94"/>
      <c r="E9" s="1940"/>
    </row>
    <row r="10" spans="1:9" ht="15" x14ac:dyDescent="0.2">
      <c r="A10" s="1750" t="s">
        <v>128</v>
      </c>
      <c r="B10" s="94" t="s">
        <v>8381</v>
      </c>
      <c r="C10" s="94"/>
      <c r="D10" s="94"/>
      <c r="E10" s="1940"/>
    </row>
    <row r="11" spans="1:9" ht="15" x14ac:dyDescent="0.2">
      <c r="A11" s="1750" t="s">
        <v>4444</v>
      </c>
      <c r="B11" s="1814" t="s">
        <v>14964</v>
      </c>
      <c r="C11" s="1785"/>
      <c r="D11" s="1785"/>
      <c r="E11" s="200"/>
    </row>
    <row r="12" spans="1:9" ht="15" x14ac:dyDescent="0.2">
      <c r="A12" s="2139" t="s">
        <v>4854</v>
      </c>
      <c r="B12" s="2139"/>
      <c r="C12" s="2139"/>
      <c r="D12" s="2139"/>
      <c r="E12" s="2139"/>
    </row>
    <row r="13" spans="1:9" ht="15" x14ac:dyDescent="0.2">
      <c r="A13" s="2198" t="s">
        <v>7708</v>
      </c>
      <c r="B13" s="2198"/>
      <c r="C13" s="2198"/>
      <c r="D13" s="2198"/>
      <c r="E13" s="2198"/>
      <c r="G13" s="1953"/>
      <c r="H13" s="1953"/>
      <c r="I13" s="1954"/>
    </row>
    <row r="14" spans="1:9" s="8" customFormat="1" ht="15" x14ac:dyDescent="0.2">
      <c r="A14" s="1941" t="s">
        <v>0</v>
      </c>
      <c r="B14" s="45" t="s">
        <v>1</v>
      </c>
      <c r="C14" s="1510" t="s">
        <v>131</v>
      </c>
      <c r="D14" s="46" t="s">
        <v>11</v>
      </c>
      <c r="E14" s="1942" t="s">
        <v>14974</v>
      </c>
      <c r="G14" s="1953"/>
      <c r="H14" s="1953"/>
    </row>
    <row r="15" spans="1:9" s="1809" customFormat="1" ht="30" x14ac:dyDescent="0.2">
      <c r="A15" s="1635" t="s">
        <v>7340</v>
      </c>
      <c r="B15" s="1813" t="s">
        <v>7686</v>
      </c>
      <c r="C15" s="1638">
        <v>1</v>
      </c>
      <c r="D15" s="1639" t="s">
        <v>5284</v>
      </c>
      <c r="E15" s="1944" t="s">
        <v>14996</v>
      </c>
      <c r="H15" s="1955"/>
    </row>
    <row r="16" spans="1:9" s="1809" customFormat="1" ht="45" x14ac:dyDescent="0.2">
      <c r="A16" s="1635" t="s">
        <v>8596</v>
      </c>
      <c r="B16" s="1813" t="s">
        <v>8598</v>
      </c>
      <c r="C16" s="1638">
        <v>14</v>
      </c>
      <c r="D16" s="1639" t="s">
        <v>8599</v>
      </c>
      <c r="E16" s="1944" t="s">
        <v>14995</v>
      </c>
    </row>
    <row r="17" spans="1:8" s="1809" customFormat="1" ht="45" x14ac:dyDescent="0.2">
      <c r="A17" s="1635" t="s">
        <v>8597</v>
      </c>
      <c r="B17" s="1813" t="s">
        <v>8600</v>
      </c>
      <c r="C17" s="1638">
        <v>42</v>
      </c>
      <c r="D17" s="1639" t="s">
        <v>8599</v>
      </c>
      <c r="E17" s="1944" t="s">
        <v>14995</v>
      </c>
    </row>
    <row r="18" spans="1:8" s="1809" customFormat="1" ht="45" x14ac:dyDescent="0.2">
      <c r="A18" s="1635" t="s">
        <v>5279</v>
      </c>
      <c r="B18" s="1813" t="s">
        <v>7565</v>
      </c>
      <c r="C18" s="1638">
        <v>30</v>
      </c>
      <c r="D18" s="1639" t="s">
        <v>5286</v>
      </c>
      <c r="E18" s="1944" t="s">
        <v>14995</v>
      </c>
    </row>
    <row r="19" spans="1:8" s="1809" customFormat="1" ht="30" x14ac:dyDescent="0.2">
      <c r="A19" s="1635" t="s">
        <v>7566</v>
      </c>
      <c r="B19" s="1813" t="s">
        <v>7567</v>
      </c>
      <c r="C19" s="1638">
        <v>52.5</v>
      </c>
      <c r="D19" s="1639" t="s">
        <v>5286</v>
      </c>
      <c r="E19" s="1944" t="s">
        <v>14995</v>
      </c>
    </row>
    <row r="20" spans="1:8" s="1809" customFormat="1" ht="30" x14ac:dyDescent="0.2">
      <c r="A20" s="1635" t="s">
        <v>5280</v>
      </c>
      <c r="B20" s="1813" t="s">
        <v>7568</v>
      </c>
      <c r="C20" s="1638">
        <v>43.8</v>
      </c>
      <c r="D20" s="1639" t="s">
        <v>5286</v>
      </c>
      <c r="E20" s="1944" t="s">
        <v>14995</v>
      </c>
    </row>
    <row r="21" spans="1:8" s="1809" customFormat="1" ht="30" x14ac:dyDescent="0.2">
      <c r="A21" s="1635" t="s">
        <v>9486</v>
      </c>
      <c r="B21" s="1813" t="s">
        <v>9485</v>
      </c>
      <c r="C21" s="1638">
        <v>4</v>
      </c>
      <c r="D21" s="1639" t="s">
        <v>6927</v>
      </c>
      <c r="E21" s="1944" t="s">
        <v>14995</v>
      </c>
    </row>
    <row r="22" spans="1:8" s="1809" customFormat="1" ht="30" x14ac:dyDescent="0.2">
      <c r="A22" s="1635" t="s">
        <v>8593</v>
      </c>
      <c r="B22" s="1813" t="s">
        <v>8912</v>
      </c>
      <c r="C22" s="1638">
        <v>1</v>
      </c>
      <c r="D22" s="1639" t="s">
        <v>5284</v>
      </c>
      <c r="E22" s="1944" t="s">
        <v>14996</v>
      </c>
    </row>
    <row r="23" spans="1:8" s="1809" customFormat="1" ht="45" x14ac:dyDescent="0.2">
      <c r="A23" s="1635" t="s">
        <v>8594</v>
      </c>
      <c r="B23" s="1813" t="s">
        <v>8595</v>
      </c>
      <c r="C23" s="1638">
        <v>1</v>
      </c>
      <c r="D23" s="1639" t="s">
        <v>5286</v>
      </c>
      <c r="E23" s="1944" t="s">
        <v>14996</v>
      </c>
    </row>
    <row r="24" spans="1:8" s="1809" customFormat="1" ht="30" x14ac:dyDescent="0.2">
      <c r="A24" s="1635" t="s">
        <v>9465</v>
      </c>
      <c r="B24" s="1813" t="s">
        <v>9467</v>
      </c>
      <c r="C24" s="1638">
        <v>1</v>
      </c>
      <c r="D24" s="1639" t="s">
        <v>5284</v>
      </c>
      <c r="E24" s="1944" t="s">
        <v>14996</v>
      </c>
    </row>
    <row r="25" spans="1:8" s="1809" customFormat="1" ht="60" x14ac:dyDescent="0.2">
      <c r="A25" s="1635" t="s">
        <v>5283</v>
      </c>
      <c r="B25" s="1813" t="s">
        <v>8913</v>
      </c>
      <c r="C25" s="1638">
        <v>1</v>
      </c>
      <c r="D25" s="1639" t="s">
        <v>5284</v>
      </c>
      <c r="E25" s="1944" t="s">
        <v>14996</v>
      </c>
    </row>
    <row r="26" spans="1:8" s="1809" customFormat="1" ht="45" x14ac:dyDescent="0.2">
      <c r="A26" s="1635" t="s">
        <v>5285</v>
      </c>
      <c r="B26" s="1813" t="s">
        <v>8587</v>
      </c>
      <c r="C26" s="1638">
        <v>313.3</v>
      </c>
      <c r="D26" s="1639" t="s">
        <v>5713</v>
      </c>
      <c r="E26" s="1944" t="s">
        <v>14997</v>
      </c>
    </row>
    <row r="27" spans="1:8" s="1809" customFormat="1" ht="45" x14ac:dyDescent="0.2">
      <c r="A27" s="1635" t="s">
        <v>5287</v>
      </c>
      <c r="B27" s="1813" t="s">
        <v>7788</v>
      </c>
      <c r="C27" s="1638">
        <v>18.649999999999999</v>
      </c>
      <c r="D27" s="1639" t="s">
        <v>5286</v>
      </c>
      <c r="E27" s="1944" t="s">
        <v>14996</v>
      </c>
    </row>
    <row r="28" spans="1:8" s="1809" customFormat="1" ht="30" x14ac:dyDescent="0.2">
      <c r="A28" s="1635" t="s">
        <v>8588</v>
      </c>
      <c r="B28" s="1813" t="s">
        <v>8589</v>
      </c>
      <c r="C28" s="1638">
        <v>2</v>
      </c>
      <c r="D28" s="1639" t="s">
        <v>5284</v>
      </c>
      <c r="E28" s="1944" t="s">
        <v>14997</v>
      </c>
    </row>
    <row r="29" spans="1:8" s="1809" customFormat="1" ht="45" x14ac:dyDescent="0.2">
      <c r="A29" s="1635" t="s">
        <v>4985</v>
      </c>
      <c r="B29" s="1813" t="s">
        <v>9480</v>
      </c>
      <c r="C29" s="1638">
        <v>3065.46</v>
      </c>
      <c r="D29" s="1639" t="s">
        <v>5286</v>
      </c>
      <c r="E29" s="1944" t="s">
        <v>15100</v>
      </c>
    </row>
    <row r="30" spans="1:8" s="1809" customFormat="1" ht="30" x14ac:dyDescent="0.2">
      <c r="A30" s="1635" t="s">
        <v>9476</v>
      </c>
      <c r="B30" s="1813" t="s">
        <v>9477</v>
      </c>
      <c r="C30" s="1638">
        <v>4</v>
      </c>
      <c r="D30" s="1639" t="s">
        <v>5284</v>
      </c>
      <c r="E30" s="1944" t="s">
        <v>15000</v>
      </c>
    </row>
    <row r="31" spans="1:8" s="1809" customFormat="1" ht="45" x14ac:dyDescent="0.2">
      <c r="A31" s="1635" t="s">
        <v>9478</v>
      </c>
      <c r="B31" s="1813" t="s">
        <v>9479</v>
      </c>
      <c r="C31" s="1638">
        <v>4</v>
      </c>
      <c r="D31" s="1639" t="s">
        <v>5284</v>
      </c>
      <c r="E31" s="1944" t="s">
        <v>15000</v>
      </c>
    </row>
    <row r="32" spans="1:8" s="8" customFormat="1" ht="15" x14ac:dyDescent="0.2">
      <c r="A32" s="1982" t="s">
        <v>0</v>
      </c>
      <c r="B32" s="45" t="s">
        <v>1</v>
      </c>
      <c r="C32" s="1510" t="s">
        <v>131</v>
      </c>
      <c r="D32" s="46" t="s">
        <v>11</v>
      </c>
      <c r="E32" s="1942" t="s">
        <v>14974</v>
      </c>
      <c r="G32" s="1953"/>
      <c r="H32" s="1953"/>
    </row>
    <row r="33" spans="1:5" s="1809" customFormat="1" ht="45" x14ac:dyDescent="0.2">
      <c r="A33" s="1635" t="s">
        <v>7448</v>
      </c>
      <c r="B33" s="1813" t="s">
        <v>8581</v>
      </c>
      <c r="C33" s="1638">
        <v>915.59</v>
      </c>
      <c r="D33" s="1639" t="s">
        <v>5685</v>
      </c>
      <c r="E33" s="1944" t="s">
        <v>15110</v>
      </c>
    </row>
    <row r="34" spans="1:5" s="1809" customFormat="1" ht="45" x14ac:dyDescent="0.2">
      <c r="A34" s="1635" t="s">
        <v>7730</v>
      </c>
      <c r="B34" s="1813" t="s">
        <v>9314</v>
      </c>
      <c r="C34" s="1638">
        <v>105.77</v>
      </c>
      <c r="D34" s="1639" t="s">
        <v>5685</v>
      </c>
      <c r="E34" s="1944" t="s">
        <v>15110</v>
      </c>
    </row>
    <row r="35" spans="1:5" s="1809" customFormat="1" ht="60" x14ac:dyDescent="0.2">
      <c r="A35" s="1635" t="s">
        <v>6929</v>
      </c>
      <c r="B35" s="1813" t="s">
        <v>7731</v>
      </c>
      <c r="C35" s="1638">
        <v>1267.28</v>
      </c>
      <c r="D35" s="1639" t="s">
        <v>5685</v>
      </c>
      <c r="E35" s="1944" t="s">
        <v>15100</v>
      </c>
    </row>
    <row r="36" spans="1:5" s="1809" customFormat="1" ht="45" x14ac:dyDescent="0.2">
      <c r="A36" s="1635" t="s">
        <v>6930</v>
      </c>
      <c r="B36" s="1813" t="s">
        <v>8585</v>
      </c>
      <c r="C36" s="1638">
        <v>2534.56</v>
      </c>
      <c r="D36" s="1639" t="s">
        <v>6698</v>
      </c>
      <c r="E36" s="1944" t="s">
        <v>15001</v>
      </c>
    </row>
    <row r="37" spans="1:5" s="1809" customFormat="1" ht="45" x14ac:dyDescent="0.2">
      <c r="A37" s="1635" t="s">
        <v>7684</v>
      </c>
      <c r="B37" s="1813" t="s">
        <v>8531</v>
      </c>
      <c r="C37" s="1638">
        <v>2464.3200000000002</v>
      </c>
      <c r="D37" s="1639" t="s">
        <v>5286</v>
      </c>
      <c r="E37" s="1944" t="s">
        <v>15100</v>
      </c>
    </row>
    <row r="38" spans="1:5" s="1809" customFormat="1" ht="30" x14ac:dyDescent="0.2">
      <c r="A38" s="1635" t="s">
        <v>7678</v>
      </c>
      <c r="B38" s="1813" t="s">
        <v>7679</v>
      </c>
      <c r="C38" s="1638">
        <v>1</v>
      </c>
      <c r="D38" s="1639" t="s">
        <v>5284</v>
      </c>
      <c r="E38" s="1944" t="s">
        <v>14996</v>
      </c>
    </row>
    <row r="39" spans="1:5" s="1809" customFormat="1" ht="15" x14ac:dyDescent="0.2">
      <c r="A39" s="1635" t="s">
        <v>7689</v>
      </c>
      <c r="B39" s="1813" t="s">
        <v>8317</v>
      </c>
      <c r="C39" s="1638">
        <v>2464</v>
      </c>
      <c r="D39" s="1639" t="s">
        <v>5286</v>
      </c>
      <c r="E39" s="1944" t="s">
        <v>15002</v>
      </c>
    </row>
    <row r="40" spans="1:5" s="1809" customFormat="1" ht="30" x14ac:dyDescent="0.2">
      <c r="A40" s="1635" t="s">
        <v>7695</v>
      </c>
      <c r="B40" s="1813" t="s">
        <v>8318</v>
      </c>
      <c r="C40" s="1638">
        <v>2464</v>
      </c>
      <c r="D40" s="1639" t="s">
        <v>5286</v>
      </c>
      <c r="E40" s="1944" t="s">
        <v>15002</v>
      </c>
    </row>
    <row r="41" spans="1:5" s="1809" customFormat="1" ht="30" x14ac:dyDescent="0.2">
      <c r="A41" s="1635" t="s">
        <v>7696</v>
      </c>
      <c r="B41" s="1813" t="s">
        <v>8319</v>
      </c>
      <c r="C41" s="1638">
        <v>2464</v>
      </c>
      <c r="D41" s="1639" t="s">
        <v>5286</v>
      </c>
      <c r="E41" s="1944" t="s">
        <v>15002</v>
      </c>
    </row>
    <row r="42" spans="1:5" s="1809" customFormat="1" ht="15" x14ac:dyDescent="0.2">
      <c r="A42" s="1635" t="s">
        <v>7697</v>
      </c>
      <c r="B42" s="1813" t="s">
        <v>8320</v>
      </c>
      <c r="C42" s="1638">
        <v>2464</v>
      </c>
      <c r="D42" s="1639" t="s">
        <v>5286</v>
      </c>
      <c r="E42" s="1944" t="s">
        <v>15002</v>
      </c>
    </row>
    <row r="43" spans="1:5" s="1809" customFormat="1" ht="30" x14ac:dyDescent="0.2">
      <c r="A43" s="1635" t="s">
        <v>7698</v>
      </c>
      <c r="B43" s="1813" t="s">
        <v>8321</v>
      </c>
      <c r="C43" s="1638">
        <v>2464</v>
      </c>
      <c r="D43" s="1639" t="s">
        <v>5286</v>
      </c>
      <c r="E43" s="1944" t="s">
        <v>15002</v>
      </c>
    </row>
    <row r="44" spans="1:5" s="1809" customFormat="1" ht="15" x14ac:dyDescent="0.2">
      <c r="A44" s="1635" t="s">
        <v>7699</v>
      </c>
      <c r="B44" s="1813" t="s">
        <v>8322</v>
      </c>
      <c r="C44" s="1638">
        <v>2464</v>
      </c>
      <c r="D44" s="1639" t="s">
        <v>5286</v>
      </c>
      <c r="E44" s="1944" t="s">
        <v>15002</v>
      </c>
    </row>
    <row r="45" spans="1:5" s="1809" customFormat="1" ht="15" x14ac:dyDescent="0.2">
      <c r="A45" s="1635" t="s">
        <v>7700</v>
      </c>
      <c r="B45" s="1813" t="s">
        <v>8323</v>
      </c>
      <c r="C45" s="1638">
        <v>2464</v>
      </c>
      <c r="D45" s="1639" t="s">
        <v>5286</v>
      </c>
      <c r="E45" s="1944" t="s">
        <v>15002</v>
      </c>
    </row>
    <row r="46" spans="1:5" s="1809" customFormat="1" ht="15" x14ac:dyDescent="0.2">
      <c r="A46" s="1635" t="s">
        <v>7701</v>
      </c>
      <c r="B46" s="1813" t="s">
        <v>8324</v>
      </c>
      <c r="C46" s="1638">
        <v>2464</v>
      </c>
      <c r="D46" s="1639" t="s">
        <v>5286</v>
      </c>
      <c r="E46" s="1944" t="s">
        <v>15002</v>
      </c>
    </row>
    <row r="47" spans="1:5" s="1809" customFormat="1" ht="30" x14ac:dyDescent="0.2">
      <c r="A47" s="1635" t="s">
        <v>7702</v>
      </c>
      <c r="B47" s="1813" t="s">
        <v>8325</v>
      </c>
      <c r="C47" s="1638">
        <v>2464</v>
      </c>
      <c r="D47" s="1639" t="s">
        <v>5286</v>
      </c>
      <c r="E47" s="1944" t="s">
        <v>15002</v>
      </c>
    </row>
    <row r="48" spans="1:5" s="1809" customFormat="1" ht="15" x14ac:dyDescent="0.2">
      <c r="A48" s="1635" t="s">
        <v>7703</v>
      </c>
      <c r="B48" s="1813" t="s">
        <v>7690</v>
      </c>
      <c r="C48" s="1638">
        <v>42</v>
      </c>
      <c r="D48" s="1639" t="s">
        <v>5286</v>
      </c>
      <c r="E48" s="1944" t="s">
        <v>15002</v>
      </c>
    </row>
    <row r="49" spans="1:8" s="1809" customFormat="1" ht="30" x14ac:dyDescent="0.2">
      <c r="A49" s="1635" t="s">
        <v>7704</v>
      </c>
      <c r="B49" s="1813" t="s">
        <v>7691</v>
      </c>
      <c r="C49" s="1638">
        <v>42</v>
      </c>
      <c r="D49" s="1639" t="s">
        <v>5286</v>
      </c>
      <c r="E49" s="1944" t="s">
        <v>15002</v>
      </c>
    </row>
    <row r="50" spans="1:8" s="1809" customFormat="1" ht="30" x14ac:dyDescent="0.2">
      <c r="A50" s="1635" t="s">
        <v>7705</v>
      </c>
      <c r="B50" s="1813" t="s">
        <v>7692</v>
      </c>
      <c r="C50" s="1638">
        <v>42</v>
      </c>
      <c r="D50" s="1639" t="s">
        <v>5286</v>
      </c>
      <c r="E50" s="1944" t="s">
        <v>15002</v>
      </c>
    </row>
    <row r="51" spans="1:8" s="1809" customFormat="1" ht="30" x14ac:dyDescent="0.2">
      <c r="A51" s="1635" t="s">
        <v>7805</v>
      </c>
      <c r="B51" s="1813" t="s">
        <v>8302</v>
      </c>
      <c r="C51" s="1638">
        <v>2464.3200000000002</v>
      </c>
      <c r="D51" s="1639" t="s">
        <v>5286</v>
      </c>
      <c r="E51" s="1944" t="s">
        <v>14996</v>
      </c>
    </row>
    <row r="52" spans="1:8" s="1809" customFormat="1" ht="30" x14ac:dyDescent="0.2">
      <c r="A52" s="1635" t="s">
        <v>8273</v>
      </c>
      <c r="B52" s="1813" t="s">
        <v>8326</v>
      </c>
      <c r="C52" s="1638">
        <v>9</v>
      </c>
      <c r="D52" s="1639" t="s">
        <v>7749</v>
      </c>
      <c r="E52" s="1944" t="s">
        <v>15003</v>
      </c>
    </row>
    <row r="53" spans="1:8" s="1809" customFormat="1" ht="15" x14ac:dyDescent="0.2">
      <c r="A53" s="1635" t="s">
        <v>7755</v>
      </c>
      <c r="B53" s="1813" t="s">
        <v>7756</v>
      </c>
      <c r="C53" s="1638">
        <v>14</v>
      </c>
      <c r="D53" s="1639" t="s">
        <v>7749</v>
      </c>
      <c r="E53" s="1944" t="s">
        <v>15003</v>
      </c>
    </row>
    <row r="54" spans="1:8" s="1809" customFormat="1" ht="30" x14ac:dyDescent="0.2">
      <c r="A54" s="1635" t="s">
        <v>7751</v>
      </c>
      <c r="B54" s="1813" t="s">
        <v>15168</v>
      </c>
      <c r="C54" s="1638">
        <v>14</v>
      </c>
      <c r="D54" s="1639" t="s">
        <v>7749</v>
      </c>
      <c r="E54" s="1944" t="s">
        <v>15003</v>
      </c>
    </row>
    <row r="55" spans="1:8" s="1809" customFormat="1" ht="30" x14ac:dyDescent="0.2">
      <c r="A55" s="1635" t="s">
        <v>7752</v>
      </c>
      <c r="B55" s="1813" t="s">
        <v>7843</v>
      </c>
      <c r="C55" s="1638">
        <v>672</v>
      </c>
      <c r="D55" s="1639" t="s">
        <v>7750</v>
      </c>
      <c r="E55" s="1944" t="s">
        <v>15003</v>
      </c>
    </row>
    <row r="56" spans="1:8" s="1809" customFormat="1" ht="30" x14ac:dyDescent="0.2">
      <c r="A56" s="1635" t="s">
        <v>7753</v>
      </c>
      <c r="B56" s="1813" t="s">
        <v>7844</v>
      </c>
      <c r="C56" s="1638">
        <v>252</v>
      </c>
      <c r="D56" s="1639" t="s">
        <v>7750</v>
      </c>
      <c r="E56" s="1944" t="s">
        <v>15003</v>
      </c>
    </row>
    <row r="57" spans="1:8" s="1809" customFormat="1" ht="30" x14ac:dyDescent="0.2">
      <c r="A57" s="1635" t="s">
        <v>15169</v>
      </c>
      <c r="B57" s="1813" t="s">
        <v>15170</v>
      </c>
      <c r="C57" s="1638">
        <v>14</v>
      </c>
      <c r="D57" s="1639" t="s">
        <v>7749</v>
      </c>
      <c r="E57" s="1944" t="s">
        <v>15003</v>
      </c>
    </row>
    <row r="58" spans="1:8" s="8" customFormat="1" ht="15" x14ac:dyDescent="0.2">
      <c r="A58" s="1982" t="s">
        <v>0</v>
      </c>
      <c r="B58" s="45" t="s">
        <v>1</v>
      </c>
      <c r="C58" s="1510" t="s">
        <v>131</v>
      </c>
      <c r="D58" s="46" t="s">
        <v>11</v>
      </c>
      <c r="E58" s="1942" t="s">
        <v>14974</v>
      </c>
      <c r="G58" s="1953"/>
      <c r="H58" s="1953"/>
    </row>
    <row r="59" spans="1:8" s="1809" customFormat="1" ht="15" x14ac:dyDescent="0.2">
      <c r="A59" s="1635" t="s">
        <v>7754</v>
      </c>
      <c r="B59" s="1813" t="s">
        <v>7757</v>
      </c>
      <c r="C59" s="1638">
        <v>6552</v>
      </c>
      <c r="D59" s="1639" t="s">
        <v>7750</v>
      </c>
      <c r="E59" s="1944" t="s">
        <v>15003</v>
      </c>
    </row>
    <row r="60" spans="1:8" s="1809" customFormat="1" ht="30" x14ac:dyDescent="0.2">
      <c r="A60" s="1635" t="s">
        <v>7725</v>
      </c>
      <c r="B60" s="1813" t="s">
        <v>15167</v>
      </c>
      <c r="C60" s="1638">
        <v>1</v>
      </c>
      <c r="D60" s="1639" t="s">
        <v>5284</v>
      </c>
      <c r="E60" s="1944" t="s">
        <v>15003</v>
      </c>
    </row>
    <row r="61" spans="1:8" s="1809" customFormat="1" ht="15" x14ac:dyDescent="0.2">
      <c r="A61" s="1635" t="s">
        <v>7839</v>
      </c>
      <c r="B61" s="1813" t="s">
        <v>7727</v>
      </c>
      <c r="C61" s="1638">
        <v>672</v>
      </c>
      <c r="D61" s="1639" t="s">
        <v>7728</v>
      </c>
      <c r="E61" s="1944" t="s">
        <v>15003</v>
      </c>
    </row>
    <row r="62" spans="1:8" s="1809" customFormat="1" ht="15" x14ac:dyDescent="0.2">
      <c r="A62" s="1635" t="s">
        <v>7840</v>
      </c>
      <c r="B62" s="1813" t="s">
        <v>7729</v>
      </c>
      <c r="C62" s="1638">
        <v>84</v>
      </c>
      <c r="D62" s="1639" t="s">
        <v>5286</v>
      </c>
      <c r="E62" s="1944" t="s">
        <v>15003</v>
      </c>
    </row>
    <row r="64" spans="1:8" ht="15" x14ac:dyDescent="0.2">
      <c r="A64" s="2198" t="s">
        <v>9474</v>
      </c>
      <c r="B64" s="2198"/>
      <c r="C64" s="2198"/>
      <c r="D64" s="2198"/>
      <c r="E64" s="2198"/>
    </row>
    <row r="65" spans="1:5" s="8" customFormat="1" ht="15" x14ac:dyDescent="0.2">
      <c r="A65" s="1972" t="s">
        <v>0</v>
      </c>
      <c r="B65" s="45" t="s">
        <v>1</v>
      </c>
      <c r="C65" s="1510" t="s">
        <v>131</v>
      </c>
      <c r="D65" s="46" t="s">
        <v>11</v>
      </c>
      <c r="E65" s="1942" t="s">
        <v>14974</v>
      </c>
    </row>
    <row r="66" spans="1:5" s="1809" customFormat="1" ht="30" x14ac:dyDescent="0.2">
      <c r="A66" s="1635" t="s">
        <v>7822</v>
      </c>
      <c r="B66" s="1813" t="s">
        <v>7823</v>
      </c>
      <c r="C66" s="1638">
        <v>2464.3200000000002</v>
      </c>
      <c r="D66" s="1639" t="s">
        <v>5286</v>
      </c>
      <c r="E66" s="1944" t="s">
        <v>15002</v>
      </c>
    </row>
    <row r="67" spans="1:5" s="1809" customFormat="1" ht="45" x14ac:dyDescent="0.2">
      <c r="A67" s="1635" t="s">
        <v>7341</v>
      </c>
      <c r="B67" s="1813" t="s">
        <v>7339</v>
      </c>
      <c r="C67" s="1638">
        <v>37</v>
      </c>
      <c r="D67" s="1639" t="s">
        <v>5284</v>
      </c>
      <c r="E67" s="1944" t="s">
        <v>15101</v>
      </c>
    </row>
    <row r="68" spans="1:5" s="1809" customFormat="1" ht="75" x14ac:dyDescent="0.2">
      <c r="A68" s="1635" t="s">
        <v>7687</v>
      </c>
      <c r="B68" s="1813" t="s">
        <v>14967</v>
      </c>
      <c r="C68" s="1638">
        <v>416</v>
      </c>
      <c r="D68" s="1639" t="s">
        <v>5284</v>
      </c>
      <c r="E68" s="1944" t="s">
        <v>15004</v>
      </c>
    </row>
    <row r="69" spans="1:5" s="1809" customFormat="1" ht="30" x14ac:dyDescent="0.2">
      <c r="A69" s="1635" t="s">
        <v>8891</v>
      </c>
      <c r="B69" s="1813" t="s">
        <v>8890</v>
      </c>
      <c r="C69" s="1638">
        <v>56.18</v>
      </c>
      <c r="D69" s="1639" t="s">
        <v>5713</v>
      </c>
      <c r="E69" s="1944" t="s">
        <v>14991</v>
      </c>
    </row>
    <row r="70" spans="1:5" s="1809" customFormat="1" ht="30" x14ac:dyDescent="0.2">
      <c r="A70" s="1635" t="s">
        <v>8894</v>
      </c>
      <c r="B70" s="1813" t="s">
        <v>8892</v>
      </c>
      <c r="C70" s="1638">
        <v>1</v>
      </c>
      <c r="D70" s="1639" t="s">
        <v>5284</v>
      </c>
      <c r="E70" s="1944" t="s">
        <v>14991</v>
      </c>
    </row>
    <row r="71" spans="1:5" s="1809" customFormat="1" ht="30" x14ac:dyDescent="0.2">
      <c r="A71" s="1635" t="s">
        <v>9501</v>
      </c>
      <c r="B71" s="1813" t="s">
        <v>9000</v>
      </c>
      <c r="C71" s="1638">
        <v>4</v>
      </c>
      <c r="D71" s="1639" t="s">
        <v>9032</v>
      </c>
      <c r="E71" s="1944" t="s">
        <v>14987</v>
      </c>
    </row>
    <row r="72" spans="1:5" s="1809" customFormat="1" ht="30" x14ac:dyDescent="0.2">
      <c r="A72" s="1635" t="s">
        <v>9502</v>
      </c>
      <c r="B72" s="1813" t="s">
        <v>9001</v>
      </c>
      <c r="C72" s="1638">
        <v>2</v>
      </c>
      <c r="D72" s="1639" t="s">
        <v>9032</v>
      </c>
      <c r="E72" s="1944" t="s">
        <v>14987</v>
      </c>
    </row>
    <row r="73" spans="1:5" s="1809" customFormat="1" ht="30" x14ac:dyDescent="0.2">
      <c r="A73" s="1635" t="s">
        <v>9503</v>
      </c>
      <c r="B73" s="1813" t="s">
        <v>9514</v>
      </c>
      <c r="C73" s="1638">
        <v>79.94</v>
      </c>
      <c r="D73" s="1639" t="s">
        <v>5713</v>
      </c>
      <c r="E73" s="1944" t="s">
        <v>14987</v>
      </c>
    </row>
    <row r="74" spans="1:5" s="1809" customFormat="1" ht="30" x14ac:dyDescent="0.2">
      <c r="A74" s="1635" t="s">
        <v>9504</v>
      </c>
      <c r="B74" s="1813" t="s">
        <v>9002</v>
      </c>
      <c r="C74" s="1638">
        <v>5</v>
      </c>
      <c r="D74" s="1639" t="s">
        <v>5284</v>
      </c>
      <c r="E74" s="1944" t="s">
        <v>14987</v>
      </c>
    </row>
    <row r="75" spans="1:5" s="1809" customFormat="1" ht="30" x14ac:dyDescent="0.2">
      <c r="A75" s="1635" t="s">
        <v>9505</v>
      </c>
      <c r="B75" s="1813" t="s">
        <v>9003</v>
      </c>
      <c r="C75" s="1638">
        <v>3</v>
      </c>
      <c r="D75" s="1639" t="s">
        <v>5284</v>
      </c>
      <c r="E75" s="1944" t="s">
        <v>14987</v>
      </c>
    </row>
    <row r="76" spans="1:5" s="1809" customFormat="1" ht="30" x14ac:dyDescent="0.2">
      <c r="A76" s="1635" t="s">
        <v>9506</v>
      </c>
      <c r="B76" s="1813" t="s">
        <v>9507</v>
      </c>
      <c r="C76" s="1638">
        <v>5</v>
      </c>
      <c r="D76" s="1639" t="s">
        <v>5284</v>
      </c>
      <c r="E76" s="1944" t="s">
        <v>14987</v>
      </c>
    </row>
    <row r="77" spans="1:5" s="1809" customFormat="1" ht="30" x14ac:dyDescent="0.2">
      <c r="A77" s="1635" t="s">
        <v>9512</v>
      </c>
      <c r="B77" s="1813" t="s">
        <v>9004</v>
      </c>
      <c r="C77" s="1638">
        <v>2</v>
      </c>
      <c r="D77" s="1639" t="s">
        <v>5284</v>
      </c>
      <c r="E77" s="1944" t="s">
        <v>14987</v>
      </c>
    </row>
    <row r="78" spans="1:5" s="1809" customFormat="1" ht="45" x14ac:dyDescent="0.2">
      <c r="A78" s="1635" t="s">
        <v>4983</v>
      </c>
      <c r="B78" s="1813" t="s">
        <v>7592</v>
      </c>
      <c r="C78" s="1638">
        <v>201.6</v>
      </c>
      <c r="D78" s="1639" t="s">
        <v>5713</v>
      </c>
      <c r="E78" s="1944" t="s">
        <v>15101</v>
      </c>
    </row>
    <row r="79" spans="1:5" s="1809" customFormat="1" ht="45" x14ac:dyDescent="0.2">
      <c r="A79" s="1635" t="s">
        <v>7330</v>
      </c>
      <c r="B79" s="1813" t="s">
        <v>7302</v>
      </c>
      <c r="C79" s="1638">
        <v>60</v>
      </c>
      <c r="D79" s="1639" t="s">
        <v>5685</v>
      </c>
      <c r="E79" s="1944" t="s">
        <v>15101</v>
      </c>
    </row>
    <row r="80" spans="1:5" s="1809" customFormat="1" ht="30" x14ac:dyDescent="0.2">
      <c r="A80" s="1635" t="s">
        <v>7331</v>
      </c>
      <c r="B80" s="1813" t="s">
        <v>7329</v>
      </c>
      <c r="C80" s="1638">
        <v>112.87</v>
      </c>
      <c r="D80" s="1639" t="s">
        <v>5685</v>
      </c>
      <c r="E80" s="1944" t="s">
        <v>15005</v>
      </c>
    </row>
    <row r="81" spans="1:8" s="1809" customFormat="1" ht="45" x14ac:dyDescent="0.2">
      <c r="A81" s="1635" t="s">
        <v>7290</v>
      </c>
      <c r="B81" s="1813" t="s">
        <v>15156</v>
      </c>
      <c r="C81" s="1638">
        <v>544</v>
      </c>
      <c r="D81" s="1639" t="s">
        <v>5713</v>
      </c>
      <c r="E81" s="1944" t="s">
        <v>15006</v>
      </c>
    </row>
    <row r="82" spans="1:8" s="1809" customFormat="1" ht="30" x14ac:dyDescent="0.2">
      <c r="A82" s="1635" t="s">
        <v>7292</v>
      </c>
      <c r="B82" s="1813" t="s">
        <v>7291</v>
      </c>
      <c r="C82" s="1638">
        <v>2355</v>
      </c>
      <c r="D82" s="1639" t="s">
        <v>5688</v>
      </c>
      <c r="E82" s="1944" t="s">
        <v>15006</v>
      </c>
    </row>
    <row r="83" spans="1:8" s="1809" customFormat="1" ht="30" x14ac:dyDescent="0.2">
      <c r="A83" s="1635" t="s">
        <v>7293</v>
      </c>
      <c r="B83" s="1813" t="s">
        <v>7407</v>
      </c>
      <c r="C83" s="1638">
        <v>768</v>
      </c>
      <c r="D83" s="1639" t="s">
        <v>5688</v>
      </c>
      <c r="E83" s="1944" t="s">
        <v>15006</v>
      </c>
    </row>
    <row r="84" spans="1:8" s="1809" customFormat="1" ht="30" x14ac:dyDescent="0.2">
      <c r="A84" s="1635" t="s">
        <v>7295</v>
      </c>
      <c r="B84" s="1813" t="s">
        <v>14960</v>
      </c>
      <c r="C84" s="1638">
        <v>68</v>
      </c>
      <c r="D84" s="1639" t="s">
        <v>5284</v>
      </c>
      <c r="E84" s="1944" t="s">
        <v>15006</v>
      </c>
    </row>
    <row r="85" spans="1:8" s="8" customFormat="1" ht="15" x14ac:dyDescent="0.2">
      <c r="A85" s="1982" t="s">
        <v>0</v>
      </c>
      <c r="B85" s="45" t="s">
        <v>1</v>
      </c>
      <c r="C85" s="1510" t="s">
        <v>131</v>
      </c>
      <c r="D85" s="46" t="s">
        <v>11</v>
      </c>
      <c r="E85" s="1942" t="s">
        <v>14974</v>
      </c>
      <c r="G85" s="1953"/>
      <c r="H85" s="1953"/>
    </row>
    <row r="86" spans="1:8" s="1809" customFormat="1" ht="30" x14ac:dyDescent="0.2">
      <c r="A86" s="1635" t="s">
        <v>7298</v>
      </c>
      <c r="B86" s="1813" t="s">
        <v>7301</v>
      </c>
      <c r="C86" s="1638">
        <v>60</v>
      </c>
      <c r="D86" s="1639" t="s">
        <v>5286</v>
      </c>
      <c r="E86" s="1944" t="s">
        <v>14996</v>
      </c>
    </row>
    <row r="87" spans="1:8" s="1809" customFormat="1" ht="45" x14ac:dyDescent="0.2">
      <c r="A87" s="1635" t="s">
        <v>7299</v>
      </c>
      <c r="B87" s="1813" t="s">
        <v>7303</v>
      </c>
      <c r="C87" s="1638">
        <v>168</v>
      </c>
      <c r="D87" s="1639" t="s">
        <v>5286</v>
      </c>
      <c r="E87" s="1944" t="s">
        <v>15101</v>
      </c>
    </row>
    <row r="88" spans="1:8" s="1809" customFormat="1" ht="30" x14ac:dyDescent="0.2">
      <c r="A88" s="1635" t="s">
        <v>7304</v>
      </c>
      <c r="B88" s="1813" t="s">
        <v>7307</v>
      </c>
      <c r="C88" s="1638">
        <v>369.26363636363635</v>
      </c>
      <c r="D88" s="1639" t="s">
        <v>5688</v>
      </c>
      <c r="E88" s="1944" t="s">
        <v>15008</v>
      </c>
    </row>
    <row r="89" spans="1:8" s="1809" customFormat="1" ht="30" x14ac:dyDescent="0.2">
      <c r="A89" s="1635" t="s">
        <v>7305</v>
      </c>
      <c r="B89" s="1813" t="s">
        <v>7308</v>
      </c>
      <c r="C89" s="1638">
        <v>1641.9909090909091</v>
      </c>
      <c r="D89" s="1639" t="s">
        <v>5688</v>
      </c>
      <c r="E89" s="1944" t="s">
        <v>15008</v>
      </c>
    </row>
    <row r="90" spans="1:8" s="1809" customFormat="1" ht="30" x14ac:dyDescent="0.2">
      <c r="A90" s="1635" t="s">
        <v>7306</v>
      </c>
      <c r="B90" s="1813" t="s">
        <v>7309</v>
      </c>
      <c r="C90" s="1638">
        <v>1320.9999999999998</v>
      </c>
      <c r="D90" s="1639" t="s">
        <v>5688</v>
      </c>
      <c r="E90" s="1944" t="s">
        <v>15008</v>
      </c>
    </row>
    <row r="91" spans="1:8" s="1809" customFormat="1" ht="45" x14ac:dyDescent="0.2">
      <c r="A91" s="1635" t="s">
        <v>7300</v>
      </c>
      <c r="B91" s="1813" t="s">
        <v>7310</v>
      </c>
      <c r="C91" s="1638">
        <v>60</v>
      </c>
      <c r="D91" s="1639" t="s">
        <v>5685</v>
      </c>
      <c r="E91" s="1944" t="s">
        <v>15007</v>
      </c>
    </row>
    <row r="92" spans="1:8" s="1809" customFormat="1" ht="45" x14ac:dyDescent="0.2">
      <c r="A92" s="1635" t="s">
        <v>7315</v>
      </c>
      <c r="B92" s="1813" t="s">
        <v>7314</v>
      </c>
      <c r="C92" s="1638">
        <v>1182.8599999999999</v>
      </c>
      <c r="D92" s="1639" t="s">
        <v>5286</v>
      </c>
      <c r="E92" s="1944" t="s">
        <v>15009</v>
      </c>
    </row>
    <row r="93" spans="1:8" s="1809" customFormat="1" ht="30" x14ac:dyDescent="0.2">
      <c r="A93" s="1635" t="s">
        <v>7320</v>
      </c>
      <c r="B93" s="1813" t="s">
        <v>7826</v>
      </c>
      <c r="C93" s="1638">
        <v>54.690909090909081</v>
      </c>
      <c r="D93" s="1639" t="s">
        <v>5688</v>
      </c>
      <c r="E93" s="1944" t="s">
        <v>15010</v>
      </c>
    </row>
    <row r="94" spans="1:8" s="1809" customFormat="1" ht="30" x14ac:dyDescent="0.2">
      <c r="A94" s="1635" t="s">
        <v>7321</v>
      </c>
      <c r="B94" s="1813" t="s">
        <v>7319</v>
      </c>
      <c r="C94" s="1638">
        <v>1311.6909090909091</v>
      </c>
      <c r="D94" s="1639" t="s">
        <v>5688</v>
      </c>
      <c r="E94" s="1944" t="s">
        <v>15010</v>
      </c>
    </row>
    <row r="95" spans="1:8" s="1809" customFormat="1" ht="30" x14ac:dyDescent="0.2">
      <c r="A95" s="1635" t="s">
        <v>7322</v>
      </c>
      <c r="B95" s="1813" t="s">
        <v>7316</v>
      </c>
      <c r="C95" s="1638">
        <v>3066.6272727272726</v>
      </c>
      <c r="D95" s="1639" t="s">
        <v>5688</v>
      </c>
      <c r="E95" s="1944" t="s">
        <v>15010</v>
      </c>
    </row>
    <row r="96" spans="1:8" s="1809" customFormat="1" ht="30" x14ac:dyDescent="0.2">
      <c r="A96" s="1635" t="s">
        <v>7323</v>
      </c>
      <c r="B96" s="1813" t="s">
        <v>7307</v>
      </c>
      <c r="C96" s="1638">
        <v>282.9909090909091</v>
      </c>
      <c r="D96" s="1639" t="s">
        <v>5688</v>
      </c>
      <c r="E96" s="1944" t="s">
        <v>15010</v>
      </c>
    </row>
    <row r="97" spans="1:8" s="1809" customFormat="1" ht="30" x14ac:dyDescent="0.2">
      <c r="A97" s="1635" t="s">
        <v>7324</v>
      </c>
      <c r="B97" s="1813" t="s">
        <v>7308</v>
      </c>
      <c r="C97" s="1638">
        <v>261.99099099099101</v>
      </c>
      <c r="D97" s="1639" t="s">
        <v>5688</v>
      </c>
      <c r="E97" s="1944" t="s">
        <v>15010</v>
      </c>
    </row>
    <row r="98" spans="1:8" s="1809" customFormat="1" ht="30" x14ac:dyDescent="0.2">
      <c r="A98" s="1635" t="s">
        <v>7325</v>
      </c>
      <c r="B98" s="1813" t="s">
        <v>7317</v>
      </c>
      <c r="C98" s="1638">
        <v>1139.2727272727273</v>
      </c>
      <c r="D98" s="1639" t="s">
        <v>5688</v>
      </c>
      <c r="E98" s="1944" t="s">
        <v>15010</v>
      </c>
    </row>
    <row r="99" spans="1:8" s="1809" customFormat="1" ht="30" x14ac:dyDescent="0.2">
      <c r="A99" s="1635" t="s">
        <v>7326</v>
      </c>
      <c r="B99" s="1813" t="s">
        <v>7309</v>
      </c>
      <c r="C99" s="1638">
        <v>1630.1909090909089</v>
      </c>
      <c r="D99" s="1639" t="s">
        <v>5688</v>
      </c>
      <c r="E99" s="1944" t="s">
        <v>15010</v>
      </c>
    </row>
    <row r="100" spans="1:8" s="1809" customFormat="1" ht="30" x14ac:dyDescent="0.2">
      <c r="A100" s="1635" t="s">
        <v>7825</v>
      </c>
      <c r="B100" s="1813" t="s">
        <v>7318</v>
      </c>
      <c r="C100" s="1638">
        <v>2142.136363636364</v>
      </c>
      <c r="D100" s="1639" t="s">
        <v>5688</v>
      </c>
      <c r="E100" s="1944" t="s">
        <v>15010</v>
      </c>
    </row>
    <row r="101" spans="1:8" s="1809" customFormat="1" ht="45" x14ac:dyDescent="0.2">
      <c r="A101" s="1635" t="s">
        <v>7328</v>
      </c>
      <c r="B101" s="1813" t="s">
        <v>7327</v>
      </c>
      <c r="C101" s="1638">
        <v>112.87</v>
      </c>
      <c r="D101" s="1639" t="s">
        <v>5685</v>
      </c>
      <c r="E101" s="1944" t="s">
        <v>15005</v>
      </c>
    </row>
    <row r="102" spans="1:8" s="1809" customFormat="1" ht="45" x14ac:dyDescent="0.2">
      <c r="A102" s="1635" t="s">
        <v>7453</v>
      </c>
      <c r="B102" s="1813" t="s">
        <v>7452</v>
      </c>
      <c r="C102" s="1638">
        <v>1075.99</v>
      </c>
      <c r="D102" s="1639" t="s">
        <v>5286</v>
      </c>
      <c r="E102" s="1944" t="s">
        <v>15101</v>
      </c>
    </row>
    <row r="103" spans="1:8" s="1809" customFormat="1" ht="60" x14ac:dyDescent="0.2">
      <c r="A103" s="1635" t="s">
        <v>5694</v>
      </c>
      <c r="B103" s="1813" t="s">
        <v>5690</v>
      </c>
      <c r="C103" s="1638">
        <v>38.619999999999997</v>
      </c>
      <c r="D103" s="1639" t="s">
        <v>5286</v>
      </c>
      <c r="E103" s="1944" t="s">
        <v>15101</v>
      </c>
    </row>
    <row r="104" spans="1:8" s="1809" customFormat="1" ht="45" x14ac:dyDescent="0.2">
      <c r="A104" s="1635" t="s">
        <v>6719</v>
      </c>
      <c r="B104" s="1813" t="s">
        <v>5691</v>
      </c>
      <c r="C104" s="1638">
        <v>641.81818181818176</v>
      </c>
      <c r="D104" s="1639" t="s">
        <v>5688</v>
      </c>
      <c r="E104" s="1944" t="s">
        <v>15011</v>
      </c>
    </row>
    <row r="105" spans="1:8" s="1809" customFormat="1" ht="45" x14ac:dyDescent="0.2">
      <c r="A105" s="1635" t="s">
        <v>6720</v>
      </c>
      <c r="B105" s="1813" t="s">
        <v>5692</v>
      </c>
      <c r="C105" s="1638">
        <v>243.27</v>
      </c>
      <c r="D105" s="1639" t="s">
        <v>5688</v>
      </c>
      <c r="E105" s="1944" t="s">
        <v>15011</v>
      </c>
    </row>
    <row r="106" spans="1:8" s="1809" customFormat="1" ht="45" x14ac:dyDescent="0.2">
      <c r="A106" s="1635" t="s">
        <v>9497</v>
      </c>
      <c r="B106" s="1813" t="s">
        <v>9509</v>
      </c>
      <c r="C106" s="1638">
        <v>6.32</v>
      </c>
      <c r="D106" s="1639" t="s">
        <v>5685</v>
      </c>
      <c r="E106" s="1944" t="s">
        <v>15101</v>
      </c>
    </row>
    <row r="107" spans="1:8" s="8" customFormat="1" ht="15" x14ac:dyDescent="0.2">
      <c r="A107" s="1982" t="s">
        <v>0</v>
      </c>
      <c r="B107" s="45" t="s">
        <v>1</v>
      </c>
      <c r="C107" s="1510" t="s">
        <v>131</v>
      </c>
      <c r="D107" s="46" t="s">
        <v>11</v>
      </c>
      <c r="E107" s="1942" t="s">
        <v>14974</v>
      </c>
      <c r="G107" s="1953"/>
      <c r="H107" s="1953"/>
    </row>
    <row r="108" spans="1:8" s="1809" customFormat="1" ht="45" x14ac:dyDescent="0.2">
      <c r="A108" s="1635" t="s">
        <v>9498</v>
      </c>
      <c r="B108" s="1813" t="s">
        <v>9499</v>
      </c>
      <c r="C108" s="1638">
        <v>6.32</v>
      </c>
      <c r="D108" s="1639" t="s">
        <v>5685</v>
      </c>
      <c r="E108" s="1944" t="s">
        <v>15101</v>
      </c>
    </row>
    <row r="109" spans="1:8" s="1809" customFormat="1" ht="75" x14ac:dyDescent="0.2">
      <c r="A109" s="1635" t="s">
        <v>15013</v>
      </c>
      <c r="B109" s="1813" t="s">
        <v>5883</v>
      </c>
      <c r="C109" s="1638">
        <v>591.16999999999996</v>
      </c>
      <c r="D109" s="1639" t="s">
        <v>5286</v>
      </c>
      <c r="E109" s="1944" t="s">
        <v>15101</v>
      </c>
    </row>
    <row r="110" spans="1:8" s="1809" customFormat="1" ht="45" x14ac:dyDescent="0.2">
      <c r="A110" s="1635" t="s">
        <v>15014</v>
      </c>
      <c r="B110" s="1813" t="s">
        <v>8274</v>
      </c>
      <c r="C110" s="1638">
        <v>400.24600000000004</v>
      </c>
      <c r="D110" s="1639" t="s">
        <v>5688</v>
      </c>
      <c r="E110" s="1944" t="s">
        <v>15101</v>
      </c>
    </row>
    <row r="111" spans="1:8" s="1809" customFormat="1" ht="45" x14ac:dyDescent="0.2">
      <c r="A111" s="1635" t="s">
        <v>15015</v>
      </c>
      <c r="B111" s="1813" t="s">
        <v>5884</v>
      </c>
      <c r="C111" s="1638">
        <v>26.69</v>
      </c>
      <c r="D111" s="1639" t="s">
        <v>5685</v>
      </c>
      <c r="E111" s="1944" t="s">
        <v>15101</v>
      </c>
    </row>
    <row r="112" spans="1:8" s="1809" customFormat="1" ht="45" x14ac:dyDescent="0.2">
      <c r="A112" s="1635" t="s">
        <v>5700</v>
      </c>
      <c r="B112" s="1813" t="s">
        <v>7890</v>
      </c>
      <c r="C112" s="1638">
        <v>31.76</v>
      </c>
      <c r="D112" s="1639" t="s">
        <v>5685</v>
      </c>
      <c r="E112" s="1944" t="s">
        <v>15101</v>
      </c>
    </row>
    <row r="113" spans="1:8" s="1809" customFormat="1" ht="45" x14ac:dyDescent="0.2">
      <c r="A113" s="1635" t="s">
        <v>5701</v>
      </c>
      <c r="B113" s="1813" t="s">
        <v>7889</v>
      </c>
      <c r="C113" s="1638">
        <v>175.08</v>
      </c>
      <c r="D113" s="1639" t="s">
        <v>5685</v>
      </c>
      <c r="E113" s="1944" t="s">
        <v>15101</v>
      </c>
    </row>
    <row r="114" spans="1:8" s="1809" customFormat="1" ht="45" x14ac:dyDescent="0.2">
      <c r="A114" s="1635" t="s">
        <v>5702</v>
      </c>
      <c r="B114" s="1813" t="s">
        <v>7891</v>
      </c>
      <c r="C114" s="1638">
        <v>1931.39</v>
      </c>
      <c r="D114" s="1639" t="s">
        <v>5286</v>
      </c>
      <c r="E114" s="1944" t="s">
        <v>15101</v>
      </c>
    </row>
    <row r="115" spans="1:8" s="1809" customFormat="1" ht="45" x14ac:dyDescent="0.2">
      <c r="A115" s="1635" t="s">
        <v>7864</v>
      </c>
      <c r="B115" s="1813" t="s">
        <v>7863</v>
      </c>
      <c r="C115" s="1638">
        <v>525.08000000000004</v>
      </c>
      <c r="D115" s="1639" t="s">
        <v>5688</v>
      </c>
      <c r="E115" s="1944" t="s">
        <v>15101</v>
      </c>
    </row>
    <row r="116" spans="1:8" s="1809" customFormat="1" ht="45" x14ac:dyDescent="0.2">
      <c r="A116" s="1635" t="s">
        <v>7866</v>
      </c>
      <c r="B116" s="1813" t="s">
        <v>7865</v>
      </c>
      <c r="C116" s="1638">
        <v>527.82000000000005</v>
      </c>
      <c r="D116" s="1639" t="s">
        <v>5688</v>
      </c>
      <c r="E116" s="1944" t="s">
        <v>15101</v>
      </c>
    </row>
    <row r="117" spans="1:8" s="1809" customFormat="1" ht="30" x14ac:dyDescent="0.2">
      <c r="A117" s="1635" t="s">
        <v>7867</v>
      </c>
      <c r="B117" s="1813" t="s">
        <v>7872</v>
      </c>
      <c r="C117" s="1638">
        <v>879.5</v>
      </c>
      <c r="D117" s="1639" t="s">
        <v>5286</v>
      </c>
      <c r="E117" s="1944" t="s">
        <v>15102</v>
      </c>
    </row>
    <row r="118" spans="1:8" s="1809" customFormat="1" ht="60" x14ac:dyDescent="0.2">
      <c r="A118" s="1635" t="s">
        <v>7868</v>
      </c>
      <c r="B118" s="1813" t="s">
        <v>7819</v>
      </c>
      <c r="C118" s="1638">
        <v>560</v>
      </c>
      <c r="D118" s="1639" t="s">
        <v>5688</v>
      </c>
      <c r="E118" s="1944" t="s">
        <v>15103</v>
      </c>
    </row>
    <row r="119" spans="1:8" s="1809" customFormat="1" ht="45" x14ac:dyDescent="0.2">
      <c r="A119" s="1635" t="s">
        <v>7871</v>
      </c>
      <c r="B119" s="1813" t="s">
        <v>7879</v>
      </c>
      <c r="C119" s="1638">
        <v>278</v>
      </c>
      <c r="D119" s="1639" t="s">
        <v>5284</v>
      </c>
      <c r="E119" s="1944" t="s">
        <v>15104</v>
      </c>
    </row>
    <row r="120" spans="1:8" s="1809" customFormat="1" ht="45" x14ac:dyDescent="0.2">
      <c r="A120" s="1635" t="s">
        <v>7882</v>
      </c>
      <c r="B120" s="1813" t="s">
        <v>7883</v>
      </c>
      <c r="C120" s="1638">
        <v>7104</v>
      </c>
      <c r="D120" s="1639" t="s">
        <v>7880</v>
      </c>
      <c r="E120" s="1944" t="s">
        <v>15101</v>
      </c>
    </row>
    <row r="121" spans="1:8" s="1809" customFormat="1" ht="45" x14ac:dyDescent="0.2">
      <c r="A121" s="1635" t="s">
        <v>9490</v>
      </c>
      <c r="B121" s="1813" t="s">
        <v>9496</v>
      </c>
      <c r="C121" s="1638">
        <v>743.18</v>
      </c>
      <c r="D121" s="1639" t="s">
        <v>9491</v>
      </c>
      <c r="E121" s="1944" t="s">
        <v>15101</v>
      </c>
    </row>
    <row r="122" spans="1:8" s="1809" customFormat="1" ht="45" x14ac:dyDescent="0.2">
      <c r="A122" s="1635" t="s">
        <v>6721</v>
      </c>
      <c r="B122" s="1813" t="s">
        <v>5707</v>
      </c>
      <c r="C122" s="1638">
        <v>1031.28</v>
      </c>
      <c r="D122" s="1639" t="s">
        <v>5286</v>
      </c>
      <c r="E122" s="1944" t="s">
        <v>15101</v>
      </c>
    </row>
    <row r="123" spans="1:8" s="1809" customFormat="1" ht="45" x14ac:dyDescent="0.2">
      <c r="A123" s="1635" t="s">
        <v>6722</v>
      </c>
      <c r="B123" s="1813" t="s">
        <v>5708</v>
      </c>
      <c r="C123" s="1638">
        <v>931.59</v>
      </c>
      <c r="D123" s="1639" t="s">
        <v>5286</v>
      </c>
      <c r="E123" s="1944" t="s">
        <v>15101</v>
      </c>
    </row>
    <row r="124" spans="1:8" s="1809" customFormat="1" ht="45" x14ac:dyDescent="0.2">
      <c r="A124" s="1635" t="s">
        <v>6723</v>
      </c>
      <c r="B124" s="1813" t="s">
        <v>5709</v>
      </c>
      <c r="C124" s="1638">
        <v>33.5</v>
      </c>
      <c r="D124" s="1639" t="s">
        <v>5286</v>
      </c>
      <c r="E124" s="1944" t="s">
        <v>15101</v>
      </c>
    </row>
    <row r="125" spans="1:8" s="8" customFormat="1" ht="15" x14ac:dyDescent="0.2">
      <c r="A125" s="1982" t="s">
        <v>0</v>
      </c>
      <c r="B125" s="45" t="s">
        <v>1</v>
      </c>
      <c r="C125" s="1510" t="s">
        <v>131</v>
      </c>
      <c r="D125" s="46" t="s">
        <v>11</v>
      </c>
      <c r="E125" s="1942" t="s">
        <v>14974</v>
      </c>
      <c r="G125" s="1953"/>
      <c r="H125" s="1953"/>
    </row>
    <row r="126" spans="1:8" s="1809" customFormat="1" ht="45" x14ac:dyDescent="0.2">
      <c r="A126" s="1635" t="s">
        <v>6724</v>
      </c>
      <c r="B126" s="1813" t="s">
        <v>5710</v>
      </c>
      <c r="C126" s="1638">
        <v>424.87</v>
      </c>
      <c r="D126" s="1639" t="s">
        <v>5713</v>
      </c>
      <c r="E126" s="1944" t="s">
        <v>15101</v>
      </c>
    </row>
    <row r="127" spans="1:8" s="1809" customFormat="1" ht="45" x14ac:dyDescent="0.2">
      <c r="A127" s="1635" t="s">
        <v>6725</v>
      </c>
      <c r="B127" s="1813" t="s">
        <v>5711</v>
      </c>
      <c r="C127" s="1638">
        <v>176.16</v>
      </c>
      <c r="D127" s="1639" t="s">
        <v>5713</v>
      </c>
      <c r="E127" s="1944" t="s">
        <v>15101</v>
      </c>
    </row>
    <row r="128" spans="1:8" s="1809" customFormat="1" ht="45" x14ac:dyDescent="0.2">
      <c r="A128" s="1635" t="s">
        <v>6726</v>
      </c>
      <c r="B128" s="1813" t="s">
        <v>6664</v>
      </c>
      <c r="C128" s="1638">
        <v>310.2</v>
      </c>
      <c r="D128" s="1639" t="s">
        <v>5713</v>
      </c>
      <c r="E128" s="1944" t="s">
        <v>15101</v>
      </c>
    </row>
    <row r="129" spans="1:8" s="1809" customFormat="1" ht="45" x14ac:dyDescent="0.2">
      <c r="A129" s="1635" t="s">
        <v>6727</v>
      </c>
      <c r="B129" s="1813" t="s">
        <v>5712</v>
      </c>
      <c r="C129" s="1638">
        <v>424.87</v>
      </c>
      <c r="D129" s="1639" t="s">
        <v>5713</v>
      </c>
      <c r="E129" s="1944" t="s">
        <v>15101</v>
      </c>
    </row>
    <row r="130" spans="1:8" s="1809" customFormat="1" ht="30" x14ac:dyDescent="0.2">
      <c r="A130" s="1635" t="s">
        <v>5715</v>
      </c>
      <c r="B130" s="1813" t="s">
        <v>5716</v>
      </c>
      <c r="C130" s="1638">
        <v>45.4</v>
      </c>
      <c r="D130" s="1639" t="s">
        <v>5286</v>
      </c>
      <c r="E130" s="1944" t="s">
        <v>15105</v>
      </c>
    </row>
    <row r="131" spans="1:8" s="1809" customFormat="1" ht="45" x14ac:dyDescent="0.2">
      <c r="A131" s="1635" t="s">
        <v>5903</v>
      </c>
      <c r="B131" s="1813" t="s">
        <v>7901</v>
      </c>
      <c r="C131" s="1638">
        <v>61.15</v>
      </c>
      <c r="D131" s="1639" t="s">
        <v>5286</v>
      </c>
      <c r="E131" s="1944" t="s">
        <v>15101</v>
      </c>
    </row>
    <row r="132" spans="1:8" s="1809" customFormat="1" ht="45" x14ac:dyDescent="0.2">
      <c r="A132" s="1635" t="s">
        <v>6731</v>
      </c>
      <c r="B132" s="1813" t="s">
        <v>5717</v>
      </c>
      <c r="C132" s="1638">
        <v>332.77</v>
      </c>
      <c r="D132" s="1639" t="s">
        <v>5286</v>
      </c>
      <c r="E132" s="1944" t="s">
        <v>15101</v>
      </c>
    </row>
    <row r="133" spans="1:8" s="1809" customFormat="1" ht="30" x14ac:dyDescent="0.2">
      <c r="A133" s="1635" t="s">
        <v>6732</v>
      </c>
      <c r="B133" s="1813" t="s">
        <v>5718</v>
      </c>
      <c r="C133" s="1638">
        <v>332.77</v>
      </c>
      <c r="D133" s="1639" t="s">
        <v>5286</v>
      </c>
      <c r="E133" s="1944" t="s">
        <v>15025</v>
      </c>
    </row>
    <row r="134" spans="1:8" s="1809" customFormat="1" ht="60" x14ac:dyDescent="0.2">
      <c r="A134" s="1635" t="s">
        <v>6733</v>
      </c>
      <c r="B134" s="1813" t="s">
        <v>5721</v>
      </c>
      <c r="C134" s="1638">
        <v>16</v>
      </c>
      <c r="D134" s="1639" t="s">
        <v>5284</v>
      </c>
      <c r="E134" s="1944" t="s">
        <v>15106</v>
      </c>
    </row>
    <row r="135" spans="1:8" s="1809" customFormat="1" ht="60" x14ac:dyDescent="0.2">
      <c r="A135" s="1635" t="s">
        <v>6734</v>
      </c>
      <c r="B135" s="1813" t="s">
        <v>5722</v>
      </c>
      <c r="C135" s="1638">
        <v>6</v>
      </c>
      <c r="D135" s="1639" t="s">
        <v>5284</v>
      </c>
      <c r="E135" s="1944" t="s">
        <v>15106</v>
      </c>
    </row>
    <row r="136" spans="1:8" s="1809" customFormat="1" ht="75" x14ac:dyDescent="0.2">
      <c r="A136" s="1635" t="s">
        <v>6735</v>
      </c>
      <c r="B136" s="1813" t="s">
        <v>5723</v>
      </c>
      <c r="C136" s="1638">
        <v>1</v>
      </c>
      <c r="D136" s="1639" t="s">
        <v>5284</v>
      </c>
      <c r="E136" s="1944" t="s">
        <v>15106</v>
      </c>
    </row>
    <row r="137" spans="1:8" s="1809" customFormat="1" ht="60" x14ac:dyDescent="0.2">
      <c r="A137" s="1635" t="s">
        <v>6736</v>
      </c>
      <c r="B137" s="1813" t="s">
        <v>15028</v>
      </c>
      <c r="C137" s="1638">
        <v>1</v>
      </c>
      <c r="D137" s="1639" t="s">
        <v>5284</v>
      </c>
      <c r="E137" s="1944" t="s">
        <v>15106</v>
      </c>
    </row>
    <row r="138" spans="1:8" s="1809" customFormat="1" ht="75" x14ac:dyDescent="0.2">
      <c r="A138" s="1635" t="s">
        <v>6737</v>
      </c>
      <c r="B138" s="1813" t="s">
        <v>15029</v>
      </c>
      <c r="C138" s="1638">
        <v>1</v>
      </c>
      <c r="D138" s="1639" t="s">
        <v>5284</v>
      </c>
      <c r="E138" s="1944" t="s">
        <v>15106</v>
      </c>
    </row>
    <row r="139" spans="1:8" s="1809" customFormat="1" ht="45" x14ac:dyDescent="0.2">
      <c r="A139" s="1635" t="s">
        <v>15031</v>
      </c>
      <c r="B139" s="1813" t="s">
        <v>5724</v>
      </c>
      <c r="C139" s="1638">
        <v>5</v>
      </c>
      <c r="D139" s="1639" t="s">
        <v>5284</v>
      </c>
      <c r="E139" s="1944" t="s">
        <v>15106</v>
      </c>
    </row>
    <row r="140" spans="1:8" s="1809" customFormat="1" ht="60" x14ac:dyDescent="0.2">
      <c r="A140" s="1635" t="s">
        <v>6738</v>
      </c>
      <c r="B140" s="1813" t="s">
        <v>5730</v>
      </c>
      <c r="C140" s="1638">
        <v>1</v>
      </c>
      <c r="D140" s="1639" t="s">
        <v>5284</v>
      </c>
      <c r="E140" s="1944" t="s">
        <v>15106</v>
      </c>
    </row>
    <row r="141" spans="1:8" s="8" customFormat="1" ht="15" x14ac:dyDescent="0.2">
      <c r="A141" s="1982" t="s">
        <v>0</v>
      </c>
      <c r="B141" s="45" t="s">
        <v>1</v>
      </c>
      <c r="C141" s="1510" t="s">
        <v>131</v>
      </c>
      <c r="D141" s="46" t="s">
        <v>11</v>
      </c>
      <c r="E141" s="1942" t="s">
        <v>14974</v>
      </c>
      <c r="G141" s="1953"/>
      <c r="H141" s="1953"/>
    </row>
    <row r="142" spans="1:8" s="1809" customFormat="1" ht="60" x14ac:dyDescent="0.2">
      <c r="A142" s="1635" t="s">
        <v>6739</v>
      </c>
      <c r="B142" s="1813" t="s">
        <v>5731</v>
      </c>
      <c r="C142" s="1638">
        <v>2</v>
      </c>
      <c r="D142" s="1639" t="s">
        <v>5284</v>
      </c>
      <c r="E142" s="1944" t="s">
        <v>15106</v>
      </c>
    </row>
    <row r="143" spans="1:8" s="1809" customFormat="1" ht="30" x14ac:dyDescent="0.2">
      <c r="A143" s="1635" t="s">
        <v>6740</v>
      </c>
      <c r="B143" s="1813" t="s">
        <v>7829</v>
      </c>
      <c r="C143" s="1638">
        <v>1</v>
      </c>
      <c r="D143" s="1639" t="s">
        <v>5284</v>
      </c>
      <c r="E143" s="1944" t="s">
        <v>15106</v>
      </c>
    </row>
    <row r="144" spans="1:8" s="1809" customFormat="1" ht="30" x14ac:dyDescent="0.2">
      <c r="A144" s="1635" t="s">
        <v>6741</v>
      </c>
      <c r="B144" s="1813" t="s">
        <v>7830</v>
      </c>
      <c r="C144" s="1638">
        <v>3</v>
      </c>
      <c r="D144" s="1639" t="s">
        <v>5284</v>
      </c>
      <c r="E144" s="1944" t="s">
        <v>15106</v>
      </c>
    </row>
    <row r="145" spans="1:8" s="1809" customFormat="1" ht="30" x14ac:dyDescent="0.2">
      <c r="A145" s="1635" t="s">
        <v>6742</v>
      </c>
      <c r="B145" s="1813" t="s">
        <v>7831</v>
      </c>
      <c r="C145" s="1638">
        <v>2</v>
      </c>
      <c r="D145" s="1639" t="s">
        <v>5284</v>
      </c>
      <c r="E145" s="1944" t="s">
        <v>15106</v>
      </c>
    </row>
    <row r="146" spans="1:8" s="1809" customFormat="1" ht="45" x14ac:dyDescent="0.2">
      <c r="A146" s="1635" t="s">
        <v>7828</v>
      </c>
      <c r="B146" s="1813" t="s">
        <v>7832</v>
      </c>
      <c r="C146" s="1638">
        <v>4</v>
      </c>
      <c r="D146" s="1639" t="s">
        <v>5284</v>
      </c>
      <c r="E146" s="1944" t="s">
        <v>15106</v>
      </c>
    </row>
    <row r="147" spans="1:8" s="1809" customFormat="1" ht="45" x14ac:dyDescent="0.2">
      <c r="A147" s="1635" t="s">
        <v>6743</v>
      </c>
      <c r="B147" s="1813" t="s">
        <v>5738</v>
      </c>
      <c r="C147" s="1638">
        <v>8</v>
      </c>
      <c r="D147" s="1639" t="s">
        <v>5284</v>
      </c>
      <c r="E147" s="1944" t="s">
        <v>15106</v>
      </c>
    </row>
    <row r="148" spans="1:8" s="1809" customFormat="1" ht="45" x14ac:dyDescent="0.2">
      <c r="A148" s="1635" t="s">
        <v>6744</v>
      </c>
      <c r="B148" s="1813" t="s">
        <v>5739</v>
      </c>
      <c r="C148" s="1638">
        <v>8</v>
      </c>
      <c r="D148" s="1639" t="s">
        <v>5284</v>
      </c>
      <c r="E148" s="1944" t="s">
        <v>15106</v>
      </c>
    </row>
    <row r="149" spans="1:8" s="1809" customFormat="1" ht="45" x14ac:dyDescent="0.2">
      <c r="A149" s="1635" t="s">
        <v>6745</v>
      </c>
      <c r="B149" s="1813" t="s">
        <v>5740</v>
      </c>
      <c r="C149" s="1638">
        <v>6</v>
      </c>
      <c r="D149" s="1639" t="s">
        <v>5284</v>
      </c>
      <c r="E149" s="1944" t="s">
        <v>15106</v>
      </c>
    </row>
    <row r="150" spans="1:8" s="1809" customFormat="1" ht="45" x14ac:dyDescent="0.2">
      <c r="A150" s="1635" t="s">
        <v>6746</v>
      </c>
      <c r="B150" s="1813" t="s">
        <v>9529</v>
      </c>
      <c r="C150" s="1638">
        <v>2</v>
      </c>
      <c r="D150" s="1639" t="s">
        <v>5284</v>
      </c>
      <c r="E150" s="1944" t="s">
        <v>15106</v>
      </c>
    </row>
    <row r="151" spans="1:8" s="1809" customFormat="1" ht="45" x14ac:dyDescent="0.2">
      <c r="A151" s="1635" t="s">
        <v>6666</v>
      </c>
      <c r="B151" s="1813" t="s">
        <v>15032</v>
      </c>
      <c r="C151" s="1638">
        <v>1</v>
      </c>
      <c r="D151" s="1639" t="s">
        <v>5284</v>
      </c>
      <c r="E151" s="1944" t="s">
        <v>15106</v>
      </c>
    </row>
    <row r="152" spans="1:8" s="1809" customFormat="1" ht="90" x14ac:dyDescent="0.2">
      <c r="A152" s="1635" t="s">
        <v>6747</v>
      </c>
      <c r="B152" s="1813" t="s">
        <v>5741</v>
      </c>
      <c r="C152" s="1638">
        <v>6</v>
      </c>
      <c r="D152" s="1639" t="s">
        <v>5284</v>
      </c>
      <c r="E152" s="1944" t="s">
        <v>15106</v>
      </c>
    </row>
    <row r="153" spans="1:8" s="1809" customFormat="1" ht="105" x14ac:dyDescent="0.2">
      <c r="A153" s="1635" t="s">
        <v>6748</v>
      </c>
      <c r="B153" s="1813" t="s">
        <v>5742</v>
      </c>
      <c r="C153" s="1638">
        <v>4</v>
      </c>
      <c r="D153" s="1639" t="s">
        <v>5284</v>
      </c>
      <c r="E153" s="1944" t="s">
        <v>15106</v>
      </c>
    </row>
    <row r="154" spans="1:8" s="1809" customFormat="1" ht="90" x14ac:dyDescent="0.2">
      <c r="A154" s="1635" t="s">
        <v>6749</v>
      </c>
      <c r="B154" s="1813" t="s">
        <v>5743</v>
      </c>
      <c r="C154" s="1638">
        <v>18</v>
      </c>
      <c r="D154" s="1639" t="s">
        <v>5284</v>
      </c>
      <c r="E154" s="1944" t="s">
        <v>15106</v>
      </c>
    </row>
    <row r="155" spans="1:8" s="1809" customFormat="1" ht="90" x14ac:dyDescent="0.2">
      <c r="A155" s="1635" t="s">
        <v>6750</v>
      </c>
      <c r="B155" s="1813" t="s">
        <v>5744</v>
      </c>
      <c r="C155" s="1638">
        <v>23</v>
      </c>
      <c r="D155" s="1639" t="s">
        <v>5284</v>
      </c>
      <c r="E155" s="1944" t="s">
        <v>15106</v>
      </c>
    </row>
    <row r="156" spans="1:8" s="8" customFormat="1" ht="15" x14ac:dyDescent="0.2">
      <c r="A156" s="1982" t="s">
        <v>0</v>
      </c>
      <c r="B156" s="45" t="s">
        <v>1</v>
      </c>
      <c r="C156" s="1510" t="s">
        <v>131</v>
      </c>
      <c r="D156" s="46" t="s">
        <v>11</v>
      </c>
      <c r="E156" s="1942" t="s">
        <v>14974</v>
      </c>
      <c r="G156" s="1953"/>
      <c r="H156" s="1953"/>
    </row>
    <row r="157" spans="1:8" s="1809" customFormat="1" ht="75" x14ac:dyDescent="0.2">
      <c r="A157" s="1635" t="s">
        <v>6751</v>
      </c>
      <c r="B157" s="1813" t="s">
        <v>5745</v>
      </c>
      <c r="C157" s="1638">
        <v>18</v>
      </c>
      <c r="D157" s="1639" t="s">
        <v>5284</v>
      </c>
      <c r="E157" s="1944" t="s">
        <v>15106</v>
      </c>
    </row>
    <row r="158" spans="1:8" s="1809" customFormat="1" ht="45" x14ac:dyDescent="0.2">
      <c r="A158" s="1635" t="s">
        <v>6752</v>
      </c>
      <c r="B158" s="1813" t="s">
        <v>5755</v>
      </c>
      <c r="C158" s="1638">
        <v>188.37</v>
      </c>
      <c r="D158" s="1639" t="s">
        <v>5286</v>
      </c>
      <c r="E158" s="1944" t="s">
        <v>15101</v>
      </c>
    </row>
    <row r="159" spans="1:8" s="1809" customFormat="1" ht="30" x14ac:dyDescent="0.2">
      <c r="A159" s="1635" t="s">
        <v>6753</v>
      </c>
      <c r="B159" s="1813" t="s">
        <v>5756</v>
      </c>
      <c r="C159" s="1638">
        <v>3.5</v>
      </c>
      <c r="D159" s="1639" t="s">
        <v>5286</v>
      </c>
      <c r="E159" s="1944" t="s">
        <v>15106</v>
      </c>
    </row>
    <row r="160" spans="1:8" s="1809" customFormat="1" ht="45" x14ac:dyDescent="0.2">
      <c r="A160" s="1635" t="s">
        <v>6754</v>
      </c>
      <c r="B160" s="1813" t="s">
        <v>5757</v>
      </c>
      <c r="C160" s="1638">
        <v>131.28</v>
      </c>
      <c r="D160" s="1639" t="s">
        <v>5286</v>
      </c>
      <c r="E160" s="1944" t="s">
        <v>15101</v>
      </c>
    </row>
    <row r="161" spans="1:8" s="1809" customFormat="1" ht="45" x14ac:dyDescent="0.2">
      <c r="A161" s="1635" t="s">
        <v>6755</v>
      </c>
      <c r="B161" s="1813" t="s">
        <v>5758</v>
      </c>
      <c r="C161" s="1638">
        <v>60.84</v>
      </c>
      <c r="D161" s="1639" t="s">
        <v>5286</v>
      </c>
      <c r="E161" s="1944" t="s">
        <v>15101</v>
      </c>
    </row>
    <row r="162" spans="1:8" s="1809" customFormat="1" ht="45" x14ac:dyDescent="0.2">
      <c r="A162" s="1635" t="s">
        <v>5759</v>
      </c>
      <c r="B162" s="1813" t="s">
        <v>5760</v>
      </c>
      <c r="C162" s="1638">
        <v>9.6</v>
      </c>
      <c r="D162" s="1639" t="s">
        <v>5286</v>
      </c>
      <c r="E162" s="1944" t="s">
        <v>15101</v>
      </c>
    </row>
    <row r="163" spans="1:8" s="1809" customFormat="1" ht="45" x14ac:dyDescent="0.2">
      <c r="A163" s="1635" t="s">
        <v>5765</v>
      </c>
      <c r="B163" s="1813" t="s">
        <v>8278</v>
      </c>
      <c r="C163" s="1638">
        <v>879.5</v>
      </c>
      <c r="D163" s="1639" t="s">
        <v>5286</v>
      </c>
      <c r="E163" s="1944" t="s">
        <v>15107</v>
      </c>
    </row>
    <row r="164" spans="1:8" s="1809" customFormat="1" ht="45" x14ac:dyDescent="0.2">
      <c r="A164" s="1635" t="s">
        <v>6756</v>
      </c>
      <c r="B164" s="1813" t="s">
        <v>5763</v>
      </c>
      <c r="C164" s="1638">
        <v>42.22</v>
      </c>
      <c r="D164" s="1639" t="s">
        <v>5713</v>
      </c>
      <c r="E164" s="1944" t="s">
        <v>15101</v>
      </c>
    </row>
    <row r="165" spans="1:8" s="1809" customFormat="1" ht="45" x14ac:dyDescent="0.2">
      <c r="A165" s="1635" t="s">
        <v>6757</v>
      </c>
      <c r="B165" s="1813" t="s">
        <v>5764</v>
      </c>
      <c r="C165" s="1638">
        <v>204.87</v>
      </c>
      <c r="D165" s="1639" t="s">
        <v>5713</v>
      </c>
      <c r="E165" s="1944" t="s">
        <v>15101</v>
      </c>
    </row>
    <row r="166" spans="1:8" s="1809" customFormat="1" ht="45" x14ac:dyDescent="0.2">
      <c r="A166" s="1635" t="s">
        <v>5773</v>
      </c>
      <c r="B166" s="1813" t="s">
        <v>5779</v>
      </c>
      <c r="C166" s="1638">
        <v>163.72</v>
      </c>
      <c r="D166" s="1639" t="s">
        <v>5286</v>
      </c>
      <c r="E166" s="1944" t="s">
        <v>15101</v>
      </c>
    </row>
    <row r="167" spans="1:8" s="1809" customFormat="1" ht="45" x14ac:dyDescent="0.2">
      <c r="A167" s="1635" t="s">
        <v>5774</v>
      </c>
      <c r="B167" s="1813" t="s">
        <v>5771</v>
      </c>
      <c r="C167" s="1638">
        <v>107.94</v>
      </c>
      <c r="D167" s="1639" t="s">
        <v>5286</v>
      </c>
      <c r="E167" s="1944" t="s">
        <v>15101</v>
      </c>
    </row>
    <row r="168" spans="1:8" s="1809" customFormat="1" ht="45" x14ac:dyDescent="0.2">
      <c r="A168" s="1635" t="s">
        <v>5775</v>
      </c>
      <c r="B168" s="1813" t="s">
        <v>5772</v>
      </c>
      <c r="C168" s="1638">
        <v>26.84</v>
      </c>
      <c r="D168" s="1639" t="s">
        <v>5286</v>
      </c>
      <c r="E168" s="1944" t="s">
        <v>15101</v>
      </c>
    </row>
    <row r="169" spans="1:8" s="1809" customFormat="1" ht="45" x14ac:dyDescent="0.2">
      <c r="A169" s="1635" t="s">
        <v>5776</v>
      </c>
      <c r="B169" s="1813" t="s">
        <v>9473</v>
      </c>
      <c r="C169" s="1638">
        <v>1665.26</v>
      </c>
      <c r="D169" s="1639" t="s">
        <v>5286</v>
      </c>
      <c r="E169" s="1944" t="s">
        <v>15101</v>
      </c>
    </row>
    <row r="170" spans="1:8" s="1809" customFormat="1" ht="30" x14ac:dyDescent="0.2">
      <c r="A170" s="1635" t="s">
        <v>6758</v>
      </c>
      <c r="B170" s="1813" t="s">
        <v>7560</v>
      </c>
      <c r="C170" s="1638">
        <v>494.55</v>
      </c>
      <c r="D170" s="1639" t="s">
        <v>5286</v>
      </c>
      <c r="E170" s="1944" t="s">
        <v>15108</v>
      </c>
    </row>
    <row r="171" spans="1:8" s="1809" customFormat="1" ht="45" x14ac:dyDescent="0.2">
      <c r="A171" s="1635" t="s">
        <v>6759</v>
      </c>
      <c r="B171" s="1813" t="s">
        <v>7562</v>
      </c>
      <c r="C171" s="1638">
        <v>271.66000000000003</v>
      </c>
      <c r="D171" s="1639" t="s">
        <v>5286</v>
      </c>
      <c r="E171" s="1944" t="s">
        <v>15101</v>
      </c>
    </row>
    <row r="172" spans="1:8" s="1809" customFormat="1" ht="45" x14ac:dyDescent="0.2">
      <c r="A172" s="1635" t="s">
        <v>7559</v>
      </c>
      <c r="B172" s="1813" t="s">
        <v>6672</v>
      </c>
      <c r="C172" s="1638">
        <v>5.86</v>
      </c>
      <c r="D172" s="1639" t="s">
        <v>5286</v>
      </c>
      <c r="E172" s="1944" t="s">
        <v>15109</v>
      </c>
    </row>
    <row r="173" spans="1:8" s="1809" customFormat="1" ht="45" x14ac:dyDescent="0.2">
      <c r="A173" s="1635" t="s">
        <v>5777</v>
      </c>
      <c r="B173" s="1813" t="s">
        <v>7594</v>
      </c>
      <c r="C173" s="1638">
        <v>11.06</v>
      </c>
      <c r="D173" s="1639" t="s">
        <v>5286</v>
      </c>
      <c r="E173" s="1944" t="s">
        <v>15101</v>
      </c>
    </row>
    <row r="174" spans="1:8" s="8" customFormat="1" ht="15" x14ac:dyDescent="0.2">
      <c r="A174" s="1982" t="s">
        <v>0</v>
      </c>
      <c r="B174" s="45" t="s">
        <v>1</v>
      </c>
      <c r="C174" s="1510" t="s">
        <v>131</v>
      </c>
      <c r="D174" s="46" t="s">
        <v>11</v>
      </c>
      <c r="E174" s="1942" t="s">
        <v>14974</v>
      </c>
      <c r="G174" s="1953"/>
      <c r="H174" s="1953"/>
    </row>
    <row r="175" spans="1:8" s="1809" customFormat="1" ht="45" x14ac:dyDescent="0.2">
      <c r="A175" s="1635" t="s">
        <v>6760</v>
      </c>
      <c r="B175" s="1813" t="s">
        <v>6665</v>
      </c>
      <c r="C175" s="1638">
        <v>931.59</v>
      </c>
      <c r="D175" s="1639" t="s">
        <v>5286</v>
      </c>
      <c r="E175" s="1944" t="s">
        <v>15101</v>
      </c>
    </row>
    <row r="176" spans="1:8" s="1809" customFormat="1" ht="45" x14ac:dyDescent="0.2">
      <c r="A176" s="1635" t="s">
        <v>6761</v>
      </c>
      <c r="B176" s="1813" t="s">
        <v>5782</v>
      </c>
      <c r="C176" s="1638">
        <v>3061.15</v>
      </c>
      <c r="D176" s="1639" t="s">
        <v>5286</v>
      </c>
      <c r="E176" s="1944" t="s">
        <v>15101</v>
      </c>
    </row>
    <row r="177" spans="1:5" s="1809" customFormat="1" ht="45" x14ac:dyDescent="0.2">
      <c r="A177" s="1635" t="s">
        <v>5785</v>
      </c>
      <c r="B177" s="1813" t="s">
        <v>5783</v>
      </c>
      <c r="C177" s="1638">
        <v>3959.79</v>
      </c>
      <c r="D177" s="1639" t="s">
        <v>5286</v>
      </c>
      <c r="E177" s="1944" t="s">
        <v>15101</v>
      </c>
    </row>
    <row r="178" spans="1:5" s="1809" customFormat="1" ht="45" x14ac:dyDescent="0.2">
      <c r="A178" s="1635" t="s">
        <v>5786</v>
      </c>
      <c r="B178" s="1813" t="s">
        <v>5784</v>
      </c>
      <c r="C178" s="1638">
        <v>349.38</v>
      </c>
      <c r="D178" s="1639" t="s">
        <v>5286</v>
      </c>
      <c r="E178" s="1944" t="s">
        <v>15101</v>
      </c>
    </row>
    <row r="179" spans="1:5" s="1809" customFormat="1" ht="45" x14ac:dyDescent="0.2">
      <c r="A179" s="1635" t="s">
        <v>6668</v>
      </c>
      <c r="B179" s="1813" t="s">
        <v>6669</v>
      </c>
      <c r="C179" s="1638">
        <v>32.950000000000003</v>
      </c>
      <c r="D179" s="1639" t="s">
        <v>5286</v>
      </c>
      <c r="E179" s="1944" t="s">
        <v>15101</v>
      </c>
    </row>
    <row r="180" spans="1:5" s="1809" customFormat="1" ht="45" x14ac:dyDescent="0.2">
      <c r="A180" s="1635" t="s">
        <v>6772</v>
      </c>
      <c r="B180" s="1813" t="s">
        <v>6675</v>
      </c>
      <c r="C180" s="1638">
        <v>104.67</v>
      </c>
      <c r="D180" s="1639" t="s">
        <v>5286</v>
      </c>
      <c r="E180" s="1944" t="s">
        <v>15101</v>
      </c>
    </row>
    <row r="181" spans="1:5" s="1809" customFormat="1" ht="45" x14ac:dyDescent="0.2">
      <c r="A181" s="1635" t="s">
        <v>6773</v>
      </c>
      <c r="B181" s="1813" t="s">
        <v>6676</v>
      </c>
      <c r="C181" s="1638">
        <v>1587.96</v>
      </c>
      <c r="D181" s="1639" t="s">
        <v>5286</v>
      </c>
      <c r="E181" s="1944" t="s">
        <v>15101</v>
      </c>
    </row>
    <row r="182" spans="1:5" s="1809" customFormat="1" ht="45" x14ac:dyDescent="0.2">
      <c r="A182" s="1635" t="s">
        <v>6678</v>
      </c>
      <c r="B182" s="1813" t="s">
        <v>6677</v>
      </c>
      <c r="C182" s="1638">
        <v>5.86</v>
      </c>
      <c r="D182" s="1639" t="s">
        <v>5286</v>
      </c>
      <c r="E182" s="1944" t="s">
        <v>15109</v>
      </c>
    </row>
    <row r="183" spans="1:5" s="1809" customFormat="1" ht="45" x14ac:dyDescent="0.2">
      <c r="A183" s="1635" t="s">
        <v>6774</v>
      </c>
      <c r="B183" s="1813" t="s">
        <v>5789</v>
      </c>
      <c r="C183" s="1638">
        <v>4625.33</v>
      </c>
      <c r="D183" s="1639" t="s">
        <v>5286</v>
      </c>
      <c r="E183" s="1944" t="s">
        <v>15101</v>
      </c>
    </row>
    <row r="184" spans="1:5" s="1809" customFormat="1" ht="45" x14ac:dyDescent="0.2">
      <c r="A184" s="1635" t="s">
        <v>6775</v>
      </c>
      <c r="B184" s="1813" t="s">
        <v>6790</v>
      </c>
      <c r="C184" s="1638">
        <v>931.59</v>
      </c>
      <c r="D184" s="1639" t="s">
        <v>5286</v>
      </c>
      <c r="E184" s="1944" t="s">
        <v>15101</v>
      </c>
    </row>
    <row r="185" spans="1:5" s="1809" customFormat="1" ht="30" x14ac:dyDescent="0.2">
      <c r="A185" s="1635" t="s">
        <v>6776</v>
      </c>
      <c r="B185" s="1813" t="s">
        <v>5790</v>
      </c>
      <c r="C185" s="1638">
        <v>104.67</v>
      </c>
      <c r="D185" s="1639" t="s">
        <v>5286</v>
      </c>
      <c r="E185" s="1944" t="s">
        <v>15048</v>
      </c>
    </row>
    <row r="186" spans="1:5" s="1809" customFormat="1" ht="30" x14ac:dyDescent="0.2">
      <c r="A186" s="1635" t="s">
        <v>6777</v>
      </c>
      <c r="B186" s="1813" t="s">
        <v>5791</v>
      </c>
      <c r="C186" s="1638">
        <v>5556.92</v>
      </c>
      <c r="D186" s="1639" t="s">
        <v>5286</v>
      </c>
      <c r="E186" s="1944" t="s">
        <v>15049</v>
      </c>
    </row>
    <row r="187" spans="1:5" s="1809" customFormat="1" ht="30" x14ac:dyDescent="0.2">
      <c r="A187" s="1635" t="s">
        <v>8550</v>
      </c>
      <c r="B187" s="1813" t="s">
        <v>5792</v>
      </c>
      <c r="C187" s="1638">
        <v>104.67</v>
      </c>
      <c r="D187" s="1639" t="s">
        <v>5286</v>
      </c>
      <c r="E187" s="1944" t="s">
        <v>15048</v>
      </c>
    </row>
    <row r="188" spans="1:5" s="1809" customFormat="1" ht="30" x14ac:dyDescent="0.2">
      <c r="A188" s="1635" t="s">
        <v>5796</v>
      </c>
      <c r="B188" s="1813" t="s">
        <v>5793</v>
      </c>
      <c r="C188" s="1638">
        <v>104.67</v>
      </c>
      <c r="D188" s="1639" t="s">
        <v>5286</v>
      </c>
      <c r="E188" s="1944" t="s">
        <v>15048</v>
      </c>
    </row>
    <row r="189" spans="1:5" s="1809" customFormat="1" ht="30" x14ac:dyDescent="0.2">
      <c r="A189" s="1635" t="s">
        <v>5797</v>
      </c>
      <c r="B189" s="1813" t="s">
        <v>5794</v>
      </c>
      <c r="C189" s="1638">
        <v>5556.92</v>
      </c>
      <c r="D189" s="1639" t="s">
        <v>5286</v>
      </c>
      <c r="E189" s="1944" t="s">
        <v>15050</v>
      </c>
    </row>
    <row r="190" spans="1:5" s="1809" customFormat="1" ht="45" x14ac:dyDescent="0.2">
      <c r="A190" s="1635" t="s">
        <v>6778</v>
      </c>
      <c r="B190" s="1813" t="s">
        <v>5795</v>
      </c>
      <c r="C190" s="1638">
        <v>2310.17</v>
      </c>
      <c r="D190" s="1639" t="s">
        <v>5286</v>
      </c>
      <c r="E190" s="1944" t="s">
        <v>15101</v>
      </c>
    </row>
    <row r="191" spans="1:5" s="1809" customFormat="1" ht="45" x14ac:dyDescent="0.2">
      <c r="A191" s="1635" t="s">
        <v>6779</v>
      </c>
      <c r="B191" s="1813" t="s">
        <v>6680</v>
      </c>
      <c r="C191" s="1638">
        <v>2310.17</v>
      </c>
      <c r="D191" s="1639" t="s">
        <v>5286</v>
      </c>
      <c r="E191" s="1944" t="s">
        <v>15051</v>
      </c>
    </row>
    <row r="192" spans="1:5" s="1809" customFormat="1" ht="45" x14ac:dyDescent="0.2">
      <c r="A192" s="1635" t="s">
        <v>6780</v>
      </c>
      <c r="B192" s="1813" t="s">
        <v>5800</v>
      </c>
      <c r="C192" s="1638">
        <v>1209</v>
      </c>
      <c r="D192" s="1639" t="s">
        <v>5286</v>
      </c>
      <c r="E192" s="1944" t="s">
        <v>15111</v>
      </c>
    </row>
    <row r="193" spans="1:8" s="1809" customFormat="1" ht="45" x14ac:dyDescent="0.2">
      <c r="A193" s="1635" t="s">
        <v>6781</v>
      </c>
      <c r="B193" s="1813" t="s">
        <v>5801</v>
      </c>
      <c r="C193" s="1638">
        <v>473.02</v>
      </c>
      <c r="D193" s="1639" t="s">
        <v>5286</v>
      </c>
      <c r="E193" s="1944" t="s">
        <v>15101</v>
      </c>
    </row>
    <row r="194" spans="1:8" s="8" customFormat="1" ht="15" x14ac:dyDescent="0.2">
      <c r="A194" s="1982" t="s">
        <v>0</v>
      </c>
      <c r="B194" s="45" t="s">
        <v>1</v>
      </c>
      <c r="C194" s="1510" t="s">
        <v>131</v>
      </c>
      <c r="D194" s="46" t="s">
        <v>11</v>
      </c>
      <c r="E194" s="1942" t="s">
        <v>14974</v>
      </c>
      <c r="G194" s="1953"/>
      <c r="H194" s="1953"/>
    </row>
    <row r="195" spans="1:8" s="1809" customFormat="1" ht="75" x14ac:dyDescent="0.2">
      <c r="A195" s="1635" t="s">
        <v>6782</v>
      </c>
      <c r="B195" s="1813" t="s">
        <v>5802</v>
      </c>
      <c r="C195" s="1638">
        <v>473.02</v>
      </c>
      <c r="D195" s="1639" t="s">
        <v>5286</v>
      </c>
      <c r="E195" s="1944" t="s">
        <v>15052</v>
      </c>
    </row>
    <row r="196" spans="1:8" s="1809" customFormat="1" ht="45" x14ac:dyDescent="0.2">
      <c r="A196" s="1635" t="s">
        <v>5885</v>
      </c>
      <c r="B196" s="1813" t="s">
        <v>5803</v>
      </c>
      <c r="C196" s="1638">
        <v>165.55</v>
      </c>
      <c r="D196" s="1639" t="s">
        <v>5286</v>
      </c>
      <c r="E196" s="1944" t="s">
        <v>15101</v>
      </c>
    </row>
    <row r="197" spans="1:8" s="1809" customFormat="1" ht="60" x14ac:dyDescent="0.2">
      <c r="A197" s="1635" t="s">
        <v>6783</v>
      </c>
      <c r="B197" s="1813" t="s">
        <v>7271</v>
      </c>
      <c r="C197" s="1638">
        <v>23.96</v>
      </c>
      <c r="D197" s="1639" t="s">
        <v>5286</v>
      </c>
      <c r="E197" s="1944" t="s">
        <v>15101</v>
      </c>
    </row>
    <row r="198" spans="1:8" s="1809" customFormat="1" ht="45" x14ac:dyDescent="0.2">
      <c r="A198" s="1635" t="s">
        <v>6784</v>
      </c>
      <c r="B198" s="1813" t="s">
        <v>5804</v>
      </c>
      <c r="C198" s="1638">
        <v>7.8</v>
      </c>
      <c r="D198" s="1639" t="s">
        <v>5286</v>
      </c>
      <c r="E198" s="1944" t="s">
        <v>15101</v>
      </c>
    </row>
    <row r="199" spans="1:8" s="1809" customFormat="1" ht="45" x14ac:dyDescent="0.2">
      <c r="A199" s="1635" t="s">
        <v>5886</v>
      </c>
      <c r="B199" s="1813" t="s">
        <v>7286</v>
      </c>
      <c r="C199" s="1638">
        <v>404.39</v>
      </c>
      <c r="D199" s="1639" t="s">
        <v>5286</v>
      </c>
      <c r="E199" s="1944" t="s">
        <v>15101</v>
      </c>
    </row>
    <row r="200" spans="1:8" s="1809" customFormat="1" ht="45" x14ac:dyDescent="0.2">
      <c r="A200" s="1635" t="s">
        <v>6919</v>
      </c>
      <c r="B200" s="1813" t="s">
        <v>5887</v>
      </c>
      <c r="C200" s="1638">
        <v>161.11000000000001</v>
      </c>
      <c r="D200" s="1639" t="s">
        <v>5713</v>
      </c>
      <c r="E200" s="1944" t="s">
        <v>15101</v>
      </c>
    </row>
    <row r="201" spans="1:8" s="1809" customFormat="1" ht="45" x14ac:dyDescent="0.2">
      <c r="A201" s="1635" t="s">
        <v>6920</v>
      </c>
      <c r="B201" s="1813" t="s">
        <v>5889</v>
      </c>
      <c r="C201" s="1638">
        <v>887.55</v>
      </c>
      <c r="D201" s="1639" t="s">
        <v>5713</v>
      </c>
      <c r="E201" s="1944" t="s">
        <v>15101</v>
      </c>
    </row>
    <row r="202" spans="1:8" s="1809" customFormat="1" ht="45" x14ac:dyDescent="0.2">
      <c r="A202" s="1635" t="s">
        <v>5890</v>
      </c>
      <c r="B202" s="1813" t="s">
        <v>5891</v>
      </c>
      <c r="C202" s="1638">
        <v>9.8000000000000007</v>
      </c>
      <c r="D202" s="1639" t="s">
        <v>5713</v>
      </c>
      <c r="E202" s="1944" t="s">
        <v>15101</v>
      </c>
    </row>
    <row r="203" spans="1:8" s="1809" customFormat="1" ht="45" x14ac:dyDescent="0.2">
      <c r="A203" s="1635" t="s">
        <v>5893</v>
      </c>
      <c r="B203" s="1813" t="s">
        <v>5892</v>
      </c>
      <c r="C203" s="1638">
        <v>192.86</v>
      </c>
      <c r="D203" s="1639" t="s">
        <v>5713</v>
      </c>
      <c r="E203" s="1944" t="s">
        <v>15101</v>
      </c>
    </row>
    <row r="204" spans="1:8" s="1809" customFormat="1" ht="45" x14ac:dyDescent="0.2">
      <c r="A204" s="1635" t="s">
        <v>5894</v>
      </c>
      <c r="B204" s="1813" t="s">
        <v>7278</v>
      </c>
      <c r="C204" s="1638">
        <v>22</v>
      </c>
      <c r="D204" s="1639" t="s">
        <v>5713</v>
      </c>
      <c r="E204" s="1944" t="s">
        <v>15101</v>
      </c>
    </row>
    <row r="205" spans="1:8" s="1809" customFormat="1" ht="75" x14ac:dyDescent="0.2">
      <c r="A205" s="1635" t="s">
        <v>6785</v>
      </c>
      <c r="B205" s="1813" t="s">
        <v>8932</v>
      </c>
      <c r="C205" s="1638">
        <v>67.86999999999999</v>
      </c>
      <c r="D205" s="1639" t="s">
        <v>5713</v>
      </c>
      <c r="E205" s="1944" t="s">
        <v>15101</v>
      </c>
    </row>
    <row r="206" spans="1:8" s="1809" customFormat="1" ht="105" x14ac:dyDescent="0.2">
      <c r="A206" s="1635" t="s">
        <v>7674</v>
      </c>
      <c r="B206" s="1813" t="s">
        <v>8933</v>
      </c>
      <c r="C206" s="1638">
        <v>655.12</v>
      </c>
      <c r="D206" s="1639" t="s">
        <v>5286</v>
      </c>
      <c r="E206" s="1944" t="s">
        <v>15101</v>
      </c>
    </row>
    <row r="207" spans="1:8" s="1809" customFormat="1" ht="45" x14ac:dyDescent="0.2">
      <c r="A207" s="1635" t="s">
        <v>7675</v>
      </c>
      <c r="B207" s="1813" t="s">
        <v>9556</v>
      </c>
      <c r="C207" s="1638">
        <v>655.12</v>
      </c>
      <c r="D207" s="1639" t="s">
        <v>5286</v>
      </c>
      <c r="E207" s="1944" t="s">
        <v>15053</v>
      </c>
    </row>
    <row r="208" spans="1:8" s="1809" customFormat="1" ht="30" x14ac:dyDescent="0.2">
      <c r="A208" s="1635" t="s">
        <v>9458</v>
      </c>
      <c r="B208" s="1813" t="s">
        <v>5899</v>
      </c>
      <c r="C208" s="1638">
        <v>1</v>
      </c>
      <c r="D208" s="1639" t="s">
        <v>5284</v>
      </c>
      <c r="E208" s="1944" t="s">
        <v>14996</v>
      </c>
    </row>
    <row r="209" spans="1:8" s="8" customFormat="1" ht="15" x14ac:dyDescent="0.2">
      <c r="A209" s="1982" t="s">
        <v>0</v>
      </c>
      <c r="B209" s="45" t="s">
        <v>1</v>
      </c>
      <c r="C209" s="1510" t="s">
        <v>131</v>
      </c>
      <c r="D209" s="46" t="s">
        <v>11</v>
      </c>
      <c r="E209" s="1942" t="s">
        <v>14974</v>
      </c>
      <c r="G209" s="1953"/>
      <c r="H209" s="1953"/>
    </row>
    <row r="210" spans="1:8" s="1809" customFormat="1" ht="60" x14ac:dyDescent="0.2">
      <c r="A210" s="1635" t="s">
        <v>5901</v>
      </c>
      <c r="B210" s="1813" t="s">
        <v>15061</v>
      </c>
      <c r="C210" s="1638">
        <v>3.75</v>
      </c>
      <c r="D210" s="1639" t="s">
        <v>5713</v>
      </c>
      <c r="E210" s="1944" t="s">
        <v>15060</v>
      </c>
    </row>
    <row r="211" spans="1:8" s="1809" customFormat="1" ht="45" x14ac:dyDescent="0.2">
      <c r="A211" s="1635" t="s">
        <v>6786</v>
      </c>
      <c r="B211" s="1813" t="s">
        <v>5904</v>
      </c>
      <c r="C211" s="1638">
        <v>233.88</v>
      </c>
      <c r="D211" s="1639" t="s">
        <v>5286</v>
      </c>
      <c r="E211" s="1944" t="s">
        <v>15101</v>
      </c>
    </row>
    <row r="212" spans="1:8" s="1809" customFormat="1" ht="45" x14ac:dyDescent="0.2">
      <c r="A212" s="1635" t="s">
        <v>6787</v>
      </c>
      <c r="B212" s="1813" t="s">
        <v>5905</v>
      </c>
      <c r="C212" s="1638">
        <v>122.77</v>
      </c>
      <c r="D212" s="1639" t="s">
        <v>5713</v>
      </c>
      <c r="E212" s="1944" t="s">
        <v>15101</v>
      </c>
    </row>
    <row r="213" spans="1:8" s="1809" customFormat="1" ht="45" x14ac:dyDescent="0.2">
      <c r="A213" s="1635" t="s">
        <v>6788</v>
      </c>
      <c r="B213" s="1813" t="s">
        <v>5895</v>
      </c>
      <c r="C213" s="1638">
        <v>3.81</v>
      </c>
      <c r="D213" s="1639" t="s">
        <v>5286</v>
      </c>
      <c r="E213" s="1944" t="s">
        <v>15101</v>
      </c>
    </row>
    <row r="214" spans="1:8" s="1809" customFormat="1" ht="60" x14ac:dyDescent="0.2">
      <c r="A214" s="1635" t="s">
        <v>5898</v>
      </c>
      <c r="B214" s="1813" t="s">
        <v>5897</v>
      </c>
      <c r="C214" s="1638">
        <v>30</v>
      </c>
      <c r="D214" s="1639" t="s">
        <v>5284</v>
      </c>
      <c r="E214" s="1944" t="s">
        <v>15101</v>
      </c>
    </row>
    <row r="215" spans="1:8" s="1809" customFormat="1" ht="45" x14ac:dyDescent="0.2">
      <c r="A215" s="1635" t="s">
        <v>7808</v>
      </c>
      <c r="B215" s="1813" t="s">
        <v>5907</v>
      </c>
      <c r="C215" s="1638">
        <v>4</v>
      </c>
      <c r="D215" s="1639" t="s">
        <v>5284</v>
      </c>
      <c r="E215" s="1944" t="s">
        <v>15112</v>
      </c>
    </row>
    <row r="216" spans="1:8" s="1809" customFormat="1" ht="45" x14ac:dyDescent="0.2">
      <c r="A216" s="1635" t="s">
        <v>7810</v>
      </c>
      <c r="B216" s="1813" t="s">
        <v>5908</v>
      </c>
      <c r="C216" s="1638">
        <v>32</v>
      </c>
      <c r="D216" s="1639" t="s">
        <v>5284</v>
      </c>
      <c r="E216" s="1944" t="s">
        <v>15112</v>
      </c>
    </row>
    <row r="217" spans="1:8" s="1809" customFormat="1" ht="45" x14ac:dyDescent="0.2">
      <c r="A217" s="1635" t="s">
        <v>7811</v>
      </c>
      <c r="B217" s="1813" t="s">
        <v>5909</v>
      </c>
      <c r="C217" s="1638">
        <v>18</v>
      </c>
      <c r="D217" s="1639" t="s">
        <v>5284</v>
      </c>
      <c r="E217" s="1944" t="s">
        <v>15112</v>
      </c>
    </row>
    <row r="218" spans="1:8" s="1809" customFormat="1" ht="45" x14ac:dyDescent="0.2">
      <c r="A218" s="1635" t="s">
        <v>7812</v>
      </c>
      <c r="B218" s="1813" t="s">
        <v>5910</v>
      </c>
      <c r="C218" s="1638">
        <v>8</v>
      </c>
      <c r="D218" s="1639" t="s">
        <v>5284</v>
      </c>
      <c r="E218" s="1944" t="s">
        <v>15112</v>
      </c>
    </row>
    <row r="219" spans="1:8" s="1809" customFormat="1" ht="45" x14ac:dyDescent="0.2">
      <c r="A219" s="1635" t="s">
        <v>7813</v>
      </c>
      <c r="B219" s="1813" t="s">
        <v>5911</v>
      </c>
      <c r="C219" s="1638">
        <v>20</v>
      </c>
      <c r="D219" s="1639" t="s">
        <v>5284</v>
      </c>
      <c r="E219" s="1944" t="s">
        <v>15112</v>
      </c>
    </row>
    <row r="220" spans="1:8" s="1809" customFormat="1" ht="45" x14ac:dyDescent="0.2">
      <c r="A220" s="1635" t="s">
        <v>7814</v>
      </c>
      <c r="B220" s="1813" t="s">
        <v>5912</v>
      </c>
      <c r="C220" s="1638">
        <v>14</v>
      </c>
      <c r="D220" s="1639" t="s">
        <v>5284</v>
      </c>
      <c r="E220" s="1944" t="s">
        <v>15112</v>
      </c>
    </row>
    <row r="221" spans="1:8" s="1809" customFormat="1" ht="45" x14ac:dyDescent="0.2">
      <c r="A221" s="1635" t="s">
        <v>7815</v>
      </c>
      <c r="B221" s="1813" t="s">
        <v>5913</v>
      </c>
      <c r="C221" s="1638">
        <v>4</v>
      </c>
      <c r="D221" s="1639" t="s">
        <v>5284</v>
      </c>
      <c r="E221" s="1944" t="s">
        <v>15112</v>
      </c>
    </row>
    <row r="222" spans="1:8" s="1809" customFormat="1" ht="45" x14ac:dyDescent="0.2">
      <c r="A222" s="1635" t="s">
        <v>7816</v>
      </c>
      <c r="B222" s="1813" t="s">
        <v>5914</v>
      </c>
      <c r="C222" s="1638">
        <v>16</v>
      </c>
      <c r="D222" s="1639" t="s">
        <v>5284</v>
      </c>
      <c r="E222" s="1944" t="s">
        <v>15112</v>
      </c>
    </row>
    <row r="223" spans="1:8" s="1809" customFormat="1" ht="45" x14ac:dyDescent="0.2">
      <c r="A223" s="1635" t="s">
        <v>7817</v>
      </c>
      <c r="B223" s="1813" t="s">
        <v>5915</v>
      </c>
      <c r="C223" s="1638">
        <v>4</v>
      </c>
      <c r="D223" s="1639" t="s">
        <v>5284</v>
      </c>
      <c r="E223" s="1944" t="s">
        <v>15112</v>
      </c>
    </row>
    <row r="224" spans="1:8" s="1809" customFormat="1" ht="45" x14ac:dyDescent="0.2">
      <c r="A224" s="1635" t="s">
        <v>9532</v>
      </c>
      <c r="B224" s="1813" t="s">
        <v>9533</v>
      </c>
      <c r="C224" s="1638">
        <v>4</v>
      </c>
      <c r="D224" s="1639" t="s">
        <v>5284</v>
      </c>
      <c r="E224" s="1944" t="s">
        <v>15112</v>
      </c>
    </row>
    <row r="225" spans="1:8" s="1809" customFormat="1" ht="45" x14ac:dyDescent="0.2">
      <c r="A225" s="1635" t="s">
        <v>7401</v>
      </c>
      <c r="B225" s="1813" t="s">
        <v>7398</v>
      </c>
      <c r="C225" s="1638">
        <v>33</v>
      </c>
      <c r="D225" s="1639" t="s">
        <v>5284</v>
      </c>
      <c r="E225" s="1944" t="s">
        <v>15124</v>
      </c>
    </row>
    <row r="226" spans="1:8" s="1809" customFormat="1" ht="45" x14ac:dyDescent="0.2">
      <c r="A226" s="1635" t="s">
        <v>7402</v>
      </c>
      <c r="B226" s="1813" t="s">
        <v>7399</v>
      </c>
      <c r="C226" s="1638">
        <v>12</v>
      </c>
      <c r="D226" s="1639" t="s">
        <v>5284</v>
      </c>
      <c r="E226" s="1944" t="s">
        <v>15124</v>
      </c>
    </row>
    <row r="227" spans="1:8" s="8" customFormat="1" ht="15" x14ac:dyDescent="0.2">
      <c r="A227" s="1982" t="s">
        <v>0</v>
      </c>
      <c r="B227" s="45" t="s">
        <v>1</v>
      </c>
      <c r="C227" s="1510" t="s">
        <v>131</v>
      </c>
      <c r="D227" s="46" t="s">
        <v>11</v>
      </c>
      <c r="E227" s="1942" t="s">
        <v>14974</v>
      </c>
      <c r="G227" s="1953"/>
      <c r="H227" s="1953"/>
    </row>
    <row r="228" spans="1:8" s="1809" customFormat="1" ht="45" x14ac:dyDescent="0.2">
      <c r="A228" s="1635" t="s">
        <v>7403</v>
      </c>
      <c r="B228" s="1813" t="s">
        <v>7400</v>
      </c>
      <c r="C228" s="1638">
        <v>4</v>
      </c>
      <c r="D228" s="1639" t="s">
        <v>5284</v>
      </c>
      <c r="E228" s="1944" t="s">
        <v>15124</v>
      </c>
    </row>
    <row r="229" spans="1:8" s="1809" customFormat="1" ht="30" x14ac:dyDescent="0.2">
      <c r="A229" s="1635" t="s">
        <v>9524</v>
      </c>
      <c r="B229" s="1813" t="s">
        <v>9525</v>
      </c>
      <c r="C229" s="1638">
        <v>16</v>
      </c>
      <c r="D229" s="1639" t="s">
        <v>5284</v>
      </c>
      <c r="E229" s="1944" t="s">
        <v>15113</v>
      </c>
    </row>
    <row r="230" spans="1:8" s="1809" customFormat="1" ht="30" x14ac:dyDescent="0.2">
      <c r="A230" s="1635" t="s">
        <v>9526</v>
      </c>
      <c r="B230" s="1813" t="s">
        <v>9530</v>
      </c>
      <c r="C230" s="1638">
        <v>12.32</v>
      </c>
      <c r="D230" s="1639" t="s">
        <v>5713</v>
      </c>
      <c r="E230" s="1944" t="s">
        <v>15113</v>
      </c>
    </row>
    <row r="231" spans="1:8" s="1809" customFormat="1" ht="45" x14ac:dyDescent="0.2">
      <c r="A231" s="1635" t="s">
        <v>8915</v>
      </c>
      <c r="B231" s="1813" t="s">
        <v>8300</v>
      </c>
      <c r="C231" s="1638">
        <v>1338.75</v>
      </c>
      <c r="D231" s="1639" t="s">
        <v>5286</v>
      </c>
      <c r="E231" s="1944" t="s">
        <v>15108</v>
      </c>
    </row>
    <row r="232" spans="1:8" s="1809" customFormat="1" ht="60" x14ac:dyDescent="0.2">
      <c r="A232" s="1635" t="s">
        <v>7738</v>
      </c>
      <c r="B232" s="1813" t="s">
        <v>7789</v>
      </c>
      <c r="C232" s="1638">
        <v>24.727500000000003</v>
      </c>
      <c r="D232" s="1639" t="s">
        <v>5685</v>
      </c>
      <c r="E232" s="1944" t="s">
        <v>15054</v>
      </c>
    </row>
    <row r="233" spans="1:8" s="1809" customFormat="1" ht="45" x14ac:dyDescent="0.2">
      <c r="A233" s="1635" t="s">
        <v>7739</v>
      </c>
      <c r="B233" s="1813" t="s">
        <v>7737</v>
      </c>
      <c r="C233" s="1638">
        <v>494.55</v>
      </c>
      <c r="D233" s="1639" t="s">
        <v>5286</v>
      </c>
      <c r="E233" s="1944" t="s">
        <v>15108</v>
      </c>
    </row>
    <row r="234" spans="1:8" s="1809" customFormat="1" ht="45" x14ac:dyDescent="0.2">
      <c r="A234" s="1635" t="s">
        <v>6960</v>
      </c>
      <c r="B234" s="1813" t="s">
        <v>5922</v>
      </c>
      <c r="C234" s="1638">
        <v>397.88</v>
      </c>
      <c r="D234" s="1639" t="s">
        <v>5713</v>
      </c>
      <c r="E234" s="1944" t="s">
        <v>15114</v>
      </c>
    </row>
    <row r="235" spans="1:8" s="1809" customFormat="1" ht="45" x14ac:dyDescent="0.2">
      <c r="A235" s="1635" t="s">
        <v>6961</v>
      </c>
      <c r="B235" s="1813" t="s">
        <v>5923</v>
      </c>
      <c r="C235" s="1638">
        <v>177.76</v>
      </c>
      <c r="D235" s="1639" t="s">
        <v>5713</v>
      </c>
      <c r="E235" s="1944" t="s">
        <v>15114</v>
      </c>
    </row>
    <row r="236" spans="1:8" s="1809" customFormat="1" ht="45" x14ac:dyDescent="0.2">
      <c r="A236" s="1635" t="s">
        <v>6962</v>
      </c>
      <c r="B236" s="1813" t="s">
        <v>5924</v>
      </c>
      <c r="C236" s="1638">
        <v>114.11999999999999</v>
      </c>
      <c r="D236" s="1639" t="s">
        <v>5713</v>
      </c>
      <c r="E236" s="1944" t="s">
        <v>15114</v>
      </c>
    </row>
    <row r="237" spans="1:8" s="1809" customFormat="1" ht="45" x14ac:dyDescent="0.2">
      <c r="A237" s="1635" t="s">
        <v>6963</v>
      </c>
      <c r="B237" s="1813" t="s">
        <v>5925</v>
      </c>
      <c r="C237" s="1638">
        <v>151.18</v>
      </c>
      <c r="D237" s="1639" t="s">
        <v>5713</v>
      </c>
      <c r="E237" s="1944" t="s">
        <v>15114</v>
      </c>
    </row>
    <row r="238" spans="1:8" s="1809" customFormat="1" ht="45" x14ac:dyDescent="0.2">
      <c r="A238" s="1635" t="s">
        <v>6964</v>
      </c>
      <c r="B238" s="1813" t="s">
        <v>5926</v>
      </c>
      <c r="C238" s="1638">
        <v>31.14</v>
      </c>
      <c r="D238" s="1639" t="s">
        <v>5713</v>
      </c>
      <c r="E238" s="1944" t="s">
        <v>15114</v>
      </c>
    </row>
    <row r="239" spans="1:8" s="1809" customFormat="1" ht="45" x14ac:dyDescent="0.2">
      <c r="A239" s="1635" t="s">
        <v>6965</v>
      </c>
      <c r="B239" s="1813" t="s">
        <v>5927</v>
      </c>
      <c r="C239" s="1638">
        <v>53.04</v>
      </c>
      <c r="D239" s="1639" t="s">
        <v>5713</v>
      </c>
      <c r="E239" s="1944" t="s">
        <v>15114</v>
      </c>
    </row>
    <row r="240" spans="1:8" s="1809" customFormat="1" ht="45" x14ac:dyDescent="0.2">
      <c r="A240" s="1635" t="s">
        <v>6966</v>
      </c>
      <c r="B240" s="1813" t="s">
        <v>6689</v>
      </c>
      <c r="C240" s="1638">
        <v>1</v>
      </c>
      <c r="D240" s="1639" t="s">
        <v>5284</v>
      </c>
      <c r="E240" s="1944" t="s">
        <v>15114</v>
      </c>
    </row>
    <row r="241" spans="1:8" s="1809" customFormat="1" ht="45" x14ac:dyDescent="0.2">
      <c r="A241" s="1635" t="s">
        <v>6967</v>
      </c>
      <c r="B241" s="1813" t="s">
        <v>5928</v>
      </c>
      <c r="C241" s="1638">
        <v>4</v>
      </c>
      <c r="D241" s="1639" t="s">
        <v>5284</v>
      </c>
      <c r="E241" s="1944" t="s">
        <v>15114</v>
      </c>
    </row>
    <row r="242" spans="1:8" s="1809" customFormat="1" ht="45" x14ac:dyDescent="0.2">
      <c r="A242" s="1635" t="s">
        <v>6968</v>
      </c>
      <c r="B242" s="1813" t="s">
        <v>5929</v>
      </c>
      <c r="C242" s="1638">
        <v>5</v>
      </c>
      <c r="D242" s="1639" t="s">
        <v>5284</v>
      </c>
      <c r="E242" s="1944" t="s">
        <v>15114</v>
      </c>
    </row>
    <row r="243" spans="1:8" s="1809" customFormat="1" ht="45" x14ac:dyDescent="0.2">
      <c r="A243" s="1635" t="s">
        <v>6969</v>
      </c>
      <c r="B243" s="1813" t="s">
        <v>5930</v>
      </c>
      <c r="C243" s="1638">
        <v>63</v>
      </c>
      <c r="D243" s="1639" t="s">
        <v>5284</v>
      </c>
      <c r="E243" s="1944" t="s">
        <v>15114</v>
      </c>
    </row>
    <row r="244" spans="1:8" s="1809" customFormat="1" ht="45" x14ac:dyDescent="0.2">
      <c r="A244" s="1635" t="s">
        <v>6970</v>
      </c>
      <c r="B244" s="1813" t="s">
        <v>5931</v>
      </c>
      <c r="C244" s="1638">
        <v>20</v>
      </c>
      <c r="D244" s="1639" t="s">
        <v>5284</v>
      </c>
      <c r="E244" s="1944" t="s">
        <v>15114</v>
      </c>
    </row>
    <row r="245" spans="1:8" s="1809" customFormat="1" ht="45" x14ac:dyDescent="0.2">
      <c r="A245" s="1635" t="s">
        <v>6971</v>
      </c>
      <c r="B245" s="1813" t="s">
        <v>5932</v>
      </c>
      <c r="C245" s="1638">
        <v>22</v>
      </c>
      <c r="D245" s="1639" t="s">
        <v>5284</v>
      </c>
      <c r="E245" s="1944" t="s">
        <v>15114</v>
      </c>
    </row>
    <row r="246" spans="1:8" s="8" customFormat="1" ht="15" x14ac:dyDescent="0.2">
      <c r="A246" s="1982" t="s">
        <v>0</v>
      </c>
      <c r="B246" s="45" t="s">
        <v>1</v>
      </c>
      <c r="C246" s="1510" t="s">
        <v>131</v>
      </c>
      <c r="D246" s="46" t="s">
        <v>11</v>
      </c>
      <c r="E246" s="1942" t="s">
        <v>14974</v>
      </c>
      <c r="G246" s="1953"/>
      <c r="H246" s="1953"/>
    </row>
    <row r="247" spans="1:8" s="1809" customFormat="1" ht="45" x14ac:dyDescent="0.2">
      <c r="A247" s="1635" t="s">
        <v>6972</v>
      </c>
      <c r="B247" s="1813" t="s">
        <v>5933</v>
      </c>
      <c r="C247" s="1638">
        <v>3</v>
      </c>
      <c r="D247" s="1639" t="s">
        <v>5284</v>
      </c>
      <c r="E247" s="1944" t="s">
        <v>15114</v>
      </c>
    </row>
    <row r="248" spans="1:8" s="1809" customFormat="1" ht="45" x14ac:dyDescent="0.2">
      <c r="A248" s="1635" t="s">
        <v>6973</v>
      </c>
      <c r="B248" s="1813" t="s">
        <v>5934</v>
      </c>
      <c r="C248" s="1638">
        <v>17</v>
      </c>
      <c r="D248" s="1639" t="s">
        <v>5284</v>
      </c>
      <c r="E248" s="1944" t="s">
        <v>15114</v>
      </c>
    </row>
    <row r="249" spans="1:8" s="1809" customFormat="1" ht="45" x14ac:dyDescent="0.2">
      <c r="A249" s="1635" t="s">
        <v>6974</v>
      </c>
      <c r="B249" s="1813" t="s">
        <v>5935</v>
      </c>
      <c r="C249" s="1638">
        <v>2</v>
      </c>
      <c r="D249" s="1639" t="s">
        <v>5284</v>
      </c>
      <c r="E249" s="1944" t="s">
        <v>15114</v>
      </c>
    </row>
    <row r="250" spans="1:8" s="1809" customFormat="1" ht="45" x14ac:dyDescent="0.2">
      <c r="A250" s="1635" t="s">
        <v>6975</v>
      </c>
      <c r="B250" s="1813" t="s">
        <v>5936</v>
      </c>
      <c r="C250" s="1638">
        <v>20</v>
      </c>
      <c r="D250" s="1639" t="s">
        <v>5284</v>
      </c>
      <c r="E250" s="1944" t="s">
        <v>15114</v>
      </c>
    </row>
    <row r="251" spans="1:8" s="1809" customFormat="1" ht="45" x14ac:dyDescent="0.2">
      <c r="A251" s="1635" t="s">
        <v>6976</v>
      </c>
      <c r="B251" s="1813" t="s">
        <v>5937</v>
      </c>
      <c r="C251" s="1638">
        <v>2</v>
      </c>
      <c r="D251" s="1639" t="s">
        <v>5284</v>
      </c>
      <c r="E251" s="1944" t="s">
        <v>15114</v>
      </c>
    </row>
    <row r="252" spans="1:8" s="1809" customFormat="1" ht="45" x14ac:dyDescent="0.2">
      <c r="A252" s="1635" t="s">
        <v>6977</v>
      </c>
      <c r="B252" s="1813" t="s">
        <v>5938</v>
      </c>
      <c r="C252" s="1638">
        <v>2</v>
      </c>
      <c r="D252" s="1639" t="s">
        <v>5284</v>
      </c>
      <c r="E252" s="1944" t="s">
        <v>15114</v>
      </c>
    </row>
    <row r="253" spans="1:8" s="1809" customFormat="1" ht="45" x14ac:dyDescent="0.2">
      <c r="A253" s="1635" t="s">
        <v>6978</v>
      </c>
      <c r="B253" s="1813" t="s">
        <v>5939</v>
      </c>
      <c r="C253" s="1638">
        <v>1</v>
      </c>
      <c r="D253" s="1639" t="s">
        <v>5284</v>
      </c>
      <c r="E253" s="1944" t="s">
        <v>15114</v>
      </c>
    </row>
    <row r="254" spans="1:8" s="1809" customFormat="1" ht="45" x14ac:dyDescent="0.2">
      <c r="A254" s="1635" t="s">
        <v>6979</v>
      </c>
      <c r="B254" s="1813" t="s">
        <v>5940</v>
      </c>
      <c r="C254" s="1638">
        <v>3</v>
      </c>
      <c r="D254" s="1639" t="s">
        <v>5284</v>
      </c>
      <c r="E254" s="1944" t="s">
        <v>15114</v>
      </c>
    </row>
    <row r="255" spans="1:8" s="1809" customFormat="1" ht="45" x14ac:dyDescent="0.2">
      <c r="A255" s="1635" t="s">
        <v>5949</v>
      </c>
      <c r="B255" s="1813" t="s">
        <v>5948</v>
      </c>
      <c r="C255" s="1638">
        <v>44</v>
      </c>
      <c r="D255" s="1639" t="s">
        <v>5284</v>
      </c>
      <c r="E255" s="1944" t="s">
        <v>15114</v>
      </c>
    </row>
    <row r="256" spans="1:8" s="1809" customFormat="1" ht="45" x14ac:dyDescent="0.2">
      <c r="A256" s="1635" t="s">
        <v>6980</v>
      </c>
      <c r="B256" s="1813" t="s">
        <v>5950</v>
      </c>
      <c r="C256" s="1638">
        <v>1</v>
      </c>
      <c r="D256" s="1639" t="s">
        <v>5284</v>
      </c>
      <c r="E256" s="1944" t="s">
        <v>15114</v>
      </c>
    </row>
    <row r="257" spans="1:8" s="1809" customFormat="1" ht="45" x14ac:dyDescent="0.2">
      <c r="A257" s="1635" t="s">
        <v>6981</v>
      </c>
      <c r="B257" s="1813" t="s">
        <v>5951</v>
      </c>
      <c r="C257" s="1638">
        <v>2</v>
      </c>
      <c r="D257" s="1639" t="s">
        <v>5284</v>
      </c>
      <c r="E257" s="1944" t="s">
        <v>15114</v>
      </c>
    </row>
    <row r="258" spans="1:8" s="1809" customFormat="1" ht="45" x14ac:dyDescent="0.2">
      <c r="A258" s="1635" t="s">
        <v>6982</v>
      </c>
      <c r="B258" s="1813" t="s">
        <v>5952</v>
      </c>
      <c r="C258" s="1638">
        <v>165</v>
      </c>
      <c r="D258" s="1639" t="s">
        <v>5284</v>
      </c>
      <c r="E258" s="1944" t="s">
        <v>15114</v>
      </c>
    </row>
    <row r="259" spans="1:8" s="1809" customFormat="1" ht="45" x14ac:dyDescent="0.2">
      <c r="A259" s="1635" t="s">
        <v>6983</v>
      </c>
      <c r="B259" s="1813" t="s">
        <v>5953</v>
      </c>
      <c r="C259" s="1638">
        <v>28</v>
      </c>
      <c r="D259" s="1639" t="s">
        <v>5284</v>
      </c>
      <c r="E259" s="1944" t="s">
        <v>15114</v>
      </c>
    </row>
    <row r="260" spans="1:8" s="1809" customFormat="1" ht="45" x14ac:dyDescent="0.2">
      <c r="A260" s="1635" t="s">
        <v>6984</v>
      </c>
      <c r="B260" s="1813" t="s">
        <v>5954</v>
      </c>
      <c r="C260" s="1638">
        <v>6</v>
      </c>
      <c r="D260" s="1639" t="s">
        <v>5284</v>
      </c>
      <c r="E260" s="1944" t="s">
        <v>15114</v>
      </c>
    </row>
    <row r="261" spans="1:8" s="1809" customFormat="1" ht="45" x14ac:dyDescent="0.2">
      <c r="A261" s="1635" t="s">
        <v>6985</v>
      </c>
      <c r="B261" s="1813" t="s">
        <v>5955</v>
      </c>
      <c r="C261" s="1638">
        <v>49</v>
      </c>
      <c r="D261" s="1639" t="s">
        <v>5284</v>
      </c>
      <c r="E261" s="1944" t="s">
        <v>15114</v>
      </c>
    </row>
    <row r="262" spans="1:8" s="1809" customFormat="1" ht="45" x14ac:dyDescent="0.2">
      <c r="A262" s="1635" t="s">
        <v>6986</v>
      </c>
      <c r="B262" s="1813" t="s">
        <v>5956</v>
      </c>
      <c r="C262" s="1638">
        <v>3</v>
      </c>
      <c r="D262" s="1639" t="s">
        <v>5284</v>
      </c>
      <c r="E262" s="1944" t="s">
        <v>15114</v>
      </c>
    </row>
    <row r="263" spans="1:8" s="1809" customFormat="1" ht="45" x14ac:dyDescent="0.2">
      <c r="A263" s="1635" t="s">
        <v>6987</v>
      </c>
      <c r="B263" s="1813" t="s">
        <v>5957</v>
      </c>
      <c r="C263" s="1638">
        <v>15</v>
      </c>
      <c r="D263" s="1639" t="s">
        <v>5284</v>
      </c>
      <c r="E263" s="1944" t="s">
        <v>15114</v>
      </c>
    </row>
    <row r="264" spans="1:8" s="8" customFormat="1" ht="15" x14ac:dyDescent="0.2">
      <c r="A264" s="1982" t="s">
        <v>0</v>
      </c>
      <c r="B264" s="45" t="s">
        <v>1</v>
      </c>
      <c r="C264" s="1510" t="s">
        <v>131</v>
      </c>
      <c r="D264" s="46" t="s">
        <v>11</v>
      </c>
      <c r="E264" s="1942" t="s">
        <v>14974</v>
      </c>
      <c r="G264" s="1953"/>
      <c r="H264" s="1953"/>
    </row>
    <row r="265" spans="1:8" s="1809" customFormat="1" ht="45" x14ac:dyDescent="0.2">
      <c r="A265" s="1635" t="s">
        <v>6988</v>
      </c>
      <c r="B265" s="1813" t="s">
        <v>9560</v>
      </c>
      <c r="C265" s="1638">
        <v>11</v>
      </c>
      <c r="D265" s="1639" t="s">
        <v>5284</v>
      </c>
      <c r="E265" s="1944" t="s">
        <v>15114</v>
      </c>
    </row>
    <row r="266" spans="1:8" s="1809" customFormat="1" ht="45" x14ac:dyDescent="0.2">
      <c r="A266" s="1635" t="s">
        <v>6989</v>
      </c>
      <c r="B266" s="1813" t="s">
        <v>5958</v>
      </c>
      <c r="C266" s="1638">
        <v>2</v>
      </c>
      <c r="D266" s="1639" t="s">
        <v>5284</v>
      </c>
      <c r="E266" s="1944" t="s">
        <v>15114</v>
      </c>
    </row>
    <row r="267" spans="1:8" s="1809" customFormat="1" ht="45" x14ac:dyDescent="0.2">
      <c r="A267" s="1635" t="s">
        <v>6990</v>
      </c>
      <c r="B267" s="1813" t="s">
        <v>5959</v>
      </c>
      <c r="C267" s="1638">
        <v>2</v>
      </c>
      <c r="D267" s="1639" t="s">
        <v>5284</v>
      </c>
      <c r="E267" s="1944" t="s">
        <v>15114</v>
      </c>
    </row>
    <row r="268" spans="1:8" s="1809" customFormat="1" ht="45" x14ac:dyDescent="0.2">
      <c r="A268" s="1635" t="s">
        <v>6991</v>
      </c>
      <c r="B268" s="1813" t="s">
        <v>5960</v>
      </c>
      <c r="C268" s="1638">
        <v>55</v>
      </c>
      <c r="D268" s="1639" t="s">
        <v>5284</v>
      </c>
      <c r="E268" s="1944" t="s">
        <v>15114</v>
      </c>
    </row>
    <row r="269" spans="1:8" s="1809" customFormat="1" ht="45" x14ac:dyDescent="0.2">
      <c r="A269" s="1635" t="s">
        <v>6992</v>
      </c>
      <c r="B269" s="1813" t="s">
        <v>5961</v>
      </c>
      <c r="C269" s="1638">
        <v>10</v>
      </c>
      <c r="D269" s="1639" t="s">
        <v>5284</v>
      </c>
      <c r="E269" s="1944" t="s">
        <v>15114</v>
      </c>
    </row>
    <row r="270" spans="1:8" s="1809" customFormat="1" ht="45" x14ac:dyDescent="0.2">
      <c r="A270" s="1635" t="s">
        <v>8282</v>
      </c>
      <c r="B270" s="1813" t="s">
        <v>5962</v>
      </c>
      <c r="C270" s="1638">
        <v>57</v>
      </c>
      <c r="D270" s="1639" t="s">
        <v>5284</v>
      </c>
      <c r="E270" s="1944" t="s">
        <v>15114</v>
      </c>
    </row>
    <row r="271" spans="1:8" s="1809" customFormat="1" ht="45" x14ac:dyDescent="0.2">
      <c r="A271" s="1635" t="s">
        <v>9559</v>
      </c>
      <c r="B271" s="1813" t="s">
        <v>8554</v>
      </c>
      <c r="C271" s="1638">
        <v>28</v>
      </c>
      <c r="D271" s="1639" t="s">
        <v>5284</v>
      </c>
      <c r="E271" s="1944" t="s">
        <v>15114</v>
      </c>
    </row>
    <row r="272" spans="1:8" s="1809" customFormat="1" ht="45" x14ac:dyDescent="0.2">
      <c r="A272" s="1635" t="s">
        <v>6993</v>
      </c>
      <c r="B272" s="1813" t="s">
        <v>5967</v>
      </c>
      <c r="C272" s="1638">
        <v>4</v>
      </c>
      <c r="D272" s="1639" t="s">
        <v>5284</v>
      </c>
      <c r="E272" s="1944" t="s">
        <v>15114</v>
      </c>
    </row>
    <row r="273" spans="1:8" s="1809" customFormat="1" ht="45" x14ac:dyDescent="0.2">
      <c r="A273" s="1635" t="s">
        <v>6994</v>
      </c>
      <c r="B273" s="1813" t="s">
        <v>5968</v>
      </c>
      <c r="C273" s="1638">
        <v>1</v>
      </c>
      <c r="D273" s="1639" t="s">
        <v>5284</v>
      </c>
      <c r="E273" s="1944" t="s">
        <v>15114</v>
      </c>
    </row>
    <row r="274" spans="1:8" s="1809" customFormat="1" ht="45" x14ac:dyDescent="0.2">
      <c r="A274" s="1635" t="s">
        <v>6995</v>
      </c>
      <c r="B274" s="1813" t="s">
        <v>5969</v>
      </c>
      <c r="C274" s="1638">
        <v>3</v>
      </c>
      <c r="D274" s="1639" t="s">
        <v>5284</v>
      </c>
      <c r="E274" s="1944" t="s">
        <v>15114</v>
      </c>
    </row>
    <row r="275" spans="1:8" s="1809" customFormat="1" ht="45" x14ac:dyDescent="0.2">
      <c r="A275" s="1635" t="s">
        <v>6996</v>
      </c>
      <c r="B275" s="1813" t="s">
        <v>5970</v>
      </c>
      <c r="C275" s="1638">
        <v>7</v>
      </c>
      <c r="D275" s="1639" t="s">
        <v>5284</v>
      </c>
      <c r="E275" s="1944" t="s">
        <v>15114</v>
      </c>
    </row>
    <row r="276" spans="1:8" s="1809" customFormat="1" ht="45" x14ac:dyDescent="0.2">
      <c r="A276" s="1635" t="s">
        <v>8560</v>
      </c>
      <c r="B276" s="1813" t="s">
        <v>5972</v>
      </c>
      <c r="C276" s="1638">
        <v>2</v>
      </c>
      <c r="D276" s="1639" t="s">
        <v>5284</v>
      </c>
      <c r="E276" s="1944" t="s">
        <v>15114</v>
      </c>
    </row>
    <row r="277" spans="1:8" s="1809" customFormat="1" ht="45" x14ac:dyDescent="0.2">
      <c r="A277" s="1635" t="s">
        <v>6997</v>
      </c>
      <c r="B277" s="1813" t="s">
        <v>5973</v>
      </c>
      <c r="C277" s="1638">
        <v>5</v>
      </c>
      <c r="D277" s="1639" t="s">
        <v>5284</v>
      </c>
      <c r="E277" s="1944" t="s">
        <v>15114</v>
      </c>
    </row>
    <row r="278" spans="1:8" s="1809" customFormat="1" ht="45" x14ac:dyDescent="0.2">
      <c r="A278" s="1635" t="s">
        <v>6998</v>
      </c>
      <c r="B278" s="1813" t="s">
        <v>5975</v>
      </c>
      <c r="C278" s="1638">
        <v>111</v>
      </c>
      <c r="D278" s="1639" t="s">
        <v>5284</v>
      </c>
      <c r="E278" s="1944" t="s">
        <v>15114</v>
      </c>
    </row>
    <row r="279" spans="1:8" s="1809" customFormat="1" ht="45" x14ac:dyDescent="0.2">
      <c r="A279" s="1635" t="s">
        <v>6999</v>
      </c>
      <c r="B279" s="1813" t="s">
        <v>5976</v>
      </c>
      <c r="C279" s="1638">
        <v>12</v>
      </c>
      <c r="D279" s="1639" t="s">
        <v>5284</v>
      </c>
      <c r="E279" s="1944" t="s">
        <v>15114</v>
      </c>
    </row>
    <row r="280" spans="1:8" s="1809" customFormat="1" ht="45" x14ac:dyDescent="0.2">
      <c r="A280" s="1635" t="s">
        <v>7000</v>
      </c>
      <c r="B280" s="1813" t="s">
        <v>5977</v>
      </c>
      <c r="C280" s="1638">
        <v>17</v>
      </c>
      <c r="D280" s="1639" t="s">
        <v>5284</v>
      </c>
      <c r="E280" s="1944" t="s">
        <v>15114</v>
      </c>
    </row>
    <row r="281" spans="1:8" s="1809" customFormat="1" ht="45" x14ac:dyDescent="0.2">
      <c r="A281" s="1635" t="s">
        <v>7001</v>
      </c>
      <c r="B281" s="1813" t="s">
        <v>5978</v>
      </c>
      <c r="C281" s="1638">
        <v>6</v>
      </c>
      <c r="D281" s="1639" t="s">
        <v>5284</v>
      </c>
      <c r="E281" s="1944" t="s">
        <v>15114</v>
      </c>
    </row>
    <row r="282" spans="1:8" s="8" customFormat="1" ht="15" x14ac:dyDescent="0.2">
      <c r="A282" s="1982" t="s">
        <v>0</v>
      </c>
      <c r="B282" s="45" t="s">
        <v>1</v>
      </c>
      <c r="C282" s="1510" t="s">
        <v>131</v>
      </c>
      <c r="D282" s="46" t="s">
        <v>11</v>
      </c>
      <c r="E282" s="1942" t="s">
        <v>14974</v>
      </c>
      <c r="G282" s="1953"/>
      <c r="H282" s="1953"/>
    </row>
    <row r="283" spans="1:8" s="1809" customFormat="1" ht="45" x14ac:dyDescent="0.2">
      <c r="A283" s="1635" t="s">
        <v>7002</v>
      </c>
      <c r="B283" s="1813" t="s">
        <v>5979</v>
      </c>
      <c r="C283" s="1638">
        <v>15</v>
      </c>
      <c r="D283" s="1639" t="s">
        <v>5284</v>
      </c>
      <c r="E283" s="1944" t="s">
        <v>15114</v>
      </c>
    </row>
    <row r="284" spans="1:8" s="1809" customFormat="1" ht="45" x14ac:dyDescent="0.2">
      <c r="A284" s="1635" t="s">
        <v>7003</v>
      </c>
      <c r="B284" s="1813" t="s">
        <v>5980</v>
      </c>
      <c r="C284" s="1638">
        <v>4</v>
      </c>
      <c r="D284" s="1639" t="s">
        <v>5284</v>
      </c>
      <c r="E284" s="1944" t="s">
        <v>15114</v>
      </c>
    </row>
    <row r="285" spans="1:8" s="1809" customFormat="1" ht="45" x14ac:dyDescent="0.2">
      <c r="A285" s="1635" t="s">
        <v>7004</v>
      </c>
      <c r="B285" s="1813" t="s">
        <v>5981</v>
      </c>
      <c r="C285" s="1638">
        <v>21</v>
      </c>
      <c r="D285" s="1639" t="s">
        <v>5284</v>
      </c>
      <c r="E285" s="1944" t="s">
        <v>15114</v>
      </c>
    </row>
    <row r="286" spans="1:8" s="1809" customFormat="1" ht="45" x14ac:dyDescent="0.2">
      <c r="A286" s="1635" t="s">
        <v>7005</v>
      </c>
      <c r="B286" s="1813" t="s">
        <v>5982</v>
      </c>
      <c r="C286" s="1638">
        <v>7</v>
      </c>
      <c r="D286" s="1639" t="s">
        <v>5284</v>
      </c>
      <c r="E286" s="1944" t="s">
        <v>15114</v>
      </c>
    </row>
    <row r="287" spans="1:8" s="1809" customFormat="1" ht="45" x14ac:dyDescent="0.2">
      <c r="A287" s="1635" t="s">
        <v>7006</v>
      </c>
      <c r="B287" s="1813" t="s">
        <v>5983</v>
      </c>
      <c r="C287" s="1638">
        <v>1</v>
      </c>
      <c r="D287" s="1639" t="s">
        <v>5284</v>
      </c>
      <c r="E287" s="1944" t="s">
        <v>15114</v>
      </c>
    </row>
    <row r="288" spans="1:8" s="1809" customFormat="1" ht="45" x14ac:dyDescent="0.2">
      <c r="A288" s="1635" t="s">
        <v>7007</v>
      </c>
      <c r="B288" s="1813" t="s">
        <v>5984</v>
      </c>
      <c r="C288" s="1638">
        <v>26</v>
      </c>
      <c r="D288" s="1639" t="s">
        <v>5284</v>
      </c>
      <c r="E288" s="1944" t="s">
        <v>15114</v>
      </c>
    </row>
    <row r="289" spans="1:8" s="1809" customFormat="1" ht="45" x14ac:dyDescent="0.2">
      <c r="A289" s="1635" t="s">
        <v>7008</v>
      </c>
      <c r="B289" s="1813" t="s">
        <v>5985</v>
      </c>
      <c r="C289" s="1638">
        <v>6</v>
      </c>
      <c r="D289" s="1639" t="s">
        <v>5284</v>
      </c>
      <c r="E289" s="1944" t="s">
        <v>15114</v>
      </c>
    </row>
    <row r="290" spans="1:8" s="1809" customFormat="1" ht="45" x14ac:dyDescent="0.2">
      <c r="A290" s="1635" t="s">
        <v>5987</v>
      </c>
      <c r="B290" s="1813" t="s">
        <v>5986</v>
      </c>
      <c r="C290" s="1638">
        <v>1</v>
      </c>
      <c r="D290" s="1639" t="s">
        <v>5284</v>
      </c>
      <c r="E290" s="1944" t="s">
        <v>15114</v>
      </c>
    </row>
    <row r="291" spans="1:8" s="1809" customFormat="1" ht="45" x14ac:dyDescent="0.2">
      <c r="A291" s="1635" t="s">
        <v>7011</v>
      </c>
      <c r="B291" s="1813" t="s">
        <v>6152</v>
      </c>
      <c r="C291" s="1638">
        <v>16</v>
      </c>
      <c r="D291" s="1639" t="s">
        <v>5284</v>
      </c>
      <c r="E291" s="1944" t="s">
        <v>15115</v>
      </c>
    </row>
    <row r="292" spans="1:8" s="1809" customFormat="1" ht="75" x14ac:dyDescent="0.2">
      <c r="A292" s="1635" t="s">
        <v>7012</v>
      </c>
      <c r="B292" s="1813" t="s">
        <v>8561</v>
      </c>
      <c r="C292" s="1638">
        <v>4</v>
      </c>
      <c r="D292" s="1639" t="s">
        <v>5284</v>
      </c>
      <c r="E292" s="1944" t="s">
        <v>15115</v>
      </c>
    </row>
    <row r="293" spans="1:8" s="1809" customFormat="1" ht="45" x14ac:dyDescent="0.2">
      <c r="A293" s="1635" t="s">
        <v>7013</v>
      </c>
      <c r="B293" s="1813" t="s">
        <v>7009</v>
      </c>
      <c r="C293" s="1638">
        <v>14</v>
      </c>
      <c r="D293" s="1639" t="s">
        <v>5284</v>
      </c>
      <c r="E293" s="1944" t="s">
        <v>15114</v>
      </c>
    </row>
    <row r="294" spans="1:8" s="1809" customFormat="1" ht="45" x14ac:dyDescent="0.2">
      <c r="A294" s="1635" t="s">
        <v>7014</v>
      </c>
      <c r="B294" s="1813" t="s">
        <v>7010</v>
      </c>
      <c r="C294" s="1638">
        <v>4</v>
      </c>
      <c r="D294" s="1639" t="s">
        <v>5284</v>
      </c>
      <c r="E294" s="1944" t="s">
        <v>15114</v>
      </c>
    </row>
    <row r="295" spans="1:8" s="1809" customFormat="1" ht="45" x14ac:dyDescent="0.2">
      <c r="A295" s="1635" t="s">
        <v>7016</v>
      </c>
      <c r="B295" s="1813" t="s">
        <v>7015</v>
      </c>
      <c r="C295" s="1638">
        <v>18</v>
      </c>
      <c r="D295" s="1639" t="s">
        <v>5284</v>
      </c>
      <c r="E295" s="1944" t="s">
        <v>15114</v>
      </c>
    </row>
    <row r="296" spans="1:8" s="1809" customFormat="1" ht="15" x14ac:dyDescent="0.2">
      <c r="A296" s="1635" t="s">
        <v>7034</v>
      </c>
      <c r="B296" s="1813" t="s">
        <v>7035</v>
      </c>
      <c r="C296" s="1638">
        <v>4</v>
      </c>
      <c r="D296" s="1639" t="s">
        <v>5284</v>
      </c>
      <c r="E296" s="1944" t="s">
        <v>15115</v>
      </c>
    </row>
    <row r="297" spans="1:8" s="1809" customFormat="1" ht="45" x14ac:dyDescent="0.2">
      <c r="A297" s="1635" t="s">
        <v>6009</v>
      </c>
      <c r="B297" s="1813" t="s">
        <v>9471</v>
      </c>
      <c r="C297" s="1638">
        <v>6</v>
      </c>
      <c r="D297" s="1639" t="s">
        <v>5284</v>
      </c>
      <c r="E297" s="1944" t="s">
        <v>15114</v>
      </c>
    </row>
    <row r="298" spans="1:8" s="1809" customFormat="1" ht="45" x14ac:dyDescent="0.2">
      <c r="A298" s="1635" t="s">
        <v>7019</v>
      </c>
      <c r="B298" s="1813" t="s">
        <v>5991</v>
      </c>
      <c r="C298" s="1638">
        <v>1</v>
      </c>
      <c r="D298" s="1639" t="s">
        <v>5284</v>
      </c>
      <c r="E298" s="1944" t="s">
        <v>15116</v>
      </c>
    </row>
    <row r="299" spans="1:8" s="1809" customFormat="1" ht="60" x14ac:dyDescent="0.2">
      <c r="A299" s="1635" t="s">
        <v>7020</v>
      </c>
      <c r="B299" s="1813" t="s">
        <v>5992</v>
      </c>
      <c r="C299" s="1638">
        <v>28</v>
      </c>
      <c r="D299" s="1639" t="s">
        <v>5284</v>
      </c>
      <c r="E299" s="1944" t="s">
        <v>15116</v>
      </c>
    </row>
    <row r="300" spans="1:8" s="8" customFormat="1" ht="15" x14ac:dyDescent="0.2">
      <c r="A300" s="1982" t="s">
        <v>0</v>
      </c>
      <c r="B300" s="45" t="s">
        <v>1</v>
      </c>
      <c r="C300" s="1510" t="s">
        <v>131</v>
      </c>
      <c r="D300" s="46" t="s">
        <v>11</v>
      </c>
      <c r="E300" s="1942" t="s">
        <v>14974</v>
      </c>
      <c r="G300" s="1953"/>
      <c r="H300" s="1953"/>
    </row>
    <row r="301" spans="1:8" s="1809" customFormat="1" ht="60" x14ac:dyDescent="0.2">
      <c r="A301" s="1635" t="s">
        <v>7021</v>
      </c>
      <c r="B301" s="1813" t="s">
        <v>5993</v>
      </c>
      <c r="C301" s="1638">
        <v>5</v>
      </c>
      <c r="D301" s="1639" t="s">
        <v>5284</v>
      </c>
      <c r="E301" s="1944" t="s">
        <v>15116</v>
      </c>
    </row>
    <row r="302" spans="1:8" s="1809" customFormat="1" ht="60" x14ac:dyDescent="0.2">
      <c r="A302" s="1635" t="s">
        <v>7022</v>
      </c>
      <c r="B302" s="1813" t="s">
        <v>5994</v>
      </c>
      <c r="C302" s="1638">
        <v>8</v>
      </c>
      <c r="D302" s="1639" t="s">
        <v>5284</v>
      </c>
      <c r="E302" s="1944" t="s">
        <v>15116</v>
      </c>
    </row>
    <row r="303" spans="1:8" s="1809" customFormat="1" ht="45" x14ac:dyDescent="0.2">
      <c r="A303" s="1635" t="s">
        <v>6013</v>
      </c>
      <c r="B303" s="1813" t="s">
        <v>5995</v>
      </c>
      <c r="C303" s="1638">
        <v>1</v>
      </c>
      <c r="D303" s="1639" t="s">
        <v>5284</v>
      </c>
      <c r="E303" s="1944" t="s">
        <v>15114</v>
      </c>
    </row>
    <row r="304" spans="1:8" s="1809" customFormat="1" ht="45" x14ac:dyDescent="0.2">
      <c r="A304" s="1635" t="s">
        <v>7023</v>
      </c>
      <c r="B304" s="1813" t="s">
        <v>5996</v>
      </c>
      <c r="C304" s="1638">
        <v>20</v>
      </c>
      <c r="D304" s="1639" t="s">
        <v>5284</v>
      </c>
      <c r="E304" s="1944" t="s">
        <v>15114</v>
      </c>
    </row>
    <row r="305" spans="1:8" s="1809" customFormat="1" ht="45" x14ac:dyDescent="0.2">
      <c r="A305" s="1635" t="s">
        <v>7024</v>
      </c>
      <c r="B305" s="1813" t="s">
        <v>5997</v>
      </c>
      <c r="C305" s="1638">
        <v>45</v>
      </c>
      <c r="D305" s="1639" t="s">
        <v>5284</v>
      </c>
      <c r="E305" s="1944" t="s">
        <v>15114</v>
      </c>
    </row>
    <row r="306" spans="1:8" s="1809" customFormat="1" ht="45" x14ac:dyDescent="0.2">
      <c r="A306" s="1635" t="s">
        <v>7025</v>
      </c>
      <c r="B306" s="1813" t="s">
        <v>5998</v>
      </c>
      <c r="C306" s="1638">
        <v>2</v>
      </c>
      <c r="D306" s="1639" t="s">
        <v>5284</v>
      </c>
      <c r="E306" s="1944" t="s">
        <v>15114</v>
      </c>
    </row>
    <row r="307" spans="1:8" s="1809" customFormat="1" ht="45" x14ac:dyDescent="0.2">
      <c r="A307" s="1635" t="s">
        <v>7026</v>
      </c>
      <c r="B307" s="1813" t="s">
        <v>7028</v>
      </c>
      <c r="C307" s="1638">
        <v>13</v>
      </c>
      <c r="D307" s="1639" t="s">
        <v>5284</v>
      </c>
      <c r="E307" s="1944" t="s">
        <v>15114</v>
      </c>
    </row>
    <row r="308" spans="1:8" s="1809" customFormat="1" ht="45" x14ac:dyDescent="0.2">
      <c r="A308" s="1635" t="s">
        <v>7027</v>
      </c>
      <c r="B308" s="1813" t="s">
        <v>6000</v>
      </c>
      <c r="C308" s="1638">
        <v>9</v>
      </c>
      <c r="D308" s="1639" t="s">
        <v>5284</v>
      </c>
      <c r="E308" s="1944" t="s">
        <v>15114</v>
      </c>
    </row>
    <row r="309" spans="1:8" s="1809" customFormat="1" ht="45" x14ac:dyDescent="0.2">
      <c r="A309" s="1635" t="s">
        <v>6016</v>
      </c>
      <c r="B309" s="1813" t="s">
        <v>6001</v>
      </c>
      <c r="C309" s="1638">
        <v>7</v>
      </c>
      <c r="D309" s="1639" t="s">
        <v>5284</v>
      </c>
      <c r="E309" s="1944" t="s">
        <v>15114</v>
      </c>
    </row>
    <row r="310" spans="1:8" s="1809" customFormat="1" ht="45" x14ac:dyDescent="0.2">
      <c r="A310" s="1635" t="s">
        <v>7029</v>
      </c>
      <c r="B310" s="1813" t="s">
        <v>6002</v>
      </c>
      <c r="C310" s="1638">
        <v>27</v>
      </c>
      <c r="D310" s="1639" t="s">
        <v>5284</v>
      </c>
      <c r="E310" s="1944" t="s">
        <v>15114</v>
      </c>
    </row>
    <row r="311" spans="1:8" s="1809" customFormat="1" ht="45" x14ac:dyDescent="0.2">
      <c r="A311" s="1635" t="s">
        <v>7030</v>
      </c>
      <c r="B311" s="1813" t="s">
        <v>6003</v>
      </c>
      <c r="C311" s="1638">
        <v>11</v>
      </c>
      <c r="D311" s="1639" t="s">
        <v>5284</v>
      </c>
      <c r="E311" s="1944" t="s">
        <v>15114</v>
      </c>
    </row>
    <row r="312" spans="1:8" s="1809" customFormat="1" ht="45" x14ac:dyDescent="0.2">
      <c r="A312" s="1635" t="s">
        <v>9558</v>
      </c>
      <c r="B312" s="1813" t="s">
        <v>6004</v>
      </c>
      <c r="C312" s="1638">
        <v>5</v>
      </c>
      <c r="D312" s="1639" t="s">
        <v>5284</v>
      </c>
      <c r="E312" s="1944" t="s">
        <v>15114</v>
      </c>
    </row>
    <row r="313" spans="1:8" s="1809" customFormat="1" ht="45" x14ac:dyDescent="0.2">
      <c r="A313" s="1635" t="s">
        <v>7031</v>
      </c>
      <c r="B313" s="1813" t="s">
        <v>6005</v>
      </c>
      <c r="C313" s="1638">
        <v>2</v>
      </c>
      <c r="D313" s="1639" t="s">
        <v>5284</v>
      </c>
      <c r="E313" s="1944" t="s">
        <v>15114</v>
      </c>
    </row>
    <row r="314" spans="1:8" s="1809" customFormat="1" ht="45" x14ac:dyDescent="0.2">
      <c r="A314" s="1635" t="s">
        <v>7017</v>
      </c>
      <c r="B314" s="1813" t="s">
        <v>7033</v>
      </c>
      <c r="C314" s="1638">
        <v>25</v>
      </c>
      <c r="D314" s="1639" t="s">
        <v>5284</v>
      </c>
      <c r="E314" s="1944" t="s">
        <v>15114</v>
      </c>
    </row>
    <row r="315" spans="1:8" s="1809" customFormat="1" ht="45" x14ac:dyDescent="0.2">
      <c r="A315" s="1635" t="s">
        <v>7477</v>
      </c>
      <c r="B315" s="1813" t="s">
        <v>6006</v>
      </c>
      <c r="C315" s="1638">
        <v>2</v>
      </c>
      <c r="D315" s="1639" t="s">
        <v>5284</v>
      </c>
      <c r="E315" s="1944" t="s">
        <v>15114</v>
      </c>
    </row>
    <row r="316" spans="1:8" s="1809" customFormat="1" ht="45" x14ac:dyDescent="0.2">
      <c r="A316" s="1635" t="s">
        <v>7478</v>
      </c>
      <c r="B316" s="1813" t="s">
        <v>6007</v>
      </c>
      <c r="C316" s="1638">
        <v>10</v>
      </c>
      <c r="D316" s="1639" t="s">
        <v>5284</v>
      </c>
      <c r="E316" s="1944" t="s">
        <v>15114</v>
      </c>
    </row>
    <row r="317" spans="1:8" s="1809" customFormat="1" ht="45" x14ac:dyDescent="0.2">
      <c r="A317" s="1635" t="s">
        <v>6017</v>
      </c>
      <c r="B317" s="1813" t="s">
        <v>6008</v>
      </c>
      <c r="C317" s="1638">
        <v>18</v>
      </c>
      <c r="D317" s="1639" t="s">
        <v>5284</v>
      </c>
      <c r="E317" s="1944" t="s">
        <v>15114</v>
      </c>
    </row>
    <row r="318" spans="1:8" s="8" customFormat="1" ht="15" x14ac:dyDescent="0.2">
      <c r="A318" s="1982" t="s">
        <v>0</v>
      </c>
      <c r="B318" s="45" t="s">
        <v>1</v>
      </c>
      <c r="C318" s="1510" t="s">
        <v>131</v>
      </c>
      <c r="D318" s="46" t="s">
        <v>11</v>
      </c>
      <c r="E318" s="1942" t="s">
        <v>14974</v>
      </c>
      <c r="G318" s="1953"/>
      <c r="H318" s="1953"/>
    </row>
    <row r="319" spans="1:8" s="1809" customFormat="1" ht="30" x14ac:dyDescent="0.2">
      <c r="A319" s="1635" t="s">
        <v>6034</v>
      </c>
      <c r="B319" s="1813" t="s">
        <v>6028</v>
      </c>
      <c r="C319" s="1638">
        <v>2</v>
      </c>
      <c r="D319" s="1639" t="s">
        <v>5284</v>
      </c>
      <c r="E319" s="1944" t="s">
        <v>14996</v>
      </c>
    </row>
    <row r="320" spans="1:8" s="1809" customFormat="1" ht="30" x14ac:dyDescent="0.2">
      <c r="A320" s="1635" t="s">
        <v>6035</v>
      </c>
      <c r="B320" s="1813" t="s">
        <v>6029</v>
      </c>
      <c r="C320" s="1638">
        <v>2</v>
      </c>
      <c r="D320" s="1639" t="s">
        <v>5284</v>
      </c>
      <c r="E320" s="1944" t="s">
        <v>14996</v>
      </c>
    </row>
    <row r="321" spans="1:5" s="1809" customFormat="1" ht="30" x14ac:dyDescent="0.2">
      <c r="A321" s="1635" t="s">
        <v>6040</v>
      </c>
      <c r="B321" s="1813" t="s">
        <v>6039</v>
      </c>
      <c r="C321" s="1638">
        <v>18</v>
      </c>
      <c r="D321" s="1639" t="s">
        <v>5284</v>
      </c>
      <c r="E321" s="1944" t="s">
        <v>15079</v>
      </c>
    </row>
    <row r="322" spans="1:5" s="1809" customFormat="1" ht="30" x14ac:dyDescent="0.2">
      <c r="A322" s="1635" t="s">
        <v>8896</v>
      </c>
      <c r="B322" s="1813" t="s">
        <v>6043</v>
      </c>
      <c r="C322" s="1638">
        <v>337.72</v>
      </c>
      <c r="D322" s="1639" t="s">
        <v>5713</v>
      </c>
      <c r="E322" s="1944" t="s">
        <v>15080</v>
      </c>
    </row>
    <row r="323" spans="1:5" s="1809" customFormat="1" ht="30" x14ac:dyDescent="0.2">
      <c r="A323" s="1635" t="s">
        <v>8897</v>
      </c>
      <c r="B323" s="1813" t="s">
        <v>8898</v>
      </c>
      <c r="C323" s="1638">
        <v>91.23</v>
      </c>
      <c r="D323" s="1639" t="s">
        <v>5713</v>
      </c>
      <c r="E323" s="1944" t="s">
        <v>14993</v>
      </c>
    </row>
    <row r="324" spans="1:5" s="1809" customFormat="1" ht="30" x14ac:dyDescent="0.2">
      <c r="A324" s="1635" t="s">
        <v>6051</v>
      </c>
      <c r="B324" s="1813" t="s">
        <v>6044</v>
      </c>
      <c r="C324" s="1638">
        <v>6</v>
      </c>
      <c r="D324" s="1639" t="s">
        <v>5284</v>
      </c>
      <c r="E324" s="1944" t="s">
        <v>15080</v>
      </c>
    </row>
    <row r="325" spans="1:5" s="1809" customFormat="1" ht="30" x14ac:dyDescent="0.2">
      <c r="A325" s="1635" t="s">
        <v>7496</v>
      </c>
      <c r="B325" s="1813" t="s">
        <v>14975</v>
      </c>
      <c r="C325" s="1638">
        <v>12</v>
      </c>
      <c r="D325" s="1639" t="s">
        <v>5284</v>
      </c>
      <c r="E325" s="1944" t="s">
        <v>15080</v>
      </c>
    </row>
    <row r="326" spans="1:5" s="1809" customFormat="1" ht="30" x14ac:dyDescent="0.2">
      <c r="A326" s="1635" t="s">
        <v>7497</v>
      </c>
      <c r="B326" s="1813" t="s">
        <v>6046</v>
      </c>
      <c r="C326" s="1638">
        <v>11</v>
      </c>
      <c r="D326" s="1639" t="s">
        <v>5284</v>
      </c>
      <c r="E326" s="1944" t="s">
        <v>15080</v>
      </c>
    </row>
    <row r="327" spans="1:5" s="1809" customFormat="1" ht="30" x14ac:dyDescent="0.2">
      <c r="A327" s="1635" t="s">
        <v>6052</v>
      </c>
      <c r="B327" s="1813" t="s">
        <v>6047</v>
      </c>
      <c r="C327" s="1638">
        <v>4</v>
      </c>
      <c r="D327" s="1639" t="s">
        <v>5284</v>
      </c>
      <c r="E327" s="1944" t="s">
        <v>15080</v>
      </c>
    </row>
    <row r="328" spans="1:5" s="1809" customFormat="1" ht="30" x14ac:dyDescent="0.2">
      <c r="A328" s="1635" t="s">
        <v>7498</v>
      </c>
      <c r="B328" s="1813" t="s">
        <v>6048</v>
      </c>
      <c r="C328" s="1638">
        <v>14</v>
      </c>
      <c r="D328" s="1639" t="s">
        <v>5284</v>
      </c>
      <c r="E328" s="1944" t="s">
        <v>15080</v>
      </c>
    </row>
    <row r="329" spans="1:5" s="1809" customFormat="1" ht="30" x14ac:dyDescent="0.2">
      <c r="A329" s="1635" t="s">
        <v>7499</v>
      </c>
      <c r="B329" s="1813" t="s">
        <v>6049</v>
      </c>
      <c r="C329" s="1638">
        <v>11</v>
      </c>
      <c r="D329" s="1639" t="s">
        <v>5284</v>
      </c>
      <c r="E329" s="1944" t="s">
        <v>15080</v>
      </c>
    </row>
    <row r="330" spans="1:5" s="1809" customFormat="1" ht="30" x14ac:dyDescent="0.2">
      <c r="A330" s="1635" t="s">
        <v>6059</v>
      </c>
      <c r="B330" s="1813" t="s">
        <v>6055</v>
      </c>
      <c r="C330" s="1638">
        <v>16</v>
      </c>
      <c r="D330" s="1639" t="s">
        <v>5284</v>
      </c>
      <c r="E330" s="1944" t="s">
        <v>15080</v>
      </c>
    </row>
    <row r="331" spans="1:5" s="1809" customFormat="1" ht="30" x14ac:dyDescent="0.2">
      <c r="A331" s="1635" t="s">
        <v>6060</v>
      </c>
      <c r="B331" s="1813" t="s">
        <v>6056</v>
      </c>
      <c r="C331" s="1638">
        <v>16</v>
      </c>
      <c r="D331" s="1639" t="s">
        <v>5284</v>
      </c>
      <c r="E331" s="1944" t="s">
        <v>15080</v>
      </c>
    </row>
    <row r="332" spans="1:5" s="1809" customFormat="1" ht="30" x14ac:dyDescent="0.2">
      <c r="A332" s="1635" t="s">
        <v>6061</v>
      </c>
      <c r="B332" s="1813" t="s">
        <v>6057</v>
      </c>
      <c r="C332" s="1638">
        <v>3.456</v>
      </c>
      <c r="D332" s="1639" t="s">
        <v>5685</v>
      </c>
      <c r="E332" s="1944" t="s">
        <v>15080</v>
      </c>
    </row>
    <row r="333" spans="1:5" s="1809" customFormat="1" ht="45" x14ac:dyDescent="0.2">
      <c r="A333" s="1635" t="s">
        <v>6062</v>
      </c>
      <c r="B333" s="1813" t="s">
        <v>8900</v>
      </c>
      <c r="C333" s="1638">
        <v>3</v>
      </c>
      <c r="D333" s="1639" t="s">
        <v>5284</v>
      </c>
      <c r="E333" s="1944" t="s">
        <v>14993</v>
      </c>
    </row>
    <row r="334" spans="1:5" s="1809" customFormat="1" ht="30" x14ac:dyDescent="0.2">
      <c r="A334" s="1635" t="s">
        <v>8899</v>
      </c>
      <c r="B334" s="1813" t="s">
        <v>6058</v>
      </c>
      <c r="C334" s="1638">
        <v>48</v>
      </c>
      <c r="D334" s="1639" t="s">
        <v>5284</v>
      </c>
      <c r="E334" s="1944" t="s">
        <v>15081</v>
      </c>
    </row>
    <row r="335" spans="1:5" s="1809" customFormat="1" ht="30" x14ac:dyDescent="0.2">
      <c r="A335" s="1635" t="s">
        <v>7500</v>
      </c>
      <c r="B335" s="1813" t="s">
        <v>6066</v>
      </c>
      <c r="C335" s="1638">
        <v>181.63</v>
      </c>
      <c r="D335" s="1639" t="s">
        <v>5713</v>
      </c>
      <c r="E335" s="1944" t="s">
        <v>15082</v>
      </c>
    </row>
    <row r="336" spans="1:5" s="1809" customFormat="1" ht="30" x14ac:dyDescent="0.2">
      <c r="A336" s="1635" t="s">
        <v>7501</v>
      </c>
      <c r="B336" s="1813" t="s">
        <v>6067</v>
      </c>
      <c r="C336" s="1638">
        <v>195.6</v>
      </c>
      <c r="D336" s="1639" t="s">
        <v>5713</v>
      </c>
      <c r="E336" s="1944" t="s">
        <v>15082</v>
      </c>
    </row>
    <row r="337" spans="1:8" s="1809" customFormat="1" ht="30" x14ac:dyDescent="0.2">
      <c r="A337" s="1635" t="s">
        <v>7502</v>
      </c>
      <c r="B337" s="1813" t="s">
        <v>6068</v>
      </c>
      <c r="C337" s="1638">
        <v>432.07999999999993</v>
      </c>
      <c r="D337" s="1639" t="s">
        <v>5713</v>
      </c>
      <c r="E337" s="1944" t="s">
        <v>15082</v>
      </c>
    </row>
    <row r="338" spans="1:8" s="1809" customFormat="1" ht="30" x14ac:dyDescent="0.2">
      <c r="A338" s="1635" t="s">
        <v>7503</v>
      </c>
      <c r="B338" s="1813" t="s">
        <v>6069</v>
      </c>
      <c r="C338" s="1638">
        <v>266.83</v>
      </c>
      <c r="D338" s="1639" t="s">
        <v>5713</v>
      </c>
      <c r="E338" s="1944" t="s">
        <v>15082</v>
      </c>
    </row>
    <row r="339" spans="1:8" s="1809" customFormat="1" ht="60" x14ac:dyDescent="0.2">
      <c r="A339" s="1635" t="s">
        <v>7504</v>
      </c>
      <c r="B339" s="1813" t="s">
        <v>6070</v>
      </c>
      <c r="C339" s="1638">
        <v>173.49</v>
      </c>
      <c r="D339" s="1639" t="s">
        <v>5713</v>
      </c>
      <c r="E339" s="1944" t="s">
        <v>15083</v>
      </c>
    </row>
    <row r="340" spans="1:8" s="1809" customFormat="1" ht="30" x14ac:dyDescent="0.2">
      <c r="A340" s="1635" t="s">
        <v>7505</v>
      </c>
      <c r="B340" s="1813" t="s">
        <v>6071</v>
      </c>
      <c r="C340" s="1638">
        <v>10</v>
      </c>
      <c r="D340" s="1639" t="s">
        <v>5284</v>
      </c>
      <c r="E340" s="1944" t="s">
        <v>15082</v>
      </c>
    </row>
    <row r="341" spans="1:8" s="1809" customFormat="1" ht="30" x14ac:dyDescent="0.2">
      <c r="A341" s="1635" t="s">
        <v>7506</v>
      </c>
      <c r="B341" s="1813" t="s">
        <v>6072</v>
      </c>
      <c r="C341" s="1638">
        <v>9</v>
      </c>
      <c r="D341" s="1639" t="s">
        <v>5284</v>
      </c>
      <c r="E341" s="1944" t="s">
        <v>15082</v>
      </c>
    </row>
    <row r="342" spans="1:8" s="1809" customFormat="1" ht="30" x14ac:dyDescent="0.2">
      <c r="A342" s="1635" t="s">
        <v>7507</v>
      </c>
      <c r="B342" s="1813" t="s">
        <v>6073</v>
      </c>
      <c r="C342" s="1638">
        <v>4</v>
      </c>
      <c r="D342" s="1639" t="s">
        <v>5284</v>
      </c>
      <c r="E342" s="1944" t="s">
        <v>15082</v>
      </c>
    </row>
    <row r="343" spans="1:8" s="1809" customFormat="1" ht="30" x14ac:dyDescent="0.2">
      <c r="A343" s="1635" t="s">
        <v>7508</v>
      </c>
      <c r="B343" s="1813" t="s">
        <v>6074</v>
      </c>
      <c r="C343" s="1638">
        <v>1</v>
      </c>
      <c r="D343" s="1639" t="s">
        <v>5284</v>
      </c>
      <c r="E343" s="1944" t="s">
        <v>15082</v>
      </c>
    </row>
    <row r="344" spans="1:8" s="8" customFormat="1" ht="15" x14ac:dyDescent="0.2">
      <c r="A344" s="1982" t="s">
        <v>0</v>
      </c>
      <c r="B344" s="45" t="s">
        <v>1</v>
      </c>
      <c r="C344" s="1510" t="s">
        <v>131</v>
      </c>
      <c r="D344" s="46" t="s">
        <v>11</v>
      </c>
      <c r="E344" s="1942" t="s">
        <v>14974</v>
      </c>
      <c r="G344" s="1953"/>
      <c r="H344" s="1953"/>
    </row>
    <row r="345" spans="1:8" s="1809" customFormat="1" ht="30" x14ac:dyDescent="0.2">
      <c r="A345" s="1635" t="s">
        <v>7509</v>
      </c>
      <c r="B345" s="1813" t="s">
        <v>6075</v>
      </c>
      <c r="C345" s="1638">
        <v>55</v>
      </c>
      <c r="D345" s="1639" t="s">
        <v>5284</v>
      </c>
      <c r="E345" s="1944" t="s">
        <v>15082</v>
      </c>
    </row>
    <row r="346" spans="1:8" s="1809" customFormat="1" ht="30" x14ac:dyDescent="0.2">
      <c r="A346" s="1635" t="s">
        <v>7510</v>
      </c>
      <c r="B346" s="1813" t="s">
        <v>6076</v>
      </c>
      <c r="C346" s="1638">
        <v>58</v>
      </c>
      <c r="D346" s="1639" t="s">
        <v>5284</v>
      </c>
      <c r="E346" s="1944" t="s">
        <v>15082</v>
      </c>
    </row>
    <row r="347" spans="1:8" s="1809" customFormat="1" ht="30" x14ac:dyDescent="0.2">
      <c r="A347" s="1635" t="s">
        <v>7511</v>
      </c>
      <c r="B347" s="1813" t="s">
        <v>6077</v>
      </c>
      <c r="C347" s="1638">
        <v>59</v>
      </c>
      <c r="D347" s="1639" t="s">
        <v>5284</v>
      </c>
      <c r="E347" s="1944" t="s">
        <v>15082</v>
      </c>
    </row>
    <row r="348" spans="1:8" s="1809" customFormat="1" ht="30" x14ac:dyDescent="0.2">
      <c r="A348" s="1635" t="s">
        <v>7512</v>
      </c>
      <c r="B348" s="1813" t="s">
        <v>6078</v>
      </c>
      <c r="C348" s="1638">
        <v>35</v>
      </c>
      <c r="D348" s="1639" t="s">
        <v>5284</v>
      </c>
      <c r="E348" s="1944" t="s">
        <v>15082</v>
      </c>
    </row>
    <row r="349" spans="1:8" s="1809" customFormat="1" ht="30" x14ac:dyDescent="0.2">
      <c r="A349" s="1635" t="s">
        <v>7513</v>
      </c>
      <c r="B349" s="1813" t="s">
        <v>6079</v>
      </c>
      <c r="C349" s="1638">
        <v>118</v>
      </c>
      <c r="D349" s="1639" t="s">
        <v>5284</v>
      </c>
      <c r="E349" s="1944" t="s">
        <v>15082</v>
      </c>
    </row>
    <row r="350" spans="1:8" s="1809" customFormat="1" ht="30" x14ac:dyDescent="0.2">
      <c r="A350" s="1635" t="s">
        <v>7514</v>
      </c>
      <c r="B350" s="1813" t="s">
        <v>6080</v>
      </c>
      <c r="C350" s="1638">
        <v>1</v>
      </c>
      <c r="D350" s="1639" t="s">
        <v>5284</v>
      </c>
      <c r="E350" s="1944" t="s">
        <v>15082</v>
      </c>
    </row>
    <row r="351" spans="1:8" s="1809" customFormat="1" ht="30" x14ac:dyDescent="0.2">
      <c r="A351" s="1635" t="s">
        <v>7515</v>
      </c>
      <c r="B351" s="1813" t="s">
        <v>6081</v>
      </c>
      <c r="C351" s="1638">
        <v>13</v>
      </c>
      <c r="D351" s="1639" t="s">
        <v>5284</v>
      </c>
      <c r="E351" s="1944" t="s">
        <v>15082</v>
      </c>
    </row>
    <row r="352" spans="1:8" s="1809" customFormat="1" ht="30" x14ac:dyDescent="0.2">
      <c r="A352" s="1635" t="s">
        <v>7516</v>
      </c>
      <c r="B352" s="1813" t="s">
        <v>6082</v>
      </c>
      <c r="C352" s="1638">
        <v>6</v>
      </c>
      <c r="D352" s="1639" t="s">
        <v>5284</v>
      </c>
      <c r="E352" s="1944" t="s">
        <v>15082</v>
      </c>
    </row>
    <row r="353" spans="1:5" s="1809" customFormat="1" ht="30" x14ac:dyDescent="0.2">
      <c r="A353" s="1635" t="s">
        <v>7517</v>
      </c>
      <c r="B353" s="1813" t="s">
        <v>6083</v>
      </c>
      <c r="C353" s="1638">
        <v>5</v>
      </c>
      <c r="D353" s="1639" t="s">
        <v>5284</v>
      </c>
      <c r="E353" s="1944" t="s">
        <v>15082</v>
      </c>
    </row>
    <row r="354" spans="1:5" s="1809" customFormat="1" ht="30" x14ac:dyDescent="0.2">
      <c r="A354" s="1635" t="s">
        <v>7518</v>
      </c>
      <c r="B354" s="1813" t="s">
        <v>6084</v>
      </c>
      <c r="C354" s="1638">
        <v>15</v>
      </c>
      <c r="D354" s="1639" t="s">
        <v>5284</v>
      </c>
      <c r="E354" s="1944" t="s">
        <v>15082</v>
      </c>
    </row>
    <row r="355" spans="1:5" s="1809" customFormat="1" ht="30" x14ac:dyDescent="0.2">
      <c r="A355" s="1635" t="s">
        <v>7519</v>
      </c>
      <c r="B355" s="1813" t="s">
        <v>6085</v>
      </c>
      <c r="C355" s="1638">
        <v>1</v>
      </c>
      <c r="D355" s="1639" t="s">
        <v>5284</v>
      </c>
      <c r="E355" s="1944" t="s">
        <v>15082</v>
      </c>
    </row>
    <row r="356" spans="1:5" s="1809" customFormat="1" ht="30" x14ac:dyDescent="0.2">
      <c r="A356" s="1635" t="s">
        <v>7520</v>
      </c>
      <c r="B356" s="1813" t="s">
        <v>6086</v>
      </c>
      <c r="C356" s="1638">
        <v>1</v>
      </c>
      <c r="D356" s="1639" t="s">
        <v>5284</v>
      </c>
      <c r="E356" s="1944" t="s">
        <v>15082</v>
      </c>
    </row>
    <row r="357" spans="1:5" s="1809" customFormat="1" ht="30" x14ac:dyDescent="0.2">
      <c r="A357" s="1635" t="s">
        <v>7521</v>
      </c>
      <c r="B357" s="1813" t="s">
        <v>6087</v>
      </c>
      <c r="C357" s="1638">
        <v>4</v>
      </c>
      <c r="D357" s="1639" t="s">
        <v>5284</v>
      </c>
      <c r="E357" s="1944" t="s">
        <v>15082</v>
      </c>
    </row>
    <row r="358" spans="1:5" s="1809" customFormat="1" ht="30" x14ac:dyDescent="0.2">
      <c r="A358" s="1635" t="s">
        <v>7522</v>
      </c>
      <c r="B358" s="1813" t="s">
        <v>6088</v>
      </c>
      <c r="C358" s="1638">
        <v>16</v>
      </c>
      <c r="D358" s="1639" t="s">
        <v>5284</v>
      </c>
      <c r="E358" s="1944" t="s">
        <v>15082</v>
      </c>
    </row>
    <row r="359" spans="1:5" s="1809" customFormat="1" ht="30" x14ac:dyDescent="0.2">
      <c r="A359" s="1635" t="s">
        <v>7523</v>
      </c>
      <c r="B359" s="1813" t="s">
        <v>6089</v>
      </c>
      <c r="C359" s="1638">
        <v>5</v>
      </c>
      <c r="D359" s="1639" t="s">
        <v>5284</v>
      </c>
      <c r="E359" s="1944" t="s">
        <v>15082</v>
      </c>
    </row>
    <row r="360" spans="1:5" s="1809" customFormat="1" ht="30" x14ac:dyDescent="0.2">
      <c r="A360" s="1635" t="s">
        <v>7524</v>
      </c>
      <c r="B360" s="1813" t="s">
        <v>6090</v>
      </c>
      <c r="C360" s="1638">
        <v>107</v>
      </c>
      <c r="D360" s="1639" t="s">
        <v>5284</v>
      </c>
      <c r="E360" s="1944" t="s">
        <v>15082</v>
      </c>
    </row>
    <row r="361" spans="1:5" s="1809" customFormat="1" ht="30" x14ac:dyDescent="0.2">
      <c r="A361" s="1635" t="s">
        <v>7525</v>
      </c>
      <c r="B361" s="1813" t="s">
        <v>6091</v>
      </c>
      <c r="C361" s="1638">
        <v>96</v>
      </c>
      <c r="D361" s="1639" t="s">
        <v>5284</v>
      </c>
      <c r="E361" s="1944" t="s">
        <v>15082</v>
      </c>
    </row>
    <row r="362" spans="1:5" s="1809" customFormat="1" ht="30" x14ac:dyDescent="0.2">
      <c r="A362" s="1635" t="s">
        <v>7526</v>
      </c>
      <c r="B362" s="1813" t="s">
        <v>6092</v>
      </c>
      <c r="C362" s="1638">
        <v>87</v>
      </c>
      <c r="D362" s="1639" t="s">
        <v>5284</v>
      </c>
      <c r="E362" s="1944" t="s">
        <v>15082</v>
      </c>
    </row>
    <row r="363" spans="1:5" s="1809" customFormat="1" ht="30" x14ac:dyDescent="0.2">
      <c r="A363" s="1635" t="s">
        <v>7527</v>
      </c>
      <c r="B363" s="1813" t="s">
        <v>6093</v>
      </c>
      <c r="C363" s="1638">
        <v>9</v>
      </c>
      <c r="D363" s="1639" t="s">
        <v>5284</v>
      </c>
      <c r="E363" s="1944" t="s">
        <v>15082</v>
      </c>
    </row>
    <row r="364" spans="1:5" s="1809" customFormat="1" ht="30" x14ac:dyDescent="0.2">
      <c r="A364" s="1635" t="s">
        <v>7528</v>
      </c>
      <c r="B364" s="1813" t="s">
        <v>6094</v>
      </c>
      <c r="C364" s="1638">
        <v>9</v>
      </c>
      <c r="D364" s="1639" t="s">
        <v>5284</v>
      </c>
      <c r="E364" s="1944" t="s">
        <v>15082</v>
      </c>
    </row>
    <row r="365" spans="1:5" s="1809" customFormat="1" ht="30" x14ac:dyDescent="0.2">
      <c r="A365" s="1635" t="s">
        <v>7529</v>
      </c>
      <c r="B365" s="1813" t="s">
        <v>6095</v>
      </c>
      <c r="C365" s="1638">
        <v>13</v>
      </c>
      <c r="D365" s="1639" t="s">
        <v>5284</v>
      </c>
      <c r="E365" s="1944" t="s">
        <v>15082</v>
      </c>
    </row>
    <row r="366" spans="1:5" s="1809" customFormat="1" ht="30" x14ac:dyDescent="0.2">
      <c r="A366" s="1635" t="s">
        <v>7530</v>
      </c>
      <c r="B366" s="1813" t="s">
        <v>6096</v>
      </c>
      <c r="C366" s="1638">
        <v>6</v>
      </c>
      <c r="D366" s="1639" t="s">
        <v>5284</v>
      </c>
      <c r="E366" s="1944" t="s">
        <v>15082</v>
      </c>
    </row>
    <row r="367" spans="1:5" s="1809" customFormat="1" ht="30" x14ac:dyDescent="0.2">
      <c r="A367" s="1635" t="s">
        <v>7531</v>
      </c>
      <c r="B367" s="1813" t="s">
        <v>6097</v>
      </c>
      <c r="C367" s="1638">
        <v>26</v>
      </c>
      <c r="D367" s="1639" t="s">
        <v>5284</v>
      </c>
      <c r="E367" s="1944" t="s">
        <v>15082</v>
      </c>
    </row>
    <row r="368" spans="1:5" s="1809" customFormat="1" ht="30" x14ac:dyDescent="0.2">
      <c r="A368" s="1635" t="s">
        <v>7532</v>
      </c>
      <c r="B368" s="1813" t="s">
        <v>6098</v>
      </c>
      <c r="C368" s="1638">
        <v>8</v>
      </c>
      <c r="D368" s="1639" t="s">
        <v>5284</v>
      </c>
      <c r="E368" s="1944" t="s">
        <v>15082</v>
      </c>
    </row>
    <row r="369" spans="1:8" s="1809" customFormat="1" ht="30" x14ac:dyDescent="0.2">
      <c r="A369" s="1635" t="s">
        <v>7533</v>
      </c>
      <c r="B369" s="1813" t="s">
        <v>6099</v>
      </c>
      <c r="C369" s="1638">
        <v>61</v>
      </c>
      <c r="D369" s="1639" t="s">
        <v>5284</v>
      </c>
      <c r="E369" s="1944" t="s">
        <v>15082</v>
      </c>
    </row>
    <row r="370" spans="1:8" s="1809" customFormat="1" ht="30" x14ac:dyDescent="0.2">
      <c r="A370" s="1635" t="s">
        <v>7534</v>
      </c>
      <c r="B370" s="1813" t="s">
        <v>6100</v>
      </c>
      <c r="C370" s="1638">
        <v>27</v>
      </c>
      <c r="D370" s="1639" t="s">
        <v>5284</v>
      </c>
      <c r="E370" s="1944" t="s">
        <v>15082</v>
      </c>
    </row>
    <row r="371" spans="1:8" s="8" customFormat="1" ht="15" x14ac:dyDescent="0.2">
      <c r="A371" s="1982" t="s">
        <v>0</v>
      </c>
      <c r="B371" s="45" t="s">
        <v>1</v>
      </c>
      <c r="C371" s="1510" t="s">
        <v>131</v>
      </c>
      <c r="D371" s="46" t="s">
        <v>11</v>
      </c>
      <c r="E371" s="1942" t="s">
        <v>14974</v>
      </c>
      <c r="G371" s="1953"/>
      <c r="H371" s="1953"/>
    </row>
    <row r="372" spans="1:8" s="1809" customFormat="1" ht="30" x14ac:dyDescent="0.2">
      <c r="A372" s="1635" t="s">
        <v>7535</v>
      </c>
      <c r="B372" s="1813" t="s">
        <v>6101</v>
      </c>
      <c r="C372" s="1638">
        <v>76</v>
      </c>
      <c r="D372" s="1639" t="s">
        <v>5284</v>
      </c>
      <c r="E372" s="1944" t="s">
        <v>15082</v>
      </c>
    </row>
    <row r="373" spans="1:8" s="1809" customFormat="1" ht="30" x14ac:dyDescent="0.2">
      <c r="A373" s="1635" t="s">
        <v>7536</v>
      </c>
      <c r="B373" s="1813" t="s">
        <v>6102</v>
      </c>
      <c r="C373" s="1638">
        <v>182</v>
      </c>
      <c r="D373" s="1639" t="s">
        <v>5284</v>
      </c>
      <c r="E373" s="1944" t="s">
        <v>15082</v>
      </c>
    </row>
    <row r="374" spans="1:8" s="1809" customFormat="1" ht="30" x14ac:dyDescent="0.2">
      <c r="A374" s="1635" t="s">
        <v>7537</v>
      </c>
      <c r="B374" s="1813" t="s">
        <v>6103</v>
      </c>
      <c r="C374" s="1638">
        <v>99</v>
      </c>
      <c r="D374" s="1639" t="s">
        <v>5284</v>
      </c>
      <c r="E374" s="1944" t="s">
        <v>15082</v>
      </c>
    </row>
    <row r="375" spans="1:8" s="1809" customFormat="1" ht="30" x14ac:dyDescent="0.2">
      <c r="A375" s="1635" t="s">
        <v>7538</v>
      </c>
      <c r="B375" s="1813" t="s">
        <v>6104</v>
      </c>
      <c r="C375" s="1638">
        <v>1</v>
      </c>
      <c r="D375" s="1639" t="s">
        <v>5284</v>
      </c>
      <c r="E375" s="1944" t="s">
        <v>15082</v>
      </c>
    </row>
    <row r="376" spans="1:8" s="1809" customFormat="1" ht="30" x14ac:dyDescent="0.2">
      <c r="A376" s="1635" t="s">
        <v>7539</v>
      </c>
      <c r="B376" s="1813" t="s">
        <v>6105</v>
      </c>
      <c r="C376" s="1638">
        <v>44</v>
      </c>
      <c r="D376" s="1639" t="s">
        <v>5284</v>
      </c>
      <c r="E376" s="1944" t="s">
        <v>15082</v>
      </c>
    </row>
    <row r="377" spans="1:8" s="1809" customFormat="1" ht="30" x14ac:dyDescent="0.2">
      <c r="A377" s="1635" t="s">
        <v>7540</v>
      </c>
      <c r="B377" s="1813" t="s">
        <v>6106</v>
      </c>
      <c r="C377" s="1638">
        <v>33</v>
      </c>
      <c r="D377" s="1639" t="s">
        <v>5284</v>
      </c>
      <c r="E377" s="1944" t="s">
        <v>15082</v>
      </c>
    </row>
    <row r="378" spans="1:8" s="1809" customFormat="1" ht="30" x14ac:dyDescent="0.2">
      <c r="A378" s="1635" t="s">
        <v>7541</v>
      </c>
      <c r="B378" s="1813" t="s">
        <v>6107</v>
      </c>
      <c r="C378" s="1638">
        <v>12</v>
      </c>
      <c r="D378" s="1639" t="s">
        <v>5284</v>
      </c>
      <c r="E378" s="1944" t="s">
        <v>15082</v>
      </c>
    </row>
    <row r="379" spans="1:8" s="1809" customFormat="1" ht="30" x14ac:dyDescent="0.2">
      <c r="A379" s="1635" t="s">
        <v>7542</v>
      </c>
      <c r="B379" s="1813" t="s">
        <v>6108</v>
      </c>
      <c r="C379" s="1638">
        <v>19</v>
      </c>
      <c r="D379" s="1639" t="s">
        <v>5284</v>
      </c>
      <c r="E379" s="1944" t="s">
        <v>15082</v>
      </c>
    </row>
    <row r="380" spans="1:8" s="1809" customFormat="1" ht="30" x14ac:dyDescent="0.2">
      <c r="A380" s="1635" t="s">
        <v>7543</v>
      </c>
      <c r="B380" s="1813" t="s">
        <v>6109</v>
      </c>
      <c r="C380" s="1638">
        <v>71</v>
      </c>
      <c r="D380" s="1639" t="s">
        <v>5284</v>
      </c>
      <c r="E380" s="1944" t="s">
        <v>15082</v>
      </c>
    </row>
    <row r="381" spans="1:8" s="1809" customFormat="1" ht="30" x14ac:dyDescent="0.2">
      <c r="A381" s="1635" t="s">
        <v>7544</v>
      </c>
      <c r="B381" s="1813" t="s">
        <v>6110</v>
      </c>
      <c r="C381" s="1638">
        <v>2</v>
      </c>
      <c r="D381" s="1639" t="s">
        <v>5284</v>
      </c>
      <c r="E381" s="1944" t="s">
        <v>15082</v>
      </c>
    </row>
    <row r="382" spans="1:8" s="1809" customFormat="1" ht="30" x14ac:dyDescent="0.2">
      <c r="A382" s="1635" t="s">
        <v>7545</v>
      </c>
      <c r="B382" s="1813" t="s">
        <v>6153</v>
      </c>
      <c r="C382" s="1638">
        <v>2</v>
      </c>
      <c r="D382" s="1639" t="s">
        <v>5284</v>
      </c>
      <c r="E382" s="1944" t="s">
        <v>15082</v>
      </c>
    </row>
    <row r="383" spans="1:8" s="1809" customFormat="1" ht="30" x14ac:dyDescent="0.2">
      <c r="A383" s="1635" t="s">
        <v>7546</v>
      </c>
      <c r="B383" s="1813" t="s">
        <v>6111</v>
      </c>
      <c r="C383" s="1638">
        <v>25</v>
      </c>
      <c r="D383" s="1639" t="s">
        <v>5284</v>
      </c>
      <c r="E383" s="1944" t="s">
        <v>15082</v>
      </c>
    </row>
    <row r="384" spans="1:8" s="1809" customFormat="1" ht="30" x14ac:dyDescent="0.2">
      <c r="A384" s="1635" t="s">
        <v>7547</v>
      </c>
      <c r="B384" s="1813" t="s">
        <v>6112</v>
      </c>
      <c r="C384" s="1638">
        <v>4</v>
      </c>
      <c r="D384" s="1639" t="s">
        <v>5284</v>
      </c>
      <c r="E384" s="1944" t="s">
        <v>15082</v>
      </c>
    </row>
    <row r="385" spans="1:8" s="1809" customFormat="1" ht="30" x14ac:dyDescent="0.2">
      <c r="A385" s="1635" t="s">
        <v>7548</v>
      </c>
      <c r="B385" s="1813" t="s">
        <v>6113</v>
      </c>
      <c r="C385" s="1638">
        <v>4</v>
      </c>
      <c r="D385" s="1639" t="s">
        <v>5284</v>
      </c>
      <c r="E385" s="1944" t="s">
        <v>15082</v>
      </c>
    </row>
    <row r="386" spans="1:8" s="1809" customFormat="1" ht="30" x14ac:dyDescent="0.2">
      <c r="A386" s="1635" t="s">
        <v>7549</v>
      </c>
      <c r="B386" s="1813" t="s">
        <v>6156</v>
      </c>
      <c r="C386" s="1638">
        <v>11</v>
      </c>
      <c r="D386" s="1639" t="s">
        <v>5284</v>
      </c>
      <c r="E386" s="1944" t="s">
        <v>15082</v>
      </c>
    </row>
    <row r="387" spans="1:8" s="1809" customFormat="1" ht="30" x14ac:dyDescent="0.2">
      <c r="A387" s="1635" t="s">
        <v>7550</v>
      </c>
      <c r="B387" s="1813" t="s">
        <v>6125</v>
      </c>
      <c r="C387" s="1638">
        <v>2</v>
      </c>
      <c r="D387" s="1639" t="s">
        <v>5284</v>
      </c>
      <c r="E387" s="1944" t="s">
        <v>15082</v>
      </c>
    </row>
    <row r="388" spans="1:8" s="1809" customFormat="1" ht="30" x14ac:dyDescent="0.2">
      <c r="A388" s="1635" t="s">
        <v>7551</v>
      </c>
      <c r="B388" s="1813" t="s">
        <v>6126</v>
      </c>
      <c r="C388" s="1638">
        <v>32</v>
      </c>
      <c r="D388" s="1639" t="s">
        <v>5284</v>
      </c>
      <c r="E388" s="1944" t="s">
        <v>15082</v>
      </c>
    </row>
    <row r="389" spans="1:8" s="1809" customFormat="1" ht="30" x14ac:dyDescent="0.2">
      <c r="A389" s="1635" t="s">
        <v>7552</v>
      </c>
      <c r="B389" s="1813" t="s">
        <v>6127</v>
      </c>
      <c r="C389" s="1638">
        <v>39</v>
      </c>
      <c r="D389" s="1639" t="s">
        <v>5284</v>
      </c>
      <c r="E389" s="1944" t="s">
        <v>15082</v>
      </c>
    </row>
    <row r="390" spans="1:8" s="1809" customFormat="1" ht="30" x14ac:dyDescent="0.2">
      <c r="A390" s="1635" t="s">
        <v>6149</v>
      </c>
      <c r="B390" s="1813" t="s">
        <v>6150</v>
      </c>
      <c r="C390" s="1638">
        <v>4</v>
      </c>
      <c r="D390" s="1639" t="s">
        <v>5284</v>
      </c>
      <c r="E390" s="1944" t="s">
        <v>15082</v>
      </c>
    </row>
    <row r="391" spans="1:8" s="1809" customFormat="1" ht="30" x14ac:dyDescent="0.2">
      <c r="A391" s="1635" t="s">
        <v>7597</v>
      </c>
      <c r="B391" s="1813" t="s">
        <v>6128</v>
      </c>
      <c r="C391" s="1638">
        <v>1</v>
      </c>
      <c r="D391" s="1639" t="s">
        <v>5284</v>
      </c>
      <c r="E391" s="1944" t="s">
        <v>15082</v>
      </c>
    </row>
    <row r="392" spans="1:8" s="1809" customFormat="1" ht="30" x14ac:dyDescent="0.2">
      <c r="A392" s="1635" t="s">
        <v>8907</v>
      </c>
      <c r="B392" s="1813" t="s">
        <v>6129</v>
      </c>
      <c r="C392" s="1638">
        <v>15</v>
      </c>
      <c r="D392" s="1639" t="s">
        <v>5284</v>
      </c>
      <c r="E392" s="1944" t="s">
        <v>15082</v>
      </c>
    </row>
    <row r="393" spans="1:8" s="1809" customFormat="1" ht="45" x14ac:dyDescent="0.2">
      <c r="A393" s="1635" t="s">
        <v>8908</v>
      </c>
      <c r="B393" s="1813" t="s">
        <v>8906</v>
      </c>
      <c r="C393" s="1638">
        <v>3</v>
      </c>
      <c r="D393" s="1639" t="s">
        <v>5284</v>
      </c>
      <c r="E393" s="1944" t="s">
        <v>14991</v>
      </c>
    </row>
    <row r="394" spans="1:8" s="1809" customFormat="1" ht="45" x14ac:dyDescent="0.2">
      <c r="A394" s="1635" t="s">
        <v>8909</v>
      </c>
      <c r="B394" s="1813" t="s">
        <v>8910</v>
      </c>
      <c r="C394" s="1638">
        <v>1.06</v>
      </c>
      <c r="D394" s="1639" t="s">
        <v>5713</v>
      </c>
      <c r="E394" s="1944" t="s">
        <v>14992</v>
      </c>
    </row>
    <row r="395" spans="1:8" s="1809" customFormat="1" ht="45" x14ac:dyDescent="0.2">
      <c r="A395" s="1635" t="s">
        <v>8904</v>
      </c>
      <c r="B395" s="1813" t="s">
        <v>9475</v>
      </c>
      <c r="C395" s="1638">
        <v>186.21</v>
      </c>
      <c r="D395" s="1639" t="s">
        <v>5685</v>
      </c>
      <c r="E395" s="1944" t="s">
        <v>14994</v>
      </c>
    </row>
    <row r="396" spans="1:8" s="8" customFormat="1" ht="15" x14ac:dyDescent="0.2">
      <c r="A396" s="1982" t="s">
        <v>0</v>
      </c>
      <c r="B396" s="45" t="s">
        <v>1</v>
      </c>
      <c r="C396" s="1510" t="s">
        <v>131</v>
      </c>
      <c r="D396" s="46" t="s">
        <v>11</v>
      </c>
      <c r="E396" s="1942" t="s">
        <v>14974</v>
      </c>
      <c r="G396" s="1953"/>
      <c r="H396" s="1953"/>
    </row>
    <row r="397" spans="1:8" s="1809" customFormat="1" ht="45" x14ac:dyDescent="0.2">
      <c r="A397" s="1635" t="s">
        <v>7795</v>
      </c>
      <c r="B397" s="1813" t="s">
        <v>8905</v>
      </c>
      <c r="C397" s="1638">
        <v>184.52</v>
      </c>
      <c r="D397" s="1639" t="s">
        <v>5685</v>
      </c>
      <c r="E397" s="1944" t="s">
        <v>14994</v>
      </c>
    </row>
    <row r="398" spans="1:8" s="1809" customFormat="1" ht="30" x14ac:dyDescent="0.2">
      <c r="A398" s="1635" t="s">
        <v>8308</v>
      </c>
      <c r="B398" s="1813" t="s">
        <v>8305</v>
      </c>
      <c r="C398" s="1638">
        <v>3</v>
      </c>
      <c r="D398" s="1639" t="s">
        <v>5284</v>
      </c>
      <c r="E398" s="1944" t="s">
        <v>14987</v>
      </c>
    </row>
    <row r="399" spans="1:8" s="1809" customFormat="1" ht="60" x14ac:dyDescent="0.2">
      <c r="A399" s="1635" t="s">
        <v>9012</v>
      </c>
      <c r="B399" s="1813" t="s">
        <v>9010</v>
      </c>
      <c r="C399" s="1638">
        <v>1</v>
      </c>
      <c r="D399" s="1639" t="s">
        <v>5284</v>
      </c>
      <c r="E399" s="1944" t="s">
        <v>14987</v>
      </c>
    </row>
    <row r="400" spans="1:8" s="1809" customFormat="1" ht="60" x14ac:dyDescent="0.2">
      <c r="A400" s="1635" t="s">
        <v>9013</v>
      </c>
      <c r="B400" s="1813" t="s">
        <v>9011</v>
      </c>
      <c r="C400" s="1638">
        <v>1</v>
      </c>
      <c r="D400" s="1639" t="s">
        <v>5284</v>
      </c>
      <c r="E400" s="1944" t="s">
        <v>14987</v>
      </c>
    </row>
    <row r="401" spans="1:5" s="1809" customFormat="1" ht="30" x14ac:dyDescent="0.2">
      <c r="A401" s="1635" t="s">
        <v>8309</v>
      </c>
      <c r="B401" s="1813" t="s">
        <v>8304</v>
      </c>
      <c r="C401" s="1638">
        <v>3.81</v>
      </c>
      <c r="D401" s="1639" t="s">
        <v>5688</v>
      </c>
      <c r="E401" s="1944" t="s">
        <v>14987</v>
      </c>
    </row>
    <row r="402" spans="1:5" s="1809" customFormat="1" ht="60" x14ac:dyDescent="0.2">
      <c r="A402" s="1635" t="s">
        <v>9021</v>
      </c>
      <c r="B402" s="1813" t="s">
        <v>9018</v>
      </c>
      <c r="C402" s="1638">
        <v>1</v>
      </c>
      <c r="D402" s="1639" t="s">
        <v>5284</v>
      </c>
      <c r="E402" s="1944" t="s">
        <v>14987</v>
      </c>
    </row>
    <row r="403" spans="1:5" s="1809" customFormat="1" ht="30" x14ac:dyDescent="0.2">
      <c r="A403" s="1635" t="s">
        <v>9022</v>
      </c>
      <c r="B403" s="1813" t="s">
        <v>9019</v>
      </c>
      <c r="C403" s="1638">
        <v>247.64</v>
      </c>
      <c r="D403" s="1639" t="s">
        <v>5713</v>
      </c>
      <c r="E403" s="1944" t="s">
        <v>14987</v>
      </c>
    </row>
    <row r="404" spans="1:5" s="1809" customFormat="1" ht="30" x14ac:dyDescent="0.2">
      <c r="A404" s="1635" t="s">
        <v>9028</v>
      </c>
      <c r="B404" s="1813" t="s">
        <v>9025</v>
      </c>
      <c r="C404" s="1638">
        <v>502.74</v>
      </c>
      <c r="D404" s="1639" t="s">
        <v>5713</v>
      </c>
      <c r="E404" s="1944" t="s">
        <v>14987</v>
      </c>
    </row>
    <row r="405" spans="1:5" s="1809" customFormat="1" ht="30" x14ac:dyDescent="0.2">
      <c r="A405" s="1635" t="s">
        <v>9029</v>
      </c>
      <c r="B405" s="1813" t="s">
        <v>9034</v>
      </c>
      <c r="C405" s="1638">
        <v>65.760000000000005</v>
      </c>
      <c r="D405" s="1639" t="s">
        <v>5688</v>
      </c>
      <c r="E405" s="1944" t="s">
        <v>14987</v>
      </c>
    </row>
    <row r="406" spans="1:5" s="1809" customFormat="1" ht="45" x14ac:dyDescent="0.2">
      <c r="A406" s="1635" t="s">
        <v>9033</v>
      </c>
      <c r="B406" s="1813" t="s">
        <v>9031</v>
      </c>
      <c r="C406" s="1638">
        <v>7</v>
      </c>
      <c r="D406" s="1639" t="s">
        <v>9032</v>
      </c>
      <c r="E406" s="1944" t="s">
        <v>14987</v>
      </c>
    </row>
    <row r="407" spans="1:5" s="1809" customFormat="1" ht="45" x14ac:dyDescent="0.2">
      <c r="A407" s="1635" t="s">
        <v>9038</v>
      </c>
      <c r="B407" s="1813" t="s">
        <v>9037</v>
      </c>
      <c r="C407" s="1638">
        <v>101.54</v>
      </c>
      <c r="D407" s="1639" t="s">
        <v>5713</v>
      </c>
      <c r="E407" s="1944" t="s">
        <v>14987</v>
      </c>
    </row>
    <row r="408" spans="1:5" s="1809" customFormat="1" ht="45" x14ac:dyDescent="0.2">
      <c r="A408" s="1635" t="s">
        <v>9041</v>
      </c>
      <c r="B408" s="1813" t="s">
        <v>14981</v>
      </c>
      <c r="C408" s="1638">
        <v>4</v>
      </c>
      <c r="D408" s="1639" t="s">
        <v>9032</v>
      </c>
      <c r="E408" s="1944" t="s">
        <v>14987</v>
      </c>
    </row>
    <row r="409" spans="1:5" s="1809" customFormat="1" ht="30" x14ac:dyDescent="0.2">
      <c r="A409" s="1635" t="s">
        <v>9042</v>
      </c>
      <c r="B409" s="1813" t="s">
        <v>9044</v>
      </c>
      <c r="C409" s="1638">
        <v>7.22</v>
      </c>
      <c r="D409" s="1639" t="s">
        <v>5688</v>
      </c>
      <c r="E409" s="1944" t="s">
        <v>14987</v>
      </c>
    </row>
    <row r="410" spans="1:5" s="1809" customFormat="1" ht="30" x14ac:dyDescent="0.2">
      <c r="A410" s="1635" t="s">
        <v>9051</v>
      </c>
      <c r="B410" s="1813" t="s">
        <v>9048</v>
      </c>
      <c r="C410" s="1638">
        <v>1263.2</v>
      </c>
      <c r="D410" s="1639" t="s">
        <v>5713</v>
      </c>
      <c r="E410" s="1944" t="s">
        <v>14987</v>
      </c>
    </row>
    <row r="411" spans="1:5" s="1809" customFormat="1" ht="30" x14ac:dyDescent="0.2">
      <c r="A411" s="1635" t="s">
        <v>9446</v>
      </c>
      <c r="B411" s="1813" t="s">
        <v>9052</v>
      </c>
      <c r="C411" s="1638">
        <v>315.8</v>
      </c>
      <c r="D411" s="1639" t="s">
        <v>5713</v>
      </c>
      <c r="E411" s="1944" t="s">
        <v>14987</v>
      </c>
    </row>
    <row r="412" spans="1:5" s="1809" customFormat="1" ht="30" x14ac:dyDescent="0.2">
      <c r="A412" s="1635" t="s">
        <v>9054</v>
      </c>
      <c r="B412" s="1813" t="s">
        <v>9055</v>
      </c>
      <c r="C412" s="1638">
        <v>3</v>
      </c>
      <c r="D412" s="1639" t="s">
        <v>5284</v>
      </c>
      <c r="E412" s="1944" t="s">
        <v>14987</v>
      </c>
    </row>
    <row r="413" spans="1:5" s="1809" customFormat="1" ht="30" x14ac:dyDescent="0.2">
      <c r="A413" s="1635" t="s">
        <v>9056</v>
      </c>
      <c r="B413" s="1813" t="s">
        <v>9057</v>
      </c>
      <c r="C413" s="1638">
        <v>3</v>
      </c>
      <c r="D413" s="1639" t="s">
        <v>5284</v>
      </c>
      <c r="E413" s="1944" t="s">
        <v>14987</v>
      </c>
    </row>
    <row r="414" spans="1:5" s="1809" customFormat="1" ht="30" x14ac:dyDescent="0.2">
      <c r="A414" s="1635" t="s">
        <v>9061</v>
      </c>
      <c r="B414" s="1813" t="s">
        <v>9060</v>
      </c>
      <c r="C414" s="1638">
        <v>65.95</v>
      </c>
      <c r="D414" s="1639" t="s">
        <v>5713</v>
      </c>
      <c r="E414" s="1944" t="s">
        <v>14987</v>
      </c>
    </row>
    <row r="415" spans="1:5" s="1809" customFormat="1" ht="30" x14ac:dyDescent="0.2">
      <c r="A415" s="1635" t="s">
        <v>9316</v>
      </c>
      <c r="B415" s="1813" t="s">
        <v>9066</v>
      </c>
      <c r="C415" s="1638">
        <v>22</v>
      </c>
      <c r="D415" s="1639" t="s">
        <v>5284</v>
      </c>
      <c r="E415" s="1944" t="s">
        <v>14987</v>
      </c>
    </row>
    <row r="416" spans="1:5" s="1809" customFormat="1" ht="30" x14ac:dyDescent="0.2">
      <c r="A416" s="1635" t="s">
        <v>9318</v>
      </c>
      <c r="B416" s="1813" t="s">
        <v>9068</v>
      </c>
      <c r="C416" s="1638">
        <v>10</v>
      </c>
      <c r="D416" s="1639" t="s">
        <v>5284</v>
      </c>
      <c r="E416" s="1944" t="s">
        <v>14987</v>
      </c>
    </row>
    <row r="417" spans="1:8" s="1809" customFormat="1" ht="30" x14ac:dyDescent="0.2">
      <c r="A417" s="1635" t="s">
        <v>9321</v>
      </c>
      <c r="B417" s="1813" t="s">
        <v>9069</v>
      </c>
      <c r="C417" s="1638">
        <v>6</v>
      </c>
      <c r="D417" s="1639" t="s">
        <v>5284</v>
      </c>
      <c r="E417" s="1944" t="s">
        <v>14987</v>
      </c>
    </row>
    <row r="418" spans="1:8" s="8" customFormat="1" ht="15" x14ac:dyDescent="0.2">
      <c r="A418" s="1982" t="s">
        <v>0</v>
      </c>
      <c r="B418" s="45" t="s">
        <v>1</v>
      </c>
      <c r="C418" s="1510" t="s">
        <v>131</v>
      </c>
      <c r="D418" s="46" t="s">
        <v>11</v>
      </c>
      <c r="E418" s="1942" t="s">
        <v>14974</v>
      </c>
      <c r="G418" s="1953"/>
      <c r="H418" s="1953"/>
    </row>
    <row r="419" spans="1:8" s="1809" customFormat="1" ht="30" x14ac:dyDescent="0.2">
      <c r="A419" s="1635" t="s">
        <v>9323</v>
      </c>
      <c r="B419" s="1813" t="s">
        <v>9070</v>
      </c>
      <c r="C419" s="1638">
        <v>19</v>
      </c>
      <c r="D419" s="1639" t="s">
        <v>5284</v>
      </c>
      <c r="E419" s="1944" t="s">
        <v>14987</v>
      </c>
    </row>
    <row r="420" spans="1:8" s="1809" customFormat="1" ht="30" x14ac:dyDescent="0.2">
      <c r="A420" s="1635" t="s">
        <v>9325</v>
      </c>
      <c r="B420" s="1813" t="s">
        <v>9073</v>
      </c>
      <c r="C420" s="1638">
        <v>3</v>
      </c>
      <c r="D420" s="1639" t="s">
        <v>5284</v>
      </c>
      <c r="E420" s="1944" t="s">
        <v>14987</v>
      </c>
    </row>
    <row r="421" spans="1:8" s="1809" customFormat="1" ht="30" x14ac:dyDescent="0.2">
      <c r="A421" s="1635" t="s">
        <v>9327</v>
      </c>
      <c r="B421" s="1813" t="s">
        <v>9075</v>
      </c>
      <c r="C421" s="1638">
        <v>3</v>
      </c>
      <c r="D421" s="1639" t="s">
        <v>5284</v>
      </c>
      <c r="E421" s="1944" t="s">
        <v>14987</v>
      </c>
    </row>
    <row r="422" spans="1:8" s="1809" customFormat="1" ht="30" x14ac:dyDescent="0.2">
      <c r="A422" s="1635" t="s">
        <v>9329</v>
      </c>
      <c r="B422" s="1813" t="s">
        <v>9076</v>
      </c>
      <c r="C422" s="1638">
        <v>18</v>
      </c>
      <c r="D422" s="1639" t="s">
        <v>5284</v>
      </c>
      <c r="E422" s="1944" t="s">
        <v>14987</v>
      </c>
    </row>
    <row r="423" spans="1:8" s="1809" customFormat="1" ht="30" x14ac:dyDescent="0.2">
      <c r="A423" s="1635" t="s">
        <v>9330</v>
      </c>
      <c r="B423" s="1813" t="s">
        <v>9077</v>
      </c>
      <c r="C423" s="1638">
        <v>3</v>
      </c>
      <c r="D423" s="1639" t="s">
        <v>5284</v>
      </c>
      <c r="E423" s="1944" t="s">
        <v>14987</v>
      </c>
    </row>
    <row r="424" spans="1:8" s="1809" customFormat="1" ht="30" x14ac:dyDescent="0.2">
      <c r="A424" s="1635" t="s">
        <v>9332</v>
      </c>
      <c r="B424" s="1813" t="s">
        <v>9078</v>
      </c>
      <c r="C424" s="1638">
        <v>3</v>
      </c>
      <c r="D424" s="1639" t="s">
        <v>5284</v>
      </c>
      <c r="E424" s="1944" t="s">
        <v>14987</v>
      </c>
    </row>
    <row r="425" spans="1:8" s="1809" customFormat="1" ht="30" x14ac:dyDescent="0.2">
      <c r="A425" s="1635" t="s">
        <v>9333</v>
      </c>
      <c r="B425" s="1813" t="s">
        <v>9079</v>
      </c>
      <c r="C425" s="1638">
        <v>12</v>
      </c>
      <c r="D425" s="1639" t="s">
        <v>5284</v>
      </c>
      <c r="E425" s="1944" t="s">
        <v>14987</v>
      </c>
    </row>
    <row r="426" spans="1:8" s="1809" customFormat="1" ht="30" x14ac:dyDescent="0.2">
      <c r="A426" s="1635" t="s">
        <v>9338</v>
      </c>
      <c r="B426" s="1813" t="s">
        <v>9335</v>
      </c>
      <c r="C426" s="1638">
        <v>23</v>
      </c>
      <c r="D426" s="1639" t="s">
        <v>5284</v>
      </c>
      <c r="E426" s="1944" t="s">
        <v>14987</v>
      </c>
    </row>
    <row r="427" spans="1:8" s="1809" customFormat="1" ht="30" x14ac:dyDescent="0.2">
      <c r="A427" s="1635" t="s">
        <v>9341</v>
      </c>
      <c r="B427" s="1813" t="s">
        <v>9339</v>
      </c>
      <c r="C427" s="1638">
        <v>4</v>
      </c>
      <c r="D427" s="1639" t="s">
        <v>5284</v>
      </c>
      <c r="E427" s="1944" t="s">
        <v>14987</v>
      </c>
    </row>
    <row r="428" spans="1:8" s="1809" customFormat="1" ht="30" x14ac:dyDescent="0.2">
      <c r="A428" s="1635" t="s">
        <v>9342</v>
      </c>
      <c r="B428" s="1813" t="s">
        <v>9080</v>
      </c>
      <c r="C428" s="1638">
        <v>17</v>
      </c>
      <c r="D428" s="1639" t="s">
        <v>5284</v>
      </c>
      <c r="E428" s="1944" t="s">
        <v>14987</v>
      </c>
    </row>
    <row r="429" spans="1:8" s="1809" customFormat="1" ht="30" x14ac:dyDescent="0.2">
      <c r="A429" s="1635" t="s">
        <v>9344</v>
      </c>
      <c r="B429" s="1813" t="s">
        <v>9081</v>
      </c>
      <c r="C429" s="1638">
        <v>30</v>
      </c>
      <c r="D429" s="1639" t="s">
        <v>5284</v>
      </c>
      <c r="E429" s="1944" t="s">
        <v>14987</v>
      </c>
    </row>
    <row r="430" spans="1:8" s="1809" customFormat="1" ht="30" x14ac:dyDescent="0.2">
      <c r="A430" s="1635" t="s">
        <v>9346</v>
      </c>
      <c r="B430" s="1813" t="s">
        <v>9082</v>
      </c>
      <c r="C430" s="1638">
        <v>4</v>
      </c>
      <c r="D430" s="1639" t="s">
        <v>5284</v>
      </c>
      <c r="E430" s="1944" t="s">
        <v>14987</v>
      </c>
    </row>
    <row r="431" spans="1:8" s="1809" customFormat="1" ht="30" x14ac:dyDescent="0.2">
      <c r="A431" s="1635" t="s">
        <v>9347</v>
      </c>
      <c r="B431" s="1813" t="s">
        <v>9083</v>
      </c>
      <c r="C431" s="1638">
        <v>4</v>
      </c>
      <c r="D431" s="1639" t="s">
        <v>5284</v>
      </c>
      <c r="E431" s="1944" t="s">
        <v>14987</v>
      </c>
    </row>
    <row r="432" spans="1:8" s="1809" customFormat="1" ht="30" x14ac:dyDescent="0.2">
      <c r="A432" s="1635" t="s">
        <v>9349</v>
      </c>
      <c r="B432" s="1813" t="s">
        <v>9084</v>
      </c>
      <c r="C432" s="1638">
        <v>28</v>
      </c>
      <c r="D432" s="1639" t="s">
        <v>5284</v>
      </c>
      <c r="E432" s="1944" t="s">
        <v>14987</v>
      </c>
    </row>
    <row r="433" spans="1:8" s="1809" customFormat="1" ht="30" x14ac:dyDescent="0.2">
      <c r="A433" s="1635" t="s">
        <v>9351</v>
      </c>
      <c r="B433" s="1813" t="s">
        <v>9085</v>
      </c>
      <c r="C433" s="1638">
        <v>6</v>
      </c>
      <c r="D433" s="1639" t="s">
        <v>5284</v>
      </c>
      <c r="E433" s="1944" t="s">
        <v>14987</v>
      </c>
    </row>
    <row r="434" spans="1:8" s="1809" customFormat="1" ht="30" x14ac:dyDescent="0.2">
      <c r="A434" s="1635" t="s">
        <v>9352</v>
      </c>
      <c r="B434" s="1813" t="s">
        <v>9086</v>
      </c>
      <c r="C434" s="1638">
        <v>6</v>
      </c>
      <c r="D434" s="1639" t="s">
        <v>5284</v>
      </c>
      <c r="E434" s="1944" t="s">
        <v>14987</v>
      </c>
    </row>
    <row r="435" spans="1:8" s="1809" customFormat="1" ht="30" x14ac:dyDescent="0.2">
      <c r="A435" s="1635" t="s">
        <v>9356</v>
      </c>
      <c r="B435" s="1813" t="s">
        <v>9087</v>
      </c>
      <c r="C435" s="1638">
        <v>3</v>
      </c>
      <c r="D435" s="1639" t="s">
        <v>5284</v>
      </c>
      <c r="E435" s="1944" t="s">
        <v>14987</v>
      </c>
    </row>
    <row r="436" spans="1:8" s="1809" customFormat="1" ht="30" x14ac:dyDescent="0.2">
      <c r="A436" s="1635" t="s">
        <v>9358</v>
      </c>
      <c r="B436" s="1813" t="s">
        <v>9088</v>
      </c>
      <c r="C436" s="1638">
        <v>8</v>
      </c>
      <c r="D436" s="1639" t="s">
        <v>5284</v>
      </c>
      <c r="E436" s="1944" t="s">
        <v>14987</v>
      </c>
    </row>
    <row r="437" spans="1:8" s="1809" customFormat="1" ht="30" x14ac:dyDescent="0.2">
      <c r="A437" s="1635" t="s">
        <v>9359</v>
      </c>
      <c r="B437" s="1813" t="s">
        <v>9089</v>
      </c>
      <c r="C437" s="1638">
        <v>5</v>
      </c>
      <c r="D437" s="1639" t="s">
        <v>5284</v>
      </c>
      <c r="E437" s="1944" t="s">
        <v>14987</v>
      </c>
    </row>
    <row r="438" spans="1:8" s="1809" customFormat="1" ht="30" x14ac:dyDescent="0.2">
      <c r="A438" s="1635" t="s">
        <v>9361</v>
      </c>
      <c r="B438" s="1813" t="s">
        <v>9090</v>
      </c>
      <c r="C438" s="1638">
        <v>3</v>
      </c>
      <c r="D438" s="1639" t="s">
        <v>5284</v>
      </c>
      <c r="E438" s="1944" t="s">
        <v>14987</v>
      </c>
    </row>
    <row r="439" spans="1:8" s="1809" customFormat="1" ht="30" x14ac:dyDescent="0.2">
      <c r="A439" s="1635" t="s">
        <v>9363</v>
      </c>
      <c r="B439" s="1813" t="s">
        <v>9091</v>
      </c>
      <c r="C439" s="1638">
        <v>10</v>
      </c>
      <c r="D439" s="1639" t="s">
        <v>5284</v>
      </c>
      <c r="E439" s="1944" t="s">
        <v>14987</v>
      </c>
    </row>
    <row r="440" spans="1:8" s="1809" customFormat="1" ht="30" x14ac:dyDescent="0.2">
      <c r="A440" s="1635" t="s">
        <v>9365</v>
      </c>
      <c r="B440" s="1813" t="s">
        <v>9092</v>
      </c>
      <c r="C440" s="1638">
        <v>21</v>
      </c>
      <c r="D440" s="1639" t="s">
        <v>5284</v>
      </c>
      <c r="E440" s="1944" t="s">
        <v>14987</v>
      </c>
    </row>
    <row r="441" spans="1:8" s="1809" customFormat="1" ht="30" x14ac:dyDescent="0.2">
      <c r="A441" s="1635" t="s">
        <v>9369</v>
      </c>
      <c r="B441" s="1813" t="s">
        <v>9367</v>
      </c>
      <c r="C441" s="1638">
        <v>1</v>
      </c>
      <c r="D441" s="1639" t="s">
        <v>5284</v>
      </c>
      <c r="E441" s="1944" t="s">
        <v>14987</v>
      </c>
    </row>
    <row r="442" spans="1:8" s="1809" customFormat="1" ht="30" x14ac:dyDescent="0.2">
      <c r="A442" s="1635" t="s">
        <v>9370</v>
      </c>
      <c r="B442" s="1813" t="s">
        <v>9093</v>
      </c>
      <c r="C442" s="1638">
        <v>2</v>
      </c>
      <c r="D442" s="1639" t="s">
        <v>5284</v>
      </c>
      <c r="E442" s="1944" t="s">
        <v>14987</v>
      </c>
    </row>
    <row r="443" spans="1:8" s="1809" customFormat="1" ht="30" x14ac:dyDescent="0.2">
      <c r="A443" s="1635" t="s">
        <v>9373</v>
      </c>
      <c r="B443" s="1813" t="s">
        <v>9094</v>
      </c>
      <c r="C443" s="1638">
        <v>6</v>
      </c>
      <c r="D443" s="1639" t="s">
        <v>5284</v>
      </c>
      <c r="E443" s="1944" t="s">
        <v>14987</v>
      </c>
    </row>
    <row r="444" spans="1:8" s="1809" customFormat="1" ht="30" x14ac:dyDescent="0.2">
      <c r="A444" s="1635" t="s">
        <v>9375</v>
      </c>
      <c r="B444" s="1813" t="s">
        <v>9095</v>
      </c>
      <c r="C444" s="1638">
        <v>4</v>
      </c>
      <c r="D444" s="1639" t="s">
        <v>5284</v>
      </c>
      <c r="E444" s="1944" t="s">
        <v>14987</v>
      </c>
    </row>
    <row r="445" spans="1:8" s="8" customFormat="1" ht="15" x14ac:dyDescent="0.2">
      <c r="A445" s="1982" t="s">
        <v>0</v>
      </c>
      <c r="B445" s="45" t="s">
        <v>1</v>
      </c>
      <c r="C445" s="1510" t="s">
        <v>131</v>
      </c>
      <c r="D445" s="46" t="s">
        <v>11</v>
      </c>
      <c r="E445" s="1942" t="s">
        <v>14974</v>
      </c>
      <c r="G445" s="1953"/>
      <c r="H445" s="1953"/>
    </row>
    <row r="446" spans="1:8" s="1809" customFormat="1" ht="30" x14ac:dyDescent="0.2">
      <c r="A446" s="1635" t="s">
        <v>9377</v>
      </c>
      <c r="B446" s="1813" t="s">
        <v>9096</v>
      </c>
      <c r="C446" s="1638">
        <v>4</v>
      </c>
      <c r="D446" s="1639" t="s">
        <v>5284</v>
      </c>
      <c r="E446" s="1944" t="s">
        <v>14987</v>
      </c>
    </row>
    <row r="447" spans="1:8" s="1809" customFormat="1" ht="30" x14ac:dyDescent="0.2">
      <c r="A447" s="1635" t="s">
        <v>9379</v>
      </c>
      <c r="B447" s="1813" t="s">
        <v>9097</v>
      </c>
      <c r="C447" s="1638">
        <v>16</v>
      </c>
      <c r="D447" s="1639" t="s">
        <v>5284</v>
      </c>
      <c r="E447" s="1944" t="s">
        <v>14987</v>
      </c>
    </row>
    <row r="448" spans="1:8" s="1809" customFormat="1" ht="30" x14ac:dyDescent="0.2">
      <c r="A448" s="1635" t="s">
        <v>9381</v>
      </c>
      <c r="B448" s="1813" t="s">
        <v>9098</v>
      </c>
      <c r="C448" s="1638">
        <v>7</v>
      </c>
      <c r="D448" s="1639" t="s">
        <v>5284</v>
      </c>
      <c r="E448" s="1944" t="s">
        <v>14987</v>
      </c>
    </row>
    <row r="449" spans="1:5" s="1809" customFormat="1" ht="75" x14ac:dyDescent="0.2">
      <c r="A449" s="1635" t="s">
        <v>9385</v>
      </c>
      <c r="B449" s="1813" t="s">
        <v>9382</v>
      </c>
      <c r="C449" s="1638">
        <v>1</v>
      </c>
      <c r="D449" s="1639" t="s">
        <v>5284</v>
      </c>
      <c r="E449" s="1944" t="s">
        <v>14987</v>
      </c>
    </row>
    <row r="450" spans="1:5" s="1809" customFormat="1" ht="45" x14ac:dyDescent="0.2">
      <c r="A450" s="1635" t="s">
        <v>9386</v>
      </c>
      <c r="B450" s="1813" t="s">
        <v>9383</v>
      </c>
      <c r="C450" s="1638">
        <v>1</v>
      </c>
      <c r="D450" s="1639" t="s">
        <v>5284</v>
      </c>
      <c r="E450" s="1944" t="s">
        <v>14987</v>
      </c>
    </row>
    <row r="451" spans="1:5" s="1809" customFormat="1" ht="30" x14ac:dyDescent="0.2">
      <c r="A451" s="1635" t="s">
        <v>9388</v>
      </c>
      <c r="B451" s="1813" t="s">
        <v>9099</v>
      </c>
      <c r="C451" s="1638">
        <v>2</v>
      </c>
      <c r="D451" s="1639" t="s">
        <v>5284</v>
      </c>
      <c r="E451" s="1944" t="s">
        <v>14987</v>
      </c>
    </row>
    <row r="452" spans="1:5" s="1809" customFormat="1" ht="30" x14ac:dyDescent="0.2">
      <c r="A452" s="1635" t="s">
        <v>9390</v>
      </c>
      <c r="B452" s="1813" t="s">
        <v>9100</v>
      </c>
      <c r="C452" s="1638">
        <v>2</v>
      </c>
      <c r="D452" s="1639" t="s">
        <v>5284</v>
      </c>
      <c r="E452" s="1944" t="s">
        <v>14987</v>
      </c>
    </row>
    <row r="453" spans="1:5" s="1809" customFormat="1" ht="30" x14ac:dyDescent="0.2">
      <c r="A453" s="1635" t="s">
        <v>9392</v>
      </c>
      <c r="B453" s="1813" t="s">
        <v>9101</v>
      </c>
      <c r="C453" s="1638">
        <v>17</v>
      </c>
      <c r="D453" s="1639" t="s">
        <v>5284</v>
      </c>
      <c r="E453" s="1944" t="s">
        <v>14987</v>
      </c>
    </row>
    <row r="454" spans="1:5" s="1809" customFormat="1" ht="30" x14ac:dyDescent="0.2">
      <c r="A454" s="1635" t="s">
        <v>9394</v>
      </c>
      <c r="B454" s="1813" t="s">
        <v>9102</v>
      </c>
      <c r="C454" s="1638">
        <v>2</v>
      </c>
      <c r="D454" s="1639" t="s">
        <v>5284</v>
      </c>
      <c r="E454" s="1944" t="s">
        <v>14987</v>
      </c>
    </row>
    <row r="455" spans="1:5" s="1809" customFormat="1" ht="75" x14ac:dyDescent="0.2">
      <c r="A455" s="1635" t="s">
        <v>9395</v>
      </c>
      <c r="B455" s="1813" t="s">
        <v>9393</v>
      </c>
      <c r="C455" s="1638">
        <v>2</v>
      </c>
      <c r="D455" s="1639" t="s">
        <v>5284</v>
      </c>
      <c r="E455" s="1944" t="s">
        <v>14987</v>
      </c>
    </row>
    <row r="456" spans="1:5" s="1809" customFormat="1" ht="45" x14ac:dyDescent="0.2">
      <c r="A456" s="1635" t="s">
        <v>9396</v>
      </c>
      <c r="B456" s="1813" t="s">
        <v>9401</v>
      </c>
      <c r="C456" s="1638">
        <v>2</v>
      </c>
      <c r="D456" s="1639" t="s">
        <v>5284</v>
      </c>
      <c r="E456" s="1944" t="s">
        <v>14987</v>
      </c>
    </row>
    <row r="457" spans="1:5" s="1809" customFormat="1" ht="30" x14ac:dyDescent="0.2">
      <c r="A457" s="1635" t="s">
        <v>9398</v>
      </c>
      <c r="B457" s="1813" t="s">
        <v>9103</v>
      </c>
      <c r="C457" s="1638">
        <v>3</v>
      </c>
      <c r="D457" s="1639" t="s">
        <v>5284</v>
      </c>
      <c r="E457" s="1944" t="s">
        <v>14987</v>
      </c>
    </row>
    <row r="458" spans="1:5" s="1809" customFormat="1" ht="75" x14ac:dyDescent="0.2">
      <c r="A458" s="1635" t="s">
        <v>9403</v>
      </c>
      <c r="B458" s="1813" t="s">
        <v>9399</v>
      </c>
      <c r="C458" s="1638">
        <v>1</v>
      </c>
      <c r="D458" s="1639" t="s">
        <v>5284</v>
      </c>
      <c r="E458" s="1944" t="s">
        <v>14987</v>
      </c>
    </row>
    <row r="459" spans="1:5" s="1809" customFormat="1" ht="45" x14ac:dyDescent="0.2">
      <c r="A459" s="1635" t="s">
        <v>9404</v>
      </c>
      <c r="B459" s="1813" t="s">
        <v>9400</v>
      </c>
      <c r="C459" s="1638">
        <v>1</v>
      </c>
      <c r="D459" s="1639" t="s">
        <v>5284</v>
      </c>
      <c r="E459" s="1944" t="s">
        <v>14987</v>
      </c>
    </row>
    <row r="460" spans="1:5" s="1809" customFormat="1" ht="30" x14ac:dyDescent="0.2">
      <c r="A460" s="1635" t="s">
        <v>9406</v>
      </c>
      <c r="B460" s="1813" t="s">
        <v>9104</v>
      </c>
      <c r="C460" s="1638">
        <v>8</v>
      </c>
      <c r="D460" s="1639" t="s">
        <v>5284</v>
      </c>
      <c r="E460" s="1944" t="s">
        <v>14987</v>
      </c>
    </row>
    <row r="461" spans="1:5" s="1809" customFormat="1" ht="30" x14ac:dyDescent="0.2">
      <c r="A461" s="1635" t="s">
        <v>9407</v>
      </c>
      <c r="B461" s="1813" t="s">
        <v>9105</v>
      </c>
      <c r="C461" s="1638">
        <v>7</v>
      </c>
      <c r="D461" s="1639" t="s">
        <v>5284</v>
      </c>
      <c r="E461" s="1944" t="s">
        <v>14987</v>
      </c>
    </row>
    <row r="462" spans="1:5" s="1809" customFormat="1" ht="30" x14ac:dyDescent="0.2">
      <c r="A462" s="1635" t="s">
        <v>9409</v>
      </c>
      <c r="B462" s="1813" t="s">
        <v>9106</v>
      </c>
      <c r="C462" s="1638">
        <v>4</v>
      </c>
      <c r="D462" s="1639" t="s">
        <v>5284</v>
      </c>
      <c r="E462" s="1944" t="s">
        <v>14987</v>
      </c>
    </row>
    <row r="463" spans="1:5" s="1809" customFormat="1" ht="30" x14ac:dyDescent="0.2">
      <c r="A463" s="1635" t="s">
        <v>9411</v>
      </c>
      <c r="B463" s="1813" t="s">
        <v>9107</v>
      </c>
      <c r="C463" s="1638">
        <v>12</v>
      </c>
      <c r="D463" s="1639" t="s">
        <v>5284</v>
      </c>
      <c r="E463" s="1944" t="s">
        <v>14987</v>
      </c>
    </row>
    <row r="464" spans="1:5" s="1809" customFormat="1" ht="30" x14ac:dyDescent="0.2">
      <c r="A464" s="1635" t="s">
        <v>9412</v>
      </c>
      <c r="B464" s="1813" t="s">
        <v>9108</v>
      </c>
      <c r="C464" s="1638">
        <v>12</v>
      </c>
      <c r="D464" s="1639" t="s">
        <v>5284</v>
      </c>
      <c r="E464" s="1944" t="s">
        <v>14987</v>
      </c>
    </row>
    <row r="465" spans="1:8" s="1809" customFormat="1" ht="30" x14ac:dyDescent="0.2">
      <c r="A465" s="1635" t="s">
        <v>9413</v>
      </c>
      <c r="B465" s="1813" t="s">
        <v>9109</v>
      </c>
      <c r="C465" s="1638">
        <v>6</v>
      </c>
      <c r="D465" s="1639" t="s">
        <v>5284</v>
      </c>
      <c r="E465" s="1944" t="s">
        <v>14987</v>
      </c>
    </row>
    <row r="466" spans="1:8" s="8" customFormat="1" ht="15" x14ac:dyDescent="0.2">
      <c r="A466" s="1982" t="s">
        <v>0</v>
      </c>
      <c r="B466" s="45" t="s">
        <v>1</v>
      </c>
      <c r="C466" s="1510" t="s">
        <v>131</v>
      </c>
      <c r="D466" s="46" t="s">
        <v>11</v>
      </c>
      <c r="E466" s="1942" t="s">
        <v>14974</v>
      </c>
      <c r="G466" s="1953"/>
      <c r="H466" s="1953"/>
    </row>
    <row r="467" spans="1:8" s="1809" customFormat="1" ht="30" x14ac:dyDescent="0.2">
      <c r="A467" s="1635" t="s">
        <v>9414</v>
      </c>
      <c r="B467" s="1813" t="s">
        <v>9415</v>
      </c>
      <c r="C467" s="1638">
        <v>2</v>
      </c>
      <c r="D467" s="1639" t="s">
        <v>5284</v>
      </c>
      <c r="E467" s="1944" t="s">
        <v>14987</v>
      </c>
    </row>
    <row r="468" spans="1:8" s="1809" customFormat="1" ht="30" x14ac:dyDescent="0.2">
      <c r="A468" s="1635" t="s">
        <v>9416</v>
      </c>
      <c r="B468" s="1813" t="s">
        <v>9418</v>
      </c>
      <c r="C468" s="1638">
        <v>0.4</v>
      </c>
      <c r="D468" s="1639" t="s">
        <v>5688</v>
      </c>
      <c r="E468" s="1944" t="s">
        <v>14987</v>
      </c>
    </row>
    <row r="469" spans="1:8" s="1809" customFormat="1" ht="30" x14ac:dyDescent="0.2">
      <c r="A469" s="1635" t="s">
        <v>9417</v>
      </c>
      <c r="B469" s="1813" t="s">
        <v>9110</v>
      </c>
      <c r="C469" s="1638">
        <v>0.4</v>
      </c>
      <c r="D469" s="1639" t="s">
        <v>5688</v>
      </c>
      <c r="E469" s="1944" t="s">
        <v>14987</v>
      </c>
    </row>
    <row r="470" spans="1:8" s="1809" customFormat="1" ht="30" x14ac:dyDescent="0.2">
      <c r="A470" s="1635" t="s">
        <v>9420</v>
      </c>
      <c r="B470" s="1813" t="s">
        <v>9124</v>
      </c>
      <c r="C470" s="1638">
        <v>1</v>
      </c>
      <c r="D470" s="1639" t="s">
        <v>5284</v>
      </c>
      <c r="E470" s="1944" t="s">
        <v>14987</v>
      </c>
    </row>
    <row r="471" spans="1:8" s="1809" customFormat="1" ht="30" x14ac:dyDescent="0.2">
      <c r="A471" s="1635" t="s">
        <v>9429</v>
      </c>
      <c r="B471" s="1813" t="s">
        <v>9125</v>
      </c>
      <c r="C471" s="1638">
        <v>1</v>
      </c>
      <c r="D471" s="1639" t="s">
        <v>5284</v>
      </c>
      <c r="E471" s="1944" t="s">
        <v>14987</v>
      </c>
    </row>
    <row r="472" spans="1:8" s="1809" customFormat="1" ht="30" x14ac:dyDescent="0.2">
      <c r="A472" s="1635" t="s">
        <v>9430</v>
      </c>
      <c r="B472" s="1813" t="s">
        <v>9126</v>
      </c>
      <c r="C472" s="1638">
        <v>2.57</v>
      </c>
      <c r="D472" s="1639" t="s">
        <v>5713</v>
      </c>
      <c r="E472" s="1944" t="s">
        <v>14987</v>
      </c>
    </row>
    <row r="473" spans="1:8" s="1809" customFormat="1" ht="60" x14ac:dyDescent="0.2">
      <c r="A473" s="1635" t="s">
        <v>8307</v>
      </c>
      <c r="B473" s="1813" t="s">
        <v>9018</v>
      </c>
      <c r="C473" s="1638">
        <v>2</v>
      </c>
      <c r="D473" s="1639" t="s">
        <v>5284</v>
      </c>
      <c r="E473" s="1944" t="s">
        <v>14986</v>
      </c>
    </row>
    <row r="474" spans="1:8" s="1809" customFormat="1" ht="30" x14ac:dyDescent="0.2">
      <c r="A474" s="1635" t="s">
        <v>7037</v>
      </c>
      <c r="B474" s="1813" t="s">
        <v>8941</v>
      </c>
      <c r="C474" s="1638">
        <v>11</v>
      </c>
      <c r="D474" s="1639" t="s">
        <v>5284</v>
      </c>
      <c r="E474" s="1944" t="s">
        <v>14986</v>
      </c>
    </row>
    <row r="475" spans="1:8" s="1809" customFormat="1" ht="30" x14ac:dyDescent="0.2">
      <c r="A475" s="1635" t="s">
        <v>7038</v>
      </c>
      <c r="B475" s="1813" t="s">
        <v>8942</v>
      </c>
      <c r="C475" s="1638">
        <v>15</v>
      </c>
      <c r="D475" s="1639" t="s">
        <v>5284</v>
      </c>
      <c r="E475" s="1944" t="s">
        <v>14986</v>
      </c>
    </row>
    <row r="476" spans="1:8" s="1809" customFormat="1" ht="30" x14ac:dyDescent="0.2">
      <c r="A476" s="1635" t="s">
        <v>7039</v>
      </c>
      <c r="B476" s="1813" t="s">
        <v>8943</v>
      </c>
      <c r="C476" s="1638">
        <v>1</v>
      </c>
      <c r="D476" s="1639" t="s">
        <v>5284</v>
      </c>
      <c r="E476" s="1944" t="s">
        <v>14986</v>
      </c>
    </row>
    <row r="477" spans="1:8" s="1809" customFormat="1" ht="30" x14ac:dyDescent="0.2">
      <c r="A477" s="1635" t="s">
        <v>7040</v>
      </c>
      <c r="B477" s="1813" t="s">
        <v>6134</v>
      </c>
      <c r="C477" s="1638">
        <v>3401.56</v>
      </c>
      <c r="D477" s="1639" t="s">
        <v>5713</v>
      </c>
      <c r="E477" s="1944" t="s">
        <v>14986</v>
      </c>
    </row>
    <row r="478" spans="1:8" s="1809" customFormat="1" ht="30" x14ac:dyDescent="0.2">
      <c r="A478" s="1635" t="s">
        <v>7041</v>
      </c>
      <c r="B478" s="1813" t="s">
        <v>6135</v>
      </c>
      <c r="C478" s="1638">
        <v>160.41999999999999</v>
      </c>
      <c r="D478" s="1639" t="s">
        <v>5713</v>
      </c>
      <c r="E478" s="1944" t="s">
        <v>14986</v>
      </c>
    </row>
    <row r="479" spans="1:8" s="1809" customFormat="1" ht="30" x14ac:dyDescent="0.2">
      <c r="A479" s="1635" t="s">
        <v>7042</v>
      </c>
      <c r="B479" s="1813" t="s">
        <v>8947</v>
      </c>
      <c r="C479" s="1638">
        <v>35.700000000000003</v>
      </c>
      <c r="D479" s="1639" t="s">
        <v>5713</v>
      </c>
      <c r="E479" s="1944" t="s">
        <v>14986</v>
      </c>
    </row>
    <row r="480" spans="1:8" s="1809" customFormat="1" ht="30" x14ac:dyDescent="0.2">
      <c r="A480" s="1635" t="s">
        <v>7043</v>
      </c>
      <c r="B480" s="1813" t="s">
        <v>6136</v>
      </c>
      <c r="C480" s="1638">
        <v>84.25</v>
      </c>
      <c r="D480" s="1639" t="s">
        <v>5713</v>
      </c>
      <c r="E480" s="1944" t="s">
        <v>14986</v>
      </c>
    </row>
    <row r="481" spans="1:8" s="1809" customFormat="1" ht="45" x14ac:dyDescent="0.2">
      <c r="A481" s="1635" t="s">
        <v>7145</v>
      </c>
      <c r="B481" s="1813" t="s">
        <v>8994</v>
      </c>
      <c r="C481" s="1638">
        <v>478</v>
      </c>
      <c r="D481" s="1639" t="s">
        <v>5284</v>
      </c>
      <c r="E481" s="1944" t="s">
        <v>14986</v>
      </c>
    </row>
    <row r="482" spans="1:8" s="1809" customFormat="1" ht="30" x14ac:dyDescent="0.2">
      <c r="A482" s="1635" t="s">
        <v>7145</v>
      </c>
      <c r="B482" s="1813" t="s">
        <v>8948</v>
      </c>
      <c r="C482" s="1638">
        <v>30.95</v>
      </c>
      <c r="D482" s="1639" t="s">
        <v>5713</v>
      </c>
      <c r="E482" s="1944" t="s">
        <v>14986</v>
      </c>
    </row>
    <row r="483" spans="1:8" s="1809" customFormat="1" ht="30" x14ac:dyDescent="0.2">
      <c r="A483" s="1635" t="s">
        <v>7155</v>
      </c>
      <c r="B483" s="1813" t="s">
        <v>7149</v>
      </c>
      <c r="C483" s="1638">
        <v>8</v>
      </c>
      <c r="D483" s="1639" t="s">
        <v>5284</v>
      </c>
      <c r="E483" s="1944" t="s">
        <v>14986</v>
      </c>
    </row>
    <row r="484" spans="1:8" s="1809" customFormat="1" ht="30" x14ac:dyDescent="0.2">
      <c r="A484" s="1635" t="s">
        <v>7155</v>
      </c>
      <c r="B484" s="1813" t="s">
        <v>6137</v>
      </c>
      <c r="C484" s="1638">
        <v>14.1</v>
      </c>
      <c r="D484" s="1639" t="s">
        <v>5713</v>
      </c>
      <c r="E484" s="1944" t="s">
        <v>14986</v>
      </c>
    </row>
    <row r="485" spans="1:8" s="1809" customFormat="1" ht="30" x14ac:dyDescent="0.2">
      <c r="A485" s="1635" t="s">
        <v>7156</v>
      </c>
      <c r="B485" s="1813" t="s">
        <v>7163</v>
      </c>
      <c r="C485" s="1638">
        <v>22</v>
      </c>
      <c r="D485" s="1639" t="s">
        <v>5284</v>
      </c>
      <c r="E485" s="1944" t="s">
        <v>14986</v>
      </c>
    </row>
    <row r="486" spans="1:8" s="1809" customFormat="1" ht="30" x14ac:dyDescent="0.2">
      <c r="A486" s="1635" t="s">
        <v>7157</v>
      </c>
      <c r="B486" s="1813" t="s">
        <v>7150</v>
      </c>
      <c r="C486" s="1638">
        <v>18</v>
      </c>
      <c r="D486" s="1639" t="s">
        <v>5284</v>
      </c>
      <c r="E486" s="1944" t="s">
        <v>14986</v>
      </c>
    </row>
    <row r="487" spans="1:8" s="1809" customFormat="1" ht="30" x14ac:dyDescent="0.2">
      <c r="A487" s="1635" t="s">
        <v>7158</v>
      </c>
      <c r="B487" s="1813" t="s">
        <v>7151</v>
      </c>
      <c r="C487" s="1638">
        <v>530</v>
      </c>
      <c r="D487" s="1639" t="s">
        <v>5284</v>
      </c>
      <c r="E487" s="1944" t="s">
        <v>14986</v>
      </c>
    </row>
    <row r="488" spans="1:8" s="1809" customFormat="1" ht="30" x14ac:dyDescent="0.2">
      <c r="A488" s="1635" t="s">
        <v>7159</v>
      </c>
      <c r="B488" s="1813" t="s">
        <v>7152</v>
      </c>
      <c r="C488" s="1638">
        <v>33</v>
      </c>
      <c r="D488" s="1639" t="s">
        <v>5284</v>
      </c>
      <c r="E488" s="1944" t="s">
        <v>14986</v>
      </c>
    </row>
    <row r="489" spans="1:8" s="1809" customFormat="1" ht="30" x14ac:dyDescent="0.2">
      <c r="A489" s="1635" t="s">
        <v>7160</v>
      </c>
      <c r="B489" s="1813" t="s">
        <v>7164</v>
      </c>
      <c r="C489" s="1638">
        <v>86</v>
      </c>
      <c r="D489" s="1639" t="s">
        <v>5284</v>
      </c>
      <c r="E489" s="1944" t="s">
        <v>14986</v>
      </c>
    </row>
    <row r="490" spans="1:8" s="1809" customFormat="1" ht="30" x14ac:dyDescent="0.2">
      <c r="A490" s="1635" t="s">
        <v>7161</v>
      </c>
      <c r="B490" s="1813" t="s">
        <v>7153</v>
      </c>
      <c r="C490" s="1638">
        <v>76</v>
      </c>
      <c r="D490" s="1639" t="s">
        <v>5284</v>
      </c>
      <c r="E490" s="1944" t="s">
        <v>14986</v>
      </c>
    </row>
    <row r="491" spans="1:8" s="1809" customFormat="1" ht="30" x14ac:dyDescent="0.2">
      <c r="A491" s="1635" t="s">
        <v>7162</v>
      </c>
      <c r="B491" s="1813" t="s">
        <v>7154</v>
      </c>
      <c r="C491" s="1638">
        <v>2310</v>
      </c>
      <c r="D491" s="1639" t="s">
        <v>5284</v>
      </c>
      <c r="E491" s="1944" t="s">
        <v>14986</v>
      </c>
    </row>
    <row r="492" spans="1:8" s="8" customFormat="1" ht="15" x14ac:dyDescent="0.2">
      <c r="A492" s="1982" t="s">
        <v>0</v>
      </c>
      <c r="B492" s="45" t="s">
        <v>1</v>
      </c>
      <c r="C492" s="1510" t="s">
        <v>131</v>
      </c>
      <c r="D492" s="46" t="s">
        <v>11</v>
      </c>
      <c r="E492" s="1942" t="s">
        <v>14974</v>
      </c>
      <c r="G492" s="1953"/>
      <c r="H492" s="1953"/>
    </row>
    <row r="493" spans="1:8" s="1809" customFormat="1" ht="30" x14ac:dyDescent="0.2">
      <c r="A493" s="1635" t="s">
        <v>7044</v>
      </c>
      <c r="B493" s="1813" t="s">
        <v>6138</v>
      </c>
      <c r="C493" s="1638">
        <v>19356.28</v>
      </c>
      <c r="D493" s="1639" t="s">
        <v>5713</v>
      </c>
      <c r="E493" s="1944" t="s">
        <v>14986</v>
      </c>
    </row>
    <row r="494" spans="1:8" s="1809" customFormat="1" ht="30" x14ac:dyDescent="0.2">
      <c r="A494" s="1635" t="s">
        <v>7045</v>
      </c>
      <c r="B494" s="1813" t="s">
        <v>6139</v>
      </c>
      <c r="C494" s="1638">
        <v>7774.96</v>
      </c>
      <c r="D494" s="1639" t="s">
        <v>5713</v>
      </c>
      <c r="E494" s="1944" t="s">
        <v>14986</v>
      </c>
    </row>
    <row r="495" spans="1:8" s="1809" customFormat="1" ht="30" x14ac:dyDescent="0.2">
      <c r="A495" s="1635" t="s">
        <v>7046</v>
      </c>
      <c r="B495" s="1813" t="s">
        <v>6140</v>
      </c>
      <c r="C495" s="1638">
        <v>974.01</v>
      </c>
      <c r="D495" s="1639" t="s">
        <v>5713</v>
      </c>
      <c r="E495" s="1944" t="s">
        <v>14986</v>
      </c>
    </row>
    <row r="496" spans="1:8" s="1809" customFormat="1" ht="30" x14ac:dyDescent="0.2">
      <c r="A496" s="1635" t="s">
        <v>7047</v>
      </c>
      <c r="B496" s="1813" t="s">
        <v>8949</v>
      </c>
      <c r="C496" s="1638">
        <v>1550.25</v>
      </c>
      <c r="D496" s="1639" t="s">
        <v>5713</v>
      </c>
      <c r="E496" s="1944" t="s">
        <v>14986</v>
      </c>
    </row>
    <row r="497" spans="1:5" s="1809" customFormat="1" ht="30" x14ac:dyDescent="0.2">
      <c r="A497" s="1635" t="s">
        <v>7048</v>
      </c>
      <c r="B497" s="1813" t="s">
        <v>8950</v>
      </c>
      <c r="C497" s="1638">
        <v>59.7</v>
      </c>
      <c r="D497" s="1639" t="s">
        <v>5713</v>
      </c>
      <c r="E497" s="1944" t="s">
        <v>14986</v>
      </c>
    </row>
    <row r="498" spans="1:5" s="1809" customFormat="1" ht="30" x14ac:dyDescent="0.2">
      <c r="A498" s="1635" t="s">
        <v>7049</v>
      </c>
      <c r="B498" s="1813" t="s">
        <v>8951</v>
      </c>
      <c r="C498" s="1638">
        <v>38.799999999999997</v>
      </c>
      <c r="D498" s="1639" t="s">
        <v>5713</v>
      </c>
      <c r="E498" s="1944" t="s">
        <v>14986</v>
      </c>
    </row>
    <row r="499" spans="1:5" s="1809" customFormat="1" ht="30" x14ac:dyDescent="0.2">
      <c r="A499" s="1635" t="s">
        <v>7050</v>
      </c>
      <c r="B499" s="1813" t="s">
        <v>8336</v>
      </c>
      <c r="C499" s="1638">
        <v>1895.55</v>
      </c>
      <c r="D499" s="1639" t="s">
        <v>5713</v>
      </c>
      <c r="E499" s="1944" t="s">
        <v>14986</v>
      </c>
    </row>
    <row r="500" spans="1:5" s="1809" customFormat="1" ht="30" x14ac:dyDescent="0.2">
      <c r="A500" s="1635" t="s">
        <v>7051</v>
      </c>
      <c r="B500" s="1813" t="s">
        <v>8339</v>
      </c>
      <c r="C500" s="1638">
        <v>837.55</v>
      </c>
      <c r="D500" s="1639" t="s">
        <v>5713</v>
      </c>
      <c r="E500" s="1944" t="s">
        <v>14986</v>
      </c>
    </row>
    <row r="501" spans="1:5" s="1809" customFormat="1" ht="30" x14ac:dyDescent="0.2">
      <c r="A501" s="1635" t="s">
        <v>7052</v>
      </c>
      <c r="B501" s="1813" t="s">
        <v>8347</v>
      </c>
      <c r="C501" s="1638">
        <v>286.5</v>
      </c>
      <c r="D501" s="1639" t="s">
        <v>5713</v>
      </c>
      <c r="E501" s="1944" t="s">
        <v>14986</v>
      </c>
    </row>
    <row r="502" spans="1:5" s="1809" customFormat="1" ht="30" x14ac:dyDescent="0.2">
      <c r="A502" s="1635" t="s">
        <v>7053</v>
      </c>
      <c r="B502" s="1813" t="s">
        <v>8349</v>
      </c>
      <c r="C502" s="1638">
        <v>2110.75</v>
      </c>
      <c r="D502" s="1639" t="s">
        <v>5713</v>
      </c>
      <c r="E502" s="1944" t="s">
        <v>14986</v>
      </c>
    </row>
    <row r="503" spans="1:5" s="1809" customFormat="1" ht="30" x14ac:dyDescent="0.2">
      <c r="A503" s="1635" t="s">
        <v>7054</v>
      </c>
      <c r="B503" s="1813" t="s">
        <v>8355</v>
      </c>
      <c r="C503" s="1638">
        <v>798.25</v>
      </c>
      <c r="D503" s="1639" t="s">
        <v>5713</v>
      </c>
      <c r="E503" s="1944" t="s">
        <v>14986</v>
      </c>
    </row>
    <row r="504" spans="1:5" s="1809" customFormat="1" ht="30" x14ac:dyDescent="0.2">
      <c r="A504" s="1635" t="s">
        <v>7055</v>
      </c>
      <c r="B504" s="1813" t="s">
        <v>8359</v>
      </c>
      <c r="C504" s="1638">
        <v>703.15</v>
      </c>
      <c r="D504" s="1639" t="s">
        <v>5713</v>
      </c>
      <c r="E504" s="1944" t="s">
        <v>14986</v>
      </c>
    </row>
    <row r="505" spans="1:5" s="1809" customFormat="1" ht="30" x14ac:dyDescent="0.2">
      <c r="A505" s="1635" t="s">
        <v>7056</v>
      </c>
      <c r="B505" s="1813" t="s">
        <v>8361</v>
      </c>
      <c r="C505" s="1638">
        <v>1322.3</v>
      </c>
      <c r="D505" s="1639" t="s">
        <v>5713</v>
      </c>
      <c r="E505" s="1944" t="s">
        <v>14986</v>
      </c>
    </row>
    <row r="506" spans="1:5" s="1809" customFormat="1" ht="30" x14ac:dyDescent="0.2">
      <c r="A506" s="1635" t="s">
        <v>8372</v>
      </c>
      <c r="B506" s="1813" t="s">
        <v>8365</v>
      </c>
      <c r="C506" s="1638">
        <v>155.6</v>
      </c>
      <c r="D506" s="1639" t="s">
        <v>5713</v>
      </c>
      <c r="E506" s="1944" t="s">
        <v>14986</v>
      </c>
    </row>
    <row r="507" spans="1:5" s="1809" customFormat="1" ht="30" x14ac:dyDescent="0.2">
      <c r="A507" s="1635" t="s">
        <v>7598</v>
      </c>
      <c r="B507" s="1813" t="s">
        <v>8369</v>
      </c>
      <c r="C507" s="1638">
        <v>112.2</v>
      </c>
      <c r="D507" s="1639" t="s">
        <v>5713</v>
      </c>
      <c r="E507" s="1944" t="s">
        <v>14986</v>
      </c>
    </row>
    <row r="508" spans="1:5" s="1809" customFormat="1" ht="30" x14ac:dyDescent="0.2">
      <c r="A508" s="1635" t="s">
        <v>8952</v>
      </c>
      <c r="B508" s="1813" t="s">
        <v>8328</v>
      </c>
      <c r="C508" s="1638">
        <v>45.55</v>
      </c>
      <c r="D508" s="1639" t="s">
        <v>5713</v>
      </c>
      <c r="E508" s="1944" t="s">
        <v>14986</v>
      </c>
    </row>
    <row r="509" spans="1:5" s="1809" customFormat="1" ht="30" x14ac:dyDescent="0.2">
      <c r="A509" s="1635" t="s">
        <v>8953</v>
      </c>
      <c r="B509" s="1813" t="s">
        <v>9048</v>
      </c>
      <c r="C509" s="1638">
        <v>421.28</v>
      </c>
      <c r="D509" s="1639" t="s">
        <v>5713</v>
      </c>
      <c r="E509" s="1944" t="s">
        <v>14987</v>
      </c>
    </row>
    <row r="510" spans="1:5" s="1809" customFormat="1" ht="30" x14ac:dyDescent="0.2">
      <c r="A510" s="1635" t="s">
        <v>9046</v>
      </c>
      <c r="B510" s="1813" t="s">
        <v>8332</v>
      </c>
      <c r="C510" s="1638">
        <v>182.2</v>
      </c>
      <c r="D510" s="1639" t="s">
        <v>5713</v>
      </c>
      <c r="E510" s="1944" t="s">
        <v>14986</v>
      </c>
    </row>
    <row r="511" spans="1:5" s="1809" customFormat="1" ht="30" x14ac:dyDescent="0.2">
      <c r="A511" s="1635" t="s">
        <v>9053</v>
      </c>
      <c r="B511" s="1813" t="s">
        <v>9052</v>
      </c>
      <c r="C511" s="1638">
        <v>105.32</v>
      </c>
      <c r="D511" s="1639" t="s">
        <v>5713</v>
      </c>
      <c r="E511" s="1944" t="s">
        <v>14987</v>
      </c>
    </row>
    <row r="512" spans="1:5" s="1809" customFormat="1" ht="30" x14ac:dyDescent="0.2">
      <c r="A512" s="1635" t="s">
        <v>7057</v>
      </c>
      <c r="B512" s="1813" t="s">
        <v>6141</v>
      </c>
      <c r="C512" s="1638">
        <v>97</v>
      </c>
      <c r="D512" s="1639" t="s">
        <v>5284</v>
      </c>
      <c r="E512" s="1944" t="s">
        <v>14986</v>
      </c>
    </row>
    <row r="513" spans="1:8" s="1809" customFormat="1" ht="30" x14ac:dyDescent="0.2">
      <c r="A513" s="1635" t="s">
        <v>7058</v>
      </c>
      <c r="B513" s="1813" t="s">
        <v>14976</v>
      </c>
      <c r="C513" s="1638">
        <v>30</v>
      </c>
      <c r="D513" s="1639" t="s">
        <v>5284</v>
      </c>
      <c r="E513" s="1944" t="s">
        <v>14986</v>
      </c>
    </row>
    <row r="514" spans="1:8" s="1809" customFormat="1" ht="30" x14ac:dyDescent="0.2">
      <c r="A514" s="1635" t="s">
        <v>7059</v>
      </c>
      <c r="B514" s="1813" t="s">
        <v>14977</v>
      </c>
      <c r="C514" s="1638">
        <v>380</v>
      </c>
      <c r="D514" s="1639" t="s">
        <v>5284</v>
      </c>
      <c r="E514" s="1944" t="s">
        <v>14986</v>
      </c>
    </row>
    <row r="515" spans="1:8" s="1809" customFormat="1" ht="30" x14ac:dyDescent="0.2">
      <c r="A515" s="1635" t="s">
        <v>7060</v>
      </c>
      <c r="B515" s="1813" t="s">
        <v>14978</v>
      </c>
      <c r="C515" s="1638">
        <v>20</v>
      </c>
      <c r="D515" s="1639" t="s">
        <v>5284</v>
      </c>
      <c r="E515" s="1944" t="s">
        <v>14986</v>
      </c>
    </row>
    <row r="516" spans="1:8" s="1809" customFormat="1" ht="30" x14ac:dyDescent="0.2">
      <c r="A516" s="1635" t="s">
        <v>7061</v>
      </c>
      <c r="B516" s="1813" t="s">
        <v>8999</v>
      </c>
      <c r="C516" s="1638">
        <v>382</v>
      </c>
      <c r="D516" s="1639" t="s">
        <v>5284</v>
      </c>
      <c r="E516" s="1944" t="s">
        <v>14986</v>
      </c>
    </row>
    <row r="517" spans="1:8" s="1809" customFormat="1" ht="30" x14ac:dyDescent="0.2">
      <c r="A517" s="1635" t="s">
        <v>7062</v>
      </c>
      <c r="B517" s="1813" t="s">
        <v>14979</v>
      </c>
      <c r="C517" s="1638">
        <v>2</v>
      </c>
      <c r="D517" s="1639" t="s">
        <v>5284</v>
      </c>
      <c r="E517" s="1944" t="s">
        <v>14986</v>
      </c>
    </row>
    <row r="518" spans="1:8" s="1809" customFormat="1" ht="30" x14ac:dyDescent="0.2">
      <c r="A518" s="1635" t="s">
        <v>7063</v>
      </c>
      <c r="B518" s="1813" t="s">
        <v>8995</v>
      </c>
      <c r="C518" s="1638">
        <v>2</v>
      </c>
      <c r="D518" s="1639" t="s">
        <v>5284</v>
      </c>
      <c r="E518" s="1944" t="s">
        <v>14986</v>
      </c>
    </row>
    <row r="519" spans="1:8" s="8" customFormat="1" ht="15" x14ac:dyDescent="0.2">
      <c r="A519" s="1982" t="s">
        <v>0</v>
      </c>
      <c r="B519" s="45" t="s">
        <v>1</v>
      </c>
      <c r="C519" s="1510" t="s">
        <v>131</v>
      </c>
      <c r="D519" s="46" t="s">
        <v>11</v>
      </c>
      <c r="E519" s="1942" t="s">
        <v>14974</v>
      </c>
      <c r="G519" s="1953"/>
      <c r="H519" s="1953"/>
    </row>
    <row r="520" spans="1:8" s="1809" customFormat="1" ht="30" x14ac:dyDescent="0.2">
      <c r="A520" s="1635" t="s">
        <v>7064</v>
      </c>
      <c r="B520" s="1813" t="s">
        <v>14983</v>
      </c>
      <c r="C520" s="1638">
        <v>1</v>
      </c>
      <c r="D520" s="1639" t="s">
        <v>5284</v>
      </c>
      <c r="E520" s="1944" t="s">
        <v>14986</v>
      </c>
    </row>
    <row r="521" spans="1:8" s="1809" customFormat="1" ht="30" x14ac:dyDescent="0.2">
      <c r="A521" s="1635" t="s">
        <v>14985</v>
      </c>
      <c r="B521" s="1813" t="s">
        <v>14984</v>
      </c>
      <c r="C521" s="1638">
        <v>1</v>
      </c>
      <c r="D521" s="1639" t="s">
        <v>5284</v>
      </c>
      <c r="E521" s="1944" t="s">
        <v>14986</v>
      </c>
    </row>
    <row r="522" spans="1:8" s="1809" customFormat="1" ht="30" x14ac:dyDescent="0.2">
      <c r="A522" s="1635" t="s">
        <v>7065</v>
      </c>
      <c r="B522" s="1813" t="s">
        <v>6142</v>
      </c>
      <c r="C522" s="1638">
        <v>221</v>
      </c>
      <c r="D522" s="1639" t="s">
        <v>5284</v>
      </c>
      <c r="E522" s="1944" t="s">
        <v>14986</v>
      </c>
    </row>
    <row r="523" spans="1:8" s="1809" customFormat="1" ht="30" x14ac:dyDescent="0.2">
      <c r="A523" s="1635" t="s">
        <v>7066</v>
      </c>
      <c r="B523" s="1813" t="s">
        <v>6143</v>
      </c>
      <c r="C523" s="1638">
        <v>119</v>
      </c>
      <c r="D523" s="1639" t="s">
        <v>5284</v>
      </c>
      <c r="E523" s="1944" t="s">
        <v>14986</v>
      </c>
    </row>
    <row r="524" spans="1:8" s="1809" customFormat="1" ht="30" x14ac:dyDescent="0.2">
      <c r="A524" s="1635" t="s">
        <v>7067</v>
      </c>
      <c r="B524" s="1813" t="s">
        <v>6144</v>
      </c>
      <c r="C524" s="1638">
        <v>20</v>
      </c>
      <c r="D524" s="1639" t="s">
        <v>5284</v>
      </c>
      <c r="E524" s="1944" t="s">
        <v>14986</v>
      </c>
    </row>
    <row r="525" spans="1:8" s="1809" customFormat="1" ht="30" x14ac:dyDescent="0.2">
      <c r="A525" s="1635" t="s">
        <v>7068</v>
      </c>
      <c r="B525" s="1813" t="s">
        <v>6145</v>
      </c>
      <c r="C525" s="1638">
        <v>14</v>
      </c>
      <c r="D525" s="1639" t="s">
        <v>5284</v>
      </c>
      <c r="E525" s="1944" t="s">
        <v>14986</v>
      </c>
    </row>
    <row r="526" spans="1:8" s="1809" customFormat="1" ht="30" x14ac:dyDescent="0.2">
      <c r="A526" s="1635" t="s">
        <v>7069</v>
      </c>
      <c r="B526" s="1813" t="s">
        <v>6146</v>
      </c>
      <c r="C526" s="1638">
        <v>2</v>
      </c>
      <c r="D526" s="1639" t="s">
        <v>5284</v>
      </c>
      <c r="E526" s="1944" t="s">
        <v>14986</v>
      </c>
    </row>
    <row r="527" spans="1:8" s="1809" customFormat="1" ht="30" x14ac:dyDescent="0.2">
      <c r="A527" s="1635" t="s">
        <v>7070</v>
      </c>
      <c r="B527" s="1813" t="s">
        <v>7092</v>
      </c>
      <c r="C527" s="1638">
        <v>4</v>
      </c>
      <c r="D527" s="1639" t="s">
        <v>5284</v>
      </c>
      <c r="E527" s="1944" t="s">
        <v>14986</v>
      </c>
    </row>
    <row r="528" spans="1:8" s="1809" customFormat="1" ht="30" x14ac:dyDescent="0.2">
      <c r="A528" s="1635" t="s">
        <v>7071</v>
      </c>
      <c r="B528" s="1813" t="s">
        <v>7096</v>
      </c>
      <c r="C528" s="1638">
        <v>4</v>
      </c>
      <c r="D528" s="1639" t="s">
        <v>5284</v>
      </c>
      <c r="E528" s="1944" t="s">
        <v>14986</v>
      </c>
    </row>
    <row r="529" spans="1:5" s="1809" customFormat="1" ht="30" x14ac:dyDescent="0.2">
      <c r="A529" s="1635" t="s">
        <v>7072</v>
      </c>
      <c r="B529" s="1813" t="s">
        <v>7093</v>
      </c>
      <c r="C529" s="1638">
        <v>19</v>
      </c>
      <c r="D529" s="1639" t="s">
        <v>5284</v>
      </c>
      <c r="E529" s="1944" t="s">
        <v>14986</v>
      </c>
    </row>
    <row r="530" spans="1:5" s="1809" customFormat="1" ht="30" x14ac:dyDescent="0.2">
      <c r="A530" s="1635" t="s">
        <v>7073</v>
      </c>
      <c r="B530" s="1813" t="s">
        <v>7097</v>
      </c>
      <c r="C530" s="1638">
        <v>5</v>
      </c>
      <c r="D530" s="1639" t="s">
        <v>5284</v>
      </c>
      <c r="E530" s="1944" t="s">
        <v>14986</v>
      </c>
    </row>
    <row r="531" spans="1:5" s="1809" customFormat="1" ht="30" x14ac:dyDescent="0.2">
      <c r="A531" s="1635" t="s">
        <v>7074</v>
      </c>
      <c r="B531" s="1813" t="s">
        <v>7094</v>
      </c>
      <c r="C531" s="1638">
        <v>6</v>
      </c>
      <c r="D531" s="1639" t="s">
        <v>5284</v>
      </c>
      <c r="E531" s="1944" t="s">
        <v>14986</v>
      </c>
    </row>
    <row r="532" spans="1:5" s="1809" customFormat="1" ht="30" x14ac:dyDescent="0.2">
      <c r="A532" s="1635" t="s">
        <v>7075</v>
      </c>
      <c r="B532" s="1813" t="s">
        <v>7098</v>
      </c>
      <c r="C532" s="1638">
        <v>3</v>
      </c>
      <c r="D532" s="1639" t="s">
        <v>5284</v>
      </c>
      <c r="E532" s="1944" t="s">
        <v>14986</v>
      </c>
    </row>
    <row r="533" spans="1:5" s="1809" customFormat="1" ht="30" x14ac:dyDescent="0.2">
      <c r="A533" s="1635" t="s">
        <v>7076</v>
      </c>
      <c r="B533" s="1813" t="s">
        <v>7095</v>
      </c>
      <c r="C533" s="1638">
        <v>5</v>
      </c>
      <c r="D533" s="1639" t="s">
        <v>5284</v>
      </c>
      <c r="E533" s="1944" t="s">
        <v>14986</v>
      </c>
    </row>
    <row r="534" spans="1:5" s="1809" customFormat="1" ht="30" x14ac:dyDescent="0.2">
      <c r="A534" s="1635" t="s">
        <v>7077</v>
      </c>
      <c r="B534" s="1813" t="s">
        <v>7099</v>
      </c>
      <c r="C534" s="1638">
        <v>1</v>
      </c>
      <c r="D534" s="1639" t="s">
        <v>5284</v>
      </c>
      <c r="E534" s="1944" t="s">
        <v>14986</v>
      </c>
    </row>
    <row r="535" spans="1:5" s="1809" customFormat="1" ht="30" x14ac:dyDescent="0.2">
      <c r="A535" s="1635" t="s">
        <v>7078</v>
      </c>
      <c r="B535" s="1813" t="s">
        <v>7091</v>
      </c>
      <c r="C535" s="1638">
        <v>5</v>
      </c>
      <c r="D535" s="1639" t="s">
        <v>5284</v>
      </c>
      <c r="E535" s="1944" t="s">
        <v>14986</v>
      </c>
    </row>
    <row r="536" spans="1:5" s="1809" customFormat="1" ht="30" x14ac:dyDescent="0.2">
      <c r="A536" s="1635" t="s">
        <v>7079</v>
      </c>
      <c r="B536" s="1813" t="s">
        <v>7090</v>
      </c>
      <c r="C536" s="1638">
        <v>2</v>
      </c>
      <c r="D536" s="1639" t="s">
        <v>5284</v>
      </c>
      <c r="E536" s="1944" t="s">
        <v>14986</v>
      </c>
    </row>
    <row r="537" spans="1:5" s="1809" customFormat="1" ht="30" x14ac:dyDescent="0.2">
      <c r="A537" s="1635" t="s">
        <v>7110</v>
      </c>
      <c r="B537" s="1813" t="s">
        <v>7103</v>
      </c>
      <c r="C537" s="1638">
        <v>5</v>
      </c>
      <c r="D537" s="1639" t="s">
        <v>5284</v>
      </c>
      <c r="E537" s="1944" t="s">
        <v>14986</v>
      </c>
    </row>
    <row r="538" spans="1:5" s="1809" customFormat="1" ht="30" x14ac:dyDescent="0.2">
      <c r="A538" s="1635" t="s">
        <v>7111</v>
      </c>
      <c r="B538" s="1813" t="s">
        <v>7104</v>
      </c>
      <c r="C538" s="1638">
        <v>6</v>
      </c>
      <c r="D538" s="1639" t="s">
        <v>5284</v>
      </c>
      <c r="E538" s="1944" t="s">
        <v>14986</v>
      </c>
    </row>
    <row r="539" spans="1:5" s="1809" customFormat="1" ht="30" x14ac:dyDescent="0.2">
      <c r="A539" s="1635" t="s">
        <v>7112</v>
      </c>
      <c r="B539" s="1813" t="s">
        <v>8954</v>
      </c>
      <c r="C539" s="1638">
        <v>2</v>
      </c>
      <c r="D539" s="1639" t="s">
        <v>5284</v>
      </c>
      <c r="E539" s="1944" t="s">
        <v>14986</v>
      </c>
    </row>
    <row r="540" spans="1:5" s="1809" customFormat="1" ht="45" x14ac:dyDescent="0.2">
      <c r="A540" s="1635" t="s">
        <v>7113</v>
      </c>
      <c r="B540" s="1813" t="s">
        <v>8955</v>
      </c>
      <c r="C540" s="1638">
        <v>2</v>
      </c>
      <c r="D540" s="1639" t="s">
        <v>5284</v>
      </c>
      <c r="E540" s="1944" t="s">
        <v>14986</v>
      </c>
    </row>
    <row r="541" spans="1:5" s="1809" customFormat="1" ht="30" x14ac:dyDescent="0.2">
      <c r="A541" s="1635" t="s">
        <v>7114</v>
      </c>
      <c r="B541" s="1813" t="s">
        <v>8957</v>
      </c>
      <c r="C541" s="1638">
        <v>1</v>
      </c>
      <c r="D541" s="1639" t="s">
        <v>5284</v>
      </c>
      <c r="E541" s="1944" t="s">
        <v>14986</v>
      </c>
    </row>
    <row r="542" spans="1:5" s="1809" customFormat="1" ht="30" x14ac:dyDescent="0.2">
      <c r="A542" s="1635" t="s">
        <v>7115</v>
      </c>
      <c r="B542" s="1813" t="s">
        <v>7107</v>
      </c>
      <c r="C542" s="1638">
        <v>1</v>
      </c>
      <c r="D542" s="1639" t="s">
        <v>5284</v>
      </c>
      <c r="E542" s="1944" t="s">
        <v>14986</v>
      </c>
    </row>
    <row r="543" spans="1:5" s="1809" customFormat="1" ht="45" x14ac:dyDescent="0.2">
      <c r="A543" s="1635" t="s">
        <v>7116</v>
      </c>
      <c r="B543" s="1813" t="s">
        <v>8959</v>
      </c>
      <c r="C543" s="1638">
        <v>1</v>
      </c>
      <c r="D543" s="1639" t="s">
        <v>5284</v>
      </c>
      <c r="E543" s="1944" t="s">
        <v>14986</v>
      </c>
    </row>
    <row r="544" spans="1:5" s="1809" customFormat="1" ht="45" x14ac:dyDescent="0.2">
      <c r="A544" s="1635" t="s">
        <v>7117</v>
      </c>
      <c r="B544" s="1813" t="s">
        <v>8961</v>
      </c>
      <c r="C544" s="1638">
        <v>1</v>
      </c>
      <c r="D544" s="1639" t="s">
        <v>5284</v>
      </c>
      <c r="E544" s="1944" t="s">
        <v>14986</v>
      </c>
    </row>
    <row r="545" spans="1:8" s="8" customFormat="1" ht="15" x14ac:dyDescent="0.2">
      <c r="A545" s="1982" t="s">
        <v>0</v>
      </c>
      <c r="B545" s="45" t="s">
        <v>1</v>
      </c>
      <c r="C545" s="1510" t="s">
        <v>131</v>
      </c>
      <c r="D545" s="46" t="s">
        <v>11</v>
      </c>
      <c r="E545" s="1942" t="s">
        <v>14974</v>
      </c>
      <c r="G545" s="1953"/>
      <c r="H545" s="1953"/>
    </row>
    <row r="546" spans="1:8" s="1809" customFormat="1" ht="45" x14ac:dyDescent="0.2">
      <c r="A546" s="1635" t="s">
        <v>7118</v>
      </c>
      <c r="B546" s="1813" t="s">
        <v>7109</v>
      </c>
      <c r="C546" s="1638">
        <v>2</v>
      </c>
      <c r="D546" s="1639" t="s">
        <v>5284</v>
      </c>
      <c r="E546" s="1944" t="s">
        <v>14986</v>
      </c>
    </row>
    <row r="547" spans="1:8" s="1809" customFormat="1" ht="30" x14ac:dyDescent="0.2">
      <c r="A547" s="1635" t="s">
        <v>7119</v>
      </c>
      <c r="B547" s="1813" t="s">
        <v>9057</v>
      </c>
      <c r="C547" s="1638">
        <v>1</v>
      </c>
      <c r="D547" s="1639" t="s">
        <v>5284</v>
      </c>
      <c r="E547" s="1944" t="s">
        <v>14986</v>
      </c>
    </row>
    <row r="548" spans="1:8" s="1809" customFormat="1" ht="30" x14ac:dyDescent="0.2">
      <c r="A548" s="1635" t="s">
        <v>7080</v>
      </c>
      <c r="B548" s="1813" t="s">
        <v>7187</v>
      </c>
      <c r="C548" s="1638">
        <v>33.58</v>
      </c>
      <c r="D548" s="1639" t="s">
        <v>5713</v>
      </c>
      <c r="E548" s="1944" t="s">
        <v>14986</v>
      </c>
    </row>
    <row r="549" spans="1:8" s="1809" customFormat="1" ht="30" x14ac:dyDescent="0.2">
      <c r="A549" s="1635" t="s">
        <v>7081</v>
      </c>
      <c r="B549" s="1813" t="s">
        <v>7188</v>
      </c>
      <c r="C549" s="1638">
        <v>127.61</v>
      </c>
      <c r="D549" s="1639" t="s">
        <v>5713</v>
      </c>
      <c r="E549" s="1944" t="s">
        <v>14986</v>
      </c>
    </row>
    <row r="550" spans="1:8" s="1809" customFormat="1" ht="30" x14ac:dyDescent="0.2">
      <c r="A550" s="1635" t="s">
        <v>7082</v>
      </c>
      <c r="B550" s="1813" t="s">
        <v>7189</v>
      </c>
      <c r="C550" s="1638">
        <v>760.41</v>
      </c>
      <c r="D550" s="1639" t="s">
        <v>5713</v>
      </c>
      <c r="E550" s="1944" t="s">
        <v>14986</v>
      </c>
    </row>
    <row r="551" spans="1:8" s="1809" customFormat="1" ht="30" x14ac:dyDescent="0.2">
      <c r="A551" s="1635" t="s">
        <v>7175</v>
      </c>
      <c r="B551" s="1813" t="s">
        <v>7165</v>
      </c>
      <c r="C551" s="1638">
        <v>3</v>
      </c>
      <c r="D551" s="1639" t="s">
        <v>5284</v>
      </c>
      <c r="E551" s="1944" t="s">
        <v>14986</v>
      </c>
    </row>
    <row r="552" spans="1:8" s="1809" customFormat="1" ht="30" x14ac:dyDescent="0.2">
      <c r="A552" s="1635" t="s">
        <v>7176</v>
      </c>
      <c r="B552" s="1813" t="s">
        <v>7166</v>
      </c>
      <c r="C552" s="1638">
        <v>13</v>
      </c>
      <c r="D552" s="1639" t="s">
        <v>5284</v>
      </c>
      <c r="E552" s="1944" t="s">
        <v>14986</v>
      </c>
    </row>
    <row r="553" spans="1:8" s="1809" customFormat="1" ht="30" x14ac:dyDescent="0.2">
      <c r="A553" s="1635" t="s">
        <v>7177</v>
      </c>
      <c r="B553" s="1813" t="s">
        <v>7167</v>
      </c>
      <c r="C553" s="1638">
        <v>24</v>
      </c>
      <c r="D553" s="1639" t="s">
        <v>5284</v>
      </c>
      <c r="E553" s="1944" t="s">
        <v>14986</v>
      </c>
    </row>
    <row r="554" spans="1:8" s="1809" customFormat="1" ht="45" x14ac:dyDescent="0.2">
      <c r="A554" s="1635" t="s">
        <v>7178</v>
      </c>
      <c r="B554" s="1813" t="s">
        <v>7168</v>
      </c>
      <c r="C554" s="1638">
        <f>3+1</f>
        <v>4</v>
      </c>
      <c r="D554" s="1639" t="s">
        <v>5284</v>
      </c>
      <c r="E554" s="1944" t="s">
        <v>14988</v>
      </c>
    </row>
    <row r="555" spans="1:8" s="1809" customFormat="1" ht="30" x14ac:dyDescent="0.2">
      <c r="A555" s="1635" t="s">
        <v>7179</v>
      </c>
      <c r="B555" s="1813" t="s">
        <v>7169</v>
      </c>
      <c r="C555" s="1638">
        <v>6</v>
      </c>
      <c r="D555" s="1639" t="s">
        <v>5284</v>
      </c>
      <c r="E555" s="1944" t="s">
        <v>14986</v>
      </c>
    </row>
    <row r="556" spans="1:8" s="1809" customFormat="1" ht="30" x14ac:dyDescent="0.2">
      <c r="A556" s="1635" t="s">
        <v>7180</v>
      </c>
      <c r="B556" s="1813" t="s">
        <v>7170</v>
      </c>
      <c r="C556" s="1638">
        <v>23</v>
      </c>
      <c r="D556" s="1639" t="s">
        <v>5284</v>
      </c>
      <c r="E556" s="1944" t="s">
        <v>14986</v>
      </c>
    </row>
    <row r="557" spans="1:8" s="1809" customFormat="1" ht="45" x14ac:dyDescent="0.2">
      <c r="A557" s="1635" t="s">
        <v>7181</v>
      </c>
      <c r="B557" s="1813" t="s">
        <v>8972</v>
      </c>
      <c r="C557" s="1638">
        <f>6+1</f>
        <v>7</v>
      </c>
      <c r="D557" s="1639" t="s">
        <v>5284</v>
      </c>
      <c r="E557" s="1944" t="s">
        <v>14988</v>
      </c>
    </row>
    <row r="558" spans="1:8" s="1809" customFormat="1" ht="30" x14ac:dyDescent="0.2">
      <c r="A558" s="1635" t="s">
        <v>7182</v>
      </c>
      <c r="B558" s="1813" t="s">
        <v>7171</v>
      </c>
      <c r="C558" s="1638">
        <v>5</v>
      </c>
      <c r="D558" s="1639" t="s">
        <v>5284</v>
      </c>
      <c r="E558" s="1944" t="s">
        <v>14986</v>
      </c>
    </row>
    <row r="559" spans="1:8" s="1809" customFormat="1" ht="30" x14ac:dyDescent="0.2">
      <c r="A559" s="1635" t="s">
        <v>7183</v>
      </c>
      <c r="B559" s="1813" t="s">
        <v>7172</v>
      </c>
      <c r="C559" s="1638">
        <v>33</v>
      </c>
      <c r="D559" s="1639" t="s">
        <v>5284</v>
      </c>
      <c r="E559" s="1944" t="s">
        <v>14986</v>
      </c>
    </row>
    <row r="560" spans="1:8" s="1809" customFormat="1" ht="30" x14ac:dyDescent="0.2">
      <c r="A560" s="1635" t="s">
        <v>7184</v>
      </c>
      <c r="B560" s="1813" t="s">
        <v>7174</v>
      </c>
      <c r="C560" s="1638">
        <v>12</v>
      </c>
      <c r="D560" s="1639" t="s">
        <v>5284</v>
      </c>
      <c r="E560" s="1944" t="s">
        <v>14986</v>
      </c>
    </row>
    <row r="561" spans="1:8" s="1809" customFormat="1" ht="30" x14ac:dyDescent="0.2">
      <c r="A561" s="1635" t="s">
        <v>7184</v>
      </c>
      <c r="B561" s="1813" t="s">
        <v>8996</v>
      </c>
      <c r="C561" s="1638">
        <v>6.5</v>
      </c>
      <c r="D561" s="1639" t="s">
        <v>5284</v>
      </c>
      <c r="E561" s="1944" t="s">
        <v>14986</v>
      </c>
    </row>
    <row r="562" spans="1:8" s="1809" customFormat="1" ht="30" x14ac:dyDescent="0.2">
      <c r="A562" s="1635" t="s">
        <v>7184</v>
      </c>
      <c r="B562" s="1813" t="s">
        <v>7173</v>
      </c>
      <c r="C562" s="1638">
        <v>2</v>
      </c>
      <c r="D562" s="1639" t="s">
        <v>5284</v>
      </c>
      <c r="E562" s="1944" t="s">
        <v>14986</v>
      </c>
    </row>
    <row r="563" spans="1:8" s="1809" customFormat="1" ht="30" x14ac:dyDescent="0.2">
      <c r="A563" s="1635" t="s">
        <v>8989</v>
      </c>
      <c r="B563" s="1813" t="s">
        <v>8990</v>
      </c>
      <c r="C563" s="1638">
        <v>37.299999999999997</v>
      </c>
      <c r="D563" s="1639" t="s">
        <v>5713</v>
      </c>
      <c r="E563" s="1944" t="s">
        <v>14986</v>
      </c>
    </row>
    <row r="564" spans="1:8" s="1809" customFormat="1" ht="30" x14ac:dyDescent="0.2">
      <c r="A564" s="1635" t="s">
        <v>7083</v>
      </c>
      <c r="B564" s="1813" t="s">
        <v>6147</v>
      </c>
      <c r="C564" s="1638">
        <v>108</v>
      </c>
      <c r="D564" s="1639" t="s">
        <v>5284</v>
      </c>
      <c r="E564" s="1944" t="s">
        <v>14986</v>
      </c>
    </row>
    <row r="565" spans="1:8" s="1809" customFormat="1" ht="30" x14ac:dyDescent="0.2">
      <c r="A565" s="1635" t="s">
        <v>7084</v>
      </c>
      <c r="B565" s="1813" t="s">
        <v>6148</v>
      </c>
      <c r="C565" s="1638">
        <v>4</v>
      </c>
      <c r="D565" s="1639" t="s">
        <v>5284</v>
      </c>
      <c r="E565" s="1944" t="s">
        <v>14986</v>
      </c>
    </row>
    <row r="566" spans="1:8" s="1809" customFormat="1" ht="30" x14ac:dyDescent="0.2">
      <c r="A566" s="1635" t="s">
        <v>7085</v>
      </c>
      <c r="B566" s="1813" t="s">
        <v>8970</v>
      </c>
      <c r="C566" s="1638">
        <v>2</v>
      </c>
      <c r="D566" s="1639" t="s">
        <v>5284</v>
      </c>
      <c r="E566" s="1944" t="s">
        <v>14986</v>
      </c>
    </row>
    <row r="567" spans="1:8" s="1809" customFormat="1" ht="30" x14ac:dyDescent="0.2">
      <c r="A567" s="1635" t="s">
        <v>7086</v>
      </c>
      <c r="B567" s="1813" t="s">
        <v>8964</v>
      </c>
      <c r="C567" s="1638">
        <v>3</v>
      </c>
      <c r="D567" s="1639" t="s">
        <v>5284</v>
      </c>
      <c r="E567" s="1944" t="s">
        <v>14986</v>
      </c>
    </row>
    <row r="568" spans="1:8" s="1809" customFormat="1" ht="30" x14ac:dyDescent="0.2">
      <c r="A568" s="1635" t="s">
        <v>7087</v>
      </c>
      <c r="B568" s="1813" t="s">
        <v>8965</v>
      </c>
      <c r="C568" s="1638">
        <v>9</v>
      </c>
      <c r="D568" s="1639" t="s">
        <v>5284</v>
      </c>
      <c r="E568" s="1944" t="s">
        <v>14986</v>
      </c>
    </row>
    <row r="569" spans="1:8" s="1809" customFormat="1" ht="30" x14ac:dyDescent="0.2">
      <c r="A569" s="1635" t="s">
        <v>7088</v>
      </c>
      <c r="B569" s="1813" t="s">
        <v>8966</v>
      </c>
      <c r="C569" s="1638">
        <v>4</v>
      </c>
      <c r="D569" s="1639" t="s">
        <v>5284</v>
      </c>
      <c r="E569" s="1944" t="s">
        <v>14986</v>
      </c>
    </row>
    <row r="570" spans="1:8" s="1809" customFormat="1" ht="30" x14ac:dyDescent="0.2">
      <c r="A570" s="1635" t="s">
        <v>7089</v>
      </c>
      <c r="B570" s="1813" t="s">
        <v>8967</v>
      </c>
      <c r="C570" s="1638">
        <v>4</v>
      </c>
      <c r="D570" s="1639" t="s">
        <v>5284</v>
      </c>
      <c r="E570" s="1944" t="s">
        <v>14986</v>
      </c>
    </row>
    <row r="571" spans="1:8" s="8" customFormat="1" ht="15" x14ac:dyDescent="0.2">
      <c r="A571" s="1982" t="s">
        <v>0</v>
      </c>
      <c r="B571" s="45" t="s">
        <v>1</v>
      </c>
      <c r="C571" s="1510" t="s">
        <v>131</v>
      </c>
      <c r="D571" s="46" t="s">
        <v>11</v>
      </c>
      <c r="E571" s="1942" t="s">
        <v>14974</v>
      </c>
      <c r="G571" s="1953"/>
      <c r="H571" s="1953"/>
    </row>
    <row r="572" spans="1:8" s="1809" customFormat="1" ht="30" x14ac:dyDescent="0.2">
      <c r="A572" s="1635" t="s">
        <v>8969</v>
      </c>
      <c r="B572" s="1813" t="s">
        <v>8968</v>
      </c>
      <c r="C572" s="1638">
        <v>3</v>
      </c>
      <c r="D572" s="1639" t="s">
        <v>5284</v>
      </c>
      <c r="E572" s="1944" t="s">
        <v>14986</v>
      </c>
    </row>
    <row r="573" spans="1:8" s="1809" customFormat="1" ht="45" x14ac:dyDescent="0.2">
      <c r="A573" s="1635" t="s">
        <v>7781</v>
      </c>
      <c r="B573" s="1813" t="s">
        <v>7783</v>
      </c>
      <c r="C573" s="1638">
        <v>1</v>
      </c>
      <c r="D573" s="1639" t="s">
        <v>5284</v>
      </c>
      <c r="E573" s="1944" t="s">
        <v>14986</v>
      </c>
    </row>
    <row r="574" spans="1:8" s="1809" customFormat="1" ht="45" x14ac:dyDescent="0.2">
      <c r="A574" s="1635" t="s">
        <v>7782</v>
      </c>
      <c r="B574" s="1813" t="s">
        <v>7784</v>
      </c>
      <c r="C574" s="1638">
        <v>1</v>
      </c>
      <c r="D574" s="1639" t="s">
        <v>5284</v>
      </c>
      <c r="E574" s="1944" t="s">
        <v>14986</v>
      </c>
    </row>
    <row r="575" spans="1:8" s="1809" customFormat="1" ht="45" x14ac:dyDescent="0.2">
      <c r="A575" s="1635" t="s">
        <v>7777</v>
      </c>
      <c r="B575" s="1813" t="s">
        <v>7779</v>
      </c>
      <c r="C575" s="1638">
        <v>1</v>
      </c>
      <c r="D575" s="1639" t="s">
        <v>5284</v>
      </c>
      <c r="E575" s="1944" t="s">
        <v>14986</v>
      </c>
    </row>
    <row r="576" spans="1:8" s="1809" customFormat="1" ht="45" x14ac:dyDescent="0.2">
      <c r="A576" s="1635" t="s">
        <v>7778</v>
      </c>
      <c r="B576" s="1813" t="s">
        <v>7780</v>
      </c>
      <c r="C576" s="1638">
        <v>1</v>
      </c>
      <c r="D576" s="1639" t="s">
        <v>5284</v>
      </c>
      <c r="E576" s="1944" t="s">
        <v>14986</v>
      </c>
    </row>
    <row r="577" spans="1:8" s="1809" customFormat="1" ht="30" x14ac:dyDescent="0.2">
      <c r="A577" s="1635" t="s">
        <v>7835</v>
      </c>
      <c r="B577" s="1813" t="s">
        <v>7836</v>
      </c>
      <c r="C577" s="1638">
        <v>4</v>
      </c>
      <c r="D577" s="1639" t="s">
        <v>5284</v>
      </c>
      <c r="E577" s="1944" t="s">
        <v>14996</v>
      </c>
    </row>
    <row r="578" spans="1:8" s="1810" customFormat="1" ht="105" x14ac:dyDescent="0.2">
      <c r="A578" s="1635" t="s">
        <v>7125</v>
      </c>
      <c r="B578" s="1813" t="s">
        <v>6166</v>
      </c>
      <c r="C578" s="1638">
        <v>2</v>
      </c>
      <c r="D578" s="1639" t="s">
        <v>5284</v>
      </c>
      <c r="E578" s="1944" t="s">
        <v>14986</v>
      </c>
    </row>
    <row r="579" spans="1:8" s="1809" customFormat="1" ht="120" x14ac:dyDescent="0.2">
      <c r="A579" s="1635" t="s">
        <v>7126</v>
      </c>
      <c r="B579" s="1813" t="s">
        <v>6167</v>
      </c>
      <c r="C579" s="1638">
        <v>199</v>
      </c>
      <c r="D579" s="1639" t="s">
        <v>5284</v>
      </c>
      <c r="E579" s="1944" t="s">
        <v>14986</v>
      </c>
    </row>
    <row r="580" spans="1:8" s="1809" customFormat="1" ht="135" x14ac:dyDescent="0.2">
      <c r="A580" s="1635" t="s">
        <v>7127</v>
      </c>
      <c r="B580" s="1813" t="s">
        <v>6168</v>
      </c>
      <c r="C580" s="1638">
        <v>83</v>
      </c>
      <c r="D580" s="1639" t="s">
        <v>5284</v>
      </c>
      <c r="E580" s="1944" t="s">
        <v>14986</v>
      </c>
    </row>
    <row r="581" spans="1:8" s="1809" customFormat="1" ht="90" x14ac:dyDescent="0.2">
      <c r="A581" s="1635" t="s">
        <v>7128</v>
      </c>
      <c r="B581" s="1813" t="s">
        <v>6169</v>
      </c>
      <c r="C581" s="1638">
        <v>38</v>
      </c>
      <c r="D581" s="1639" t="s">
        <v>5284</v>
      </c>
      <c r="E581" s="1944" t="s">
        <v>14986</v>
      </c>
    </row>
    <row r="582" spans="1:8" s="8" customFormat="1" ht="15" x14ac:dyDescent="0.2">
      <c r="A582" s="1982" t="s">
        <v>0</v>
      </c>
      <c r="B582" s="45" t="s">
        <v>1</v>
      </c>
      <c r="C582" s="1510" t="s">
        <v>131</v>
      </c>
      <c r="D582" s="46" t="s">
        <v>11</v>
      </c>
      <c r="E582" s="1942" t="s">
        <v>14974</v>
      </c>
      <c r="G582" s="1953"/>
      <c r="H582" s="1953"/>
    </row>
    <row r="583" spans="1:8" s="1809" customFormat="1" ht="135" x14ac:dyDescent="0.2">
      <c r="A583" s="1635" t="s">
        <v>7129</v>
      </c>
      <c r="B583" s="1813" t="s">
        <v>6170</v>
      </c>
      <c r="C583" s="1638">
        <v>35</v>
      </c>
      <c r="D583" s="1639" t="s">
        <v>5284</v>
      </c>
      <c r="E583" s="1944" t="s">
        <v>14986</v>
      </c>
    </row>
    <row r="584" spans="1:8" s="1809" customFormat="1" ht="105" x14ac:dyDescent="0.2">
      <c r="A584" s="1635" t="s">
        <v>7130</v>
      </c>
      <c r="B584" s="1813" t="s">
        <v>6171</v>
      </c>
      <c r="C584" s="1638">
        <v>4</v>
      </c>
      <c r="D584" s="1639" t="s">
        <v>5284</v>
      </c>
      <c r="E584" s="1944" t="s">
        <v>14986</v>
      </c>
    </row>
    <row r="585" spans="1:8" s="1809" customFormat="1" ht="90" x14ac:dyDescent="0.2">
      <c r="A585" s="1635" t="s">
        <v>7131</v>
      </c>
      <c r="B585" s="1813" t="s">
        <v>6172</v>
      </c>
      <c r="C585" s="1638">
        <v>6</v>
      </c>
      <c r="D585" s="1639" t="s">
        <v>5284</v>
      </c>
      <c r="E585" s="1944" t="s">
        <v>14986</v>
      </c>
    </row>
    <row r="586" spans="1:8" s="1809" customFormat="1" ht="75" x14ac:dyDescent="0.2">
      <c r="A586" s="1635" t="s">
        <v>7132</v>
      </c>
      <c r="B586" s="1813" t="s">
        <v>6173</v>
      </c>
      <c r="C586" s="1638">
        <v>10</v>
      </c>
      <c r="D586" s="1639" t="s">
        <v>5284</v>
      </c>
      <c r="E586" s="1944" t="s">
        <v>14986</v>
      </c>
    </row>
    <row r="587" spans="1:8" s="1809" customFormat="1" ht="90" x14ac:dyDescent="0.2">
      <c r="A587" s="1635" t="s">
        <v>7133</v>
      </c>
      <c r="B587" s="1813" t="s">
        <v>6174</v>
      </c>
      <c r="C587" s="1638">
        <v>1</v>
      </c>
      <c r="D587" s="1639" t="s">
        <v>5284</v>
      </c>
      <c r="E587" s="1944" t="s">
        <v>14986</v>
      </c>
    </row>
    <row r="588" spans="1:8" s="1809" customFormat="1" ht="150" x14ac:dyDescent="0.2">
      <c r="A588" s="1635" t="s">
        <v>7134</v>
      </c>
      <c r="B588" s="1813" t="s">
        <v>8993</v>
      </c>
      <c r="C588" s="1638">
        <v>2</v>
      </c>
      <c r="D588" s="1639" t="s">
        <v>5284</v>
      </c>
      <c r="E588" s="1944" t="s">
        <v>14986</v>
      </c>
    </row>
    <row r="589" spans="1:8" s="1809" customFormat="1" ht="75" x14ac:dyDescent="0.2">
      <c r="A589" s="1635" t="s">
        <v>7135</v>
      </c>
      <c r="B589" s="1813" t="s">
        <v>6175</v>
      </c>
      <c r="C589" s="1638">
        <v>2</v>
      </c>
      <c r="D589" s="1639" t="s">
        <v>5284</v>
      </c>
      <c r="E589" s="1944" t="s">
        <v>14986</v>
      </c>
    </row>
    <row r="590" spans="1:8" s="1809" customFormat="1" ht="75" x14ac:dyDescent="0.2">
      <c r="A590" s="1635" t="s">
        <v>7136</v>
      </c>
      <c r="B590" s="1813" t="s">
        <v>6176</v>
      </c>
      <c r="C590" s="1638">
        <v>25</v>
      </c>
      <c r="D590" s="1639" t="s">
        <v>5284</v>
      </c>
      <c r="E590" s="1944" t="s">
        <v>14986</v>
      </c>
    </row>
    <row r="591" spans="1:8" s="8" customFormat="1" ht="15" x14ac:dyDescent="0.2">
      <c r="A591" s="1982" t="s">
        <v>0</v>
      </c>
      <c r="B591" s="45" t="s">
        <v>1</v>
      </c>
      <c r="C591" s="1510" t="s">
        <v>131</v>
      </c>
      <c r="D591" s="46" t="s">
        <v>11</v>
      </c>
      <c r="E591" s="1942" t="s">
        <v>14974</v>
      </c>
      <c r="G591" s="1953"/>
      <c r="H591" s="1953"/>
    </row>
    <row r="592" spans="1:8" s="1809" customFormat="1" ht="105" x14ac:dyDescent="0.2">
      <c r="A592" s="1635" t="s">
        <v>7137</v>
      </c>
      <c r="B592" s="1813" t="s">
        <v>6177</v>
      </c>
      <c r="C592" s="1638">
        <v>15</v>
      </c>
      <c r="D592" s="1639" t="s">
        <v>5284</v>
      </c>
      <c r="E592" s="1944" t="s">
        <v>14986</v>
      </c>
    </row>
    <row r="593" spans="1:5" s="1809" customFormat="1" ht="45" x14ac:dyDescent="0.2">
      <c r="A593" s="1635" t="s">
        <v>7138</v>
      </c>
      <c r="B593" s="1813" t="s">
        <v>6178</v>
      </c>
      <c r="C593" s="1638">
        <v>23</v>
      </c>
      <c r="D593" s="1639" t="s">
        <v>5284</v>
      </c>
      <c r="E593" s="1944" t="s">
        <v>14986</v>
      </c>
    </row>
    <row r="594" spans="1:5" s="1809" customFormat="1" ht="45" x14ac:dyDescent="0.2">
      <c r="A594" s="1635" t="s">
        <v>7139</v>
      </c>
      <c r="B594" s="1813" t="s">
        <v>7211</v>
      </c>
      <c r="C594" s="1638">
        <v>112</v>
      </c>
      <c r="D594" s="1639" t="s">
        <v>5284</v>
      </c>
      <c r="E594" s="1944" t="s">
        <v>14986</v>
      </c>
    </row>
    <row r="595" spans="1:5" s="1809" customFormat="1" ht="45" x14ac:dyDescent="0.2">
      <c r="A595" s="1635" t="s">
        <v>9568</v>
      </c>
      <c r="B595" s="1813" t="s">
        <v>7213</v>
      </c>
      <c r="C595" s="1638">
        <v>14</v>
      </c>
      <c r="D595" s="1639" t="s">
        <v>5284</v>
      </c>
      <c r="E595" s="1944" t="s">
        <v>14986</v>
      </c>
    </row>
    <row r="596" spans="1:5" s="1809" customFormat="1" ht="30" x14ac:dyDescent="0.2">
      <c r="A596" s="1635" t="s">
        <v>7140</v>
      </c>
      <c r="B596" s="1813" t="s">
        <v>6179</v>
      </c>
      <c r="C596" s="1638">
        <v>3</v>
      </c>
      <c r="D596" s="1639" t="s">
        <v>5284</v>
      </c>
      <c r="E596" s="1944" t="s">
        <v>14986</v>
      </c>
    </row>
    <row r="597" spans="1:5" s="1809" customFormat="1" ht="30" x14ac:dyDescent="0.2">
      <c r="A597" s="1635" t="s">
        <v>7141</v>
      </c>
      <c r="B597" s="1813" t="s">
        <v>7143</v>
      </c>
      <c r="C597" s="1638">
        <v>716</v>
      </c>
      <c r="D597" s="1639" t="s">
        <v>5284</v>
      </c>
      <c r="E597" s="1944" t="s">
        <v>14986</v>
      </c>
    </row>
    <row r="598" spans="1:5" s="1809" customFormat="1" ht="30" x14ac:dyDescent="0.2">
      <c r="A598" s="1635" t="s">
        <v>7142</v>
      </c>
      <c r="B598" s="1813" t="s">
        <v>7147</v>
      </c>
      <c r="C598" s="1638">
        <v>40</v>
      </c>
      <c r="D598" s="1639" t="s">
        <v>5284</v>
      </c>
      <c r="E598" s="1944" t="s">
        <v>14986</v>
      </c>
    </row>
    <row r="599" spans="1:5" s="1809" customFormat="1" ht="75" x14ac:dyDescent="0.2">
      <c r="A599" s="1635" t="s">
        <v>7746</v>
      </c>
      <c r="B599" s="1813" t="s">
        <v>9447</v>
      </c>
      <c r="C599" s="1638">
        <v>24</v>
      </c>
      <c r="D599" s="1639" t="s">
        <v>5284</v>
      </c>
      <c r="E599" s="1944" t="s">
        <v>14987</v>
      </c>
    </row>
    <row r="600" spans="1:5" s="1809" customFormat="1" ht="30" x14ac:dyDescent="0.2">
      <c r="A600" s="1635" t="s">
        <v>9515</v>
      </c>
      <c r="B600" s="1813" t="s">
        <v>9517</v>
      </c>
      <c r="C600" s="1638">
        <v>81</v>
      </c>
      <c r="D600" s="1639" t="s">
        <v>5284</v>
      </c>
      <c r="E600" s="1944" t="s">
        <v>14986</v>
      </c>
    </row>
    <row r="601" spans="1:5" s="1809" customFormat="1" ht="30" x14ac:dyDescent="0.2">
      <c r="A601" s="1635" t="s">
        <v>8974</v>
      </c>
      <c r="B601" s="1813" t="s">
        <v>7199</v>
      </c>
      <c r="C601" s="1638">
        <v>382</v>
      </c>
      <c r="D601" s="1639" t="s">
        <v>5284</v>
      </c>
      <c r="E601" s="1944" t="s">
        <v>14986</v>
      </c>
    </row>
    <row r="602" spans="1:5" s="1809" customFormat="1" ht="30" x14ac:dyDescent="0.2">
      <c r="A602" s="1635" t="s">
        <v>8975</v>
      </c>
      <c r="B602" s="1813" t="s">
        <v>8976</v>
      </c>
      <c r="C602" s="1638">
        <v>23</v>
      </c>
      <c r="D602" s="1639" t="s">
        <v>5284</v>
      </c>
      <c r="E602" s="1944" t="s">
        <v>14986</v>
      </c>
    </row>
    <row r="603" spans="1:5" s="1809" customFormat="1" ht="30" x14ac:dyDescent="0.2">
      <c r="A603" s="1635" t="s">
        <v>8981</v>
      </c>
      <c r="B603" s="1813" t="s">
        <v>8977</v>
      </c>
      <c r="C603" s="1638">
        <v>4</v>
      </c>
      <c r="D603" s="1639" t="s">
        <v>5284</v>
      </c>
      <c r="E603" s="1944" t="s">
        <v>14986</v>
      </c>
    </row>
    <row r="604" spans="1:5" s="1809" customFormat="1" ht="30" x14ac:dyDescent="0.2">
      <c r="A604" s="1635" t="s">
        <v>8982</v>
      </c>
      <c r="B604" s="1813" t="s">
        <v>8978</v>
      </c>
      <c r="C604" s="1638">
        <v>18</v>
      </c>
      <c r="D604" s="1639" t="s">
        <v>5284</v>
      </c>
      <c r="E604" s="1944" t="s">
        <v>14986</v>
      </c>
    </row>
    <row r="605" spans="1:5" s="1809" customFormat="1" ht="30" x14ac:dyDescent="0.2">
      <c r="A605" s="1635" t="s">
        <v>8983</v>
      </c>
      <c r="B605" s="1813" t="s">
        <v>8979</v>
      </c>
      <c r="C605" s="1638">
        <v>7</v>
      </c>
      <c r="D605" s="1639" t="s">
        <v>5284</v>
      </c>
      <c r="E605" s="1944" t="s">
        <v>14986</v>
      </c>
    </row>
    <row r="606" spans="1:5" s="1809" customFormat="1" ht="30" x14ac:dyDescent="0.2">
      <c r="A606" s="1635" t="s">
        <v>8984</v>
      </c>
      <c r="B606" s="1813" t="s">
        <v>8980</v>
      </c>
      <c r="C606" s="1638">
        <v>1</v>
      </c>
      <c r="D606" s="1639" t="s">
        <v>5284</v>
      </c>
      <c r="E606" s="1944" t="s">
        <v>14986</v>
      </c>
    </row>
    <row r="607" spans="1:5" s="1809" customFormat="1" ht="30" x14ac:dyDescent="0.2">
      <c r="A607" s="1635" t="s">
        <v>14982</v>
      </c>
      <c r="B607" s="1813" t="s">
        <v>8565</v>
      </c>
      <c r="C607" s="1638">
        <v>2</v>
      </c>
      <c r="D607" s="1639" t="s">
        <v>5284</v>
      </c>
      <c r="E607" s="1944" t="s">
        <v>14986</v>
      </c>
    </row>
    <row r="608" spans="1:5" s="1809" customFormat="1" ht="30" x14ac:dyDescent="0.2">
      <c r="A608" s="1635" t="s">
        <v>7258</v>
      </c>
      <c r="B608" s="1813" t="s">
        <v>6210</v>
      </c>
      <c r="C608" s="1638">
        <v>1</v>
      </c>
      <c r="D608" s="1639" t="s">
        <v>5284</v>
      </c>
      <c r="E608" s="1944" t="s">
        <v>14986</v>
      </c>
    </row>
    <row r="609" spans="1:8" s="1809" customFormat="1" ht="30" x14ac:dyDescent="0.2">
      <c r="A609" s="1635" t="s">
        <v>7259</v>
      </c>
      <c r="B609" s="1813" t="s">
        <v>6211</v>
      </c>
      <c r="C609" s="1638">
        <v>1</v>
      </c>
      <c r="D609" s="1639" t="s">
        <v>5284</v>
      </c>
      <c r="E609" s="1944" t="s">
        <v>14986</v>
      </c>
    </row>
    <row r="610" spans="1:8" s="1809" customFormat="1" ht="30" x14ac:dyDescent="0.2">
      <c r="A610" s="1635" t="s">
        <v>7260</v>
      </c>
      <c r="B610" s="1813" t="s">
        <v>6212</v>
      </c>
      <c r="C610" s="1638">
        <v>1</v>
      </c>
      <c r="D610" s="1639" t="s">
        <v>5284</v>
      </c>
      <c r="E610" s="1944" t="s">
        <v>14986</v>
      </c>
    </row>
    <row r="611" spans="1:8" s="1809" customFormat="1" ht="30" x14ac:dyDescent="0.2">
      <c r="A611" s="1635" t="s">
        <v>7261</v>
      </c>
      <c r="B611" s="1813" t="s">
        <v>6213</v>
      </c>
      <c r="C611" s="1638">
        <v>175</v>
      </c>
      <c r="D611" s="1639" t="s">
        <v>5713</v>
      </c>
      <c r="E611" s="1944" t="s">
        <v>14986</v>
      </c>
    </row>
    <row r="612" spans="1:8" s="1809" customFormat="1" ht="30" x14ac:dyDescent="0.2">
      <c r="A612" s="1635" t="s">
        <v>7262</v>
      </c>
      <c r="B612" s="1813" t="s">
        <v>6796</v>
      </c>
      <c r="C612" s="1638">
        <v>370.83</v>
      </c>
      <c r="D612" s="1639" t="s">
        <v>5713</v>
      </c>
      <c r="E612" s="1944" t="s">
        <v>14986</v>
      </c>
    </row>
    <row r="613" spans="1:8" s="8" customFormat="1" ht="15" x14ac:dyDescent="0.2">
      <c r="A613" s="1982" t="s">
        <v>0</v>
      </c>
      <c r="B613" s="45" t="s">
        <v>1</v>
      </c>
      <c r="C613" s="1510" t="s">
        <v>131</v>
      </c>
      <c r="D613" s="46" t="s">
        <v>11</v>
      </c>
      <c r="E613" s="1942" t="s">
        <v>14974</v>
      </c>
      <c r="G613" s="1953"/>
      <c r="H613" s="1953"/>
    </row>
    <row r="614" spans="1:8" s="1809" customFormat="1" ht="30" x14ac:dyDescent="0.2">
      <c r="A614" s="1635" t="s">
        <v>7263</v>
      </c>
      <c r="B614" s="1813" t="s">
        <v>6797</v>
      </c>
      <c r="C614" s="1638">
        <v>257.36</v>
      </c>
      <c r="D614" s="1639" t="s">
        <v>5713</v>
      </c>
      <c r="E614" s="1944" t="s">
        <v>14986</v>
      </c>
    </row>
    <row r="615" spans="1:8" s="1809" customFormat="1" ht="30" x14ac:dyDescent="0.2">
      <c r="A615" s="1635" t="s">
        <v>7264</v>
      </c>
      <c r="B615" s="1813" t="s">
        <v>6214</v>
      </c>
      <c r="C615" s="1638">
        <v>120</v>
      </c>
      <c r="D615" s="1639" t="s">
        <v>5284</v>
      </c>
      <c r="E615" s="1944" t="s">
        <v>14986</v>
      </c>
    </row>
    <row r="616" spans="1:8" s="1809" customFormat="1" ht="30" x14ac:dyDescent="0.2">
      <c r="A616" s="1635" t="s">
        <v>6217</v>
      </c>
      <c r="B616" s="1813" t="s">
        <v>8566</v>
      </c>
      <c r="C616" s="1638">
        <v>20</v>
      </c>
      <c r="D616" s="1639" t="s">
        <v>5284</v>
      </c>
      <c r="E616" s="1944" t="s">
        <v>14986</v>
      </c>
    </row>
    <row r="617" spans="1:8" s="1809" customFormat="1" ht="30" x14ac:dyDescent="0.2">
      <c r="A617" s="1635" t="s">
        <v>6218</v>
      </c>
      <c r="B617" s="1813" t="s">
        <v>6216</v>
      </c>
      <c r="C617" s="1638">
        <v>1</v>
      </c>
      <c r="D617" s="1639" t="s">
        <v>5284</v>
      </c>
      <c r="E617" s="1944" t="s">
        <v>14986</v>
      </c>
    </row>
    <row r="618" spans="1:8" s="1809" customFormat="1" ht="45" x14ac:dyDescent="0.2">
      <c r="A618" s="1635" t="s">
        <v>6232</v>
      </c>
      <c r="B618" s="1813" t="s">
        <v>6227</v>
      </c>
      <c r="C618" s="1638">
        <v>2</v>
      </c>
      <c r="D618" s="1639" t="s">
        <v>5284</v>
      </c>
      <c r="E618" s="1944" t="s">
        <v>15117</v>
      </c>
    </row>
    <row r="619" spans="1:8" s="1809" customFormat="1" ht="30" x14ac:dyDescent="0.2">
      <c r="A619" s="1635" t="s">
        <v>6233</v>
      </c>
      <c r="B619" s="1813" t="s">
        <v>6228</v>
      </c>
      <c r="C619" s="1638">
        <v>4</v>
      </c>
      <c r="D619" s="1639" t="s">
        <v>5284</v>
      </c>
      <c r="E619" s="1944" t="s">
        <v>15117</v>
      </c>
    </row>
    <row r="620" spans="1:8" s="1809" customFormat="1" ht="30" x14ac:dyDescent="0.2">
      <c r="A620" s="1635" t="s">
        <v>6234</v>
      </c>
      <c r="B620" s="1813" t="s">
        <v>6229</v>
      </c>
      <c r="C620" s="1638">
        <v>6</v>
      </c>
      <c r="D620" s="1639" t="s">
        <v>5284</v>
      </c>
      <c r="E620" s="1944" t="s">
        <v>15117</v>
      </c>
    </row>
    <row r="621" spans="1:8" s="1809" customFormat="1" ht="30" x14ac:dyDescent="0.2">
      <c r="A621" s="1635" t="s">
        <v>7603</v>
      </c>
      <c r="B621" s="1813" t="s">
        <v>6230</v>
      </c>
      <c r="C621" s="1638">
        <v>9</v>
      </c>
      <c r="D621" s="1639" t="s">
        <v>5284</v>
      </c>
      <c r="E621" s="1944" t="s">
        <v>15117</v>
      </c>
    </row>
    <row r="622" spans="1:8" s="1809" customFormat="1" ht="30" x14ac:dyDescent="0.2">
      <c r="A622" s="1635" t="s">
        <v>7604</v>
      </c>
      <c r="B622" s="1813" t="s">
        <v>6231</v>
      </c>
      <c r="C622" s="1638">
        <v>53</v>
      </c>
      <c r="D622" s="1639" t="s">
        <v>5284</v>
      </c>
      <c r="E622" s="1944" t="s">
        <v>15117</v>
      </c>
    </row>
    <row r="623" spans="1:8" s="1809" customFormat="1" ht="30" x14ac:dyDescent="0.2">
      <c r="A623" s="1635" t="s">
        <v>6242</v>
      </c>
      <c r="B623" s="1813" t="s">
        <v>7377</v>
      </c>
      <c r="C623" s="1638">
        <v>142</v>
      </c>
      <c r="D623" s="1639" t="s">
        <v>5713</v>
      </c>
      <c r="E623" s="1944" t="s">
        <v>15117</v>
      </c>
    </row>
    <row r="624" spans="1:8" s="1809" customFormat="1" ht="30" x14ac:dyDescent="0.2">
      <c r="A624" s="1635" t="s">
        <v>7379</v>
      </c>
      <c r="B624" s="1813" t="s">
        <v>7378</v>
      </c>
      <c r="C624" s="1638">
        <v>76</v>
      </c>
      <c r="D624" s="1639" t="s">
        <v>5284</v>
      </c>
      <c r="E624" s="1944" t="s">
        <v>15117</v>
      </c>
    </row>
    <row r="625" spans="1:8" s="1809" customFormat="1" ht="30" x14ac:dyDescent="0.2">
      <c r="A625" s="1635" t="s">
        <v>6246</v>
      </c>
      <c r="B625" s="1813" t="s">
        <v>6243</v>
      </c>
      <c r="C625" s="1638">
        <v>429</v>
      </c>
      <c r="D625" s="1639" t="s">
        <v>5713</v>
      </c>
      <c r="E625" s="1944" t="s">
        <v>15117</v>
      </c>
    </row>
    <row r="626" spans="1:8" s="1809" customFormat="1" ht="45" x14ac:dyDescent="0.2">
      <c r="A626" s="1635" t="s">
        <v>7785</v>
      </c>
      <c r="B626" s="1813" t="s">
        <v>8290</v>
      </c>
      <c r="C626" s="1638">
        <v>2</v>
      </c>
      <c r="D626" s="1639" t="s">
        <v>5284</v>
      </c>
      <c r="E626" s="1944" t="s">
        <v>15118</v>
      </c>
    </row>
    <row r="627" spans="1:8" s="1809" customFormat="1" ht="30" x14ac:dyDescent="0.2">
      <c r="A627" s="1635" t="s">
        <v>6254</v>
      </c>
      <c r="B627" s="1813" t="s">
        <v>6250</v>
      </c>
      <c r="C627" s="1638">
        <v>8</v>
      </c>
      <c r="D627" s="1639" t="s">
        <v>5284</v>
      </c>
      <c r="E627" s="1944" t="s">
        <v>15118</v>
      </c>
    </row>
    <row r="628" spans="1:8" s="1809" customFormat="1" ht="30" x14ac:dyDescent="0.2">
      <c r="A628" s="1635" t="s">
        <v>6255</v>
      </c>
      <c r="B628" s="1813" t="s">
        <v>6251</v>
      </c>
      <c r="C628" s="1638">
        <v>2</v>
      </c>
      <c r="D628" s="1639" t="s">
        <v>5284</v>
      </c>
      <c r="E628" s="1944" t="s">
        <v>15118</v>
      </c>
    </row>
    <row r="629" spans="1:8" s="1809" customFormat="1" ht="60" x14ac:dyDescent="0.2">
      <c r="A629" s="1635" t="s">
        <v>6256</v>
      </c>
      <c r="B629" s="1813" t="s">
        <v>6252</v>
      </c>
      <c r="C629" s="1638">
        <v>2</v>
      </c>
      <c r="D629" s="1639" t="s">
        <v>5284</v>
      </c>
      <c r="E629" s="1944" t="s">
        <v>15118</v>
      </c>
    </row>
    <row r="630" spans="1:8" s="1809" customFormat="1" ht="45" x14ac:dyDescent="0.2">
      <c r="A630" s="1635" t="s">
        <v>6265</v>
      </c>
      <c r="B630" s="1813" t="s">
        <v>6264</v>
      </c>
      <c r="C630" s="1638">
        <v>23</v>
      </c>
      <c r="D630" s="1639" t="s">
        <v>5284</v>
      </c>
      <c r="E630" s="1944" t="s">
        <v>15118</v>
      </c>
    </row>
    <row r="631" spans="1:8" s="1809" customFormat="1" ht="30" x14ac:dyDescent="0.2">
      <c r="A631" s="1635" t="s">
        <v>7267</v>
      </c>
      <c r="B631" s="1813" t="s">
        <v>6134</v>
      </c>
      <c r="C631" s="1638">
        <v>80</v>
      </c>
      <c r="D631" s="1639" t="s">
        <v>5713</v>
      </c>
      <c r="E631" s="1944" t="s">
        <v>15118</v>
      </c>
    </row>
    <row r="632" spans="1:8" s="1809" customFormat="1" ht="45" x14ac:dyDescent="0.2">
      <c r="A632" s="1635" t="s">
        <v>7268</v>
      </c>
      <c r="B632" s="1813" t="s">
        <v>7210</v>
      </c>
      <c r="C632" s="1638">
        <v>30</v>
      </c>
      <c r="D632" s="1639" t="s">
        <v>5284</v>
      </c>
      <c r="E632" s="1944" t="s">
        <v>15118</v>
      </c>
    </row>
    <row r="633" spans="1:8" s="1809" customFormat="1" ht="30" x14ac:dyDescent="0.2">
      <c r="A633" s="1635" t="s">
        <v>7269</v>
      </c>
      <c r="B633" s="1813" t="s">
        <v>7226</v>
      </c>
      <c r="C633" s="1638">
        <v>23</v>
      </c>
      <c r="D633" s="1639" t="s">
        <v>5284</v>
      </c>
      <c r="E633" s="1944" t="s">
        <v>15118</v>
      </c>
    </row>
    <row r="634" spans="1:8" s="1809" customFormat="1" ht="30" x14ac:dyDescent="0.2">
      <c r="A634" s="1635" t="s">
        <v>6271</v>
      </c>
      <c r="B634" s="1813" t="s">
        <v>6269</v>
      </c>
      <c r="C634" s="1638">
        <v>490</v>
      </c>
      <c r="D634" s="1639" t="s">
        <v>5713</v>
      </c>
      <c r="E634" s="1944" t="s">
        <v>15118</v>
      </c>
    </row>
    <row r="635" spans="1:8" s="1809" customFormat="1" ht="30" x14ac:dyDescent="0.2">
      <c r="A635" s="1635" t="s">
        <v>6272</v>
      </c>
      <c r="B635" s="1813" t="s">
        <v>6270</v>
      </c>
      <c r="C635" s="1638">
        <v>50</v>
      </c>
      <c r="D635" s="1639" t="s">
        <v>5713</v>
      </c>
      <c r="E635" s="1944" t="s">
        <v>15118</v>
      </c>
    </row>
    <row r="636" spans="1:8" s="1809" customFormat="1" ht="30" x14ac:dyDescent="0.2">
      <c r="A636" s="1635" t="s">
        <v>6278</v>
      </c>
      <c r="B636" s="1813" t="s">
        <v>6277</v>
      </c>
      <c r="C636" s="1638">
        <v>23</v>
      </c>
      <c r="D636" s="1639" t="s">
        <v>5284</v>
      </c>
      <c r="E636" s="1944" t="s">
        <v>15118</v>
      </c>
    </row>
    <row r="637" spans="1:8" s="1809" customFormat="1" ht="15" x14ac:dyDescent="0.2">
      <c r="A637" s="1635" t="s">
        <v>7202</v>
      </c>
      <c r="B637" s="1813" t="s">
        <v>6280</v>
      </c>
      <c r="C637" s="1638">
        <v>7</v>
      </c>
      <c r="D637" s="1639" t="s">
        <v>5284</v>
      </c>
      <c r="E637" s="1944" t="s">
        <v>15119</v>
      </c>
    </row>
    <row r="638" spans="1:8" s="8" customFormat="1" ht="15" x14ac:dyDescent="0.2">
      <c r="A638" s="1982" t="s">
        <v>0</v>
      </c>
      <c r="B638" s="45" t="s">
        <v>1</v>
      </c>
      <c r="C638" s="1510" t="s">
        <v>131</v>
      </c>
      <c r="D638" s="46" t="s">
        <v>11</v>
      </c>
      <c r="E638" s="1942" t="s">
        <v>14974</v>
      </c>
      <c r="G638" s="1953"/>
      <c r="H638" s="1953"/>
    </row>
    <row r="639" spans="1:8" s="1809" customFormat="1" ht="15" x14ac:dyDescent="0.2">
      <c r="A639" s="1635" t="s">
        <v>7203</v>
      </c>
      <c r="B639" s="1813" t="s">
        <v>6281</v>
      </c>
      <c r="C639" s="1638">
        <v>4</v>
      </c>
      <c r="D639" s="1639" t="s">
        <v>5284</v>
      </c>
      <c r="E639" s="1944" t="s">
        <v>15119</v>
      </c>
    </row>
    <row r="640" spans="1:8" s="1809" customFormat="1" ht="150" x14ac:dyDescent="0.2">
      <c r="A640" s="1635" t="s">
        <v>7204</v>
      </c>
      <c r="B640" s="1813" t="s">
        <v>6282</v>
      </c>
      <c r="C640" s="1638">
        <v>2</v>
      </c>
      <c r="D640" s="1639" t="s">
        <v>5284</v>
      </c>
      <c r="E640" s="1944" t="s">
        <v>15120</v>
      </c>
    </row>
    <row r="641" spans="1:5" s="1809" customFormat="1" ht="30" x14ac:dyDescent="0.2">
      <c r="A641" s="1635" t="s">
        <v>7205</v>
      </c>
      <c r="B641" s="1813" t="s">
        <v>6250</v>
      </c>
      <c r="C641" s="1638">
        <v>17</v>
      </c>
      <c r="D641" s="1639" t="s">
        <v>5284</v>
      </c>
      <c r="E641" s="1944" t="s">
        <v>15120</v>
      </c>
    </row>
    <row r="642" spans="1:5" s="1809" customFormat="1" ht="30" x14ac:dyDescent="0.2">
      <c r="A642" s="1635" t="s">
        <v>6288</v>
      </c>
      <c r="B642" s="1813" t="s">
        <v>6251</v>
      </c>
      <c r="C642" s="1638">
        <v>2</v>
      </c>
      <c r="D642" s="1639" t="s">
        <v>5284</v>
      </c>
      <c r="E642" s="1944" t="s">
        <v>15120</v>
      </c>
    </row>
    <row r="643" spans="1:5" s="1809" customFormat="1" ht="60" x14ac:dyDescent="0.2">
      <c r="A643" s="1635" t="s">
        <v>6291</v>
      </c>
      <c r="B643" s="1813" t="s">
        <v>6283</v>
      </c>
      <c r="C643" s="1638">
        <v>356.43</v>
      </c>
      <c r="D643" s="1639" t="s">
        <v>5713</v>
      </c>
      <c r="E643" s="1944" t="s">
        <v>15121</v>
      </c>
    </row>
    <row r="644" spans="1:5" s="1809" customFormat="1" ht="60" x14ac:dyDescent="0.2">
      <c r="A644" s="1635" t="s">
        <v>6292</v>
      </c>
      <c r="B644" s="1813" t="s">
        <v>6270</v>
      </c>
      <c r="C644" s="1638">
        <v>356.43</v>
      </c>
      <c r="D644" s="1639" t="s">
        <v>5713</v>
      </c>
      <c r="E644" s="1944" t="s">
        <v>15121</v>
      </c>
    </row>
    <row r="645" spans="1:5" s="1809" customFormat="1" ht="30" x14ac:dyDescent="0.2">
      <c r="A645" s="1635" t="s">
        <v>7206</v>
      </c>
      <c r="B645" s="1813" t="s">
        <v>6269</v>
      </c>
      <c r="C645" s="1638">
        <v>5300</v>
      </c>
      <c r="D645" s="1639" t="s">
        <v>5713</v>
      </c>
      <c r="E645" s="1944" t="s">
        <v>15120</v>
      </c>
    </row>
    <row r="646" spans="1:5" s="1809" customFormat="1" ht="30" x14ac:dyDescent="0.2">
      <c r="A646" s="1635" t="s">
        <v>7207</v>
      </c>
      <c r="B646" s="1813" t="s">
        <v>6284</v>
      </c>
      <c r="C646" s="1638">
        <v>225</v>
      </c>
      <c r="D646" s="1639" t="s">
        <v>5284</v>
      </c>
      <c r="E646" s="1944" t="s">
        <v>15120</v>
      </c>
    </row>
    <row r="647" spans="1:5" s="1809" customFormat="1" ht="30" x14ac:dyDescent="0.2">
      <c r="A647" s="1635" t="s">
        <v>6293</v>
      </c>
      <c r="B647" s="1813" t="s">
        <v>7226</v>
      </c>
      <c r="C647" s="1638">
        <v>149</v>
      </c>
      <c r="D647" s="1639" t="s">
        <v>5284</v>
      </c>
      <c r="E647" s="1944" t="s">
        <v>15120</v>
      </c>
    </row>
    <row r="648" spans="1:5" s="1809" customFormat="1" ht="30" x14ac:dyDescent="0.2">
      <c r="A648" s="1635" t="s">
        <v>7208</v>
      </c>
      <c r="B648" s="1813" t="s">
        <v>6285</v>
      </c>
      <c r="C648" s="1638">
        <v>15</v>
      </c>
      <c r="D648" s="1639" t="s">
        <v>5284</v>
      </c>
      <c r="E648" s="1944" t="s">
        <v>15120</v>
      </c>
    </row>
    <row r="649" spans="1:5" s="1809" customFormat="1" ht="30" x14ac:dyDescent="0.2">
      <c r="A649" s="1635" t="s">
        <v>7209</v>
      </c>
      <c r="B649" s="1813" t="s">
        <v>7231</v>
      </c>
      <c r="C649" s="1638">
        <v>10</v>
      </c>
      <c r="D649" s="1639" t="s">
        <v>5284</v>
      </c>
      <c r="E649" s="1944" t="s">
        <v>15120</v>
      </c>
    </row>
    <row r="650" spans="1:5" s="1809" customFormat="1" ht="30" x14ac:dyDescent="0.2">
      <c r="A650" s="1635" t="s">
        <v>7232</v>
      </c>
      <c r="B650" s="1813" t="s">
        <v>6286</v>
      </c>
      <c r="C650" s="1638">
        <v>2</v>
      </c>
      <c r="D650" s="1639" t="s">
        <v>5284</v>
      </c>
      <c r="E650" s="1944" t="s">
        <v>15120</v>
      </c>
    </row>
    <row r="651" spans="1:5" s="1809" customFormat="1" ht="45" x14ac:dyDescent="0.2">
      <c r="A651" s="1635" t="s">
        <v>7233</v>
      </c>
      <c r="B651" s="1813" t="s">
        <v>7210</v>
      </c>
      <c r="C651" s="1638">
        <v>94</v>
      </c>
      <c r="D651" s="1639" t="s">
        <v>5284</v>
      </c>
      <c r="E651" s="1944" t="s">
        <v>15120</v>
      </c>
    </row>
    <row r="652" spans="1:5" s="1809" customFormat="1" ht="30" x14ac:dyDescent="0.2">
      <c r="A652" s="1635" t="s">
        <v>7215</v>
      </c>
      <c r="B652" s="1813" t="s">
        <v>6134</v>
      </c>
      <c r="C652" s="1638">
        <v>555</v>
      </c>
      <c r="D652" s="1639" t="s">
        <v>5713</v>
      </c>
      <c r="E652" s="1944" t="s">
        <v>15120</v>
      </c>
    </row>
    <row r="653" spans="1:5" s="1809" customFormat="1" ht="30" x14ac:dyDescent="0.2">
      <c r="A653" s="1635" t="s">
        <v>7216</v>
      </c>
      <c r="B653" s="1813" t="s">
        <v>6135</v>
      </c>
      <c r="C653" s="1638">
        <v>15</v>
      </c>
      <c r="D653" s="1639" t="s">
        <v>5713</v>
      </c>
      <c r="E653" s="1944" t="s">
        <v>15120</v>
      </c>
    </row>
    <row r="654" spans="1:5" s="1809" customFormat="1" ht="60" x14ac:dyDescent="0.2">
      <c r="A654" s="1635" t="s">
        <v>7217</v>
      </c>
      <c r="B654" s="1813" t="s">
        <v>7218</v>
      </c>
      <c r="C654" s="1638">
        <v>324.3</v>
      </c>
      <c r="D654" s="1639" t="s">
        <v>5713</v>
      </c>
      <c r="E654" s="1944" t="s">
        <v>15121</v>
      </c>
    </row>
    <row r="655" spans="1:5" s="1809" customFormat="1" ht="30" x14ac:dyDescent="0.2">
      <c r="A655" s="1635" t="s">
        <v>7220</v>
      </c>
      <c r="B655" s="1813" t="s">
        <v>7219</v>
      </c>
      <c r="C655" s="1638">
        <v>8</v>
      </c>
      <c r="D655" s="1639" t="s">
        <v>5284</v>
      </c>
      <c r="E655" s="1944" t="s">
        <v>15120</v>
      </c>
    </row>
    <row r="656" spans="1:5" s="1809" customFormat="1" ht="30" x14ac:dyDescent="0.2">
      <c r="A656" s="1635" t="s">
        <v>7221</v>
      </c>
      <c r="B656" s="1813" t="s">
        <v>7150</v>
      </c>
      <c r="C656" s="1638">
        <v>5</v>
      </c>
      <c r="D656" s="1639" t="s">
        <v>5284</v>
      </c>
      <c r="E656" s="1944" t="s">
        <v>15120</v>
      </c>
    </row>
    <row r="657" spans="1:8" s="1809" customFormat="1" ht="30" x14ac:dyDescent="0.2">
      <c r="A657" s="1635" t="s">
        <v>7222</v>
      </c>
      <c r="B657" s="1813" t="s">
        <v>7151</v>
      </c>
      <c r="C657" s="1638">
        <v>65</v>
      </c>
      <c r="D657" s="1639" t="s">
        <v>5284</v>
      </c>
      <c r="E657" s="1944" t="s">
        <v>15120</v>
      </c>
    </row>
    <row r="658" spans="1:8" s="8" customFormat="1" ht="15" x14ac:dyDescent="0.2">
      <c r="A658" s="1982" t="s">
        <v>0</v>
      </c>
      <c r="B658" s="45" t="s">
        <v>1</v>
      </c>
      <c r="C658" s="1510" t="s">
        <v>131</v>
      </c>
      <c r="D658" s="46" t="s">
        <v>11</v>
      </c>
      <c r="E658" s="1942" t="s">
        <v>14974</v>
      </c>
      <c r="G658" s="1953"/>
      <c r="H658" s="1953"/>
    </row>
    <row r="659" spans="1:8" s="1809" customFormat="1" ht="30" x14ac:dyDescent="0.2">
      <c r="A659" s="1635" t="s">
        <v>7223</v>
      </c>
      <c r="B659" s="1813" t="s">
        <v>15064</v>
      </c>
      <c r="C659" s="1638">
        <v>86</v>
      </c>
      <c r="D659" s="1639" t="s">
        <v>5284</v>
      </c>
      <c r="E659" s="1944" t="s">
        <v>15120</v>
      </c>
    </row>
    <row r="660" spans="1:8" s="1809" customFormat="1" ht="30" x14ac:dyDescent="0.2">
      <c r="A660" s="1635" t="s">
        <v>7224</v>
      </c>
      <c r="B660" s="1813" t="s">
        <v>7153</v>
      </c>
      <c r="C660" s="1638">
        <v>15</v>
      </c>
      <c r="D660" s="1639" t="s">
        <v>5284</v>
      </c>
      <c r="E660" s="1944" t="s">
        <v>15120</v>
      </c>
    </row>
    <row r="661" spans="1:8" s="1809" customFormat="1" ht="30" x14ac:dyDescent="0.2">
      <c r="A661" s="1635" t="s">
        <v>7225</v>
      </c>
      <c r="B661" s="1813" t="s">
        <v>7154</v>
      </c>
      <c r="C661" s="1638">
        <v>315</v>
      </c>
      <c r="D661" s="1639" t="s">
        <v>5284</v>
      </c>
      <c r="E661" s="1944" t="s">
        <v>15120</v>
      </c>
    </row>
    <row r="662" spans="1:8" s="1809" customFormat="1" ht="30" x14ac:dyDescent="0.2">
      <c r="A662" s="1635" t="s">
        <v>7242</v>
      </c>
      <c r="B662" s="1813" t="s">
        <v>7228</v>
      </c>
      <c r="C662" s="1638">
        <v>150</v>
      </c>
      <c r="D662" s="1639" t="s">
        <v>5713</v>
      </c>
      <c r="E662" s="1944" t="s">
        <v>15120</v>
      </c>
    </row>
    <row r="663" spans="1:8" s="1809" customFormat="1" ht="30" x14ac:dyDescent="0.2">
      <c r="A663" s="1635" t="s">
        <v>7243</v>
      </c>
      <c r="B663" s="1813" t="s">
        <v>7167</v>
      </c>
      <c r="C663" s="1638">
        <v>2</v>
      </c>
      <c r="D663" s="1639" t="s">
        <v>5284</v>
      </c>
      <c r="E663" s="1944" t="s">
        <v>15120</v>
      </c>
    </row>
    <row r="664" spans="1:8" s="1809" customFormat="1" ht="30" x14ac:dyDescent="0.2">
      <c r="A664" s="1635" t="s">
        <v>7244</v>
      </c>
      <c r="B664" s="1813" t="s">
        <v>7172</v>
      </c>
      <c r="C664" s="1638">
        <v>3</v>
      </c>
      <c r="D664" s="1639" t="s">
        <v>5284</v>
      </c>
      <c r="E664" s="1944" t="s">
        <v>15120</v>
      </c>
    </row>
    <row r="665" spans="1:8" s="1809" customFormat="1" ht="30" x14ac:dyDescent="0.2">
      <c r="A665" s="1635" t="s">
        <v>7245</v>
      </c>
      <c r="B665" s="1813" t="s">
        <v>7174</v>
      </c>
      <c r="C665" s="1638">
        <v>2</v>
      </c>
      <c r="D665" s="1639" t="s">
        <v>5284</v>
      </c>
      <c r="E665" s="1944" t="s">
        <v>15120</v>
      </c>
    </row>
    <row r="666" spans="1:8" s="1809" customFormat="1" ht="30" x14ac:dyDescent="0.2">
      <c r="A666" s="1635" t="s">
        <v>7250</v>
      </c>
      <c r="B666" s="1813" t="s">
        <v>7198</v>
      </c>
      <c r="C666" s="1638">
        <v>252</v>
      </c>
      <c r="D666" s="1639" t="s">
        <v>5713</v>
      </c>
      <c r="E666" s="1944" t="s">
        <v>15120</v>
      </c>
    </row>
    <row r="667" spans="1:8" s="1809" customFormat="1" ht="30" x14ac:dyDescent="0.2">
      <c r="A667" s="1635" t="s">
        <v>7251</v>
      </c>
      <c r="B667" s="1813" t="s">
        <v>7199</v>
      </c>
      <c r="C667" s="1638">
        <v>50</v>
      </c>
      <c r="D667" s="1639" t="s">
        <v>5284</v>
      </c>
      <c r="E667" s="1944" t="s">
        <v>15120</v>
      </c>
    </row>
    <row r="668" spans="1:8" s="1809" customFormat="1" ht="30" x14ac:dyDescent="0.2">
      <c r="A668" s="1635" t="s">
        <v>7229</v>
      </c>
      <c r="B668" s="1813" t="s">
        <v>7246</v>
      </c>
      <c r="C668" s="1638">
        <v>35</v>
      </c>
      <c r="D668" s="1639" t="s">
        <v>5713</v>
      </c>
      <c r="E668" s="1944" t="s">
        <v>15120</v>
      </c>
    </row>
    <row r="669" spans="1:8" s="1809" customFormat="1" ht="30" x14ac:dyDescent="0.2">
      <c r="A669" s="1635" t="s">
        <v>7230</v>
      </c>
      <c r="B669" s="1813" t="s">
        <v>7252</v>
      </c>
      <c r="C669" s="1638">
        <v>13</v>
      </c>
      <c r="D669" s="1639" t="s">
        <v>5284</v>
      </c>
      <c r="E669" s="1944" t="s">
        <v>15120</v>
      </c>
    </row>
    <row r="670" spans="1:8" s="1809" customFormat="1" ht="30" x14ac:dyDescent="0.2">
      <c r="A670" s="1635" t="s">
        <v>6294</v>
      </c>
      <c r="B670" s="1813" t="s">
        <v>6277</v>
      </c>
      <c r="C670" s="1638">
        <v>149</v>
      </c>
      <c r="D670" s="1639" t="s">
        <v>5284</v>
      </c>
      <c r="E670" s="1944" t="s">
        <v>15120</v>
      </c>
    </row>
    <row r="671" spans="1:8" s="1809" customFormat="1" ht="30" x14ac:dyDescent="0.2">
      <c r="A671" s="1635" t="s">
        <v>7256</v>
      </c>
      <c r="B671" s="1813" t="s">
        <v>7257</v>
      </c>
      <c r="C671" s="1638">
        <v>4</v>
      </c>
      <c r="D671" s="1639" t="s">
        <v>7609</v>
      </c>
      <c r="E671" s="1944" t="s">
        <v>15120</v>
      </c>
    </row>
    <row r="672" spans="1:8" s="1809" customFormat="1" ht="45" x14ac:dyDescent="0.2">
      <c r="A672" s="1635" t="s">
        <v>8292</v>
      </c>
      <c r="B672" s="1813" t="s">
        <v>8290</v>
      </c>
      <c r="C672" s="1638">
        <v>4</v>
      </c>
      <c r="D672" s="1639" t="s">
        <v>5284</v>
      </c>
      <c r="E672" s="1944" t="s">
        <v>15120</v>
      </c>
    </row>
    <row r="673" spans="1:8" s="1809" customFormat="1" ht="45" x14ac:dyDescent="0.2">
      <c r="A673" s="1635" t="s">
        <v>7265</v>
      </c>
      <c r="B673" s="1813" t="s">
        <v>7493</v>
      </c>
      <c r="C673" s="1638">
        <v>89.96</v>
      </c>
      <c r="D673" s="1639" t="s">
        <v>5685</v>
      </c>
      <c r="E673" s="1944" t="s">
        <v>15122</v>
      </c>
    </row>
    <row r="674" spans="1:8" s="1809" customFormat="1" ht="45" x14ac:dyDescent="0.2">
      <c r="A674" s="1635" t="s">
        <v>7266</v>
      </c>
      <c r="B674" s="1813" t="s">
        <v>6215</v>
      </c>
      <c r="C674" s="1638">
        <v>88.04</v>
      </c>
      <c r="D674" s="1639" t="s">
        <v>5685</v>
      </c>
      <c r="E674" s="1944" t="s">
        <v>15122</v>
      </c>
    </row>
    <row r="675" spans="1:8" s="1809" customFormat="1" ht="45" x14ac:dyDescent="0.2">
      <c r="A675" s="1635" t="s">
        <v>7240</v>
      </c>
      <c r="B675" s="1813" t="s">
        <v>7491</v>
      </c>
      <c r="C675" s="1638">
        <f>8+6</f>
        <v>14</v>
      </c>
      <c r="D675" s="1639" t="s">
        <v>5284</v>
      </c>
      <c r="E675" s="1944" t="s">
        <v>15137</v>
      </c>
    </row>
    <row r="676" spans="1:8" s="1809" customFormat="1" ht="45" x14ac:dyDescent="0.2">
      <c r="A676" s="1635" t="s">
        <v>7241</v>
      </c>
      <c r="B676" s="1813" t="s">
        <v>6276</v>
      </c>
      <c r="C676" s="1638">
        <v>14</v>
      </c>
      <c r="D676" s="1639" t="s">
        <v>5284</v>
      </c>
      <c r="E676" s="1944" t="s">
        <v>15078</v>
      </c>
    </row>
    <row r="677" spans="1:8" s="1809" customFormat="1" ht="75" x14ac:dyDescent="0.2">
      <c r="A677" s="1635" t="s">
        <v>5012</v>
      </c>
      <c r="B677" s="1813" t="s">
        <v>7615</v>
      </c>
      <c r="C677" s="1638">
        <v>1</v>
      </c>
      <c r="D677" s="1639" t="s">
        <v>5284</v>
      </c>
      <c r="E677" s="1944" t="s">
        <v>14996</v>
      </c>
    </row>
    <row r="678" spans="1:8" s="8" customFormat="1" ht="15" x14ac:dyDescent="0.2">
      <c r="A678" s="1982" t="s">
        <v>0</v>
      </c>
      <c r="B678" s="45" t="s">
        <v>1</v>
      </c>
      <c r="C678" s="1510" t="s">
        <v>131</v>
      </c>
      <c r="D678" s="46" t="s">
        <v>11</v>
      </c>
      <c r="E678" s="1942" t="s">
        <v>14974</v>
      </c>
      <c r="G678" s="1953"/>
      <c r="H678" s="1953"/>
    </row>
    <row r="679" spans="1:8" s="1809" customFormat="1" ht="75" x14ac:dyDescent="0.2">
      <c r="A679" s="1635" t="s">
        <v>7761</v>
      </c>
      <c r="B679" s="1813" t="s">
        <v>8380</v>
      </c>
      <c r="C679" s="1638">
        <v>1</v>
      </c>
      <c r="D679" s="1639" t="s">
        <v>8373</v>
      </c>
      <c r="E679" s="1944" t="s">
        <v>15123</v>
      </c>
    </row>
    <row r="680" spans="1:8" s="1809" customFormat="1" ht="30" x14ac:dyDescent="0.2">
      <c r="A680" s="1635" t="s">
        <v>7762</v>
      </c>
      <c r="B680" s="1813" t="s">
        <v>7624</v>
      </c>
      <c r="C680" s="1638">
        <v>6</v>
      </c>
      <c r="D680" s="1639" t="s">
        <v>5284</v>
      </c>
      <c r="E680" s="1944" t="s">
        <v>15123</v>
      </c>
    </row>
    <row r="681" spans="1:8" s="1809" customFormat="1" ht="30" x14ac:dyDescent="0.2">
      <c r="A681" s="1635" t="s">
        <v>7763</v>
      </c>
      <c r="B681" s="1813" t="s">
        <v>7767</v>
      </c>
      <c r="C681" s="1638">
        <v>13</v>
      </c>
      <c r="D681" s="1639" t="s">
        <v>5284</v>
      </c>
      <c r="E681" s="1944" t="s">
        <v>15123</v>
      </c>
    </row>
    <row r="682" spans="1:8" s="1809" customFormat="1" ht="30" x14ac:dyDescent="0.2">
      <c r="A682" s="1635" t="s">
        <v>7764</v>
      </c>
      <c r="B682" s="1813" t="s">
        <v>7768</v>
      </c>
      <c r="C682" s="1638">
        <v>40</v>
      </c>
      <c r="D682" s="1639" t="s">
        <v>5284</v>
      </c>
      <c r="E682" s="1944" t="s">
        <v>15123</v>
      </c>
    </row>
    <row r="683" spans="1:8" s="1809" customFormat="1" ht="30" x14ac:dyDescent="0.2">
      <c r="A683" s="1635" t="s">
        <v>6799</v>
      </c>
      <c r="B683" s="1813" t="s">
        <v>7621</v>
      </c>
      <c r="C683" s="1638">
        <v>1872</v>
      </c>
      <c r="D683" s="1639" t="s">
        <v>5688</v>
      </c>
      <c r="E683" s="1944" t="s">
        <v>15123</v>
      </c>
    </row>
    <row r="684" spans="1:8" s="1809" customFormat="1" ht="30" x14ac:dyDescent="0.2">
      <c r="A684" s="1635" t="s">
        <v>6800</v>
      </c>
      <c r="B684" s="1813" t="s">
        <v>7622</v>
      </c>
      <c r="C684" s="1638">
        <v>1310</v>
      </c>
      <c r="D684" s="1639" t="s">
        <v>5688</v>
      </c>
      <c r="E684" s="1944" t="s">
        <v>15123</v>
      </c>
    </row>
    <row r="685" spans="1:8" s="1809" customFormat="1" ht="30" x14ac:dyDescent="0.2">
      <c r="A685" s="1635" t="s">
        <v>6801</v>
      </c>
      <c r="B685" s="1813" t="s">
        <v>7623</v>
      </c>
      <c r="C685" s="1638">
        <v>768</v>
      </c>
      <c r="D685" s="1639" t="s">
        <v>5688</v>
      </c>
      <c r="E685" s="1944" t="s">
        <v>15123</v>
      </c>
    </row>
    <row r="686" spans="1:8" s="1809" customFormat="1" ht="30" x14ac:dyDescent="0.2">
      <c r="A686" s="1635" t="s">
        <v>6803</v>
      </c>
      <c r="B686" s="1813" t="s">
        <v>6802</v>
      </c>
      <c r="C686" s="1638">
        <v>330</v>
      </c>
      <c r="D686" s="1639" t="s">
        <v>5286</v>
      </c>
      <c r="E686" s="1944" t="s">
        <v>15123</v>
      </c>
    </row>
    <row r="687" spans="1:8" s="1809" customFormat="1" ht="30" x14ac:dyDescent="0.2">
      <c r="A687" s="1635" t="s">
        <v>6820</v>
      </c>
      <c r="B687" s="1813" t="s">
        <v>6805</v>
      </c>
      <c r="C687" s="1638">
        <v>2000</v>
      </c>
      <c r="D687" s="1639" t="s">
        <v>5284</v>
      </c>
      <c r="E687" s="1944" t="s">
        <v>15123</v>
      </c>
    </row>
    <row r="688" spans="1:8" s="1809" customFormat="1" ht="30" x14ac:dyDescent="0.2">
      <c r="A688" s="1635" t="s">
        <v>6821</v>
      </c>
      <c r="B688" s="1813" t="s">
        <v>6898</v>
      </c>
      <c r="C688" s="1638">
        <v>4000</v>
      </c>
      <c r="D688" s="1639" t="s">
        <v>5284</v>
      </c>
      <c r="E688" s="1944" t="s">
        <v>15123</v>
      </c>
    </row>
    <row r="689" spans="1:8" s="1809" customFormat="1" ht="30" x14ac:dyDescent="0.2">
      <c r="A689" s="1635" t="s">
        <v>6822</v>
      </c>
      <c r="B689" s="1813" t="s">
        <v>6900</v>
      </c>
      <c r="C689" s="1638">
        <v>70</v>
      </c>
      <c r="D689" s="1639" t="s">
        <v>5284</v>
      </c>
      <c r="E689" s="1944" t="s">
        <v>15123</v>
      </c>
    </row>
    <row r="690" spans="1:8" s="1809" customFormat="1" ht="30" x14ac:dyDescent="0.2">
      <c r="A690" s="1635" t="s">
        <v>9582</v>
      </c>
      <c r="B690" s="1813" t="s">
        <v>6901</v>
      </c>
      <c r="C690" s="1638">
        <v>80</v>
      </c>
      <c r="D690" s="1639" t="s">
        <v>5284</v>
      </c>
      <c r="E690" s="1944" t="s">
        <v>15123</v>
      </c>
    </row>
    <row r="691" spans="1:8" s="1809" customFormat="1" ht="30" x14ac:dyDescent="0.2">
      <c r="A691" s="1635" t="s">
        <v>9583</v>
      </c>
      <c r="B691" s="1813" t="s">
        <v>6903</v>
      </c>
      <c r="C691" s="1638">
        <v>20</v>
      </c>
      <c r="D691" s="1639" t="s">
        <v>5284</v>
      </c>
      <c r="E691" s="1944" t="s">
        <v>15123</v>
      </c>
    </row>
    <row r="692" spans="1:8" s="1809" customFormat="1" ht="30" x14ac:dyDescent="0.2">
      <c r="A692" s="1635" t="s">
        <v>9584</v>
      </c>
      <c r="B692" s="1813" t="s">
        <v>8298</v>
      </c>
      <c r="C692" s="1638">
        <v>40</v>
      </c>
      <c r="D692" s="1639" t="s">
        <v>5284</v>
      </c>
      <c r="E692" s="1944" t="s">
        <v>15123</v>
      </c>
    </row>
    <row r="693" spans="1:8" s="1809" customFormat="1" ht="30" x14ac:dyDescent="0.2">
      <c r="A693" s="1635" t="s">
        <v>6823</v>
      </c>
      <c r="B693" s="1813" t="s">
        <v>6806</v>
      </c>
      <c r="C693" s="1638">
        <v>70</v>
      </c>
      <c r="D693" s="1639" t="s">
        <v>5284</v>
      </c>
      <c r="E693" s="1944" t="s">
        <v>15123</v>
      </c>
    </row>
    <row r="694" spans="1:8" s="1809" customFormat="1" ht="30" x14ac:dyDescent="0.2">
      <c r="A694" s="1635" t="s">
        <v>6824</v>
      </c>
      <c r="B694" s="1813" t="s">
        <v>6905</v>
      </c>
      <c r="C694" s="1638">
        <v>51</v>
      </c>
      <c r="D694" s="1639" t="s">
        <v>5284</v>
      </c>
      <c r="E694" s="1944" t="s">
        <v>15123</v>
      </c>
    </row>
    <row r="695" spans="1:8" s="1809" customFormat="1" ht="30" x14ac:dyDescent="0.2">
      <c r="A695" s="1635" t="s">
        <v>6825</v>
      </c>
      <c r="B695" s="1813" t="s">
        <v>6807</v>
      </c>
      <c r="C695" s="1638">
        <v>800</v>
      </c>
      <c r="D695" s="1639" t="s">
        <v>5284</v>
      </c>
      <c r="E695" s="1944" t="s">
        <v>15123</v>
      </c>
    </row>
    <row r="696" spans="1:8" s="1809" customFormat="1" ht="30" x14ac:dyDescent="0.2">
      <c r="A696" s="1635" t="s">
        <v>6826</v>
      </c>
      <c r="B696" s="1813" t="s">
        <v>6808</v>
      </c>
      <c r="C696" s="1638">
        <v>800</v>
      </c>
      <c r="D696" s="1639" t="s">
        <v>5284</v>
      </c>
      <c r="E696" s="1944" t="s">
        <v>15123</v>
      </c>
    </row>
    <row r="697" spans="1:8" s="1809" customFormat="1" ht="30" x14ac:dyDescent="0.2">
      <c r="A697" s="1635" t="s">
        <v>6827</v>
      </c>
      <c r="B697" s="1813" t="s">
        <v>6809</v>
      </c>
      <c r="C697" s="1638">
        <v>400</v>
      </c>
      <c r="D697" s="1639" t="s">
        <v>5284</v>
      </c>
      <c r="E697" s="1944" t="s">
        <v>15123</v>
      </c>
    </row>
    <row r="698" spans="1:8" s="1809" customFormat="1" ht="30" x14ac:dyDescent="0.2">
      <c r="A698" s="1635" t="s">
        <v>6851</v>
      </c>
      <c r="B698" s="1813" t="s">
        <v>6846</v>
      </c>
      <c r="C698" s="1638">
        <v>5</v>
      </c>
      <c r="D698" s="1639" t="s">
        <v>5284</v>
      </c>
      <c r="E698" s="1944" t="s">
        <v>15123</v>
      </c>
    </row>
    <row r="699" spans="1:8" s="1809" customFormat="1" ht="30" x14ac:dyDescent="0.2">
      <c r="A699" s="1635" t="s">
        <v>6852</v>
      </c>
      <c r="B699" s="1813" t="s">
        <v>6847</v>
      </c>
      <c r="C699" s="1638">
        <v>42</v>
      </c>
      <c r="D699" s="1639" t="s">
        <v>5284</v>
      </c>
      <c r="E699" s="1944" t="s">
        <v>15123</v>
      </c>
    </row>
    <row r="700" spans="1:8" s="1809" customFormat="1" ht="30" x14ac:dyDescent="0.2">
      <c r="A700" s="1635" t="s">
        <v>6853</v>
      </c>
      <c r="B700" s="1813" t="s">
        <v>6848</v>
      </c>
      <c r="C700" s="1638">
        <v>11</v>
      </c>
      <c r="D700" s="1639" t="s">
        <v>5284</v>
      </c>
      <c r="E700" s="1944" t="s">
        <v>15123</v>
      </c>
    </row>
    <row r="701" spans="1:8" s="1809" customFormat="1" ht="30" x14ac:dyDescent="0.2">
      <c r="A701" s="1635" t="s">
        <v>6854</v>
      </c>
      <c r="B701" s="1813" t="s">
        <v>6849</v>
      </c>
      <c r="C701" s="1638">
        <v>45</v>
      </c>
      <c r="D701" s="1639" t="s">
        <v>5284</v>
      </c>
      <c r="E701" s="1944" t="s">
        <v>15123</v>
      </c>
    </row>
    <row r="702" spans="1:8" s="1809" customFormat="1" ht="30" x14ac:dyDescent="0.2">
      <c r="A702" s="1635" t="s">
        <v>6855</v>
      </c>
      <c r="B702" s="1813" t="s">
        <v>6850</v>
      </c>
      <c r="C702" s="1638">
        <v>13</v>
      </c>
      <c r="D702" s="1639" t="s">
        <v>5284</v>
      </c>
      <c r="E702" s="1944" t="s">
        <v>15123</v>
      </c>
    </row>
    <row r="703" spans="1:8" s="8" customFormat="1" ht="15" x14ac:dyDescent="0.2">
      <c r="A703" s="1982" t="s">
        <v>0</v>
      </c>
      <c r="B703" s="45" t="s">
        <v>1</v>
      </c>
      <c r="C703" s="1510" t="s">
        <v>131</v>
      </c>
      <c r="D703" s="46" t="s">
        <v>11</v>
      </c>
      <c r="E703" s="1942" t="s">
        <v>14974</v>
      </c>
      <c r="G703" s="1953"/>
      <c r="H703" s="1953"/>
    </row>
    <row r="704" spans="1:8" s="1809" customFormat="1" ht="45" x14ac:dyDescent="0.2">
      <c r="A704" s="1635" t="s">
        <v>6858</v>
      </c>
      <c r="B704" s="1813" t="s">
        <v>6856</v>
      </c>
      <c r="C704" s="1638">
        <v>1</v>
      </c>
      <c r="D704" s="1639" t="s">
        <v>5284</v>
      </c>
      <c r="E704" s="1944" t="s">
        <v>15123</v>
      </c>
    </row>
    <row r="705" spans="1:5" s="1809" customFormat="1" ht="45" x14ac:dyDescent="0.2">
      <c r="A705" s="1635" t="s">
        <v>6859</v>
      </c>
      <c r="B705" s="1813" t="s">
        <v>6857</v>
      </c>
      <c r="C705" s="1638">
        <v>1</v>
      </c>
      <c r="D705" s="1639" t="s">
        <v>5284</v>
      </c>
      <c r="E705" s="1944" t="s">
        <v>15123</v>
      </c>
    </row>
    <row r="706" spans="1:5" s="1809" customFormat="1" ht="30" x14ac:dyDescent="0.2">
      <c r="A706" s="1635" t="s">
        <v>6861</v>
      </c>
      <c r="B706" s="1813" t="s">
        <v>6860</v>
      </c>
      <c r="C706" s="1638">
        <v>1</v>
      </c>
      <c r="D706" s="1639" t="s">
        <v>5284</v>
      </c>
      <c r="E706" s="1944" t="s">
        <v>15123</v>
      </c>
    </row>
    <row r="707" spans="1:5" s="1809" customFormat="1" ht="30" x14ac:dyDescent="0.2">
      <c r="A707" s="1635" t="s">
        <v>6813</v>
      </c>
      <c r="B707" s="1813" t="s">
        <v>6862</v>
      </c>
      <c r="C707" s="1638">
        <v>4</v>
      </c>
      <c r="D707" s="1639" t="s">
        <v>5284</v>
      </c>
      <c r="E707" s="1944" t="s">
        <v>15123</v>
      </c>
    </row>
    <row r="708" spans="1:5" s="1809" customFormat="1" ht="30" x14ac:dyDescent="0.2">
      <c r="A708" s="1635" t="s">
        <v>6868</v>
      </c>
      <c r="B708" s="1813" t="s">
        <v>6863</v>
      </c>
      <c r="C708" s="1638">
        <v>22</v>
      </c>
      <c r="D708" s="1639" t="s">
        <v>5284</v>
      </c>
      <c r="E708" s="1944" t="s">
        <v>15123</v>
      </c>
    </row>
    <row r="709" spans="1:5" s="1809" customFormat="1" ht="30" x14ac:dyDescent="0.2">
      <c r="A709" s="1635" t="s">
        <v>6869</v>
      </c>
      <c r="B709" s="1813" t="s">
        <v>7654</v>
      </c>
      <c r="C709" s="1638">
        <v>5</v>
      </c>
      <c r="D709" s="1639" t="s">
        <v>5284</v>
      </c>
      <c r="E709" s="1944" t="s">
        <v>15123</v>
      </c>
    </row>
    <row r="710" spans="1:5" s="1809" customFormat="1" ht="30" x14ac:dyDescent="0.2">
      <c r="A710" s="1635" t="s">
        <v>6870</v>
      </c>
      <c r="B710" s="1813" t="s">
        <v>7655</v>
      </c>
      <c r="C710" s="1638">
        <v>2</v>
      </c>
      <c r="D710" s="1639" t="s">
        <v>5284</v>
      </c>
      <c r="E710" s="1944" t="s">
        <v>15123</v>
      </c>
    </row>
    <row r="711" spans="1:5" s="1809" customFormat="1" ht="30" x14ac:dyDescent="0.2">
      <c r="A711" s="1635" t="s">
        <v>6871</v>
      </c>
      <c r="B711" s="1813" t="s">
        <v>6864</v>
      </c>
      <c r="C711" s="1638">
        <v>5</v>
      </c>
      <c r="D711" s="1639" t="s">
        <v>5284</v>
      </c>
      <c r="E711" s="1944" t="s">
        <v>15123</v>
      </c>
    </row>
    <row r="712" spans="1:5" s="1809" customFormat="1" ht="30" x14ac:dyDescent="0.2">
      <c r="A712" s="1635" t="s">
        <v>6872</v>
      </c>
      <c r="B712" s="1813" t="s">
        <v>6865</v>
      </c>
      <c r="C712" s="1638">
        <v>14</v>
      </c>
      <c r="D712" s="1639" t="s">
        <v>5284</v>
      </c>
      <c r="E712" s="1944" t="s">
        <v>15123</v>
      </c>
    </row>
    <row r="713" spans="1:5" s="1809" customFormat="1" ht="30" x14ac:dyDescent="0.2">
      <c r="A713" s="1635" t="s">
        <v>6873</v>
      </c>
      <c r="B713" s="1813" t="s">
        <v>6866</v>
      </c>
      <c r="C713" s="1638">
        <v>9</v>
      </c>
      <c r="D713" s="1639" t="s">
        <v>5284</v>
      </c>
      <c r="E713" s="1944" t="s">
        <v>15123</v>
      </c>
    </row>
    <row r="714" spans="1:5" s="1809" customFormat="1" ht="30" x14ac:dyDescent="0.2">
      <c r="A714" s="1635" t="s">
        <v>6874</v>
      </c>
      <c r="B714" s="1813" t="s">
        <v>6867</v>
      </c>
      <c r="C714" s="1638">
        <v>15</v>
      </c>
      <c r="D714" s="1639" t="s">
        <v>5284</v>
      </c>
      <c r="E714" s="1944" t="s">
        <v>15123</v>
      </c>
    </row>
    <row r="715" spans="1:5" s="1809" customFormat="1" ht="60" x14ac:dyDescent="0.2">
      <c r="A715" s="1635" t="s">
        <v>6828</v>
      </c>
      <c r="B715" s="1813" t="s">
        <v>6913</v>
      </c>
      <c r="C715" s="1638">
        <v>36</v>
      </c>
      <c r="D715" s="1639" t="s">
        <v>5713</v>
      </c>
      <c r="E715" s="1944" t="s">
        <v>15123</v>
      </c>
    </row>
    <row r="716" spans="1:5" s="1809" customFormat="1" ht="60" x14ac:dyDescent="0.2">
      <c r="A716" s="1635" t="s">
        <v>6829</v>
      </c>
      <c r="B716" s="1813" t="s">
        <v>6914</v>
      </c>
      <c r="C716" s="1638">
        <v>54</v>
      </c>
      <c r="D716" s="1639" t="s">
        <v>5713</v>
      </c>
      <c r="E716" s="1944" t="s">
        <v>15123</v>
      </c>
    </row>
    <row r="717" spans="1:5" s="1809" customFormat="1" ht="60" x14ac:dyDescent="0.2">
      <c r="A717" s="1635" t="s">
        <v>6830</v>
      </c>
      <c r="B717" s="1813" t="s">
        <v>6915</v>
      </c>
      <c r="C717" s="1638">
        <v>60</v>
      </c>
      <c r="D717" s="1639" t="s">
        <v>5713</v>
      </c>
      <c r="E717" s="1944" t="s">
        <v>15123</v>
      </c>
    </row>
    <row r="718" spans="1:5" s="1809" customFormat="1" ht="45" x14ac:dyDescent="0.2">
      <c r="A718" s="1635" t="s">
        <v>6831</v>
      </c>
      <c r="B718" s="1813" t="s">
        <v>6916</v>
      </c>
      <c r="C718" s="1638">
        <v>60</v>
      </c>
      <c r="D718" s="1639" t="s">
        <v>5713</v>
      </c>
      <c r="E718" s="1944" t="s">
        <v>15123</v>
      </c>
    </row>
    <row r="719" spans="1:5" s="1809" customFormat="1" ht="45" x14ac:dyDescent="0.2">
      <c r="A719" s="1635" t="s">
        <v>6832</v>
      </c>
      <c r="B719" s="1813" t="s">
        <v>6917</v>
      </c>
      <c r="C719" s="1638">
        <v>78</v>
      </c>
      <c r="D719" s="1639" t="s">
        <v>5713</v>
      </c>
      <c r="E719" s="1944" t="s">
        <v>15123</v>
      </c>
    </row>
    <row r="720" spans="1:5" s="1809" customFormat="1" ht="45" x14ac:dyDescent="0.2">
      <c r="A720" s="1635" t="s">
        <v>6833</v>
      </c>
      <c r="B720" s="1813" t="s">
        <v>6918</v>
      </c>
      <c r="C720" s="1638">
        <v>108</v>
      </c>
      <c r="D720" s="1639" t="s">
        <v>5713</v>
      </c>
      <c r="E720" s="1944" t="s">
        <v>15123</v>
      </c>
    </row>
    <row r="721" spans="1:8" s="1809" customFormat="1" ht="60" x14ac:dyDescent="0.2">
      <c r="A721" s="1635" t="s">
        <v>6834</v>
      </c>
      <c r="B721" s="1813" t="s">
        <v>6909</v>
      </c>
      <c r="C721" s="1638">
        <v>195</v>
      </c>
      <c r="D721" s="1639" t="s">
        <v>5713</v>
      </c>
      <c r="E721" s="1944" t="s">
        <v>15123</v>
      </c>
    </row>
    <row r="722" spans="1:8" s="1809" customFormat="1" ht="60" x14ac:dyDescent="0.2">
      <c r="A722" s="1635" t="s">
        <v>6835</v>
      </c>
      <c r="B722" s="1813" t="s">
        <v>6910</v>
      </c>
      <c r="C722" s="1638">
        <v>135</v>
      </c>
      <c r="D722" s="1639" t="s">
        <v>5713</v>
      </c>
      <c r="E722" s="1944" t="s">
        <v>15123</v>
      </c>
    </row>
    <row r="723" spans="1:8" s="8" customFormat="1" ht="15" x14ac:dyDescent="0.2">
      <c r="A723" s="1982" t="s">
        <v>0</v>
      </c>
      <c r="B723" s="45" t="s">
        <v>1</v>
      </c>
      <c r="C723" s="1510" t="s">
        <v>131</v>
      </c>
      <c r="D723" s="46" t="s">
        <v>11</v>
      </c>
      <c r="E723" s="1942" t="s">
        <v>14974</v>
      </c>
      <c r="G723" s="1953"/>
      <c r="H723" s="1953"/>
    </row>
    <row r="724" spans="1:8" s="1809" customFormat="1" ht="60" x14ac:dyDescent="0.2">
      <c r="A724" s="1635" t="s">
        <v>6836</v>
      </c>
      <c r="B724" s="1813" t="s">
        <v>6911</v>
      </c>
      <c r="C724" s="1638">
        <v>240</v>
      </c>
      <c r="D724" s="1639" t="s">
        <v>5713</v>
      </c>
      <c r="E724" s="1944" t="s">
        <v>15123</v>
      </c>
    </row>
    <row r="725" spans="1:8" s="1809" customFormat="1" ht="60" x14ac:dyDescent="0.2">
      <c r="A725" s="1635" t="s">
        <v>6837</v>
      </c>
      <c r="B725" s="1813" t="s">
        <v>6912</v>
      </c>
      <c r="C725" s="1638">
        <v>75</v>
      </c>
      <c r="D725" s="1639" t="s">
        <v>5713</v>
      </c>
      <c r="E725" s="1944" t="s">
        <v>15123</v>
      </c>
    </row>
    <row r="726" spans="1:8" s="1809" customFormat="1" ht="30" x14ac:dyDescent="0.2">
      <c r="A726" s="1635" t="s">
        <v>6838</v>
      </c>
      <c r="B726" s="1813" t="s">
        <v>6814</v>
      </c>
      <c r="C726" s="1638">
        <v>40</v>
      </c>
      <c r="D726" s="1639" t="s">
        <v>5284</v>
      </c>
      <c r="E726" s="1944" t="s">
        <v>15123</v>
      </c>
    </row>
    <row r="727" spans="1:8" s="1809" customFormat="1" ht="30" x14ac:dyDescent="0.2">
      <c r="A727" s="1635" t="s">
        <v>6839</v>
      </c>
      <c r="B727" s="1813" t="s">
        <v>6815</v>
      </c>
      <c r="C727" s="1638">
        <v>40</v>
      </c>
      <c r="D727" s="1639" t="s">
        <v>5284</v>
      </c>
      <c r="E727" s="1944" t="s">
        <v>15123</v>
      </c>
    </row>
    <row r="728" spans="1:8" s="1809" customFormat="1" ht="30" x14ac:dyDescent="0.2">
      <c r="A728" s="1635" t="s">
        <v>6840</v>
      </c>
      <c r="B728" s="1813" t="s">
        <v>6816</v>
      </c>
      <c r="C728" s="1638">
        <v>30</v>
      </c>
      <c r="D728" s="1639" t="s">
        <v>5284</v>
      </c>
      <c r="E728" s="1944" t="s">
        <v>15123</v>
      </c>
    </row>
    <row r="729" spans="1:8" s="1809" customFormat="1" ht="30" x14ac:dyDescent="0.2">
      <c r="A729" s="1635" t="s">
        <v>6841</v>
      </c>
      <c r="B729" s="1813" t="s">
        <v>6817</v>
      </c>
      <c r="C729" s="1638">
        <v>10</v>
      </c>
      <c r="D729" s="1639" t="s">
        <v>5284</v>
      </c>
      <c r="E729" s="1944" t="s">
        <v>15123</v>
      </c>
    </row>
    <row r="730" spans="1:8" s="1809" customFormat="1" ht="30" x14ac:dyDescent="0.2">
      <c r="A730" s="1635" t="s">
        <v>6842</v>
      </c>
      <c r="B730" s="1813" t="s">
        <v>6818</v>
      </c>
      <c r="C730" s="1638">
        <v>48</v>
      </c>
      <c r="D730" s="1639" t="s">
        <v>5284</v>
      </c>
      <c r="E730" s="1944" t="s">
        <v>15123</v>
      </c>
    </row>
    <row r="731" spans="1:8" s="1809" customFormat="1" ht="30" x14ac:dyDescent="0.2">
      <c r="A731" s="1635" t="s">
        <v>6843</v>
      </c>
      <c r="B731" s="1813" t="s">
        <v>6819</v>
      </c>
      <c r="C731" s="1638">
        <v>80</v>
      </c>
      <c r="D731" s="1639" t="s">
        <v>5284</v>
      </c>
      <c r="E731" s="1944" t="s">
        <v>15123</v>
      </c>
    </row>
    <row r="732" spans="1:8" s="1809" customFormat="1" ht="45" x14ac:dyDescent="0.2">
      <c r="A732" s="1635" t="s">
        <v>6877</v>
      </c>
      <c r="B732" s="1813" t="s">
        <v>7553</v>
      </c>
      <c r="C732" s="1638">
        <v>1</v>
      </c>
      <c r="D732" s="1639" t="s">
        <v>5284</v>
      </c>
      <c r="E732" s="1944" t="s">
        <v>15123</v>
      </c>
    </row>
    <row r="733" spans="1:8" s="1809" customFormat="1" ht="60" x14ac:dyDescent="0.2">
      <c r="A733" s="1635" t="s">
        <v>7358</v>
      </c>
      <c r="B733" s="1813" t="s">
        <v>7352</v>
      </c>
      <c r="C733" s="1638">
        <v>22</v>
      </c>
      <c r="D733" s="1639" t="s">
        <v>5713</v>
      </c>
      <c r="E733" s="1944" t="s">
        <v>15125</v>
      </c>
    </row>
    <row r="734" spans="1:8" s="1809" customFormat="1" ht="60" x14ac:dyDescent="0.2">
      <c r="A734" s="1635" t="s">
        <v>7359</v>
      </c>
      <c r="B734" s="1813" t="s">
        <v>7353</v>
      </c>
      <c r="C734" s="1638">
        <v>2</v>
      </c>
      <c r="D734" s="1639" t="s">
        <v>5713</v>
      </c>
      <c r="E734" s="1944" t="s">
        <v>15125</v>
      </c>
    </row>
    <row r="735" spans="1:8" s="1809" customFormat="1" ht="60" x14ac:dyDescent="0.2">
      <c r="A735" s="1635" t="s">
        <v>7360</v>
      </c>
      <c r="B735" s="1813" t="s">
        <v>7354</v>
      </c>
      <c r="C735" s="1638">
        <v>2</v>
      </c>
      <c r="D735" s="1639" t="s">
        <v>5284</v>
      </c>
      <c r="E735" s="1944" t="s">
        <v>15125</v>
      </c>
    </row>
    <row r="736" spans="1:8" s="1809" customFormat="1" ht="60" x14ac:dyDescent="0.2">
      <c r="A736" s="1635" t="s">
        <v>7361</v>
      </c>
      <c r="B736" s="1813" t="s">
        <v>7355</v>
      </c>
      <c r="C736" s="1638">
        <v>24</v>
      </c>
      <c r="D736" s="1639" t="s">
        <v>5284</v>
      </c>
      <c r="E736" s="1944" t="s">
        <v>15125</v>
      </c>
    </row>
    <row r="737" spans="1:8" s="1809" customFormat="1" ht="45" x14ac:dyDescent="0.2">
      <c r="A737" s="1635" t="s">
        <v>7362</v>
      </c>
      <c r="B737" s="1813" t="s">
        <v>7356</v>
      </c>
      <c r="C737" s="1638">
        <v>12</v>
      </c>
      <c r="D737" s="1639" t="s">
        <v>5284</v>
      </c>
      <c r="E737" s="1944" t="s">
        <v>15125</v>
      </c>
    </row>
    <row r="738" spans="1:8" s="1809" customFormat="1" ht="45" x14ac:dyDescent="0.2">
      <c r="A738" s="1635" t="s">
        <v>7363</v>
      </c>
      <c r="B738" s="1813" t="s">
        <v>7357</v>
      </c>
      <c r="C738" s="1638">
        <v>6</v>
      </c>
      <c r="D738" s="1639" t="s">
        <v>5284</v>
      </c>
      <c r="E738" s="1944" t="s">
        <v>15125</v>
      </c>
    </row>
    <row r="739" spans="1:8" s="1809" customFormat="1" ht="45" x14ac:dyDescent="0.2">
      <c r="A739" s="1635" t="s">
        <v>7380</v>
      </c>
      <c r="B739" s="1813" t="s">
        <v>7365</v>
      </c>
      <c r="C739" s="1638">
        <v>5</v>
      </c>
      <c r="D739" s="1639" t="s">
        <v>5284</v>
      </c>
      <c r="E739" s="1944" t="s">
        <v>15125</v>
      </c>
    </row>
    <row r="740" spans="1:8" s="1809" customFormat="1" ht="30" x14ac:dyDescent="0.2">
      <c r="A740" s="1635" t="s">
        <v>7381</v>
      </c>
      <c r="B740" s="1813" t="s">
        <v>7367</v>
      </c>
      <c r="C740" s="1638">
        <v>11</v>
      </c>
      <c r="D740" s="1639" t="s">
        <v>5284</v>
      </c>
      <c r="E740" s="1944" t="s">
        <v>15125</v>
      </c>
    </row>
    <row r="741" spans="1:8" s="1809" customFormat="1" ht="30" x14ac:dyDescent="0.2">
      <c r="A741" s="1635" t="s">
        <v>7382</v>
      </c>
      <c r="B741" s="1813" t="s">
        <v>7383</v>
      </c>
      <c r="C741" s="1638">
        <v>6</v>
      </c>
      <c r="D741" s="1639" t="s">
        <v>5284</v>
      </c>
      <c r="E741" s="1944" t="s">
        <v>15125</v>
      </c>
    </row>
    <row r="742" spans="1:8" s="8" customFormat="1" ht="15" x14ac:dyDescent="0.2">
      <c r="A742" s="1982" t="s">
        <v>0</v>
      </c>
      <c r="B742" s="45" t="s">
        <v>1</v>
      </c>
      <c r="C742" s="1510" t="s">
        <v>131</v>
      </c>
      <c r="D742" s="46" t="s">
        <v>11</v>
      </c>
      <c r="E742" s="1942" t="s">
        <v>14974</v>
      </c>
      <c r="G742" s="1953"/>
      <c r="H742" s="1953"/>
    </row>
    <row r="743" spans="1:8" s="1809" customFormat="1" ht="45" x14ac:dyDescent="0.2">
      <c r="A743" s="1635" t="s">
        <v>7384</v>
      </c>
      <c r="B743" s="1813" t="s">
        <v>7368</v>
      </c>
      <c r="C743" s="1638">
        <v>5</v>
      </c>
      <c r="D743" s="1639" t="s">
        <v>5284</v>
      </c>
      <c r="E743" s="1944" t="s">
        <v>15125</v>
      </c>
    </row>
    <row r="744" spans="1:8" s="1809" customFormat="1" ht="45" x14ac:dyDescent="0.2">
      <c r="A744" s="1635" t="s">
        <v>7385</v>
      </c>
      <c r="B744" s="1813" t="s">
        <v>7376</v>
      </c>
      <c r="C744" s="1638">
        <v>5</v>
      </c>
      <c r="D744" s="1639" t="s">
        <v>5284</v>
      </c>
      <c r="E744" s="1944" t="s">
        <v>15125</v>
      </c>
    </row>
    <row r="745" spans="1:8" s="1809" customFormat="1" ht="60" x14ac:dyDescent="0.2">
      <c r="A745" s="1635" t="s">
        <v>15063</v>
      </c>
      <c r="B745" s="1813" t="s">
        <v>7369</v>
      </c>
      <c r="C745" s="1638">
        <v>5</v>
      </c>
      <c r="D745" s="1639" t="s">
        <v>5284</v>
      </c>
      <c r="E745" s="1944" t="s">
        <v>15125</v>
      </c>
    </row>
    <row r="746" spans="1:8" s="1809" customFormat="1" ht="30" x14ac:dyDescent="0.2">
      <c r="A746" s="1635" t="s">
        <v>7386</v>
      </c>
      <c r="B746" s="1813" t="s">
        <v>7370</v>
      </c>
      <c r="C746" s="1638">
        <v>8</v>
      </c>
      <c r="D746" s="1639" t="s">
        <v>5284</v>
      </c>
      <c r="E746" s="1944" t="s">
        <v>15125</v>
      </c>
    </row>
    <row r="747" spans="1:8" s="1809" customFormat="1" ht="30" x14ac:dyDescent="0.2">
      <c r="A747" s="1635" t="s">
        <v>7387</v>
      </c>
      <c r="B747" s="1813" t="s">
        <v>7371</v>
      </c>
      <c r="C747" s="1638">
        <v>1</v>
      </c>
      <c r="D747" s="1639" t="s">
        <v>5284</v>
      </c>
      <c r="E747" s="1944" t="s">
        <v>15125</v>
      </c>
    </row>
    <row r="748" spans="1:8" s="1809" customFormat="1" ht="30" x14ac:dyDescent="0.2">
      <c r="A748" s="1635" t="s">
        <v>7389</v>
      </c>
      <c r="B748" s="1813" t="s">
        <v>7366</v>
      </c>
      <c r="C748" s="1638">
        <v>5</v>
      </c>
      <c r="D748" s="1639" t="s">
        <v>5284</v>
      </c>
      <c r="E748" s="1944" t="s">
        <v>15125</v>
      </c>
    </row>
    <row r="749" spans="1:8" s="1809" customFormat="1" ht="45" x14ac:dyDescent="0.2">
      <c r="A749" s="1635" t="s">
        <v>7391</v>
      </c>
      <c r="B749" s="1813" t="s">
        <v>7372</v>
      </c>
      <c r="C749" s="1638">
        <v>12</v>
      </c>
      <c r="D749" s="1639" t="s">
        <v>5284</v>
      </c>
      <c r="E749" s="1944" t="s">
        <v>15124</v>
      </c>
    </row>
    <row r="750" spans="1:8" s="1809" customFormat="1" ht="45" x14ac:dyDescent="0.2">
      <c r="A750" s="1635" t="s">
        <v>7393</v>
      </c>
      <c r="B750" s="1813" t="s">
        <v>7390</v>
      </c>
      <c r="C750" s="1638">
        <v>2</v>
      </c>
      <c r="D750" s="1639" t="s">
        <v>5284</v>
      </c>
      <c r="E750" s="1944" t="s">
        <v>15125</v>
      </c>
    </row>
    <row r="751" spans="1:8" s="1809" customFormat="1" ht="30" x14ac:dyDescent="0.2">
      <c r="A751" s="1635" t="s">
        <v>7394</v>
      </c>
      <c r="B751" s="1813" t="s">
        <v>7373</v>
      </c>
      <c r="C751" s="1638">
        <v>2</v>
      </c>
      <c r="D751" s="1639" t="s">
        <v>5284</v>
      </c>
      <c r="E751" s="1944" t="s">
        <v>15125</v>
      </c>
    </row>
    <row r="752" spans="1:8" s="1809" customFormat="1" ht="30" x14ac:dyDescent="0.2">
      <c r="A752" s="1635" t="s">
        <v>7395</v>
      </c>
      <c r="B752" s="1813" t="s">
        <v>7374</v>
      </c>
      <c r="C752" s="1638">
        <v>2</v>
      </c>
      <c r="D752" s="1639" t="s">
        <v>5284</v>
      </c>
      <c r="E752" s="1944" t="s">
        <v>15125</v>
      </c>
    </row>
    <row r="753" spans="1:8" s="1809" customFormat="1" ht="45" x14ac:dyDescent="0.2">
      <c r="A753" s="1635" t="s">
        <v>7396</v>
      </c>
      <c r="B753" s="1813" t="s">
        <v>7375</v>
      </c>
      <c r="C753" s="1638">
        <v>2</v>
      </c>
      <c r="D753" s="1639" t="s">
        <v>5284</v>
      </c>
      <c r="E753" s="1944" t="s">
        <v>15125</v>
      </c>
    </row>
    <row r="754" spans="1:8" s="1809" customFormat="1" ht="15" x14ac:dyDescent="0.2">
      <c r="A754" s="2068"/>
      <c r="B754" s="2069"/>
      <c r="C754" s="2070"/>
      <c r="D754" s="2071"/>
      <c r="E754" s="2072"/>
    </row>
    <row r="755" spans="1:8" s="2003" customFormat="1" ht="15" customHeight="1" x14ac:dyDescent="0.2">
      <c r="A755" s="2199" t="s">
        <v>14989</v>
      </c>
      <c r="B755" s="2199"/>
      <c r="C755" s="2199"/>
      <c r="D755" s="2199"/>
      <c r="E755" s="2199"/>
    </row>
    <row r="756" spans="1:8" s="2006" customFormat="1" ht="15" x14ac:dyDescent="0.2">
      <c r="A756" s="2004" t="s">
        <v>0</v>
      </c>
      <c r="B756" s="2004" t="s">
        <v>1</v>
      </c>
      <c r="C756" s="1986" t="s">
        <v>131</v>
      </c>
      <c r="D756" s="1987" t="s">
        <v>11</v>
      </c>
      <c r="E756" s="2077" t="s">
        <v>14974</v>
      </c>
    </row>
    <row r="757" spans="1:8" s="2009" customFormat="1" ht="45" x14ac:dyDescent="0.2">
      <c r="A757" s="1635" t="s">
        <v>7341</v>
      </c>
      <c r="B757" s="1813" t="s">
        <v>7339</v>
      </c>
      <c r="C757" s="1638">
        <v>10</v>
      </c>
      <c r="D757" s="1639" t="s">
        <v>5284</v>
      </c>
      <c r="E757" s="1944" t="s">
        <v>15126</v>
      </c>
    </row>
    <row r="758" spans="1:8" s="2009" customFormat="1" ht="60" x14ac:dyDescent="0.2">
      <c r="A758" s="1635" t="s">
        <v>7687</v>
      </c>
      <c r="B758" s="1813" t="s">
        <v>7838</v>
      </c>
      <c r="C758" s="1638">
        <v>40</v>
      </c>
      <c r="D758" s="1639" t="s">
        <v>5284</v>
      </c>
      <c r="E758" s="1944" t="s">
        <v>15062</v>
      </c>
    </row>
    <row r="759" spans="1:8" s="2009" customFormat="1" ht="45" x14ac:dyDescent="0.2">
      <c r="A759" s="1635" t="s">
        <v>4983</v>
      </c>
      <c r="B759" s="1813" t="s">
        <v>7592</v>
      </c>
      <c r="C759" s="1638">
        <v>41.96</v>
      </c>
      <c r="D759" s="1639" t="s">
        <v>5286</v>
      </c>
      <c r="E759" s="1944" t="s">
        <v>15127</v>
      </c>
    </row>
    <row r="760" spans="1:8" s="2009" customFormat="1" ht="45" x14ac:dyDescent="0.2">
      <c r="A760" s="1635" t="s">
        <v>7448</v>
      </c>
      <c r="B760" s="1813" t="s">
        <v>7449</v>
      </c>
      <c r="C760" s="1638">
        <v>204.8</v>
      </c>
      <c r="D760" s="1639" t="s">
        <v>5685</v>
      </c>
      <c r="E760" s="1944" t="s">
        <v>15126</v>
      </c>
    </row>
    <row r="761" spans="1:8" s="2009" customFormat="1" ht="45" x14ac:dyDescent="0.2">
      <c r="A761" s="1635" t="s">
        <v>7330</v>
      </c>
      <c r="B761" s="1813" t="s">
        <v>7302</v>
      </c>
      <c r="C761" s="1638">
        <v>7.19</v>
      </c>
      <c r="D761" s="1639" t="s">
        <v>5685</v>
      </c>
      <c r="E761" s="1944" t="s">
        <v>15126</v>
      </c>
    </row>
    <row r="762" spans="1:8" s="2009" customFormat="1" ht="45" x14ac:dyDescent="0.2">
      <c r="A762" s="1635" t="s">
        <v>7292</v>
      </c>
      <c r="B762" s="1813" t="s">
        <v>15159</v>
      </c>
      <c r="C762" s="1638">
        <v>90</v>
      </c>
      <c r="D762" s="1639" t="s">
        <v>5713</v>
      </c>
      <c r="E762" s="1944" t="s">
        <v>15132</v>
      </c>
    </row>
    <row r="763" spans="1:8" s="2006" customFormat="1" ht="15" x14ac:dyDescent="0.2">
      <c r="A763" s="2004" t="s">
        <v>0</v>
      </c>
      <c r="B763" s="2004" t="s">
        <v>1</v>
      </c>
      <c r="C763" s="1986" t="s">
        <v>131</v>
      </c>
      <c r="D763" s="1987" t="s">
        <v>11</v>
      </c>
      <c r="E763" s="2077" t="s">
        <v>14974</v>
      </c>
      <c r="G763" s="2078"/>
      <c r="H763" s="2078"/>
    </row>
    <row r="764" spans="1:8" s="2009" customFormat="1" ht="45" x14ac:dyDescent="0.2">
      <c r="A764" s="1635" t="s">
        <v>7293</v>
      </c>
      <c r="B764" s="1813" t="s">
        <v>7291</v>
      </c>
      <c r="C764" s="1638">
        <v>334.8</v>
      </c>
      <c r="D764" s="1639" t="s">
        <v>5688</v>
      </c>
      <c r="E764" s="1944" t="s">
        <v>15133</v>
      </c>
    </row>
    <row r="765" spans="1:8" s="2009" customFormat="1" ht="45" x14ac:dyDescent="0.2">
      <c r="A765" s="1635" t="s">
        <v>7758</v>
      </c>
      <c r="B765" s="1813" t="s">
        <v>7407</v>
      </c>
      <c r="C765" s="1638">
        <v>160.63</v>
      </c>
      <c r="D765" s="1639" t="s">
        <v>5688</v>
      </c>
      <c r="E765" s="1944" t="s">
        <v>15133</v>
      </c>
    </row>
    <row r="766" spans="1:8" s="2009" customFormat="1" ht="30" x14ac:dyDescent="0.2">
      <c r="A766" s="1635" t="s">
        <v>7295</v>
      </c>
      <c r="B766" s="1813" t="s">
        <v>7294</v>
      </c>
      <c r="C766" s="1638">
        <v>18</v>
      </c>
      <c r="D766" s="1639" t="s">
        <v>5284</v>
      </c>
      <c r="E766" s="1944" t="s">
        <v>15128</v>
      </c>
    </row>
    <row r="767" spans="1:8" s="2009" customFormat="1" ht="45" x14ac:dyDescent="0.2">
      <c r="A767" s="1635" t="s">
        <v>7298</v>
      </c>
      <c r="B767" s="1813" t="s">
        <v>7301</v>
      </c>
      <c r="C767" s="1638">
        <v>11.46</v>
      </c>
      <c r="D767" s="1639" t="s">
        <v>5286</v>
      </c>
      <c r="E767" s="1944" t="s">
        <v>15126</v>
      </c>
    </row>
    <row r="768" spans="1:8" s="2009" customFormat="1" ht="45" x14ac:dyDescent="0.2">
      <c r="A768" s="1635" t="s">
        <v>7299</v>
      </c>
      <c r="B768" s="1813" t="s">
        <v>7303</v>
      </c>
      <c r="C768" s="1638">
        <v>31.25</v>
      </c>
      <c r="D768" s="1639" t="s">
        <v>5286</v>
      </c>
      <c r="E768" s="1944" t="s">
        <v>15128</v>
      </c>
    </row>
    <row r="769" spans="1:8" s="2009" customFormat="1" ht="30" x14ac:dyDescent="0.2">
      <c r="A769" s="1635" t="s">
        <v>7304</v>
      </c>
      <c r="B769" s="1813" t="s">
        <v>7319</v>
      </c>
      <c r="C769" s="1638">
        <v>34.727272727272727</v>
      </c>
      <c r="D769" s="1639" t="s">
        <v>5688</v>
      </c>
      <c r="E769" s="1944" t="s">
        <v>15128</v>
      </c>
    </row>
    <row r="770" spans="1:8" s="2009" customFormat="1" ht="30" x14ac:dyDescent="0.2">
      <c r="A770" s="1635" t="s">
        <v>7305</v>
      </c>
      <c r="B770" s="1813" t="s">
        <v>7307</v>
      </c>
      <c r="C770" s="1638">
        <v>140</v>
      </c>
      <c r="D770" s="1639" t="s">
        <v>5688</v>
      </c>
      <c r="E770" s="1944" t="s">
        <v>15128</v>
      </c>
    </row>
    <row r="771" spans="1:8" s="2009" customFormat="1" ht="45" x14ac:dyDescent="0.2">
      <c r="A771" s="1635" t="s">
        <v>7300</v>
      </c>
      <c r="B771" s="1813" t="s">
        <v>7310</v>
      </c>
      <c r="C771" s="1638">
        <v>6.91</v>
      </c>
      <c r="D771" s="1639" t="s">
        <v>5685</v>
      </c>
      <c r="E771" s="1944" t="s">
        <v>15128</v>
      </c>
    </row>
    <row r="772" spans="1:8" s="2009" customFormat="1" ht="60" x14ac:dyDescent="0.2">
      <c r="A772" s="1635" t="s">
        <v>7315</v>
      </c>
      <c r="B772" s="1813" t="s">
        <v>7439</v>
      </c>
      <c r="C772" s="1638">
        <v>10.62</v>
      </c>
      <c r="D772" s="1639" t="s">
        <v>5286</v>
      </c>
      <c r="E772" s="1944" t="s">
        <v>15128</v>
      </c>
    </row>
    <row r="773" spans="1:8" s="2009" customFormat="1" ht="60" x14ac:dyDescent="0.2">
      <c r="A773" s="1635" t="s">
        <v>7320</v>
      </c>
      <c r="B773" s="1813" t="s">
        <v>7415</v>
      </c>
      <c r="C773" s="1638">
        <v>14.818181818181818</v>
      </c>
      <c r="D773" s="1639" t="s">
        <v>5688</v>
      </c>
      <c r="E773" s="1944" t="s">
        <v>15128</v>
      </c>
    </row>
    <row r="774" spans="1:8" s="2009" customFormat="1" ht="60" x14ac:dyDescent="0.2">
      <c r="A774" s="1635" t="s">
        <v>7321</v>
      </c>
      <c r="B774" s="1813" t="s">
        <v>7413</v>
      </c>
      <c r="C774" s="1638">
        <v>52.636363636363633</v>
      </c>
      <c r="D774" s="1639" t="s">
        <v>5688</v>
      </c>
      <c r="E774" s="1944" t="s">
        <v>15128</v>
      </c>
    </row>
    <row r="775" spans="1:8" s="2009" customFormat="1" ht="60" x14ac:dyDescent="0.2">
      <c r="A775" s="1635" t="s">
        <v>7322</v>
      </c>
      <c r="B775" s="1813" t="s">
        <v>7414</v>
      </c>
      <c r="C775" s="1638">
        <v>20.818181818181817</v>
      </c>
      <c r="D775" s="1639" t="s">
        <v>5688</v>
      </c>
      <c r="E775" s="1944" t="s">
        <v>15128</v>
      </c>
    </row>
    <row r="776" spans="1:8" s="2009" customFormat="1" ht="60" x14ac:dyDescent="0.2">
      <c r="A776" s="1635" t="s">
        <v>7328</v>
      </c>
      <c r="B776" s="1813" t="s">
        <v>7416</v>
      </c>
      <c r="C776" s="1638">
        <v>0.63</v>
      </c>
      <c r="D776" s="1639" t="s">
        <v>5685</v>
      </c>
      <c r="E776" s="1944" t="s">
        <v>15128</v>
      </c>
    </row>
    <row r="777" spans="1:8" s="2009" customFormat="1" ht="45" x14ac:dyDescent="0.2">
      <c r="A777" s="1635" t="s">
        <v>7453</v>
      </c>
      <c r="B777" s="1813" t="s">
        <v>7454</v>
      </c>
      <c r="C777" s="1638">
        <v>42.72</v>
      </c>
      <c r="D777" s="1639" t="s">
        <v>5286</v>
      </c>
      <c r="E777" s="1944" t="s">
        <v>15126</v>
      </c>
    </row>
    <row r="778" spans="1:8" s="2009" customFormat="1" ht="60" x14ac:dyDescent="0.2">
      <c r="A778" s="1635" t="s">
        <v>7421</v>
      </c>
      <c r="B778" s="1813" t="s">
        <v>7412</v>
      </c>
      <c r="C778" s="1638">
        <v>60.09</v>
      </c>
      <c r="D778" s="1639" t="s">
        <v>5286</v>
      </c>
      <c r="E778" s="1944" t="s">
        <v>15129</v>
      </c>
    </row>
    <row r="779" spans="1:8" s="2009" customFormat="1" ht="60" x14ac:dyDescent="0.2">
      <c r="A779" s="1635" t="s">
        <v>7422</v>
      </c>
      <c r="B779" s="1813" t="s">
        <v>7415</v>
      </c>
      <c r="C779" s="1638">
        <v>84.818181818181813</v>
      </c>
      <c r="D779" s="1639" t="s">
        <v>5688</v>
      </c>
      <c r="E779" s="1944" t="s">
        <v>15129</v>
      </c>
    </row>
    <row r="780" spans="1:8" s="2006" customFormat="1" ht="15" x14ac:dyDescent="0.2">
      <c r="A780" s="2079" t="s">
        <v>0</v>
      </c>
      <c r="B780" s="2079" t="s">
        <v>1</v>
      </c>
      <c r="C780" s="1986" t="s">
        <v>131</v>
      </c>
      <c r="D780" s="1987" t="s">
        <v>11</v>
      </c>
      <c r="E780" s="2077" t="s">
        <v>14974</v>
      </c>
      <c r="G780" s="2078"/>
      <c r="H780" s="2078"/>
    </row>
    <row r="781" spans="1:8" s="2009" customFormat="1" ht="60" x14ac:dyDescent="0.2">
      <c r="A781" s="1635" t="s">
        <v>7423</v>
      </c>
      <c r="B781" s="1813" t="s">
        <v>7413</v>
      </c>
      <c r="C781" s="1638">
        <v>173</v>
      </c>
      <c r="D781" s="1639" t="s">
        <v>5688</v>
      </c>
      <c r="E781" s="1944" t="s">
        <v>15129</v>
      </c>
    </row>
    <row r="782" spans="1:8" s="2009" customFormat="1" ht="60" x14ac:dyDescent="0.2">
      <c r="A782" s="1635" t="s">
        <v>7424</v>
      </c>
      <c r="B782" s="1813" t="s">
        <v>7414</v>
      </c>
      <c r="C782" s="1638">
        <v>67.090909090909079</v>
      </c>
      <c r="D782" s="1639" t="s">
        <v>5688</v>
      </c>
      <c r="E782" s="1944" t="s">
        <v>15129</v>
      </c>
    </row>
    <row r="783" spans="1:8" s="2009" customFormat="1" ht="60" x14ac:dyDescent="0.2">
      <c r="A783" s="1635" t="s">
        <v>7425</v>
      </c>
      <c r="B783" s="1813" t="s">
        <v>7416</v>
      </c>
      <c r="C783" s="1638">
        <v>3.61</v>
      </c>
      <c r="D783" s="1639" t="s">
        <v>5685</v>
      </c>
      <c r="E783" s="1944" t="s">
        <v>15129</v>
      </c>
    </row>
    <row r="784" spans="1:8" s="2009" customFormat="1" ht="60" x14ac:dyDescent="0.2">
      <c r="A784" s="1635" t="s">
        <v>7429</v>
      </c>
      <c r="B784" s="1813" t="s">
        <v>7427</v>
      </c>
      <c r="C784" s="1638">
        <v>19.07</v>
      </c>
      <c r="D784" s="1639" t="s">
        <v>5286</v>
      </c>
      <c r="E784" s="1944" t="s">
        <v>15130</v>
      </c>
    </row>
    <row r="785" spans="1:8" s="2009" customFormat="1" ht="45" x14ac:dyDescent="0.2">
      <c r="A785" s="1635" t="s">
        <v>7434</v>
      </c>
      <c r="B785" s="1813" t="s">
        <v>7430</v>
      </c>
      <c r="C785" s="1638">
        <v>16</v>
      </c>
      <c r="D785" s="1639" t="s">
        <v>5688</v>
      </c>
      <c r="E785" s="1944" t="s">
        <v>15130</v>
      </c>
    </row>
    <row r="786" spans="1:8" s="2009" customFormat="1" ht="45" x14ac:dyDescent="0.2">
      <c r="A786" s="1635" t="s">
        <v>7435</v>
      </c>
      <c r="B786" s="1813" t="s">
        <v>7431</v>
      </c>
      <c r="C786" s="1638">
        <v>150.45454545454544</v>
      </c>
      <c r="D786" s="1639" t="s">
        <v>5688</v>
      </c>
      <c r="E786" s="1944" t="s">
        <v>15130</v>
      </c>
    </row>
    <row r="787" spans="1:8" s="2009" customFormat="1" ht="60" x14ac:dyDescent="0.2">
      <c r="A787" s="1635" t="s">
        <v>7436</v>
      </c>
      <c r="B787" s="1813" t="s">
        <v>7432</v>
      </c>
      <c r="C787" s="1638">
        <v>2.2400000000000002</v>
      </c>
      <c r="D787" s="1639" t="s">
        <v>5685</v>
      </c>
      <c r="E787" s="1944" t="s">
        <v>15130</v>
      </c>
    </row>
    <row r="788" spans="1:8" s="2009" customFormat="1" ht="60" x14ac:dyDescent="0.2">
      <c r="A788" s="1635" t="s">
        <v>7441</v>
      </c>
      <c r="B788" s="1813" t="s">
        <v>7440</v>
      </c>
      <c r="C788" s="1638">
        <v>248.76</v>
      </c>
      <c r="D788" s="1639" t="s">
        <v>5286</v>
      </c>
      <c r="E788" s="1944" t="s">
        <v>15131</v>
      </c>
    </row>
    <row r="789" spans="1:8" s="2009" customFormat="1" ht="30" x14ac:dyDescent="0.2">
      <c r="A789" s="1635" t="s">
        <v>7444</v>
      </c>
      <c r="B789" s="1813" t="s">
        <v>7442</v>
      </c>
      <c r="C789" s="1638">
        <v>534.36363636363626</v>
      </c>
      <c r="D789" s="1639" t="s">
        <v>5688</v>
      </c>
      <c r="E789" s="1944" t="s">
        <v>15131</v>
      </c>
    </row>
    <row r="790" spans="1:8" s="2009" customFormat="1" ht="30" x14ac:dyDescent="0.2">
      <c r="A790" s="1635" t="s">
        <v>7445</v>
      </c>
      <c r="B790" s="1813" t="s">
        <v>7443</v>
      </c>
      <c r="C790" s="1638">
        <v>267.63636363636357</v>
      </c>
      <c r="D790" s="1639" t="s">
        <v>5688</v>
      </c>
      <c r="E790" s="1944" t="s">
        <v>15131</v>
      </c>
    </row>
    <row r="791" spans="1:8" s="2009" customFormat="1" ht="30" x14ac:dyDescent="0.2">
      <c r="A791" s="1635" t="s">
        <v>7447</v>
      </c>
      <c r="B791" s="1813" t="s">
        <v>7446</v>
      </c>
      <c r="C791" s="1638">
        <v>19.43</v>
      </c>
      <c r="D791" s="1639" t="s">
        <v>5685</v>
      </c>
      <c r="E791" s="1944" t="s">
        <v>15131</v>
      </c>
    </row>
    <row r="792" spans="1:8" s="2009" customFormat="1" ht="45" x14ac:dyDescent="0.2">
      <c r="A792" s="1635" t="s">
        <v>6758</v>
      </c>
      <c r="B792" s="1813" t="s">
        <v>7458</v>
      </c>
      <c r="C792" s="1638">
        <v>41.96</v>
      </c>
      <c r="D792" s="1639" t="s">
        <v>5286</v>
      </c>
      <c r="E792" s="1944" t="s">
        <v>15127</v>
      </c>
    </row>
    <row r="793" spans="1:8" s="2009" customFormat="1" ht="45" x14ac:dyDescent="0.2">
      <c r="A793" s="1635" t="s">
        <v>6759</v>
      </c>
      <c r="B793" s="1813" t="s">
        <v>7459</v>
      </c>
      <c r="C793" s="1638">
        <v>4.2</v>
      </c>
      <c r="D793" s="1639" t="s">
        <v>5685</v>
      </c>
      <c r="E793" s="1944" t="s">
        <v>15057</v>
      </c>
    </row>
    <row r="794" spans="1:8" s="2009" customFormat="1" ht="45" x14ac:dyDescent="0.2">
      <c r="A794" s="1635" t="s">
        <v>7460</v>
      </c>
      <c r="B794" s="1813" t="s">
        <v>5782</v>
      </c>
      <c r="C794" s="1638">
        <v>25.62</v>
      </c>
      <c r="D794" s="1639" t="s">
        <v>5286</v>
      </c>
      <c r="E794" s="1944" t="s">
        <v>15126</v>
      </c>
    </row>
    <row r="795" spans="1:8" s="2009" customFormat="1" ht="30" x14ac:dyDescent="0.2">
      <c r="A795" s="1635" t="s">
        <v>5785</v>
      </c>
      <c r="B795" s="1813" t="s">
        <v>5783</v>
      </c>
      <c r="C795" s="1638">
        <v>25.62</v>
      </c>
      <c r="D795" s="1639" t="s">
        <v>5286</v>
      </c>
      <c r="E795" s="1944" t="s">
        <v>15058</v>
      </c>
    </row>
    <row r="796" spans="1:8" s="2009" customFormat="1" ht="30" x14ac:dyDescent="0.2">
      <c r="A796" s="1635" t="s">
        <v>5797</v>
      </c>
      <c r="B796" s="1813" t="s">
        <v>7463</v>
      </c>
      <c r="C796" s="1638">
        <v>25.62</v>
      </c>
      <c r="D796" s="1639" t="s">
        <v>5286</v>
      </c>
      <c r="E796" s="1944" t="s">
        <v>15058</v>
      </c>
    </row>
    <row r="797" spans="1:8" s="2009" customFormat="1" ht="60" x14ac:dyDescent="0.2">
      <c r="A797" s="1635" t="s">
        <v>6778</v>
      </c>
      <c r="B797" s="1813" t="s">
        <v>7462</v>
      </c>
      <c r="C797" s="1638">
        <v>9.1</v>
      </c>
      <c r="D797" s="1639" t="s">
        <v>5286</v>
      </c>
      <c r="E797" s="1944" t="s">
        <v>15135</v>
      </c>
    </row>
    <row r="798" spans="1:8" s="2006" customFormat="1" ht="15" x14ac:dyDescent="0.2">
      <c r="A798" s="2004" t="s">
        <v>0</v>
      </c>
      <c r="B798" s="2004" t="s">
        <v>1</v>
      </c>
      <c r="C798" s="1986" t="s">
        <v>131</v>
      </c>
      <c r="D798" s="1987" t="s">
        <v>11</v>
      </c>
      <c r="E798" s="2077" t="s">
        <v>14974</v>
      </c>
      <c r="G798" s="2078"/>
      <c r="H798" s="2078"/>
    </row>
    <row r="799" spans="1:8" s="2009" customFormat="1" ht="60" x14ac:dyDescent="0.2">
      <c r="A799" s="1635" t="s">
        <v>6781</v>
      </c>
      <c r="B799" s="1813" t="s">
        <v>7563</v>
      </c>
      <c r="C799" s="1638">
        <v>130.79</v>
      </c>
      <c r="D799" s="1639" t="s">
        <v>5286</v>
      </c>
      <c r="E799" s="1944" t="s">
        <v>15126</v>
      </c>
    </row>
    <row r="800" spans="1:8" s="2009" customFormat="1" ht="75" x14ac:dyDescent="0.2">
      <c r="A800" s="1635" t="s">
        <v>6782</v>
      </c>
      <c r="B800" s="1813" t="s">
        <v>5802</v>
      </c>
      <c r="C800" s="1638">
        <v>130.79</v>
      </c>
      <c r="D800" s="1639" t="s">
        <v>5286</v>
      </c>
      <c r="E800" s="1944" t="s">
        <v>15059</v>
      </c>
    </row>
    <row r="801" spans="1:8" s="2009" customFormat="1" ht="75" x14ac:dyDescent="0.2">
      <c r="A801" s="1635" t="s">
        <v>7464</v>
      </c>
      <c r="B801" s="1813" t="s">
        <v>7474</v>
      </c>
      <c r="C801" s="1638">
        <v>244.38</v>
      </c>
      <c r="D801" s="1639" t="s">
        <v>5286</v>
      </c>
      <c r="E801" s="1944" t="s">
        <v>15126</v>
      </c>
    </row>
    <row r="802" spans="1:8" s="2009" customFormat="1" ht="30" x14ac:dyDescent="0.2">
      <c r="A802" s="1635" t="s">
        <v>9459</v>
      </c>
      <c r="B802" s="1813" t="s">
        <v>9463</v>
      </c>
      <c r="C802" s="1638">
        <v>3</v>
      </c>
      <c r="D802" s="1639" t="s">
        <v>5284</v>
      </c>
      <c r="E802" s="1944" t="s">
        <v>15134</v>
      </c>
    </row>
    <row r="803" spans="1:8" s="2009" customFormat="1" ht="30" x14ac:dyDescent="0.2">
      <c r="A803" s="1635" t="s">
        <v>9460</v>
      </c>
      <c r="B803" s="1813" t="s">
        <v>9464</v>
      </c>
      <c r="C803" s="1638">
        <v>1</v>
      </c>
      <c r="D803" s="1639" t="s">
        <v>5284</v>
      </c>
      <c r="E803" s="1944" t="s">
        <v>15134</v>
      </c>
    </row>
    <row r="804" spans="1:8" s="2009" customFormat="1" ht="45" x14ac:dyDescent="0.2">
      <c r="A804" s="1635" t="s">
        <v>5901</v>
      </c>
      <c r="B804" s="1813" t="s">
        <v>7476</v>
      </c>
      <c r="C804" s="1638">
        <v>3.2</v>
      </c>
      <c r="D804" s="1639" t="s">
        <v>5713</v>
      </c>
      <c r="E804" s="1944" t="s">
        <v>15136</v>
      </c>
    </row>
    <row r="805" spans="1:8" s="2009" customFormat="1" ht="45" x14ac:dyDescent="0.2">
      <c r="A805" s="1635" t="s">
        <v>6960</v>
      </c>
      <c r="B805" s="1813" t="s">
        <v>5923</v>
      </c>
      <c r="C805" s="1638">
        <v>10.11</v>
      </c>
      <c r="D805" s="1639" t="s">
        <v>5713</v>
      </c>
      <c r="E805" s="1944" t="s">
        <v>15114</v>
      </c>
    </row>
    <row r="806" spans="1:8" s="2009" customFormat="1" ht="45" x14ac:dyDescent="0.2">
      <c r="A806" s="1635" t="s">
        <v>6961</v>
      </c>
      <c r="B806" s="1813" t="s">
        <v>5925</v>
      </c>
      <c r="C806" s="1638">
        <v>25.16</v>
      </c>
      <c r="D806" s="1639" t="s">
        <v>5713</v>
      </c>
      <c r="E806" s="1944" t="s">
        <v>15114</v>
      </c>
    </row>
    <row r="807" spans="1:8" s="2009" customFormat="1" ht="45" x14ac:dyDescent="0.2">
      <c r="A807" s="1635" t="s">
        <v>6967</v>
      </c>
      <c r="B807" s="1813" t="s">
        <v>6689</v>
      </c>
      <c r="C807" s="1638">
        <v>2</v>
      </c>
      <c r="D807" s="1639" t="s">
        <v>5284</v>
      </c>
      <c r="E807" s="1944" t="s">
        <v>15114</v>
      </c>
    </row>
    <row r="808" spans="1:8" s="2009" customFormat="1" ht="45" x14ac:dyDescent="0.2">
      <c r="A808" s="1635" t="s">
        <v>6968</v>
      </c>
      <c r="B808" s="1813" t="s">
        <v>5928</v>
      </c>
      <c r="C808" s="1638">
        <v>2</v>
      </c>
      <c r="D808" s="1639" t="s">
        <v>5284</v>
      </c>
      <c r="E808" s="1944" t="s">
        <v>15114</v>
      </c>
    </row>
    <row r="809" spans="1:8" s="2009" customFormat="1" ht="45" x14ac:dyDescent="0.2">
      <c r="A809" s="1635" t="s">
        <v>6969</v>
      </c>
      <c r="B809" s="1813" t="s">
        <v>5931</v>
      </c>
      <c r="C809" s="1638">
        <v>1</v>
      </c>
      <c r="D809" s="1639" t="s">
        <v>5284</v>
      </c>
      <c r="E809" s="1944" t="s">
        <v>15114</v>
      </c>
    </row>
    <row r="810" spans="1:8" s="2009" customFormat="1" ht="45" x14ac:dyDescent="0.2">
      <c r="A810" s="1635" t="s">
        <v>6970</v>
      </c>
      <c r="B810" s="1813" t="s">
        <v>5932</v>
      </c>
      <c r="C810" s="1638">
        <v>14</v>
      </c>
      <c r="D810" s="1639" t="s">
        <v>5284</v>
      </c>
      <c r="E810" s="1944" t="s">
        <v>15114</v>
      </c>
    </row>
    <row r="811" spans="1:8" s="2009" customFormat="1" ht="45" x14ac:dyDescent="0.2">
      <c r="A811" s="1635" t="s">
        <v>6980</v>
      </c>
      <c r="B811" s="1813" t="s">
        <v>6688</v>
      </c>
      <c r="C811" s="1638">
        <v>1</v>
      </c>
      <c r="D811" s="1639" t="s">
        <v>5284</v>
      </c>
      <c r="E811" s="1944" t="s">
        <v>15114</v>
      </c>
    </row>
    <row r="812" spans="1:8" s="2009" customFormat="1" ht="45" x14ac:dyDescent="0.2">
      <c r="A812" s="1635" t="s">
        <v>6981</v>
      </c>
      <c r="B812" s="1813" t="s">
        <v>5953</v>
      </c>
      <c r="C812" s="1638">
        <v>4</v>
      </c>
      <c r="D812" s="1639" t="s">
        <v>5284</v>
      </c>
      <c r="E812" s="1944" t="s">
        <v>15114</v>
      </c>
    </row>
    <row r="813" spans="1:8" s="2009" customFormat="1" ht="45" x14ac:dyDescent="0.2">
      <c r="A813" s="1635" t="s">
        <v>6982</v>
      </c>
      <c r="B813" s="1813" t="s">
        <v>5955</v>
      </c>
      <c r="C813" s="1638">
        <v>4</v>
      </c>
      <c r="D813" s="1639" t="s">
        <v>5284</v>
      </c>
      <c r="E813" s="1944" t="s">
        <v>15114</v>
      </c>
    </row>
    <row r="814" spans="1:8" s="2009" customFormat="1" ht="45" x14ac:dyDescent="0.2">
      <c r="A814" s="1635" t="s">
        <v>6993</v>
      </c>
      <c r="B814" s="1813" t="s">
        <v>5971</v>
      </c>
      <c r="C814" s="1638">
        <v>2</v>
      </c>
      <c r="D814" s="1639" t="s">
        <v>5284</v>
      </c>
      <c r="E814" s="1944" t="s">
        <v>15114</v>
      </c>
    </row>
    <row r="815" spans="1:8" s="2006" customFormat="1" ht="15" x14ac:dyDescent="0.2">
      <c r="A815" s="2004" t="s">
        <v>0</v>
      </c>
      <c r="B815" s="2004" t="s">
        <v>1</v>
      </c>
      <c r="C815" s="1986" t="s">
        <v>131</v>
      </c>
      <c r="D815" s="1987" t="s">
        <v>11</v>
      </c>
      <c r="E815" s="2077" t="s">
        <v>14974</v>
      </c>
      <c r="G815" s="2078"/>
      <c r="H815" s="2078"/>
    </row>
    <row r="816" spans="1:8" s="2009" customFormat="1" ht="45" x14ac:dyDescent="0.2">
      <c r="A816" s="1635" t="s">
        <v>6994</v>
      </c>
      <c r="B816" s="1813" t="s">
        <v>5976</v>
      </c>
      <c r="C816" s="1638">
        <v>1</v>
      </c>
      <c r="D816" s="1639" t="s">
        <v>5284</v>
      </c>
      <c r="E816" s="1944" t="s">
        <v>15114</v>
      </c>
    </row>
    <row r="817" spans="1:5" s="2009" customFormat="1" ht="45" x14ac:dyDescent="0.2">
      <c r="A817" s="1635" t="s">
        <v>6995</v>
      </c>
      <c r="B817" s="1813" t="s">
        <v>5978</v>
      </c>
      <c r="C817" s="1638">
        <v>5</v>
      </c>
      <c r="D817" s="1639" t="s">
        <v>5284</v>
      </c>
      <c r="E817" s="1944" t="s">
        <v>15114</v>
      </c>
    </row>
    <row r="818" spans="1:5" s="2009" customFormat="1" ht="45" x14ac:dyDescent="0.2">
      <c r="A818" s="1635" t="s">
        <v>5987</v>
      </c>
      <c r="B818" s="1813" t="s">
        <v>9561</v>
      </c>
      <c r="C818" s="1638">
        <v>4</v>
      </c>
      <c r="D818" s="1639" t="s">
        <v>5284</v>
      </c>
      <c r="E818" s="1944" t="s">
        <v>15114</v>
      </c>
    </row>
    <row r="819" spans="1:5" s="2009" customFormat="1" ht="30" x14ac:dyDescent="0.2">
      <c r="A819" s="1635" t="s">
        <v>8887</v>
      </c>
      <c r="B819" s="1813" t="s">
        <v>8886</v>
      </c>
      <c r="C819" s="1638">
        <v>34.35</v>
      </c>
      <c r="D819" s="1639" t="s">
        <v>5713</v>
      </c>
      <c r="E819" s="1944" t="s">
        <v>14990</v>
      </c>
    </row>
    <row r="820" spans="1:5" s="2009" customFormat="1" ht="30" x14ac:dyDescent="0.2">
      <c r="A820" s="1635" t="s">
        <v>8885</v>
      </c>
      <c r="B820" s="1813" t="s">
        <v>8882</v>
      </c>
      <c r="C820" s="1638">
        <v>1</v>
      </c>
      <c r="D820" s="1639" t="s">
        <v>5284</v>
      </c>
      <c r="E820" s="1944" t="s">
        <v>14990</v>
      </c>
    </row>
    <row r="821" spans="1:5" s="2009" customFormat="1" ht="45" x14ac:dyDescent="0.2">
      <c r="A821" s="1635" t="s">
        <v>7029</v>
      </c>
      <c r="B821" s="1813" t="s">
        <v>7032</v>
      </c>
      <c r="C821" s="1638">
        <v>1</v>
      </c>
      <c r="D821" s="1639" t="s">
        <v>5284</v>
      </c>
      <c r="E821" s="1944" t="s">
        <v>15114</v>
      </c>
    </row>
    <row r="822" spans="1:5" s="2009" customFormat="1" ht="45" x14ac:dyDescent="0.2">
      <c r="A822" s="1635" t="s">
        <v>7029</v>
      </c>
      <c r="B822" s="1813" t="s">
        <v>6687</v>
      </c>
      <c r="C822" s="1638">
        <v>4</v>
      </c>
      <c r="D822" s="1639" t="s">
        <v>5284</v>
      </c>
      <c r="E822" s="1944" t="s">
        <v>15114</v>
      </c>
    </row>
    <row r="823" spans="1:5" s="2009" customFormat="1" ht="45" x14ac:dyDescent="0.2">
      <c r="A823" s="1635" t="s">
        <v>7479</v>
      </c>
      <c r="B823" s="1813" t="s">
        <v>6025</v>
      </c>
      <c r="C823" s="1638">
        <v>2</v>
      </c>
      <c r="D823" s="1639" t="s">
        <v>5284</v>
      </c>
      <c r="E823" s="1944" t="s">
        <v>15114</v>
      </c>
    </row>
    <row r="824" spans="1:5" s="2009" customFormat="1" ht="45" x14ac:dyDescent="0.2">
      <c r="A824" s="1635" t="s">
        <v>7480</v>
      </c>
      <c r="B824" s="1813" t="s">
        <v>6026</v>
      </c>
      <c r="C824" s="1638">
        <v>1</v>
      </c>
      <c r="D824" s="1639" t="s">
        <v>5284</v>
      </c>
      <c r="E824" s="1944" t="s">
        <v>15114</v>
      </c>
    </row>
    <row r="825" spans="1:5" s="2009" customFormat="1" ht="45" x14ac:dyDescent="0.2">
      <c r="A825" s="1635" t="s">
        <v>6034</v>
      </c>
      <c r="B825" s="1813" t="s">
        <v>6027</v>
      </c>
      <c r="C825" s="1638">
        <v>2</v>
      </c>
      <c r="D825" s="1639" t="s">
        <v>5284</v>
      </c>
      <c r="E825" s="1944" t="s">
        <v>15114</v>
      </c>
    </row>
    <row r="826" spans="1:5" s="2009" customFormat="1" ht="45" x14ac:dyDescent="0.2">
      <c r="A826" s="1635" t="s">
        <v>7481</v>
      </c>
      <c r="B826" s="1813" t="s">
        <v>6030</v>
      </c>
      <c r="C826" s="1638">
        <v>1</v>
      </c>
      <c r="D826" s="1639" t="s">
        <v>5284</v>
      </c>
      <c r="E826" s="1944" t="s">
        <v>15114</v>
      </c>
    </row>
    <row r="827" spans="1:5" s="2009" customFormat="1" ht="45" x14ac:dyDescent="0.2">
      <c r="A827" s="1635" t="s">
        <v>7482</v>
      </c>
      <c r="B827" s="1813" t="s">
        <v>6031</v>
      </c>
      <c r="C827" s="1638">
        <v>1</v>
      </c>
      <c r="D827" s="1639" t="s">
        <v>5284</v>
      </c>
      <c r="E827" s="1944" t="s">
        <v>15114</v>
      </c>
    </row>
    <row r="828" spans="1:5" s="2009" customFormat="1" ht="45" x14ac:dyDescent="0.2">
      <c r="A828" s="1635" t="s">
        <v>7483</v>
      </c>
      <c r="B828" s="1813" t="s">
        <v>6032</v>
      </c>
      <c r="C828" s="1638">
        <v>1</v>
      </c>
      <c r="D828" s="1639" t="s">
        <v>5284</v>
      </c>
      <c r="E828" s="1944" t="s">
        <v>15114</v>
      </c>
    </row>
    <row r="829" spans="1:5" s="1809" customFormat="1" ht="15" x14ac:dyDescent="0.2">
      <c r="A829" s="2026"/>
      <c r="B829" s="2073"/>
      <c r="C829" s="2074"/>
      <c r="D829" s="2075"/>
      <c r="E829" s="2076"/>
    </row>
  </sheetData>
  <sheetProtection selectLockedCells="1" selectUnlockedCells="1"/>
  <autoFilter ref="A65:E753" xr:uid="{7BE75BCB-CC9A-41CC-A822-34F348991D92}">
    <sortState xmlns:xlrd2="http://schemas.microsoft.com/office/spreadsheetml/2017/richdata2" ref="A66:E753">
      <sortCondition ref="A65:A753"/>
    </sortState>
  </autoFilter>
  <mergeCells count="8">
    <mergeCell ref="A64:E64"/>
    <mergeCell ref="A13:E13"/>
    <mergeCell ref="A755:E755"/>
    <mergeCell ref="A12:E12"/>
    <mergeCell ref="A2:E2"/>
    <mergeCell ref="A3:E3"/>
    <mergeCell ref="A4:E4"/>
    <mergeCell ref="A7:E7"/>
  </mergeCells>
  <printOptions horizontalCentered="1"/>
  <pageMargins left="0.39370078740157483" right="0.39370078740157483" top="0.39370078740157483" bottom="0.98425196850393704" header="0" footer="0.39370078740157483"/>
  <pageSetup paperSize="9" scale="85" firstPageNumber="188" fitToHeight="0" orientation="portrait" useFirstPageNumber="1" r:id="rId1"/>
  <headerFooter alignWithMargins="0">
    <oddFooter>&amp;CEng. Civil Daniele Firme Miranda
CREA: 24.965/D-DF
ART nº  0720190088017&amp;RPágina &amp;P de 249</oddFooter>
  </headerFooter>
  <rowBreaks count="24" manualBreakCount="24">
    <brk id="31" max="4" man="1"/>
    <brk id="57" max="4" man="1"/>
    <brk id="106" max="4" man="1"/>
    <brk id="140" max="4" man="1"/>
    <brk id="173" max="4" man="1"/>
    <brk id="193" max="4" man="1"/>
    <brk id="208" max="4" man="1"/>
    <brk id="263" max="4" man="1"/>
    <brk id="281" max="4" man="1"/>
    <brk id="299" max="4" man="1"/>
    <brk id="370" max="4" man="1"/>
    <brk id="395" max="4" man="1"/>
    <brk id="417" max="4" man="1"/>
    <brk id="444" max="4" man="1"/>
    <brk id="465" max="4" man="1"/>
    <brk id="518" max="4" man="1"/>
    <brk id="581" max="4" man="1"/>
    <brk id="657" max="4" man="1"/>
    <brk id="677" max="4" man="1"/>
    <brk id="702" max="4" man="1"/>
    <brk id="741" max="4" man="1"/>
    <brk id="762" max="4" man="1"/>
    <brk id="779" max="4" man="1"/>
    <brk id="814" max="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17"/>
  <dimension ref="A1:N56"/>
  <sheetViews>
    <sheetView view="pageBreakPreview" zoomScale="115" zoomScaleNormal="100" zoomScaleSheetLayoutView="115" workbookViewId="0">
      <selection activeCell="E67" sqref="E67"/>
    </sheetView>
  </sheetViews>
  <sheetFormatPr defaultRowHeight="12.75" x14ac:dyDescent="0.2"/>
  <cols>
    <col min="1" max="1" width="10.5703125" style="616" customWidth="1"/>
    <col min="2" max="2" width="25.85546875" style="614" customWidth="1"/>
    <col min="3" max="3" width="9.7109375" style="614" bestFit="1" customWidth="1"/>
    <col min="4" max="4" width="8" style="614" bestFit="1" customWidth="1"/>
    <col min="5" max="5" width="9.7109375" style="614" bestFit="1" customWidth="1"/>
    <col min="6" max="6" width="8" style="614" bestFit="1" customWidth="1"/>
    <col min="7" max="7" width="9.7109375" style="614" bestFit="1" customWidth="1"/>
    <col min="8" max="8" width="7.42578125" style="614" bestFit="1" customWidth="1"/>
    <col min="9" max="9" width="8.85546875" style="614" bestFit="1" customWidth="1"/>
    <col min="10" max="10" width="8.5703125" style="614" bestFit="1" customWidth="1"/>
    <col min="11" max="11" width="8.28515625" style="614" customWidth="1"/>
    <col min="12" max="12" width="23.28515625" style="616" customWidth="1"/>
    <col min="13" max="13" width="10.42578125" style="614" bestFit="1" customWidth="1"/>
    <col min="14" max="14" width="13.140625" style="614" bestFit="1" customWidth="1"/>
    <col min="15" max="256" width="9.140625" style="614"/>
    <col min="257" max="257" width="9.140625" style="614" customWidth="1"/>
    <col min="258" max="258" width="25.85546875" style="614" customWidth="1"/>
    <col min="259" max="259" width="5.7109375" style="614" bestFit="1" customWidth="1"/>
    <col min="260" max="260" width="7.140625" style="614" bestFit="1" customWidth="1"/>
    <col min="261" max="261" width="7.28515625" style="614" bestFit="1" customWidth="1"/>
    <col min="262" max="262" width="6.140625" style="614" bestFit="1" customWidth="1"/>
    <col min="263" max="265" width="7.28515625" style="614" bestFit="1" customWidth="1"/>
    <col min="266" max="266" width="8" style="614" bestFit="1" customWidth="1"/>
    <col min="267" max="267" width="8.28515625" style="614" customWidth="1"/>
    <col min="268" max="269" width="10.42578125" style="614" bestFit="1" customWidth="1"/>
    <col min="270" max="270" width="13.140625" style="614" bestFit="1" customWidth="1"/>
    <col min="271" max="512" width="9.140625" style="614"/>
    <col min="513" max="513" width="9.140625" style="614" customWidth="1"/>
    <col min="514" max="514" width="25.85546875" style="614" customWidth="1"/>
    <col min="515" max="515" width="5.7109375" style="614" bestFit="1" customWidth="1"/>
    <col min="516" max="516" width="7.140625" style="614" bestFit="1" customWidth="1"/>
    <col min="517" max="517" width="7.28515625" style="614" bestFit="1" customWidth="1"/>
    <col min="518" max="518" width="6.140625" style="614" bestFit="1" customWidth="1"/>
    <col min="519" max="521" width="7.28515625" style="614" bestFit="1" customWidth="1"/>
    <col min="522" max="522" width="8" style="614" bestFit="1" customWidth="1"/>
    <col min="523" max="523" width="8.28515625" style="614" customWidth="1"/>
    <col min="524" max="525" width="10.42578125" style="614" bestFit="1" customWidth="1"/>
    <col min="526" max="526" width="13.140625" style="614" bestFit="1" customWidth="1"/>
    <col min="527" max="768" width="9.140625" style="614"/>
    <col min="769" max="769" width="9.140625" style="614" customWidth="1"/>
    <col min="770" max="770" width="25.85546875" style="614" customWidth="1"/>
    <col min="771" max="771" width="5.7109375" style="614" bestFit="1" customWidth="1"/>
    <col min="772" max="772" width="7.140625" style="614" bestFit="1" customWidth="1"/>
    <col min="773" max="773" width="7.28515625" style="614" bestFit="1" customWidth="1"/>
    <col min="774" max="774" width="6.140625" style="614" bestFit="1" customWidth="1"/>
    <col min="775" max="777" width="7.28515625" style="614" bestFit="1" customWidth="1"/>
    <col min="778" max="778" width="8" style="614" bestFit="1" customWidth="1"/>
    <col min="779" max="779" width="8.28515625" style="614" customWidth="1"/>
    <col min="780" max="781" width="10.42578125" style="614" bestFit="1" customWidth="1"/>
    <col min="782" max="782" width="13.140625" style="614" bestFit="1" customWidth="1"/>
    <col min="783" max="1024" width="9.140625" style="614"/>
    <col min="1025" max="1025" width="9.140625" style="614" customWidth="1"/>
    <col min="1026" max="1026" width="25.85546875" style="614" customWidth="1"/>
    <col min="1027" max="1027" width="5.7109375" style="614" bestFit="1" customWidth="1"/>
    <col min="1028" max="1028" width="7.140625" style="614" bestFit="1" customWidth="1"/>
    <col min="1029" max="1029" width="7.28515625" style="614" bestFit="1" customWidth="1"/>
    <col min="1030" max="1030" width="6.140625" style="614" bestFit="1" customWidth="1"/>
    <col min="1031" max="1033" width="7.28515625" style="614" bestFit="1" customWidth="1"/>
    <col min="1034" max="1034" width="8" style="614" bestFit="1" customWidth="1"/>
    <col min="1035" max="1035" width="8.28515625" style="614" customWidth="1"/>
    <col min="1036" max="1037" width="10.42578125" style="614" bestFit="1" customWidth="1"/>
    <col min="1038" max="1038" width="13.140625" style="614" bestFit="1" customWidth="1"/>
    <col min="1039" max="1280" width="9.140625" style="614"/>
    <col min="1281" max="1281" width="9.140625" style="614" customWidth="1"/>
    <col min="1282" max="1282" width="25.85546875" style="614" customWidth="1"/>
    <col min="1283" max="1283" width="5.7109375" style="614" bestFit="1" customWidth="1"/>
    <col min="1284" max="1284" width="7.140625" style="614" bestFit="1" customWidth="1"/>
    <col min="1285" max="1285" width="7.28515625" style="614" bestFit="1" customWidth="1"/>
    <col min="1286" max="1286" width="6.140625" style="614" bestFit="1" customWidth="1"/>
    <col min="1287" max="1289" width="7.28515625" style="614" bestFit="1" customWidth="1"/>
    <col min="1290" max="1290" width="8" style="614" bestFit="1" customWidth="1"/>
    <col min="1291" max="1291" width="8.28515625" style="614" customWidth="1"/>
    <col min="1292" max="1293" width="10.42578125" style="614" bestFit="1" customWidth="1"/>
    <col min="1294" max="1294" width="13.140625" style="614" bestFit="1" customWidth="1"/>
    <col min="1295" max="1536" width="9.140625" style="614"/>
    <col min="1537" max="1537" width="9.140625" style="614" customWidth="1"/>
    <col min="1538" max="1538" width="25.85546875" style="614" customWidth="1"/>
    <col min="1539" max="1539" width="5.7109375" style="614" bestFit="1" customWidth="1"/>
    <col min="1540" max="1540" width="7.140625" style="614" bestFit="1" customWidth="1"/>
    <col min="1541" max="1541" width="7.28515625" style="614" bestFit="1" customWidth="1"/>
    <col min="1542" max="1542" width="6.140625" style="614" bestFit="1" customWidth="1"/>
    <col min="1543" max="1545" width="7.28515625" style="614" bestFit="1" customWidth="1"/>
    <col min="1546" max="1546" width="8" style="614" bestFit="1" customWidth="1"/>
    <col min="1547" max="1547" width="8.28515625" style="614" customWidth="1"/>
    <col min="1548" max="1549" width="10.42578125" style="614" bestFit="1" customWidth="1"/>
    <col min="1550" max="1550" width="13.140625" style="614" bestFit="1" customWidth="1"/>
    <col min="1551" max="1792" width="9.140625" style="614"/>
    <col min="1793" max="1793" width="9.140625" style="614" customWidth="1"/>
    <col min="1794" max="1794" width="25.85546875" style="614" customWidth="1"/>
    <col min="1795" max="1795" width="5.7109375" style="614" bestFit="1" customWidth="1"/>
    <col min="1796" max="1796" width="7.140625" style="614" bestFit="1" customWidth="1"/>
    <col min="1797" max="1797" width="7.28515625" style="614" bestFit="1" customWidth="1"/>
    <col min="1798" max="1798" width="6.140625" style="614" bestFit="1" customWidth="1"/>
    <col min="1799" max="1801" width="7.28515625" style="614" bestFit="1" customWidth="1"/>
    <col min="1802" max="1802" width="8" style="614" bestFit="1" customWidth="1"/>
    <col min="1803" max="1803" width="8.28515625" style="614" customWidth="1"/>
    <col min="1804" max="1805" width="10.42578125" style="614" bestFit="1" customWidth="1"/>
    <col min="1806" max="1806" width="13.140625" style="614" bestFit="1" customWidth="1"/>
    <col min="1807" max="2048" width="9.140625" style="614"/>
    <col min="2049" max="2049" width="9.140625" style="614" customWidth="1"/>
    <col min="2050" max="2050" width="25.85546875" style="614" customWidth="1"/>
    <col min="2051" max="2051" width="5.7109375" style="614" bestFit="1" customWidth="1"/>
    <col min="2052" max="2052" width="7.140625" style="614" bestFit="1" customWidth="1"/>
    <col min="2053" max="2053" width="7.28515625" style="614" bestFit="1" customWidth="1"/>
    <col min="2054" max="2054" width="6.140625" style="614" bestFit="1" customWidth="1"/>
    <col min="2055" max="2057" width="7.28515625" style="614" bestFit="1" customWidth="1"/>
    <col min="2058" max="2058" width="8" style="614" bestFit="1" customWidth="1"/>
    <col min="2059" max="2059" width="8.28515625" style="614" customWidth="1"/>
    <col min="2060" max="2061" width="10.42578125" style="614" bestFit="1" customWidth="1"/>
    <col min="2062" max="2062" width="13.140625" style="614" bestFit="1" customWidth="1"/>
    <col min="2063" max="2304" width="9.140625" style="614"/>
    <col min="2305" max="2305" width="9.140625" style="614" customWidth="1"/>
    <col min="2306" max="2306" width="25.85546875" style="614" customWidth="1"/>
    <col min="2307" max="2307" width="5.7109375" style="614" bestFit="1" customWidth="1"/>
    <col min="2308" max="2308" width="7.140625" style="614" bestFit="1" customWidth="1"/>
    <col min="2309" max="2309" width="7.28515625" style="614" bestFit="1" customWidth="1"/>
    <col min="2310" max="2310" width="6.140625" style="614" bestFit="1" customWidth="1"/>
    <col min="2311" max="2313" width="7.28515625" style="614" bestFit="1" customWidth="1"/>
    <col min="2314" max="2314" width="8" style="614" bestFit="1" customWidth="1"/>
    <col min="2315" max="2315" width="8.28515625" style="614" customWidth="1"/>
    <col min="2316" max="2317" width="10.42578125" style="614" bestFit="1" customWidth="1"/>
    <col min="2318" max="2318" width="13.140625" style="614" bestFit="1" customWidth="1"/>
    <col min="2319" max="2560" width="9.140625" style="614"/>
    <col min="2561" max="2561" width="9.140625" style="614" customWidth="1"/>
    <col min="2562" max="2562" width="25.85546875" style="614" customWidth="1"/>
    <col min="2563" max="2563" width="5.7109375" style="614" bestFit="1" customWidth="1"/>
    <col min="2564" max="2564" width="7.140625" style="614" bestFit="1" customWidth="1"/>
    <col min="2565" max="2565" width="7.28515625" style="614" bestFit="1" customWidth="1"/>
    <col min="2566" max="2566" width="6.140625" style="614" bestFit="1" customWidth="1"/>
    <col min="2567" max="2569" width="7.28515625" style="614" bestFit="1" customWidth="1"/>
    <col min="2570" max="2570" width="8" style="614" bestFit="1" customWidth="1"/>
    <col min="2571" max="2571" width="8.28515625" style="614" customWidth="1"/>
    <col min="2572" max="2573" width="10.42578125" style="614" bestFit="1" customWidth="1"/>
    <col min="2574" max="2574" width="13.140625" style="614" bestFit="1" customWidth="1"/>
    <col min="2575" max="2816" width="9.140625" style="614"/>
    <col min="2817" max="2817" width="9.140625" style="614" customWidth="1"/>
    <col min="2818" max="2818" width="25.85546875" style="614" customWidth="1"/>
    <col min="2819" max="2819" width="5.7109375" style="614" bestFit="1" customWidth="1"/>
    <col min="2820" max="2820" width="7.140625" style="614" bestFit="1" customWidth="1"/>
    <col min="2821" max="2821" width="7.28515625" style="614" bestFit="1" customWidth="1"/>
    <col min="2822" max="2822" width="6.140625" style="614" bestFit="1" customWidth="1"/>
    <col min="2823" max="2825" width="7.28515625" style="614" bestFit="1" customWidth="1"/>
    <col min="2826" max="2826" width="8" style="614" bestFit="1" customWidth="1"/>
    <col min="2827" max="2827" width="8.28515625" style="614" customWidth="1"/>
    <col min="2828" max="2829" width="10.42578125" style="614" bestFit="1" customWidth="1"/>
    <col min="2830" max="2830" width="13.140625" style="614" bestFit="1" customWidth="1"/>
    <col min="2831" max="3072" width="9.140625" style="614"/>
    <col min="3073" max="3073" width="9.140625" style="614" customWidth="1"/>
    <col min="3074" max="3074" width="25.85546875" style="614" customWidth="1"/>
    <col min="3075" max="3075" width="5.7109375" style="614" bestFit="1" customWidth="1"/>
    <col min="3076" max="3076" width="7.140625" style="614" bestFit="1" customWidth="1"/>
    <col min="3077" max="3077" width="7.28515625" style="614" bestFit="1" customWidth="1"/>
    <col min="3078" max="3078" width="6.140625" style="614" bestFit="1" customWidth="1"/>
    <col min="3079" max="3081" width="7.28515625" style="614" bestFit="1" customWidth="1"/>
    <col min="3082" max="3082" width="8" style="614" bestFit="1" customWidth="1"/>
    <col min="3083" max="3083" width="8.28515625" style="614" customWidth="1"/>
    <col min="3084" max="3085" width="10.42578125" style="614" bestFit="1" customWidth="1"/>
    <col min="3086" max="3086" width="13.140625" style="614" bestFit="1" customWidth="1"/>
    <col min="3087" max="3328" width="9.140625" style="614"/>
    <col min="3329" max="3329" width="9.140625" style="614" customWidth="1"/>
    <col min="3330" max="3330" width="25.85546875" style="614" customWidth="1"/>
    <col min="3331" max="3331" width="5.7109375" style="614" bestFit="1" customWidth="1"/>
    <col min="3332" max="3332" width="7.140625" style="614" bestFit="1" customWidth="1"/>
    <col min="3333" max="3333" width="7.28515625" style="614" bestFit="1" customWidth="1"/>
    <col min="3334" max="3334" width="6.140625" style="614" bestFit="1" customWidth="1"/>
    <col min="3335" max="3337" width="7.28515625" style="614" bestFit="1" customWidth="1"/>
    <col min="3338" max="3338" width="8" style="614" bestFit="1" customWidth="1"/>
    <col min="3339" max="3339" width="8.28515625" style="614" customWidth="1"/>
    <col min="3340" max="3341" width="10.42578125" style="614" bestFit="1" customWidth="1"/>
    <col min="3342" max="3342" width="13.140625" style="614" bestFit="1" customWidth="1"/>
    <col min="3343" max="3584" width="9.140625" style="614"/>
    <col min="3585" max="3585" width="9.140625" style="614" customWidth="1"/>
    <col min="3586" max="3586" width="25.85546875" style="614" customWidth="1"/>
    <col min="3587" max="3587" width="5.7109375" style="614" bestFit="1" customWidth="1"/>
    <col min="3588" max="3588" width="7.140625" style="614" bestFit="1" customWidth="1"/>
    <col min="3589" max="3589" width="7.28515625" style="614" bestFit="1" customWidth="1"/>
    <col min="3590" max="3590" width="6.140625" style="614" bestFit="1" customWidth="1"/>
    <col min="3591" max="3593" width="7.28515625" style="614" bestFit="1" customWidth="1"/>
    <col min="3594" max="3594" width="8" style="614" bestFit="1" customWidth="1"/>
    <col min="3595" max="3595" width="8.28515625" style="614" customWidth="1"/>
    <col min="3596" max="3597" width="10.42578125" style="614" bestFit="1" customWidth="1"/>
    <col min="3598" max="3598" width="13.140625" style="614" bestFit="1" customWidth="1"/>
    <col min="3599" max="3840" width="9.140625" style="614"/>
    <col min="3841" max="3841" width="9.140625" style="614" customWidth="1"/>
    <col min="3842" max="3842" width="25.85546875" style="614" customWidth="1"/>
    <col min="3843" max="3843" width="5.7109375" style="614" bestFit="1" customWidth="1"/>
    <col min="3844" max="3844" width="7.140625" style="614" bestFit="1" customWidth="1"/>
    <col min="3845" max="3845" width="7.28515625" style="614" bestFit="1" customWidth="1"/>
    <col min="3846" max="3846" width="6.140625" style="614" bestFit="1" customWidth="1"/>
    <col min="3847" max="3849" width="7.28515625" style="614" bestFit="1" customWidth="1"/>
    <col min="3850" max="3850" width="8" style="614" bestFit="1" customWidth="1"/>
    <col min="3851" max="3851" width="8.28515625" style="614" customWidth="1"/>
    <col min="3852" max="3853" width="10.42578125" style="614" bestFit="1" customWidth="1"/>
    <col min="3854" max="3854" width="13.140625" style="614" bestFit="1" customWidth="1"/>
    <col min="3855" max="4096" width="9.140625" style="614"/>
    <col min="4097" max="4097" width="9.140625" style="614" customWidth="1"/>
    <col min="4098" max="4098" width="25.85546875" style="614" customWidth="1"/>
    <col min="4099" max="4099" width="5.7109375" style="614" bestFit="1" customWidth="1"/>
    <col min="4100" max="4100" width="7.140625" style="614" bestFit="1" customWidth="1"/>
    <col min="4101" max="4101" width="7.28515625" style="614" bestFit="1" customWidth="1"/>
    <col min="4102" max="4102" width="6.140625" style="614" bestFit="1" customWidth="1"/>
    <col min="4103" max="4105" width="7.28515625" style="614" bestFit="1" customWidth="1"/>
    <col min="4106" max="4106" width="8" style="614" bestFit="1" customWidth="1"/>
    <col min="4107" max="4107" width="8.28515625" style="614" customWidth="1"/>
    <col min="4108" max="4109" width="10.42578125" style="614" bestFit="1" customWidth="1"/>
    <col min="4110" max="4110" width="13.140625" style="614" bestFit="1" customWidth="1"/>
    <col min="4111" max="4352" width="9.140625" style="614"/>
    <col min="4353" max="4353" width="9.140625" style="614" customWidth="1"/>
    <col min="4354" max="4354" width="25.85546875" style="614" customWidth="1"/>
    <col min="4355" max="4355" width="5.7109375" style="614" bestFit="1" customWidth="1"/>
    <col min="4356" max="4356" width="7.140625" style="614" bestFit="1" customWidth="1"/>
    <col min="4357" max="4357" width="7.28515625" style="614" bestFit="1" customWidth="1"/>
    <col min="4358" max="4358" width="6.140625" style="614" bestFit="1" customWidth="1"/>
    <col min="4359" max="4361" width="7.28515625" style="614" bestFit="1" customWidth="1"/>
    <col min="4362" max="4362" width="8" style="614" bestFit="1" customWidth="1"/>
    <col min="4363" max="4363" width="8.28515625" style="614" customWidth="1"/>
    <col min="4364" max="4365" width="10.42578125" style="614" bestFit="1" customWidth="1"/>
    <col min="4366" max="4366" width="13.140625" style="614" bestFit="1" customWidth="1"/>
    <col min="4367" max="4608" width="9.140625" style="614"/>
    <col min="4609" max="4609" width="9.140625" style="614" customWidth="1"/>
    <col min="4610" max="4610" width="25.85546875" style="614" customWidth="1"/>
    <col min="4611" max="4611" width="5.7109375" style="614" bestFit="1" customWidth="1"/>
    <col min="4612" max="4612" width="7.140625" style="614" bestFit="1" customWidth="1"/>
    <col min="4613" max="4613" width="7.28515625" style="614" bestFit="1" customWidth="1"/>
    <col min="4614" max="4614" width="6.140625" style="614" bestFit="1" customWidth="1"/>
    <col min="4615" max="4617" width="7.28515625" style="614" bestFit="1" customWidth="1"/>
    <col min="4618" max="4618" width="8" style="614" bestFit="1" customWidth="1"/>
    <col min="4619" max="4619" width="8.28515625" style="614" customWidth="1"/>
    <col min="4620" max="4621" width="10.42578125" style="614" bestFit="1" customWidth="1"/>
    <col min="4622" max="4622" width="13.140625" style="614" bestFit="1" customWidth="1"/>
    <col min="4623" max="4864" width="9.140625" style="614"/>
    <col min="4865" max="4865" width="9.140625" style="614" customWidth="1"/>
    <col min="4866" max="4866" width="25.85546875" style="614" customWidth="1"/>
    <col min="4867" max="4867" width="5.7109375" style="614" bestFit="1" customWidth="1"/>
    <col min="4868" max="4868" width="7.140625" style="614" bestFit="1" customWidth="1"/>
    <col min="4869" max="4869" width="7.28515625" style="614" bestFit="1" customWidth="1"/>
    <col min="4870" max="4870" width="6.140625" style="614" bestFit="1" customWidth="1"/>
    <col min="4871" max="4873" width="7.28515625" style="614" bestFit="1" customWidth="1"/>
    <col min="4874" max="4874" width="8" style="614" bestFit="1" customWidth="1"/>
    <col min="4875" max="4875" width="8.28515625" style="614" customWidth="1"/>
    <col min="4876" max="4877" width="10.42578125" style="614" bestFit="1" customWidth="1"/>
    <col min="4878" max="4878" width="13.140625" style="614" bestFit="1" customWidth="1"/>
    <col min="4879" max="5120" width="9.140625" style="614"/>
    <col min="5121" max="5121" width="9.140625" style="614" customWidth="1"/>
    <col min="5122" max="5122" width="25.85546875" style="614" customWidth="1"/>
    <col min="5123" max="5123" width="5.7109375" style="614" bestFit="1" customWidth="1"/>
    <col min="5124" max="5124" width="7.140625" style="614" bestFit="1" customWidth="1"/>
    <col min="5125" max="5125" width="7.28515625" style="614" bestFit="1" customWidth="1"/>
    <col min="5126" max="5126" width="6.140625" style="614" bestFit="1" customWidth="1"/>
    <col min="5127" max="5129" width="7.28515625" style="614" bestFit="1" customWidth="1"/>
    <col min="5130" max="5130" width="8" style="614" bestFit="1" customWidth="1"/>
    <col min="5131" max="5131" width="8.28515625" style="614" customWidth="1"/>
    <col min="5132" max="5133" width="10.42578125" style="614" bestFit="1" customWidth="1"/>
    <col min="5134" max="5134" width="13.140625" style="614" bestFit="1" customWidth="1"/>
    <col min="5135" max="5376" width="9.140625" style="614"/>
    <col min="5377" max="5377" width="9.140625" style="614" customWidth="1"/>
    <col min="5378" max="5378" width="25.85546875" style="614" customWidth="1"/>
    <col min="5379" max="5379" width="5.7109375" style="614" bestFit="1" customWidth="1"/>
    <col min="5380" max="5380" width="7.140625" style="614" bestFit="1" customWidth="1"/>
    <col min="5381" max="5381" width="7.28515625" style="614" bestFit="1" customWidth="1"/>
    <col min="5382" max="5382" width="6.140625" style="614" bestFit="1" customWidth="1"/>
    <col min="5383" max="5385" width="7.28515625" style="614" bestFit="1" customWidth="1"/>
    <col min="5386" max="5386" width="8" style="614" bestFit="1" customWidth="1"/>
    <col min="5387" max="5387" width="8.28515625" style="614" customWidth="1"/>
    <col min="5388" max="5389" width="10.42578125" style="614" bestFit="1" customWidth="1"/>
    <col min="5390" max="5390" width="13.140625" style="614" bestFit="1" customWidth="1"/>
    <col min="5391" max="5632" width="9.140625" style="614"/>
    <col min="5633" max="5633" width="9.140625" style="614" customWidth="1"/>
    <col min="5634" max="5634" width="25.85546875" style="614" customWidth="1"/>
    <col min="5635" max="5635" width="5.7109375" style="614" bestFit="1" customWidth="1"/>
    <col min="5636" max="5636" width="7.140625" style="614" bestFit="1" customWidth="1"/>
    <col min="5637" max="5637" width="7.28515625" style="614" bestFit="1" customWidth="1"/>
    <col min="5638" max="5638" width="6.140625" style="614" bestFit="1" customWidth="1"/>
    <col min="5639" max="5641" width="7.28515625" style="614" bestFit="1" customWidth="1"/>
    <col min="5642" max="5642" width="8" style="614" bestFit="1" customWidth="1"/>
    <col min="5643" max="5643" width="8.28515625" style="614" customWidth="1"/>
    <col min="5644" max="5645" width="10.42578125" style="614" bestFit="1" customWidth="1"/>
    <col min="5646" max="5646" width="13.140625" style="614" bestFit="1" customWidth="1"/>
    <col min="5647" max="5888" width="9.140625" style="614"/>
    <col min="5889" max="5889" width="9.140625" style="614" customWidth="1"/>
    <col min="5890" max="5890" width="25.85546875" style="614" customWidth="1"/>
    <col min="5891" max="5891" width="5.7109375" style="614" bestFit="1" customWidth="1"/>
    <col min="5892" max="5892" width="7.140625" style="614" bestFit="1" customWidth="1"/>
    <col min="5893" max="5893" width="7.28515625" style="614" bestFit="1" customWidth="1"/>
    <col min="5894" max="5894" width="6.140625" style="614" bestFit="1" customWidth="1"/>
    <col min="5895" max="5897" width="7.28515625" style="614" bestFit="1" customWidth="1"/>
    <col min="5898" max="5898" width="8" style="614" bestFit="1" customWidth="1"/>
    <col min="5899" max="5899" width="8.28515625" style="614" customWidth="1"/>
    <col min="5900" max="5901" width="10.42578125" style="614" bestFit="1" customWidth="1"/>
    <col min="5902" max="5902" width="13.140625" style="614" bestFit="1" customWidth="1"/>
    <col min="5903" max="6144" width="9.140625" style="614"/>
    <col min="6145" max="6145" width="9.140625" style="614" customWidth="1"/>
    <col min="6146" max="6146" width="25.85546875" style="614" customWidth="1"/>
    <col min="6147" max="6147" width="5.7109375" style="614" bestFit="1" customWidth="1"/>
    <col min="6148" max="6148" width="7.140625" style="614" bestFit="1" customWidth="1"/>
    <col min="6149" max="6149" width="7.28515625" style="614" bestFit="1" customWidth="1"/>
    <col min="6150" max="6150" width="6.140625" style="614" bestFit="1" customWidth="1"/>
    <col min="6151" max="6153" width="7.28515625" style="614" bestFit="1" customWidth="1"/>
    <col min="6154" max="6154" width="8" style="614" bestFit="1" customWidth="1"/>
    <col min="6155" max="6155" width="8.28515625" style="614" customWidth="1"/>
    <col min="6156" max="6157" width="10.42578125" style="614" bestFit="1" customWidth="1"/>
    <col min="6158" max="6158" width="13.140625" style="614" bestFit="1" customWidth="1"/>
    <col min="6159" max="6400" width="9.140625" style="614"/>
    <col min="6401" max="6401" width="9.140625" style="614" customWidth="1"/>
    <col min="6402" max="6402" width="25.85546875" style="614" customWidth="1"/>
    <col min="6403" max="6403" width="5.7109375" style="614" bestFit="1" customWidth="1"/>
    <col min="6404" max="6404" width="7.140625" style="614" bestFit="1" customWidth="1"/>
    <col min="6405" max="6405" width="7.28515625" style="614" bestFit="1" customWidth="1"/>
    <col min="6406" max="6406" width="6.140625" style="614" bestFit="1" customWidth="1"/>
    <col min="6407" max="6409" width="7.28515625" style="614" bestFit="1" customWidth="1"/>
    <col min="6410" max="6410" width="8" style="614" bestFit="1" customWidth="1"/>
    <col min="6411" max="6411" width="8.28515625" style="614" customWidth="1"/>
    <col min="6412" max="6413" width="10.42578125" style="614" bestFit="1" customWidth="1"/>
    <col min="6414" max="6414" width="13.140625" style="614" bestFit="1" customWidth="1"/>
    <col min="6415" max="6656" width="9.140625" style="614"/>
    <col min="6657" max="6657" width="9.140625" style="614" customWidth="1"/>
    <col min="6658" max="6658" width="25.85546875" style="614" customWidth="1"/>
    <col min="6659" max="6659" width="5.7109375" style="614" bestFit="1" customWidth="1"/>
    <col min="6660" max="6660" width="7.140625" style="614" bestFit="1" customWidth="1"/>
    <col min="6661" max="6661" width="7.28515625" style="614" bestFit="1" customWidth="1"/>
    <col min="6662" max="6662" width="6.140625" style="614" bestFit="1" customWidth="1"/>
    <col min="6663" max="6665" width="7.28515625" style="614" bestFit="1" customWidth="1"/>
    <col min="6666" max="6666" width="8" style="614" bestFit="1" customWidth="1"/>
    <col min="6667" max="6667" width="8.28515625" style="614" customWidth="1"/>
    <col min="6668" max="6669" width="10.42578125" style="614" bestFit="1" customWidth="1"/>
    <col min="6670" max="6670" width="13.140625" style="614" bestFit="1" customWidth="1"/>
    <col min="6671" max="6912" width="9.140625" style="614"/>
    <col min="6913" max="6913" width="9.140625" style="614" customWidth="1"/>
    <col min="6914" max="6914" width="25.85546875" style="614" customWidth="1"/>
    <col min="6915" max="6915" width="5.7109375" style="614" bestFit="1" customWidth="1"/>
    <col min="6916" max="6916" width="7.140625" style="614" bestFit="1" customWidth="1"/>
    <col min="6917" max="6917" width="7.28515625" style="614" bestFit="1" customWidth="1"/>
    <col min="6918" max="6918" width="6.140625" style="614" bestFit="1" customWidth="1"/>
    <col min="6919" max="6921" width="7.28515625" style="614" bestFit="1" customWidth="1"/>
    <col min="6922" max="6922" width="8" style="614" bestFit="1" customWidth="1"/>
    <col min="6923" max="6923" width="8.28515625" style="614" customWidth="1"/>
    <col min="6924" max="6925" width="10.42578125" style="614" bestFit="1" customWidth="1"/>
    <col min="6926" max="6926" width="13.140625" style="614" bestFit="1" customWidth="1"/>
    <col min="6927" max="7168" width="9.140625" style="614"/>
    <col min="7169" max="7169" width="9.140625" style="614" customWidth="1"/>
    <col min="7170" max="7170" width="25.85546875" style="614" customWidth="1"/>
    <col min="7171" max="7171" width="5.7109375" style="614" bestFit="1" customWidth="1"/>
    <col min="7172" max="7172" width="7.140625" style="614" bestFit="1" customWidth="1"/>
    <col min="7173" max="7173" width="7.28515625" style="614" bestFit="1" customWidth="1"/>
    <col min="7174" max="7174" width="6.140625" style="614" bestFit="1" customWidth="1"/>
    <col min="7175" max="7177" width="7.28515625" style="614" bestFit="1" customWidth="1"/>
    <col min="7178" max="7178" width="8" style="614" bestFit="1" customWidth="1"/>
    <col min="7179" max="7179" width="8.28515625" style="614" customWidth="1"/>
    <col min="7180" max="7181" width="10.42578125" style="614" bestFit="1" customWidth="1"/>
    <col min="7182" max="7182" width="13.140625" style="614" bestFit="1" customWidth="1"/>
    <col min="7183" max="7424" width="9.140625" style="614"/>
    <col min="7425" max="7425" width="9.140625" style="614" customWidth="1"/>
    <col min="7426" max="7426" width="25.85546875" style="614" customWidth="1"/>
    <col min="7427" max="7427" width="5.7109375" style="614" bestFit="1" customWidth="1"/>
    <col min="7428" max="7428" width="7.140625" style="614" bestFit="1" customWidth="1"/>
    <col min="7429" max="7429" width="7.28515625" style="614" bestFit="1" customWidth="1"/>
    <col min="7430" max="7430" width="6.140625" style="614" bestFit="1" customWidth="1"/>
    <col min="7431" max="7433" width="7.28515625" style="614" bestFit="1" customWidth="1"/>
    <col min="7434" max="7434" width="8" style="614" bestFit="1" customWidth="1"/>
    <col min="7435" max="7435" width="8.28515625" style="614" customWidth="1"/>
    <col min="7436" max="7437" width="10.42578125" style="614" bestFit="1" customWidth="1"/>
    <col min="7438" max="7438" width="13.140625" style="614" bestFit="1" customWidth="1"/>
    <col min="7439" max="7680" width="9.140625" style="614"/>
    <col min="7681" max="7681" width="9.140625" style="614" customWidth="1"/>
    <col min="7682" max="7682" width="25.85546875" style="614" customWidth="1"/>
    <col min="7683" max="7683" width="5.7109375" style="614" bestFit="1" customWidth="1"/>
    <col min="7684" max="7684" width="7.140625" style="614" bestFit="1" customWidth="1"/>
    <col min="7685" max="7685" width="7.28515625" style="614" bestFit="1" customWidth="1"/>
    <col min="7686" max="7686" width="6.140625" style="614" bestFit="1" customWidth="1"/>
    <col min="7687" max="7689" width="7.28515625" style="614" bestFit="1" customWidth="1"/>
    <col min="7690" max="7690" width="8" style="614" bestFit="1" customWidth="1"/>
    <col min="7691" max="7691" width="8.28515625" style="614" customWidth="1"/>
    <col min="7692" max="7693" width="10.42578125" style="614" bestFit="1" customWidth="1"/>
    <col min="7694" max="7694" width="13.140625" style="614" bestFit="1" customWidth="1"/>
    <col min="7695" max="7936" width="9.140625" style="614"/>
    <col min="7937" max="7937" width="9.140625" style="614" customWidth="1"/>
    <col min="7938" max="7938" width="25.85546875" style="614" customWidth="1"/>
    <col min="7939" max="7939" width="5.7109375" style="614" bestFit="1" customWidth="1"/>
    <col min="7940" max="7940" width="7.140625" style="614" bestFit="1" customWidth="1"/>
    <col min="7941" max="7941" width="7.28515625" style="614" bestFit="1" customWidth="1"/>
    <col min="7942" max="7942" width="6.140625" style="614" bestFit="1" customWidth="1"/>
    <col min="7943" max="7945" width="7.28515625" style="614" bestFit="1" customWidth="1"/>
    <col min="7946" max="7946" width="8" style="614" bestFit="1" customWidth="1"/>
    <col min="7947" max="7947" width="8.28515625" style="614" customWidth="1"/>
    <col min="7948" max="7949" width="10.42578125" style="614" bestFit="1" customWidth="1"/>
    <col min="7950" max="7950" width="13.140625" style="614" bestFit="1" customWidth="1"/>
    <col min="7951" max="8192" width="9.140625" style="614"/>
    <col min="8193" max="8193" width="9.140625" style="614" customWidth="1"/>
    <col min="8194" max="8194" width="25.85546875" style="614" customWidth="1"/>
    <col min="8195" max="8195" width="5.7109375" style="614" bestFit="1" customWidth="1"/>
    <col min="8196" max="8196" width="7.140625" style="614" bestFit="1" customWidth="1"/>
    <col min="8197" max="8197" width="7.28515625" style="614" bestFit="1" customWidth="1"/>
    <col min="8198" max="8198" width="6.140625" style="614" bestFit="1" customWidth="1"/>
    <col min="8199" max="8201" width="7.28515625" style="614" bestFit="1" customWidth="1"/>
    <col min="8202" max="8202" width="8" style="614" bestFit="1" customWidth="1"/>
    <col min="8203" max="8203" width="8.28515625" style="614" customWidth="1"/>
    <col min="8204" max="8205" width="10.42578125" style="614" bestFit="1" customWidth="1"/>
    <col min="8206" max="8206" width="13.140625" style="614" bestFit="1" customWidth="1"/>
    <col min="8207" max="8448" width="9.140625" style="614"/>
    <col min="8449" max="8449" width="9.140625" style="614" customWidth="1"/>
    <col min="8450" max="8450" width="25.85546875" style="614" customWidth="1"/>
    <col min="8451" max="8451" width="5.7109375" style="614" bestFit="1" customWidth="1"/>
    <col min="8452" max="8452" width="7.140625" style="614" bestFit="1" customWidth="1"/>
    <col min="8453" max="8453" width="7.28515625" style="614" bestFit="1" customWidth="1"/>
    <col min="8454" max="8454" width="6.140625" style="614" bestFit="1" customWidth="1"/>
    <col min="8455" max="8457" width="7.28515625" style="614" bestFit="1" customWidth="1"/>
    <col min="8458" max="8458" width="8" style="614" bestFit="1" customWidth="1"/>
    <col min="8459" max="8459" width="8.28515625" style="614" customWidth="1"/>
    <col min="8460" max="8461" width="10.42578125" style="614" bestFit="1" customWidth="1"/>
    <col min="8462" max="8462" width="13.140625" style="614" bestFit="1" customWidth="1"/>
    <col min="8463" max="8704" width="9.140625" style="614"/>
    <col min="8705" max="8705" width="9.140625" style="614" customWidth="1"/>
    <col min="8706" max="8706" width="25.85546875" style="614" customWidth="1"/>
    <col min="8707" max="8707" width="5.7109375" style="614" bestFit="1" customWidth="1"/>
    <col min="8708" max="8708" width="7.140625" style="614" bestFit="1" customWidth="1"/>
    <col min="8709" max="8709" width="7.28515625" style="614" bestFit="1" customWidth="1"/>
    <col min="8710" max="8710" width="6.140625" style="614" bestFit="1" customWidth="1"/>
    <col min="8711" max="8713" width="7.28515625" style="614" bestFit="1" customWidth="1"/>
    <col min="8714" max="8714" width="8" style="614" bestFit="1" customWidth="1"/>
    <col min="8715" max="8715" width="8.28515625" style="614" customWidth="1"/>
    <col min="8716" max="8717" width="10.42578125" style="614" bestFit="1" customWidth="1"/>
    <col min="8718" max="8718" width="13.140625" style="614" bestFit="1" customWidth="1"/>
    <col min="8719" max="8960" width="9.140625" style="614"/>
    <col min="8961" max="8961" width="9.140625" style="614" customWidth="1"/>
    <col min="8962" max="8962" width="25.85546875" style="614" customWidth="1"/>
    <col min="8963" max="8963" width="5.7109375" style="614" bestFit="1" customWidth="1"/>
    <col min="8964" max="8964" width="7.140625" style="614" bestFit="1" customWidth="1"/>
    <col min="8965" max="8965" width="7.28515625" style="614" bestFit="1" customWidth="1"/>
    <col min="8966" max="8966" width="6.140625" style="614" bestFit="1" customWidth="1"/>
    <col min="8967" max="8969" width="7.28515625" style="614" bestFit="1" customWidth="1"/>
    <col min="8970" max="8970" width="8" style="614" bestFit="1" customWidth="1"/>
    <col min="8971" max="8971" width="8.28515625" style="614" customWidth="1"/>
    <col min="8972" max="8973" width="10.42578125" style="614" bestFit="1" customWidth="1"/>
    <col min="8974" max="8974" width="13.140625" style="614" bestFit="1" customWidth="1"/>
    <col min="8975" max="9216" width="9.140625" style="614"/>
    <col min="9217" max="9217" width="9.140625" style="614" customWidth="1"/>
    <col min="9218" max="9218" width="25.85546875" style="614" customWidth="1"/>
    <col min="9219" max="9219" width="5.7109375" style="614" bestFit="1" customWidth="1"/>
    <col min="9220" max="9220" width="7.140625" style="614" bestFit="1" customWidth="1"/>
    <col min="9221" max="9221" width="7.28515625" style="614" bestFit="1" customWidth="1"/>
    <col min="9222" max="9222" width="6.140625" style="614" bestFit="1" customWidth="1"/>
    <col min="9223" max="9225" width="7.28515625" style="614" bestFit="1" customWidth="1"/>
    <col min="9226" max="9226" width="8" style="614" bestFit="1" customWidth="1"/>
    <col min="9227" max="9227" width="8.28515625" style="614" customWidth="1"/>
    <col min="9228" max="9229" width="10.42578125" style="614" bestFit="1" customWidth="1"/>
    <col min="9230" max="9230" width="13.140625" style="614" bestFit="1" customWidth="1"/>
    <col min="9231" max="9472" width="9.140625" style="614"/>
    <col min="9473" max="9473" width="9.140625" style="614" customWidth="1"/>
    <col min="9474" max="9474" width="25.85546875" style="614" customWidth="1"/>
    <col min="9475" max="9475" width="5.7109375" style="614" bestFit="1" customWidth="1"/>
    <col min="9476" max="9476" width="7.140625" style="614" bestFit="1" customWidth="1"/>
    <col min="9477" max="9477" width="7.28515625" style="614" bestFit="1" customWidth="1"/>
    <col min="9478" max="9478" width="6.140625" style="614" bestFit="1" customWidth="1"/>
    <col min="9479" max="9481" width="7.28515625" style="614" bestFit="1" customWidth="1"/>
    <col min="9482" max="9482" width="8" style="614" bestFit="1" customWidth="1"/>
    <col min="9483" max="9483" width="8.28515625" style="614" customWidth="1"/>
    <col min="9484" max="9485" width="10.42578125" style="614" bestFit="1" customWidth="1"/>
    <col min="9486" max="9486" width="13.140625" style="614" bestFit="1" customWidth="1"/>
    <col min="9487" max="9728" width="9.140625" style="614"/>
    <col min="9729" max="9729" width="9.140625" style="614" customWidth="1"/>
    <col min="9730" max="9730" width="25.85546875" style="614" customWidth="1"/>
    <col min="9731" max="9731" width="5.7109375" style="614" bestFit="1" customWidth="1"/>
    <col min="9732" max="9732" width="7.140625" style="614" bestFit="1" customWidth="1"/>
    <col min="9733" max="9733" width="7.28515625" style="614" bestFit="1" customWidth="1"/>
    <col min="9734" max="9734" width="6.140625" style="614" bestFit="1" customWidth="1"/>
    <col min="9735" max="9737" width="7.28515625" style="614" bestFit="1" customWidth="1"/>
    <col min="9738" max="9738" width="8" style="614" bestFit="1" customWidth="1"/>
    <col min="9739" max="9739" width="8.28515625" style="614" customWidth="1"/>
    <col min="9740" max="9741" width="10.42578125" style="614" bestFit="1" customWidth="1"/>
    <col min="9742" max="9742" width="13.140625" style="614" bestFit="1" customWidth="1"/>
    <col min="9743" max="9984" width="9.140625" style="614"/>
    <col min="9985" max="9985" width="9.140625" style="614" customWidth="1"/>
    <col min="9986" max="9986" width="25.85546875" style="614" customWidth="1"/>
    <col min="9987" max="9987" width="5.7109375" style="614" bestFit="1" customWidth="1"/>
    <col min="9988" max="9988" width="7.140625" style="614" bestFit="1" customWidth="1"/>
    <col min="9989" max="9989" width="7.28515625" style="614" bestFit="1" customWidth="1"/>
    <col min="9990" max="9990" width="6.140625" style="614" bestFit="1" customWidth="1"/>
    <col min="9991" max="9993" width="7.28515625" style="614" bestFit="1" customWidth="1"/>
    <col min="9994" max="9994" width="8" style="614" bestFit="1" customWidth="1"/>
    <col min="9995" max="9995" width="8.28515625" style="614" customWidth="1"/>
    <col min="9996" max="9997" width="10.42578125" style="614" bestFit="1" customWidth="1"/>
    <col min="9998" max="9998" width="13.140625" style="614" bestFit="1" customWidth="1"/>
    <col min="9999" max="10240" width="9.140625" style="614"/>
    <col min="10241" max="10241" width="9.140625" style="614" customWidth="1"/>
    <col min="10242" max="10242" width="25.85546875" style="614" customWidth="1"/>
    <col min="10243" max="10243" width="5.7109375" style="614" bestFit="1" customWidth="1"/>
    <col min="10244" max="10244" width="7.140625" style="614" bestFit="1" customWidth="1"/>
    <col min="10245" max="10245" width="7.28515625" style="614" bestFit="1" customWidth="1"/>
    <col min="10246" max="10246" width="6.140625" style="614" bestFit="1" customWidth="1"/>
    <col min="10247" max="10249" width="7.28515625" style="614" bestFit="1" customWidth="1"/>
    <col min="10250" max="10250" width="8" style="614" bestFit="1" customWidth="1"/>
    <col min="10251" max="10251" width="8.28515625" style="614" customWidth="1"/>
    <col min="10252" max="10253" width="10.42578125" style="614" bestFit="1" customWidth="1"/>
    <col min="10254" max="10254" width="13.140625" style="614" bestFit="1" customWidth="1"/>
    <col min="10255" max="10496" width="9.140625" style="614"/>
    <col min="10497" max="10497" width="9.140625" style="614" customWidth="1"/>
    <col min="10498" max="10498" width="25.85546875" style="614" customWidth="1"/>
    <col min="10499" max="10499" width="5.7109375" style="614" bestFit="1" customWidth="1"/>
    <col min="10500" max="10500" width="7.140625" style="614" bestFit="1" customWidth="1"/>
    <col min="10501" max="10501" width="7.28515625" style="614" bestFit="1" customWidth="1"/>
    <col min="10502" max="10502" width="6.140625" style="614" bestFit="1" customWidth="1"/>
    <col min="10503" max="10505" width="7.28515625" style="614" bestFit="1" customWidth="1"/>
    <col min="10506" max="10506" width="8" style="614" bestFit="1" customWidth="1"/>
    <col min="10507" max="10507" width="8.28515625" style="614" customWidth="1"/>
    <col min="10508" max="10509" width="10.42578125" style="614" bestFit="1" customWidth="1"/>
    <col min="10510" max="10510" width="13.140625" style="614" bestFit="1" customWidth="1"/>
    <col min="10511" max="10752" width="9.140625" style="614"/>
    <col min="10753" max="10753" width="9.140625" style="614" customWidth="1"/>
    <col min="10754" max="10754" width="25.85546875" style="614" customWidth="1"/>
    <col min="10755" max="10755" width="5.7109375" style="614" bestFit="1" customWidth="1"/>
    <col min="10756" max="10756" width="7.140625" style="614" bestFit="1" customWidth="1"/>
    <col min="10757" max="10757" width="7.28515625" style="614" bestFit="1" customWidth="1"/>
    <col min="10758" max="10758" width="6.140625" style="614" bestFit="1" customWidth="1"/>
    <col min="10759" max="10761" width="7.28515625" style="614" bestFit="1" customWidth="1"/>
    <col min="10762" max="10762" width="8" style="614" bestFit="1" customWidth="1"/>
    <col min="10763" max="10763" width="8.28515625" style="614" customWidth="1"/>
    <col min="10764" max="10765" width="10.42578125" style="614" bestFit="1" customWidth="1"/>
    <col min="10766" max="10766" width="13.140625" style="614" bestFit="1" customWidth="1"/>
    <col min="10767" max="11008" width="9.140625" style="614"/>
    <col min="11009" max="11009" width="9.140625" style="614" customWidth="1"/>
    <col min="11010" max="11010" width="25.85546875" style="614" customWidth="1"/>
    <col min="11011" max="11011" width="5.7109375" style="614" bestFit="1" customWidth="1"/>
    <col min="11012" max="11012" width="7.140625" style="614" bestFit="1" customWidth="1"/>
    <col min="11013" max="11013" width="7.28515625" style="614" bestFit="1" customWidth="1"/>
    <col min="11014" max="11014" width="6.140625" style="614" bestFit="1" customWidth="1"/>
    <col min="11015" max="11017" width="7.28515625" style="614" bestFit="1" customWidth="1"/>
    <col min="11018" max="11018" width="8" style="614" bestFit="1" customWidth="1"/>
    <col min="11019" max="11019" width="8.28515625" style="614" customWidth="1"/>
    <col min="11020" max="11021" width="10.42578125" style="614" bestFit="1" customWidth="1"/>
    <col min="11022" max="11022" width="13.140625" style="614" bestFit="1" customWidth="1"/>
    <col min="11023" max="11264" width="9.140625" style="614"/>
    <col min="11265" max="11265" width="9.140625" style="614" customWidth="1"/>
    <col min="11266" max="11266" width="25.85546875" style="614" customWidth="1"/>
    <col min="11267" max="11267" width="5.7109375" style="614" bestFit="1" customWidth="1"/>
    <col min="11268" max="11268" width="7.140625" style="614" bestFit="1" customWidth="1"/>
    <col min="11269" max="11269" width="7.28515625" style="614" bestFit="1" customWidth="1"/>
    <col min="11270" max="11270" width="6.140625" style="614" bestFit="1" customWidth="1"/>
    <col min="11271" max="11273" width="7.28515625" style="614" bestFit="1" customWidth="1"/>
    <col min="11274" max="11274" width="8" style="614" bestFit="1" customWidth="1"/>
    <col min="11275" max="11275" width="8.28515625" style="614" customWidth="1"/>
    <col min="11276" max="11277" width="10.42578125" style="614" bestFit="1" customWidth="1"/>
    <col min="11278" max="11278" width="13.140625" style="614" bestFit="1" customWidth="1"/>
    <col min="11279" max="11520" width="9.140625" style="614"/>
    <col min="11521" max="11521" width="9.140625" style="614" customWidth="1"/>
    <col min="11522" max="11522" width="25.85546875" style="614" customWidth="1"/>
    <col min="11523" max="11523" width="5.7109375" style="614" bestFit="1" customWidth="1"/>
    <col min="11524" max="11524" width="7.140625" style="614" bestFit="1" customWidth="1"/>
    <col min="11525" max="11525" width="7.28515625" style="614" bestFit="1" customWidth="1"/>
    <col min="11526" max="11526" width="6.140625" style="614" bestFit="1" customWidth="1"/>
    <col min="11527" max="11529" width="7.28515625" style="614" bestFit="1" customWidth="1"/>
    <col min="11530" max="11530" width="8" style="614" bestFit="1" customWidth="1"/>
    <col min="11531" max="11531" width="8.28515625" style="614" customWidth="1"/>
    <col min="11532" max="11533" width="10.42578125" style="614" bestFit="1" customWidth="1"/>
    <col min="11534" max="11534" width="13.140625" style="614" bestFit="1" customWidth="1"/>
    <col min="11535" max="11776" width="9.140625" style="614"/>
    <col min="11777" max="11777" width="9.140625" style="614" customWidth="1"/>
    <col min="11778" max="11778" width="25.85546875" style="614" customWidth="1"/>
    <col min="11779" max="11779" width="5.7109375" style="614" bestFit="1" customWidth="1"/>
    <col min="11780" max="11780" width="7.140625" style="614" bestFit="1" customWidth="1"/>
    <col min="11781" max="11781" width="7.28515625" style="614" bestFit="1" customWidth="1"/>
    <col min="11782" max="11782" width="6.140625" style="614" bestFit="1" customWidth="1"/>
    <col min="11783" max="11785" width="7.28515625" style="614" bestFit="1" customWidth="1"/>
    <col min="11786" max="11786" width="8" style="614" bestFit="1" customWidth="1"/>
    <col min="11787" max="11787" width="8.28515625" style="614" customWidth="1"/>
    <col min="11788" max="11789" width="10.42578125" style="614" bestFit="1" customWidth="1"/>
    <col min="11790" max="11790" width="13.140625" style="614" bestFit="1" customWidth="1"/>
    <col min="11791" max="12032" width="9.140625" style="614"/>
    <col min="12033" max="12033" width="9.140625" style="614" customWidth="1"/>
    <col min="12034" max="12034" width="25.85546875" style="614" customWidth="1"/>
    <col min="12035" max="12035" width="5.7109375" style="614" bestFit="1" customWidth="1"/>
    <col min="12036" max="12036" width="7.140625" style="614" bestFit="1" customWidth="1"/>
    <col min="12037" max="12037" width="7.28515625" style="614" bestFit="1" customWidth="1"/>
    <col min="12038" max="12038" width="6.140625" style="614" bestFit="1" customWidth="1"/>
    <col min="12039" max="12041" width="7.28515625" style="614" bestFit="1" customWidth="1"/>
    <col min="12042" max="12042" width="8" style="614" bestFit="1" customWidth="1"/>
    <col min="12043" max="12043" width="8.28515625" style="614" customWidth="1"/>
    <col min="12044" max="12045" width="10.42578125" style="614" bestFit="1" customWidth="1"/>
    <col min="12046" max="12046" width="13.140625" style="614" bestFit="1" customWidth="1"/>
    <col min="12047" max="12288" width="9.140625" style="614"/>
    <col min="12289" max="12289" width="9.140625" style="614" customWidth="1"/>
    <col min="12290" max="12290" width="25.85546875" style="614" customWidth="1"/>
    <col min="12291" max="12291" width="5.7109375" style="614" bestFit="1" customWidth="1"/>
    <col min="12292" max="12292" width="7.140625" style="614" bestFit="1" customWidth="1"/>
    <col min="12293" max="12293" width="7.28515625" style="614" bestFit="1" customWidth="1"/>
    <col min="12294" max="12294" width="6.140625" style="614" bestFit="1" customWidth="1"/>
    <col min="12295" max="12297" width="7.28515625" style="614" bestFit="1" customWidth="1"/>
    <col min="12298" max="12298" width="8" style="614" bestFit="1" customWidth="1"/>
    <col min="12299" max="12299" width="8.28515625" style="614" customWidth="1"/>
    <col min="12300" max="12301" width="10.42578125" style="614" bestFit="1" customWidth="1"/>
    <col min="12302" max="12302" width="13.140625" style="614" bestFit="1" customWidth="1"/>
    <col min="12303" max="12544" width="9.140625" style="614"/>
    <col min="12545" max="12545" width="9.140625" style="614" customWidth="1"/>
    <col min="12546" max="12546" width="25.85546875" style="614" customWidth="1"/>
    <col min="12547" max="12547" width="5.7109375" style="614" bestFit="1" customWidth="1"/>
    <col min="12548" max="12548" width="7.140625" style="614" bestFit="1" customWidth="1"/>
    <col min="12549" max="12549" width="7.28515625" style="614" bestFit="1" customWidth="1"/>
    <col min="12550" max="12550" width="6.140625" style="614" bestFit="1" customWidth="1"/>
    <col min="12551" max="12553" width="7.28515625" style="614" bestFit="1" customWidth="1"/>
    <col min="12554" max="12554" width="8" style="614" bestFit="1" customWidth="1"/>
    <col min="12555" max="12555" width="8.28515625" style="614" customWidth="1"/>
    <col min="12556" max="12557" width="10.42578125" style="614" bestFit="1" customWidth="1"/>
    <col min="12558" max="12558" width="13.140625" style="614" bestFit="1" customWidth="1"/>
    <col min="12559" max="12800" width="9.140625" style="614"/>
    <col min="12801" max="12801" width="9.140625" style="614" customWidth="1"/>
    <col min="12802" max="12802" width="25.85546875" style="614" customWidth="1"/>
    <col min="12803" max="12803" width="5.7109375" style="614" bestFit="1" customWidth="1"/>
    <col min="12804" max="12804" width="7.140625" style="614" bestFit="1" customWidth="1"/>
    <col min="12805" max="12805" width="7.28515625" style="614" bestFit="1" customWidth="1"/>
    <col min="12806" max="12806" width="6.140625" style="614" bestFit="1" customWidth="1"/>
    <col min="12807" max="12809" width="7.28515625" style="614" bestFit="1" customWidth="1"/>
    <col min="12810" max="12810" width="8" style="614" bestFit="1" customWidth="1"/>
    <col min="12811" max="12811" width="8.28515625" style="614" customWidth="1"/>
    <col min="12812" max="12813" width="10.42578125" style="614" bestFit="1" customWidth="1"/>
    <col min="12814" max="12814" width="13.140625" style="614" bestFit="1" customWidth="1"/>
    <col min="12815" max="13056" width="9.140625" style="614"/>
    <col min="13057" max="13057" width="9.140625" style="614" customWidth="1"/>
    <col min="13058" max="13058" width="25.85546875" style="614" customWidth="1"/>
    <col min="13059" max="13059" width="5.7109375" style="614" bestFit="1" customWidth="1"/>
    <col min="13060" max="13060" width="7.140625" style="614" bestFit="1" customWidth="1"/>
    <col min="13061" max="13061" width="7.28515625" style="614" bestFit="1" customWidth="1"/>
    <col min="13062" max="13062" width="6.140625" style="614" bestFit="1" customWidth="1"/>
    <col min="13063" max="13065" width="7.28515625" style="614" bestFit="1" customWidth="1"/>
    <col min="13066" max="13066" width="8" style="614" bestFit="1" customWidth="1"/>
    <col min="13067" max="13067" width="8.28515625" style="614" customWidth="1"/>
    <col min="13068" max="13069" width="10.42578125" style="614" bestFit="1" customWidth="1"/>
    <col min="13070" max="13070" width="13.140625" style="614" bestFit="1" customWidth="1"/>
    <col min="13071" max="13312" width="9.140625" style="614"/>
    <col min="13313" max="13313" width="9.140625" style="614" customWidth="1"/>
    <col min="13314" max="13314" width="25.85546875" style="614" customWidth="1"/>
    <col min="13315" max="13315" width="5.7109375" style="614" bestFit="1" customWidth="1"/>
    <col min="13316" max="13316" width="7.140625" style="614" bestFit="1" customWidth="1"/>
    <col min="13317" max="13317" width="7.28515625" style="614" bestFit="1" customWidth="1"/>
    <col min="13318" max="13318" width="6.140625" style="614" bestFit="1" customWidth="1"/>
    <col min="13319" max="13321" width="7.28515625" style="614" bestFit="1" customWidth="1"/>
    <col min="13322" max="13322" width="8" style="614" bestFit="1" customWidth="1"/>
    <col min="13323" max="13323" width="8.28515625" style="614" customWidth="1"/>
    <col min="13324" max="13325" width="10.42578125" style="614" bestFit="1" customWidth="1"/>
    <col min="13326" max="13326" width="13.140625" style="614" bestFit="1" customWidth="1"/>
    <col min="13327" max="13568" width="9.140625" style="614"/>
    <col min="13569" max="13569" width="9.140625" style="614" customWidth="1"/>
    <col min="13570" max="13570" width="25.85546875" style="614" customWidth="1"/>
    <col min="13571" max="13571" width="5.7109375" style="614" bestFit="1" customWidth="1"/>
    <col min="13572" max="13572" width="7.140625" style="614" bestFit="1" customWidth="1"/>
    <col min="13573" max="13573" width="7.28515625" style="614" bestFit="1" customWidth="1"/>
    <col min="13574" max="13574" width="6.140625" style="614" bestFit="1" customWidth="1"/>
    <col min="13575" max="13577" width="7.28515625" style="614" bestFit="1" customWidth="1"/>
    <col min="13578" max="13578" width="8" style="614" bestFit="1" customWidth="1"/>
    <col min="13579" max="13579" width="8.28515625" style="614" customWidth="1"/>
    <col min="13580" max="13581" width="10.42578125" style="614" bestFit="1" customWidth="1"/>
    <col min="13582" max="13582" width="13.140625" style="614" bestFit="1" customWidth="1"/>
    <col min="13583" max="13824" width="9.140625" style="614"/>
    <col min="13825" max="13825" width="9.140625" style="614" customWidth="1"/>
    <col min="13826" max="13826" width="25.85546875" style="614" customWidth="1"/>
    <col min="13827" max="13827" width="5.7109375" style="614" bestFit="1" customWidth="1"/>
    <col min="13828" max="13828" width="7.140625" style="614" bestFit="1" customWidth="1"/>
    <col min="13829" max="13829" width="7.28515625" style="614" bestFit="1" customWidth="1"/>
    <col min="13830" max="13830" width="6.140625" style="614" bestFit="1" customWidth="1"/>
    <col min="13831" max="13833" width="7.28515625" style="614" bestFit="1" customWidth="1"/>
    <col min="13834" max="13834" width="8" style="614" bestFit="1" customWidth="1"/>
    <col min="13835" max="13835" width="8.28515625" style="614" customWidth="1"/>
    <col min="13836" max="13837" width="10.42578125" style="614" bestFit="1" customWidth="1"/>
    <col min="13838" max="13838" width="13.140625" style="614" bestFit="1" customWidth="1"/>
    <col min="13839" max="14080" width="9.140625" style="614"/>
    <col min="14081" max="14081" width="9.140625" style="614" customWidth="1"/>
    <col min="14082" max="14082" width="25.85546875" style="614" customWidth="1"/>
    <col min="14083" max="14083" width="5.7109375" style="614" bestFit="1" customWidth="1"/>
    <col min="14084" max="14084" width="7.140625" style="614" bestFit="1" customWidth="1"/>
    <col min="14085" max="14085" width="7.28515625" style="614" bestFit="1" customWidth="1"/>
    <col min="14086" max="14086" width="6.140625" style="614" bestFit="1" customWidth="1"/>
    <col min="14087" max="14089" width="7.28515625" style="614" bestFit="1" customWidth="1"/>
    <col min="14090" max="14090" width="8" style="614" bestFit="1" customWidth="1"/>
    <col min="14091" max="14091" width="8.28515625" style="614" customWidth="1"/>
    <col min="14092" max="14093" width="10.42578125" style="614" bestFit="1" customWidth="1"/>
    <col min="14094" max="14094" width="13.140625" style="614" bestFit="1" customWidth="1"/>
    <col min="14095" max="14336" width="9.140625" style="614"/>
    <col min="14337" max="14337" width="9.140625" style="614" customWidth="1"/>
    <col min="14338" max="14338" width="25.85546875" style="614" customWidth="1"/>
    <col min="14339" max="14339" width="5.7109375" style="614" bestFit="1" customWidth="1"/>
    <col min="14340" max="14340" width="7.140625" style="614" bestFit="1" customWidth="1"/>
    <col min="14341" max="14341" width="7.28515625" style="614" bestFit="1" customWidth="1"/>
    <col min="14342" max="14342" width="6.140625" style="614" bestFit="1" customWidth="1"/>
    <col min="14343" max="14345" width="7.28515625" style="614" bestFit="1" customWidth="1"/>
    <col min="14346" max="14346" width="8" style="614" bestFit="1" customWidth="1"/>
    <col min="14347" max="14347" width="8.28515625" style="614" customWidth="1"/>
    <col min="14348" max="14349" width="10.42578125" style="614" bestFit="1" customWidth="1"/>
    <col min="14350" max="14350" width="13.140625" style="614" bestFit="1" customWidth="1"/>
    <col min="14351" max="14592" width="9.140625" style="614"/>
    <col min="14593" max="14593" width="9.140625" style="614" customWidth="1"/>
    <col min="14594" max="14594" width="25.85546875" style="614" customWidth="1"/>
    <col min="14595" max="14595" width="5.7109375" style="614" bestFit="1" customWidth="1"/>
    <col min="14596" max="14596" width="7.140625" style="614" bestFit="1" customWidth="1"/>
    <col min="14597" max="14597" width="7.28515625" style="614" bestFit="1" customWidth="1"/>
    <col min="14598" max="14598" width="6.140625" style="614" bestFit="1" customWidth="1"/>
    <col min="14599" max="14601" width="7.28515625" style="614" bestFit="1" customWidth="1"/>
    <col min="14602" max="14602" width="8" style="614" bestFit="1" customWidth="1"/>
    <col min="14603" max="14603" width="8.28515625" style="614" customWidth="1"/>
    <col min="14604" max="14605" width="10.42578125" style="614" bestFit="1" customWidth="1"/>
    <col min="14606" max="14606" width="13.140625" style="614" bestFit="1" customWidth="1"/>
    <col min="14607" max="14848" width="9.140625" style="614"/>
    <col min="14849" max="14849" width="9.140625" style="614" customWidth="1"/>
    <col min="14850" max="14850" width="25.85546875" style="614" customWidth="1"/>
    <col min="14851" max="14851" width="5.7109375" style="614" bestFit="1" customWidth="1"/>
    <col min="14852" max="14852" width="7.140625" style="614" bestFit="1" customWidth="1"/>
    <col min="14853" max="14853" width="7.28515625" style="614" bestFit="1" customWidth="1"/>
    <col min="14854" max="14854" width="6.140625" style="614" bestFit="1" customWidth="1"/>
    <col min="14855" max="14857" width="7.28515625" style="614" bestFit="1" customWidth="1"/>
    <col min="14858" max="14858" width="8" style="614" bestFit="1" customWidth="1"/>
    <col min="14859" max="14859" width="8.28515625" style="614" customWidth="1"/>
    <col min="14860" max="14861" width="10.42578125" style="614" bestFit="1" customWidth="1"/>
    <col min="14862" max="14862" width="13.140625" style="614" bestFit="1" customWidth="1"/>
    <col min="14863" max="15104" width="9.140625" style="614"/>
    <col min="15105" max="15105" width="9.140625" style="614" customWidth="1"/>
    <col min="15106" max="15106" width="25.85546875" style="614" customWidth="1"/>
    <col min="15107" max="15107" width="5.7109375" style="614" bestFit="1" customWidth="1"/>
    <col min="15108" max="15108" width="7.140625" style="614" bestFit="1" customWidth="1"/>
    <col min="15109" max="15109" width="7.28515625" style="614" bestFit="1" customWidth="1"/>
    <col min="15110" max="15110" width="6.140625" style="614" bestFit="1" customWidth="1"/>
    <col min="15111" max="15113" width="7.28515625" style="614" bestFit="1" customWidth="1"/>
    <col min="15114" max="15114" width="8" style="614" bestFit="1" customWidth="1"/>
    <col min="15115" max="15115" width="8.28515625" style="614" customWidth="1"/>
    <col min="15116" max="15117" width="10.42578125" style="614" bestFit="1" customWidth="1"/>
    <col min="15118" max="15118" width="13.140625" style="614" bestFit="1" customWidth="1"/>
    <col min="15119" max="15360" width="9.140625" style="614"/>
    <col min="15361" max="15361" width="9.140625" style="614" customWidth="1"/>
    <col min="15362" max="15362" width="25.85546875" style="614" customWidth="1"/>
    <col min="15363" max="15363" width="5.7109375" style="614" bestFit="1" customWidth="1"/>
    <col min="15364" max="15364" width="7.140625" style="614" bestFit="1" customWidth="1"/>
    <col min="15365" max="15365" width="7.28515625" style="614" bestFit="1" customWidth="1"/>
    <col min="15366" max="15366" width="6.140625" style="614" bestFit="1" customWidth="1"/>
    <col min="15367" max="15369" width="7.28515625" style="614" bestFit="1" customWidth="1"/>
    <col min="15370" max="15370" width="8" style="614" bestFit="1" customWidth="1"/>
    <col min="15371" max="15371" width="8.28515625" style="614" customWidth="1"/>
    <col min="15372" max="15373" width="10.42578125" style="614" bestFit="1" customWidth="1"/>
    <col min="15374" max="15374" width="13.140625" style="614" bestFit="1" customWidth="1"/>
    <col min="15375" max="15616" width="9.140625" style="614"/>
    <col min="15617" max="15617" width="9.140625" style="614" customWidth="1"/>
    <col min="15618" max="15618" width="25.85546875" style="614" customWidth="1"/>
    <col min="15619" max="15619" width="5.7109375" style="614" bestFit="1" customWidth="1"/>
    <col min="15620" max="15620" width="7.140625" style="614" bestFit="1" customWidth="1"/>
    <col min="15621" max="15621" width="7.28515625" style="614" bestFit="1" customWidth="1"/>
    <col min="15622" max="15622" width="6.140625" style="614" bestFit="1" customWidth="1"/>
    <col min="15623" max="15625" width="7.28515625" style="614" bestFit="1" customWidth="1"/>
    <col min="15626" max="15626" width="8" style="614" bestFit="1" customWidth="1"/>
    <col min="15627" max="15627" width="8.28515625" style="614" customWidth="1"/>
    <col min="15628" max="15629" width="10.42578125" style="614" bestFit="1" customWidth="1"/>
    <col min="15630" max="15630" width="13.140625" style="614" bestFit="1" customWidth="1"/>
    <col min="15631" max="15872" width="9.140625" style="614"/>
    <col min="15873" max="15873" width="9.140625" style="614" customWidth="1"/>
    <col min="15874" max="15874" width="25.85546875" style="614" customWidth="1"/>
    <col min="15875" max="15875" width="5.7109375" style="614" bestFit="1" customWidth="1"/>
    <col min="15876" max="15876" width="7.140625" style="614" bestFit="1" customWidth="1"/>
    <col min="15877" max="15877" width="7.28515625" style="614" bestFit="1" customWidth="1"/>
    <col min="15878" max="15878" width="6.140625" style="614" bestFit="1" customWidth="1"/>
    <col min="15879" max="15881" width="7.28515625" style="614" bestFit="1" customWidth="1"/>
    <col min="15882" max="15882" width="8" style="614" bestFit="1" customWidth="1"/>
    <col min="15883" max="15883" width="8.28515625" style="614" customWidth="1"/>
    <col min="15884" max="15885" width="10.42578125" style="614" bestFit="1" customWidth="1"/>
    <col min="15886" max="15886" width="13.140625" style="614" bestFit="1" customWidth="1"/>
    <col min="15887" max="16128" width="9.140625" style="614"/>
    <col min="16129" max="16129" width="9.140625" style="614" customWidth="1"/>
    <col min="16130" max="16130" width="25.85546875" style="614" customWidth="1"/>
    <col min="16131" max="16131" width="5.7109375" style="614" bestFit="1" customWidth="1"/>
    <col min="16132" max="16132" width="7.140625" style="614" bestFit="1" customWidth="1"/>
    <col min="16133" max="16133" width="7.28515625" style="614" bestFit="1" customWidth="1"/>
    <col min="16134" max="16134" width="6.140625" style="614" bestFit="1" customWidth="1"/>
    <col min="16135" max="16137" width="7.28515625" style="614" bestFit="1" customWidth="1"/>
    <col min="16138" max="16138" width="8" style="614" bestFit="1" customWidth="1"/>
    <col min="16139" max="16139" width="8.28515625" style="614" customWidth="1"/>
    <col min="16140" max="16141" width="10.42578125" style="614" bestFit="1" customWidth="1"/>
    <col min="16142" max="16142" width="13.140625" style="614" bestFit="1" customWidth="1"/>
    <col min="16143" max="16384" width="9.140625" style="614"/>
  </cols>
  <sheetData>
    <row r="1" spans="1:14" s="1480" customFormat="1" ht="15" x14ac:dyDescent="0.2">
      <c r="A1" s="184"/>
      <c r="B1" s="184"/>
      <c r="C1" s="184"/>
      <c r="D1" s="62"/>
      <c r="E1" s="68"/>
      <c r="F1" s="63"/>
      <c r="G1" s="185"/>
      <c r="H1" s="185"/>
      <c r="I1" s="185"/>
      <c r="J1" s="1722"/>
      <c r="K1" s="1683"/>
      <c r="L1" s="1684"/>
      <c r="M1" s="2"/>
      <c r="N1" s="2"/>
    </row>
    <row r="2" spans="1:14" s="1480" customFormat="1" x14ac:dyDescent="0.2">
      <c r="A2" s="2206" t="s">
        <v>34</v>
      </c>
      <c r="B2" s="2206"/>
      <c r="C2" s="2206"/>
      <c r="D2" s="2206"/>
      <c r="E2" s="2206"/>
      <c r="F2" s="2206"/>
      <c r="G2" s="2206"/>
      <c r="H2" s="2206"/>
      <c r="I2" s="2206"/>
      <c r="J2" s="2206"/>
      <c r="K2" s="2206"/>
      <c r="L2" s="38"/>
      <c r="M2" s="38"/>
      <c r="N2" s="39"/>
    </row>
    <row r="3" spans="1:14" s="1480" customFormat="1" x14ac:dyDescent="0.2">
      <c r="A3" s="2206" t="s">
        <v>35</v>
      </c>
      <c r="B3" s="2206"/>
      <c r="C3" s="2206"/>
      <c r="D3" s="2206"/>
      <c r="E3" s="2206"/>
      <c r="F3" s="2206"/>
      <c r="G3" s="2206"/>
      <c r="H3" s="2206"/>
      <c r="I3" s="2206"/>
      <c r="J3" s="2206"/>
      <c r="K3" s="2206"/>
      <c r="L3" s="38"/>
      <c r="M3" s="38"/>
      <c r="N3" s="39"/>
    </row>
    <row r="4" spans="1:14" s="1480" customFormat="1" x14ac:dyDescent="0.2">
      <c r="A4" s="2206" t="s">
        <v>4980</v>
      </c>
      <c r="B4" s="2206"/>
      <c r="C4" s="2206"/>
      <c r="D4" s="2206"/>
      <c r="E4" s="2206"/>
      <c r="F4" s="2206"/>
      <c r="G4" s="2206"/>
      <c r="H4" s="2206"/>
      <c r="I4" s="2206"/>
      <c r="J4" s="2206"/>
      <c r="K4" s="2206"/>
      <c r="L4" s="38"/>
      <c r="M4" s="38"/>
      <c r="N4" s="39"/>
    </row>
    <row r="5" spans="1:14" s="1480" customFormat="1" ht="15" x14ac:dyDescent="0.2">
      <c r="A5" s="56"/>
      <c r="B5" s="56"/>
      <c r="C5" s="56"/>
      <c r="D5" s="57" t="s">
        <v>29</v>
      </c>
      <c r="E5" s="1503"/>
      <c r="F5" s="1717"/>
      <c r="G5" s="64"/>
      <c r="H5" s="64"/>
      <c r="I5" s="64"/>
      <c r="J5" s="1721"/>
      <c r="K5" s="1685"/>
      <c r="L5" s="38"/>
      <c r="M5" s="38"/>
      <c r="N5" s="39"/>
    </row>
    <row r="6" spans="1:14" s="1480" customFormat="1" ht="15" x14ac:dyDescent="0.2">
      <c r="A6" s="56"/>
      <c r="B6" s="56"/>
      <c r="C6" s="56"/>
      <c r="D6" s="57"/>
      <c r="E6" s="1503"/>
      <c r="F6" s="65"/>
      <c r="G6" s="185"/>
      <c r="H6" s="185"/>
      <c r="I6" s="185"/>
      <c r="J6" s="1722"/>
      <c r="K6" s="1683"/>
      <c r="L6" s="1684"/>
      <c r="M6" s="2"/>
      <c r="N6" s="2"/>
    </row>
    <row r="7" spans="1:14" s="1480" customFormat="1" ht="15.75" x14ac:dyDescent="0.2">
      <c r="A7" s="2205" t="s">
        <v>7848</v>
      </c>
      <c r="B7" s="2205"/>
      <c r="C7" s="2205"/>
      <c r="D7" s="2205"/>
      <c r="E7" s="2205"/>
      <c r="F7" s="2205"/>
      <c r="G7" s="2205"/>
      <c r="H7" s="2205"/>
      <c r="I7" s="2205"/>
      <c r="J7" s="2205"/>
      <c r="K7" s="2205"/>
      <c r="L7" s="38"/>
      <c r="M7" s="38"/>
      <c r="N7" s="39"/>
    </row>
    <row r="8" spans="1:14" s="1480" customFormat="1" ht="15" x14ac:dyDescent="0.2">
      <c r="A8" s="56"/>
      <c r="B8" s="56"/>
      <c r="C8" s="56"/>
      <c r="D8" s="57"/>
      <c r="E8" s="1503"/>
      <c r="F8" s="1717"/>
      <c r="G8" s="64"/>
      <c r="H8" s="64"/>
      <c r="I8" s="64"/>
      <c r="J8" s="1721"/>
      <c r="K8" s="1685"/>
      <c r="L8" s="38"/>
      <c r="M8" s="38"/>
      <c r="N8" s="39"/>
    </row>
    <row r="9" spans="1:14" s="6" customFormat="1" x14ac:dyDescent="0.2">
      <c r="A9" s="1730" t="s">
        <v>4443</v>
      </c>
      <c r="B9" s="2204" t="str">
        <f>'Orç - Canteiro e Adm'!B9:J9</f>
        <v>Construção do Edifício ULEG-FM</v>
      </c>
      <c r="C9" s="2204"/>
      <c r="D9" s="2204"/>
      <c r="E9" s="2204"/>
      <c r="F9" s="2204"/>
      <c r="G9" s="2204"/>
      <c r="H9" s="2204"/>
      <c r="I9" s="2204"/>
      <c r="J9" s="2204"/>
      <c r="K9" s="1685"/>
      <c r="L9" s="1685"/>
      <c r="M9" s="2"/>
      <c r="N9" s="2"/>
    </row>
    <row r="10" spans="1:14" s="1480" customFormat="1" x14ac:dyDescent="0.2">
      <c r="A10" s="1730" t="s">
        <v>128</v>
      </c>
      <c r="B10" s="2204" t="str">
        <f>'Orç - Canteiro e Adm'!B10:J10</f>
        <v>Campus Darcy Ribeiro</v>
      </c>
      <c r="C10" s="2204"/>
      <c r="D10" s="2204"/>
      <c r="E10" s="2204"/>
      <c r="F10" s="2204"/>
      <c r="G10" s="2204"/>
      <c r="H10" s="2204"/>
      <c r="I10" s="2204"/>
      <c r="J10" s="2204"/>
      <c r="K10" s="1685"/>
      <c r="L10" s="1685"/>
      <c r="M10" s="2"/>
      <c r="N10" s="2"/>
    </row>
    <row r="11" spans="1:14" s="1480" customFormat="1" x14ac:dyDescent="0.2">
      <c r="A11" s="1730" t="s">
        <v>4444</v>
      </c>
      <c r="B11" s="2204" t="str">
        <f>'Orç - Canteiro e Adm'!B11:J11</f>
        <v>Maio de 2020</v>
      </c>
      <c r="C11" s="2204"/>
      <c r="D11" s="2204"/>
      <c r="E11" s="2204"/>
      <c r="F11" s="2204"/>
      <c r="G11" s="2204"/>
      <c r="H11" s="2204"/>
      <c r="I11" s="2204"/>
      <c r="J11" s="2204"/>
      <c r="K11" s="1685"/>
      <c r="L11" s="1685"/>
      <c r="M11" s="2"/>
      <c r="N11" s="2"/>
    </row>
    <row r="12" spans="1:14" x14ac:dyDescent="0.2">
      <c r="A12" s="1600"/>
      <c r="B12" s="2201"/>
      <c r="C12" s="2201"/>
      <c r="D12" s="2201"/>
      <c r="E12" s="2201"/>
      <c r="F12" s="2201"/>
      <c r="G12" s="2201"/>
      <c r="H12" s="2201"/>
      <c r="I12" s="2201"/>
      <c r="J12" s="2201"/>
      <c r="K12" s="1600"/>
    </row>
    <row r="13" spans="1:14" ht="12.75" customHeight="1" x14ac:dyDescent="0.2">
      <c r="A13" s="1545" t="str">
        <f>'Orç - Canteiro e Adm'!A43</f>
        <v>02.01.404</v>
      </c>
      <c r="B13" s="2203" t="str">
        <f>'Orç - Canteiro e Adm'!D43</f>
        <v>Placa de obra em chapa de aço galvanizado (3 placas de 3,00x1,85m + 1 placa 2,00x1,00m - IBRAM)</v>
      </c>
      <c r="C13" s="2203"/>
      <c r="D13" s="2203"/>
      <c r="E13" s="2203"/>
      <c r="F13" s="2203"/>
      <c r="G13" s="2203"/>
      <c r="H13" s="2203"/>
      <c r="I13" s="2203"/>
      <c r="J13" s="2203"/>
      <c r="K13" s="1546" t="str">
        <f>'Orç - Canteiro e Adm'!F43</f>
        <v>m2</v>
      </c>
      <c r="L13" s="1834" t="s">
        <v>15154</v>
      </c>
    </row>
    <row r="14" spans="1:14" x14ac:dyDescent="0.2">
      <c r="A14" s="2202"/>
      <c r="B14" s="2202"/>
      <c r="C14" s="1537"/>
      <c r="D14" s="1537"/>
      <c r="E14" s="1537"/>
      <c r="F14" s="1537"/>
      <c r="G14" s="2202" t="s">
        <v>6699</v>
      </c>
      <c r="H14" s="2202"/>
      <c r="I14" s="2202" t="s">
        <v>6700</v>
      </c>
      <c r="J14" s="2202"/>
      <c r="K14" s="2202"/>
    </row>
    <row r="15" spans="1:14" x14ac:dyDescent="0.2">
      <c r="A15" s="2202" t="s">
        <v>6715</v>
      </c>
      <c r="B15" s="2202"/>
      <c r="C15" s="2202" t="s">
        <v>6701</v>
      </c>
      <c r="D15" s="2202" t="s">
        <v>6702</v>
      </c>
      <c r="E15" s="2202" t="s">
        <v>6703</v>
      </c>
      <c r="F15" s="2202" t="s">
        <v>6704</v>
      </c>
      <c r="G15" s="1600" t="s">
        <v>6705</v>
      </c>
      <c r="H15" s="1600" t="s">
        <v>6706</v>
      </c>
      <c r="I15" s="1600" t="s">
        <v>6707</v>
      </c>
      <c r="J15" s="1600" t="s">
        <v>6705</v>
      </c>
      <c r="K15" s="1600" t="s">
        <v>6706</v>
      </c>
    </row>
    <row r="16" spans="1:14" x14ac:dyDescent="0.2">
      <c r="A16" s="2202"/>
      <c r="B16" s="2202"/>
      <c r="C16" s="2202"/>
      <c r="D16" s="2202"/>
      <c r="E16" s="2202"/>
      <c r="F16" s="2202"/>
      <c r="G16" s="1600" t="s">
        <v>6708</v>
      </c>
      <c r="H16" s="1600" t="s">
        <v>6709</v>
      </c>
      <c r="I16" s="1600" t="s">
        <v>6710</v>
      </c>
      <c r="J16" s="1600" t="s">
        <v>6708</v>
      </c>
      <c r="K16" s="1600" t="s">
        <v>6709</v>
      </c>
    </row>
    <row r="17" spans="1:12" x14ac:dyDescent="0.2">
      <c r="A17" s="1600"/>
      <c r="B17" s="1538" t="s">
        <v>6712</v>
      </c>
      <c r="C17" s="1541">
        <v>1</v>
      </c>
      <c r="D17" s="1541">
        <v>3</v>
      </c>
      <c r="E17" s="1544"/>
      <c r="F17" s="1541">
        <v>1.85</v>
      </c>
      <c r="G17" s="1540">
        <f>D17*F17</f>
        <v>5.5500000000000007</v>
      </c>
      <c r="H17" s="1539"/>
      <c r="I17" s="1539"/>
      <c r="J17" s="1539">
        <f>C17*G17</f>
        <v>5.5500000000000007</v>
      </c>
      <c r="K17" s="1539">
        <f>C17*H17</f>
        <v>0</v>
      </c>
    </row>
    <row r="18" spans="1:12" x14ac:dyDescent="0.2">
      <c r="A18" s="1600"/>
      <c r="B18" s="1538" t="s">
        <v>6713</v>
      </c>
      <c r="C18" s="1541">
        <v>1</v>
      </c>
      <c r="D18" s="1541">
        <v>3</v>
      </c>
      <c r="E18" s="1544"/>
      <c r="F18" s="1541">
        <v>1.85</v>
      </c>
      <c r="G18" s="1540">
        <f>D18*F18</f>
        <v>5.5500000000000007</v>
      </c>
      <c r="H18" s="1539"/>
      <c r="I18" s="1539"/>
      <c r="J18" s="1539">
        <f>C18*G18</f>
        <v>5.5500000000000007</v>
      </c>
      <c r="K18" s="1539">
        <f>C18*H18</f>
        <v>0</v>
      </c>
    </row>
    <row r="19" spans="1:12" x14ac:dyDescent="0.2">
      <c r="A19" s="1600"/>
      <c r="B19" s="1538" t="s">
        <v>6714</v>
      </c>
      <c r="C19" s="1541">
        <v>1</v>
      </c>
      <c r="D19" s="1541">
        <v>3</v>
      </c>
      <c r="E19" s="1544"/>
      <c r="F19" s="1541">
        <v>1.85</v>
      </c>
      <c r="G19" s="1540">
        <f>D19*F19</f>
        <v>5.5500000000000007</v>
      </c>
      <c r="H19" s="1539"/>
      <c r="I19" s="1539"/>
      <c r="J19" s="1539">
        <f>C19*G19</f>
        <v>5.5500000000000007</v>
      </c>
      <c r="K19" s="1539">
        <f>C19*H19</f>
        <v>0</v>
      </c>
    </row>
    <row r="20" spans="1:12" x14ac:dyDescent="0.2">
      <c r="A20" s="1780"/>
      <c r="B20" s="1538" t="s">
        <v>8272</v>
      </c>
      <c r="C20" s="1541">
        <v>1</v>
      </c>
      <c r="D20" s="1541">
        <v>2</v>
      </c>
      <c r="E20" s="1544"/>
      <c r="F20" s="1541">
        <v>1</v>
      </c>
      <c r="G20" s="1540">
        <f>D20*F20</f>
        <v>2</v>
      </c>
      <c r="H20" s="1539"/>
      <c r="I20" s="1539"/>
      <c r="J20" s="1539">
        <f>C20*G20</f>
        <v>2</v>
      </c>
      <c r="K20" s="1539">
        <f>C20*H20</f>
        <v>0</v>
      </c>
    </row>
    <row r="21" spans="1:12" x14ac:dyDescent="0.2">
      <c r="A21" s="1547"/>
      <c r="B21" s="1548"/>
      <c r="C21" s="1548"/>
      <c r="D21" s="1548"/>
      <c r="E21" s="1548"/>
      <c r="F21" s="2200" t="s">
        <v>6711</v>
      </c>
      <c r="G21" s="2200"/>
      <c r="H21" s="2200"/>
      <c r="I21" s="1549">
        <f>ROUND(SUM(I17:I19),2)</f>
        <v>0</v>
      </c>
      <c r="J21" s="1549">
        <f>ROUND(SUM(J17:J20),2)</f>
        <v>18.649999999999999</v>
      </c>
      <c r="K21" s="1549">
        <f>ROUND(SUM(K17:K19),2)</f>
        <v>0</v>
      </c>
    </row>
    <row r="22" spans="1:12" x14ac:dyDescent="0.2">
      <c r="A22" s="1600"/>
      <c r="B22" s="2201"/>
      <c r="C22" s="2201"/>
      <c r="D22" s="2201"/>
      <c r="E22" s="2201"/>
      <c r="F22" s="2201"/>
      <c r="G22" s="2201"/>
      <c r="H22" s="2201"/>
      <c r="I22" s="2201"/>
      <c r="J22" s="2201"/>
      <c r="K22" s="1600"/>
    </row>
    <row r="23" spans="1:12" ht="12.75" customHeight="1" x14ac:dyDescent="0.2">
      <c r="A23" s="1545" t="str">
        <f>'Orç - Canteiro e Adm'!A49</f>
        <v>02.04.101</v>
      </c>
      <c r="B23" s="2203" t="str">
        <f>'Orç - Canteiro e Adm'!D49</f>
        <v>Limpeza mecanizada de camada vegetal, vegetação e pequenas árvores (diâmetro de tronco menor que 20cm) com trator de esteiras</v>
      </c>
      <c r="C23" s="2203"/>
      <c r="D23" s="2203"/>
      <c r="E23" s="2203"/>
      <c r="F23" s="2203"/>
      <c r="G23" s="2203"/>
      <c r="H23" s="2203"/>
      <c r="I23" s="2203"/>
      <c r="J23" s="2203"/>
      <c r="K23" s="1546" t="str">
        <f>'Orç - Canteiro e Adm'!F49</f>
        <v>m2</v>
      </c>
      <c r="L23" s="1834" t="s">
        <v>15154</v>
      </c>
    </row>
    <row r="24" spans="1:12" x14ac:dyDescent="0.2">
      <c r="A24" s="2202"/>
      <c r="B24" s="2202"/>
      <c r="C24" s="1537"/>
      <c r="D24" s="1537"/>
      <c r="E24" s="1537"/>
      <c r="F24" s="1537"/>
      <c r="G24" s="2202" t="s">
        <v>6699</v>
      </c>
      <c r="H24" s="2202"/>
      <c r="I24" s="2202" t="s">
        <v>6700</v>
      </c>
      <c r="J24" s="2202"/>
      <c r="K24" s="2202"/>
    </row>
    <row r="25" spans="1:12" x14ac:dyDescent="0.2">
      <c r="A25" s="2202" t="s">
        <v>6715</v>
      </c>
      <c r="B25" s="2202"/>
      <c r="C25" s="2202" t="s">
        <v>6701</v>
      </c>
      <c r="D25" s="2202" t="s">
        <v>6702</v>
      </c>
      <c r="E25" s="2202" t="s">
        <v>6703</v>
      </c>
      <c r="F25" s="2202" t="s">
        <v>6704</v>
      </c>
      <c r="G25" s="1600" t="s">
        <v>6705</v>
      </c>
      <c r="H25" s="1600" t="s">
        <v>6706</v>
      </c>
      <c r="I25" s="1600" t="s">
        <v>6707</v>
      </c>
      <c r="J25" s="1600" t="s">
        <v>6705</v>
      </c>
      <c r="K25" s="1600" t="s">
        <v>6706</v>
      </c>
    </row>
    <row r="26" spans="1:12" x14ac:dyDescent="0.2">
      <c r="A26" s="2202"/>
      <c r="B26" s="2202"/>
      <c r="C26" s="2202"/>
      <c r="D26" s="2202"/>
      <c r="E26" s="2202"/>
      <c r="F26" s="2202"/>
      <c r="G26" s="1600" t="s">
        <v>6708</v>
      </c>
      <c r="H26" s="1600" t="s">
        <v>6709</v>
      </c>
      <c r="I26" s="1600" t="s">
        <v>6710</v>
      </c>
      <c r="J26" s="1600" t="s">
        <v>6708</v>
      </c>
      <c r="K26" s="1600" t="s">
        <v>6709</v>
      </c>
    </row>
    <row r="27" spans="1:12" x14ac:dyDescent="0.2">
      <c r="A27" s="1691"/>
      <c r="B27" s="1538" t="s">
        <v>7787</v>
      </c>
      <c r="C27" s="1541">
        <v>1</v>
      </c>
      <c r="D27" s="1541"/>
      <c r="E27" s="1544"/>
      <c r="F27" s="1541"/>
      <c r="G27" s="1540">
        <v>1232.1600000000001</v>
      </c>
      <c r="H27" s="1539"/>
      <c r="I27" s="1539"/>
      <c r="J27" s="1539">
        <f t="shared" ref="J27:J29" si="0">C27*G27</f>
        <v>1232.1600000000001</v>
      </c>
      <c r="K27" s="1539">
        <f t="shared" ref="K27:K29" si="1">C27*H27</f>
        <v>0</v>
      </c>
    </row>
    <row r="28" spans="1:12" x14ac:dyDescent="0.2">
      <c r="A28" s="1691"/>
      <c r="B28" s="1538" t="s">
        <v>14998</v>
      </c>
      <c r="C28" s="1541">
        <v>1</v>
      </c>
      <c r="D28" s="1541"/>
      <c r="E28" s="1544"/>
      <c r="F28" s="1541"/>
      <c r="G28" s="1540">
        <v>494.55</v>
      </c>
      <c r="H28" s="1539"/>
      <c r="I28" s="1539"/>
      <c r="J28" s="1539">
        <f t="shared" si="0"/>
        <v>494.55</v>
      </c>
      <c r="K28" s="1539">
        <f t="shared" si="1"/>
        <v>0</v>
      </c>
    </row>
    <row r="29" spans="1:12" x14ac:dyDescent="0.2">
      <c r="A29" s="1691"/>
      <c r="B29" s="1538" t="s">
        <v>14999</v>
      </c>
      <c r="C29" s="1541">
        <v>1</v>
      </c>
      <c r="D29" s="1541"/>
      <c r="E29" s="1544"/>
      <c r="F29" s="1541"/>
      <c r="G29" s="1540">
        <v>1338.75</v>
      </c>
      <c r="H29" s="1539"/>
      <c r="I29" s="1539"/>
      <c r="J29" s="1539">
        <f t="shared" si="0"/>
        <v>1338.75</v>
      </c>
      <c r="K29" s="1539">
        <f t="shared" si="1"/>
        <v>0</v>
      </c>
    </row>
    <row r="30" spans="1:12" x14ac:dyDescent="0.2">
      <c r="A30" s="1547"/>
      <c r="B30" s="1548"/>
      <c r="C30" s="1548"/>
      <c r="D30" s="1548"/>
      <c r="E30" s="1548"/>
      <c r="F30" s="2200" t="s">
        <v>6711</v>
      </c>
      <c r="G30" s="2200"/>
      <c r="H30" s="2200"/>
      <c r="I30" s="1549"/>
      <c r="J30" s="1878">
        <f>ROUND(SUM(J26:J29),2)</f>
        <v>3065.46</v>
      </c>
      <c r="K30" s="1549"/>
    </row>
    <row r="31" spans="1:12" x14ac:dyDescent="0.2">
      <c r="A31" s="1600"/>
      <c r="B31" s="2201"/>
      <c r="C31" s="2201"/>
      <c r="D31" s="2201"/>
      <c r="E31" s="2201"/>
      <c r="F31" s="2201"/>
      <c r="G31" s="2201"/>
      <c r="H31" s="2201"/>
      <c r="I31" s="2201"/>
      <c r="J31" s="2201"/>
      <c r="K31" s="1600"/>
    </row>
    <row r="32" spans="1:12" s="1833" customFormat="1" ht="26.25" customHeight="1" x14ac:dyDescent="0.2">
      <c r="A32" s="1545" t="str">
        <f>'Orç - Canteiro e Adm'!A55</f>
        <v>02.04.402.01</v>
      </c>
      <c r="B32" s="2203" t="str">
        <f>'Orç - Canteiro e Adm'!D55</f>
        <v>Carga e descarga mecânicas de solo utilizando caminhão basculante 6m3/16T, e pá carregadeira sobre pneus 128 HP, capacidade de caçamba 1,7 a 2,8m3</v>
      </c>
      <c r="C32" s="2203"/>
      <c r="D32" s="2203"/>
      <c r="E32" s="2203"/>
      <c r="F32" s="2203"/>
      <c r="G32" s="2203"/>
      <c r="H32" s="2203"/>
      <c r="I32" s="2203"/>
      <c r="J32" s="2203"/>
      <c r="K32" s="1546" t="str">
        <f>'Orç - Canteiro e Adm'!F55</f>
        <v>m3</v>
      </c>
      <c r="L32" s="1834" t="s">
        <v>15154</v>
      </c>
    </row>
    <row r="33" spans="1:12" x14ac:dyDescent="0.2">
      <c r="A33" s="2202"/>
      <c r="B33" s="2202"/>
      <c r="C33" s="1537"/>
      <c r="D33" s="1537"/>
      <c r="E33" s="1537"/>
      <c r="F33" s="1537"/>
      <c r="G33" s="2202" t="s">
        <v>6699</v>
      </c>
      <c r="H33" s="2202"/>
      <c r="I33" s="2202" t="s">
        <v>6700</v>
      </c>
      <c r="J33" s="2202"/>
      <c r="K33" s="2202"/>
    </row>
    <row r="34" spans="1:12" x14ac:dyDescent="0.2">
      <c r="A34" s="2202" t="s">
        <v>6715</v>
      </c>
      <c r="B34" s="2202"/>
      <c r="C34" s="2202" t="s">
        <v>6701</v>
      </c>
      <c r="D34" s="2202" t="s">
        <v>6702</v>
      </c>
      <c r="E34" s="2202" t="s">
        <v>6703</v>
      </c>
      <c r="F34" s="2202" t="s">
        <v>6704</v>
      </c>
      <c r="G34" s="1691" t="s">
        <v>6705</v>
      </c>
      <c r="H34" s="1691" t="s">
        <v>6706</v>
      </c>
      <c r="I34" s="1691" t="s">
        <v>6707</v>
      </c>
      <c r="J34" s="1691" t="s">
        <v>6705</v>
      </c>
      <c r="K34" s="1691" t="s">
        <v>6706</v>
      </c>
    </row>
    <row r="35" spans="1:12" x14ac:dyDescent="0.2">
      <c r="A35" s="2202"/>
      <c r="B35" s="2202"/>
      <c r="C35" s="2202"/>
      <c r="D35" s="2202"/>
      <c r="E35" s="2202"/>
      <c r="F35" s="2202"/>
      <c r="G35" s="1691" t="s">
        <v>6708</v>
      </c>
      <c r="H35" s="1691" t="s">
        <v>6709</v>
      </c>
      <c r="I35" s="1691" t="s">
        <v>6710</v>
      </c>
      <c r="J35" s="1691" t="s">
        <v>6708</v>
      </c>
      <c r="K35" s="1691" t="s">
        <v>6709</v>
      </c>
    </row>
    <row r="36" spans="1:12" x14ac:dyDescent="0.2">
      <c r="A36" s="1691"/>
      <c r="B36" s="1538" t="s">
        <v>7790</v>
      </c>
      <c r="C36" s="1541">
        <v>0.1</v>
      </c>
      <c r="D36" s="1541"/>
      <c r="E36" s="1544"/>
      <c r="F36" s="1541"/>
      <c r="G36" s="1540">
        <f>J30</f>
        <v>3065.46</v>
      </c>
      <c r="H36" s="1539"/>
      <c r="I36" s="1539"/>
      <c r="J36" s="1539"/>
      <c r="K36" s="1539">
        <f>G36*C36</f>
        <v>306.54599999999999</v>
      </c>
    </row>
    <row r="37" spans="1:12" ht="22.5" x14ac:dyDescent="0.2">
      <c r="A37" s="1849"/>
      <c r="B37" s="1538" t="s">
        <v>8582</v>
      </c>
      <c r="C37" s="1541">
        <v>1.25</v>
      </c>
      <c r="D37" s="1541" t="s">
        <v>8583</v>
      </c>
      <c r="E37" s="1544"/>
      <c r="F37" s="1541"/>
      <c r="G37" s="1540"/>
      <c r="H37" s="1616">
        <f>'Orç - Canteiro e Adm'!E53-'Orç - Canteiro e Adm'!E54</f>
        <v>809.82</v>
      </c>
      <c r="I37" s="1539"/>
      <c r="J37" s="1539"/>
      <c r="K37" s="1539">
        <f>H37*C37</f>
        <v>1012.2750000000001</v>
      </c>
    </row>
    <row r="38" spans="1:12" x14ac:dyDescent="0.2">
      <c r="A38" s="1691"/>
      <c r="B38" s="1538" t="s">
        <v>7791</v>
      </c>
      <c r="C38" s="1952">
        <f>-1*G29</f>
        <v>-1338.75</v>
      </c>
      <c r="D38" s="1541"/>
      <c r="E38" s="1544"/>
      <c r="F38" s="1541"/>
      <c r="G38" s="1540"/>
      <c r="H38" s="1541">
        <v>0.03</v>
      </c>
      <c r="I38" s="1539"/>
      <c r="J38" s="1539"/>
      <c r="K38" s="1539">
        <f>C38*H38</f>
        <v>-40.162500000000001</v>
      </c>
    </row>
    <row r="39" spans="1:12" x14ac:dyDescent="0.2">
      <c r="A39" s="1547"/>
      <c r="B39" s="1538"/>
      <c r="C39" s="1548"/>
      <c r="D39" s="1548"/>
      <c r="E39" s="1548"/>
      <c r="F39" s="2200" t="s">
        <v>6711</v>
      </c>
      <c r="G39" s="2200"/>
      <c r="H39" s="2200"/>
      <c r="I39" s="1549"/>
      <c r="J39" s="1549"/>
      <c r="K39" s="1549">
        <f>ROUND(SUM(K36:K38),2)</f>
        <v>1278.6600000000001</v>
      </c>
    </row>
    <row r="40" spans="1:12" x14ac:dyDescent="0.2">
      <c r="A40" s="1547"/>
      <c r="B40" s="2201" t="s">
        <v>8584</v>
      </c>
      <c r="C40" s="2201"/>
      <c r="D40" s="2201"/>
      <c r="E40" s="2201"/>
      <c r="F40" s="2201"/>
      <c r="G40" s="2201"/>
      <c r="H40" s="2201"/>
      <c r="I40" s="2201"/>
      <c r="J40" s="2201"/>
      <c r="K40" s="2201"/>
    </row>
    <row r="41" spans="1:12" x14ac:dyDescent="0.2">
      <c r="A41" s="1691"/>
      <c r="B41" s="2201"/>
      <c r="C41" s="2201"/>
      <c r="D41" s="2201"/>
      <c r="E41" s="2201"/>
      <c r="F41" s="2201"/>
      <c r="G41" s="2201"/>
      <c r="H41" s="2201"/>
      <c r="I41" s="2201"/>
      <c r="J41" s="2201"/>
      <c r="K41" s="1691"/>
    </row>
    <row r="42" spans="1:12" x14ac:dyDescent="0.2">
      <c r="A42" s="1545" t="str">
        <f>'Orç - Canteiro e Adm'!A64</f>
        <v>09.02.001</v>
      </c>
      <c r="B42" s="2203" t="str">
        <f>'Orç - Canteiro e Adm'!D64</f>
        <v>Limpeza final da obra</v>
      </c>
      <c r="C42" s="2203"/>
      <c r="D42" s="2203"/>
      <c r="E42" s="2203"/>
      <c r="F42" s="2203"/>
      <c r="G42" s="2203"/>
      <c r="H42" s="2203"/>
      <c r="I42" s="2203"/>
      <c r="J42" s="2203"/>
      <c r="K42" s="1546" t="str">
        <f>'Orç - Canteiro e Adm'!F64</f>
        <v>m2</v>
      </c>
      <c r="L42" s="1834" t="s">
        <v>15154</v>
      </c>
    </row>
    <row r="43" spans="1:12" x14ac:dyDescent="0.2">
      <c r="A43" s="2202"/>
      <c r="B43" s="2202"/>
      <c r="C43" s="1537"/>
      <c r="D43" s="1537"/>
      <c r="E43" s="1537"/>
      <c r="F43" s="1537"/>
      <c r="G43" s="2202" t="s">
        <v>6699</v>
      </c>
      <c r="H43" s="2202"/>
      <c r="I43" s="2202" t="s">
        <v>6700</v>
      </c>
      <c r="J43" s="2202"/>
      <c r="K43" s="2202"/>
    </row>
    <row r="44" spans="1:12" x14ac:dyDescent="0.2">
      <c r="A44" s="2202" t="s">
        <v>6715</v>
      </c>
      <c r="B44" s="2202"/>
      <c r="C44" s="2202" t="s">
        <v>6701</v>
      </c>
      <c r="D44" s="2202" t="s">
        <v>6702</v>
      </c>
      <c r="E44" s="2202" t="s">
        <v>6703</v>
      </c>
      <c r="F44" s="2202" t="s">
        <v>6704</v>
      </c>
      <c r="G44" s="1823" t="s">
        <v>6705</v>
      </c>
      <c r="H44" s="1823" t="s">
        <v>6706</v>
      </c>
      <c r="I44" s="1823" t="s">
        <v>6707</v>
      </c>
      <c r="J44" s="1823" t="s">
        <v>6705</v>
      </c>
      <c r="K44" s="1823" t="s">
        <v>6706</v>
      </c>
    </row>
    <row r="45" spans="1:12" x14ac:dyDescent="0.2">
      <c r="A45" s="2202"/>
      <c r="B45" s="2202"/>
      <c r="C45" s="2202"/>
      <c r="D45" s="2202"/>
      <c r="E45" s="2202"/>
      <c r="F45" s="2202"/>
      <c r="G45" s="1823" t="s">
        <v>6708</v>
      </c>
      <c r="H45" s="1823" t="s">
        <v>6709</v>
      </c>
      <c r="I45" s="1823" t="s">
        <v>6710</v>
      </c>
      <c r="J45" s="1823" t="s">
        <v>6708</v>
      </c>
      <c r="K45" s="1823" t="s">
        <v>6709</v>
      </c>
    </row>
    <row r="46" spans="1:12" ht="22.5" x14ac:dyDescent="0.2">
      <c r="A46" s="1823"/>
      <c r="B46" s="1538" t="s">
        <v>8532</v>
      </c>
      <c r="C46" s="1541">
        <v>2</v>
      </c>
      <c r="D46" s="1541"/>
      <c r="E46" s="1544"/>
      <c r="F46" s="1541"/>
      <c r="G46" s="1540">
        <v>1232.1600000000001</v>
      </c>
      <c r="H46" s="1539"/>
      <c r="I46" s="1539"/>
      <c r="J46" s="1539">
        <f>C46*G46</f>
        <v>2464.3200000000002</v>
      </c>
      <c r="K46" s="1539">
        <f>C46*H46</f>
        <v>0</v>
      </c>
    </row>
    <row r="47" spans="1:12" x14ac:dyDescent="0.2">
      <c r="A47" s="1547"/>
      <c r="B47" s="1548"/>
      <c r="C47" s="1548"/>
      <c r="D47" s="1548"/>
      <c r="E47" s="1548"/>
      <c r="F47" s="2200" t="s">
        <v>6711</v>
      </c>
      <c r="G47" s="2200"/>
      <c r="H47" s="2200"/>
      <c r="I47" s="1549">
        <f>ROUND(SUM(I46:I46),2)</f>
        <v>0</v>
      </c>
      <c r="J47" s="1549">
        <f>ROUND(SUM(J46:J46),2)</f>
        <v>2464.3200000000002</v>
      </c>
      <c r="K47" s="1549">
        <f>ROUND(SUM(K46:K46),2)</f>
        <v>0</v>
      </c>
    </row>
    <row r="48" spans="1:12" x14ac:dyDescent="0.2">
      <c r="A48" s="1823"/>
      <c r="B48" s="2201"/>
      <c r="C48" s="2201"/>
      <c r="D48" s="2201"/>
      <c r="E48" s="2201"/>
      <c r="F48" s="2201"/>
      <c r="G48" s="2201"/>
      <c r="H48" s="2201"/>
      <c r="I48" s="2201"/>
      <c r="J48" s="2201"/>
      <c r="K48" s="1823"/>
    </row>
    <row r="49" spans="1:11" x14ac:dyDescent="0.2">
      <c r="A49" s="1545" t="str">
        <f>'Orç - Canteiro e Adm'!A98</f>
        <v>10.01.205</v>
      </c>
      <c r="B49" s="2203" t="str">
        <f>'Orç - Canteiro e Adm'!D98</f>
        <v>Vigia noturno com encargos complementares</v>
      </c>
      <c r="C49" s="2203"/>
      <c r="D49" s="2203"/>
      <c r="E49" s="2203"/>
      <c r="F49" s="2203"/>
      <c r="G49" s="2203"/>
      <c r="H49" s="2203"/>
      <c r="I49" s="2203"/>
      <c r="J49" s="2203"/>
      <c r="K49" s="1546" t="str">
        <f>'Orç - Canteiro e Adm'!F98</f>
        <v>h</v>
      </c>
    </row>
    <row r="50" spans="1:11" x14ac:dyDescent="0.2">
      <c r="A50" s="2202"/>
      <c r="B50" s="2202"/>
      <c r="C50" s="1537"/>
      <c r="D50" s="1537"/>
      <c r="E50" s="1537"/>
      <c r="F50" s="1537"/>
      <c r="G50" s="2202"/>
      <c r="H50" s="2202"/>
      <c r="I50" s="2202"/>
      <c r="J50" s="2202"/>
      <c r="K50" s="2202"/>
    </row>
    <row r="51" spans="1:11" x14ac:dyDescent="0.2">
      <c r="A51" s="2202" t="s">
        <v>6715</v>
      </c>
      <c r="B51" s="2202"/>
      <c r="C51" s="2202" t="s">
        <v>7799</v>
      </c>
      <c r="D51" s="2202" t="s">
        <v>7800</v>
      </c>
      <c r="E51" s="2202" t="s">
        <v>7801</v>
      </c>
      <c r="F51" s="2202"/>
      <c r="G51" s="1694"/>
      <c r="H51" s="1694"/>
      <c r="I51" s="1547" t="s">
        <v>7802</v>
      </c>
      <c r="J51" s="1694"/>
      <c r="K51" s="1694"/>
    </row>
    <row r="52" spans="1:11" x14ac:dyDescent="0.2">
      <c r="A52" s="2202"/>
      <c r="B52" s="2202"/>
      <c r="C52" s="2202"/>
      <c r="D52" s="2202"/>
      <c r="E52" s="2202"/>
      <c r="F52" s="2202"/>
      <c r="G52" s="1694"/>
      <c r="H52" s="1694"/>
      <c r="I52" s="1547" t="s">
        <v>7803</v>
      </c>
      <c r="J52" s="1694"/>
      <c r="K52" s="1694"/>
    </row>
    <row r="53" spans="1:11" x14ac:dyDescent="0.2">
      <c r="A53" s="1694"/>
      <c r="B53" s="1538" t="s">
        <v>7797</v>
      </c>
      <c r="C53" s="1541">
        <v>12</v>
      </c>
      <c r="D53" s="1541">
        <v>21</v>
      </c>
      <c r="E53" s="1544">
        <v>14</v>
      </c>
      <c r="F53" s="1550"/>
      <c r="G53" s="1540"/>
      <c r="H53" s="1539"/>
      <c r="I53" s="1539">
        <f>E53*D53*C53</f>
        <v>3528</v>
      </c>
      <c r="J53" s="1539"/>
      <c r="K53" s="1539"/>
    </row>
    <row r="54" spans="1:11" x14ac:dyDescent="0.2">
      <c r="A54" s="1694"/>
      <c r="B54" s="1538" t="s">
        <v>7798</v>
      </c>
      <c r="C54" s="1541">
        <v>24</v>
      </c>
      <c r="D54" s="1541">
        <v>9</v>
      </c>
      <c r="E54" s="1544">
        <v>14</v>
      </c>
      <c r="F54" s="1550"/>
      <c r="G54" s="1540"/>
      <c r="H54" s="1539"/>
      <c r="I54" s="1539">
        <f>E54*D54*C54</f>
        <v>3024</v>
      </c>
      <c r="J54" s="1539"/>
      <c r="K54" s="1539"/>
    </row>
    <row r="55" spans="1:11" x14ac:dyDescent="0.2">
      <c r="A55" s="1547"/>
      <c r="B55" s="1548"/>
      <c r="C55" s="1548"/>
      <c r="D55" s="1548"/>
      <c r="E55" s="1548"/>
      <c r="F55" s="2200" t="s">
        <v>6711</v>
      </c>
      <c r="G55" s="2200"/>
      <c r="H55" s="2200"/>
      <c r="I55" s="1549">
        <f>ROUND(SUM(I53:I54),2)</f>
        <v>6552</v>
      </c>
      <c r="J55" s="1549"/>
      <c r="K55" s="1549"/>
    </row>
    <row r="56" spans="1:11" x14ac:dyDescent="0.2">
      <c r="A56" s="1694"/>
      <c r="B56" s="2201"/>
      <c r="C56" s="2201"/>
      <c r="D56" s="2201"/>
      <c r="E56" s="2201"/>
      <c r="F56" s="2201"/>
      <c r="G56" s="2201"/>
      <c r="H56" s="2201"/>
      <c r="I56" s="2201"/>
      <c r="J56" s="2201"/>
      <c r="K56" s="1694"/>
    </row>
  </sheetData>
  <mergeCells count="64">
    <mergeCell ref="B13:J13"/>
    <mergeCell ref="F47:H47"/>
    <mergeCell ref="B48:J48"/>
    <mergeCell ref="B42:J42"/>
    <mergeCell ref="A43:B43"/>
    <mergeCell ref="G43:H43"/>
    <mergeCell ref="I43:K43"/>
    <mergeCell ref="A44:B45"/>
    <mergeCell ref="C44:C45"/>
    <mergeCell ref="D44:D45"/>
    <mergeCell ref="E44:E45"/>
    <mergeCell ref="F44:F45"/>
    <mergeCell ref="F21:H21"/>
    <mergeCell ref="B22:J22"/>
    <mergeCell ref="A14:B14"/>
    <mergeCell ref="G14:H14"/>
    <mergeCell ref="B10:J10"/>
    <mergeCell ref="B11:J11"/>
    <mergeCell ref="A7:K7"/>
    <mergeCell ref="A2:K2"/>
    <mergeCell ref="A3:K3"/>
    <mergeCell ref="A4:K4"/>
    <mergeCell ref="B9:J9"/>
    <mergeCell ref="B12:J12"/>
    <mergeCell ref="F55:H55"/>
    <mergeCell ref="B56:J56"/>
    <mergeCell ref="B49:J49"/>
    <mergeCell ref="A50:B50"/>
    <mergeCell ref="G50:H50"/>
    <mergeCell ref="I50:K50"/>
    <mergeCell ref="A51:B52"/>
    <mergeCell ref="C51:C52"/>
    <mergeCell ref="D51:D52"/>
    <mergeCell ref="E51:E52"/>
    <mergeCell ref="F51:F52"/>
    <mergeCell ref="I14:K14"/>
    <mergeCell ref="A15:B16"/>
    <mergeCell ref="C15:C16"/>
    <mergeCell ref="D15:D16"/>
    <mergeCell ref="E15:E16"/>
    <mergeCell ref="F15:F16"/>
    <mergeCell ref="B23:J23"/>
    <mergeCell ref="A24:B24"/>
    <mergeCell ref="G24:H24"/>
    <mergeCell ref="I24:K24"/>
    <mergeCell ref="A25:B26"/>
    <mergeCell ref="C25:C26"/>
    <mergeCell ref="D25:D26"/>
    <mergeCell ref="E25:E26"/>
    <mergeCell ref="F25:F26"/>
    <mergeCell ref="F30:H30"/>
    <mergeCell ref="B31:J31"/>
    <mergeCell ref="B32:J32"/>
    <mergeCell ref="A33:B33"/>
    <mergeCell ref="G33:H33"/>
    <mergeCell ref="I33:K33"/>
    <mergeCell ref="F39:H39"/>
    <mergeCell ref="B41:J41"/>
    <mergeCell ref="B40:K40"/>
    <mergeCell ref="A34:B35"/>
    <mergeCell ref="C34:C35"/>
    <mergeCell ref="D34:D35"/>
    <mergeCell ref="E34:E35"/>
    <mergeCell ref="F34:F35"/>
  </mergeCells>
  <pageMargins left="0.39370078740157483" right="0.39370078740157483" top="0.39370078740157483" bottom="0.98425196850393704" header="0" footer="0.39370078740157483"/>
  <pageSetup paperSize="9" scale="84" firstPageNumber="228" fitToHeight="30" orientation="portrait" useFirstPageNumber="1" r:id="rId1"/>
  <headerFooter>
    <oddFooter>&amp;RPágina &amp;P de 249</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dimension ref="A1:N792"/>
  <sheetViews>
    <sheetView view="pageBreakPreview" zoomScale="120" zoomScaleNormal="100" zoomScaleSheetLayoutView="120" workbookViewId="0">
      <selection activeCell="G806" sqref="G806"/>
    </sheetView>
  </sheetViews>
  <sheetFormatPr defaultRowHeight="12.75" x14ac:dyDescent="0.2"/>
  <cols>
    <col min="1" max="1" width="10.28515625" style="616" customWidth="1"/>
    <col min="2" max="2" width="25.85546875" style="614" customWidth="1"/>
    <col min="3" max="3" width="6.7109375" style="614" bestFit="1" customWidth="1"/>
    <col min="4" max="4" width="8.7109375" style="614" bestFit="1" customWidth="1"/>
    <col min="5" max="5" width="7.28515625" style="614" bestFit="1" customWidth="1"/>
    <col min="6" max="6" width="8.7109375" style="614" bestFit="1" customWidth="1"/>
    <col min="7" max="7" width="9.5703125" style="614" bestFit="1" customWidth="1"/>
    <col min="8" max="9" width="7.28515625" style="614" bestFit="1" customWidth="1"/>
    <col min="10" max="10" width="8.28515625" style="614" bestFit="1" customWidth="1"/>
    <col min="11" max="11" width="8.28515625" style="614" customWidth="1"/>
    <col min="12" max="12" width="16" style="614" customWidth="1"/>
    <col min="13" max="13" width="10.42578125" style="614" bestFit="1" customWidth="1"/>
    <col min="14" max="14" width="13.140625" style="614" bestFit="1" customWidth="1"/>
    <col min="15" max="256" width="9.140625" style="614"/>
    <col min="257" max="257" width="9.140625" style="614" customWidth="1"/>
    <col min="258" max="258" width="25.85546875" style="614" customWidth="1"/>
    <col min="259" max="259" width="5.7109375" style="614" bestFit="1" customWidth="1"/>
    <col min="260" max="260" width="7.140625" style="614" bestFit="1" customWidth="1"/>
    <col min="261" max="261" width="7.28515625" style="614" bestFit="1" customWidth="1"/>
    <col min="262" max="262" width="6.140625" style="614" bestFit="1" customWidth="1"/>
    <col min="263" max="265" width="7.28515625" style="614" bestFit="1" customWidth="1"/>
    <col min="266" max="266" width="8" style="614" bestFit="1" customWidth="1"/>
    <col min="267" max="267" width="8.28515625" style="614" customWidth="1"/>
    <col min="268" max="269" width="10.42578125" style="614" bestFit="1" customWidth="1"/>
    <col min="270" max="270" width="13.140625" style="614" bestFit="1" customWidth="1"/>
    <col min="271" max="512" width="9.140625" style="614"/>
    <col min="513" max="513" width="9.140625" style="614" customWidth="1"/>
    <col min="514" max="514" width="25.85546875" style="614" customWidth="1"/>
    <col min="515" max="515" width="5.7109375" style="614" bestFit="1" customWidth="1"/>
    <col min="516" max="516" width="7.140625" style="614" bestFit="1" customWidth="1"/>
    <col min="517" max="517" width="7.28515625" style="614" bestFit="1" customWidth="1"/>
    <col min="518" max="518" width="6.140625" style="614" bestFit="1" customWidth="1"/>
    <col min="519" max="521" width="7.28515625" style="614" bestFit="1" customWidth="1"/>
    <col min="522" max="522" width="8" style="614" bestFit="1" customWidth="1"/>
    <col min="523" max="523" width="8.28515625" style="614" customWidth="1"/>
    <col min="524" max="525" width="10.42578125" style="614" bestFit="1" customWidth="1"/>
    <col min="526" max="526" width="13.140625" style="614" bestFit="1" customWidth="1"/>
    <col min="527" max="768" width="9.140625" style="614"/>
    <col min="769" max="769" width="9.140625" style="614" customWidth="1"/>
    <col min="770" max="770" width="25.85546875" style="614" customWidth="1"/>
    <col min="771" max="771" width="5.7109375" style="614" bestFit="1" customWidth="1"/>
    <col min="772" max="772" width="7.140625" style="614" bestFit="1" customWidth="1"/>
    <col min="773" max="773" width="7.28515625" style="614" bestFit="1" customWidth="1"/>
    <col min="774" max="774" width="6.140625" style="614" bestFit="1" customWidth="1"/>
    <col min="775" max="777" width="7.28515625" style="614" bestFit="1" customWidth="1"/>
    <col min="778" max="778" width="8" style="614" bestFit="1" customWidth="1"/>
    <col min="779" max="779" width="8.28515625" style="614" customWidth="1"/>
    <col min="780" max="781" width="10.42578125" style="614" bestFit="1" customWidth="1"/>
    <col min="782" max="782" width="13.140625" style="614" bestFit="1" customWidth="1"/>
    <col min="783" max="1024" width="9.140625" style="614"/>
    <col min="1025" max="1025" width="9.140625" style="614" customWidth="1"/>
    <col min="1026" max="1026" width="25.85546875" style="614" customWidth="1"/>
    <col min="1027" max="1027" width="5.7109375" style="614" bestFit="1" customWidth="1"/>
    <col min="1028" max="1028" width="7.140625" style="614" bestFit="1" customWidth="1"/>
    <col min="1029" max="1029" width="7.28515625" style="614" bestFit="1" customWidth="1"/>
    <col min="1030" max="1030" width="6.140625" style="614" bestFit="1" customWidth="1"/>
    <col min="1031" max="1033" width="7.28515625" style="614" bestFit="1" customWidth="1"/>
    <col min="1034" max="1034" width="8" style="614" bestFit="1" customWidth="1"/>
    <col min="1035" max="1035" width="8.28515625" style="614" customWidth="1"/>
    <col min="1036" max="1037" width="10.42578125" style="614" bestFit="1" customWidth="1"/>
    <col min="1038" max="1038" width="13.140625" style="614" bestFit="1" customWidth="1"/>
    <col min="1039" max="1280" width="9.140625" style="614"/>
    <col min="1281" max="1281" width="9.140625" style="614" customWidth="1"/>
    <col min="1282" max="1282" width="25.85546875" style="614" customWidth="1"/>
    <col min="1283" max="1283" width="5.7109375" style="614" bestFit="1" customWidth="1"/>
    <col min="1284" max="1284" width="7.140625" style="614" bestFit="1" customWidth="1"/>
    <col min="1285" max="1285" width="7.28515625" style="614" bestFit="1" customWidth="1"/>
    <col min="1286" max="1286" width="6.140625" style="614" bestFit="1" customWidth="1"/>
    <col min="1287" max="1289" width="7.28515625" style="614" bestFit="1" customWidth="1"/>
    <col min="1290" max="1290" width="8" style="614" bestFit="1" customWidth="1"/>
    <col min="1291" max="1291" width="8.28515625" style="614" customWidth="1"/>
    <col min="1292" max="1293" width="10.42578125" style="614" bestFit="1" customWidth="1"/>
    <col min="1294" max="1294" width="13.140625" style="614" bestFit="1" customWidth="1"/>
    <col min="1295" max="1536" width="9.140625" style="614"/>
    <col min="1537" max="1537" width="9.140625" style="614" customWidth="1"/>
    <col min="1538" max="1538" width="25.85546875" style="614" customWidth="1"/>
    <col min="1539" max="1539" width="5.7109375" style="614" bestFit="1" customWidth="1"/>
    <col min="1540" max="1540" width="7.140625" style="614" bestFit="1" customWidth="1"/>
    <col min="1541" max="1541" width="7.28515625" style="614" bestFit="1" customWidth="1"/>
    <col min="1542" max="1542" width="6.140625" style="614" bestFit="1" customWidth="1"/>
    <col min="1543" max="1545" width="7.28515625" style="614" bestFit="1" customWidth="1"/>
    <col min="1546" max="1546" width="8" style="614" bestFit="1" customWidth="1"/>
    <col min="1547" max="1547" width="8.28515625" style="614" customWidth="1"/>
    <col min="1548" max="1549" width="10.42578125" style="614" bestFit="1" customWidth="1"/>
    <col min="1550" max="1550" width="13.140625" style="614" bestFit="1" customWidth="1"/>
    <col min="1551" max="1792" width="9.140625" style="614"/>
    <col min="1793" max="1793" width="9.140625" style="614" customWidth="1"/>
    <col min="1794" max="1794" width="25.85546875" style="614" customWidth="1"/>
    <col min="1795" max="1795" width="5.7109375" style="614" bestFit="1" customWidth="1"/>
    <col min="1796" max="1796" width="7.140625" style="614" bestFit="1" customWidth="1"/>
    <col min="1797" max="1797" width="7.28515625" style="614" bestFit="1" customWidth="1"/>
    <col min="1798" max="1798" width="6.140625" style="614" bestFit="1" customWidth="1"/>
    <col min="1799" max="1801" width="7.28515625" style="614" bestFit="1" customWidth="1"/>
    <col min="1802" max="1802" width="8" style="614" bestFit="1" customWidth="1"/>
    <col min="1803" max="1803" width="8.28515625" style="614" customWidth="1"/>
    <col min="1804" max="1805" width="10.42578125" style="614" bestFit="1" customWidth="1"/>
    <col min="1806" max="1806" width="13.140625" style="614" bestFit="1" customWidth="1"/>
    <col min="1807" max="2048" width="9.140625" style="614"/>
    <col min="2049" max="2049" width="9.140625" style="614" customWidth="1"/>
    <col min="2050" max="2050" width="25.85546875" style="614" customWidth="1"/>
    <col min="2051" max="2051" width="5.7109375" style="614" bestFit="1" customWidth="1"/>
    <col min="2052" max="2052" width="7.140625" style="614" bestFit="1" customWidth="1"/>
    <col min="2053" max="2053" width="7.28515625" style="614" bestFit="1" customWidth="1"/>
    <col min="2054" max="2054" width="6.140625" style="614" bestFit="1" customWidth="1"/>
    <col min="2055" max="2057" width="7.28515625" style="614" bestFit="1" customWidth="1"/>
    <col min="2058" max="2058" width="8" style="614" bestFit="1" customWidth="1"/>
    <col min="2059" max="2059" width="8.28515625" style="614" customWidth="1"/>
    <col min="2060" max="2061" width="10.42578125" style="614" bestFit="1" customWidth="1"/>
    <col min="2062" max="2062" width="13.140625" style="614" bestFit="1" customWidth="1"/>
    <col min="2063" max="2304" width="9.140625" style="614"/>
    <col min="2305" max="2305" width="9.140625" style="614" customWidth="1"/>
    <col min="2306" max="2306" width="25.85546875" style="614" customWidth="1"/>
    <col min="2307" max="2307" width="5.7109375" style="614" bestFit="1" customWidth="1"/>
    <col min="2308" max="2308" width="7.140625" style="614" bestFit="1" customWidth="1"/>
    <col min="2309" max="2309" width="7.28515625" style="614" bestFit="1" customWidth="1"/>
    <col min="2310" max="2310" width="6.140625" style="614" bestFit="1" customWidth="1"/>
    <col min="2311" max="2313" width="7.28515625" style="614" bestFit="1" customWidth="1"/>
    <col min="2314" max="2314" width="8" style="614" bestFit="1" customWidth="1"/>
    <col min="2315" max="2315" width="8.28515625" style="614" customWidth="1"/>
    <col min="2316" max="2317" width="10.42578125" style="614" bestFit="1" customWidth="1"/>
    <col min="2318" max="2318" width="13.140625" style="614" bestFit="1" customWidth="1"/>
    <col min="2319" max="2560" width="9.140625" style="614"/>
    <col min="2561" max="2561" width="9.140625" style="614" customWidth="1"/>
    <col min="2562" max="2562" width="25.85546875" style="614" customWidth="1"/>
    <col min="2563" max="2563" width="5.7109375" style="614" bestFit="1" customWidth="1"/>
    <col min="2564" max="2564" width="7.140625" style="614" bestFit="1" customWidth="1"/>
    <col min="2565" max="2565" width="7.28515625" style="614" bestFit="1" customWidth="1"/>
    <col min="2566" max="2566" width="6.140625" style="614" bestFit="1" customWidth="1"/>
    <col min="2567" max="2569" width="7.28515625" style="614" bestFit="1" customWidth="1"/>
    <col min="2570" max="2570" width="8" style="614" bestFit="1" customWidth="1"/>
    <col min="2571" max="2571" width="8.28515625" style="614" customWidth="1"/>
    <col min="2572" max="2573" width="10.42578125" style="614" bestFit="1" customWidth="1"/>
    <col min="2574" max="2574" width="13.140625" style="614" bestFit="1" customWidth="1"/>
    <col min="2575" max="2816" width="9.140625" style="614"/>
    <col min="2817" max="2817" width="9.140625" style="614" customWidth="1"/>
    <col min="2818" max="2818" width="25.85546875" style="614" customWidth="1"/>
    <col min="2819" max="2819" width="5.7109375" style="614" bestFit="1" customWidth="1"/>
    <col min="2820" max="2820" width="7.140625" style="614" bestFit="1" customWidth="1"/>
    <col min="2821" max="2821" width="7.28515625" style="614" bestFit="1" customWidth="1"/>
    <col min="2822" max="2822" width="6.140625" style="614" bestFit="1" customWidth="1"/>
    <col min="2823" max="2825" width="7.28515625" style="614" bestFit="1" customWidth="1"/>
    <col min="2826" max="2826" width="8" style="614" bestFit="1" customWidth="1"/>
    <col min="2827" max="2827" width="8.28515625" style="614" customWidth="1"/>
    <col min="2828" max="2829" width="10.42578125" style="614" bestFit="1" customWidth="1"/>
    <col min="2830" max="2830" width="13.140625" style="614" bestFit="1" customWidth="1"/>
    <col min="2831" max="3072" width="9.140625" style="614"/>
    <col min="3073" max="3073" width="9.140625" style="614" customWidth="1"/>
    <col min="3074" max="3074" width="25.85546875" style="614" customWidth="1"/>
    <col min="3075" max="3075" width="5.7109375" style="614" bestFit="1" customWidth="1"/>
    <col min="3076" max="3076" width="7.140625" style="614" bestFit="1" customWidth="1"/>
    <col min="3077" max="3077" width="7.28515625" style="614" bestFit="1" customWidth="1"/>
    <col min="3078" max="3078" width="6.140625" style="614" bestFit="1" customWidth="1"/>
    <col min="3079" max="3081" width="7.28515625" style="614" bestFit="1" customWidth="1"/>
    <col min="3082" max="3082" width="8" style="614" bestFit="1" customWidth="1"/>
    <col min="3083" max="3083" width="8.28515625" style="614" customWidth="1"/>
    <col min="3084" max="3085" width="10.42578125" style="614" bestFit="1" customWidth="1"/>
    <col min="3086" max="3086" width="13.140625" style="614" bestFit="1" customWidth="1"/>
    <col min="3087" max="3328" width="9.140625" style="614"/>
    <col min="3329" max="3329" width="9.140625" style="614" customWidth="1"/>
    <col min="3330" max="3330" width="25.85546875" style="614" customWidth="1"/>
    <col min="3331" max="3331" width="5.7109375" style="614" bestFit="1" customWidth="1"/>
    <col min="3332" max="3332" width="7.140625" style="614" bestFit="1" customWidth="1"/>
    <col min="3333" max="3333" width="7.28515625" style="614" bestFit="1" customWidth="1"/>
    <col min="3334" max="3334" width="6.140625" style="614" bestFit="1" customWidth="1"/>
    <col min="3335" max="3337" width="7.28515625" style="614" bestFit="1" customWidth="1"/>
    <col min="3338" max="3338" width="8" style="614" bestFit="1" customWidth="1"/>
    <col min="3339" max="3339" width="8.28515625" style="614" customWidth="1"/>
    <col min="3340" max="3341" width="10.42578125" style="614" bestFit="1" customWidth="1"/>
    <col min="3342" max="3342" width="13.140625" style="614" bestFit="1" customWidth="1"/>
    <col min="3343" max="3584" width="9.140625" style="614"/>
    <col min="3585" max="3585" width="9.140625" style="614" customWidth="1"/>
    <col min="3586" max="3586" width="25.85546875" style="614" customWidth="1"/>
    <col min="3587" max="3587" width="5.7109375" style="614" bestFit="1" customWidth="1"/>
    <col min="3588" max="3588" width="7.140625" style="614" bestFit="1" customWidth="1"/>
    <col min="3589" max="3589" width="7.28515625" style="614" bestFit="1" customWidth="1"/>
    <col min="3590" max="3590" width="6.140625" style="614" bestFit="1" customWidth="1"/>
    <col min="3591" max="3593" width="7.28515625" style="614" bestFit="1" customWidth="1"/>
    <col min="3594" max="3594" width="8" style="614" bestFit="1" customWidth="1"/>
    <col min="3595" max="3595" width="8.28515625" style="614" customWidth="1"/>
    <col min="3596" max="3597" width="10.42578125" style="614" bestFit="1" customWidth="1"/>
    <col min="3598" max="3598" width="13.140625" style="614" bestFit="1" customWidth="1"/>
    <col min="3599" max="3840" width="9.140625" style="614"/>
    <col min="3841" max="3841" width="9.140625" style="614" customWidth="1"/>
    <col min="3842" max="3842" width="25.85546875" style="614" customWidth="1"/>
    <col min="3843" max="3843" width="5.7109375" style="614" bestFit="1" customWidth="1"/>
    <col min="3844" max="3844" width="7.140625" style="614" bestFit="1" customWidth="1"/>
    <col min="3845" max="3845" width="7.28515625" style="614" bestFit="1" customWidth="1"/>
    <col min="3846" max="3846" width="6.140625" style="614" bestFit="1" customWidth="1"/>
    <col min="3847" max="3849" width="7.28515625" style="614" bestFit="1" customWidth="1"/>
    <col min="3850" max="3850" width="8" style="614" bestFit="1" customWidth="1"/>
    <col min="3851" max="3851" width="8.28515625" style="614" customWidth="1"/>
    <col min="3852" max="3853" width="10.42578125" style="614" bestFit="1" customWidth="1"/>
    <col min="3854" max="3854" width="13.140625" style="614" bestFit="1" customWidth="1"/>
    <col min="3855" max="4096" width="9.140625" style="614"/>
    <col min="4097" max="4097" width="9.140625" style="614" customWidth="1"/>
    <col min="4098" max="4098" width="25.85546875" style="614" customWidth="1"/>
    <col min="4099" max="4099" width="5.7109375" style="614" bestFit="1" customWidth="1"/>
    <col min="4100" max="4100" width="7.140625" style="614" bestFit="1" customWidth="1"/>
    <col min="4101" max="4101" width="7.28515625" style="614" bestFit="1" customWidth="1"/>
    <col min="4102" max="4102" width="6.140625" style="614" bestFit="1" customWidth="1"/>
    <col min="4103" max="4105" width="7.28515625" style="614" bestFit="1" customWidth="1"/>
    <col min="4106" max="4106" width="8" style="614" bestFit="1" customWidth="1"/>
    <col min="4107" max="4107" width="8.28515625" style="614" customWidth="1"/>
    <col min="4108" max="4109" width="10.42578125" style="614" bestFit="1" customWidth="1"/>
    <col min="4110" max="4110" width="13.140625" style="614" bestFit="1" customWidth="1"/>
    <col min="4111" max="4352" width="9.140625" style="614"/>
    <col min="4353" max="4353" width="9.140625" style="614" customWidth="1"/>
    <col min="4354" max="4354" width="25.85546875" style="614" customWidth="1"/>
    <col min="4355" max="4355" width="5.7109375" style="614" bestFit="1" customWidth="1"/>
    <col min="4356" max="4356" width="7.140625" style="614" bestFit="1" customWidth="1"/>
    <col min="4357" max="4357" width="7.28515625" style="614" bestFit="1" customWidth="1"/>
    <col min="4358" max="4358" width="6.140625" style="614" bestFit="1" customWidth="1"/>
    <col min="4359" max="4361" width="7.28515625" style="614" bestFit="1" customWidth="1"/>
    <col min="4362" max="4362" width="8" style="614" bestFit="1" customWidth="1"/>
    <col min="4363" max="4363" width="8.28515625" style="614" customWidth="1"/>
    <col min="4364" max="4365" width="10.42578125" style="614" bestFit="1" customWidth="1"/>
    <col min="4366" max="4366" width="13.140625" style="614" bestFit="1" customWidth="1"/>
    <col min="4367" max="4608" width="9.140625" style="614"/>
    <col min="4609" max="4609" width="9.140625" style="614" customWidth="1"/>
    <col min="4610" max="4610" width="25.85546875" style="614" customWidth="1"/>
    <col min="4611" max="4611" width="5.7109375" style="614" bestFit="1" customWidth="1"/>
    <col min="4612" max="4612" width="7.140625" style="614" bestFit="1" customWidth="1"/>
    <col min="4613" max="4613" width="7.28515625" style="614" bestFit="1" customWidth="1"/>
    <col min="4614" max="4614" width="6.140625" style="614" bestFit="1" customWidth="1"/>
    <col min="4615" max="4617" width="7.28515625" style="614" bestFit="1" customWidth="1"/>
    <col min="4618" max="4618" width="8" style="614" bestFit="1" customWidth="1"/>
    <col min="4619" max="4619" width="8.28515625" style="614" customWidth="1"/>
    <col min="4620" max="4621" width="10.42578125" style="614" bestFit="1" customWidth="1"/>
    <col min="4622" max="4622" width="13.140625" style="614" bestFit="1" customWidth="1"/>
    <col min="4623" max="4864" width="9.140625" style="614"/>
    <col min="4865" max="4865" width="9.140625" style="614" customWidth="1"/>
    <col min="4866" max="4866" width="25.85546875" style="614" customWidth="1"/>
    <col min="4867" max="4867" width="5.7109375" style="614" bestFit="1" customWidth="1"/>
    <col min="4868" max="4868" width="7.140625" style="614" bestFit="1" customWidth="1"/>
    <col min="4869" max="4869" width="7.28515625" style="614" bestFit="1" customWidth="1"/>
    <col min="4870" max="4870" width="6.140625" style="614" bestFit="1" customWidth="1"/>
    <col min="4871" max="4873" width="7.28515625" style="614" bestFit="1" customWidth="1"/>
    <col min="4874" max="4874" width="8" style="614" bestFit="1" customWidth="1"/>
    <col min="4875" max="4875" width="8.28515625" style="614" customWidth="1"/>
    <col min="4876" max="4877" width="10.42578125" style="614" bestFit="1" customWidth="1"/>
    <col min="4878" max="4878" width="13.140625" style="614" bestFit="1" customWidth="1"/>
    <col min="4879" max="5120" width="9.140625" style="614"/>
    <col min="5121" max="5121" width="9.140625" style="614" customWidth="1"/>
    <col min="5122" max="5122" width="25.85546875" style="614" customWidth="1"/>
    <col min="5123" max="5123" width="5.7109375" style="614" bestFit="1" customWidth="1"/>
    <col min="5124" max="5124" width="7.140625" style="614" bestFit="1" customWidth="1"/>
    <col min="5125" max="5125" width="7.28515625" style="614" bestFit="1" customWidth="1"/>
    <col min="5126" max="5126" width="6.140625" style="614" bestFit="1" customWidth="1"/>
    <col min="5127" max="5129" width="7.28515625" style="614" bestFit="1" customWidth="1"/>
    <col min="5130" max="5130" width="8" style="614" bestFit="1" customWidth="1"/>
    <col min="5131" max="5131" width="8.28515625" style="614" customWidth="1"/>
    <col min="5132" max="5133" width="10.42578125" style="614" bestFit="1" customWidth="1"/>
    <col min="5134" max="5134" width="13.140625" style="614" bestFit="1" customWidth="1"/>
    <col min="5135" max="5376" width="9.140625" style="614"/>
    <col min="5377" max="5377" width="9.140625" style="614" customWidth="1"/>
    <col min="5378" max="5378" width="25.85546875" style="614" customWidth="1"/>
    <col min="5379" max="5379" width="5.7109375" style="614" bestFit="1" customWidth="1"/>
    <col min="5380" max="5380" width="7.140625" style="614" bestFit="1" customWidth="1"/>
    <col min="5381" max="5381" width="7.28515625" style="614" bestFit="1" customWidth="1"/>
    <col min="5382" max="5382" width="6.140625" style="614" bestFit="1" customWidth="1"/>
    <col min="5383" max="5385" width="7.28515625" style="614" bestFit="1" customWidth="1"/>
    <col min="5386" max="5386" width="8" style="614" bestFit="1" customWidth="1"/>
    <col min="5387" max="5387" width="8.28515625" style="614" customWidth="1"/>
    <col min="5388" max="5389" width="10.42578125" style="614" bestFit="1" customWidth="1"/>
    <col min="5390" max="5390" width="13.140625" style="614" bestFit="1" customWidth="1"/>
    <col min="5391" max="5632" width="9.140625" style="614"/>
    <col min="5633" max="5633" width="9.140625" style="614" customWidth="1"/>
    <col min="5634" max="5634" width="25.85546875" style="614" customWidth="1"/>
    <col min="5635" max="5635" width="5.7109375" style="614" bestFit="1" customWidth="1"/>
    <col min="5636" max="5636" width="7.140625" style="614" bestFit="1" customWidth="1"/>
    <col min="5637" max="5637" width="7.28515625" style="614" bestFit="1" customWidth="1"/>
    <col min="5638" max="5638" width="6.140625" style="614" bestFit="1" customWidth="1"/>
    <col min="5639" max="5641" width="7.28515625" style="614" bestFit="1" customWidth="1"/>
    <col min="5642" max="5642" width="8" style="614" bestFit="1" customWidth="1"/>
    <col min="5643" max="5643" width="8.28515625" style="614" customWidth="1"/>
    <col min="5644" max="5645" width="10.42578125" style="614" bestFit="1" customWidth="1"/>
    <col min="5646" max="5646" width="13.140625" style="614" bestFit="1" customWidth="1"/>
    <col min="5647" max="5888" width="9.140625" style="614"/>
    <col min="5889" max="5889" width="9.140625" style="614" customWidth="1"/>
    <col min="5890" max="5890" width="25.85546875" style="614" customWidth="1"/>
    <col min="5891" max="5891" width="5.7109375" style="614" bestFit="1" customWidth="1"/>
    <col min="5892" max="5892" width="7.140625" style="614" bestFit="1" customWidth="1"/>
    <col min="5893" max="5893" width="7.28515625" style="614" bestFit="1" customWidth="1"/>
    <col min="5894" max="5894" width="6.140625" style="614" bestFit="1" customWidth="1"/>
    <col min="5895" max="5897" width="7.28515625" style="614" bestFit="1" customWidth="1"/>
    <col min="5898" max="5898" width="8" style="614" bestFit="1" customWidth="1"/>
    <col min="5899" max="5899" width="8.28515625" style="614" customWidth="1"/>
    <col min="5900" max="5901" width="10.42578125" style="614" bestFit="1" customWidth="1"/>
    <col min="5902" max="5902" width="13.140625" style="614" bestFit="1" customWidth="1"/>
    <col min="5903" max="6144" width="9.140625" style="614"/>
    <col min="6145" max="6145" width="9.140625" style="614" customWidth="1"/>
    <col min="6146" max="6146" width="25.85546875" style="614" customWidth="1"/>
    <col min="6147" max="6147" width="5.7109375" style="614" bestFit="1" customWidth="1"/>
    <col min="6148" max="6148" width="7.140625" style="614" bestFit="1" customWidth="1"/>
    <col min="6149" max="6149" width="7.28515625" style="614" bestFit="1" customWidth="1"/>
    <col min="6150" max="6150" width="6.140625" style="614" bestFit="1" customWidth="1"/>
    <col min="6151" max="6153" width="7.28515625" style="614" bestFit="1" customWidth="1"/>
    <col min="6154" max="6154" width="8" style="614" bestFit="1" customWidth="1"/>
    <col min="6155" max="6155" width="8.28515625" style="614" customWidth="1"/>
    <col min="6156" max="6157" width="10.42578125" style="614" bestFit="1" customWidth="1"/>
    <col min="6158" max="6158" width="13.140625" style="614" bestFit="1" customWidth="1"/>
    <col min="6159" max="6400" width="9.140625" style="614"/>
    <col min="6401" max="6401" width="9.140625" style="614" customWidth="1"/>
    <col min="6402" max="6402" width="25.85546875" style="614" customWidth="1"/>
    <col min="6403" max="6403" width="5.7109375" style="614" bestFit="1" customWidth="1"/>
    <col min="6404" max="6404" width="7.140625" style="614" bestFit="1" customWidth="1"/>
    <col min="6405" max="6405" width="7.28515625" style="614" bestFit="1" customWidth="1"/>
    <col min="6406" max="6406" width="6.140625" style="614" bestFit="1" customWidth="1"/>
    <col min="6407" max="6409" width="7.28515625" style="614" bestFit="1" customWidth="1"/>
    <col min="6410" max="6410" width="8" style="614" bestFit="1" customWidth="1"/>
    <col min="6411" max="6411" width="8.28515625" style="614" customWidth="1"/>
    <col min="6412" max="6413" width="10.42578125" style="614" bestFit="1" customWidth="1"/>
    <col min="6414" max="6414" width="13.140625" style="614" bestFit="1" customWidth="1"/>
    <col min="6415" max="6656" width="9.140625" style="614"/>
    <col min="6657" max="6657" width="9.140625" style="614" customWidth="1"/>
    <col min="6658" max="6658" width="25.85546875" style="614" customWidth="1"/>
    <col min="6659" max="6659" width="5.7109375" style="614" bestFit="1" customWidth="1"/>
    <col min="6660" max="6660" width="7.140625" style="614" bestFit="1" customWidth="1"/>
    <col min="6661" max="6661" width="7.28515625" style="614" bestFit="1" customWidth="1"/>
    <col min="6662" max="6662" width="6.140625" style="614" bestFit="1" customWidth="1"/>
    <col min="6663" max="6665" width="7.28515625" style="614" bestFit="1" customWidth="1"/>
    <col min="6666" max="6666" width="8" style="614" bestFit="1" customWidth="1"/>
    <col min="6667" max="6667" width="8.28515625" style="614" customWidth="1"/>
    <col min="6668" max="6669" width="10.42578125" style="614" bestFit="1" customWidth="1"/>
    <col min="6670" max="6670" width="13.140625" style="614" bestFit="1" customWidth="1"/>
    <col min="6671" max="6912" width="9.140625" style="614"/>
    <col min="6913" max="6913" width="9.140625" style="614" customWidth="1"/>
    <col min="6914" max="6914" width="25.85546875" style="614" customWidth="1"/>
    <col min="6915" max="6915" width="5.7109375" style="614" bestFit="1" customWidth="1"/>
    <col min="6916" max="6916" width="7.140625" style="614" bestFit="1" customWidth="1"/>
    <col min="6917" max="6917" width="7.28515625" style="614" bestFit="1" customWidth="1"/>
    <col min="6918" max="6918" width="6.140625" style="614" bestFit="1" customWidth="1"/>
    <col min="6919" max="6921" width="7.28515625" style="614" bestFit="1" customWidth="1"/>
    <col min="6922" max="6922" width="8" style="614" bestFit="1" customWidth="1"/>
    <col min="6923" max="6923" width="8.28515625" style="614" customWidth="1"/>
    <col min="6924" max="6925" width="10.42578125" style="614" bestFit="1" customWidth="1"/>
    <col min="6926" max="6926" width="13.140625" style="614" bestFit="1" customWidth="1"/>
    <col min="6927" max="7168" width="9.140625" style="614"/>
    <col min="7169" max="7169" width="9.140625" style="614" customWidth="1"/>
    <col min="7170" max="7170" width="25.85546875" style="614" customWidth="1"/>
    <col min="7171" max="7171" width="5.7109375" style="614" bestFit="1" customWidth="1"/>
    <col min="7172" max="7172" width="7.140625" style="614" bestFit="1" customWidth="1"/>
    <col min="7173" max="7173" width="7.28515625" style="614" bestFit="1" customWidth="1"/>
    <col min="7174" max="7174" width="6.140625" style="614" bestFit="1" customWidth="1"/>
    <col min="7175" max="7177" width="7.28515625" style="614" bestFit="1" customWidth="1"/>
    <col min="7178" max="7178" width="8" style="614" bestFit="1" customWidth="1"/>
    <col min="7179" max="7179" width="8.28515625" style="614" customWidth="1"/>
    <col min="7180" max="7181" width="10.42578125" style="614" bestFit="1" customWidth="1"/>
    <col min="7182" max="7182" width="13.140625" style="614" bestFit="1" customWidth="1"/>
    <col min="7183" max="7424" width="9.140625" style="614"/>
    <col min="7425" max="7425" width="9.140625" style="614" customWidth="1"/>
    <col min="7426" max="7426" width="25.85546875" style="614" customWidth="1"/>
    <col min="7427" max="7427" width="5.7109375" style="614" bestFit="1" customWidth="1"/>
    <col min="7428" max="7428" width="7.140625" style="614" bestFit="1" customWidth="1"/>
    <col min="7429" max="7429" width="7.28515625" style="614" bestFit="1" customWidth="1"/>
    <col min="7430" max="7430" width="6.140625" style="614" bestFit="1" customWidth="1"/>
    <col min="7431" max="7433" width="7.28515625" style="614" bestFit="1" customWidth="1"/>
    <col min="7434" max="7434" width="8" style="614" bestFit="1" customWidth="1"/>
    <col min="7435" max="7435" width="8.28515625" style="614" customWidth="1"/>
    <col min="7436" max="7437" width="10.42578125" style="614" bestFit="1" customWidth="1"/>
    <col min="7438" max="7438" width="13.140625" style="614" bestFit="1" customWidth="1"/>
    <col min="7439" max="7680" width="9.140625" style="614"/>
    <col min="7681" max="7681" width="9.140625" style="614" customWidth="1"/>
    <col min="7682" max="7682" width="25.85546875" style="614" customWidth="1"/>
    <col min="7683" max="7683" width="5.7109375" style="614" bestFit="1" customWidth="1"/>
    <col min="7684" max="7684" width="7.140625" style="614" bestFit="1" customWidth="1"/>
    <col min="7685" max="7685" width="7.28515625" style="614" bestFit="1" customWidth="1"/>
    <col min="7686" max="7686" width="6.140625" style="614" bestFit="1" customWidth="1"/>
    <col min="7687" max="7689" width="7.28515625" style="614" bestFit="1" customWidth="1"/>
    <col min="7690" max="7690" width="8" style="614" bestFit="1" customWidth="1"/>
    <col min="7691" max="7691" width="8.28515625" style="614" customWidth="1"/>
    <col min="7692" max="7693" width="10.42578125" style="614" bestFit="1" customWidth="1"/>
    <col min="7694" max="7694" width="13.140625" style="614" bestFit="1" customWidth="1"/>
    <col min="7695" max="7936" width="9.140625" style="614"/>
    <col min="7937" max="7937" width="9.140625" style="614" customWidth="1"/>
    <col min="7938" max="7938" width="25.85546875" style="614" customWidth="1"/>
    <col min="7939" max="7939" width="5.7109375" style="614" bestFit="1" customWidth="1"/>
    <col min="7940" max="7940" width="7.140625" style="614" bestFit="1" customWidth="1"/>
    <col min="7941" max="7941" width="7.28515625" style="614" bestFit="1" customWidth="1"/>
    <col min="7942" max="7942" width="6.140625" style="614" bestFit="1" customWidth="1"/>
    <col min="7943" max="7945" width="7.28515625" style="614" bestFit="1" customWidth="1"/>
    <col min="7946" max="7946" width="8" style="614" bestFit="1" customWidth="1"/>
    <col min="7947" max="7947" width="8.28515625" style="614" customWidth="1"/>
    <col min="7948" max="7949" width="10.42578125" style="614" bestFit="1" customWidth="1"/>
    <col min="7950" max="7950" width="13.140625" style="614" bestFit="1" customWidth="1"/>
    <col min="7951" max="8192" width="9.140625" style="614"/>
    <col min="8193" max="8193" width="9.140625" style="614" customWidth="1"/>
    <col min="8194" max="8194" width="25.85546875" style="614" customWidth="1"/>
    <col min="8195" max="8195" width="5.7109375" style="614" bestFit="1" customWidth="1"/>
    <col min="8196" max="8196" width="7.140625" style="614" bestFit="1" customWidth="1"/>
    <col min="8197" max="8197" width="7.28515625" style="614" bestFit="1" customWidth="1"/>
    <col min="8198" max="8198" width="6.140625" style="614" bestFit="1" customWidth="1"/>
    <col min="8199" max="8201" width="7.28515625" style="614" bestFit="1" customWidth="1"/>
    <col min="8202" max="8202" width="8" style="614" bestFit="1" customWidth="1"/>
    <col min="8203" max="8203" width="8.28515625" style="614" customWidth="1"/>
    <col min="8204" max="8205" width="10.42578125" style="614" bestFit="1" customWidth="1"/>
    <col min="8206" max="8206" width="13.140625" style="614" bestFit="1" customWidth="1"/>
    <col min="8207" max="8448" width="9.140625" style="614"/>
    <col min="8449" max="8449" width="9.140625" style="614" customWidth="1"/>
    <col min="8450" max="8450" width="25.85546875" style="614" customWidth="1"/>
    <col min="8451" max="8451" width="5.7109375" style="614" bestFit="1" customWidth="1"/>
    <col min="8452" max="8452" width="7.140625" style="614" bestFit="1" customWidth="1"/>
    <col min="8453" max="8453" width="7.28515625" style="614" bestFit="1" customWidth="1"/>
    <col min="8454" max="8454" width="6.140625" style="614" bestFit="1" customWidth="1"/>
    <col min="8455" max="8457" width="7.28515625" style="614" bestFit="1" customWidth="1"/>
    <col min="8458" max="8458" width="8" style="614" bestFit="1" customWidth="1"/>
    <col min="8459" max="8459" width="8.28515625" style="614" customWidth="1"/>
    <col min="8460" max="8461" width="10.42578125" style="614" bestFit="1" customWidth="1"/>
    <col min="8462" max="8462" width="13.140625" style="614" bestFit="1" customWidth="1"/>
    <col min="8463" max="8704" width="9.140625" style="614"/>
    <col min="8705" max="8705" width="9.140625" style="614" customWidth="1"/>
    <col min="8706" max="8706" width="25.85546875" style="614" customWidth="1"/>
    <col min="8707" max="8707" width="5.7109375" style="614" bestFit="1" customWidth="1"/>
    <col min="8708" max="8708" width="7.140625" style="614" bestFit="1" customWidth="1"/>
    <col min="8709" max="8709" width="7.28515625" style="614" bestFit="1" customWidth="1"/>
    <col min="8710" max="8710" width="6.140625" style="614" bestFit="1" customWidth="1"/>
    <col min="8711" max="8713" width="7.28515625" style="614" bestFit="1" customWidth="1"/>
    <col min="8714" max="8714" width="8" style="614" bestFit="1" customWidth="1"/>
    <col min="8715" max="8715" width="8.28515625" style="614" customWidth="1"/>
    <col min="8716" max="8717" width="10.42578125" style="614" bestFit="1" customWidth="1"/>
    <col min="8718" max="8718" width="13.140625" style="614" bestFit="1" customWidth="1"/>
    <col min="8719" max="8960" width="9.140625" style="614"/>
    <col min="8961" max="8961" width="9.140625" style="614" customWidth="1"/>
    <col min="8962" max="8962" width="25.85546875" style="614" customWidth="1"/>
    <col min="8963" max="8963" width="5.7109375" style="614" bestFit="1" customWidth="1"/>
    <col min="8964" max="8964" width="7.140625" style="614" bestFit="1" customWidth="1"/>
    <col min="8965" max="8965" width="7.28515625" style="614" bestFit="1" customWidth="1"/>
    <col min="8966" max="8966" width="6.140625" style="614" bestFit="1" customWidth="1"/>
    <col min="8967" max="8969" width="7.28515625" style="614" bestFit="1" customWidth="1"/>
    <col min="8970" max="8970" width="8" style="614" bestFit="1" customWidth="1"/>
    <col min="8971" max="8971" width="8.28515625" style="614" customWidth="1"/>
    <col min="8972" max="8973" width="10.42578125" style="614" bestFit="1" customWidth="1"/>
    <col min="8974" max="8974" width="13.140625" style="614" bestFit="1" customWidth="1"/>
    <col min="8975" max="9216" width="9.140625" style="614"/>
    <col min="9217" max="9217" width="9.140625" style="614" customWidth="1"/>
    <col min="9218" max="9218" width="25.85546875" style="614" customWidth="1"/>
    <col min="9219" max="9219" width="5.7109375" style="614" bestFit="1" customWidth="1"/>
    <col min="9220" max="9220" width="7.140625" style="614" bestFit="1" customWidth="1"/>
    <col min="9221" max="9221" width="7.28515625" style="614" bestFit="1" customWidth="1"/>
    <col min="9222" max="9222" width="6.140625" style="614" bestFit="1" customWidth="1"/>
    <col min="9223" max="9225" width="7.28515625" style="614" bestFit="1" customWidth="1"/>
    <col min="9226" max="9226" width="8" style="614" bestFit="1" customWidth="1"/>
    <col min="9227" max="9227" width="8.28515625" style="614" customWidth="1"/>
    <col min="9228" max="9229" width="10.42578125" style="614" bestFit="1" customWidth="1"/>
    <col min="9230" max="9230" width="13.140625" style="614" bestFit="1" customWidth="1"/>
    <col min="9231" max="9472" width="9.140625" style="614"/>
    <col min="9473" max="9473" width="9.140625" style="614" customWidth="1"/>
    <col min="9474" max="9474" width="25.85546875" style="614" customWidth="1"/>
    <col min="9475" max="9475" width="5.7109375" style="614" bestFit="1" customWidth="1"/>
    <col min="9476" max="9476" width="7.140625" style="614" bestFit="1" customWidth="1"/>
    <col min="9477" max="9477" width="7.28515625" style="614" bestFit="1" customWidth="1"/>
    <col min="9478" max="9478" width="6.140625" style="614" bestFit="1" customWidth="1"/>
    <col min="9479" max="9481" width="7.28515625" style="614" bestFit="1" customWidth="1"/>
    <col min="9482" max="9482" width="8" style="614" bestFit="1" customWidth="1"/>
    <col min="9483" max="9483" width="8.28515625" style="614" customWidth="1"/>
    <col min="9484" max="9485" width="10.42578125" style="614" bestFit="1" customWidth="1"/>
    <col min="9486" max="9486" width="13.140625" style="614" bestFit="1" customWidth="1"/>
    <col min="9487" max="9728" width="9.140625" style="614"/>
    <col min="9729" max="9729" width="9.140625" style="614" customWidth="1"/>
    <col min="9730" max="9730" width="25.85546875" style="614" customWidth="1"/>
    <col min="9731" max="9731" width="5.7109375" style="614" bestFit="1" customWidth="1"/>
    <col min="9732" max="9732" width="7.140625" style="614" bestFit="1" customWidth="1"/>
    <col min="9733" max="9733" width="7.28515625" style="614" bestFit="1" customWidth="1"/>
    <col min="9734" max="9734" width="6.140625" style="614" bestFit="1" customWidth="1"/>
    <col min="9735" max="9737" width="7.28515625" style="614" bestFit="1" customWidth="1"/>
    <col min="9738" max="9738" width="8" style="614" bestFit="1" customWidth="1"/>
    <col min="9739" max="9739" width="8.28515625" style="614" customWidth="1"/>
    <col min="9740" max="9741" width="10.42578125" style="614" bestFit="1" customWidth="1"/>
    <col min="9742" max="9742" width="13.140625" style="614" bestFit="1" customWidth="1"/>
    <col min="9743" max="9984" width="9.140625" style="614"/>
    <col min="9985" max="9985" width="9.140625" style="614" customWidth="1"/>
    <col min="9986" max="9986" width="25.85546875" style="614" customWidth="1"/>
    <col min="9987" max="9987" width="5.7109375" style="614" bestFit="1" customWidth="1"/>
    <col min="9988" max="9988" width="7.140625" style="614" bestFit="1" customWidth="1"/>
    <col min="9989" max="9989" width="7.28515625" style="614" bestFit="1" customWidth="1"/>
    <col min="9990" max="9990" width="6.140625" style="614" bestFit="1" customWidth="1"/>
    <col min="9991" max="9993" width="7.28515625" style="614" bestFit="1" customWidth="1"/>
    <col min="9994" max="9994" width="8" style="614" bestFit="1" customWidth="1"/>
    <col min="9995" max="9995" width="8.28515625" style="614" customWidth="1"/>
    <col min="9996" max="9997" width="10.42578125" style="614" bestFit="1" customWidth="1"/>
    <col min="9998" max="9998" width="13.140625" style="614" bestFit="1" customWidth="1"/>
    <col min="9999" max="10240" width="9.140625" style="614"/>
    <col min="10241" max="10241" width="9.140625" style="614" customWidth="1"/>
    <col min="10242" max="10242" width="25.85546875" style="614" customWidth="1"/>
    <col min="10243" max="10243" width="5.7109375" style="614" bestFit="1" customWidth="1"/>
    <col min="10244" max="10244" width="7.140625" style="614" bestFit="1" customWidth="1"/>
    <col min="10245" max="10245" width="7.28515625" style="614" bestFit="1" customWidth="1"/>
    <col min="10246" max="10246" width="6.140625" style="614" bestFit="1" customWidth="1"/>
    <col min="10247" max="10249" width="7.28515625" style="614" bestFit="1" customWidth="1"/>
    <col min="10250" max="10250" width="8" style="614" bestFit="1" customWidth="1"/>
    <col min="10251" max="10251" width="8.28515625" style="614" customWidth="1"/>
    <col min="10252" max="10253" width="10.42578125" style="614" bestFit="1" customWidth="1"/>
    <col min="10254" max="10254" width="13.140625" style="614" bestFit="1" customWidth="1"/>
    <col min="10255" max="10496" width="9.140625" style="614"/>
    <col min="10497" max="10497" width="9.140625" style="614" customWidth="1"/>
    <col min="10498" max="10498" width="25.85546875" style="614" customWidth="1"/>
    <col min="10499" max="10499" width="5.7109375" style="614" bestFit="1" customWidth="1"/>
    <col min="10500" max="10500" width="7.140625" style="614" bestFit="1" customWidth="1"/>
    <col min="10501" max="10501" width="7.28515625" style="614" bestFit="1" customWidth="1"/>
    <col min="10502" max="10502" width="6.140625" style="614" bestFit="1" customWidth="1"/>
    <col min="10503" max="10505" width="7.28515625" style="614" bestFit="1" customWidth="1"/>
    <col min="10506" max="10506" width="8" style="614" bestFit="1" customWidth="1"/>
    <col min="10507" max="10507" width="8.28515625" style="614" customWidth="1"/>
    <col min="10508" max="10509" width="10.42578125" style="614" bestFit="1" customWidth="1"/>
    <col min="10510" max="10510" width="13.140625" style="614" bestFit="1" customWidth="1"/>
    <col min="10511" max="10752" width="9.140625" style="614"/>
    <col min="10753" max="10753" width="9.140625" style="614" customWidth="1"/>
    <col min="10754" max="10754" width="25.85546875" style="614" customWidth="1"/>
    <col min="10755" max="10755" width="5.7109375" style="614" bestFit="1" customWidth="1"/>
    <col min="10756" max="10756" width="7.140625" style="614" bestFit="1" customWidth="1"/>
    <col min="10757" max="10757" width="7.28515625" style="614" bestFit="1" customWidth="1"/>
    <col min="10758" max="10758" width="6.140625" style="614" bestFit="1" customWidth="1"/>
    <col min="10759" max="10761" width="7.28515625" style="614" bestFit="1" customWidth="1"/>
    <col min="10762" max="10762" width="8" style="614" bestFit="1" customWidth="1"/>
    <col min="10763" max="10763" width="8.28515625" style="614" customWidth="1"/>
    <col min="10764" max="10765" width="10.42578125" style="614" bestFit="1" customWidth="1"/>
    <col min="10766" max="10766" width="13.140625" style="614" bestFit="1" customWidth="1"/>
    <col min="10767" max="11008" width="9.140625" style="614"/>
    <col min="11009" max="11009" width="9.140625" style="614" customWidth="1"/>
    <col min="11010" max="11010" width="25.85546875" style="614" customWidth="1"/>
    <col min="11011" max="11011" width="5.7109375" style="614" bestFit="1" customWidth="1"/>
    <col min="11012" max="11012" width="7.140625" style="614" bestFit="1" customWidth="1"/>
    <col min="11013" max="11013" width="7.28515625" style="614" bestFit="1" customWidth="1"/>
    <col min="11014" max="11014" width="6.140625" style="614" bestFit="1" customWidth="1"/>
    <col min="11015" max="11017" width="7.28515625" style="614" bestFit="1" customWidth="1"/>
    <col min="11018" max="11018" width="8" style="614" bestFit="1" customWidth="1"/>
    <col min="11019" max="11019" width="8.28515625" style="614" customWidth="1"/>
    <col min="11020" max="11021" width="10.42578125" style="614" bestFit="1" customWidth="1"/>
    <col min="11022" max="11022" width="13.140625" style="614" bestFit="1" customWidth="1"/>
    <col min="11023" max="11264" width="9.140625" style="614"/>
    <col min="11265" max="11265" width="9.140625" style="614" customWidth="1"/>
    <col min="11266" max="11266" width="25.85546875" style="614" customWidth="1"/>
    <col min="11267" max="11267" width="5.7109375" style="614" bestFit="1" customWidth="1"/>
    <col min="11268" max="11268" width="7.140625" style="614" bestFit="1" customWidth="1"/>
    <col min="11269" max="11269" width="7.28515625" style="614" bestFit="1" customWidth="1"/>
    <col min="11270" max="11270" width="6.140625" style="614" bestFit="1" customWidth="1"/>
    <col min="11271" max="11273" width="7.28515625" style="614" bestFit="1" customWidth="1"/>
    <col min="11274" max="11274" width="8" style="614" bestFit="1" customWidth="1"/>
    <col min="11275" max="11275" width="8.28515625" style="614" customWidth="1"/>
    <col min="11276" max="11277" width="10.42578125" style="614" bestFit="1" customWidth="1"/>
    <col min="11278" max="11278" width="13.140625" style="614" bestFit="1" customWidth="1"/>
    <col min="11279" max="11520" width="9.140625" style="614"/>
    <col min="11521" max="11521" width="9.140625" style="614" customWidth="1"/>
    <col min="11522" max="11522" width="25.85546875" style="614" customWidth="1"/>
    <col min="11523" max="11523" width="5.7109375" style="614" bestFit="1" customWidth="1"/>
    <col min="11524" max="11524" width="7.140625" style="614" bestFit="1" customWidth="1"/>
    <col min="11525" max="11525" width="7.28515625" style="614" bestFit="1" customWidth="1"/>
    <col min="11526" max="11526" width="6.140625" style="614" bestFit="1" customWidth="1"/>
    <col min="11527" max="11529" width="7.28515625" style="614" bestFit="1" customWidth="1"/>
    <col min="11530" max="11530" width="8" style="614" bestFit="1" customWidth="1"/>
    <col min="11531" max="11531" width="8.28515625" style="614" customWidth="1"/>
    <col min="11532" max="11533" width="10.42578125" style="614" bestFit="1" customWidth="1"/>
    <col min="11534" max="11534" width="13.140625" style="614" bestFit="1" customWidth="1"/>
    <col min="11535" max="11776" width="9.140625" style="614"/>
    <col min="11777" max="11777" width="9.140625" style="614" customWidth="1"/>
    <col min="11778" max="11778" width="25.85546875" style="614" customWidth="1"/>
    <col min="11779" max="11779" width="5.7109375" style="614" bestFit="1" customWidth="1"/>
    <col min="11780" max="11780" width="7.140625" style="614" bestFit="1" customWidth="1"/>
    <col min="11781" max="11781" width="7.28515625" style="614" bestFit="1" customWidth="1"/>
    <col min="11782" max="11782" width="6.140625" style="614" bestFit="1" customWidth="1"/>
    <col min="11783" max="11785" width="7.28515625" style="614" bestFit="1" customWidth="1"/>
    <col min="11786" max="11786" width="8" style="614" bestFit="1" customWidth="1"/>
    <col min="11787" max="11787" width="8.28515625" style="614" customWidth="1"/>
    <col min="11788" max="11789" width="10.42578125" style="614" bestFit="1" customWidth="1"/>
    <col min="11790" max="11790" width="13.140625" style="614" bestFit="1" customWidth="1"/>
    <col min="11791" max="12032" width="9.140625" style="614"/>
    <col min="12033" max="12033" width="9.140625" style="614" customWidth="1"/>
    <col min="12034" max="12034" width="25.85546875" style="614" customWidth="1"/>
    <col min="12035" max="12035" width="5.7109375" style="614" bestFit="1" customWidth="1"/>
    <col min="12036" max="12036" width="7.140625" style="614" bestFit="1" customWidth="1"/>
    <col min="12037" max="12037" width="7.28515625" style="614" bestFit="1" customWidth="1"/>
    <col min="12038" max="12038" width="6.140625" style="614" bestFit="1" customWidth="1"/>
    <col min="12039" max="12041" width="7.28515625" style="614" bestFit="1" customWidth="1"/>
    <col min="12042" max="12042" width="8" style="614" bestFit="1" customWidth="1"/>
    <col min="12043" max="12043" width="8.28515625" style="614" customWidth="1"/>
    <col min="12044" max="12045" width="10.42578125" style="614" bestFit="1" customWidth="1"/>
    <col min="12046" max="12046" width="13.140625" style="614" bestFit="1" customWidth="1"/>
    <col min="12047" max="12288" width="9.140625" style="614"/>
    <col min="12289" max="12289" width="9.140625" style="614" customWidth="1"/>
    <col min="12290" max="12290" width="25.85546875" style="614" customWidth="1"/>
    <col min="12291" max="12291" width="5.7109375" style="614" bestFit="1" customWidth="1"/>
    <col min="12292" max="12292" width="7.140625" style="614" bestFit="1" customWidth="1"/>
    <col min="12293" max="12293" width="7.28515625" style="614" bestFit="1" customWidth="1"/>
    <col min="12294" max="12294" width="6.140625" style="614" bestFit="1" customWidth="1"/>
    <col min="12295" max="12297" width="7.28515625" style="614" bestFit="1" customWidth="1"/>
    <col min="12298" max="12298" width="8" style="614" bestFit="1" customWidth="1"/>
    <col min="12299" max="12299" width="8.28515625" style="614" customWidth="1"/>
    <col min="12300" max="12301" width="10.42578125" style="614" bestFit="1" customWidth="1"/>
    <col min="12302" max="12302" width="13.140625" style="614" bestFit="1" customWidth="1"/>
    <col min="12303" max="12544" width="9.140625" style="614"/>
    <col min="12545" max="12545" width="9.140625" style="614" customWidth="1"/>
    <col min="12546" max="12546" width="25.85546875" style="614" customWidth="1"/>
    <col min="12547" max="12547" width="5.7109375" style="614" bestFit="1" customWidth="1"/>
    <col min="12548" max="12548" width="7.140625" style="614" bestFit="1" customWidth="1"/>
    <col min="12549" max="12549" width="7.28515625" style="614" bestFit="1" customWidth="1"/>
    <col min="12550" max="12550" width="6.140625" style="614" bestFit="1" customWidth="1"/>
    <col min="12551" max="12553" width="7.28515625" style="614" bestFit="1" customWidth="1"/>
    <col min="12554" max="12554" width="8" style="614" bestFit="1" customWidth="1"/>
    <col min="12555" max="12555" width="8.28515625" style="614" customWidth="1"/>
    <col min="12556" max="12557" width="10.42578125" style="614" bestFit="1" customWidth="1"/>
    <col min="12558" max="12558" width="13.140625" style="614" bestFit="1" customWidth="1"/>
    <col min="12559" max="12800" width="9.140625" style="614"/>
    <col min="12801" max="12801" width="9.140625" style="614" customWidth="1"/>
    <col min="12802" max="12802" width="25.85546875" style="614" customWidth="1"/>
    <col min="12803" max="12803" width="5.7109375" style="614" bestFit="1" customWidth="1"/>
    <col min="12804" max="12804" width="7.140625" style="614" bestFit="1" customWidth="1"/>
    <col min="12805" max="12805" width="7.28515625" style="614" bestFit="1" customWidth="1"/>
    <col min="12806" max="12806" width="6.140625" style="614" bestFit="1" customWidth="1"/>
    <col min="12807" max="12809" width="7.28515625" style="614" bestFit="1" customWidth="1"/>
    <col min="12810" max="12810" width="8" style="614" bestFit="1" customWidth="1"/>
    <col min="12811" max="12811" width="8.28515625" style="614" customWidth="1"/>
    <col min="12812" max="12813" width="10.42578125" style="614" bestFit="1" customWidth="1"/>
    <col min="12814" max="12814" width="13.140625" style="614" bestFit="1" customWidth="1"/>
    <col min="12815" max="13056" width="9.140625" style="614"/>
    <col min="13057" max="13057" width="9.140625" style="614" customWidth="1"/>
    <col min="13058" max="13058" width="25.85546875" style="614" customWidth="1"/>
    <col min="13059" max="13059" width="5.7109375" style="614" bestFit="1" customWidth="1"/>
    <col min="13060" max="13060" width="7.140625" style="614" bestFit="1" customWidth="1"/>
    <col min="13061" max="13061" width="7.28515625" style="614" bestFit="1" customWidth="1"/>
    <col min="13062" max="13062" width="6.140625" style="614" bestFit="1" customWidth="1"/>
    <col min="13063" max="13065" width="7.28515625" style="614" bestFit="1" customWidth="1"/>
    <col min="13066" max="13066" width="8" style="614" bestFit="1" customWidth="1"/>
    <col min="13067" max="13067" width="8.28515625" style="614" customWidth="1"/>
    <col min="13068" max="13069" width="10.42578125" style="614" bestFit="1" customWidth="1"/>
    <col min="13070" max="13070" width="13.140625" style="614" bestFit="1" customWidth="1"/>
    <col min="13071" max="13312" width="9.140625" style="614"/>
    <col min="13313" max="13313" width="9.140625" style="614" customWidth="1"/>
    <col min="13314" max="13314" width="25.85546875" style="614" customWidth="1"/>
    <col min="13315" max="13315" width="5.7109375" style="614" bestFit="1" customWidth="1"/>
    <col min="13316" max="13316" width="7.140625" style="614" bestFit="1" customWidth="1"/>
    <col min="13317" max="13317" width="7.28515625" style="614" bestFit="1" customWidth="1"/>
    <col min="13318" max="13318" width="6.140625" style="614" bestFit="1" customWidth="1"/>
    <col min="13319" max="13321" width="7.28515625" style="614" bestFit="1" customWidth="1"/>
    <col min="13322" max="13322" width="8" style="614" bestFit="1" customWidth="1"/>
    <col min="13323" max="13323" width="8.28515625" style="614" customWidth="1"/>
    <col min="13324" max="13325" width="10.42578125" style="614" bestFit="1" customWidth="1"/>
    <col min="13326" max="13326" width="13.140625" style="614" bestFit="1" customWidth="1"/>
    <col min="13327" max="13568" width="9.140625" style="614"/>
    <col min="13569" max="13569" width="9.140625" style="614" customWidth="1"/>
    <col min="13570" max="13570" width="25.85546875" style="614" customWidth="1"/>
    <col min="13571" max="13571" width="5.7109375" style="614" bestFit="1" customWidth="1"/>
    <col min="13572" max="13572" width="7.140625" style="614" bestFit="1" customWidth="1"/>
    <col min="13573" max="13573" width="7.28515625" style="614" bestFit="1" customWidth="1"/>
    <col min="13574" max="13574" width="6.140625" style="614" bestFit="1" customWidth="1"/>
    <col min="13575" max="13577" width="7.28515625" style="614" bestFit="1" customWidth="1"/>
    <col min="13578" max="13578" width="8" style="614" bestFit="1" customWidth="1"/>
    <col min="13579" max="13579" width="8.28515625" style="614" customWidth="1"/>
    <col min="13580" max="13581" width="10.42578125" style="614" bestFit="1" customWidth="1"/>
    <col min="13582" max="13582" width="13.140625" style="614" bestFit="1" customWidth="1"/>
    <col min="13583" max="13824" width="9.140625" style="614"/>
    <col min="13825" max="13825" width="9.140625" style="614" customWidth="1"/>
    <col min="13826" max="13826" width="25.85546875" style="614" customWidth="1"/>
    <col min="13827" max="13827" width="5.7109375" style="614" bestFit="1" customWidth="1"/>
    <col min="13828" max="13828" width="7.140625" style="614" bestFit="1" customWidth="1"/>
    <col min="13829" max="13829" width="7.28515625" style="614" bestFit="1" customWidth="1"/>
    <col min="13830" max="13830" width="6.140625" style="614" bestFit="1" customWidth="1"/>
    <col min="13831" max="13833" width="7.28515625" style="614" bestFit="1" customWidth="1"/>
    <col min="13834" max="13834" width="8" style="614" bestFit="1" customWidth="1"/>
    <col min="13835" max="13835" width="8.28515625" style="614" customWidth="1"/>
    <col min="13836" max="13837" width="10.42578125" style="614" bestFit="1" customWidth="1"/>
    <col min="13838" max="13838" width="13.140625" style="614" bestFit="1" customWidth="1"/>
    <col min="13839" max="14080" width="9.140625" style="614"/>
    <col min="14081" max="14081" width="9.140625" style="614" customWidth="1"/>
    <col min="14082" max="14082" width="25.85546875" style="614" customWidth="1"/>
    <col min="14083" max="14083" width="5.7109375" style="614" bestFit="1" customWidth="1"/>
    <col min="14084" max="14084" width="7.140625" style="614" bestFit="1" customWidth="1"/>
    <col min="14085" max="14085" width="7.28515625" style="614" bestFit="1" customWidth="1"/>
    <col min="14086" max="14086" width="6.140625" style="614" bestFit="1" customWidth="1"/>
    <col min="14087" max="14089" width="7.28515625" style="614" bestFit="1" customWidth="1"/>
    <col min="14090" max="14090" width="8" style="614" bestFit="1" customWidth="1"/>
    <col min="14091" max="14091" width="8.28515625" style="614" customWidth="1"/>
    <col min="14092" max="14093" width="10.42578125" style="614" bestFit="1" customWidth="1"/>
    <col min="14094" max="14094" width="13.140625" style="614" bestFit="1" customWidth="1"/>
    <col min="14095" max="14336" width="9.140625" style="614"/>
    <col min="14337" max="14337" width="9.140625" style="614" customWidth="1"/>
    <col min="14338" max="14338" width="25.85546875" style="614" customWidth="1"/>
    <col min="14339" max="14339" width="5.7109375" style="614" bestFit="1" customWidth="1"/>
    <col min="14340" max="14340" width="7.140625" style="614" bestFit="1" customWidth="1"/>
    <col min="14341" max="14341" width="7.28515625" style="614" bestFit="1" customWidth="1"/>
    <col min="14342" max="14342" width="6.140625" style="614" bestFit="1" customWidth="1"/>
    <col min="14343" max="14345" width="7.28515625" style="614" bestFit="1" customWidth="1"/>
    <col min="14346" max="14346" width="8" style="614" bestFit="1" customWidth="1"/>
    <col min="14347" max="14347" width="8.28515625" style="614" customWidth="1"/>
    <col min="14348" max="14349" width="10.42578125" style="614" bestFit="1" customWidth="1"/>
    <col min="14350" max="14350" width="13.140625" style="614" bestFit="1" customWidth="1"/>
    <col min="14351" max="14592" width="9.140625" style="614"/>
    <col min="14593" max="14593" width="9.140625" style="614" customWidth="1"/>
    <col min="14594" max="14594" width="25.85546875" style="614" customWidth="1"/>
    <col min="14595" max="14595" width="5.7109375" style="614" bestFit="1" customWidth="1"/>
    <col min="14596" max="14596" width="7.140625" style="614" bestFit="1" customWidth="1"/>
    <col min="14597" max="14597" width="7.28515625" style="614" bestFit="1" customWidth="1"/>
    <col min="14598" max="14598" width="6.140625" style="614" bestFit="1" customWidth="1"/>
    <col min="14599" max="14601" width="7.28515625" style="614" bestFit="1" customWidth="1"/>
    <col min="14602" max="14602" width="8" style="614" bestFit="1" customWidth="1"/>
    <col min="14603" max="14603" width="8.28515625" style="614" customWidth="1"/>
    <col min="14604" max="14605" width="10.42578125" style="614" bestFit="1" customWidth="1"/>
    <col min="14606" max="14606" width="13.140625" style="614" bestFit="1" customWidth="1"/>
    <col min="14607" max="14848" width="9.140625" style="614"/>
    <col min="14849" max="14849" width="9.140625" style="614" customWidth="1"/>
    <col min="14850" max="14850" width="25.85546875" style="614" customWidth="1"/>
    <col min="14851" max="14851" width="5.7109375" style="614" bestFit="1" customWidth="1"/>
    <col min="14852" max="14852" width="7.140625" style="614" bestFit="1" customWidth="1"/>
    <col min="14853" max="14853" width="7.28515625" style="614" bestFit="1" customWidth="1"/>
    <col min="14854" max="14854" width="6.140625" style="614" bestFit="1" customWidth="1"/>
    <col min="14855" max="14857" width="7.28515625" style="614" bestFit="1" customWidth="1"/>
    <col min="14858" max="14858" width="8" style="614" bestFit="1" customWidth="1"/>
    <col min="14859" max="14859" width="8.28515625" style="614" customWidth="1"/>
    <col min="14860" max="14861" width="10.42578125" style="614" bestFit="1" customWidth="1"/>
    <col min="14862" max="14862" width="13.140625" style="614" bestFit="1" customWidth="1"/>
    <col min="14863" max="15104" width="9.140625" style="614"/>
    <col min="15105" max="15105" width="9.140625" style="614" customWidth="1"/>
    <col min="15106" max="15106" width="25.85546875" style="614" customWidth="1"/>
    <col min="15107" max="15107" width="5.7109375" style="614" bestFit="1" customWidth="1"/>
    <col min="15108" max="15108" width="7.140625" style="614" bestFit="1" customWidth="1"/>
    <col min="15109" max="15109" width="7.28515625" style="614" bestFit="1" customWidth="1"/>
    <col min="15110" max="15110" width="6.140625" style="614" bestFit="1" customWidth="1"/>
    <col min="15111" max="15113" width="7.28515625" style="614" bestFit="1" customWidth="1"/>
    <col min="15114" max="15114" width="8" style="614" bestFit="1" customWidth="1"/>
    <col min="15115" max="15115" width="8.28515625" style="614" customWidth="1"/>
    <col min="15116" max="15117" width="10.42578125" style="614" bestFit="1" customWidth="1"/>
    <col min="15118" max="15118" width="13.140625" style="614" bestFit="1" customWidth="1"/>
    <col min="15119" max="15360" width="9.140625" style="614"/>
    <col min="15361" max="15361" width="9.140625" style="614" customWidth="1"/>
    <col min="15362" max="15362" width="25.85546875" style="614" customWidth="1"/>
    <col min="15363" max="15363" width="5.7109375" style="614" bestFit="1" customWidth="1"/>
    <col min="15364" max="15364" width="7.140625" style="614" bestFit="1" customWidth="1"/>
    <col min="15365" max="15365" width="7.28515625" style="614" bestFit="1" customWidth="1"/>
    <col min="15366" max="15366" width="6.140625" style="614" bestFit="1" customWidth="1"/>
    <col min="15367" max="15369" width="7.28515625" style="614" bestFit="1" customWidth="1"/>
    <col min="15370" max="15370" width="8" style="614" bestFit="1" customWidth="1"/>
    <col min="15371" max="15371" width="8.28515625" style="614" customWidth="1"/>
    <col min="15372" max="15373" width="10.42578125" style="614" bestFit="1" customWidth="1"/>
    <col min="15374" max="15374" width="13.140625" style="614" bestFit="1" customWidth="1"/>
    <col min="15375" max="15616" width="9.140625" style="614"/>
    <col min="15617" max="15617" width="9.140625" style="614" customWidth="1"/>
    <col min="15618" max="15618" width="25.85546875" style="614" customWidth="1"/>
    <col min="15619" max="15619" width="5.7109375" style="614" bestFit="1" customWidth="1"/>
    <col min="15620" max="15620" width="7.140625" style="614" bestFit="1" customWidth="1"/>
    <col min="15621" max="15621" width="7.28515625" style="614" bestFit="1" customWidth="1"/>
    <col min="15622" max="15622" width="6.140625" style="614" bestFit="1" customWidth="1"/>
    <col min="15623" max="15625" width="7.28515625" style="614" bestFit="1" customWidth="1"/>
    <col min="15626" max="15626" width="8" style="614" bestFit="1" customWidth="1"/>
    <col min="15627" max="15627" width="8.28515625" style="614" customWidth="1"/>
    <col min="15628" max="15629" width="10.42578125" style="614" bestFit="1" customWidth="1"/>
    <col min="15630" max="15630" width="13.140625" style="614" bestFit="1" customWidth="1"/>
    <col min="15631" max="15872" width="9.140625" style="614"/>
    <col min="15873" max="15873" width="9.140625" style="614" customWidth="1"/>
    <col min="15874" max="15874" width="25.85546875" style="614" customWidth="1"/>
    <col min="15875" max="15875" width="5.7109375" style="614" bestFit="1" customWidth="1"/>
    <col min="15876" max="15876" width="7.140625" style="614" bestFit="1" customWidth="1"/>
    <col min="15877" max="15877" width="7.28515625" style="614" bestFit="1" customWidth="1"/>
    <col min="15878" max="15878" width="6.140625" style="614" bestFit="1" customWidth="1"/>
    <col min="15879" max="15881" width="7.28515625" style="614" bestFit="1" customWidth="1"/>
    <col min="15882" max="15882" width="8" style="614" bestFit="1" customWidth="1"/>
    <col min="15883" max="15883" width="8.28515625" style="614" customWidth="1"/>
    <col min="15884" max="15885" width="10.42578125" style="614" bestFit="1" customWidth="1"/>
    <col min="15886" max="15886" width="13.140625" style="614" bestFit="1" customWidth="1"/>
    <col min="15887" max="16128" width="9.140625" style="614"/>
    <col min="16129" max="16129" width="9.140625" style="614" customWidth="1"/>
    <col min="16130" max="16130" width="25.85546875" style="614" customWidth="1"/>
    <col min="16131" max="16131" width="5.7109375" style="614" bestFit="1" customWidth="1"/>
    <col min="16132" max="16132" width="7.140625" style="614" bestFit="1" customWidth="1"/>
    <col min="16133" max="16133" width="7.28515625" style="614" bestFit="1" customWidth="1"/>
    <col min="16134" max="16134" width="6.140625" style="614" bestFit="1" customWidth="1"/>
    <col min="16135" max="16137" width="7.28515625" style="614" bestFit="1" customWidth="1"/>
    <col min="16138" max="16138" width="8" style="614" bestFit="1" customWidth="1"/>
    <col min="16139" max="16139" width="8.28515625" style="614" customWidth="1"/>
    <col min="16140" max="16141" width="10.42578125" style="614" bestFit="1" customWidth="1"/>
    <col min="16142" max="16142" width="13.140625" style="614" bestFit="1" customWidth="1"/>
    <col min="16143" max="16384" width="9.140625" style="614"/>
  </cols>
  <sheetData>
    <row r="1" spans="1:14" s="1480" customFormat="1" ht="15" x14ac:dyDescent="0.2">
      <c r="A1" s="184"/>
      <c r="B1" s="184"/>
      <c r="C1" s="184"/>
      <c r="D1" s="62"/>
      <c r="E1" s="68"/>
      <c r="F1" s="63"/>
      <c r="G1" s="185"/>
      <c r="H1" s="185"/>
      <c r="I1" s="185"/>
      <c r="J1" s="1722"/>
      <c r="K1" s="1683"/>
      <c r="L1" s="1684"/>
      <c r="M1" s="2"/>
      <c r="N1" s="2"/>
    </row>
    <row r="2" spans="1:14" s="1480" customFormat="1" x14ac:dyDescent="0.2">
      <c r="A2" s="2206" t="s">
        <v>34</v>
      </c>
      <c r="B2" s="2206"/>
      <c r="C2" s="2206"/>
      <c r="D2" s="2206"/>
      <c r="E2" s="2206"/>
      <c r="F2" s="2206"/>
      <c r="G2" s="2206"/>
      <c r="H2" s="2206"/>
      <c r="I2" s="2206"/>
      <c r="J2" s="2206"/>
      <c r="K2" s="2206"/>
      <c r="L2" s="38"/>
      <c r="M2" s="38"/>
      <c r="N2" s="39"/>
    </row>
    <row r="3" spans="1:14" s="1480" customFormat="1" x14ac:dyDescent="0.2">
      <c r="A3" s="2206" t="s">
        <v>35</v>
      </c>
      <c r="B3" s="2206"/>
      <c r="C3" s="2206"/>
      <c r="D3" s="2206"/>
      <c r="E3" s="2206"/>
      <c r="F3" s="2206"/>
      <c r="G3" s="2206"/>
      <c r="H3" s="2206"/>
      <c r="I3" s="2206"/>
      <c r="J3" s="2206"/>
      <c r="K3" s="2206"/>
      <c r="L3" s="38"/>
      <c r="M3" s="38"/>
      <c r="N3" s="39"/>
    </row>
    <row r="4" spans="1:14" s="1480" customFormat="1" x14ac:dyDescent="0.2">
      <c r="A4" s="2206" t="s">
        <v>4980</v>
      </c>
      <c r="B4" s="2206"/>
      <c r="C4" s="2206"/>
      <c r="D4" s="2206"/>
      <c r="E4" s="2206"/>
      <c r="F4" s="2206"/>
      <c r="G4" s="2206"/>
      <c r="H4" s="2206"/>
      <c r="I4" s="2206"/>
      <c r="J4" s="2206"/>
      <c r="K4" s="2206"/>
      <c r="L4" s="38"/>
      <c r="M4" s="38"/>
      <c r="N4" s="39"/>
    </row>
    <row r="5" spans="1:14" s="1480" customFormat="1" ht="15" x14ac:dyDescent="0.2">
      <c r="A5" s="56"/>
      <c r="B5" s="56"/>
      <c r="C5" s="56"/>
      <c r="D5" s="57" t="s">
        <v>29</v>
      </c>
      <c r="E5" s="1503"/>
      <c r="F5" s="1717"/>
      <c r="G5" s="64"/>
      <c r="H5" s="64"/>
      <c r="I5" s="64"/>
      <c r="J5" s="1721"/>
      <c r="K5" s="1685"/>
      <c r="L5" s="38"/>
      <c r="M5" s="38"/>
      <c r="N5" s="39"/>
    </row>
    <row r="6" spans="1:14" s="1480" customFormat="1" ht="15" x14ac:dyDescent="0.2">
      <c r="A6" s="56"/>
      <c r="B6" s="56"/>
      <c r="C6" s="56"/>
      <c r="D6" s="57"/>
      <c r="E6" s="1503"/>
      <c r="F6" s="65"/>
      <c r="G6" s="185"/>
      <c r="H6" s="185"/>
      <c r="I6" s="185"/>
      <c r="J6" s="1722"/>
      <c r="K6" s="1683"/>
      <c r="L6" s="1684"/>
      <c r="M6" s="2"/>
      <c r="N6" s="2"/>
    </row>
    <row r="7" spans="1:14" s="1480" customFormat="1" ht="15.75" x14ac:dyDescent="0.2">
      <c r="A7" s="2205" t="s">
        <v>7849</v>
      </c>
      <c r="B7" s="2205"/>
      <c r="C7" s="2205"/>
      <c r="D7" s="2205"/>
      <c r="E7" s="2205"/>
      <c r="F7" s="2205"/>
      <c r="G7" s="2205"/>
      <c r="H7" s="2205"/>
      <c r="I7" s="2205"/>
      <c r="J7" s="2205"/>
      <c r="K7" s="2205"/>
      <c r="L7" s="38"/>
      <c r="M7" s="38"/>
      <c r="N7" s="39"/>
    </row>
    <row r="8" spans="1:14" s="1480" customFormat="1" ht="15" x14ac:dyDescent="0.2">
      <c r="A8" s="56"/>
      <c r="B8" s="56"/>
      <c r="C8" s="56"/>
      <c r="D8" s="57"/>
      <c r="E8" s="1503"/>
      <c r="F8" s="1717"/>
      <c r="G8" s="64"/>
      <c r="H8" s="64"/>
      <c r="I8" s="64"/>
      <c r="J8" s="1721"/>
      <c r="K8" s="1685"/>
      <c r="L8" s="38"/>
      <c r="M8" s="38"/>
      <c r="N8" s="39"/>
    </row>
    <row r="9" spans="1:14" s="6" customFormat="1" x14ac:dyDescent="0.2">
      <c r="A9" s="1730" t="s">
        <v>4443</v>
      </c>
      <c r="B9" s="2204" t="str">
        <f>'Orç - Canteiro e Adm'!B9:J9</f>
        <v>Construção do Edifício ULEG-FM</v>
      </c>
      <c r="C9" s="2204"/>
      <c r="D9" s="2204"/>
      <c r="E9" s="2204"/>
      <c r="F9" s="2204"/>
      <c r="G9" s="2204"/>
      <c r="H9" s="2204"/>
      <c r="I9" s="2204"/>
      <c r="J9" s="2204"/>
      <c r="K9" s="1685"/>
      <c r="L9" s="1685"/>
      <c r="M9" s="2"/>
      <c r="N9" s="2"/>
    </row>
    <row r="10" spans="1:14" s="1480" customFormat="1" x14ac:dyDescent="0.2">
      <c r="A10" s="1730" t="s">
        <v>128</v>
      </c>
      <c r="B10" s="2204" t="str">
        <f>'Orç - Canteiro e Adm'!B10:J10</f>
        <v>Campus Darcy Ribeiro</v>
      </c>
      <c r="C10" s="2204"/>
      <c r="D10" s="2204"/>
      <c r="E10" s="2204"/>
      <c r="F10" s="2204"/>
      <c r="G10" s="2204"/>
      <c r="H10" s="2204"/>
      <c r="I10" s="2204"/>
      <c r="J10" s="2204"/>
      <c r="K10" s="1685"/>
      <c r="L10" s="1685"/>
      <c r="M10" s="2"/>
      <c r="N10" s="2"/>
    </row>
    <row r="11" spans="1:14" s="1480" customFormat="1" x14ac:dyDescent="0.2">
      <c r="A11" s="1730" t="s">
        <v>4444</v>
      </c>
      <c r="B11" s="2204" t="str">
        <f>'Orç - Canteiro e Adm'!B11:J11</f>
        <v>Maio de 2020</v>
      </c>
      <c r="C11" s="2204"/>
      <c r="D11" s="2204"/>
      <c r="E11" s="2204"/>
      <c r="F11" s="2204"/>
      <c r="G11" s="2204"/>
      <c r="H11" s="2204"/>
      <c r="I11" s="2204"/>
      <c r="J11" s="2204"/>
      <c r="K11" s="1685"/>
      <c r="L11" s="1685"/>
      <c r="M11" s="2"/>
      <c r="N11" s="2"/>
    </row>
    <row r="12" spans="1:14" x14ac:dyDescent="0.2">
      <c r="A12" s="1718"/>
      <c r="B12" s="2201"/>
      <c r="C12" s="2201"/>
      <c r="D12" s="2201"/>
      <c r="E12" s="2201"/>
      <c r="F12" s="2201"/>
      <c r="G12" s="2201"/>
      <c r="H12" s="2201"/>
      <c r="I12" s="2201"/>
      <c r="J12" s="2201"/>
      <c r="K12" s="1718"/>
    </row>
    <row r="13" spans="1:14" s="1643" customFormat="1" ht="25.5" x14ac:dyDescent="0.2">
      <c r="A13" s="1835" t="str">
        <f>'Orç - Prédio'!A25</f>
        <v>01.06.002</v>
      </c>
      <c r="B13" s="2207" t="str">
        <f>'Orç - Prédio'!D25</f>
        <v>Ensaio de abatimento de tronco de cone (1 a cada caminhão de 8m3 de concreto usinado)</v>
      </c>
      <c r="C13" s="2207"/>
      <c r="D13" s="2207"/>
      <c r="E13" s="2207"/>
      <c r="F13" s="2207"/>
      <c r="G13" s="2207"/>
      <c r="H13" s="2207"/>
      <c r="I13" s="2207"/>
      <c r="J13" s="2207"/>
      <c r="K13" s="1836"/>
      <c r="L13" s="1837" t="s">
        <v>15154</v>
      </c>
    </row>
    <row r="14" spans="1:14" x14ac:dyDescent="0.2">
      <c r="A14" s="2202"/>
      <c r="B14" s="2202"/>
      <c r="C14" s="1537"/>
      <c r="D14" s="1537"/>
      <c r="E14" s="1537"/>
      <c r="F14" s="1537"/>
      <c r="G14" s="2202"/>
      <c r="H14" s="2202"/>
      <c r="I14" s="2202"/>
      <c r="J14" s="2202"/>
      <c r="K14" s="2202"/>
    </row>
    <row r="15" spans="1:14" x14ac:dyDescent="0.2">
      <c r="A15" s="2202" t="s">
        <v>6715</v>
      </c>
      <c r="B15" s="2202"/>
      <c r="C15" s="2202"/>
      <c r="D15" s="2202"/>
      <c r="E15" s="2202"/>
      <c r="F15" s="2202"/>
      <c r="G15" s="1620"/>
      <c r="H15" s="1620" t="s">
        <v>6706</v>
      </c>
      <c r="I15" s="1620"/>
      <c r="J15" s="1620" t="s">
        <v>6926</v>
      </c>
      <c r="K15" s="1620"/>
    </row>
    <row r="16" spans="1:14" x14ac:dyDescent="0.2">
      <c r="A16" s="2202"/>
      <c r="B16" s="2202"/>
      <c r="C16" s="2202"/>
      <c r="D16" s="2202"/>
      <c r="E16" s="2202"/>
      <c r="F16" s="2202"/>
      <c r="G16" s="1620"/>
      <c r="H16" s="1620" t="s">
        <v>6709</v>
      </c>
      <c r="I16" s="1620"/>
      <c r="J16" s="1620" t="s">
        <v>7342</v>
      </c>
      <c r="K16" s="1620"/>
    </row>
    <row r="17" spans="1:12" x14ac:dyDescent="0.2">
      <c r="A17" s="1620"/>
      <c r="B17" s="1538" t="s">
        <v>7343</v>
      </c>
      <c r="C17" s="1541"/>
      <c r="D17" s="1541"/>
      <c r="E17" s="1544"/>
      <c r="F17" s="1541"/>
      <c r="G17" s="1540"/>
      <c r="H17" s="1539">
        <v>106.32</v>
      </c>
      <c r="I17" s="1539"/>
      <c r="J17" s="1539">
        <f>ROUND(H17/8,0)</f>
        <v>13</v>
      </c>
      <c r="K17" s="1539">
        <f>C17*H17</f>
        <v>0</v>
      </c>
    </row>
    <row r="18" spans="1:12" x14ac:dyDescent="0.2">
      <c r="A18" s="1620"/>
      <c r="B18" s="1538" t="s">
        <v>7344</v>
      </c>
      <c r="C18" s="1541"/>
      <c r="D18" s="1541"/>
      <c r="E18" s="1544"/>
      <c r="F18" s="1541"/>
      <c r="G18" s="1540"/>
      <c r="H18" s="1539">
        <v>60</v>
      </c>
      <c r="I18" s="1539"/>
      <c r="J18" s="1539">
        <f>ROUND(H18/8,0)</f>
        <v>8</v>
      </c>
      <c r="K18" s="1539">
        <f>C18*H18</f>
        <v>0</v>
      </c>
    </row>
    <row r="19" spans="1:12" x14ac:dyDescent="0.2">
      <c r="A19" s="1620"/>
      <c r="B19" s="1538" t="s">
        <v>7346</v>
      </c>
      <c r="C19" s="1541"/>
      <c r="D19" s="1541"/>
      <c r="E19" s="1544"/>
      <c r="F19" s="1541"/>
      <c r="G19" s="1540"/>
      <c r="H19" s="1539">
        <v>112.87</v>
      </c>
      <c r="I19" s="1539"/>
      <c r="J19" s="1539">
        <f>ROUND(H19/8,0)</f>
        <v>14</v>
      </c>
      <c r="K19" s="1539">
        <f>C19*H19</f>
        <v>0</v>
      </c>
    </row>
    <row r="20" spans="1:12" x14ac:dyDescent="0.2">
      <c r="A20" s="1620"/>
      <c r="B20" s="1538" t="s">
        <v>7345</v>
      </c>
      <c r="C20" s="1541"/>
      <c r="D20" s="1541"/>
      <c r="E20" s="1544"/>
      <c r="F20" s="1541"/>
      <c r="G20" s="1540"/>
      <c r="H20" s="1539">
        <v>6.32</v>
      </c>
      <c r="I20" s="1539"/>
      <c r="J20" s="1539">
        <f>ROUND(H20/8,0)</f>
        <v>1</v>
      </c>
      <c r="K20" s="1539">
        <f>C20*H20</f>
        <v>0</v>
      </c>
    </row>
    <row r="21" spans="1:12" x14ac:dyDescent="0.2">
      <c r="A21" s="1620"/>
      <c r="B21" s="1538" t="s">
        <v>7347</v>
      </c>
      <c r="C21" s="1541"/>
      <c r="D21" s="1541"/>
      <c r="E21" s="1544"/>
      <c r="F21" s="1541"/>
      <c r="G21" s="1540"/>
      <c r="H21" s="1539">
        <v>9</v>
      </c>
      <c r="I21" s="1539"/>
      <c r="J21" s="1539">
        <f>ROUND(H21/8,0)</f>
        <v>1</v>
      </c>
      <c r="K21" s="1539">
        <f>C21*H21</f>
        <v>0</v>
      </c>
    </row>
    <row r="22" spans="1:12" x14ac:dyDescent="0.2">
      <c r="A22" s="1547"/>
      <c r="B22" s="1548"/>
      <c r="C22" s="1548"/>
      <c r="D22" s="1548"/>
      <c r="E22" s="1548"/>
      <c r="F22" s="2200" t="s">
        <v>6711</v>
      </c>
      <c r="G22" s="2200"/>
      <c r="H22" s="2200"/>
      <c r="I22" s="1549"/>
      <c r="J22" s="1549">
        <f>SUM(J17:J21)</f>
        <v>37</v>
      </c>
      <c r="K22" s="1549"/>
    </row>
    <row r="23" spans="1:12" x14ac:dyDescent="0.2">
      <c r="A23" s="1620"/>
      <c r="B23" s="2201"/>
      <c r="C23" s="2201"/>
      <c r="D23" s="2201"/>
      <c r="E23" s="2201"/>
      <c r="F23" s="2201"/>
      <c r="G23" s="2201"/>
      <c r="H23" s="2201"/>
      <c r="I23" s="2201"/>
      <c r="J23" s="2201"/>
      <c r="K23" s="1620"/>
    </row>
    <row r="24" spans="1:12" s="1643" customFormat="1" ht="25.5" x14ac:dyDescent="0.2">
      <c r="A24" s="1835" t="str">
        <f>'Orç - Prédio'!A47</f>
        <v>02.03.101</v>
      </c>
      <c r="B24" s="2207" t="str">
        <f>'Orç - Prédio'!D47</f>
        <v>Locação convencional de obra, através de gabarito de tábuas corridas pontaletadas a cada 2,00m, 2 utilizações</v>
      </c>
      <c r="C24" s="2207"/>
      <c r="D24" s="2207"/>
      <c r="E24" s="2207"/>
      <c r="F24" s="2207"/>
      <c r="G24" s="2207"/>
      <c r="H24" s="2207"/>
      <c r="I24" s="2207"/>
      <c r="J24" s="2207"/>
      <c r="K24" s="1836" t="str">
        <f>'Orç - Prédio'!F47</f>
        <v>m</v>
      </c>
      <c r="L24" s="1837" t="s">
        <v>15154</v>
      </c>
    </row>
    <row r="25" spans="1:12" x14ac:dyDescent="0.2">
      <c r="A25" s="2202"/>
      <c r="B25" s="2202"/>
      <c r="C25" s="1537"/>
      <c r="D25" s="1537"/>
      <c r="E25" s="1537"/>
      <c r="F25" s="1537"/>
      <c r="G25" s="2202" t="s">
        <v>6699</v>
      </c>
      <c r="H25" s="2202"/>
      <c r="I25" s="2202" t="s">
        <v>6700</v>
      </c>
      <c r="J25" s="2202"/>
      <c r="K25" s="2202"/>
    </row>
    <row r="26" spans="1:12" ht="22.5" x14ac:dyDescent="0.2">
      <c r="A26" s="2202" t="s">
        <v>6715</v>
      </c>
      <c r="B26" s="2202"/>
      <c r="C26" s="2202" t="s">
        <v>6701</v>
      </c>
      <c r="D26" s="2202" t="s">
        <v>6702</v>
      </c>
      <c r="E26" s="2202" t="s">
        <v>6703</v>
      </c>
      <c r="F26" s="2202" t="s">
        <v>6704</v>
      </c>
      <c r="G26" s="1542" t="s">
        <v>6705</v>
      </c>
      <c r="H26" s="1542" t="s">
        <v>6706</v>
      </c>
      <c r="I26" s="1542" t="s">
        <v>6707</v>
      </c>
      <c r="J26" s="1542" t="s">
        <v>6705</v>
      </c>
      <c r="K26" s="1542" t="s">
        <v>6706</v>
      </c>
    </row>
    <row r="27" spans="1:12" x14ac:dyDescent="0.2">
      <c r="A27" s="2202"/>
      <c r="B27" s="2202"/>
      <c r="C27" s="2202"/>
      <c r="D27" s="2202"/>
      <c r="E27" s="2202"/>
      <c r="F27" s="2202"/>
      <c r="G27" s="1542" t="s">
        <v>6708</v>
      </c>
      <c r="H27" s="1542" t="s">
        <v>6709</v>
      </c>
      <c r="I27" s="1542" t="s">
        <v>6710</v>
      </c>
      <c r="J27" s="1542" t="s">
        <v>6708</v>
      </c>
      <c r="K27" s="1542" t="s">
        <v>6709</v>
      </c>
    </row>
    <row r="28" spans="1:12" ht="22.5" x14ac:dyDescent="0.2">
      <c r="A28" s="1542"/>
      <c r="B28" s="1538" t="s">
        <v>8271</v>
      </c>
      <c r="C28" s="1541">
        <v>1</v>
      </c>
      <c r="D28" s="1541">
        <v>201.6</v>
      </c>
      <c r="E28" s="1544"/>
      <c r="F28" s="1541"/>
      <c r="G28" s="1540"/>
      <c r="H28" s="1539"/>
      <c r="I28" s="1539">
        <f>D28*C28</f>
        <v>201.6</v>
      </c>
      <c r="J28" s="1539">
        <f>C28*G28</f>
        <v>0</v>
      </c>
      <c r="K28" s="1539">
        <f>C28*H28</f>
        <v>0</v>
      </c>
    </row>
    <row r="29" spans="1:12" x14ac:dyDescent="0.2">
      <c r="A29" s="1547"/>
      <c r="B29" s="1548"/>
      <c r="C29" s="1548"/>
      <c r="D29" s="1548"/>
      <c r="E29" s="1548"/>
      <c r="F29" s="2200" t="s">
        <v>6711</v>
      </c>
      <c r="G29" s="2200"/>
      <c r="H29" s="2200"/>
      <c r="I29" s="1549">
        <f>ROUND(SUM(I28:I28),2)</f>
        <v>201.6</v>
      </c>
      <c r="J29" s="1549">
        <f>ROUND(SUM(J28:J28),2)</f>
        <v>0</v>
      </c>
      <c r="K29" s="1549">
        <f>ROUND(SUM(K28:K28),2)</f>
        <v>0</v>
      </c>
    </row>
    <row r="30" spans="1:12" x14ac:dyDescent="0.2">
      <c r="A30" s="1542"/>
      <c r="B30" s="2201"/>
      <c r="C30" s="2201"/>
      <c r="D30" s="2201"/>
      <c r="E30" s="2201"/>
      <c r="F30" s="2201"/>
      <c r="G30" s="2201"/>
      <c r="H30" s="2201"/>
      <c r="I30" s="2201"/>
      <c r="J30" s="2201"/>
      <c r="K30" s="1542"/>
    </row>
    <row r="31" spans="1:12" ht="25.5" x14ac:dyDescent="0.2">
      <c r="A31" s="1835" t="str">
        <f>'Orç - Prédio'!A56</f>
        <v>03.01.102.01</v>
      </c>
      <c r="B31" s="2207" t="str">
        <f>'Orç - Prédio'!D56</f>
        <v>Escavação mecanizada para bloco de coroamento ou sapata, com previsão de forma, com retroescavadeira</v>
      </c>
      <c r="C31" s="2207"/>
      <c r="D31" s="2207"/>
      <c r="E31" s="2207"/>
      <c r="F31" s="2207"/>
      <c r="G31" s="2207"/>
      <c r="H31" s="2207"/>
      <c r="I31" s="2207"/>
      <c r="J31" s="2207"/>
      <c r="K31" s="1836" t="str">
        <f>'Orç - Prédio'!F56</f>
        <v>m3</v>
      </c>
      <c r="L31" s="1837" t="s">
        <v>15154</v>
      </c>
    </row>
    <row r="32" spans="1:12" x14ac:dyDescent="0.2">
      <c r="A32" s="2202"/>
      <c r="B32" s="2202"/>
      <c r="C32" s="1537"/>
      <c r="D32" s="1537"/>
      <c r="E32" s="1537"/>
      <c r="F32" s="1537"/>
      <c r="G32" s="2202" t="s">
        <v>6699</v>
      </c>
      <c r="H32" s="2202"/>
      <c r="I32" s="2202" t="s">
        <v>6700</v>
      </c>
      <c r="J32" s="2202"/>
      <c r="K32" s="2202"/>
    </row>
    <row r="33" spans="1:13" ht="22.5" x14ac:dyDescent="0.2">
      <c r="A33" s="2202" t="s">
        <v>6715</v>
      </c>
      <c r="B33" s="2202"/>
      <c r="C33" s="2202" t="s">
        <v>6701</v>
      </c>
      <c r="D33" s="2202" t="s">
        <v>6702</v>
      </c>
      <c r="E33" s="2202" t="s">
        <v>6703</v>
      </c>
      <c r="F33" s="2202" t="s">
        <v>6704</v>
      </c>
      <c r="G33" s="1925" t="s">
        <v>6705</v>
      </c>
      <c r="H33" s="1925" t="s">
        <v>6706</v>
      </c>
      <c r="I33" s="1925" t="s">
        <v>6707</v>
      </c>
      <c r="J33" s="1925" t="s">
        <v>6705</v>
      </c>
      <c r="K33" s="1925" t="s">
        <v>6706</v>
      </c>
    </row>
    <row r="34" spans="1:13" x14ac:dyDescent="0.2">
      <c r="A34" s="2202"/>
      <c r="B34" s="2202"/>
      <c r="C34" s="2202"/>
      <c r="D34" s="2202"/>
      <c r="E34" s="2202"/>
      <c r="F34" s="2202"/>
      <c r="G34" s="1925" t="s">
        <v>6708</v>
      </c>
      <c r="H34" s="1925" t="s">
        <v>6709</v>
      </c>
      <c r="I34" s="1925" t="s">
        <v>6710</v>
      </c>
      <c r="J34" s="1925" t="s">
        <v>6708</v>
      </c>
      <c r="K34" s="1925" t="s">
        <v>6709</v>
      </c>
    </row>
    <row r="35" spans="1:13" x14ac:dyDescent="0.2">
      <c r="A35" s="1925"/>
      <c r="B35" s="1551" t="s">
        <v>14961</v>
      </c>
      <c r="C35" s="1541">
        <v>20</v>
      </c>
      <c r="D35" s="1616">
        <v>2</v>
      </c>
      <c r="E35" s="1616">
        <v>0.8</v>
      </c>
      <c r="F35" s="1616">
        <v>1</v>
      </c>
      <c r="G35" s="1540"/>
      <c r="H35" s="1937">
        <f>F35*E35*D35</f>
        <v>1.6</v>
      </c>
      <c r="I35" s="1539"/>
      <c r="J35" s="1539"/>
      <c r="K35" s="1937">
        <f>H35*C35</f>
        <v>32</v>
      </c>
      <c r="L35" s="1602"/>
      <c r="M35" s="617"/>
    </row>
    <row r="36" spans="1:13" x14ac:dyDescent="0.2">
      <c r="A36" s="1925"/>
      <c r="B36" s="1551" t="s">
        <v>14962</v>
      </c>
      <c r="C36" s="1541">
        <v>7</v>
      </c>
      <c r="D36" s="1616">
        <v>2</v>
      </c>
      <c r="E36" s="1616">
        <v>2</v>
      </c>
      <c r="F36" s="1616">
        <v>1</v>
      </c>
      <c r="G36" s="1540"/>
      <c r="H36" s="1937">
        <f>F36*E36*D36</f>
        <v>4</v>
      </c>
      <c r="I36" s="1539"/>
      <c r="J36" s="1539"/>
      <c r="K36" s="1937">
        <f>H36*C36</f>
        <v>28</v>
      </c>
      <c r="L36" s="1602"/>
      <c r="M36" s="617"/>
    </row>
    <row r="37" spans="1:13" x14ac:dyDescent="0.2">
      <c r="A37" s="1547"/>
      <c r="B37" s="1548"/>
      <c r="C37" s="1548"/>
      <c r="D37" s="1548"/>
      <c r="E37" s="1548"/>
      <c r="F37" s="2200" t="s">
        <v>7802</v>
      </c>
      <c r="G37" s="2200"/>
      <c r="H37" s="2200"/>
      <c r="I37" s="1549"/>
      <c r="J37" s="1549"/>
      <c r="K37" s="1878">
        <f>ROUND(SUM(K34:K36),2)</f>
        <v>60</v>
      </c>
      <c r="M37" s="617"/>
    </row>
    <row r="38" spans="1:13" x14ac:dyDescent="0.2">
      <c r="A38" s="1925"/>
      <c r="B38" s="2201"/>
      <c r="C38" s="2201"/>
      <c r="D38" s="2201"/>
      <c r="E38" s="2201"/>
      <c r="F38" s="2201"/>
      <c r="G38" s="2201"/>
      <c r="H38" s="2201"/>
      <c r="I38" s="2201"/>
      <c r="J38" s="2201"/>
      <c r="K38" s="1925"/>
      <c r="M38" s="617"/>
    </row>
    <row r="39" spans="1:13" ht="25.5" x14ac:dyDescent="0.2">
      <c r="A39" s="1835" t="str">
        <f>'Orç - Prédio'!A64</f>
        <v>03.01.501</v>
      </c>
      <c r="B39" s="2207" t="str">
        <f>'Orç - Prédio'!D64</f>
        <v>Lastro de concreto magro, aplicado em blocos de coroamento ou sapatas, espessura 5 cm</v>
      </c>
      <c r="C39" s="2207"/>
      <c r="D39" s="2207"/>
      <c r="E39" s="2207"/>
      <c r="F39" s="2207"/>
      <c r="G39" s="2207"/>
      <c r="H39" s="2207"/>
      <c r="I39" s="2207"/>
      <c r="J39" s="2207"/>
      <c r="K39" s="1836" t="str">
        <f>'Orç - Prédio'!F64</f>
        <v>m2</v>
      </c>
      <c r="L39" s="1837" t="s">
        <v>15154</v>
      </c>
    </row>
    <row r="40" spans="1:13" x14ac:dyDescent="0.2">
      <c r="A40" s="2202"/>
      <c r="B40" s="2202"/>
      <c r="C40" s="1537"/>
      <c r="D40" s="1537"/>
      <c r="E40" s="1537"/>
      <c r="F40" s="1537"/>
      <c r="G40" s="2202" t="s">
        <v>6699</v>
      </c>
      <c r="H40" s="2202"/>
      <c r="I40" s="2202" t="s">
        <v>6700</v>
      </c>
      <c r="J40" s="2202"/>
      <c r="K40" s="2202"/>
    </row>
    <row r="41" spans="1:13" ht="22.5" x14ac:dyDescent="0.2">
      <c r="A41" s="2202" t="s">
        <v>6715</v>
      </c>
      <c r="B41" s="2202"/>
      <c r="C41" s="2202" t="s">
        <v>6701</v>
      </c>
      <c r="D41" s="2202" t="s">
        <v>6702</v>
      </c>
      <c r="E41" s="2202" t="s">
        <v>6703</v>
      </c>
      <c r="F41" s="2202" t="s">
        <v>6704</v>
      </c>
      <c r="G41" s="1925" t="s">
        <v>6705</v>
      </c>
      <c r="H41" s="1925" t="s">
        <v>6706</v>
      </c>
      <c r="I41" s="1925" t="s">
        <v>6707</v>
      </c>
      <c r="J41" s="1925" t="s">
        <v>6705</v>
      </c>
      <c r="K41" s="1925" t="s">
        <v>6706</v>
      </c>
    </row>
    <row r="42" spans="1:13" x14ac:dyDescent="0.2">
      <c r="A42" s="2202"/>
      <c r="B42" s="2202"/>
      <c r="C42" s="2202"/>
      <c r="D42" s="2202"/>
      <c r="E42" s="2202"/>
      <c r="F42" s="2202"/>
      <c r="G42" s="1925" t="s">
        <v>6708</v>
      </c>
      <c r="H42" s="1925" t="s">
        <v>6709</v>
      </c>
      <c r="I42" s="1925" t="s">
        <v>6710</v>
      </c>
      <c r="J42" s="1925" t="s">
        <v>6708</v>
      </c>
      <c r="K42" s="1925" t="s">
        <v>6709</v>
      </c>
    </row>
    <row r="43" spans="1:13" x14ac:dyDescent="0.2">
      <c r="A43" s="1925"/>
      <c r="B43" s="1551" t="s">
        <v>14961</v>
      </c>
      <c r="C43" s="1541">
        <v>20</v>
      </c>
      <c r="D43" s="1616">
        <v>2</v>
      </c>
      <c r="E43" s="1616">
        <v>0.8</v>
      </c>
      <c r="F43" s="1616"/>
      <c r="G43" s="1540">
        <f>E43*D43</f>
        <v>1.6</v>
      </c>
      <c r="H43" s="1937"/>
      <c r="I43" s="1539"/>
      <c r="J43" s="1938">
        <f>G43*C43</f>
        <v>32</v>
      </c>
      <c r="K43" s="1937"/>
      <c r="L43" s="1602"/>
      <c r="M43" s="617"/>
    </row>
    <row r="44" spans="1:13" x14ac:dyDescent="0.2">
      <c r="A44" s="1925"/>
      <c r="B44" s="1551" t="s">
        <v>14962</v>
      </c>
      <c r="C44" s="1541">
        <v>7</v>
      </c>
      <c r="D44" s="1616">
        <v>2</v>
      </c>
      <c r="E44" s="1616">
        <v>2</v>
      </c>
      <c r="F44" s="1616"/>
      <c r="G44" s="1540">
        <f>E44*D44</f>
        <v>4</v>
      </c>
      <c r="H44" s="1937"/>
      <c r="I44" s="1539"/>
      <c r="J44" s="1938">
        <f>G44*C44</f>
        <v>28</v>
      </c>
      <c r="K44" s="1937"/>
      <c r="L44" s="1602"/>
      <c r="M44" s="617"/>
    </row>
    <row r="45" spans="1:13" x14ac:dyDescent="0.2">
      <c r="A45" s="1547"/>
      <c r="B45" s="1548"/>
      <c r="C45" s="1548"/>
      <c r="D45" s="1548"/>
      <c r="E45" s="1548"/>
      <c r="F45" s="2200" t="s">
        <v>7802</v>
      </c>
      <c r="G45" s="2200"/>
      <c r="H45" s="2200"/>
      <c r="I45" s="1549"/>
      <c r="J45" s="1878">
        <f>ROUND(SUM(J42:J44),2)</f>
        <v>60</v>
      </c>
      <c r="K45" s="1878"/>
      <c r="M45" s="617"/>
    </row>
    <row r="46" spans="1:13" x14ac:dyDescent="0.2">
      <c r="A46" s="1925"/>
      <c r="B46" s="2201"/>
      <c r="C46" s="2201"/>
      <c r="D46" s="2201"/>
      <c r="E46" s="2201"/>
      <c r="F46" s="2201"/>
      <c r="G46" s="2201"/>
      <c r="H46" s="2201"/>
      <c r="I46" s="2201"/>
      <c r="J46" s="2201"/>
      <c r="K46" s="1925"/>
      <c r="M46" s="617"/>
    </row>
    <row r="47" spans="1:13" ht="25.5" x14ac:dyDescent="0.2">
      <c r="A47" s="1835" t="str">
        <f>'Orç - Prédio'!A65</f>
        <v>03.01.502</v>
      </c>
      <c r="B47" s="2207" t="str">
        <f>'Orç - Prédio'!D65</f>
        <v>Fabricação, montagem e desmontagem de forma para bloco de coroamento, em chapa de madeira compensada resinada, e=17mm, 4 utilizações</v>
      </c>
      <c r="C47" s="2207"/>
      <c r="D47" s="2207"/>
      <c r="E47" s="2207"/>
      <c r="F47" s="2207"/>
      <c r="G47" s="2207"/>
      <c r="H47" s="2207"/>
      <c r="I47" s="2207"/>
      <c r="J47" s="2207"/>
      <c r="K47" s="1836" t="str">
        <f>'Orç - Prédio'!F65</f>
        <v>m2</v>
      </c>
      <c r="L47" s="1837" t="s">
        <v>15154</v>
      </c>
    </row>
    <row r="48" spans="1:13" x14ac:dyDescent="0.2">
      <c r="A48" s="2202"/>
      <c r="B48" s="2202"/>
      <c r="C48" s="1537"/>
      <c r="D48" s="1537"/>
      <c r="E48" s="1537"/>
      <c r="F48" s="1537"/>
      <c r="G48" s="2202" t="s">
        <v>6699</v>
      </c>
      <c r="H48" s="2202"/>
      <c r="I48" s="2202" t="s">
        <v>6700</v>
      </c>
      <c r="J48" s="2202"/>
      <c r="K48" s="2202"/>
    </row>
    <row r="49" spans="1:13" ht="22.5" x14ac:dyDescent="0.2">
      <c r="A49" s="2202" t="s">
        <v>6715</v>
      </c>
      <c r="B49" s="2202"/>
      <c r="C49" s="2202" t="s">
        <v>6701</v>
      </c>
      <c r="D49" s="2202" t="s">
        <v>6702</v>
      </c>
      <c r="E49" s="2202" t="s">
        <v>6703</v>
      </c>
      <c r="F49" s="2202" t="s">
        <v>6704</v>
      </c>
      <c r="G49" s="1925" t="s">
        <v>6705</v>
      </c>
      <c r="H49" s="1925" t="s">
        <v>6706</v>
      </c>
      <c r="I49" s="1925" t="s">
        <v>6707</v>
      </c>
      <c r="J49" s="1925" t="s">
        <v>6705</v>
      </c>
      <c r="K49" s="1925" t="s">
        <v>6706</v>
      </c>
    </row>
    <row r="50" spans="1:13" x14ac:dyDescent="0.2">
      <c r="A50" s="2202"/>
      <c r="B50" s="2202"/>
      <c r="C50" s="2202"/>
      <c r="D50" s="2202"/>
      <c r="E50" s="2202"/>
      <c r="F50" s="2202"/>
      <c r="G50" s="1925" t="s">
        <v>6708</v>
      </c>
      <c r="H50" s="1925" t="s">
        <v>6709</v>
      </c>
      <c r="I50" s="1925" t="s">
        <v>6710</v>
      </c>
      <c r="J50" s="1925" t="s">
        <v>6708</v>
      </c>
      <c r="K50" s="1925" t="s">
        <v>6709</v>
      </c>
    </row>
    <row r="51" spans="1:13" x14ac:dyDescent="0.2">
      <c r="A51" s="1925"/>
      <c r="B51" s="1551" t="s">
        <v>14961</v>
      </c>
      <c r="C51" s="1541">
        <v>20</v>
      </c>
      <c r="D51" s="1616">
        <f>2+2+0.8+0.8</f>
        <v>5.6</v>
      </c>
      <c r="E51" s="1616"/>
      <c r="F51" s="1616">
        <v>1</v>
      </c>
      <c r="G51" s="1540">
        <f>F51*D51</f>
        <v>5.6</v>
      </c>
      <c r="H51" s="1937"/>
      <c r="I51" s="1539"/>
      <c r="J51" s="1938">
        <f>G51*C51</f>
        <v>112</v>
      </c>
      <c r="K51" s="1937"/>
      <c r="L51" s="1602"/>
      <c r="M51" s="617"/>
    </row>
    <row r="52" spans="1:13" x14ac:dyDescent="0.2">
      <c r="A52" s="1925"/>
      <c r="B52" s="1551" t="s">
        <v>14962</v>
      </c>
      <c r="C52" s="1541">
        <v>7</v>
      </c>
      <c r="D52" s="1616">
        <f>2+2+2+2</f>
        <v>8</v>
      </c>
      <c r="E52" s="1616"/>
      <c r="F52" s="1616">
        <v>1</v>
      </c>
      <c r="G52" s="1540">
        <f>F52*D52</f>
        <v>8</v>
      </c>
      <c r="H52" s="1937"/>
      <c r="I52" s="1539"/>
      <c r="J52" s="1938">
        <f>G52*C52</f>
        <v>56</v>
      </c>
      <c r="K52" s="1937"/>
      <c r="L52" s="1602"/>
      <c r="M52" s="617"/>
    </row>
    <row r="53" spans="1:13" x14ac:dyDescent="0.2">
      <c r="A53" s="1547"/>
      <c r="B53" s="1548"/>
      <c r="C53" s="1548"/>
      <c r="D53" s="1548"/>
      <c r="E53" s="1548"/>
      <c r="F53" s="2200" t="s">
        <v>7802</v>
      </c>
      <c r="G53" s="2200"/>
      <c r="H53" s="2200"/>
      <c r="I53" s="1549"/>
      <c r="J53" s="1878">
        <f>ROUND(SUM(J50:J52),2)</f>
        <v>168</v>
      </c>
      <c r="K53" s="1878"/>
      <c r="M53" s="617"/>
    </row>
    <row r="54" spans="1:13" x14ac:dyDescent="0.2">
      <c r="A54" s="1925"/>
      <c r="B54" s="2201"/>
      <c r="C54" s="2201"/>
      <c r="D54" s="2201"/>
      <c r="E54" s="2201"/>
      <c r="F54" s="2201"/>
      <c r="G54" s="2201"/>
      <c r="H54" s="2201"/>
      <c r="I54" s="2201"/>
      <c r="J54" s="2201"/>
      <c r="K54" s="1925"/>
      <c r="M54" s="617"/>
    </row>
    <row r="55" spans="1:13" s="1643" customFormat="1" ht="25.5" x14ac:dyDescent="0.2">
      <c r="A55" s="1835" t="str">
        <f>'Orç - Prédio'!A82</f>
        <v>03.01.602</v>
      </c>
      <c r="B55" s="2207" t="str">
        <f>'Orç - Prédio'!D82</f>
        <v>Impermeabilização de superfícies (faces de blocos de fundação e vigas baldrame) com emulsão asfáltica, duas demãos</v>
      </c>
      <c r="C55" s="2207"/>
      <c r="D55" s="2207"/>
      <c r="E55" s="2207"/>
      <c r="F55" s="2207"/>
      <c r="G55" s="2207"/>
      <c r="H55" s="2207"/>
      <c r="I55" s="2207"/>
      <c r="J55" s="2207"/>
      <c r="K55" s="1836" t="str">
        <f>'Orç - Prédio'!F82</f>
        <v>m2</v>
      </c>
      <c r="L55" s="1837" t="s">
        <v>15154</v>
      </c>
    </row>
    <row r="56" spans="1:13" x14ac:dyDescent="0.2">
      <c r="A56" s="2202"/>
      <c r="B56" s="2202"/>
      <c r="C56" s="1537"/>
      <c r="D56" s="1537"/>
      <c r="E56" s="1537"/>
      <c r="F56" s="1537"/>
      <c r="G56" s="2202" t="s">
        <v>6699</v>
      </c>
      <c r="H56" s="2202"/>
      <c r="I56" s="2202" t="s">
        <v>6700</v>
      </c>
      <c r="J56" s="2202"/>
      <c r="K56" s="2202"/>
    </row>
    <row r="57" spans="1:13" ht="22.5" x14ac:dyDescent="0.2">
      <c r="A57" s="2202" t="s">
        <v>6715</v>
      </c>
      <c r="B57" s="2202"/>
      <c r="C57" s="2202" t="s">
        <v>6701</v>
      </c>
      <c r="D57" s="2202" t="s">
        <v>6953</v>
      </c>
      <c r="E57" s="2202" t="s">
        <v>6704</v>
      </c>
      <c r="F57" s="2202" t="s">
        <v>7455</v>
      </c>
      <c r="G57" s="1627" t="s">
        <v>6705</v>
      </c>
      <c r="H57" s="1627" t="s">
        <v>6706</v>
      </c>
      <c r="I57" s="1627" t="s">
        <v>6707</v>
      </c>
      <c r="J57" s="1627" t="s">
        <v>6705</v>
      </c>
      <c r="K57" s="1627" t="s">
        <v>6706</v>
      </c>
    </row>
    <row r="58" spans="1:13" x14ac:dyDescent="0.2">
      <c r="A58" s="2202"/>
      <c r="B58" s="2202"/>
      <c r="C58" s="2202"/>
      <c r="D58" s="2202"/>
      <c r="E58" s="2202"/>
      <c r="F58" s="2202"/>
      <c r="G58" s="1627" t="s">
        <v>6708</v>
      </c>
      <c r="H58" s="1627" t="s">
        <v>6709</v>
      </c>
      <c r="I58" s="1627" t="s">
        <v>6710</v>
      </c>
      <c r="J58" s="1627" t="s">
        <v>6708</v>
      </c>
      <c r="K58" s="1627" t="s">
        <v>6709</v>
      </c>
    </row>
    <row r="59" spans="1:13" x14ac:dyDescent="0.2">
      <c r="A59" s="1627"/>
      <c r="B59" s="1538" t="s">
        <v>7456</v>
      </c>
      <c r="C59" s="1541">
        <v>20</v>
      </c>
      <c r="D59" s="1541">
        <f>2*2+2*0.8</f>
        <v>5.6</v>
      </c>
      <c r="E59" s="1544">
        <v>1</v>
      </c>
      <c r="F59" s="1541">
        <f>2*0.8</f>
        <v>1.6</v>
      </c>
      <c r="G59" s="1540">
        <f>E59*D59+F59</f>
        <v>7.1999999999999993</v>
      </c>
      <c r="H59" s="1539"/>
      <c r="I59" s="1539"/>
      <c r="J59" s="1539">
        <f>G59*C59</f>
        <v>144</v>
      </c>
      <c r="K59" s="1539">
        <f>C59*H59</f>
        <v>0</v>
      </c>
    </row>
    <row r="60" spans="1:13" x14ac:dyDescent="0.2">
      <c r="A60" s="1627"/>
      <c r="B60" s="1538" t="s">
        <v>7457</v>
      </c>
      <c r="C60" s="1541">
        <v>7</v>
      </c>
      <c r="D60" s="1541">
        <f>2*4</f>
        <v>8</v>
      </c>
      <c r="E60" s="1544">
        <f>1</f>
        <v>1</v>
      </c>
      <c r="F60" s="1541">
        <f>2*2</f>
        <v>4</v>
      </c>
      <c r="G60" s="1540">
        <f>E60*D60+F60</f>
        <v>12</v>
      </c>
      <c r="H60" s="1539"/>
      <c r="I60" s="1539"/>
      <c r="J60" s="1539">
        <f t="shared" ref="J60:J61" si="0">G60*C60</f>
        <v>84</v>
      </c>
      <c r="K60" s="1539">
        <f>C60*H60</f>
        <v>0</v>
      </c>
    </row>
    <row r="61" spans="1:13" ht="22.5" x14ac:dyDescent="0.2">
      <c r="A61" s="1627"/>
      <c r="B61" s="1538" t="s">
        <v>14963</v>
      </c>
      <c r="C61" s="1541">
        <v>1</v>
      </c>
      <c r="D61" s="1541">
        <v>912.49</v>
      </c>
      <c r="E61" s="1544">
        <v>0.8</v>
      </c>
      <c r="F61" s="1541">
        <v>118</v>
      </c>
      <c r="G61" s="1540">
        <f>E61*D61+F61</f>
        <v>847.99200000000008</v>
      </c>
      <c r="H61" s="1539"/>
      <c r="I61" s="1539"/>
      <c r="J61" s="1539">
        <f t="shared" si="0"/>
        <v>847.99200000000008</v>
      </c>
      <c r="K61" s="1539">
        <f>C61*H61</f>
        <v>0</v>
      </c>
    </row>
    <row r="62" spans="1:13" x14ac:dyDescent="0.2">
      <c r="A62" s="1547"/>
      <c r="B62" s="1548"/>
      <c r="C62" s="1548"/>
      <c r="D62" s="1548"/>
      <c r="E62" s="1548"/>
      <c r="F62" s="2200" t="s">
        <v>6711</v>
      </c>
      <c r="G62" s="2200"/>
      <c r="H62" s="2200"/>
      <c r="I62" s="1549">
        <f>ROUND(SUM(I61:I61),2)</f>
        <v>0</v>
      </c>
      <c r="J62" s="1549">
        <f>ROUND(SUM(J59:J61),2)</f>
        <v>1075.99</v>
      </c>
      <c r="K62" s="1549">
        <f>ROUND(SUM(K61:K61),2)</f>
        <v>0</v>
      </c>
    </row>
    <row r="63" spans="1:13" x14ac:dyDescent="0.2">
      <c r="A63" s="1627"/>
      <c r="B63" s="2201"/>
      <c r="C63" s="2201"/>
      <c r="D63" s="2201"/>
      <c r="E63" s="2201"/>
      <c r="F63" s="2201"/>
      <c r="G63" s="2201"/>
      <c r="H63" s="2201"/>
      <c r="I63" s="2201"/>
      <c r="J63" s="2201"/>
      <c r="K63" s="1627"/>
    </row>
    <row r="64" spans="1:13" ht="24.75" customHeight="1" x14ac:dyDescent="0.2">
      <c r="A64" s="1835" t="str">
        <f>'Orç - Prédio'!A87</f>
        <v>03.02.181</v>
      </c>
      <c r="B64" s="2207" t="str">
        <f>'Orç - Prédio'!D87</f>
        <v>Fabricação, montagem e desmontagem de forma para escadas em chapa de madeira compensada plastificada, 18mm, 8 utilizações, inclusive escoramento metálico</v>
      </c>
      <c r="C64" s="2207"/>
      <c r="D64" s="2207"/>
      <c r="E64" s="2207"/>
      <c r="F64" s="2207"/>
      <c r="G64" s="2207"/>
      <c r="H64" s="2207"/>
      <c r="I64" s="2207"/>
      <c r="J64" s="2207"/>
      <c r="K64" s="1836" t="str">
        <f>'Orç - Prédio'!F87</f>
        <v>m2</v>
      </c>
      <c r="L64" s="1837" t="s">
        <v>15154</v>
      </c>
    </row>
    <row r="65" spans="1:13" x14ac:dyDescent="0.2">
      <c r="A65" s="2202"/>
      <c r="B65" s="2202"/>
      <c r="C65" s="1537"/>
      <c r="D65" s="1537"/>
      <c r="E65" s="1537"/>
      <c r="F65" s="1537"/>
      <c r="G65" s="2202" t="s">
        <v>6699</v>
      </c>
      <c r="H65" s="2202"/>
      <c r="I65" s="2202" t="s">
        <v>6700</v>
      </c>
      <c r="J65" s="2202"/>
      <c r="K65" s="2202"/>
    </row>
    <row r="66" spans="1:13" ht="22.5" x14ac:dyDescent="0.2">
      <c r="A66" s="2202" t="s">
        <v>6715</v>
      </c>
      <c r="B66" s="2202"/>
      <c r="C66" s="2202" t="s">
        <v>6701</v>
      </c>
      <c r="D66" s="2202" t="s">
        <v>6702</v>
      </c>
      <c r="E66" s="2202" t="s">
        <v>6703</v>
      </c>
      <c r="F66" s="2202" t="s">
        <v>6704</v>
      </c>
      <c r="G66" s="1600" t="s">
        <v>6705</v>
      </c>
      <c r="H66" s="1600" t="s">
        <v>6706</v>
      </c>
      <c r="I66" s="1600" t="s">
        <v>6707</v>
      </c>
      <c r="J66" s="1600" t="s">
        <v>6705</v>
      </c>
      <c r="K66" s="1600" t="s">
        <v>6706</v>
      </c>
    </row>
    <row r="67" spans="1:13" x14ac:dyDescent="0.2">
      <c r="A67" s="2202"/>
      <c r="B67" s="2202"/>
      <c r="C67" s="2202"/>
      <c r="D67" s="2202"/>
      <c r="E67" s="2202"/>
      <c r="F67" s="2202"/>
      <c r="G67" s="1600" t="s">
        <v>6708</v>
      </c>
      <c r="H67" s="1600" t="s">
        <v>6709</v>
      </c>
      <c r="I67" s="1600" t="s">
        <v>6710</v>
      </c>
      <c r="J67" s="1600" t="s">
        <v>6708</v>
      </c>
      <c r="K67" s="1600" t="s">
        <v>6709</v>
      </c>
    </row>
    <row r="68" spans="1:13" x14ac:dyDescent="0.2">
      <c r="A68" s="1600"/>
      <c r="B68" s="1551" t="s">
        <v>6931</v>
      </c>
      <c r="C68" s="1541">
        <v>1</v>
      </c>
      <c r="D68" s="1541">
        <f>9.83/4</f>
        <v>2.4575</v>
      </c>
      <c r="E68" s="1544">
        <v>1.52</v>
      </c>
      <c r="F68" s="1541"/>
      <c r="G68" s="1540">
        <f>E68*D68</f>
        <v>3.7354000000000003</v>
      </c>
      <c r="H68" s="1539"/>
      <c r="I68" s="1539"/>
      <c r="J68" s="1539">
        <f>G68*C68</f>
        <v>3.7354000000000003</v>
      </c>
      <c r="K68" s="1539">
        <f t="shared" ref="K68:K75" si="1">C68*H68</f>
        <v>0</v>
      </c>
      <c r="L68" s="1602"/>
      <c r="M68" s="617"/>
    </row>
    <row r="69" spans="1:13" x14ac:dyDescent="0.2">
      <c r="A69" s="1600"/>
      <c r="B69" s="1551" t="s">
        <v>6932</v>
      </c>
      <c r="C69" s="1541">
        <v>1</v>
      </c>
      <c r="D69" s="1541">
        <f>9.65/4</f>
        <v>2.4125000000000001</v>
      </c>
      <c r="E69" s="1544">
        <v>1.52</v>
      </c>
      <c r="F69" s="1541"/>
      <c r="G69" s="1540">
        <f>E69*D69</f>
        <v>3.6670000000000003</v>
      </c>
      <c r="H69" s="1539"/>
      <c r="I69" s="1539"/>
      <c r="J69" s="1539">
        <f>G69*C69</f>
        <v>3.6670000000000003</v>
      </c>
      <c r="K69" s="1539">
        <f t="shared" si="1"/>
        <v>0</v>
      </c>
      <c r="L69" s="1602"/>
      <c r="M69" s="617"/>
    </row>
    <row r="70" spans="1:13" x14ac:dyDescent="0.2">
      <c r="A70" s="1600"/>
      <c r="B70" s="1551" t="s">
        <v>6933</v>
      </c>
      <c r="C70" s="1541">
        <v>1</v>
      </c>
      <c r="D70" s="1541">
        <f>8.24/4</f>
        <v>2.06</v>
      </c>
      <c r="E70" s="1544">
        <v>1.52</v>
      </c>
      <c r="F70" s="1541"/>
      <c r="G70" s="1540">
        <f>E70*D70</f>
        <v>3.1312000000000002</v>
      </c>
      <c r="H70" s="1539"/>
      <c r="I70" s="1539"/>
      <c r="J70" s="1539">
        <f t="shared" ref="J70:J75" si="2">G70*C70</f>
        <v>3.1312000000000002</v>
      </c>
      <c r="K70" s="1539">
        <f t="shared" si="1"/>
        <v>0</v>
      </c>
      <c r="L70" s="1602"/>
      <c r="M70" s="617"/>
    </row>
    <row r="71" spans="1:13" x14ac:dyDescent="0.2">
      <c r="A71" s="1600"/>
      <c r="B71" s="1551" t="s">
        <v>6939</v>
      </c>
      <c r="C71" s="1541">
        <v>2</v>
      </c>
      <c r="D71" s="1541">
        <v>1.52</v>
      </c>
      <c r="E71" s="1544">
        <v>1.52</v>
      </c>
      <c r="F71" s="1541"/>
      <c r="G71" s="1540">
        <f>E71*D71</f>
        <v>2.3104</v>
      </c>
      <c r="H71" s="1539"/>
      <c r="I71" s="1539"/>
      <c r="J71" s="1539">
        <f>G71*C71</f>
        <v>4.6208</v>
      </c>
      <c r="K71" s="1539">
        <f>C71*H71</f>
        <v>0</v>
      </c>
      <c r="L71" s="1602"/>
      <c r="M71" s="617"/>
    </row>
    <row r="72" spans="1:13" x14ac:dyDescent="0.2">
      <c r="A72" s="1600"/>
      <c r="B72" s="1551" t="s">
        <v>6940</v>
      </c>
      <c r="C72" s="1541">
        <v>4</v>
      </c>
      <c r="D72" s="1541">
        <v>1.52</v>
      </c>
      <c r="E72" s="1544">
        <v>0.15</v>
      </c>
      <c r="F72" s="1541"/>
      <c r="G72" s="1540">
        <f>E72*D72</f>
        <v>0.22799999999999998</v>
      </c>
      <c r="H72" s="1539"/>
      <c r="I72" s="1539"/>
      <c r="J72" s="1539">
        <f>G72*C72</f>
        <v>0.91199999999999992</v>
      </c>
      <c r="K72" s="1539">
        <f t="shared" si="1"/>
        <v>0</v>
      </c>
      <c r="L72" s="1602"/>
      <c r="M72" s="617"/>
    </row>
    <row r="73" spans="1:13" x14ac:dyDescent="0.2">
      <c r="A73" s="1600"/>
      <c r="B73" s="1551" t="s">
        <v>6935</v>
      </c>
      <c r="C73" s="1541">
        <v>2</v>
      </c>
      <c r="D73" s="1541" t="s">
        <v>6938</v>
      </c>
      <c r="E73" s="1544" t="s">
        <v>6938</v>
      </c>
      <c r="F73" s="1541"/>
      <c r="G73" s="1540">
        <f>8.72/16</f>
        <v>0.54500000000000004</v>
      </c>
      <c r="H73" s="1539"/>
      <c r="I73" s="1539"/>
      <c r="J73" s="1539">
        <f t="shared" si="2"/>
        <v>1.0900000000000001</v>
      </c>
      <c r="K73" s="1539">
        <f t="shared" si="1"/>
        <v>0</v>
      </c>
      <c r="L73" s="1602"/>
      <c r="M73" s="617"/>
    </row>
    <row r="74" spans="1:13" x14ac:dyDescent="0.2">
      <c r="A74" s="1600"/>
      <c r="B74" s="1551" t="s">
        <v>6936</v>
      </c>
      <c r="C74" s="1541">
        <v>2</v>
      </c>
      <c r="D74" s="1541" t="s">
        <v>6938</v>
      </c>
      <c r="E74" s="1544" t="s">
        <v>6938</v>
      </c>
      <c r="F74" s="1541"/>
      <c r="G74" s="1540">
        <f>8.64/16</f>
        <v>0.54</v>
      </c>
      <c r="H74" s="1539"/>
      <c r="I74" s="1539"/>
      <c r="J74" s="1539">
        <f t="shared" si="2"/>
        <v>1.08</v>
      </c>
      <c r="K74" s="1539">
        <f t="shared" si="1"/>
        <v>0</v>
      </c>
      <c r="L74" s="1602"/>
      <c r="M74" s="617"/>
    </row>
    <row r="75" spans="1:13" x14ac:dyDescent="0.2">
      <c r="A75" s="1600"/>
      <c r="B75" s="1551" t="s">
        <v>6937</v>
      </c>
      <c r="C75" s="1541">
        <v>2</v>
      </c>
      <c r="D75" s="1541" t="s">
        <v>6938</v>
      </c>
      <c r="E75" s="1544" t="s">
        <v>6938</v>
      </c>
      <c r="F75" s="1541"/>
      <c r="G75" s="1540">
        <f>8.59/16</f>
        <v>0.53687499999999999</v>
      </c>
      <c r="H75" s="1539"/>
      <c r="I75" s="1539"/>
      <c r="J75" s="1539">
        <f t="shared" si="2"/>
        <v>1.07375</v>
      </c>
      <c r="K75" s="1539">
        <f t="shared" si="1"/>
        <v>0</v>
      </c>
      <c r="L75" s="1602"/>
      <c r="M75" s="617"/>
    </row>
    <row r="76" spans="1:13" x14ac:dyDescent="0.2">
      <c r="A76" s="1547"/>
      <c r="B76" s="1548"/>
      <c r="C76" s="1548"/>
      <c r="D76" s="1548"/>
      <c r="E76" s="1548"/>
      <c r="F76" s="2200" t="s">
        <v>6941</v>
      </c>
      <c r="G76" s="2200"/>
      <c r="H76" s="2200"/>
      <c r="I76" s="1549">
        <f>ROUND(SUM(I67:I75),2)</f>
        <v>0</v>
      </c>
      <c r="J76" s="1549">
        <f>ROUND(SUM(J67:J75),2)</f>
        <v>19.309999999999999</v>
      </c>
      <c r="K76" s="1549">
        <f>ROUND(SUM(K67:K75),2)</f>
        <v>0</v>
      </c>
      <c r="M76" s="617"/>
    </row>
    <row r="77" spans="1:13" x14ac:dyDescent="0.2">
      <c r="A77" s="1547"/>
      <c r="B77" s="1548"/>
      <c r="C77" s="1548"/>
      <c r="D77" s="1548"/>
      <c r="E77" s="1548"/>
      <c r="F77" s="2200" t="s">
        <v>6942</v>
      </c>
      <c r="G77" s="2200"/>
      <c r="H77" s="2200"/>
      <c r="I77" s="1549">
        <f>ROUND(SUM(I68:I76),2)</f>
        <v>0</v>
      </c>
      <c r="J77" s="1549">
        <f>J76*2</f>
        <v>38.619999999999997</v>
      </c>
      <c r="K77" s="1549">
        <f>ROUND(SUM(K68:K76),2)</f>
        <v>0</v>
      </c>
      <c r="M77" s="617"/>
    </row>
    <row r="78" spans="1:13" x14ac:dyDescent="0.2">
      <c r="A78" s="1600"/>
      <c r="B78" s="2201"/>
      <c r="C78" s="2201"/>
      <c r="D78" s="2201"/>
      <c r="E78" s="2201"/>
      <c r="F78" s="2201"/>
      <c r="G78" s="2201"/>
      <c r="H78" s="2201"/>
      <c r="I78" s="2201"/>
      <c r="J78" s="2201"/>
      <c r="K78" s="1600"/>
      <c r="M78" s="617"/>
    </row>
    <row r="79" spans="1:13" s="1643" customFormat="1" ht="25.5" x14ac:dyDescent="0.2">
      <c r="A79" s="1835" t="s">
        <v>5695</v>
      </c>
      <c r="B79" s="2207" t="s">
        <v>9500</v>
      </c>
      <c r="C79" s="2207"/>
      <c r="D79" s="2207"/>
      <c r="E79" s="2207"/>
      <c r="F79" s="2207"/>
      <c r="G79" s="2207"/>
      <c r="H79" s="2207"/>
      <c r="I79" s="2207"/>
      <c r="J79" s="2207"/>
      <c r="K79" s="1836" t="str">
        <f>'Orç - Prédio'!F91</f>
        <v>m3</v>
      </c>
      <c r="L79" s="1837" t="s">
        <v>15154</v>
      </c>
    </row>
    <row r="80" spans="1:13" x14ac:dyDescent="0.2">
      <c r="A80" s="2202"/>
      <c r="B80" s="2202"/>
      <c r="C80" s="1537"/>
      <c r="D80" s="1537"/>
      <c r="E80" s="1537"/>
      <c r="F80" s="1537"/>
      <c r="G80" s="2202" t="s">
        <v>6699</v>
      </c>
      <c r="H80" s="2202"/>
      <c r="I80" s="2202" t="s">
        <v>6700</v>
      </c>
      <c r="J80" s="2202"/>
      <c r="K80" s="2202"/>
    </row>
    <row r="81" spans="1:13" ht="22.5" x14ac:dyDescent="0.2">
      <c r="A81" s="2202" t="s">
        <v>6715</v>
      </c>
      <c r="B81" s="2202"/>
      <c r="C81" s="2202" t="s">
        <v>6701</v>
      </c>
      <c r="D81" s="2202"/>
      <c r="E81" s="2202" t="s">
        <v>6946</v>
      </c>
      <c r="F81" s="2202" t="s">
        <v>6703</v>
      </c>
      <c r="G81" s="1600" t="s">
        <v>6705</v>
      </c>
      <c r="H81" s="1600" t="s">
        <v>6706</v>
      </c>
      <c r="I81" s="1600" t="s">
        <v>6707</v>
      </c>
      <c r="J81" s="1600" t="s">
        <v>6705</v>
      </c>
      <c r="K81" s="1600" t="s">
        <v>6706</v>
      </c>
    </row>
    <row r="82" spans="1:13" x14ac:dyDescent="0.2">
      <c r="A82" s="2202"/>
      <c r="B82" s="2202"/>
      <c r="C82" s="2202"/>
      <c r="D82" s="2202"/>
      <c r="E82" s="2202"/>
      <c r="F82" s="2202"/>
      <c r="G82" s="1600" t="s">
        <v>6708</v>
      </c>
      <c r="H82" s="1600" t="s">
        <v>6709</v>
      </c>
      <c r="I82" s="1600" t="s">
        <v>6710</v>
      </c>
      <c r="J82" s="1600" t="s">
        <v>6708</v>
      </c>
      <c r="K82" s="1600" t="s">
        <v>6709</v>
      </c>
    </row>
    <row r="83" spans="1:13" x14ac:dyDescent="0.2">
      <c r="A83" s="1600"/>
      <c r="B83" s="1551" t="s">
        <v>6943</v>
      </c>
      <c r="C83" s="1541">
        <v>1</v>
      </c>
      <c r="D83" s="1541"/>
      <c r="E83" s="1544">
        <v>0.54500000000000004</v>
      </c>
      <c r="F83" s="1541">
        <v>1.52</v>
      </c>
      <c r="G83" s="1540"/>
      <c r="H83" s="1539">
        <f>F83*E83</f>
        <v>0.82840000000000003</v>
      </c>
      <c r="I83" s="1539"/>
      <c r="J83" s="1539">
        <f t="shared" ref="J83:J86" si="3">G83*C83</f>
        <v>0</v>
      </c>
      <c r="K83" s="1539">
        <f>C83*H83</f>
        <v>0.82840000000000003</v>
      </c>
      <c r="L83" s="1602"/>
      <c r="M83" s="617"/>
    </row>
    <row r="84" spans="1:13" x14ac:dyDescent="0.2">
      <c r="A84" s="1600"/>
      <c r="B84" s="1551" t="s">
        <v>6944</v>
      </c>
      <c r="C84" s="1541">
        <v>1</v>
      </c>
      <c r="D84" s="1541"/>
      <c r="E84" s="1544">
        <v>0.54</v>
      </c>
      <c r="F84" s="1541">
        <v>1.52</v>
      </c>
      <c r="G84" s="1540"/>
      <c r="H84" s="1539">
        <f>F84*E84</f>
        <v>0.82080000000000009</v>
      </c>
      <c r="I84" s="1539"/>
      <c r="J84" s="1539">
        <f t="shared" si="3"/>
        <v>0</v>
      </c>
      <c r="K84" s="1539">
        <f t="shared" ref="K84:K86" si="4">C84*H84</f>
        <v>0.82080000000000009</v>
      </c>
      <c r="L84" s="1602"/>
      <c r="M84" s="617"/>
    </row>
    <row r="85" spans="1:13" x14ac:dyDescent="0.2">
      <c r="A85" s="1600"/>
      <c r="B85" s="1551" t="s">
        <v>6945</v>
      </c>
      <c r="C85" s="1541">
        <v>1</v>
      </c>
      <c r="D85" s="1541"/>
      <c r="E85" s="1544">
        <v>0.53690000000000004</v>
      </c>
      <c r="F85" s="1541">
        <v>1.52</v>
      </c>
      <c r="G85" s="1540"/>
      <c r="H85" s="1539">
        <f>F85*E85</f>
        <v>0.81608800000000004</v>
      </c>
      <c r="I85" s="1539"/>
      <c r="J85" s="1539">
        <f t="shared" si="3"/>
        <v>0</v>
      </c>
      <c r="K85" s="1539">
        <f t="shared" si="4"/>
        <v>0.81608800000000004</v>
      </c>
      <c r="L85" s="1602"/>
      <c r="M85" s="617"/>
    </row>
    <row r="86" spans="1:13" x14ac:dyDescent="0.2">
      <c r="A86" s="1600"/>
      <c r="B86" s="1551" t="s">
        <v>6934</v>
      </c>
      <c r="C86" s="1541">
        <v>2</v>
      </c>
      <c r="D86" s="1541"/>
      <c r="E86" s="1544">
        <f>0.15*1.52</f>
        <v>0.22799999999999998</v>
      </c>
      <c r="F86" s="1541">
        <v>1.52</v>
      </c>
      <c r="G86" s="1540"/>
      <c r="H86" s="1539">
        <f>F86*E86</f>
        <v>0.34655999999999998</v>
      </c>
      <c r="I86" s="1539"/>
      <c r="J86" s="1539">
        <f t="shared" si="3"/>
        <v>0</v>
      </c>
      <c r="K86" s="1539">
        <f t="shared" si="4"/>
        <v>0.69311999999999996</v>
      </c>
      <c r="L86" s="1602"/>
      <c r="M86" s="617"/>
    </row>
    <row r="87" spans="1:13" x14ac:dyDescent="0.2">
      <c r="A87" s="1547"/>
      <c r="B87" s="1548"/>
      <c r="C87" s="1548"/>
      <c r="D87" s="1548"/>
      <c r="E87" s="1548"/>
      <c r="F87" s="2200" t="s">
        <v>6941</v>
      </c>
      <c r="G87" s="2200"/>
      <c r="H87" s="2200"/>
      <c r="I87" s="1549"/>
      <c r="J87" s="1548"/>
      <c r="K87" s="1549">
        <f>ROUND(SUM(K82:K86),2)</f>
        <v>3.16</v>
      </c>
      <c r="M87" s="617"/>
    </row>
    <row r="88" spans="1:13" x14ac:dyDescent="0.2">
      <c r="A88" s="1547"/>
      <c r="B88" s="1548"/>
      <c r="C88" s="1548"/>
      <c r="D88" s="1548"/>
      <c r="E88" s="1548"/>
      <c r="F88" s="2200" t="s">
        <v>6942</v>
      </c>
      <c r="G88" s="2200"/>
      <c r="H88" s="2200"/>
      <c r="I88" s="1549"/>
      <c r="J88" s="1549"/>
      <c r="K88" s="1549">
        <f>ROUND(SUM(K83:K87),2)</f>
        <v>6.32</v>
      </c>
      <c r="M88" s="617"/>
    </row>
    <row r="89" spans="1:13" x14ac:dyDescent="0.2">
      <c r="A89" s="1600"/>
      <c r="B89" s="2201"/>
      <c r="C89" s="2201"/>
      <c r="D89" s="2201"/>
      <c r="E89" s="2201"/>
      <c r="F89" s="2201"/>
      <c r="G89" s="2201"/>
      <c r="H89" s="2201"/>
      <c r="I89" s="2201"/>
      <c r="J89" s="2201"/>
      <c r="K89" s="1600"/>
      <c r="M89" s="617"/>
    </row>
    <row r="90" spans="1:13" s="1643" customFormat="1" ht="27.75" customHeight="1" x14ac:dyDescent="0.2">
      <c r="A90" s="1835" t="str">
        <f>'Orç - Prédio'!A93</f>
        <v>03.02.186</v>
      </c>
      <c r="B90" s="2207" t="str">
        <f>'Orç - Prédio'!D93</f>
        <v>Montagem e desmontagem de forma para pilares retangulares e estruturas similares, com área média das seções menor ou igual a 0,25m2, em chapa de madeira compensada plastificada, 10 utilizações</v>
      </c>
      <c r="C90" s="2207"/>
      <c r="D90" s="2207"/>
      <c r="E90" s="2207"/>
      <c r="F90" s="2207"/>
      <c r="G90" s="2207"/>
      <c r="H90" s="2207"/>
      <c r="I90" s="2207"/>
      <c r="J90" s="2207"/>
      <c r="K90" s="1836" t="str">
        <f>'Orç - Prédio'!F93</f>
        <v>m2</v>
      </c>
      <c r="L90" s="1837" t="s">
        <v>15154</v>
      </c>
    </row>
    <row r="91" spans="1:13" x14ac:dyDescent="0.2">
      <c r="A91" s="2202"/>
      <c r="B91" s="2202"/>
      <c r="C91" s="1537"/>
      <c r="D91" s="1537"/>
      <c r="E91" s="1537"/>
      <c r="F91" s="1537"/>
      <c r="G91" s="2202" t="s">
        <v>6699</v>
      </c>
      <c r="H91" s="2202"/>
      <c r="I91" s="2202" t="s">
        <v>6700</v>
      </c>
      <c r="J91" s="2202"/>
      <c r="K91" s="2202"/>
    </row>
    <row r="92" spans="1:13" ht="22.5" x14ac:dyDescent="0.2">
      <c r="A92" s="2202" t="s">
        <v>6715</v>
      </c>
      <c r="B92" s="2202"/>
      <c r="C92" s="2202" t="s">
        <v>6701</v>
      </c>
      <c r="D92" s="2202" t="s">
        <v>6716</v>
      </c>
      <c r="E92" s="2202" t="s">
        <v>6717</v>
      </c>
      <c r="F92" s="2202" t="s">
        <v>6718</v>
      </c>
      <c r="G92" s="1542" t="s">
        <v>6705</v>
      </c>
      <c r="H92" s="1542" t="s">
        <v>6706</v>
      </c>
      <c r="I92" s="1542" t="s">
        <v>6707</v>
      </c>
      <c r="J92" s="1542" t="s">
        <v>6705</v>
      </c>
      <c r="K92" s="1542" t="s">
        <v>6706</v>
      </c>
    </row>
    <row r="93" spans="1:13" x14ac:dyDescent="0.2">
      <c r="A93" s="2202"/>
      <c r="B93" s="2202"/>
      <c r="C93" s="2202"/>
      <c r="D93" s="2202"/>
      <c r="E93" s="2202"/>
      <c r="F93" s="2202"/>
      <c r="G93" s="1542" t="s">
        <v>6708</v>
      </c>
      <c r="H93" s="1542" t="s">
        <v>6709</v>
      </c>
      <c r="I93" s="1542" t="s">
        <v>6710</v>
      </c>
      <c r="J93" s="1542" t="s">
        <v>6708</v>
      </c>
      <c r="K93" s="1542" t="s">
        <v>6709</v>
      </c>
    </row>
    <row r="94" spans="1:13" x14ac:dyDescent="0.2">
      <c r="A94" s="1542"/>
      <c r="B94" s="1551" t="s">
        <v>5856</v>
      </c>
      <c r="C94" s="1541">
        <v>2</v>
      </c>
      <c r="D94" s="1541">
        <v>14.73</v>
      </c>
      <c r="E94" s="1544">
        <v>0.82</v>
      </c>
      <c r="F94" s="1541">
        <f>5.76</f>
        <v>5.76</v>
      </c>
      <c r="G94" s="1540">
        <f>D94*E94+F94</f>
        <v>17.8386</v>
      </c>
      <c r="H94" s="1539"/>
      <c r="I94" s="1539"/>
      <c r="J94" s="1539">
        <f>G94*C94</f>
        <v>35.677199999999999</v>
      </c>
      <c r="K94" s="1539">
        <f t="shared" ref="K94:K118" si="5">C94*H94</f>
        <v>0</v>
      </c>
      <c r="L94" s="1602"/>
      <c r="M94" s="617"/>
    </row>
    <row r="95" spans="1:13" x14ac:dyDescent="0.2">
      <c r="A95" s="1542"/>
      <c r="B95" s="1551" t="s">
        <v>5857</v>
      </c>
      <c r="C95" s="1541">
        <v>4</v>
      </c>
      <c r="D95" s="1541">
        <v>11.8</v>
      </c>
      <c r="E95" s="1544">
        <v>0.82</v>
      </c>
      <c r="F95" s="1541">
        <f>4.2</f>
        <v>4.2</v>
      </c>
      <c r="G95" s="1540">
        <f>D95*E95+F95</f>
        <v>13.876000000000001</v>
      </c>
      <c r="H95" s="1539"/>
      <c r="I95" s="1539"/>
      <c r="J95" s="1539">
        <f>G95*C95</f>
        <v>55.504000000000005</v>
      </c>
      <c r="K95" s="1539">
        <f t="shared" si="5"/>
        <v>0</v>
      </c>
      <c r="L95" s="1602"/>
      <c r="M95" s="617"/>
    </row>
    <row r="96" spans="1:13" x14ac:dyDescent="0.2">
      <c r="A96" s="1542"/>
      <c r="B96" s="1551" t="s">
        <v>5858</v>
      </c>
      <c r="C96" s="1541">
        <v>12</v>
      </c>
      <c r="D96" s="1541">
        <v>14.72</v>
      </c>
      <c r="E96" s="1544">
        <v>0.82</v>
      </c>
      <c r="F96" s="1541">
        <f>4.92</f>
        <v>4.92</v>
      </c>
      <c r="G96" s="1540">
        <f>D96*E96+F96</f>
        <v>16.990400000000001</v>
      </c>
      <c r="H96" s="1539"/>
      <c r="I96" s="1539"/>
      <c r="J96" s="1539">
        <f t="shared" ref="J96:J118" si="6">G96*C96</f>
        <v>203.88480000000001</v>
      </c>
      <c r="K96" s="1539">
        <f t="shared" si="5"/>
        <v>0</v>
      </c>
      <c r="L96" s="1602"/>
      <c r="M96" s="617"/>
    </row>
    <row r="97" spans="1:13" x14ac:dyDescent="0.2">
      <c r="A97" s="1542"/>
      <c r="B97" s="1551" t="s">
        <v>5859</v>
      </c>
      <c r="C97" s="1541">
        <v>4</v>
      </c>
      <c r="D97" s="1541">
        <v>16.12</v>
      </c>
      <c r="E97" s="1544">
        <v>0.82</v>
      </c>
      <c r="F97" s="1541">
        <f>5.76</f>
        <v>5.76</v>
      </c>
      <c r="G97" s="1540">
        <f t="shared" ref="G97:G118" si="7">D97*E97+F97</f>
        <v>18.978400000000001</v>
      </c>
      <c r="H97" s="1539"/>
      <c r="I97" s="1539"/>
      <c r="J97" s="1539">
        <f t="shared" si="6"/>
        <v>75.913600000000002</v>
      </c>
      <c r="K97" s="1539">
        <f t="shared" si="5"/>
        <v>0</v>
      </c>
      <c r="L97" s="1602"/>
      <c r="M97" s="617"/>
    </row>
    <row r="98" spans="1:13" x14ac:dyDescent="0.2">
      <c r="A98" s="1542"/>
      <c r="B98" s="1551" t="s">
        <v>5860</v>
      </c>
      <c r="C98" s="1541">
        <v>5</v>
      </c>
      <c r="D98" s="1541">
        <f>2*(2*0.8+2*0.12)</f>
        <v>3.68</v>
      </c>
      <c r="E98" s="1544">
        <v>0.8</v>
      </c>
      <c r="F98" s="1541">
        <f>0.8*1.9</f>
        <v>1.52</v>
      </c>
      <c r="G98" s="1540">
        <f t="shared" si="7"/>
        <v>4.4640000000000004</v>
      </c>
      <c r="H98" s="1539"/>
      <c r="I98" s="1539"/>
      <c r="J98" s="1539">
        <f t="shared" si="6"/>
        <v>22.32</v>
      </c>
      <c r="K98" s="1539">
        <f t="shared" si="5"/>
        <v>0</v>
      </c>
      <c r="L98" s="1602"/>
      <c r="M98" s="617"/>
    </row>
    <row r="99" spans="1:13" x14ac:dyDescent="0.2">
      <c r="A99" s="1542"/>
      <c r="B99" s="1551" t="s">
        <v>5861</v>
      </c>
      <c r="C99" s="1541">
        <v>1</v>
      </c>
      <c r="D99" s="1541">
        <f>3*(2*0.12+2*0.8)</f>
        <v>5.5200000000000005</v>
      </c>
      <c r="E99" s="1544">
        <v>0.8</v>
      </c>
      <c r="F99" s="1541">
        <f>2.37*0.8</f>
        <v>1.8960000000000001</v>
      </c>
      <c r="G99" s="1540">
        <f t="shared" si="7"/>
        <v>6.3120000000000003</v>
      </c>
      <c r="H99" s="1539"/>
      <c r="I99" s="1539"/>
      <c r="J99" s="1539">
        <f t="shared" si="6"/>
        <v>6.3120000000000003</v>
      </c>
      <c r="K99" s="1539">
        <f t="shared" si="5"/>
        <v>0</v>
      </c>
      <c r="L99" s="1602"/>
      <c r="M99" s="617"/>
    </row>
    <row r="100" spans="1:13" x14ac:dyDescent="0.2">
      <c r="A100" s="1542"/>
      <c r="B100" s="1551" t="s">
        <v>5862</v>
      </c>
      <c r="C100" s="1541">
        <v>2</v>
      </c>
      <c r="D100" s="1541">
        <f>3*(2*0.12+2*0.7)</f>
        <v>4.92</v>
      </c>
      <c r="E100" s="1544">
        <v>0.8</v>
      </c>
      <c r="F100" s="1541">
        <f>2.5*0.7</f>
        <v>1.75</v>
      </c>
      <c r="G100" s="1540">
        <f t="shared" si="7"/>
        <v>5.6859999999999999</v>
      </c>
      <c r="H100" s="1539"/>
      <c r="I100" s="1539"/>
      <c r="J100" s="1539">
        <f t="shared" si="6"/>
        <v>11.372</v>
      </c>
      <c r="K100" s="1539">
        <f t="shared" si="5"/>
        <v>0</v>
      </c>
      <c r="L100" s="1602"/>
      <c r="M100" s="617"/>
    </row>
    <row r="101" spans="1:13" x14ac:dyDescent="0.2">
      <c r="A101" s="1542"/>
      <c r="B101" s="1551" t="s">
        <v>5863</v>
      </c>
      <c r="C101" s="1541">
        <v>2</v>
      </c>
      <c r="D101" s="1541">
        <f>4*(2*0.12+2*0.8)</f>
        <v>7.36</v>
      </c>
      <c r="E101" s="1544">
        <v>0.8</v>
      </c>
      <c r="F101" s="1541">
        <f>2.97*0.8</f>
        <v>2.3760000000000003</v>
      </c>
      <c r="G101" s="1540">
        <f t="shared" si="7"/>
        <v>8.2640000000000011</v>
      </c>
      <c r="H101" s="1539"/>
      <c r="I101" s="1539"/>
      <c r="J101" s="1539">
        <f t="shared" si="6"/>
        <v>16.528000000000002</v>
      </c>
      <c r="K101" s="1539">
        <f t="shared" si="5"/>
        <v>0</v>
      </c>
      <c r="L101" s="1602"/>
      <c r="M101" s="617"/>
    </row>
    <row r="102" spans="1:13" x14ac:dyDescent="0.2">
      <c r="A102" s="1542"/>
      <c r="B102" s="1551" t="s">
        <v>5864</v>
      </c>
      <c r="C102" s="1541">
        <v>1</v>
      </c>
      <c r="D102" s="1541">
        <f>4*(2*0.12+2*0.8)</f>
        <v>7.36</v>
      </c>
      <c r="E102" s="1544">
        <v>0.8</v>
      </c>
      <c r="F102" s="1541">
        <f>2.97*0.8</f>
        <v>2.3760000000000003</v>
      </c>
      <c r="G102" s="1540">
        <f t="shared" si="7"/>
        <v>8.2640000000000011</v>
      </c>
      <c r="H102" s="1539"/>
      <c r="I102" s="1539"/>
      <c r="J102" s="1539">
        <f t="shared" si="6"/>
        <v>8.2640000000000011</v>
      </c>
      <c r="K102" s="1539">
        <f t="shared" si="5"/>
        <v>0</v>
      </c>
      <c r="L102" s="1602"/>
      <c r="M102" s="617"/>
    </row>
    <row r="103" spans="1:13" x14ac:dyDescent="0.2">
      <c r="A103" s="1542"/>
      <c r="B103" s="1551" t="s">
        <v>5865</v>
      </c>
      <c r="C103" s="1541">
        <v>1</v>
      </c>
      <c r="D103" s="1541">
        <f>6*(2*0.12+2*0.7)</f>
        <v>9.84</v>
      </c>
      <c r="E103" s="1544">
        <v>0.8</v>
      </c>
      <c r="F103" s="1541">
        <f>6.1*0.7</f>
        <v>4.2699999999999996</v>
      </c>
      <c r="G103" s="1540">
        <f t="shared" si="7"/>
        <v>12.141999999999999</v>
      </c>
      <c r="H103" s="1539"/>
      <c r="I103" s="1539"/>
      <c r="J103" s="1539">
        <f t="shared" si="6"/>
        <v>12.141999999999999</v>
      </c>
      <c r="K103" s="1539">
        <f t="shared" si="5"/>
        <v>0</v>
      </c>
      <c r="L103" s="1602"/>
      <c r="M103" s="617"/>
    </row>
    <row r="104" spans="1:13" x14ac:dyDescent="0.2">
      <c r="A104" s="1542"/>
      <c r="B104" s="1551" t="s">
        <v>5866</v>
      </c>
      <c r="C104" s="1541">
        <v>1</v>
      </c>
      <c r="D104" s="1541">
        <f>4*(2*0.12+2*0.8)+0.12*0.67</f>
        <v>7.4404000000000003</v>
      </c>
      <c r="E104" s="1544">
        <v>0.8</v>
      </c>
      <c r="F104" s="1541">
        <f>4.91</f>
        <v>4.91</v>
      </c>
      <c r="G104" s="1540">
        <f t="shared" si="7"/>
        <v>10.86232</v>
      </c>
      <c r="H104" s="1539"/>
      <c r="I104" s="1539"/>
      <c r="J104" s="1539">
        <f t="shared" si="6"/>
        <v>10.86232</v>
      </c>
      <c r="K104" s="1539">
        <f t="shared" si="5"/>
        <v>0</v>
      </c>
      <c r="L104" s="1602"/>
      <c r="M104" s="617"/>
    </row>
    <row r="105" spans="1:13" x14ac:dyDescent="0.2">
      <c r="A105" s="1542"/>
      <c r="B105" s="1551" t="s">
        <v>5867</v>
      </c>
      <c r="C105" s="1541">
        <v>3</v>
      </c>
      <c r="D105" s="1541">
        <f>2*(2*0.12+2*0.6)</f>
        <v>2.88</v>
      </c>
      <c r="E105" s="1544">
        <v>0.82</v>
      </c>
      <c r="F105" s="1541">
        <f>0.6*1.5</f>
        <v>0.89999999999999991</v>
      </c>
      <c r="G105" s="1540">
        <f t="shared" si="7"/>
        <v>3.2615999999999996</v>
      </c>
      <c r="H105" s="1539"/>
      <c r="I105" s="1539"/>
      <c r="J105" s="1539">
        <f t="shared" si="6"/>
        <v>9.7847999999999988</v>
      </c>
      <c r="K105" s="1539">
        <f t="shared" si="5"/>
        <v>0</v>
      </c>
      <c r="L105" s="1602"/>
      <c r="M105" s="617"/>
    </row>
    <row r="106" spans="1:13" x14ac:dyDescent="0.2">
      <c r="A106" s="1542"/>
      <c r="B106" s="1551" t="s">
        <v>5868</v>
      </c>
      <c r="C106" s="1541">
        <v>1</v>
      </c>
      <c r="D106" s="1541">
        <f>3*(2*0.12+2*0.6)+1.5*0.6+1.87*0.6</f>
        <v>6.3420000000000005</v>
      </c>
      <c r="E106" s="1544">
        <v>0.82</v>
      </c>
      <c r="F106" s="1541">
        <f>0.6*1.87</f>
        <v>1.1220000000000001</v>
      </c>
      <c r="G106" s="1540">
        <f t="shared" si="7"/>
        <v>6.3224400000000003</v>
      </c>
      <c r="H106" s="1539"/>
      <c r="I106" s="1539"/>
      <c r="J106" s="1539">
        <f t="shared" si="6"/>
        <v>6.3224400000000003</v>
      </c>
      <c r="K106" s="1539">
        <f t="shared" si="5"/>
        <v>0</v>
      </c>
      <c r="L106" s="1602"/>
      <c r="M106" s="617"/>
    </row>
    <row r="107" spans="1:13" x14ac:dyDescent="0.2">
      <c r="A107" s="1542"/>
      <c r="B107" s="1551" t="s">
        <v>5869</v>
      </c>
      <c r="C107" s="1541">
        <v>1</v>
      </c>
      <c r="D107" s="1541">
        <f>3*(2*0.12+2*0.5)+1.87*0.5</f>
        <v>4.6549999999999994</v>
      </c>
      <c r="E107" s="1544">
        <v>0.82</v>
      </c>
      <c r="F107" s="1541">
        <f>1.87*0.5</f>
        <v>0.93500000000000005</v>
      </c>
      <c r="G107" s="1540">
        <f t="shared" si="7"/>
        <v>4.7520999999999987</v>
      </c>
      <c r="H107" s="1539"/>
      <c r="I107" s="1539"/>
      <c r="J107" s="1539">
        <f t="shared" si="6"/>
        <v>4.7520999999999987</v>
      </c>
      <c r="K107" s="1539">
        <f t="shared" si="5"/>
        <v>0</v>
      </c>
      <c r="L107" s="1602"/>
      <c r="M107" s="617"/>
    </row>
    <row r="108" spans="1:13" x14ac:dyDescent="0.2">
      <c r="A108" s="1542"/>
      <c r="B108" s="1551" t="s">
        <v>5870</v>
      </c>
      <c r="C108" s="1541">
        <v>2</v>
      </c>
      <c r="D108" s="1541">
        <f>3*(2*0.12+2*0.8)</f>
        <v>5.5200000000000005</v>
      </c>
      <c r="E108" s="1544">
        <v>0.82</v>
      </c>
      <c r="F108" s="1541">
        <f>2.3*0.8</f>
        <v>1.8399999999999999</v>
      </c>
      <c r="G108" s="1540">
        <f t="shared" si="7"/>
        <v>6.3663999999999996</v>
      </c>
      <c r="H108" s="1539"/>
      <c r="I108" s="1539"/>
      <c r="J108" s="1539">
        <f t="shared" si="6"/>
        <v>12.732799999999999</v>
      </c>
      <c r="K108" s="1539">
        <f t="shared" si="5"/>
        <v>0</v>
      </c>
      <c r="L108" s="1602"/>
      <c r="M108" s="617"/>
    </row>
    <row r="109" spans="1:13" x14ac:dyDescent="0.2">
      <c r="A109" s="1542"/>
      <c r="B109" s="1551" t="s">
        <v>5871</v>
      </c>
      <c r="C109" s="1541">
        <v>3</v>
      </c>
      <c r="D109" s="1541">
        <f>4*(2*0.12+2*1)</f>
        <v>8.9600000000000009</v>
      </c>
      <c r="E109" s="1544">
        <v>0.82</v>
      </c>
      <c r="F109" s="1541">
        <f>4.1*0.98</f>
        <v>4.0179999999999998</v>
      </c>
      <c r="G109" s="1540">
        <f t="shared" si="7"/>
        <v>11.3652</v>
      </c>
      <c r="H109" s="1539"/>
      <c r="I109" s="1539"/>
      <c r="J109" s="1539">
        <f t="shared" si="6"/>
        <v>34.095599999999997</v>
      </c>
      <c r="K109" s="1539">
        <f t="shared" si="5"/>
        <v>0</v>
      </c>
      <c r="L109" s="1602"/>
      <c r="M109" s="617"/>
    </row>
    <row r="110" spans="1:13" x14ac:dyDescent="0.2">
      <c r="A110" s="1542"/>
      <c r="B110" s="1551" t="s">
        <v>5872</v>
      </c>
      <c r="C110" s="1541">
        <v>2</v>
      </c>
      <c r="D110" s="1541">
        <f>4*(2*0.12+2*0.78)+4.1*0.78</f>
        <v>10.398</v>
      </c>
      <c r="E110" s="1544">
        <v>0.82</v>
      </c>
      <c r="F110" s="1541">
        <f>4.1*0.78</f>
        <v>3.198</v>
      </c>
      <c r="G110" s="1540">
        <f t="shared" si="7"/>
        <v>11.724359999999999</v>
      </c>
      <c r="H110" s="1539"/>
      <c r="I110" s="1539"/>
      <c r="J110" s="1539">
        <f t="shared" si="6"/>
        <v>23.448719999999998</v>
      </c>
      <c r="K110" s="1539">
        <f t="shared" si="5"/>
        <v>0</v>
      </c>
      <c r="L110" s="1602"/>
      <c r="M110" s="617"/>
    </row>
    <row r="111" spans="1:13" x14ac:dyDescent="0.2">
      <c r="A111" s="1542"/>
      <c r="B111" s="1551" t="s">
        <v>5873</v>
      </c>
      <c r="C111" s="1541">
        <v>2</v>
      </c>
      <c r="D111" s="1541">
        <f>5*(2+2*0.12)</f>
        <v>11.200000000000001</v>
      </c>
      <c r="E111" s="1544">
        <v>0.82</v>
      </c>
      <c r="F111" s="1541">
        <f>5.45</f>
        <v>5.45</v>
      </c>
      <c r="G111" s="1540">
        <f t="shared" si="7"/>
        <v>14.634</v>
      </c>
      <c r="H111" s="1539"/>
      <c r="I111" s="1539"/>
      <c r="J111" s="1539">
        <f t="shared" si="6"/>
        <v>29.268000000000001</v>
      </c>
      <c r="K111" s="1539">
        <f t="shared" si="5"/>
        <v>0</v>
      </c>
      <c r="L111" s="1602"/>
      <c r="M111" s="617"/>
    </row>
    <row r="112" spans="1:13" x14ac:dyDescent="0.2">
      <c r="A112" s="1542"/>
      <c r="B112" s="1551" t="s">
        <v>5874</v>
      </c>
      <c r="C112" s="1541">
        <v>1</v>
      </c>
      <c r="D112" s="1541">
        <f>5*(2*0.12+2*0.8)</f>
        <v>9.2000000000000011</v>
      </c>
      <c r="E112" s="1544">
        <v>0.82</v>
      </c>
      <c r="F112" s="1541">
        <f>5.55*0.8</f>
        <v>4.4400000000000004</v>
      </c>
      <c r="G112" s="1540">
        <f t="shared" si="7"/>
        <v>11.984000000000002</v>
      </c>
      <c r="H112" s="1539"/>
      <c r="I112" s="1539"/>
      <c r="J112" s="1539">
        <f t="shared" si="6"/>
        <v>11.984000000000002</v>
      </c>
      <c r="K112" s="1539">
        <f t="shared" si="5"/>
        <v>0</v>
      </c>
      <c r="L112" s="1602"/>
      <c r="M112" s="617"/>
    </row>
    <row r="113" spans="1:13" x14ac:dyDescent="0.2">
      <c r="A113" s="1542"/>
      <c r="B113" s="1551" t="s">
        <v>5875</v>
      </c>
      <c r="C113" s="1541">
        <v>2</v>
      </c>
      <c r="D113" s="1541">
        <v>0</v>
      </c>
      <c r="E113" s="1544">
        <v>0</v>
      </c>
      <c r="F113" s="1541">
        <v>0</v>
      </c>
      <c r="G113" s="1540">
        <f t="shared" si="7"/>
        <v>0</v>
      </c>
      <c r="H113" s="1539"/>
      <c r="I113" s="1539"/>
      <c r="J113" s="1539">
        <f t="shared" si="6"/>
        <v>0</v>
      </c>
      <c r="K113" s="1539">
        <f t="shared" si="5"/>
        <v>0</v>
      </c>
      <c r="L113" s="1602"/>
      <c r="M113" s="617"/>
    </row>
    <row r="114" spans="1:13" x14ac:dyDescent="0.2">
      <c r="A114" s="1542"/>
      <c r="B114" s="1551" t="s">
        <v>5876</v>
      </c>
      <c r="C114" s="1541">
        <v>2</v>
      </c>
      <c r="D114" s="1541">
        <v>0</v>
      </c>
      <c r="E114" s="1544">
        <v>0</v>
      </c>
      <c r="F114" s="1541">
        <v>0</v>
      </c>
      <c r="G114" s="1540">
        <f t="shared" si="7"/>
        <v>0</v>
      </c>
      <c r="H114" s="1539"/>
      <c r="I114" s="1539"/>
      <c r="J114" s="1539">
        <f t="shared" si="6"/>
        <v>0</v>
      </c>
      <c r="K114" s="1539">
        <f t="shared" si="5"/>
        <v>0</v>
      </c>
      <c r="L114" s="1602"/>
      <c r="M114" s="617"/>
    </row>
    <row r="115" spans="1:13" x14ac:dyDescent="0.2">
      <c r="A115" s="1542"/>
      <c r="B115" s="1551" t="s">
        <v>5877</v>
      </c>
      <c r="C115" s="1541">
        <v>1</v>
      </c>
      <c r="D115" s="1541">
        <v>0</v>
      </c>
      <c r="E115" s="1544">
        <v>0</v>
      </c>
      <c r="F115" s="1541">
        <v>0</v>
      </c>
      <c r="G115" s="1540">
        <f t="shared" si="7"/>
        <v>0</v>
      </c>
      <c r="H115" s="1539"/>
      <c r="I115" s="1539"/>
      <c r="J115" s="1539">
        <f t="shared" si="6"/>
        <v>0</v>
      </c>
      <c r="K115" s="1539">
        <f t="shared" si="5"/>
        <v>0</v>
      </c>
      <c r="L115" s="1602"/>
      <c r="M115" s="617"/>
    </row>
    <row r="116" spans="1:13" x14ac:dyDescent="0.2">
      <c r="A116" s="1542"/>
      <c r="B116" s="1551" t="s">
        <v>5878</v>
      </c>
      <c r="C116" s="1541">
        <v>1</v>
      </c>
      <c r="D116" s="1541">
        <v>0</v>
      </c>
      <c r="E116" s="1544">
        <v>0</v>
      </c>
      <c r="F116" s="1541">
        <v>0</v>
      </c>
      <c r="G116" s="1540">
        <f t="shared" si="7"/>
        <v>0</v>
      </c>
      <c r="H116" s="1539"/>
      <c r="I116" s="1539"/>
      <c r="J116" s="1539">
        <f t="shared" si="6"/>
        <v>0</v>
      </c>
      <c r="K116" s="1539">
        <f t="shared" si="5"/>
        <v>0</v>
      </c>
      <c r="L116" s="1602"/>
      <c r="M116" s="617"/>
    </row>
    <row r="117" spans="1:13" x14ac:dyDescent="0.2">
      <c r="A117" s="1542"/>
      <c r="B117" s="1551" t="s">
        <v>5880</v>
      </c>
      <c r="C117" s="1541">
        <v>1</v>
      </c>
      <c r="D117" s="1541">
        <v>0</v>
      </c>
      <c r="E117" s="1544">
        <v>0</v>
      </c>
      <c r="F117" s="1541">
        <v>0</v>
      </c>
      <c r="G117" s="1540">
        <f t="shared" si="7"/>
        <v>0</v>
      </c>
      <c r="H117" s="1539"/>
      <c r="I117" s="1539"/>
      <c r="J117" s="1539">
        <f t="shared" si="6"/>
        <v>0</v>
      </c>
      <c r="K117" s="1539">
        <f t="shared" si="5"/>
        <v>0</v>
      </c>
      <c r="L117" s="1602"/>
      <c r="M117" s="617"/>
    </row>
    <row r="118" spans="1:13" x14ac:dyDescent="0.2">
      <c r="A118" s="1542"/>
      <c r="B118" s="1551" t="s">
        <v>5879</v>
      </c>
      <c r="C118" s="1541">
        <v>2</v>
      </c>
      <c r="D118" s="1541">
        <v>0</v>
      </c>
      <c r="E118" s="1544">
        <v>0</v>
      </c>
      <c r="F118" s="1541">
        <v>0</v>
      </c>
      <c r="G118" s="1540">
        <f t="shared" si="7"/>
        <v>0</v>
      </c>
      <c r="H118" s="1539"/>
      <c r="I118" s="1539"/>
      <c r="J118" s="1539">
        <f t="shared" si="6"/>
        <v>0</v>
      </c>
      <c r="K118" s="1539">
        <f t="shared" si="5"/>
        <v>0</v>
      </c>
      <c r="L118" s="1602"/>
      <c r="M118" s="617"/>
    </row>
    <row r="119" spans="1:13" x14ac:dyDescent="0.2">
      <c r="A119" s="1547"/>
      <c r="B119" s="1548"/>
      <c r="C119" s="1548"/>
      <c r="D119" s="1548"/>
      <c r="E119" s="1548"/>
      <c r="F119" s="2200" t="s">
        <v>6711</v>
      </c>
      <c r="G119" s="2200"/>
      <c r="H119" s="2200"/>
      <c r="I119" s="1549">
        <f>ROUND(SUM(I93:I118),2)</f>
        <v>0</v>
      </c>
      <c r="J119" s="1549">
        <f>ROUND(SUM(J93:J118),2)</f>
        <v>591.16999999999996</v>
      </c>
      <c r="K119" s="1549">
        <f>ROUND(SUM(K93:K118),2)</f>
        <v>0</v>
      </c>
      <c r="M119" s="617"/>
    </row>
    <row r="120" spans="1:13" x14ac:dyDescent="0.2">
      <c r="A120" s="1542"/>
      <c r="B120" s="2201"/>
      <c r="C120" s="2201"/>
      <c r="D120" s="2201"/>
      <c r="E120" s="2201"/>
      <c r="F120" s="2201"/>
      <c r="G120" s="2201"/>
      <c r="H120" s="2201"/>
      <c r="I120" s="2201"/>
      <c r="J120" s="2201"/>
      <c r="K120" s="1542"/>
      <c r="M120" s="617"/>
    </row>
    <row r="121" spans="1:13" s="1643" customFormat="1" ht="25.5" x14ac:dyDescent="0.2">
      <c r="A121" s="1835" t="str">
        <f>'Orç - Prédio'!A94</f>
        <v>03.02.187</v>
      </c>
      <c r="B121" s="2207" t="str">
        <f>'Orç - Prédio'!D94</f>
        <v>Armação para base de concreto das bancadas, em tela de aço CA-60, nervurada, 4,2mm, malha 15x15cm</v>
      </c>
      <c r="C121" s="2207"/>
      <c r="D121" s="2207"/>
      <c r="E121" s="2207"/>
      <c r="F121" s="2207"/>
      <c r="G121" s="2207"/>
      <c r="H121" s="2207"/>
      <c r="I121" s="2207"/>
      <c r="J121" s="2207"/>
      <c r="K121" s="1836" t="str">
        <f>'Orç - Prédio'!F94</f>
        <v>kg</v>
      </c>
      <c r="L121" s="1837" t="s">
        <v>15154</v>
      </c>
    </row>
    <row r="122" spans="1:13" x14ac:dyDescent="0.2">
      <c r="A122" s="2202"/>
      <c r="B122" s="2202"/>
      <c r="C122" s="1537"/>
      <c r="D122" s="1537"/>
      <c r="E122" s="1537"/>
      <c r="F122" s="1537"/>
      <c r="G122" s="2202" t="s">
        <v>6699</v>
      </c>
      <c r="H122" s="2202"/>
      <c r="I122" s="2202" t="s">
        <v>6700</v>
      </c>
      <c r="J122" s="2202"/>
      <c r="K122" s="2202"/>
    </row>
    <row r="123" spans="1:13" ht="22.5" x14ac:dyDescent="0.2">
      <c r="A123" s="2202" t="s">
        <v>6715</v>
      </c>
      <c r="B123" s="2202"/>
      <c r="C123" s="2202" t="s">
        <v>6701</v>
      </c>
      <c r="D123" s="2202" t="s">
        <v>6716</v>
      </c>
      <c r="E123" s="2202" t="s">
        <v>6717</v>
      </c>
      <c r="F123" s="2202" t="s">
        <v>6718</v>
      </c>
      <c r="G123" s="1696" t="s">
        <v>6705</v>
      </c>
      <c r="H123" s="1696" t="s">
        <v>6706</v>
      </c>
      <c r="I123" s="1696" t="s">
        <v>6707</v>
      </c>
      <c r="J123" s="1696" t="s">
        <v>6705</v>
      </c>
      <c r="K123" s="1696" t="s">
        <v>6706</v>
      </c>
    </row>
    <row r="124" spans="1:13" x14ac:dyDescent="0.2">
      <c r="A124" s="2202"/>
      <c r="B124" s="2202"/>
      <c r="C124" s="2202"/>
      <c r="D124" s="2202"/>
      <c r="E124" s="2202"/>
      <c r="F124" s="2202"/>
      <c r="G124" s="1696" t="s">
        <v>6708</v>
      </c>
      <c r="H124" s="1696" t="s">
        <v>6709</v>
      </c>
      <c r="I124" s="1696" t="s">
        <v>6710</v>
      </c>
      <c r="J124" s="1696" t="s">
        <v>6708</v>
      </c>
      <c r="K124" s="1696" t="s">
        <v>6709</v>
      </c>
    </row>
    <row r="125" spans="1:13" x14ac:dyDescent="0.2">
      <c r="A125" s="1696"/>
      <c r="B125" s="1551" t="s">
        <v>5856</v>
      </c>
      <c r="C125" s="1541">
        <v>2</v>
      </c>
      <c r="D125" s="1541">
        <v>14.73</v>
      </c>
      <c r="E125" s="1544">
        <v>0.82</v>
      </c>
      <c r="F125" s="1541">
        <f>5.76</f>
        <v>5.76</v>
      </c>
      <c r="G125" s="1540">
        <f>F125</f>
        <v>5.76</v>
      </c>
      <c r="H125" s="1539"/>
      <c r="I125" s="1539"/>
      <c r="J125" s="1539">
        <f>G125*C125</f>
        <v>11.52</v>
      </c>
      <c r="K125" s="1539">
        <f t="shared" ref="K125:K143" si="8">C125*H125</f>
        <v>0</v>
      </c>
      <c r="L125" s="1602"/>
      <c r="M125" s="617"/>
    </row>
    <row r="126" spans="1:13" x14ac:dyDescent="0.2">
      <c r="A126" s="1696"/>
      <c r="B126" s="1551" t="s">
        <v>5857</v>
      </c>
      <c r="C126" s="1541">
        <v>4</v>
      </c>
      <c r="D126" s="1541">
        <v>11.8</v>
      </c>
      <c r="E126" s="1544">
        <v>0.82</v>
      </c>
      <c r="F126" s="1541">
        <f>4.2</f>
        <v>4.2</v>
      </c>
      <c r="G126" s="1540">
        <f t="shared" ref="G126:G143" si="9">F126</f>
        <v>4.2</v>
      </c>
      <c r="H126" s="1539"/>
      <c r="I126" s="1539"/>
      <c r="J126" s="1539">
        <f>G126*C126</f>
        <v>16.8</v>
      </c>
      <c r="K126" s="1539">
        <f t="shared" si="8"/>
        <v>0</v>
      </c>
      <c r="L126" s="1602"/>
      <c r="M126" s="617"/>
    </row>
    <row r="127" spans="1:13" x14ac:dyDescent="0.2">
      <c r="A127" s="1696"/>
      <c r="B127" s="1551" t="s">
        <v>5858</v>
      </c>
      <c r="C127" s="1541">
        <v>12</v>
      </c>
      <c r="D127" s="1541">
        <v>14.72</v>
      </c>
      <c r="E127" s="1544">
        <v>0.82</v>
      </c>
      <c r="F127" s="1541">
        <f>4.92</f>
        <v>4.92</v>
      </c>
      <c r="G127" s="1540">
        <f t="shared" si="9"/>
        <v>4.92</v>
      </c>
      <c r="H127" s="1539"/>
      <c r="I127" s="1539"/>
      <c r="J127" s="1539">
        <f t="shared" ref="J127:J143" si="10">G127*C127</f>
        <v>59.04</v>
      </c>
      <c r="K127" s="1539">
        <f t="shared" si="8"/>
        <v>0</v>
      </c>
      <c r="L127" s="1602"/>
      <c r="M127" s="617"/>
    </row>
    <row r="128" spans="1:13" x14ac:dyDescent="0.2">
      <c r="A128" s="1696"/>
      <c r="B128" s="1551" t="s">
        <v>5859</v>
      </c>
      <c r="C128" s="1541">
        <v>4</v>
      </c>
      <c r="D128" s="1541">
        <v>16.12</v>
      </c>
      <c r="E128" s="1544">
        <v>0.82</v>
      </c>
      <c r="F128" s="1541">
        <f>5.76</f>
        <v>5.76</v>
      </c>
      <c r="G128" s="1540">
        <f t="shared" si="9"/>
        <v>5.76</v>
      </c>
      <c r="H128" s="1539"/>
      <c r="I128" s="1539"/>
      <c r="J128" s="1539">
        <f t="shared" si="10"/>
        <v>23.04</v>
      </c>
      <c r="K128" s="1539">
        <f t="shared" si="8"/>
        <v>0</v>
      </c>
      <c r="L128" s="1602"/>
      <c r="M128" s="617"/>
    </row>
    <row r="129" spans="1:13" x14ac:dyDescent="0.2">
      <c r="A129" s="1696"/>
      <c r="B129" s="1551" t="s">
        <v>5860</v>
      </c>
      <c r="C129" s="1541">
        <v>5</v>
      </c>
      <c r="D129" s="1541">
        <f>2*(2*0.8+2*0.12)</f>
        <v>3.68</v>
      </c>
      <c r="E129" s="1544">
        <v>0.8</v>
      </c>
      <c r="F129" s="1541">
        <f>0.8*1.9</f>
        <v>1.52</v>
      </c>
      <c r="G129" s="1540">
        <f t="shared" si="9"/>
        <v>1.52</v>
      </c>
      <c r="H129" s="1539"/>
      <c r="I129" s="1539"/>
      <c r="J129" s="1539">
        <f t="shared" si="10"/>
        <v>7.6</v>
      </c>
      <c r="K129" s="1539">
        <f t="shared" si="8"/>
        <v>0</v>
      </c>
      <c r="L129" s="1602"/>
      <c r="M129" s="617"/>
    </row>
    <row r="130" spans="1:13" x14ac:dyDescent="0.2">
      <c r="A130" s="1696"/>
      <c r="B130" s="1551" t="s">
        <v>5861</v>
      </c>
      <c r="C130" s="1541">
        <v>1</v>
      </c>
      <c r="D130" s="1541">
        <f>3*(2*0.12+2*0.8)</f>
        <v>5.5200000000000005</v>
      </c>
      <c r="E130" s="1544">
        <v>0.8</v>
      </c>
      <c r="F130" s="1541">
        <f>2.37*0.8</f>
        <v>1.8960000000000001</v>
      </c>
      <c r="G130" s="1540">
        <f t="shared" si="9"/>
        <v>1.8960000000000001</v>
      </c>
      <c r="H130" s="1539"/>
      <c r="I130" s="1539"/>
      <c r="J130" s="1539">
        <f t="shared" si="10"/>
        <v>1.8960000000000001</v>
      </c>
      <c r="K130" s="1539">
        <f t="shared" si="8"/>
        <v>0</v>
      </c>
      <c r="L130" s="1602"/>
      <c r="M130" s="617"/>
    </row>
    <row r="131" spans="1:13" x14ac:dyDescent="0.2">
      <c r="A131" s="1696"/>
      <c r="B131" s="1551" t="s">
        <v>5862</v>
      </c>
      <c r="C131" s="1541">
        <v>2</v>
      </c>
      <c r="D131" s="1541">
        <f>3*(2*0.12+2*0.7)</f>
        <v>4.92</v>
      </c>
      <c r="E131" s="1544">
        <v>0.8</v>
      </c>
      <c r="F131" s="1541">
        <f>2.5*0.7</f>
        <v>1.75</v>
      </c>
      <c r="G131" s="1540">
        <f t="shared" si="9"/>
        <v>1.75</v>
      </c>
      <c r="H131" s="1539"/>
      <c r="I131" s="1539"/>
      <c r="J131" s="1539">
        <f t="shared" si="10"/>
        <v>3.5</v>
      </c>
      <c r="K131" s="1539">
        <f t="shared" si="8"/>
        <v>0</v>
      </c>
      <c r="L131" s="1602"/>
      <c r="M131" s="617"/>
    </row>
    <row r="132" spans="1:13" x14ac:dyDescent="0.2">
      <c r="A132" s="1696"/>
      <c r="B132" s="1551" t="s">
        <v>5863</v>
      </c>
      <c r="C132" s="1541">
        <v>2</v>
      </c>
      <c r="D132" s="1541">
        <f>4*(2*0.12+2*0.8)</f>
        <v>7.36</v>
      </c>
      <c r="E132" s="1544">
        <v>0.8</v>
      </c>
      <c r="F132" s="1541">
        <f>2.97*0.8</f>
        <v>2.3760000000000003</v>
      </c>
      <c r="G132" s="1540">
        <f t="shared" si="9"/>
        <v>2.3760000000000003</v>
      </c>
      <c r="H132" s="1539"/>
      <c r="I132" s="1539"/>
      <c r="J132" s="1539">
        <f t="shared" si="10"/>
        <v>4.7520000000000007</v>
      </c>
      <c r="K132" s="1539">
        <f t="shared" si="8"/>
        <v>0</v>
      </c>
      <c r="L132" s="1602"/>
      <c r="M132" s="617"/>
    </row>
    <row r="133" spans="1:13" x14ac:dyDescent="0.2">
      <c r="A133" s="1696"/>
      <c r="B133" s="1551" t="s">
        <v>5864</v>
      </c>
      <c r="C133" s="1541">
        <v>1</v>
      </c>
      <c r="D133" s="1541">
        <f>4*(2*0.12+2*0.8)</f>
        <v>7.36</v>
      </c>
      <c r="E133" s="1544">
        <v>0.8</v>
      </c>
      <c r="F133" s="1541">
        <f>2.97*0.8</f>
        <v>2.3760000000000003</v>
      </c>
      <c r="G133" s="1540">
        <f t="shared" si="9"/>
        <v>2.3760000000000003</v>
      </c>
      <c r="H133" s="1539"/>
      <c r="I133" s="1539"/>
      <c r="J133" s="1539">
        <f t="shared" si="10"/>
        <v>2.3760000000000003</v>
      </c>
      <c r="K133" s="1539">
        <f t="shared" si="8"/>
        <v>0</v>
      </c>
      <c r="L133" s="1602"/>
      <c r="M133" s="617"/>
    </row>
    <row r="134" spans="1:13" x14ac:dyDescent="0.2">
      <c r="A134" s="1696"/>
      <c r="B134" s="1551" t="s">
        <v>5865</v>
      </c>
      <c r="C134" s="1541">
        <v>1</v>
      </c>
      <c r="D134" s="1541">
        <f>6*(2*0.12+2*0.7)</f>
        <v>9.84</v>
      </c>
      <c r="E134" s="1544">
        <v>0.8</v>
      </c>
      <c r="F134" s="1541">
        <f>6.1*0.7</f>
        <v>4.2699999999999996</v>
      </c>
      <c r="G134" s="1540">
        <f t="shared" si="9"/>
        <v>4.2699999999999996</v>
      </c>
      <c r="H134" s="1539"/>
      <c r="I134" s="1539"/>
      <c r="J134" s="1539">
        <f t="shared" si="10"/>
        <v>4.2699999999999996</v>
      </c>
      <c r="K134" s="1539">
        <f t="shared" si="8"/>
        <v>0</v>
      </c>
      <c r="L134" s="1602"/>
      <c r="M134" s="617"/>
    </row>
    <row r="135" spans="1:13" x14ac:dyDescent="0.2">
      <c r="A135" s="1696"/>
      <c r="B135" s="1551" t="s">
        <v>5866</v>
      </c>
      <c r="C135" s="1541">
        <v>1</v>
      </c>
      <c r="D135" s="1541">
        <f>4*(2*0.12+2*0.8)+0.12*0.67</f>
        <v>7.4404000000000003</v>
      </c>
      <c r="E135" s="1544">
        <v>0.8</v>
      </c>
      <c r="F135" s="1541">
        <f>4.91</f>
        <v>4.91</v>
      </c>
      <c r="G135" s="1540">
        <f t="shared" si="9"/>
        <v>4.91</v>
      </c>
      <c r="H135" s="1539"/>
      <c r="I135" s="1539"/>
      <c r="J135" s="1539">
        <f t="shared" si="10"/>
        <v>4.91</v>
      </c>
      <c r="K135" s="1539">
        <f t="shared" si="8"/>
        <v>0</v>
      </c>
      <c r="L135" s="1602"/>
      <c r="M135" s="617"/>
    </row>
    <row r="136" spans="1:13" x14ac:dyDescent="0.2">
      <c r="A136" s="1696"/>
      <c r="B136" s="1551" t="s">
        <v>5867</v>
      </c>
      <c r="C136" s="1541">
        <v>3</v>
      </c>
      <c r="D136" s="1541">
        <f>2*(2*0.12+2*0.6)</f>
        <v>2.88</v>
      </c>
      <c r="E136" s="1544">
        <v>0.82</v>
      </c>
      <c r="F136" s="1541">
        <f>0.6*1.5</f>
        <v>0.89999999999999991</v>
      </c>
      <c r="G136" s="1540">
        <f t="shared" si="9"/>
        <v>0.89999999999999991</v>
      </c>
      <c r="H136" s="1539"/>
      <c r="I136" s="1539"/>
      <c r="J136" s="1539">
        <f t="shared" si="10"/>
        <v>2.6999999999999997</v>
      </c>
      <c r="K136" s="1539">
        <f t="shared" si="8"/>
        <v>0</v>
      </c>
      <c r="L136" s="1602"/>
      <c r="M136" s="617"/>
    </row>
    <row r="137" spans="1:13" x14ac:dyDescent="0.2">
      <c r="A137" s="1696"/>
      <c r="B137" s="1551" t="s">
        <v>5868</v>
      </c>
      <c r="C137" s="1541">
        <v>1</v>
      </c>
      <c r="D137" s="1541">
        <f>3*(2*0.12+2*0.6)+1.5*0.6+1.87*0.6</f>
        <v>6.3420000000000005</v>
      </c>
      <c r="E137" s="1544">
        <v>0.82</v>
      </c>
      <c r="F137" s="1541">
        <f>0.6*1.87</f>
        <v>1.1220000000000001</v>
      </c>
      <c r="G137" s="1540">
        <f t="shared" si="9"/>
        <v>1.1220000000000001</v>
      </c>
      <c r="H137" s="1539"/>
      <c r="I137" s="1539"/>
      <c r="J137" s="1539">
        <f t="shared" si="10"/>
        <v>1.1220000000000001</v>
      </c>
      <c r="K137" s="1539">
        <f t="shared" si="8"/>
        <v>0</v>
      </c>
      <c r="L137" s="1602"/>
      <c r="M137" s="617"/>
    </row>
    <row r="138" spans="1:13" x14ac:dyDescent="0.2">
      <c r="A138" s="1696"/>
      <c r="B138" s="1551" t="s">
        <v>5869</v>
      </c>
      <c r="C138" s="1541">
        <v>1</v>
      </c>
      <c r="D138" s="1541">
        <f>3*(2*0.12+2*0.5)+1.87*0.5</f>
        <v>4.6549999999999994</v>
      </c>
      <c r="E138" s="1544">
        <v>0.82</v>
      </c>
      <c r="F138" s="1541">
        <f>1.87*0.5</f>
        <v>0.93500000000000005</v>
      </c>
      <c r="G138" s="1540">
        <f t="shared" si="9"/>
        <v>0.93500000000000005</v>
      </c>
      <c r="H138" s="1539"/>
      <c r="I138" s="1539"/>
      <c r="J138" s="1539">
        <f t="shared" si="10"/>
        <v>0.93500000000000005</v>
      </c>
      <c r="K138" s="1539">
        <f t="shared" si="8"/>
        <v>0</v>
      </c>
      <c r="L138" s="1602"/>
      <c r="M138" s="617"/>
    </row>
    <row r="139" spans="1:13" x14ac:dyDescent="0.2">
      <c r="A139" s="1696"/>
      <c r="B139" s="1551" t="s">
        <v>5870</v>
      </c>
      <c r="C139" s="1541">
        <v>2</v>
      </c>
      <c r="D139" s="1541">
        <f>3*(2*0.12+2*0.8)</f>
        <v>5.5200000000000005</v>
      </c>
      <c r="E139" s="1544">
        <v>0.82</v>
      </c>
      <c r="F139" s="1541">
        <f>2.3*0.8</f>
        <v>1.8399999999999999</v>
      </c>
      <c r="G139" s="1540">
        <f t="shared" si="9"/>
        <v>1.8399999999999999</v>
      </c>
      <c r="H139" s="1539"/>
      <c r="I139" s="1539"/>
      <c r="J139" s="1539">
        <f t="shared" si="10"/>
        <v>3.6799999999999997</v>
      </c>
      <c r="K139" s="1539">
        <f t="shared" si="8"/>
        <v>0</v>
      </c>
      <c r="L139" s="1602"/>
      <c r="M139" s="617"/>
    </row>
    <row r="140" spans="1:13" x14ac:dyDescent="0.2">
      <c r="A140" s="1696"/>
      <c r="B140" s="1551" t="s">
        <v>5871</v>
      </c>
      <c r="C140" s="1541">
        <v>3</v>
      </c>
      <c r="D140" s="1541">
        <f>4*(2*0.12+2*1)</f>
        <v>8.9600000000000009</v>
      </c>
      <c r="E140" s="1544">
        <v>0.82</v>
      </c>
      <c r="F140" s="1541">
        <f>4.1*0.98</f>
        <v>4.0179999999999998</v>
      </c>
      <c r="G140" s="1540">
        <f t="shared" si="9"/>
        <v>4.0179999999999998</v>
      </c>
      <c r="H140" s="1539"/>
      <c r="I140" s="1539"/>
      <c r="J140" s="1539">
        <f t="shared" si="10"/>
        <v>12.053999999999998</v>
      </c>
      <c r="K140" s="1539">
        <f t="shared" si="8"/>
        <v>0</v>
      </c>
      <c r="L140" s="1602"/>
      <c r="M140" s="617"/>
    </row>
    <row r="141" spans="1:13" x14ac:dyDescent="0.2">
      <c r="A141" s="1696"/>
      <c r="B141" s="1551" t="s">
        <v>5872</v>
      </c>
      <c r="C141" s="1541">
        <v>2</v>
      </c>
      <c r="D141" s="1541">
        <f>4*(2*0.12+2*0.78)+4.1*0.78</f>
        <v>10.398</v>
      </c>
      <c r="E141" s="1544">
        <v>0.82</v>
      </c>
      <c r="F141" s="1541">
        <f>4.1*0.78</f>
        <v>3.198</v>
      </c>
      <c r="G141" s="1540">
        <f t="shared" si="9"/>
        <v>3.198</v>
      </c>
      <c r="H141" s="1539"/>
      <c r="I141" s="1539"/>
      <c r="J141" s="1539">
        <f t="shared" si="10"/>
        <v>6.3959999999999999</v>
      </c>
      <c r="K141" s="1539">
        <f t="shared" si="8"/>
        <v>0</v>
      </c>
      <c r="L141" s="1602"/>
      <c r="M141" s="617"/>
    </row>
    <row r="142" spans="1:13" x14ac:dyDescent="0.2">
      <c r="A142" s="1696"/>
      <c r="B142" s="1551" t="s">
        <v>5873</v>
      </c>
      <c r="C142" s="1541">
        <v>2</v>
      </c>
      <c r="D142" s="1541">
        <f>5*(2+2*0.12)</f>
        <v>11.200000000000001</v>
      </c>
      <c r="E142" s="1544">
        <v>0.82</v>
      </c>
      <c r="F142" s="1541">
        <f>5.45</f>
        <v>5.45</v>
      </c>
      <c r="G142" s="1540">
        <f t="shared" si="9"/>
        <v>5.45</v>
      </c>
      <c r="H142" s="1539"/>
      <c r="I142" s="1539"/>
      <c r="J142" s="1539">
        <f t="shared" si="10"/>
        <v>10.9</v>
      </c>
      <c r="K142" s="1539">
        <f t="shared" si="8"/>
        <v>0</v>
      </c>
      <c r="L142" s="1602"/>
      <c r="M142" s="617"/>
    </row>
    <row r="143" spans="1:13" x14ac:dyDescent="0.2">
      <c r="A143" s="1696"/>
      <c r="B143" s="1551" t="s">
        <v>5874</v>
      </c>
      <c r="C143" s="1541">
        <v>1</v>
      </c>
      <c r="D143" s="1541">
        <f>5*(2*0.12+2*0.8)</f>
        <v>9.2000000000000011</v>
      </c>
      <c r="E143" s="1544">
        <v>0.82</v>
      </c>
      <c r="F143" s="1541">
        <f>5.55*0.8</f>
        <v>4.4400000000000004</v>
      </c>
      <c r="G143" s="1540">
        <f t="shared" si="9"/>
        <v>4.4400000000000004</v>
      </c>
      <c r="H143" s="1539"/>
      <c r="I143" s="1539"/>
      <c r="J143" s="1539">
        <f t="shared" si="10"/>
        <v>4.4400000000000004</v>
      </c>
      <c r="K143" s="1539">
        <f t="shared" si="8"/>
        <v>0</v>
      </c>
      <c r="L143" s="1602"/>
      <c r="M143" s="617"/>
    </row>
    <row r="144" spans="1:13" x14ac:dyDescent="0.2">
      <c r="A144" s="1547"/>
      <c r="B144" s="1548"/>
      <c r="C144" s="1548"/>
      <c r="D144" s="1548"/>
      <c r="E144" s="1548"/>
      <c r="F144" s="2200" t="s">
        <v>6711</v>
      </c>
      <c r="G144" s="2200"/>
      <c r="H144" s="2200"/>
      <c r="I144" s="1549">
        <f>ROUND(SUM(I124:I143),2)</f>
        <v>0</v>
      </c>
      <c r="J144" s="1549">
        <f>ROUND(SUM(J124:J143),2)</f>
        <v>181.93</v>
      </c>
      <c r="K144" s="1549" t="s">
        <v>5286</v>
      </c>
      <c r="M144" s="617"/>
    </row>
    <row r="145" spans="1:13" x14ac:dyDescent="0.2">
      <c r="A145" s="1547"/>
      <c r="B145" s="1548"/>
      <c r="C145" s="1548"/>
      <c r="D145" s="1548"/>
      <c r="E145" s="1548"/>
      <c r="F145" s="2200" t="s">
        <v>7804</v>
      </c>
      <c r="G145" s="2200"/>
      <c r="H145" s="2200"/>
      <c r="I145" s="1549"/>
      <c r="J145" s="1549">
        <f>J144*2.2</f>
        <v>400.24600000000004</v>
      </c>
      <c r="K145" s="1549" t="s">
        <v>5688</v>
      </c>
      <c r="M145" s="617"/>
    </row>
    <row r="146" spans="1:13" x14ac:dyDescent="0.2">
      <c r="A146" s="1696"/>
      <c r="B146" s="2201"/>
      <c r="C146" s="2201"/>
      <c r="D146" s="2201"/>
      <c r="E146" s="2201"/>
      <c r="F146" s="2201"/>
      <c r="G146" s="2201"/>
      <c r="H146" s="2201"/>
      <c r="I146" s="2201"/>
      <c r="J146" s="2201"/>
      <c r="K146" s="1696"/>
      <c r="M146" s="617"/>
    </row>
    <row r="147" spans="1:13" s="1643" customFormat="1" ht="25.5" x14ac:dyDescent="0.2">
      <c r="A147" s="1835" t="str">
        <f>'Orç - Prédio'!A95</f>
        <v>03.02.188</v>
      </c>
      <c r="B147" s="2207" t="str">
        <f>'Orç - Prédio'!D95</f>
        <v>Concreto fck = 15 MPa, traço 1:3,4:3,5 (cimento/areia média/brita 1), preparo mecânico com betoneira</v>
      </c>
      <c r="C147" s="2207"/>
      <c r="D147" s="2207"/>
      <c r="E147" s="2207"/>
      <c r="F147" s="2207"/>
      <c r="G147" s="2207"/>
      <c r="H147" s="2207"/>
      <c r="I147" s="2207"/>
      <c r="J147" s="2207"/>
      <c r="K147" s="1836"/>
      <c r="L147" s="1837" t="s">
        <v>15154</v>
      </c>
      <c r="M147" s="1838"/>
    </row>
    <row r="148" spans="1:13" x14ac:dyDescent="0.2">
      <c r="A148" s="2202"/>
      <c r="B148" s="2202"/>
      <c r="C148" s="1537"/>
      <c r="D148" s="1537"/>
      <c r="E148" s="1537"/>
      <c r="F148" s="1537"/>
      <c r="G148" s="2202" t="s">
        <v>6699</v>
      </c>
      <c r="H148" s="2202"/>
      <c r="I148" s="2202" t="s">
        <v>6700</v>
      </c>
      <c r="J148" s="2202"/>
      <c r="K148" s="2202"/>
      <c r="M148" s="617"/>
    </row>
    <row r="149" spans="1:13" ht="22.5" x14ac:dyDescent="0.2">
      <c r="A149" s="2202" t="s">
        <v>6715</v>
      </c>
      <c r="B149" s="2202"/>
      <c r="C149" s="2202" t="s">
        <v>6701</v>
      </c>
      <c r="D149" s="2202" t="s">
        <v>6702</v>
      </c>
      <c r="E149" s="2202" t="s">
        <v>6703</v>
      </c>
      <c r="F149" s="2202" t="s">
        <v>6704</v>
      </c>
      <c r="G149" s="1542" t="s">
        <v>6705</v>
      </c>
      <c r="H149" s="1542" t="s">
        <v>6706</v>
      </c>
      <c r="I149" s="1542" t="s">
        <v>6707</v>
      </c>
      <c r="J149" s="1542" t="s">
        <v>6705</v>
      </c>
      <c r="K149" s="1542" t="s">
        <v>6706</v>
      </c>
      <c r="M149" s="617"/>
    </row>
    <row r="150" spans="1:13" x14ac:dyDescent="0.2">
      <c r="A150" s="2202"/>
      <c r="B150" s="2202"/>
      <c r="C150" s="2202"/>
      <c r="D150" s="2202"/>
      <c r="E150" s="2202"/>
      <c r="F150" s="2202"/>
      <c r="G150" s="1542" t="s">
        <v>6708</v>
      </c>
      <c r="H150" s="1542" t="s">
        <v>6709</v>
      </c>
      <c r="I150" s="1542" t="s">
        <v>6710</v>
      </c>
      <c r="J150" s="1542" t="s">
        <v>6708</v>
      </c>
      <c r="K150" s="1542" t="s">
        <v>6709</v>
      </c>
      <c r="M150" s="617"/>
    </row>
    <row r="151" spans="1:13" x14ac:dyDescent="0.2">
      <c r="A151" s="1542"/>
      <c r="B151" s="1551" t="s">
        <v>5856</v>
      </c>
      <c r="C151" s="1541">
        <v>2</v>
      </c>
      <c r="D151" s="1541"/>
      <c r="E151" s="1544"/>
      <c r="F151" s="1541"/>
      <c r="G151" s="1540"/>
      <c r="H151" s="1539">
        <f>0.87*0.82+5.76*0.06</f>
        <v>1.0589999999999999</v>
      </c>
      <c r="I151" s="1539"/>
      <c r="J151" s="1539">
        <f>G151*C151</f>
        <v>0</v>
      </c>
      <c r="K151" s="1539">
        <f t="shared" ref="K151:K176" si="11">C151*H151</f>
        <v>2.1179999999999999</v>
      </c>
      <c r="L151" s="1602"/>
      <c r="M151" s="617"/>
    </row>
    <row r="152" spans="1:13" x14ac:dyDescent="0.2">
      <c r="A152" s="1542"/>
      <c r="B152" s="1551" t="s">
        <v>5857</v>
      </c>
      <c r="C152" s="1541">
        <v>4</v>
      </c>
      <c r="D152" s="1541"/>
      <c r="E152" s="1544"/>
      <c r="F152" s="1541"/>
      <c r="G152" s="1540"/>
      <c r="H152" s="1539">
        <f>0.69*0.82</f>
        <v>0.56579999999999997</v>
      </c>
      <c r="I152" s="1539"/>
      <c r="J152" s="1539">
        <f>G152*C152</f>
        <v>0</v>
      </c>
      <c r="K152" s="1539">
        <f t="shared" si="11"/>
        <v>2.2631999999999999</v>
      </c>
      <c r="L152" s="1602"/>
      <c r="M152" s="617"/>
    </row>
    <row r="153" spans="1:13" x14ac:dyDescent="0.2">
      <c r="A153" s="1542"/>
      <c r="B153" s="1551" t="s">
        <v>5858</v>
      </c>
      <c r="C153" s="1541">
        <v>12</v>
      </c>
      <c r="D153" s="1541"/>
      <c r="E153" s="1544"/>
      <c r="F153" s="1541"/>
      <c r="G153" s="1540"/>
      <c r="H153" s="1539">
        <f>0.87*0.82</f>
        <v>0.71339999999999992</v>
      </c>
      <c r="I153" s="1539"/>
      <c r="J153" s="1539">
        <f t="shared" ref="J153:J175" si="12">G153*C153</f>
        <v>0</v>
      </c>
      <c r="K153" s="1539">
        <f t="shared" si="11"/>
        <v>8.5607999999999986</v>
      </c>
      <c r="L153" s="1602"/>
      <c r="M153" s="617"/>
    </row>
    <row r="154" spans="1:13" x14ac:dyDescent="0.2">
      <c r="A154" s="1542"/>
      <c r="B154" s="1551" t="s">
        <v>5859</v>
      </c>
      <c r="C154" s="1541">
        <v>4</v>
      </c>
      <c r="D154" s="1541"/>
      <c r="E154" s="1544"/>
      <c r="F154" s="1541"/>
      <c r="G154" s="1540"/>
      <c r="H154" s="1539">
        <f>0.9528*0.82</f>
        <v>0.78129599999999999</v>
      </c>
      <c r="I154" s="1539"/>
      <c r="J154" s="1539">
        <f t="shared" si="12"/>
        <v>0</v>
      </c>
      <c r="K154" s="1539">
        <f t="shared" si="11"/>
        <v>3.125184</v>
      </c>
      <c r="L154" s="1602"/>
      <c r="M154" s="617"/>
    </row>
    <row r="155" spans="1:13" x14ac:dyDescent="0.2">
      <c r="A155" s="1542"/>
      <c r="B155" s="1551" t="s">
        <v>5860</v>
      </c>
      <c r="C155" s="1541">
        <v>5</v>
      </c>
      <c r="D155" s="1541"/>
      <c r="E155" s="1544"/>
      <c r="F155" s="1541"/>
      <c r="G155" s="1540"/>
      <c r="H155" s="1539">
        <f>0.8*0.12*0.8*2</f>
        <v>0.15360000000000001</v>
      </c>
      <c r="I155" s="1539"/>
      <c r="J155" s="1539">
        <f t="shared" si="12"/>
        <v>0</v>
      </c>
      <c r="K155" s="1539">
        <f t="shared" si="11"/>
        <v>0.76800000000000002</v>
      </c>
      <c r="L155" s="1602"/>
      <c r="M155" s="617"/>
    </row>
    <row r="156" spans="1:13" x14ac:dyDescent="0.2">
      <c r="A156" s="1542"/>
      <c r="B156" s="1551" t="s">
        <v>5861</v>
      </c>
      <c r="C156" s="1541">
        <v>1</v>
      </c>
      <c r="D156" s="1541"/>
      <c r="E156" s="1544"/>
      <c r="F156" s="1541"/>
      <c r="G156" s="1540"/>
      <c r="H156" s="1539">
        <f>3*0.12*0.8*0.8</f>
        <v>0.23039999999999999</v>
      </c>
      <c r="I156" s="1539"/>
      <c r="J156" s="1539">
        <f t="shared" si="12"/>
        <v>0</v>
      </c>
      <c r="K156" s="1539">
        <f t="shared" si="11"/>
        <v>0.23039999999999999</v>
      </c>
      <c r="L156" s="1602"/>
      <c r="M156" s="617"/>
    </row>
    <row r="157" spans="1:13" x14ac:dyDescent="0.2">
      <c r="A157" s="1542"/>
      <c r="B157" s="1551" t="s">
        <v>5862</v>
      </c>
      <c r="C157" s="1541">
        <v>2</v>
      </c>
      <c r="D157" s="1541"/>
      <c r="E157" s="1544"/>
      <c r="F157" s="1541"/>
      <c r="G157" s="1540"/>
      <c r="H157" s="1539">
        <f>3*0.12*0.7*0.8</f>
        <v>0.2016</v>
      </c>
      <c r="I157" s="1539"/>
      <c r="J157" s="1539">
        <f t="shared" si="12"/>
        <v>0</v>
      </c>
      <c r="K157" s="1539">
        <f t="shared" si="11"/>
        <v>0.4032</v>
      </c>
      <c r="L157" s="1602"/>
      <c r="M157" s="617"/>
    </row>
    <row r="158" spans="1:13" x14ac:dyDescent="0.2">
      <c r="A158" s="1542"/>
      <c r="B158" s="1551" t="s">
        <v>5863</v>
      </c>
      <c r="C158" s="1541">
        <v>2</v>
      </c>
      <c r="D158" s="1541"/>
      <c r="E158" s="1544"/>
      <c r="F158" s="1541"/>
      <c r="G158" s="1540"/>
      <c r="H158" s="1539">
        <f>4*0.12*0.8*0.8</f>
        <v>0.30720000000000003</v>
      </c>
      <c r="I158" s="1539"/>
      <c r="J158" s="1539">
        <f t="shared" si="12"/>
        <v>0</v>
      </c>
      <c r="K158" s="1539">
        <f t="shared" si="11"/>
        <v>0.61440000000000006</v>
      </c>
      <c r="L158" s="1602"/>
      <c r="M158" s="617"/>
    </row>
    <row r="159" spans="1:13" x14ac:dyDescent="0.2">
      <c r="A159" s="1542"/>
      <c r="B159" s="1551" t="s">
        <v>5864</v>
      </c>
      <c r="C159" s="1541">
        <v>1</v>
      </c>
      <c r="D159" s="1541"/>
      <c r="E159" s="1544"/>
      <c r="F159" s="1541"/>
      <c r="G159" s="1540"/>
      <c r="H159" s="1539">
        <f>4*0.12*0.8*0.8</f>
        <v>0.30720000000000003</v>
      </c>
      <c r="I159" s="1539"/>
      <c r="J159" s="1539">
        <f t="shared" si="12"/>
        <v>0</v>
      </c>
      <c r="K159" s="1539">
        <f t="shared" si="11"/>
        <v>0.30720000000000003</v>
      </c>
      <c r="L159" s="1602"/>
      <c r="M159" s="617"/>
    </row>
    <row r="160" spans="1:13" x14ac:dyDescent="0.2">
      <c r="A160" s="1542"/>
      <c r="B160" s="1551" t="s">
        <v>5865</v>
      </c>
      <c r="C160" s="1541">
        <v>1</v>
      </c>
      <c r="D160" s="1541"/>
      <c r="E160" s="1544"/>
      <c r="F160" s="1541"/>
      <c r="G160" s="1540"/>
      <c r="H160" s="1539">
        <f>6*0.12*0.7*0.8</f>
        <v>0.4032</v>
      </c>
      <c r="I160" s="1539"/>
      <c r="J160" s="1539">
        <f t="shared" si="12"/>
        <v>0</v>
      </c>
      <c r="K160" s="1539">
        <f t="shared" si="11"/>
        <v>0.4032</v>
      </c>
      <c r="L160" s="1602"/>
      <c r="M160" s="617"/>
    </row>
    <row r="161" spans="1:13" x14ac:dyDescent="0.2">
      <c r="A161" s="1542"/>
      <c r="B161" s="1551" t="s">
        <v>5866</v>
      </c>
      <c r="C161" s="1541">
        <v>1</v>
      </c>
      <c r="D161" s="1541"/>
      <c r="E161" s="1544"/>
      <c r="F161" s="1541"/>
      <c r="G161" s="1540"/>
      <c r="H161" s="1539">
        <f>4*0.12*0.8*0.8+0.12*0.8*0.67</f>
        <v>0.37152000000000002</v>
      </c>
      <c r="I161" s="1539"/>
      <c r="J161" s="1539">
        <f t="shared" si="12"/>
        <v>0</v>
      </c>
      <c r="K161" s="1539">
        <f t="shared" si="11"/>
        <v>0.37152000000000002</v>
      </c>
      <c r="L161" s="1602"/>
      <c r="M161" s="617"/>
    </row>
    <row r="162" spans="1:13" x14ac:dyDescent="0.2">
      <c r="A162" s="1542"/>
      <c r="B162" s="1551" t="s">
        <v>5867</v>
      </c>
      <c r="C162" s="1541">
        <v>3</v>
      </c>
      <c r="D162" s="1541"/>
      <c r="E162" s="1544"/>
      <c r="F162" s="1541"/>
      <c r="G162" s="1540"/>
      <c r="H162" s="1539">
        <f>2*0.82*0.12*0.6+0.08*0.06*1.5</f>
        <v>0.12527999999999997</v>
      </c>
      <c r="I162" s="1539"/>
      <c r="J162" s="1539">
        <f t="shared" si="12"/>
        <v>0</v>
      </c>
      <c r="K162" s="1539">
        <f t="shared" si="11"/>
        <v>0.37583999999999995</v>
      </c>
      <c r="L162" s="1602"/>
      <c r="M162" s="617"/>
    </row>
    <row r="163" spans="1:13" x14ac:dyDescent="0.2">
      <c r="A163" s="1542"/>
      <c r="B163" s="1551" t="s">
        <v>5868</v>
      </c>
      <c r="C163" s="1541">
        <v>1</v>
      </c>
      <c r="D163" s="1541"/>
      <c r="E163" s="1544"/>
      <c r="F163" s="1541"/>
      <c r="G163" s="1540"/>
      <c r="H163" s="1539">
        <f>3*0.82*0.12*0.6+1.87*0.6*0.08</f>
        <v>0.26688000000000001</v>
      </c>
      <c r="I163" s="1539"/>
      <c r="J163" s="1539">
        <f t="shared" si="12"/>
        <v>0</v>
      </c>
      <c r="K163" s="1539">
        <f t="shared" si="11"/>
        <v>0.26688000000000001</v>
      </c>
      <c r="L163" s="1602"/>
      <c r="M163" s="617"/>
    </row>
    <row r="164" spans="1:13" x14ac:dyDescent="0.2">
      <c r="A164" s="1542"/>
      <c r="B164" s="1551" t="s">
        <v>5869</v>
      </c>
      <c r="C164" s="1541">
        <v>1</v>
      </c>
      <c r="D164" s="1541"/>
      <c r="E164" s="1544"/>
      <c r="F164" s="1541"/>
      <c r="G164" s="1540"/>
      <c r="H164" s="1539">
        <f>3*0.82*0.12*0.5+1.87*0.5*0.08</f>
        <v>0.22239999999999999</v>
      </c>
      <c r="I164" s="1539"/>
      <c r="J164" s="1539">
        <f t="shared" si="12"/>
        <v>0</v>
      </c>
      <c r="K164" s="1539">
        <f t="shared" si="11"/>
        <v>0.22239999999999999</v>
      </c>
      <c r="L164" s="1602"/>
      <c r="M164" s="617"/>
    </row>
    <row r="165" spans="1:13" x14ac:dyDescent="0.2">
      <c r="A165" s="1542"/>
      <c r="B165" s="1551" t="s">
        <v>5870</v>
      </c>
      <c r="C165" s="1541">
        <v>2</v>
      </c>
      <c r="D165" s="1541"/>
      <c r="E165" s="1544"/>
      <c r="F165" s="1541"/>
      <c r="G165" s="1540"/>
      <c r="H165" s="1539">
        <f>3*0.12*0.8*0.82+0.8*2.3*0.08</f>
        <v>0.38335999999999998</v>
      </c>
      <c r="I165" s="1539"/>
      <c r="J165" s="1539">
        <f t="shared" si="12"/>
        <v>0</v>
      </c>
      <c r="K165" s="1539">
        <f t="shared" si="11"/>
        <v>0.76671999999999996</v>
      </c>
      <c r="L165" s="1602"/>
      <c r="M165" s="617"/>
    </row>
    <row r="166" spans="1:13" x14ac:dyDescent="0.2">
      <c r="A166" s="1542"/>
      <c r="B166" s="1551" t="s">
        <v>5871</v>
      </c>
      <c r="C166" s="1541">
        <v>3</v>
      </c>
      <c r="D166" s="1541"/>
      <c r="E166" s="1544"/>
      <c r="F166" s="1541"/>
      <c r="G166" s="1540"/>
      <c r="H166" s="1539">
        <f>4*0.82*0.12+0.08*4.1*1</f>
        <v>0.72159999999999991</v>
      </c>
      <c r="I166" s="1539"/>
      <c r="J166" s="1539">
        <f t="shared" si="12"/>
        <v>0</v>
      </c>
      <c r="K166" s="1539">
        <f t="shared" si="11"/>
        <v>2.1647999999999996</v>
      </c>
      <c r="L166" s="1602"/>
      <c r="M166" s="617"/>
    </row>
    <row r="167" spans="1:13" x14ac:dyDescent="0.2">
      <c r="A167" s="1542"/>
      <c r="B167" s="1551" t="s">
        <v>5872</v>
      </c>
      <c r="C167" s="1541">
        <v>2</v>
      </c>
      <c r="D167" s="1541"/>
      <c r="E167" s="1544"/>
      <c r="F167" s="1541"/>
      <c r="G167" s="1540"/>
      <c r="H167" s="1539">
        <f>4*0.12*0.78*0.82+0.08*4.1*0.78</f>
        <v>0.56284800000000001</v>
      </c>
      <c r="I167" s="1539"/>
      <c r="J167" s="1539">
        <f t="shared" si="12"/>
        <v>0</v>
      </c>
      <c r="K167" s="1539">
        <f t="shared" si="11"/>
        <v>1.125696</v>
      </c>
      <c r="L167" s="1602"/>
      <c r="M167" s="617"/>
    </row>
    <row r="168" spans="1:13" x14ac:dyDescent="0.2">
      <c r="A168" s="1542"/>
      <c r="B168" s="1551" t="s">
        <v>5873</v>
      </c>
      <c r="C168" s="1541">
        <v>2</v>
      </c>
      <c r="D168" s="1541"/>
      <c r="E168" s="1544"/>
      <c r="F168" s="1541"/>
      <c r="G168" s="1540"/>
      <c r="H168" s="1539">
        <f>5*0.82*0.12*1+0.08*1*5.45</f>
        <v>0.92799999999999994</v>
      </c>
      <c r="I168" s="1539"/>
      <c r="J168" s="1539">
        <f t="shared" si="12"/>
        <v>0</v>
      </c>
      <c r="K168" s="1539">
        <f t="shared" si="11"/>
        <v>1.8559999999999999</v>
      </c>
      <c r="L168" s="1602"/>
      <c r="M168" s="617"/>
    </row>
    <row r="169" spans="1:13" x14ac:dyDescent="0.2">
      <c r="A169" s="1542"/>
      <c r="B169" s="1551" t="s">
        <v>5874</v>
      </c>
      <c r="C169" s="1541">
        <v>1</v>
      </c>
      <c r="D169" s="1541"/>
      <c r="E169" s="1544"/>
      <c r="F169" s="1541"/>
      <c r="G169" s="1540"/>
      <c r="H169" s="1539">
        <f>5*0.82*0.12*0.8+0.08*5.55*0.8</f>
        <v>0.74879999999999991</v>
      </c>
      <c r="I169" s="1539"/>
      <c r="J169" s="1539">
        <f t="shared" si="12"/>
        <v>0</v>
      </c>
      <c r="K169" s="1539">
        <f t="shared" si="11"/>
        <v>0.74879999999999991</v>
      </c>
      <c r="L169" s="1602"/>
      <c r="M169" s="617"/>
    </row>
    <row r="170" spans="1:13" x14ac:dyDescent="0.2">
      <c r="A170" s="1542"/>
      <c r="B170" s="1551" t="s">
        <v>5875</v>
      </c>
      <c r="C170" s="1541">
        <v>1</v>
      </c>
      <c r="D170" s="1541">
        <v>0</v>
      </c>
      <c r="E170" s="1544">
        <v>0</v>
      </c>
      <c r="F170" s="1541">
        <v>0</v>
      </c>
      <c r="G170" s="1540">
        <f t="shared" ref="G170:G175" si="13">D170*E170+F170</f>
        <v>0</v>
      </c>
      <c r="H170" s="1539">
        <v>0</v>
      </c>
      <c r="I170" s="1539"/>
      <c r="J170" s="1539">
        <f t="shared" si="12"/>
        <v>0</v>
      </c>
      <c r="K170" s="1539">
        <f t="shared" si="11"/>
        <v>0</v>
      </c>
      <c r="L170" s="1602"/>
      <c r="M170" s="617"/>
    </row>
    <row r="171" spans="1:13" x14ac:dyDescent="0.2">
      <c r="A171" s="1542"/>
      <c r="B171" s="1551" t="s">
        <v>5876</v>
      </c>
      <c r="C171" s="1541">
        <v>1</v>
      </c>
      <c r="D171" s="1541">
        <v>0</v>
      </c>
      <c r="E171" s="1544">
        <v>0</v>
      </c>
      <c r="F171" s="1541">
        <v>0</v>
      </c>
      <c r="G171" s="1540">
        <f t="shared" si="13"/>
        <v>0</v>
      </c>
      <c r="H171" s="1539">
        <v>0</v>
      </c>
      <c r="I171" s="1539"/>
      <c r="J171" s="1539">
        <f t="shared" si="12"/>
        <v>0</v>
      </c>
      <c r="K171" s="1539">
        <f t="shared" si="11"/>
        <v>0</v>
      </c>
      <c r="L171" s="1602"/>
      <c r="M171" s="617"/>
    </row>
    <row r="172" spans="1:13" x14ac:dyDescent="0.2">
      <c r="A172" s="1542"/>
      <c r="B172" s="1551" t="s">
        <v>5877</v>
      </c>
      <c r="C172" s="1541">
        <v>1</v>
      </c>
      <c r="D172" s="1541">
        <v>0</v>
      </c>
      <c r="E172" s="1544">
        <v>0</v>
      </c>
      <c r="F172" s="1541">
        <v>0</v>
      </c>
      <c r="G172" s="1540">
        <f t="shared" si="13"/>
        <v>0</v>
      </c>
      <c r="H172" s="1539">
        <v>0</v>
      </c>
      <c r="I172" s="1539"/>
      <c r="J172" s="1539">
        <f t="shared" si="12"/>
        <v>0</v>
      </c>
      <c r="K172" s="1539">
        <f t="shared" si="11"/>
        <v>0</v>
      </c>
      <c r="L172" s="1602"/>
      <c r="M172" s="617"/>
    </row>
    <row r="173" spans="1:13" x14ac:dyDescent="0.2">
      <c r="A173" s="1542"/>
      <c r="B173" s="1551" t="s">
        <v>5878</v>
      </c>
      <c r="C173" s="1541">
        <v>1</v>
      </c>
      <c r="D173" s="1541">
        <v>0</v>
      </c>
      <c r="E173" s="1544">
        <v>0</v>
      </c>
      <c r="F173" s="1541">
        <v>0</v>
      </c>
      <c r="G173" s="1540">
        <f t="shared" si="13"/>
        <v>0</v>
      </c>
      <c r="H173" s="1539">
        <v>0</v>
      </c>
      <c r="I173" s="1539"/>
      <c r="J173" s="1539">
        <f t="shared" si="12"/>
        <v>0</v>
      </c>
      <c r="K173" s="1539">
        <f t="shared" si="11"/>
        <v>0</v>
      </c>
      <c r="L173" s="1602"/>
      <c r="M173" s="617"/>
    </row>
    <row r="174" spans="1:13" x14ac:dyDescent="0.2">
      <c r="A174" s="1542"/>
      <c r="B174" s="1551" t="s">
        <v>5880</v>
      </c>
      <c r="C174" s="1541">
        <v>1</v>
      </c>
      <c r="D174" s="1541">
        <v>0</v>
      </c>
      <c r="E174" s="1544">
        <v>0</v>
      </c>
      <c r="F174" s="1541">
        <v>0</v>
      </c>
      <c r="G174" s="1540">
        <f t="shared" si="13"/>
        <v>0</v>
      </c>
      <c r="H174" s="1539">
        <v>0</v>
      </c>
      <c r="I174" s="1539"/>
      <c r="J174" s="1539">
        <f t="shared" si="12"/>
        <v>0</v>
      </c>
      <c r="K174" s="1539">
        <f t="shared" si="11"/>
        <v>0</v>
      </c>
      <c r="L174" s="1602"/>
      <c r="M174" s="617"/>
    </row>
    <row r="175" spans="1:13" x14ac:dyDescent="0.2">
      <c r="A175" s="1542"/>
      <c r="B175" s="1551" t="s">
        <v>5879</v>
      </c>
      <c r="C175" s="1541">
        <v>1</v>
      </c>
      <c r="D175" s="1541">
        <v>0</v>
      </c>
      <c r="E175" s="1544">
        <v>0</v>
      </c>
      <c r="F175" s="1541">
        <v>0</v>
      </c>
      <c r="G175" s="1540">
        <f t="shared" si="13"/>
        <v>0</v>
      </c>
      <c r="H175" s="1539">
        <v>0</v>
      </c>
      <c r="I175" s="1539"/>
      <c r="J175" s="1539">
        <f t="shared" si="12"/>
        <v>0</v>
      </c>
      <c r="K175" s="1539">
        <f t="shared" si="11"/>
        <v>0</v>
      </c>
      <c r="L175" s="1602"/>
      <c r="M175" s="617"/>
    </row>
    <row r="176" spans="1:13" x14ac:dyDescent="0.2">
      <c r="A176" s="1542"/>
      <c r="B176" s="1538"/>
      <c r="C176" s="1541"/>
      <c r="D176" s="1541"/>
      <c r="E176" s="1544"/>
      <c r="F176" s="1541"/>
      <c r="G176" s="1540"/>
      <c r="H176" s="1539"/>
      <c r="I176" s="1539"/>
      <c r="J176" s="1539"/>
      <c r="K176" s="1539">
        <f t="shared" si="11"/>
        <v>0</v>
      </c>
      <c r="M176" s="617"/>
    </row>
    <row r="177" spans="1:13" x14ac:dyDescent="0.2">
      <c r="A177" s="1547"/>
      <c r="B177" s="1548"/>
      <c r="C177" s="1548"/>
      <c r="D177" s="1548"/>
      <c r="E177" s="1548"/>
      <c r="F177" s="2200" t="s">
        <v>6711</v>
      </c>
      <c r="G177" s="2200"/>
      <c r="H177" s="2200"/>
      <c r="I177" s="1549">
        <f>ROUND(SUM(I151:I176),2)</f>
        <v>0</v>
      </c>
      <c r="J177" s="1549">
        <f>ROUND(SUM(J151:J176),2)</f>
        <v>0</v>
      </c>
      <c r="K177" s="1549">
        <f>ROUND(SUM(K151:K176),2)</f>
        <v>26.69</v>
      </c>
      <c r="M177" s="617"/>
    </row>
    <row r="178" spans="1:13" x14ac:dyDescent="0.2">
      <c r="A178" s="1542"/>
      <c r="B178" s="2201"/>
      <c r="C178" s="2201"/>
      <c r="D178" s="2201"/>
      <c r="E178" s="2201"/>
      <c r="F178" s="2201"/>
      <c r="G178" s="2201"/>
      <c r="H178" s="2201"/>
      <c r="I178" s="2201"/>
      <c r="J178" s="2201"/>
      <c r="K178" s="1542"/>
    </row>
    <row r="179" spans="1:13" s="1643" customFormat="1" ht="25.5" x14ac:dyDescent="0.2">
      <c r="A179" s="1835" t="str">
        <f>'Orç - Prédio'!A97</f>
        <v>03.02.320</v>
      </c>
      <c r="B179" s="2207" t="str">
        <f>'Orç - Prédio'!D97</f>
        <v xml:space="preserve">Pilares em concreto armado, pré-moldado, fck = 35 MPa </v>
      </c>
      <c r="C179" s="2207"/>
      <c r="D179" s="2207"/>
      <c r="E179" s="2207"/>
      <c r="F179" s="2207"/>
      <c r="G179" s="2207"/>
      <c r="H179" s="2207"/>
      <c r="I179" s="2207"/>
      <c r="J179" s="2207"/>
      <c r="K179" s="1836" t="str">
        <f>'Orç - Prédio'!F97</f>
        <v>m3</v>
      </c>
      <c r="L179" s="1837" t="s">
        <v>15154</v>
      </c>
    </row>
    <row r="180" spans="1:13" x14ac:dyDescent="0.2">
      <c r="A180" s="2202"/>
      <c r="B180" s="2202"/>
      <c r="C180" s="1537"/>
      <c r="D180" s="1537"/>
      <c r="E180" s="1537"/>
      <c r="F180" s="1537"/>
      <c r="G180" s="2202" t="s">
        <v>6699</v>
      </c>
      <c r="H180" s="2202"/>
      <c r="I180" s="2202" t="s">
        <v>6700</v>
      </c>
      <c r="J180" s="2202"/>
      <c r="K180" s="2202"/>
    </row>
    <row r="181" spans="1:13" ht="22.5" x14ac:dyDescent="0.2">
      <c r="A181" s="2202" t="s">
        <v>6715</v>
      </c>
      <c r="B181" s="2202"/>
      <c r="C181" s="2202" t="s">
        <v>6701</v>
      </c>
      <c r="D181" s="2202"/>
      <c r="E181" s="2202"/>
      <c r="F181" s="2202"/>
      <c r="G181" s="1562" t="s">
        <v>6705</v>
      </c>
      <c r="H181" s="1562" t="s">
        <v>6706</v>
      </c>
      <c r="I181" s="1562" t="s">
        <v>6707</v>
      </c>
      <c r="J181" s="1562" t="s">
        <v>6705</v>
      </c>
      <c r="K181" s="1562" t="s">
        <v>6706</v>
      </c>
    </row>
    <row r="182" spans="1:13" x14ac:dyDescent="0.2">
      <c r="A182" s="2202"/>
      <c r="B182" s="2202"/>
      <c r="C182" s="2202"/>
      <c r="D182" s="2202"/>
      <c r="E182" s="2202"/>
      <c r="F182" s="2202"/>
      <c r="G182" s="1562" t="s">
        <v>6708</v>
      </c>
      <c r="H182" s="1562" t="s">
        <v>6709</v>
      </c>
      <c r="I182" s="1562" t="s">
        <v>6710</v>
      </c>
      <c r="J182" s="1562" t="s">
        <v>6708</v>
      </c>
      <c r="K182" s="1562" t="s">
        <v>6709</v>
      </c>
    </row>
    <row r="183" spans="1:13" ht="22.5" x14ac:dyDescent="0.2">
      <c r="A183" s="1562"/>
      <c r="B183" s="1606" t="s">
        <v>8275</v>
      </c>
      <c r="C183" s="1541">
        <v>1</v>
      </c>
      <c r="D183" s="1541"/>
      <c r="E183" s="1544"/>
      <c r="F183" s="1541"/>
      <c r="G183" s="1540">
        <f>D183*E183+F183</f>
        <v>0</v>
      </c>
      <c r="H183" s="1539">
        <v>4.9800000000000004</v>
      </c>
      <c r="I183" s="1539"/>
      <c r="J183" s="1539">
        <f>G183*C183</f>
        <v>0</v>
      </c>
      <c r="K183" s="1539">
        <f t="shared" ref="K183:K185" si="14">C183*H183</f>
        <v>4.9800000000000004</v>
      </c>
      <c r="L183" s="1602"/>
      <c r="M183" s="617"/>
    </row>
    <row r="184" spans="1:13" ht="22.5" x14ac:dyDescent="0.2">
      <c r="A184" s="1562"/>
      <c r="B184" s="1606" t="s">
        <v>8276</v>
      </c>
      <c r="C184" s="1541">
        <v>1</v>
      </c>
      <c r="D184" s="1541"/>
      <c r="E184" s="1544"/>
      <c r="F184" s="1541"/>
      <c r="G184" s="1540">
        <f>D184*E184+F184</f>
        <v>0</v>
      </c>
      <c r="H184" s="1539">
        <v>13.23</v>
      </c>
      <c r="I184" s="1539"/>
      <c r="J184" s="1539">
        <f>G184*C184</f>
        <v>0</v>
      </c>
      <c r="K184" s="1539">
        <f t="shared" si="14"/>
        <v>13.23</v>
      </c>
      <c r="L184" s="1602"/>
      <c r="M184" s="617"/>
    </row>
    <row r="185" spans="1:13" ht="22.5" x14ac:dyDescent="0.2">
      <c r="A185" s="1562"/>
      <c r="B185" s="1606" t="s">
        <v>8277</v>
      </c>
      <c r="C185" s="1541">
        <v>1</v>
      </c>
      <c r="D185" s="1541"/>
      <c r="E185" s="1544"/>
      <c r="F185" s="1541"/>
      <c r="G185" s="1540">
        <f t="shared" ref="G185" si="15">D185*E185+F185</f>
        <v>0</v>
      </c>
      <c r="H185" s="1539">
        <v>13.55</v>
      </c>
      <c r="I185" s="1539"/>
      <c r="J185" s="1539">
        <f t="shared" ref="J185" si="16">G185*C185</f>
        <v>0</v>
      </c>
      <c r="K185" s="1539">
        <f t="shared" si="14"/>
        <v>13.55</v>
      </c>
      <c r="L185" s="1602"/>
      <c r="M185" s="617"/>
    </row>
    <row r="186" spans="1:13" x14ac:dyDescent="0.2">
      <c r="A186" s="1547"/>
      <c r="B186" s="1548"/>
      <c r="C186" s="1548"/>
      <c r="D186" s="1548"/>
      <c r="E186" s="1548"/>
      <c r="F186" s="2200" t="s">
        <v>6711</v>
      </c>
      <c r="G186" s="2200"/>
      <c r="H186" s="2200"/>
      <c r="I186" s="1549">
        <f>ROUND(SUM(I182:I185),2)</f>
        <v>0</v>
      </c>
      <c r="J186" s="1549">
        <f>ROUND(SUM(J182:J185),2)</f>
        <v>0</v>
      </c>
      <c r="K186" s="1549">
        <f>ROUND(SUM(K182:K185),2)</f>
        <v>31.76</v>
      </c>
      <c r="M186" s="617"/>
    </row>
    <row r="187" spans="1:13" x14ac:dyDescent="0.2">
      <c r="A187" s="1562"/>
      <c r="B187" s="2201"/>
      <c r="C187" s="2201"/>
      <c r="D187" s="2201"/>
      <c r="E187" s="2201"/>
      <c r="F187" s="2201"/>
      <c r="G187" s="2201"/>
      <c r="H187" s="2201"/>
      <c r="I187" s="2201"/>
      <c r="J187" s="2201"/>
      <c r="K187" s="1562"/>
      <c r="M187" s="617"/>
    </row>
    <row r="188" spans="1:13" s="1643" customFormat="1" ht="25.5" x14ac:dyDescent="0.2">
      <c r="A188" s="1835" t="str">
        <f>'Orç - Prédio'!A98</f>
        <v>03.02.330</v>
      </c>
      <c r="B188" s="2207" t="str">
        <f>'Orç - Prédio'!D98</f>
        <v xml:space="preserve">Vigas em concreto armado, pré-moldado, fck = 40 MPa </v>
      </c>
      <c r="C188" s="2207"/>
      <c r="D188" s="2207"/>
      <c r="E188" s="2207"/>
      <c r="F188" s="2207"/>
      <c r="G188" s="2207"/>
      <c r="H188" s="2207"/>
      <c r="I188" s="2207"/>
      <c r="J188" s="2207"/>
      <c r="K188" s="1836" t="str">
        <f>'Orç - Prédio'!F98</f>
        <v>m3</v>
      </c>
      <c r="L188" s="1837" t="s">
        <v>15154</v>
      </c>
    </row>
    <row r="189" spans="1:13" x14ac:dyDescent="0.2">
      <c r="A189" s="2202"/>
      <c r="B189" s="2202"/>
      <c r="C189" s="1537"/>
      <c r="D189" s="1537"/>
      <c r="E189" s="1537"/>
      <c r="F189" s="1537"/>
      <c r="G189" s="2202" t="s">
        <v>6699</v>
      </c>
      <c r="H189" s="2202"/>
      <c r="I189" s="2202" t="s">
        <v>6700</v>
      </c>
      <c r="J189" s="2202"/>
      <c r="K189" s="2202"/>
    </row>
    <row r="190" spans="1:13" ht="22.5" x14ac:dyDescent="0.2">
      <c r="A190" s="2202" t="s">
        <v>6715</v>
      </c>
      <c r="B190" s="2202"/>
      <c r="C190" s="2202" t="s">
        <v>6701</v>
      </c>
      <c r="D190" s="2202" t="s">
        <v>6716</v>
      </c>
      <c r="E190" s="2202" t="s">
        <v>6717</v>
      </c>
      <c r="F190" s="2202" t="s">
        <v>6718</v>
      </c>
      <c r="G190" s="1562" t="s">
        <v>6705</v>
      </c>
      <c r="H190" s="1562" t="s">
        <v>6706</v>
      </c>
      <c r="I190" s="1562" t="s">
        <v>6707</v>
      </c>
      <c r="J190" s="1562" t="s">
        <v>6705</v>
      </c>
      <c r="K190" s="1562" t="s">
        <v>6706</v>
      </c>
    </row>
    <row r="191" spans="1:13" x14ac:dyDescent="0.2">
      <c r="A191" s="2202"/>
      <c r="B191" s="2202"/>
      <c r="C191" s="2202"/>
      <c r="D191" s="2202"/>
      <c r="E191" s="2202"/>
      <c r="F191" s="2202"/>
      <c r="G191" s="1562" t="s">
        <v>6708</v>
      </c>
      <c r="H191" s="1562" t="s">
        <v>6709</v>
      </c>
      <c r="I191" s="1562" t="s">
        <v>6710</v>
      </c>
      <c r="J191" s="1562" t="s">
        <v>6708</v>
      </c>
      <c r="K191" s="1562" t="s">
        <v>6709</v>
      </c>
    </row>
    <row r="192" spans="1:13" ht="22.5" x14ac:dyDescent="0.2">
      <c r="A192" s="1562"/>
      <c r="B192" s="1606" t="s">
        <v>8276</v>
      </c>
      <c r="C192" s="1541">
        <v>1</v>
      </c>
      <c r="D192" s="1541"/>
      <c r="E192" s="1544"/>
      <c r="F192" s="1541"/>
      <c r="G192" s="1540"/>
      <c r="H192" s="1539">
        <v>91.38</v>
      </c>
      <c r="I192" s="1539"/>
      <c r="J192" s="1539">
        <f>G192*C192</f>
        <v>0</v>
      </c>
      <c r="K192" s="1539">
        <f t="shared" ref="K192:K193" si="17">C192*H192</f>
        <v>91.38</v>
      </c>
      <c r="L192" s="1602"/>
      <c r="M192" s="617"/>
    </row>
    <row r="193" spans="1:13" ht="22.5" x14ac:dyDescent="0.2">
      <c r="A193" s="1562"/>
      <c r="B193" s="1606" t="s">
        <v>8277</v>
      </c>
      <c r="C193" s="1541">
        <v>1</v>
      </c>
      <c r="D193" s="1541"/>
      <c r="E193" s="1544"/>
      <c r="F193" s="1541"/>
      <c r="G193" s="1540"/>
      <c r="H193" s="1539">
        <v>83.7</v>
      </c>
      <c r="I193" s="1539"/>
      <c r="J193" s="1539">
        <f t="shared" ref="J193" si="18">G193*C193</f>
        <v>0</v>
      </c>
      <c r="K193" s="1539">
        <f t="shared" si="17"/>
        <v>83.7</v>
      </c>
      <c r="L193" s="1602"/>
      <c r="M193" s="617"/>
    </row>
    <row r="194" spans="1:13" ht="33.75" x14ac:dyDescent="0.2">
      <c r="A194" s="1547"/>
      <c r="B194" s="1548" t="s">
        <v>15016</v>
      </c>
      <c r="C194" s="1548"/>
      <c r="D194" s="1548"/>
      <c r="E194" s="1548"/>
      <c r="F194" s="2200" t="s">
        <v>6711</v>
      </c>
      <c r="G194" s="2200"/>
      <c r="H194" s="2200"/>
      <c r="I194" s="1549"/>
      <c r="J194" s="1549"/>
      <c r="K194" s="1549">
        <f>ROUND(SUM(K191:K193),2)</f>
        <v>175.08</v>
      </c>
      <c r="M194" s="617"/>
    </row>
    <row r="195" spans="1:13" x14ac:dyDescent="0.2">
      <c r="A195" s="1562"/>
      <c r="B195" s="2201"/>
      <c r="C195" s="2201"/>
      <c r="D195" s="2201"/>
      <c r="E195" s="2201"/>
      <c r="F195" s="2201"/>
      <c r="G195" s="2201"/>
      <c r="H195" s="2201"/>
      <c r="I195" s="2201"/>
      <c r="J195" s="2201"/>
      <c r="K195" s="1562"/>
      <c r="M195" s="617"/>
    </row>
    <row r="196" spans="1:13" s="1643" customFormat="1" ht="22.5" customHeight="1" x14ac:dyDescent="0.2">
      <c r="A196" s="1835" t="str">
        <f>'Orç - Prédio'!A99</f>
        <v>03.02.340</v>
      </c>
      <c r="B196" s="2207" t="str">
        <f>'Orç - Prédio'!D99</f>
        <v>Laje em painel pré-fabricado protendido alveolar, concreto 40 MPa espessura 20cm, inclusive capeamento de 5 cm com tela soldada</v>
      </c>
      <c r="C196" s="2207"/>
      <c r="D196" s="2207"/>
      <c r="E196" s="2207"/>
      <c r="F196" s="2207"/>
      <c r="G196" s="2207"/>
      <c r="H196" s="2207"/>
      <c r="I196" s="2207"/>
      <c r="J196" s="2207"/>
      <c r="K196" s="1836" t="str">
        <f>'Orç - Prédio'!F99</f>
        <v>m2</v>
      </c>
      <c r="L196" s="1837" t="s">
        <v>15154</v>
      </c>
    </row>
    <row r="197" spans="1:13" x14ac:dyDescent="0.2">
      <c r="A197" s="2202"/>
      <c r="B197" s="2202"/>
      <c r="C197" s="1537"/>
      <c r="D197" s="1537"/>
      <c r="E197" s="1537"/>
      <c r="F197" s="1537"/>
      <c r="G197" s="2202" t="s">
        <v>6699</v>
      </c>
      <c r="H197" s="2202"/>
      <c r="I197" s="2202" t="s">
        <v>6700</v>
      </c>
      <c r="J197" s="2202"/>
      <c r="K197" s="2202"/>
    </row>
    <row r="198" spans="1:13" ht="22.5" x14ac:dyDescent="0.2">
      <c r="A198" s="2202" t="s">
        <v>6715</v>
      </c>
      <c r="B198" s="2202"/>
      <c r="C198" s="2202" t="s">
        <v>6701</v>
      </c>
      <c r="D198" s="2202" t="s">
        <v>6716</v>
      </c>
      <c r="E198" s="2202" t="s">
        <v>6717</v>
      </c>
      <c r="F198" s="2202" t="s">
        <v>6718</v>
      </c>
      <c r="G198" s="1562" t="s">
        <v>6705</v>
      </c>
      <c r="H198" s="1562" t="s">
        <v>6706</v>
      </c>
      <c r="I198" s="1562" t="s">
        <v>6707</v>
      </c>
      <c r="J198" s="1562" t="s">
        <v>6705</v>
      </c>
      <c r="K198" s="1562" t="s">
        <v>6706</v>
      </c>
    </row>
    <row r="199" spans="1:13" x14ac:dyDescent="0.2">
      <c r="A199" s="2202"/>
      <c r="B199" s="2202"/>
      <c r="C199" s="2202"/>
      <c r="D199" s="2202"/>
      <c r="E199" s="2202"/>
      <c r="F199" s="2202"/>
      <c r="G199" s="1562" t="s">
        <v>6708</v>
      </c>
      <c r="H199" s="1562" t="s">
        <v>6709</v>
      </c>
      <c r="I199" s="1562" t="s">
        <v>6710</v>
      </c>
      <c r="J199" s="1562" t="s">
        <v>6708</v>
      </c>
      <c r="K199" s="1562" t="s">
        <v>6709</v>
      </c>
    </row>
    <row r="200" spans="1:13" ht="22.5" x14ac:dyDescent="0.2">
      <c r="A200" s="1562"/>
      <c r="B200" s="1606" t="s">
        <v>8276</v>
      </c>
      <c r="C200" s="1541">
        <v>1</v>
      </c>
      <c r="D200" s="1541"/>
      <c r="E200" s="1544"/>
      <c r="F200" s="1541"/>
      <c r="G200" s="1540">
        <v>802.83</v>
      </c>
      <c r="H200" s="1539"/>
      <c r="I200" s="1539"/>
      <c r="J200" s="1539">
        <f>G200*C200</f>
        <v>802.83</v>
      </c>
      <c r="K200" s="1539">
        <f t="shared" ref="K200:K201" si="19">C200*H200</f>
        <v>0</v>
      </c>
      <c r="L200" s="1602"/>
      <c r="M200" s="617"/>
    </row>
    <row r="201" spans="1:13" ht="22.5" x14ac:dyDescent="0.2">
      <c r="A201" s="1562"/>
      <c r="B201" s="1606" t="s">
        <v>8277</v>
      </c>
      <c r="C201" s="1541">
        <v>1</v>
      </c>
      <c r="D201" s="1541"/>
      <c r="E201" s="1544"/>
      <c r="F201" s="1541"/>
      <c r="G201" s="1540">
        <v>1128.56</v>
      </c>
      <c r="H201" s="1539"/>
      <c r="I201" s="1539"/>
      <c r="J201" s="1539">
        <f>G201*C201</f>
        <v>1128.56</v>
      </c>
      <c r="K201" s="1539">
        <f t="shared" si="19"/>
        <v>0</v>
      </c>
      <c r="L201" s="1602"/>
      <c r="M201" s="617"/>
    </row>
    <row r="202" spans="1:13" x14ac:dyDescent="0.2">
      <c r="A202" s="1547"/>
      <c r="B202" s="1548"/>
      <c r="C202" s="1548"/>
      <c r="D202" s="1548"/>
      <c r="E202" s="1548"/>
      <c r="F202" s="2200" t="s">
        <v>6711</v>
      </c>
      <c r="G202" s="2200"/>
      <c r="H202" s="2200"/>
      <c r="I202" s="1549">
        <f>ROUND(SUM(I199:I201),2)</f>
        <v>0</v>
      </c>
      <c r="J202" s="1549">
        <f>ROUND(SUM(J199:J201),2)</f>
        <v>1931.39</v>
      </c>
      <c r="K202" s="1549">
        <f>ROUND(SUM(K199:K201),2)</f>
        <v>0</v>
      </c>
      <c r="M202" s="617"/>
    </row>
    <row r="203" spans="1:13" x14ac:dyDescent="0.2">
      <c r="A203" s="1562"/>
      <c r="B203" s="2201"/>
      <c r="C203" s="2201"/>
      <c r="D203" s="2201"/>
      <c r="E203" s="2201"/>
      <c r="F203" s="2201"/>
      <c r="G203" s="2201"/>
      <c r="H203" s="2201"/>
      <c r="I203" s="2201"/>
      <c r="J203" s="2201"/>
      <c r="K203" s="1562"/>
      <c r="M203" s="617"/>
    </row>
    <row r="204" spans="1:13" s="1643" customFormat="1" ht="22.5" customHeight="1" x14ac:dyDescent="0.2">
      <c r="A204" s="1835" t="str">
        <f>'Orç - Prédio'!A104</f>
        <v>03.03.201.01</v>
      </c>
      <c r="B204" s="2207" t="str">
        <f>'Orç - Prédio'!D104</f>
        <v>Perfil enrijecido 75x40x15, 2,25mm, 2,95 kg/m (terças do telhado)</v>
      </c>
      <c r="C204" s="2207"/>
      <c r="D204" s="2207"/>
      <c r="E204" s="2207"/>
      <c r="F204" s="2207"/>
      <c r="G204" s="2207"/>
      <c r="H204" s="2207"/>
      <c r="I204" s="2207"/>
      <c r="J204" s="2207"/>
      <c r="K204" s="1836" t="str">
        <f>'Orç - Prédio'!F104</f>
        <v>kg</v>
      </c>
      <c r="L204" s="1837" t="s">
        <v>15154</v>
      </c>
    </row>
    <row r="205" spans="1:13" x14ac:dyDescent="0.2">
      <c r="A205" s="2202"/>
      <c r="B205" s="2202"/>
      <c r="C205" s="1537"/>
      <c r="D205" s="1537"/>
      <c r="E205" s="1537"/>
      <c r="F205" s="1537"/>
      <c r="G205" s="2202" t="s">
        <v>6699</v>
      </c>
      <c r="H205" s="2202"/>
      <c r="I205" s="2202" t="s">
        <v>6700</v>
      </c>
      <c r="J205" s="2202"/>
      <c r="K205" s="2202"/>
    </row>
    <row r="206" spans="1:13" x14ac:dyDescent="0.2">
      <c r="A206" s="2202" t="s">
        <v>6715</v>
      </c>
      <c r="B206" s="2202"/>
      <c r="C206" s="2202" t="s">
        <v>6701</v>
      </c>
      <c r="D206" s="2202"/>
      <c r="E206" s="2202"/>
      <c r="F206" s="2202"/>
      <c r="G206" s="1959" t="s">
        <v>6707</v>
      </c>
      <c r="H206" s="1959"/>
      <c r="I206" s="1959"/>
      <c r="J206" s="1959" t="s">
        <v>6707</v>
      </c>
      <c r="K206" s="1959"/>
    </row>
    <row r="207" spans="1:13" x14ac:dyDescent="0.2">
      <c r="A207" s="2202"/>
      <c r="B207" s="2202"/>
      <c r="C207" s="2202"/>
      <c r="D207" s="2202"/>
      <c r="E207" s="2202"/>
      <c r="F207" s="2202"/>
      <c r="G207" s="1959" t="s">
        <v>6710</v>
      </c>
      <c r="H207" s="1959"/>
      <c r="I207" s="1959"/>
      <c r="J207" s="1959" t="s">
        <v>6710</v>
      </c>
      <c r="K207" s="1959"/>
    </row>
    <row r="208" spans="1:13" x14ac:dyDescent="0.2">
      <c r="A208" s="1959"/>
      <c r="B208" s="1606" t="s">
        <v>15073</v>
      </c>
      <c r="C208" s="1960">
        <v>5</v>
      </c>
      <c r="D208" s="1960"/>
      <c r="E208" s="1544"/>
      <c r="F208" s="1960"/>
      <c r="G208" s="1540">
        <v>58.92</v>
      </c>
      <c r="H208" s="1539"/>
      <c r="I208" s="1539"/>
      <c r="J208" s="1938">
        <f>G208*C208</f>
        <v>294.60000000000002</v>
      </c>
      <c r="K208" s="1539"/>
      <c r="L208" s="1602"/>
      <c r="M208" s="617"/>
    </row>
    <row r="209" spans="1:13" x14ac:dyDescent="0.2">
      <c r="A209" s="1959"/>
      <c r="B209" s="1606" t="s">
        <v>15074</v>
      </c>
      <c r="C209" s="1960">
        <v>2</v>
      </c>
      <c r="D209" s="1960"/>
      <c r="E209" s="1544"/>
      <c r="F209" s="1960"/>
      <c r="G209" s="1540">
        <f>5.085*2</f>
        <v>10.17</v>
      </c>
      <c r="H209" s="1539"/>
      <c r="I209" s="1539"/>
      <c r="J209" s="1938">
        <f>G209*C209</f>
        <v>20.34</v>
      </c>
      <c r="K209" s="1539"/>
      <c r="L209" s="1602"/>
      <c r="M209" s="617"/>
    </row>
    <row r="210" spans="1:13" x14ac:dyDescent="0.2">
      <c r="A210" s="1959"/>
      <c r="B210" s="1606" t="s">
        <v>15075</v>
      </c>
      <c r="C210" s="1960">
        <v>1</v>
      </c>
      <c r="D210" s="1960"/>
      <c r="E210" s="1544"/>
      <c r="F210" s="1960"/>
      <c r="G210" s="1540">
        <f>2*8.83</f>
        <v>17.66</v>
      </c>
      <c r="H210" s="1539"/>
      <c r="I210" s="1539"/>
      <c r="J210" s="1938">
        <f>G210*C210</f>
        <v>17.66</v>
      </c>
      <c r="K210" s="1539"/>
      <c r="L210" s="1602"/>
      <c r="M210" s="617"/>
    </row>
    <row r="211" spans="1:13" x14ac:dyDescent="0.2">
      <c r="A211" s="1959"/>
      <c r="B211" s="1606" t="s">
        <v>15076</v>
      </c>
      <c r="C211" s="1960">
        <v>1</v>
      </c>
      <c r="D211" s="1960"/>
      <c r="E211" s="1544"/>
      <c r="F211" s="1960"/>
      <c r="G211" s="1540">
        <v>48.57</v>
      </c>
      <c r="H211" s="1539"/>
      <c r="I211" s="1539"/>
      <c r="J211" s="1938">
        <f>G211*C211</f>
        <v>48.57</v>
      </c>
      <c r="K211" s="1539"/>
      <c r="L211" s="1602"/>
      <c r="M211" s="617"/>
    </row>
    <row r="212" spans="1:13" x14ac:dyDescent="0.2">
      <c r="A212" s="1959"/>
      <c r="B212" s="1606" t="s">
        <v>15077</v>
      </c>
      <c r="C212" s="1960">
        <v>3</v>
      </c>
      <c r="D212" s="1960"/>
      <c r="E212" s="1544"/>
      <c r="F212" s="1960"/>
      <c r="G212" s="1540">
        <v>47.97</v>
      </c>
      <c r="H212" s="1539"/>
      <c r="I212" s="1539"/>
      <c r="J212" s="1938">
        <f>G212*C212</f>
        <v>143.91</v>
      </c>
      <c r="K212" s="1539"/>
      <c r="L212" s="1602"/>
      <c r="M212" s="617"/>
    </row>
    <row r="213" spans="1:13" x14ac:dyDescent="0.2">
      <c r="A213" s="1547"/>
      <c r="B213" s="1548"/>
      <c r="C213" s="1548"/>
      <c r="D213" s="1548"/>
      <c r="E213" s="1548"/>
      <c r="F213" s="2200" t="s">
        <v>6711</v>
      </c>
      <c r="G213" s="2200"/>
      <c r="H213" s="2200"/>
      <c r="I213" s="1549"/>
      <c r="J213" s="1548">
        <f>ROUND(SUM(J207:J212),2)</f>
        <v>525.08000000000004</v>
      </c>
      <c r="K213" s="1549"/>
      <c r="M213" s="617"/>
    </row>
    <row r="214" spans="1:13" x14ac:dyDescent="0.2">
      <c r="A214" s="2202" t="s">
        <v>15072</v>
      </c>
      <c r="B214" s="2202"/>
      <c r="C214" s="2202"/>
      <c r="D214" s="2202"/>
      <c r="E214" s="2202"/>
      <c r="F214" s="2202"/>
      <c r="G214" s="2202"/>
      <c r="H214" s="2202"/>
      <c r="I214" s="2202"/>
      <c r="J214" s="2202"/>
      <c r="K214" s="2202"/>
      <c r="M214" s="617"/>
    </row>
    <row r="215" spans="1:13" x14ac:dyDescent="0.2">
      <c r="A215" s="1959"/>
      <c r="B215" s="2201"/>
      <c r="C215" s="2201"/>
      <c r="D215" s="2201"/>
      <c r="E215" s="2201"/>
      <c r="F215" s="2201"/>
      <c r="G215" s="2201"/>
      <c r="H215" s="2201"/>
      <c r="I215" s="2201"/>
      <c r="J215" s="2201"/>
      <c r="K215" s="1959"/>
      <c r="M215" s="617"/>
    </row>
    <row r="216" spans="1:13" s="1643" customFormat="1" ht="22.5" customHeight="1" x14ac:dyDescent="0.2">
      <c r="A216" s="1835" t="str">
        <f>'Orç - Prédio'!A105</f>
        <v>03.03.201.02</v>
      </c>
      <c r="B216" s="2207" t="str">
        <f>'Orç - Prédio'!D105</f>
        <v>Perfil quadrado metalon 40x40, espessura 1,25mm, 1,53 kg/m (pontaletes e tirantes)</v>
      </c>
      <c r="C216" s="2207"/>
      <c r="D216" s="2207"/>
      <c r="E216" s="2207"/>
      <c r="F216" s="2207"/>
      <c r="G216" s="2207"/>
      <c r="H216" s="2207"/>
      <c r="I216" s="2207"/>
      <c r="J216" s="2207"/>
      <c r="K216" s="1836" t="str">
        <f>'Orç - Prédio'!F105</f>
        <v>kg</v>
      </c>
      <c r="L216" s="1837" t="s">
        <v>15154</v>
      </c>
    </row>
    <row r="217" spans="1:13" x14ac:dyDescent="0.2">
      <c r="A217" s="2202"/>
      <c r="B217" s="2202"/>
      <c r="C217" s="1537"/>
      <c r="D217" s="1537"/>
      <c r="E217" s="1537"/>
      <c r="F217" s="1537"/>
      <c r="G217" s="2202" t="s">
        <v>6699</v>
      </c>
      <c r="H217" s="2202"/>
      <c r="I217" s="2202" t="s">
        <v>6700</v>
      </c>
      <c r="J217" s="2202"/>
      <c r="K217" s="2202"/>
    </row>
    <row r="218" spans="1:13" x14ac:dyDescent="0.2">
      <c r="A218" s="2202" t="s">
        <v>6715</v>
      </c>
      <c r="B218" s="2202"/>
      <c r="C218" s="2202" t="s">
        <v>6701</v>
      </c>
      <c r="D218" s="2202" t="s">
        <v>15070</v>
      </c>
      <c r="E218" s="2202" t="s">
        <v>15071</v>
      </c>
      <c r="F218" s="2202"/>
      <c r="G218" s="1959" t="s">
        <v>6707</v>
      </c>
      <c r="H218" s="1959"/>
      <c r="I218" s="1959"/>
      <c r="J218" s="1959" t="s">
        <v>6707</v>
      </c>
      <c r="K218" s="1959"/>
    </row>
    <row r="219" spans="1:13" x14ac:dyDescent="0.2">
      <c r="A219" s="2202"/>
      <c r="B219" s="2202"/>
      <c r="C219" s="2202"/>
      <c r="D219" s="2202"/>
      <c r="E219" s="2202"/>
      <c r="F219" s="2202"/>
      <c r="G219" s="1959" t="s">
        <v>6710</v>
      </c>
      <c r="H219" s="1959"/>
      <c r="I219" s="1959"/>
      <c r="J219" s="1959" t="s">
        <v>6710</v>
      </c>
      <c r="K219" s="1959"/>
    </row>
    <row r="220" spans="1:13" ht="22.5" x14ac:dyDescent="0.2">
      <c r="A220" s="1959"/>
      <c r="B220" s="1606" t="s">
        <v>15066</v>
      </c>
      <c r="C220" s="1960">
        <v>6</v>
      </c>
      <c r="D220" s="1960">
        <v>5.75</v>
      </c>
      <c r="E220" s="1544">
        <v>17.54</v>
      </c>
      <c r="F220" s="1960"/>
      <c r="G220" s="1540">
        <f>D220+E220</f>
        <v>23.29</v>
      </c>
      <c r="H220" s="1539"/>
      <c r="I220" s="1539"/>
      <c r="J220" s="1938">
        <f>G220*C220</f>
        <v>139.74</v>
      </c>
      <c r="K220" s="1539"/>
      <c r="L220" s="1602"/>
      <c r="M220" s="617"/>
    </row>
    <row r="221" spans="1:13" x14ac:dyDescent="0.2">
      <c r="A221" s="1959"/>
      <c r="B221" s="1606" t="s">
        <v>15067</v>
      </c>
      <c r="C221" s="1960">
        <v>4</v>
      </c>
      <c r="D221" s="1960">
        <v>4.37</v>
      </c>
      <c r="E221" s="1544">
        <v>15.11</v>
      </c>
      <c r="F221" s="1960"/>
      <c r="G221" s="1540">
        <f t="shared" ref="G221:G223" si="20">D221+E221</f>
        <v>19.48</v>
      </c>
      <c r="H221" s="1539"/>
      <c r="I221" s="1539"/>
      <c r="J221" s="1938">
        <f t="shared" ref="J221:J223" si="21">G221*C221</f>
        <v>77.92</v>
      </c>
      <c r="K221" s="1539"/>
      <c r="L221" s="1602"/>
      <c r="M221" s="617"/>
    </row>
    <row r="222" spans="1:13" ht="33.75" x14ac:dyDescent="0.2">
      <c r="A222" s="1959"/>
      <c r="B222" s="1606" t="s">
        <v>15068</v>
      </c>
      <c r="C222" s="1960">
        <v>16</v>
      </c>
      <c r="D222" s="1960">
        <v>3.73</v>
      </c>
      <c r="E222" s="1544">
        <v>13.22</v>
      </c>
      <c r="F222" s="1960"/>
      <c r="G222" s="1540">
        <f t="shared" si="20"/>
        <v>16.95</v>
      </c>
      <c r="H222" s="1539"/>
      <c r="I222" s="1539"/>
      <c r="J222" s="1938">
        <f t="shared" si="21"/>
        <v>271.2</v>
      </c>
      <c r="K222" s="1539"/>
      <c r="L222" s="1602"/>
      <c r="M222" s="617"/>
    </row>
    <row r="223" spans="1:13" x14ac:dyDescent="0.2">
      <c r="A223" s="1959"/>
      <c r="B223" s="1606" t="s">
        <v>15069</v>
      </c>
      <c r="C223" s="1960">
        <v>4</v>
      </c>
      <c r="D223" s="1960">
        <v>2.1800000000000002</v>
      </c>
      <c r="E223" s="1544">
        <v>7.56</v>
      </c>
      <c r="F223" s="1960"/>
      <c r="G223" s="1540">
        <f t="shared" si="20"/>
        <v>9.74</v>
      </c>
      <c r="H223" s="1539"/>
      <c r="I223" s="1539"/>
      <c r="J223" s="1938">
        <f t="shared" si="21"/>
        <v>38.96</v>
      </c>
      <c r="K223" s="1539"/>
      <c r="L223" s="1602"/>
      <c r="M223" s="617"/>
    </row>
    <row r="224" spans="1:13" x14ac:dyDescent="0.2">
      <c r="A224" s="1547"/>
      <c r="B224" s="1548"/>
      <c r="C224" s="1548"/>
      <c r="D224" s="1548"/>
      <c r="E224" s="1548"/>
      <c r="F224" s="2200" t="s">
        <v>6711</v>
      </c>
      <c r="G224" s="2200"/>
      <c r="H224" s="2200"/>
      <c r="I224" s="1549"/>
      <c r="J224" s="1548">
        <f>ROUND(SUM(J219:J223),2)</f>
        <v>527.82000000000005</v>
      </c>
      <c r="K224" s="1549"/>
      <c r="M224" s="617"/>
    </row>
    <row r="225" spans="1:13" x14ac:dyDescent="0.2">
      <c r="A225" s="2202" t="s">
        <v>15065</v>
      </c>
      <c r="B225" s="2202"/>
      <c r="C225" s="2202"/>
      <c r="D225" s="2202"/>
      <c r="E225" s="2202"/>
      <c r="F225" s="2202"/>
      <c r="G225" s="2202"/>
      <c r="H225" s="2202"/>
      <c r="I225" s="2202"/>
      <c r="J225" s="2202"/>
      <c r="K225" s="2202"/>
      <c r="M225" s="617"/>
    </row>
    <row r="226" spans="1:13" x14ac:dyDescent="0.2">
      <c r="A226" s="1959"/>
      <c r="B226" s="2201"/>
      <c r="C226" s="2201"/>
      <c r="D226" s="2201"/>
      <c r="E226" s="2201"/>
      <c r="F226" s="2201"/>
      <c r="G226" s="2201"/>
      <c r="H226" s="2201"/>
      <c r="I226" s="2201"/>
      <c r="J226" s="2201"/>
      <c r="K226" s="1959"/>
      <c r="M226" s="617"/>
    </row>
    <row r="227" spans="1:13" s="1643" customFormat="1" ht="22.5" customHeight="1" x14ac:dyDescent="0.2">
      <c r="A227" s="1835" t="str">
        <f>'Orç - Prédio'!A110</f>
        <v>03.03.302</v>
      </c>
      <c r="B227" s="2207" t="str">
        <f>'Orç - Prédio'!D110</f>
        <v>Fixação por solda 3mm dos tirantes nos pilaretes</v>
      </c>
      <c r="C227" s="2207"/>
      <c r="D227" s="2207"/>
      <c r="E227" s="2207"/>
      <c r="F227" s="2207"/>
      <c r="G227" s="2207"/>
      <c r="H227" s="2207"/>
      <c r="I227" s="2207"/>
      <c r="J227" s="2207"/>
      <c r="K227" s="1836" t="str">
        <f>'Orç - Prédio'!F110</f>
        <v>cm</v>
      </c>
      <c r="L227" s="1837" t="s">
        <v>15154</v>
      </c>
    </row>
    <row r="228" spans="1:13" x14ac:dyDescent="0.2">
      <c r="A228" s="2202"/>
      <c r="B228" s="2202"/>
      <c r="C228" s="1537"/>
      <c r="D228" s="1537"/>
      <c r="E228" s="1537"/>
      <c r="F228" s="1537"/>
      <c r="G228" s="2202"/>
      <c r="H228" s="2202"/>
      <c r="I228" s="2202" t="s">
        <v>6700</v>
      </c>
      <c r="J228" s="2202"/>
      <c r="K228" s="2202"/>
    </row>
    <row r="229" spans="1:13" ht="22.5" x14ac:dyDescent="0.2">
      <c r="A229" s="2202" t="s">
        <v>6715</v>
      </c>
      <c r="B229" s="2202"/>
      <c r="C229" s="2202" t="s">
        <v>6701</v>
      </c>
      <c r="D229" s="2202" t="s">
        <v>15019</v>
      </c>
      <c r="E229" s="2202"/>
      <c r="F229" s="2202"/>
      <c r="G229" s="1946"/>
      <c r="H229" s="1946"/>
      <c r="I229" s="1946" t="s">
        <v>6707</v>
      </c>
      <c r="J229" s="1946" t="s">
        <v>6705</v>
      </c>
      <c r="K229" s="1946" t="s">
        <v>6706</v>
      </c>
    </row>
    <row r="230" spans="1:13" x14ac:dyDescent="0.2">
      <c r="A230" s="2202"/>
      <c r="B230" s="2202"/>
      <c r="C230" s="2202"/>
      <c r="D230" s="2202"/>
      <c r="E230" s="2202"/>
      <c r="F230" s="2202"/>
      <c r="G230" s="1946"/>
      <c r="H230" s="1946"/>
      <c r="I230" s="1946" t="s">
        <v>15021</v>
      </c>
      <c r="J230" s="1946" t="s">
        <v>6708</v>
      </c>
      <c r="K230" s="1946" t="s">
        <v>6709</v>
      </c>
    </row>
    <row r="231" spans="1:13" ht="33.75" x14ac:dyDescent="0.2">
      <c r="A231" s="1946"/>
      <c r="B231" s="1606" t="s">
        <v>15020</v>
      </c>
      <c r="C231" s="1541">
        <v>444</v>
      </c>
      <c r="D231" s="2208">
        <v>16</v>
      </c>
      <c r="E231" s="2208"/>
      <c r="F231" s="2208"/>
      <c r="G231" s="1540"/>
      <c r="H231" s="1539"/>
      <c r="I231" s="1539">
        <f>D231*C231</f>
        <v>7104</v>
      </c>
      <c r="J231" s="1539"/>
      <c r="K231" s="1539"/>
      <c r="L231" s="1602"/>
      <c r="M231" s="617"/>
    </row>
    <row r="232" spans="1:13" x14ac:dyDescent="0.2">
      <c r="A232" s="1946"/>
      <c r="B232" s="1606"/>
      <c r="C232" s="1541"/>
      <c r="D232" s="1541"/>
      <c r="E232" s="1544"/>
      <c r="F232" s="1541"/>
      <c r="G232" s="1540"/>
      <c r="H232" s="1539"/>
      <c r="I232" s="1539"/>
      <c r="J232" s="1539"/>
      <c r="K232" s="1539"/>
      <c r="L232" s="1602"/>
      <c r="M232" s="617"/>
    </row>
    <row r="233" spans="1:13" x14ac:dyDescent="0.2">
      <c r="A233" s="1547"/>
      <c r="B233" s="1548"/>
      <c r="C233" s="1548"/>
      <c r="D233" s="1548"/>
      <c r="E233" s="1548"/>
      <c r="F233" s="2200" t="s">
        <v>6711</v>
      </c>
      <c r="G233" s="2200"/>
      <c r="H233" s="2200"/>
      <c r="I233" s="1549">
        <f>I231</f>
        <v>7104</v>
      </c>
      <c r="J233" s="1549"/>
      <c r="K233" s="1549"/>
      <c r="M233" s="617"/>
    </row>
    <row r="234" spans="1:13" x14ac:dyDescent="0.2">
      <c r="A234" s="1946"/>
      <c r="B234" s="2201"/>
      <c r="C234" s="2201"/>
      <c r="D234" s="2201"/>
      <c r="E234" s="2201"/>
      <c r="F234" s="2201"/>
      <c r="G234" s="2201"/>
      <c r="H234" s="2201"/>
      <c r="I234" s="2201"/>
      <c r="J234" s="2201"/>
      <c r="K234" s="1946"/>
      <c r="M234" s="617"/>
    </row>
    <row r="235" spans="1:13" s="1643" customFormat="1" ht="22.5" customHeight="1" x14ac:dyDescent="0.2">
      <c r="A235" s="1835" t="str">
        <f>'Orç - Prédio'!A112</f>
        <v>03.03.501</v>
      </c>
      <c r="B235" s="2207" t="str">
        <f>'Orç - Prédio'!D112</f>
        <v>Pintura protetora (tipo zarcão) e acabamento esmalte pulverizadas sobre perfis metálicos</v>
      </c>
      <c r="C235" s="2207"/>
      <c r="D235" s="2207"/>
      <c r="E235" s="2207"/>
      <c r="F235" s="2207"/>
      <c r="G235" s="2207"/>
      <c r="H235" s="2207"/>
      <c r="I235" s="2207"/>
      <c r="J235" s="2207"/>
      <c r="K235" s="1836" t="str">
        <f>'Orç - Prédio'!F112</f>
        <v>m2 * demãos</v>
      </c>
      <c r="L235" s="1837" t="s">
        <v>15154</v>
      </c>
    </row>
    <row r="236" spans="1:13" x14ac:dyDescent="0.2">
      <c r="A236" s="2202"/>
      <c r="B236" s="2202"/>
      <c r="C236" s="1537"/>
      <c r="D236" s="1537"/>
      <c r="E236" s="1537"/>
      <c r="F236" s="1537"/>
      <c r="G236" s="2202" t="s">
        <v>6699</v>
      </c>
      <c r="H236" s="2202"/>
      <c r="I236" s="2202" t="s">
        <v>6700</v>
      </c>
      <c r="J236" s="2202"/>
      <c r="K236" s="2202"/>
    </row>
    <row r="237" spans="1:13" ht="22.5" x14ac:dyDescent="0.2">
      <c r="A237" s="2202" t="s">
        <v>6715</v>
      </c>
      <c r="B237" s="2202"/>
      <c r="C237" s="2202" t="s">
        <v>6701</v>
      </c>
      <c r="D237" s="2202" t="s">
        <v>9493</v>
      </c>
      <c r="E237" s="2202" t="s">
        <v>9492</v>
      </c>
      <c r="F237" s="2202"/>
      <c r="G237" s="1909" t="s">
        <v>6705</v>
      </c>
      <c r="H237" s="1909" t="s">
        <v>6706</v>
      </c>
      <c r="I237" s="1909" t="s">
        <v>6707</v>
      </c>
      <c r="J237" s="1909" t="s">
        <v>6705</v>
      </c>
      <c r="K237" s="1909" t="s">
        <v>6706</v>
      </c>
    </row>
    <row r="238" spans="1:13" x14ac:dyDescent="0.2">
      <c r="A238" s="2202"/>
      <c r="B238" s="2202"/>
      <c r="C238" s="2202"/>
      <c r="D238" s="2202"/>
      <c r="E238" s="2202"/>
      <c r="F238" s="2202"/>
      <c r="G238" s="1909" t="s">
        <v>6708</v>
      </c>
      <c r="H238" s="1909" t="s">
        <v>6709</v>
      </c>
      <c r="I238" s="1909" t="s">
        <v>6710</v>
      </c>
      <c r="J238" s="1909" t="s">
        <v>6708</v>
      </c>
      <c r="K238" s="1909" t="s">
        <v>6709</v>
      </c>
    </row>
    <row r="239" spans="1:13" ht="22.5" x14ac:dyDescent="0.2">
      <c r="A239" s="1909"/>
      <c r="B239" s="1606" t="s">
        <v>15022</v>
      </c>
      <c r="C239" s="1541">
        <v>1</v>
      </c>
      <c r="D239" s="1541">
        <f>620+2*152</f>
        <v>924</v>
      </c>
      <c r="E239" s="1544">
        <f>2*(0.04+0.04+0.075)</f>
        <v>0.31</v>
      </c>
      <c r="F239" s="1541"/>
      <c r="G239" s="1911">
        <f>E239*D239</f>
        <v>286.44</v>
      </c>
      <c r="H239" s="1539"/>
      <c r="I239" s="1539"/>
      <c r="J239" s="1539">
        <f>G239*C239</f>
        <v>286.44</v>
      </c>
      <c r="K239" s="1539"/>
      <c r="L239" s="1602"/>
      <c r="M239" s="617"/>
    </row>
    <row r="240" spans="1:13" ht="22.5" x14ac:dyDescent="0.2">
      <c r="A240" s="1909"/>
      <c r="B240" s="1606" t="s">
        <v>15023</v>
      </c>
      <c r="C240" s="1541">
        <v>1</v>
      </c>
      <c r="D240" s="1541">
        <v>444</v>
      </c>
      <c r="E240" s="1544">
        <f>4*0.04</f>
        <v>0.16</v>
      </c>
      <c r="F240" s="1541"/>
      <c r="G240" s="1911">
        <f>E240*D240</f>
        <v>71.040000000000006</v>
      </c>
      <c r="H240" s="1539"/>
      <c r="I240" s="1539"/>
      <c r="J240" s="1539">
        <f>G240*C240</f>
        <v>71.040000000000006</v>
      </c>
      <c r="K240" s="1539"/>
      <c r="L240" s="1602"/>
      <c r="M240" s="617"/>
    </row>
    <row r="241" spans="1:13" ht="22.5" x14ac:dyDescent="0.2">
      <c r="A241" s="1909"/>
      <c r="B241" s="1606" t="s">
        <v>15024</v>
      </c>
      <c r="C241" s="1541">
        <v>2</v>
      </c>
      <c r="D241" s="1541">
        <v>7.056</v>
      </c>
      <c r="E241" s="1544">
        <f>2*0.3+2*0.2</f>
        <v>1</v>
      </c>
      <c r="F241" s="1541"/>
      <c r="G241" s="1911">
        <f>E241*D241</f>
        <v>7.056</v>
      </c>
      <c r="H241" s="1539"/>
      <c r="I241" s="1539"/>
      <c r="J241" s="1539">
        <f>G241*C241</f>
        <v>14.112</v>
      </c>
      <c r="K241" s="1539"/>
      <c r="L241" s="1602"/>
      <c r="M241" s="617"/>
    </row>
    <row r="242" spans="1:13" x14ac:dyDescent="0.2">
      <c r="A242" s="1547"/>
      <c r="B242" s="1548"/>
      <c r="C242" s="1548"/>
      <c r="D242" s="1548"/>
      <c r="E242" s="1548"/>
      <c r="F242" s="2200" t="s">
        <v>9494</v>
      </c>
      <c r="G242" s="2200"/>
      <c r="H242" s="2200"/>
      <c r="I242" s="1549"/>
      <c r="J242" s="1548">
        <f>ROUND(SUM(J238:J241),2)</f>
        <v>371.59</v>
      </c>
      <c r="K242" s="1549"/>
      <c r="M242" s="617"/>
    </row>
    <row r="243" spans="1:13" x14ac:dyDescent="0.2">
      <c r="A243" s="1547"/>
      <c r="B243" s="1548"/>
      <c r="C243" s="1548"/>
      <c r="D243" s="1548"/>
      <c r="E243" s="1548"/>
      <c r="F243" s="2200" t="s">
        <v>9495</v>
      </c>
      <c r="G243" s="2200"/>
      <c r="H243" s="2200"/>
      <c r="I243" s="1549"/>
      <c r="J243" s="1549">
        <f>2*J242</f>
        <v>743.18</v>
      </c>
      <c r="K243" s="1549"/>
      <c r="M243" s="617"/>
    </row>
    <row r="244" spans="1:13" x14ac:dyDescent="0.2">
      <c r="A244" s="1909"/>
      <c r="B244" s="2201"/>
      <c r="C244" s="2201"/>
      <c r="D244" s="2201"/>
      <c r="E244" s="2201"/>
      <c r="F244" s="2201"/>
      <c r="G244" s="2201"/>
      <c r="H244" s="2201"/>
      <c r="I244" s="2201"/>
      <c r="J244" s="2201"/>
      <c r="K244" s="1909"/>
      <c r="M244" s="617"/>
    </row>
    <row r="245" spans="1:13" s="1643" customFormat="1" ht="25.5" x14ac:dyDescent="0.2">
      <c r="A245" s="1835" t="str">
        <f>'Orç - Prédio'!A121</f>
        <v>04.01.102.01</v>
      </c>
      <c r="B245" s="2207" t="str">
        <f>'Orç - Prédio'!D121</f>
        <v>Alvenaria de vedação de blocos vazados de cerâmica de 9x19x19 cm (espessura 9cm)</v>
      </c>
      <c r="C245" s="2207"/>
      <c r="D245" s="2207"/>
      <c r="E245" s="2207"/>
      <c r="F245" s="2207"/>
      <c r="G245" s="2207"/>
      <c r="H245" s="2207"/>
      <c r="I245" s="2207"/>
      <c r="J245" s="2207"/>
      <c r="K245" s="1836" t="str">
        <f>'Orç - Prédio'!F121</f>
        <v>m2</v>
      </c>
      <c r="L245" s="1837" t="s">
        <v>15154</v>
      </c>
    </row>
    <row r="246" spans="1:13" x14ac:dyDescent="0.2">
      <c r="A246" s="2202"/>
      <c r="B246" s="2202"/>
      <c r="C246" s="1537"/>
      <c r="D246" s="1537"/>
      <c r="E246" s="1537"/>
      <c r="F246" s="1537"/>
      <c r="G246" s="2202" t="s">
        <v>6699</v>
      </c>
      <c r="H246" s="2202"/>
      <c r="I246" s="2202" t="s">
        <v>6700</v>
      </c>
      <c r="J246" s="2202"/>
      <c r="K246" s="2202"/>
      <c r="L246" s="615"/>
      <c r="M246" s="615"/>
    </row>
    <row r="247" spans="1:13" ht="22.5" x14ac:dyDescent="0.2">
      <c r="A247" s="2202" t="s">
        <v>6715</v>
      </c>
      <c r="B247" s="2202"/>
      <c r="C247" s="2202" t="s">
        <v>6701</v>
      </c>
      <c r="D247" s="2202" t="s">
        <v>6702</v>
      </c>
      <c r="E247" s="2202" t="s">
        <v>6703</v>
      </c>
      <c r="F247" s="2202" t="s">
        <v>6704</v>
      </c>
      <c r="G247" s="1543" t="s">
        <v>6705</v>
      </c>
      <c r="H247" s="1543" t="s">
        <v>6706</v>
      </c>
      <c r="I247" s="1543" t="s">
        <v>6707</v>
      </c>
      <c r="J247" s="1543" t="s">
        <v>6705</v>
      </c>
      <c r="K247" s="1543" t="s">
        <v>6706</v>
      </c>
      <c r="L247" s="615"/>
      <c r="M247" s="615"/>
    </row>
    <row r="248" spans="1:13" x14ac:dyDescent="0.2">
      <c r="A248" s="2202"/>
      <c r="B248" s="2202"/>
      <c r="C248" s="2202"/>
      <c r="D248" s="2202"/>
      <c r="E248" s="2202"/>
      <c r="F248" s="2202"/>
      <c r="G248" s="1543" t="s">
        <v>6708</v>
      </c>
      <c r="H248" s="1543" t="s">
        <v>6709</v>
      </c>
      <c r="I248" s="1543" t="s">
        <v>6710</v>
      </c>
      <c r="J248" s="1543" t="s">
        <v>6708</v>
      </c>
      <c r="K248" s="1543" t="s">
        <v>6709</v>
      </c>
      <c r="L248" s="615"/>
      <c r="M248" s="615"/>
    </row>
    <row r="249" spans="1:13" x14ac:dyDescent="0.2">
      <c r="A249" s="1543"/>
      <c r="B249" s="1553" t="s">
        <v>5808</v>
      </c>
      <c r="C249" s="1541">
        <v>1</v>
      </c>
      <c r="D249" s="1541">
        <v>125.56</v>
      </c>
      <c r="E249" s="1544"/>
      <c r="F249" s="1550">
        <v>3.45</v>
      </c>
      <c r="G249" s="1540">
        <f t="shared" ref="G249:G254" si="22">F249*D249</f>
        <v>433.18200000000002</v>
      </c>
      <c r="H249" s="1539"/>
      <c r="I249" s="1539"/>
      <c r="J249" s="1539">
        <f t="shared" ref="J249:J255" si="23">G249*C249</f>
        <v>433.18200000000002</v>
      </c>
      <c r="K249" s="1539">
        <f t="shared" ref="K249:K255" si="24">C249*H249</f>
        <v>0</v>
      </c>
      <c r="L249" s="1603"/>
      <c r="M249" s="615"/>
    </row>
    <row r="250" spans="1:13" x14ac:dyDescent="0.2">
      <c r="A250" s="1543"/>
      <c r="B250" s="1553" t="s">
        <v>5809</v>
      </c>
      <c r="C250" s="1541">
        <v>1</v>
      </c>
      <c r="D250" s="1541">
        <v>122.65</v>
      </c>
      <c r="E250" s="1544"/>
      <c r="F250" s="1550">
        <v>3.45</v>
      </c>
      <c r="G250" s="1540">
        <f t="shared" si="22"/>
        <v>423.14250000000004</v>
      </c>
      <c r="H250" s="1539"/>
      <c r="I250" s="1539"/>
      <c r="J250" s="1539">
        <f t="shared" si="23"/>
        <v>423.14250000000004</v>
      </c>
      <c r="K250" s="1539">
        <f t="shared" si="24"/>
        <v>0</v>
      </c>
      <c r="L250" s="1603"/>
      <c r="M250" s="615"/>
    </row>
    <row r="251" spans="1:13" x14ac:dyDescent="0.2">
      <c r="A251" s="1543"/>
      <c r="B251" s="1553" t="s">
        <v>6728</v>
      </c>
      <c r="C251" s="1541">
        <v>1</v>
      </c>
      <c r="D251" s="1541">
        <v>32.76</v>
      </c>
      <c r="E251" s="1544"/>
      <c r="F251" s="1550">
        <v>2.6</v>
      </c>
      <c r="G251" s="1540">
        <f t="shared" si="22"/>
        <v>85.176000000000002</v>
      </c>
      <c r="H251" s="1539"/>
      <c r="I251" s="1539"/>
      <c r="J251" s="1539">
        <f t="shared" si="23"/>
        <v>85.176000000000002</v>
      </c>
      <c r="K251" s="1539">
        <f t="shared" si="24"/>
        <v>0</v>
      </c>
      <c r="L251" s="1603"/>
      <c r="M251" s="615"/>
    </row>
    <row r="252" spans="1:13" x14ac:dyDescent="0.2">
      <c r="A252" s="1701"/>
      <c r="B252" s="1553" t="s">
        <v>7842</v>
      </c>
      <c r="C252" s="1541">
        <v>1</v>
      </c>
      <c r="D252" s="1541">
        <v>119.4</v>
      </c>
      <c r="E252" s="1544"/>
      <c r="F252" s="1550">
        <v>0.3</v>
      </c>
      <c r="G252" s="1540">
        <f t="shared" si="22"/>
        <v>35.82</v>
      </c>
      <c r="H252" s="1539"/>
      <c r="I252" s="1539"/>
      <c r="J252" s="1539">
        <f t="shared" si="23"/>
        <v>35.82</v>
      </c>
      <c r="K252" s="1539">
        <f t="shared" si="24"/>
        <v>0</v>
      </c>
      <c r="L252" s="1603"/>
      <c r="M252" s="615"/>
    </row>
    <row r="253" spans="1:13" x14ac:dyDescent="0.2">
      <c r="A253" s="1543"/>
      <c r="B253" s="1553" t="s">
        <v>6729</v>
      </c>
      <c r="C253" s="1541">
        <v>1</v>
      </c>
      <c r="D253" s="1541">
        <v>3.56</v>
      </c>
      <c r="E253" s="1544"/>
      <c r="F253" s="1550">
        <v>2.1</v>
      </c>
      <c r="G253" s="1540">
        <f t="shared" si="22"/>
        <v>7.4760000000000009</v>
      </c>
      <c r="H253" s="1539"/>
      <c r="I253" s="1539"/>
      <c r="J253" s="1539">
        <f t="shared" si="23"/>
        <v>7.4760000000000009</v>
      </c>
      <c r="K253" s="1539">
        <f t="shared" si="24"/>
        <v>0</v>
      </c>
      <c r="L253" s="1603"/>
      <c r="M253" s="615"/>
    </row>
    <row r="254" spans="1:13" x14ac:dyDescent="0.2">
      <c r="A254" s="1900"/>
      <c r="B254" s="1553" t="s">
        <v>9456</v>
      </c>
      <c r="C254" s="1541">
        <v>2</v>
      </c>
      <c r="D254" s="1541">
        <v>5.15</v>
      </c>
      <c r="E254" s="1544"/>
      <c r="F254" s="1550">
        <v>1.18</v>
      </c>
      <c r="G254" s="1540">
        <f t="shared" si="22"/>
        <v>6.077</v>
      </c>
      <c r="H254" s="1539"/>
      <c r="I254" s="1539"/>
      <c r="J254" s="1539">
        <f t="shared" si="23"/>
        <v>12.154</v>
      </c>
      <c r="K254" s="1539">
        <f t="shared" si="24"/>
        <v>0</v>
      </c>
      <c r="L254" s="1603"/>
      <c r="M254" s="615"/>
    </row>
    <row r="255" spans="1:13" x14ac:dyDescent="0.2">
      <c r="A255" s="1543"/>
      <c r="B255" s="1553" t="s">
        <v>5811</v>
      </c>
      <c r="C255" s="1541">
        <v>1</v>
      </c>
      <c r="D255" s="1541">
        <v>0</v>
      </c>
      <c r="E255" s="1544">
        <v>0</v>
      </c>
      <c r="F255" s="1550">
        <v>0</v>
      </c>
      <c r="G255" s="1540">
        <f>6.92+2.43+4.86+14.04+6.08</f>
        <v>34.33</v>
      </c>
      <c r="H255" s="1539">
        <f>G255*F255</f>
        <v>0</v>
      </c>
      <c r="I255" s="1539"/>
      <c r="J255" s="1539">
        <f t="shared" si="23"/>
        <v>34.33</v>
      </c>
      <c r="K255" s="1539">
        <f t="shared" si="24"/>
        <v>0</v>
      </c>
      <c r="L255" s="615"/>
      <c r="M255" s="615"/>
    </row>
    <row r="256" spans="1:13" x14ac:dyDescent="0.2">
      <c r="A256" s="1547"/>
      <c r="B256" s="1548"/>
      <c r="C256" s="1548"/>
      <c r="D256" s="1548"/>
      <c r="E256" s="1548"/>
      <c r="F256" s="2200" t="s">
        <v>6711</v>
      </c>
      <c r="G256" s="2200"/>
      <c r="H256" s="2200"/>
      <c r="I256" s="1549">
        <f>ROUND(SUM(I249:I255),2)</f>
        <v>0</v>
      </c>
      <c r="J256" s="1549">
        <f>ROUND(SUM(J249:J255),2)</f>
        <v>1031.28</v>
      </c>
      <c r="K256" s="1549">
        <f>ROUND(SUM(K249:K255),2)</f>
        <v>0</v>
      </c>
      <c r="L256" s="615"/>
      <c r="M256" s="615"/>
    </row>
    <row r="257" spans="1:13" x14ac:dyDescent="0.2">
      <c r="A257" s="1543"/>
      <c r="B257" s="2201"/>
      <c r="C257" s="2201"/>
      <c r="D257" s="2201"/>
      <c r="E257" s="2201"/>
      <c r="F257" s="2201"/>
      <c r="G257" s="2201"/>
      <c r="H257" s="2201"/>
      <c r="I257" s="2201"/>
      <c r="J257" s="2201"/>
      <c r="K257" s="1543"/>
      <c r="L257" s="615"/>
      <c r="M257" s="615"/>
    </row>
    <row r="258" spans="1:13" ht="25.5" x14ac:dyDescent="0.2">
      <c r="A258" s="1835" t="str">
        <f>'Orç - Prédio'!A122</f>
        <v>04.01.102.02</v>
      </c>
      <c r="B258" s="2207" t="str">
        <f>'Orç - Prédio'!D122</f>
        <v>Alvenaria de vedação de blocos vazados de cerâmica de 14x9x19 cm (espessura 14cm)</v>
      </c>
      <c r="C258" s="2207"/>
      <c r="D258" s="2207"/>
      <c r="E258" s="2207"/>
      <c r="F258" s="2207"/>
      <c r="G258" s="2207"/>
      <c r="H258" s="2207"/>
      <c r="I258" s="2207"/>
      <c r="J258" s="2207"/>
      <c r="K258" s="1836" t="str">
        <f>'Orç - Prédio'!F122</f>
        <v>m2</v>
      </c>
      <c r="L258" s="1837" t="s">
        <v>15154</v>
      </c>
    </row>
    <row r="259" spans="1:13" x14ac:dyDescent="0.2">
      <c r="A259" s="2202"/>
      <c r="B259" s="2202"/>
      <c r="C259" s="1537"/>
      <c r="D259" s="1537"/>
      <c r="E259" s="1537"/>
      <c r="F259" s="1537"/>
      <c r="G259" s="2202" t="s">
        <v>6699</v>
      </c>
      <c r="H259" s="2202"/>
      <c r="I259" s="2202" t="s">
        <v>6700</v>
      </c>
      <c r="J259" s="2202"/>
      <c r="K259" s="2202"/>
      <c r="L259" s="615"/>
      <c r="M259" s="615"/>
    </row>
    <row r="260" spans="1:13" ht="22.5" x14ac:dyDescent="0.2">
      <c r="A260" s="2202" t="s">
        <v>6715</v>
      </c>
      <c r="B260" s="2202"/>
      <c r="C260" s="2202" t="s">
        <v>6701</v>
      </c>
      <c r="D260" s="2202" t="s">
        <v>6702</v>
      </c>
      <c r="E260" s="2202" t="s">
        <v>6703</v>
      </c>
      <c r="F260" s="2202" t="s">
        <v>6704</v>
      </c>
      <c r="G260" s="1543" t="s">
        <v>6705</v>
      </c>
      <c r="H260" s="1543" t="s">
        <v>6706</v>
      </c>
      <c r="I260" s="1543" t="s">
        <v>6707</v>
      </c>
      <c r="J260" s="1543" t="s">
        <v>6705</v>
      </c>
      <c r="K260" s="1543" t="s">
        <v>6706</v>
      </c>
      <c r="L260" s="615"/>
      <c r="M260" s="615"/>
    </row>
    <row r="261" spans="1:13" x14ac:dyDescent="0.2">
      <c r="A261" s="2202"/>
      <c r="B261" s="2202"/>
      <c r="C261" s="2202"/>
      <c r="D261" s="2202"/>
      <c r="E261" s="2202"/>
      <c r="F261" s="2202"/>
      <c r="G261" s="1543" t="s">
        <v>6708</v>
      </c>
      <c r="H261" s="1543" t="s">
        <v>6709</v>
      </c>
      <c r="I261" s="1543" t="s">
        <v>6710</v>
      </c>
      <c r="J261" s="1543" t="s">
        <v>6708</v>
      </c>
      <c r="K261" s="1543" t="s">
        <v>6709</v>
      </c>
      <c r="L261" s="615"/>
      <c r="M261" s="615"/>
    </row>
    <row r="262" spans="1:13" x14ac:dyDescent="0.2">
      <c r="A262" s="1543"/>
      <c r="B262" s="1553" t="s">
        <v>5808</v>
      </c>
      <c r="C262" s="1541">
        <v>1</v>
      </c>
      <c r="D262" s="1541">
        <v>86.35</v>
      </c>
      <c r="E262" s="1544"/>
      <c r="F262" s="1550">
        <v>3.45</v>
      </c>
      <c r="G262" s="1540">
        <f>F262*D262</f>
        <v>297.90749999999997</v>
      </c>
      <c r="H262" s="1539"/>
      <c r="I262" s="1539"/>
      <c r="J262" s="1539">
        <f>G262*C262</f>
        <v>297.90749999999997</v>
      </c>
      <c r="K262" s="1539"/>
      <c r="L262" s="1603"/>
      <c r="M262" s="615"/>
    </row>
    <row r="263" spans="1:13" x14ac:dyDescent="0.2">
      <c r="A263" s="1543"/>
      <c r="B263" s="1553" t="s">
        <v>5809</v>
      </c>
      <c r="C263" s="1541">
        <v>1</v>
      </c>
      <c r="D263" s="1616">
        <v>80.599999999999994</v>
      </c>
      <c r="E263" s="1544"/>
      <c r="F263" s="1550">
        <v>3.45</v>
      </c>
      <c r="G263" s="1540">
        <f>F263*D263</f>
        <v>278.07</v>
      </c>
      <c r="H263" s="1539"/>
      <c r="I263" s="1539"/>
      <c r="J263" s="1539">
        <f>G263*C263</f>
        <v>278.07</v>
      </c>
      <c r="K263" s="1539"/>
      <c r="L263" s="1603"/>
      <c r="M263" s="615"/>
    </row>
    <row r="264" spans="1:13" x14ac:dyDescent="0.2">
      <c r="A264" s="1543"/>
      <c r="B264" s="1553" t="s">
        <v>5812</v>
      </c>
      <c r="C264" s="1541">
        <v>1</v>
      </c>
      <c r="D264" s="1541"/>
      <c r="E264" s="1544">
        <v>0</v>
      </c>
      <c r="F264" s="1550"/>
      <c r="G264" s="1540">
        <f>120.05+120.05+92.74+22.77</f>
        <v>355.60999999999996</v>
      </c>
      <c r="H264" s="1539"/>
      <c r="I264" s="1539"/>
      <c r="J264" s="1539">
        <f>G264*C264</f>
        <v>355.60999999999996</v>
      </c>
      <c r="K264" s="1539"/>
      <c r="L264" s="615"/>
      <c r="M264" s="615"/>
    </row>
    <row r="265" spans="1:13" x14ac:dyDescent="0.2">
      <c r="A265" s="1547"/>
      <c r="B265" s="1548"/>
      <c r="C265" s="1548"/>
      <c r="D265" s="1548"/>
      <c r="E265" s="1548"/>
      <c r="F265" s="2200" t="s">
        <v>6711</v>
      </c>
      <c r="G265" s="2200"/>
      <c r="H265" s="2200"/>
      <c r="I265" s="1549"/>
      <c r="J265" s="1549">
        <f>ROUND(SUM(J262:J264),2)</f>
        <v>931.59</v>
      </c>
      <c r="K265" s="1549"/>
      <c r="L265" s="615"/>
      <c r="M265" s="615"/>
    </row>
    <row r="266" spans="1:13" x14ac:dyDescent="0.2">
      <c r="A266" s="1543"/>
      <c r="B266" s="2201"/>
      <c r="C266" s="2201"/>
      <c r="D266" s="2201"/>
      <c r="E266" s="2201"/>
      <c r="F266" s="2201"/>
      <c r="G266" s="2201"/>
      <c r="H266" s="2201"/>
      <c r="I266" s="2201"/>
      <c r="J266" s="2201"/>
      <c r="K266" s="1543"/>
      <c r="L266" s="615"/>
      <c r="M266" s="615"/>
    </row>
    <row r="267" spans="1:13" ht="25.5" x14ac:dyDescent="0.2">
      <c r="A267" s="1835" t="str">
        <f>'Orç - Prédio'!A123</f>
        <v>04.01.102.03</v>
      </c>
      <c r="B267" s="2207" t="str">
        <f>'Orç - Prédio'!D123</f>
        <v>Alvenaria de vedação de blocos vazados de cerâmica de 19x19x39 cm (espessura 19cm)</v>
      </c>
      <c r="C267" s="2207"/>
      <c r="D267" s="2207"/>
      <c r="E267" s="2207"/>
      <c r="F267" s="2207"/>
      <c r="G267" s="2207"/>
      <c r="H267" s="2207"/>
      <c r="I267" s="2207"/>
      <c r="J267" s="2207"/>
      <c r="K267" s="1836" t="str">
        <f>'Orç - Prédio'!F123</f>
        <v>m2</v>
      </c>
      <c r="L267" s="1837" t="s">
        <v>15154</v>
      </c>
    </row>
    <row r="268" spans="1:13" x14ac:dyDescent="0.2">
      <c r="A268" s="2202"/>
      <c r="B268" s="2202"/>
      <c r="C268" s="1537"/>
      <c r="D268" s="1537"/>
      <c r="E268" s="1537"/>
      <c r="F268" s="1537"/>
      <c r="G268" s="2202" t="s">
        <v>6699</v>
      </c>
      <c r="H268" s="2202"/>
      <c r="I268" s="2202" t="s">
        <v>6700</v>
      </c>
      <c r="J268" s="2202"/>
      <c r="K268" s="2202"/>
      <c r="L268" s="615"/>
      <c r="M268" s="615"/>
    </row>
    <row r="269" spans="1:13" ht="22.5" x14ac:dyDescent="0.2">
      <c r="A269" s="2202" t="s">
        <v>6715</v>
      </c>
      <c r="B269" s="2202"/>
      <c r="C269" s="2202" t="s">
        <v>6701</v>
      </c>
      <c r="D269" s="2202" t="s">
        <v>6702</v>
      </c>
      <c r="E269" s="2202" t="s">
        <v>6703</v>
      </c>
      <c r="F269" s="2202" t="s">
        <v>6704</v>
      </c>
      <c r="G269" s="1543" t="s">
        <v>6705</v>
      </c>
      <c r="H269" s="1543" t="s">
        <v>6706</v>
      </c>
      <c r="I269" s="1543" t="s">
        <v>6707</v>
      </c>
      <c r="J269" s="1543" t="s">
        <v>6705</v>
      </c>
      <c r="K269" s="1543" t="s">
        <v>6706</v>
      </c>
      <c r="L269" s="615"/>
      <c r="M269" s="615"/>
    </row>
    <row r="270" spans="1:13" x14ac:dyDescent="0.2">
      <c r="A270" s="2202"/>
      <c r="B270" s="2202"/>
      <c r="C270" s="2202"/>
      <c r="D270" s="2202"/>
      <c r="E270" s="2202"/>
      <c r="F270" s="2202"/>
      <c r="G270" s="1543" t="s">
        <v>6708</v>
      </c>
      <c r="H270" s="1543" t="s">
        <v>6709</v>
      </c>
      <c r="I270" s="1543" t="s">
        <v>6710</v>
      </c>
      <c r="J270" s="1543" t="s">
        <v>6708</v>
      </c>
      <c r="K270" s="1543" t="s">
        <v>6709</v>
      </c>
      <c r="L270" s="615"/>
      <c r="M270" s="615"/>
    </row>
    <row r="271" spans="1:13" x14ac:dyDescent="0.2">
      <c r="A271" s="1543"/>
      <c r="B271" s="1553" t="s">
        <v>5808</v>
      </c>
      <c r="C271" s="1541">
        <v>1</v>
      </c>
      <c r="D271" s="1541">
        <v>4.88</v>
      </c>
      <c r="E271" s="1544"/>
      <c r="F271" s="1550">
        <v>3.45</v>
      </c>
      <c r="G271" s="1540">
        <f>F271*D271</f>
        <v>16.836000000000002</v>
      </c>
      <c r="H271" s="1539"/>
      <c r="I271" s="1539"/>
      <c r="J271" s="1539">
        <f>G271*C271</f>
        <v>16.836000000000002</v>
      </c>
      <c r="K271" s="1539">
        <f>C271*H271</f>
        <v>0</v>
      </c>
      <c r="L271" s="1603"/>
      <c r="M271" s="615"/>
    </row>
    <row r="272" spans="1:13" x14ac:dyDescent="0.2">
      <c r="A272" s="1543"/>
      <c r="B272" s="1553" t="s">
        <v>5809</v>
      </c>
      <c r="C272" s="1541">
        <v>1</v>
      </c>
      <c r="D272" s="1541">
        <v>4.83</v>
      </c>
      <c r="E272" s="1544"/>
      <c r="F272" s="1550">
        <v>3.45</v>
      </c>
      <c r="G272" s="1540">
        <f>F272*D272</f>
        <v>16.663500000000003</v>
      </c>
      <c r="H272" s="1539"/>
      <c r="I272" s="1539"/>
      <c r="J272" s="1539">
        <f>G272*C272</f>
        <v>16.663500000000003</v>
      </c>
      <c r="K272" s="1539">
        <f>C272*H272</f>
        <v>0</v>
      </c>
      <c r="L272" s="1603"/>
      <c r="M272" s="615"/>
    </row>
    <row r="273" spans="1:13" x14ac:dyDescent="0.2">
      <c r="A273" s="1547"/>
      <c r="B273" s="1548"/>
      <c r="C273" s="1548"/>
      <c r="D273" s="1548"/>
      <c r="E273" s="1548"/>
      <c r="F273" s="2200" t="s">
        <v>6711</v>
      </c>
      <c r="G273" s="2200"/>
      <c r="H273" s="2200"/>
      <c r="I273" s="1549">
        <f>ROUND(SUM(I271:I272),2)</f>
        <v>0</v>
      </c>
      <c r="J273" s="1549">
        <f>ROUND(SUM(J271:J272),2)</f>
        <v>33.5</v>
      </c>
      <c r="K273" s="1549">
        <f>ROUND(SUM(K271:K272),2)</f>
        <v>0</v>
      </c>
      <c r="L273" s="615"/>
      <c r="M273" s="615"/>
    </row>
    <row r="274" spans="1:13" x14ac:dyDescent="0.2">
      <c r="A274" s="1543"/>
      <c r="B274" s="2201"/>
      <c r="C274" s="2201"/>
      <c r="D274" s="2201"/>
      <c r="E274" s="2201"/>
      <c r="F274" s="2201"/>
      <c r="G274" s="2201"/>
      <c r="H274" s="2201"/>
      <c r="I274" s="2201"/>
      <c r="J274" s="2201"/>
      <c r="K274" s="1543"/>
      <c r="L274" s="615"/>
      <c r="M274" s="615"/>
    </row>
    <row r="275" spans="1:13" ht="25.5" x14ac:dyDescent="0.2">
      <c r="A275" s="1835" t="str">
        <f>'Orç - Prédio'!A124</f>
        <v>04.01.102.04</v>
      </c>
      <c r="B275" s="2207" t="str">
        <f>'Orç - Prédio'!D124</f>
        <v>Cinta de amarração de alvenaria moldada in loco em concreto (passando na altura das vergas, direto)</v>
      </c>
      <c r="C275" s="2207"/>
      <c r="D275" s="2207"/>
      <c r="E275" s="2207"/>
      <c r="F275" s="2207"/>
      <c r="G275" s="2207"/>
      <c r="H275" s="2207"/>
      <c r="I275" s="2207"/>
      <c r="J275" s="2207"/>
      <c r="K275" s="1836" t="str">
        <f>'Orç - Prédio'!F124</f>
        <v>m</v>
      </c>
      <c r="L275" s="1837" t="s">
        <v>15154</v>
      </c>
    </row>
    <row r="276" spans="1:13" x14ac:dyDescent="0.2">
      <c r="A276" s="2202"/>
      <c r="B276" s="2202"/>
      <c r="C276" s="1537"/>
      <c r="D276" s="1537"/>
      <c r="E276" s="1537"/>
      <c r="F276" s="1537"/>
      <c r="G276" s="2202" t="s">
        <v>6699</v>
      </c>
      <c r="H276" s="2202"/>
      <c r="I276" s="2202" t="s">
        <v>6700</v>
      </c>
      <c r="J276" s="2202"/>
      <c r="K276" s="2202"/>
      <c r="L276" s="615"/>
      <c r="M276" s="615"/>
    </row>
    <row r="277" spans="1:13" ht="22.5" x14ac:dyDescent="0.2">
      <c r="A277" s="2202" t="s">
        <v>6715</v>
      </c>
      <c r="B277" s="2202"/>
      <c r="C277" s="2202" t="s">
        <v>6701</v>
      </c>
      <c r="D277" s="2202" t="s">
        <v>6702</v>
      </c>
      <c r="E277" s="2202" t="s">
        <v>6703</v>
      </c>
      <c r="F277" s="2202" t="s">
        <v>6704</v>
      </c>
      <c r="G277" s="1543" t="s">
        <v>6705</v>
      </c>
      <c r="H277" s="1543" t="s">
        <v>6706</v>
      </c>
      <c r="I277" s="1543" t="s">
        <v>6707</v>
      </c>
      <c r="J277" s="1543" t="s">
        <v>6705</v>
      </c>
      <c r="K277" s="1543" t="s">
        <v>6706</v>
      </c>
      <c r="L277" s="615"/>
      <c r="M277" s="615"/>
    </row>
    <row r="278" spans="1:13" x14ac:dyDescent="0.2">
      <c r="A278" s="2202"/>
      <c r="B278" s="2202"/>
      <c r="C278" s="2202"/>
      <c r="D278" s="2202"/>
      <c r="E278" s="2202"/>
      <c r="F278" s="2202"/>
      <c r="G278" s="1543" t="s">
        <v>6708</v>
      </c>
      <c r="H278" s="1543" t="s">
        <v>6709</v>
      </c>
      <c r="I278" s="1543" t="s">
        <v>6710</v>
      </c>
      <c r="J278" s="1543" t="s">
        <v>6708</v>
      </c>
      <c r="K278" s="1543" t="s">
        <v>6709</v>
      </c>
      <c r="L278" s="615"/>
      <c r="M278" s="615"/>
    </row>
    <row r="279" spans="1:13" x14ac:dyDescent="0.2">
      <c r="A279" s="1543"/>
      <c r="B279" s="1553" t="s">
        <v>5808</v>
      </c>
      <c r="C279" s="1541">
        <v>1</v>
      </c>
      <c r="D279" s="1554">
        <f>D262+D271+D249</f>
        <v>216.79</v>
      </c>
      <c r="E279" s="1544"/>
      <c r="F279" s="1550"/>
      <c r="G279" s="1540">
        <f>F279*D279</f>
        <v>0</v>
      </c>
      <c r="H279" s="1539"/>
      <c r="I279" s="1539">
        <f>D279*C279</f>
        <v>216.79</v>
      </c>
      <c r="J279" s="1539">
        <f>G279*C279</f>
        <v>0</v>
      </c>
      <c r="K279" s="1539">
        <f>C279*H279</f>
        <v>0</v>
      </c>
      <c r="L279" s="1603"/>
      <c r="M279" s="615"/>
    </row>
    <row r="280" spans="1:13" x14ac:dyDescent="0.2">
      <c r="A280" s="1543"/>
      <c r="B280" s="1553" t="s">
        <v>5809</v>
      </c>
      <c r="C280" s="1541">
        <v>1</v>
      </c>
      <c r="D280" s="1554">
        <f>D272+D263+D250</f>
        <v>208.07999999999998</v>
      </c>
      <c r="E280" s="1544"/>
      <c r="F280" s="1550"/>
      <c r="G280" s="1540">
        <f>F280*D280</f>
        <v>0</v>
      </c>
      <c r="H280" s="1539"/>
      <c r="I280" s="1539">
        <f>D280*C280</f>
        <v>208.07999999999998</v>
      </c>
      <c r="J280" s="1539">
        <f>G280*C280</f>
        <v>0</v>
      </c>
      <c r="K280" s="1539">
        <f>C280*H280</f>
        <v>0</v>
      </c>
      <c r="L280" s="1603"/>
      <c r="M280" s="615"/>
    </row>
    <row r="281" spans="1:13" x14ac:dyDescent="0.2">
      <c r="A281" s="1547"/>
      <c r="B281" s="1548"/>
      <c r="C281" s="1548"/>
      <c r="D281" s="1548"/>
      <c r="E281" s="1548"/>
      <c r="F281" s="2200" t="s">
        <v>6711</v>
      </c>
      <c r="G281" s="2200"/>
      <c r="H281" s="2200"/>
      <c r="I281" s="1549">
        <f>ROUND(SUM(I279:I280),2)</f>
        <v>424.87</v>
      </c>
      <c r="J281" s="1549">
        <f>ROUND(SUM(J279:J280),2)</f>
        <v>0</v>
      </c>
      <c r="K281" s="1549">
        <f>ROUND(SUM(K279:K280),2)</f>
        <v>0</v>
      </c>
      <c r="L281" s="615"/>
      <c r="M281" s="615"/>
    </row>
    <row r="282" spans="1:13" x14ac:dyDescent="0.2">
      <c r="A282" s="1543"/>
      <c r="B282" s="2201"/>
      <c r="C282" s="2201"/>
      <c r="D282" s="2201"/>
      <c r="E282" s="2201"/>
      <c r="F282" s="2201"/>
      <c r="G282" s="2201"/>
      <c r="H282" s="2201"/>
      <c r="I282" s="2201"/>
      <c r="J282" s="2201"/>
      <c r="K282" s="1543"/>
      <c r="L282" s="615"/>
      <c r="M282" s="615"/>
    </row>
    <row r="283" spans="1:13" ht="25.5" x14ac:dyDescent="0.2">
      <c r="A283" s="1835" t="str">
        <f>'Orç - Prédio'!A125</f>
        <v>04.01.102.05</v>
      </c>
      <c r="B283" s="2207" t="str">
        <f>'Orç - Prédio'!D125</f>
        <v>Contraverga moldada in loco em concreto para janelas com mais de 1,5m de vão</v>
      </c>
      <c r="C283" s="2207"/>
      <c r="D283" s="2207"/>
      <c r="E283" s="2207"/>
      <c r="F283" s="2207"/>
      <c r="G283" s="2207"/>
      <c r="H283" s="2207"/>
      <c r="I283" s="2207"/>
      <c r="J283" s="2207"/>
      <c r="K283" s="1836" t="str">
        <f>'Orç - Prédio'!F125</f>
        <v>m</v>
      </c>
      <c r="L283" s="1837" t="s">
        <v>15154</v>
      </c>
    </row>
    <row r="284" spans="1:13" x14ac:dyDescent="0.2">
      <c r="A284" s="2202"/>
      <c r="B284" s="2202"/>
      <c r="C284" s="1537"/>
      <c r="D284" s="1537"/>
      <c r="E284" s="1537"/>
      <c r="F284" s="1537"/>
      <c r="G284" s="2202" t="s">
        <v>6699</v>
      </c>
      <c r="H284" s="2202"/>
      <c r="I284" s="2202" t="s">
        <v>6700</v>
      </c>
      <c r="J284" s="2202"/>
      <c r="K284" s="2202"/>
      <c r="L284" s="615"/>
      <c r="M284" s="615"/>
    </row>
    <row r="285" spans="1:13" ht="22.5" x14ac:dyDescent="0.2">
      <c r="A285" s="2202" t="s">
        <v>6715</v>
      </c>
      <c r="B285" s="2202"/>
      <c r="C285" s="2202" t="s">
        <v>6701</v>
      </c>
      <c r="D285" s="2202" t="s">
        <v>6702</v>
      </c>
      <c r="E285" s="2202" t="s">
        <v>6703</v>
      </c>
      <c r="F285" s="2202" t="s">
        <v>6704</v>
      </c>
      <c r="G285" s="1543" t="s">
        <v>6705</v>
      </c>
      <c r="H285" s="1543" t="s">
        <v>6706</v>
      </c>
      <c r="I285" s="1543" t="s">
        <v>6707</v>
      </c>
      <c r="J285" s="1543" t="s">
        <v>6705</v>
      </c>
      <c r="K285" s="1543" t="s">
        <v>6706</v>
      </c>
      <c r="L285" s="615"/>
      <c r="M285" s="615"/>
    </row>
    <row r="286" spans="1:13" x14ac:dyDescent="0.2">
      <c r="A286" s="2202"/>
      <c r="B286" s="2202"/>
      <c r="C286" s="2202"/>
      <c r="D286" s="2202"/>
      <c r="E286" s="2202"/>
      <c r="F286" s="2202"/>
      <c r="G286" s="1543" t="s">
        <v>6708</v>
      </c>
      <c r="H286" s="1543" t="s">
        <v>6709</v>
      </c>
      <c r="I286" s="1543" t="s">
        <v>6710</v>
      </c>
      <c r="J286" s="1543" t="s">
        <v>6708</v>
      </c>
      <c r="K286" s="1543" t="s">
        <v>6709</v>
      </c>
      <c r="L286" s="615"/>
      <c r="M286" s="615"/>
    </row>
    <row r="287" spans="1:13" x14ac:dyDescent="0.2">
      <c r="A287" s="1543"/>
      <c r="B287" s="1553" t="s">
        <v>5813</v>
      </c>
      <c r="C287" s="1541">
        <v>1</v>
      </c>
      <c r="D287" s="1554">
        <f>8*7.32+8*7.32+6*7.54+2*6.9</f>
        <v>176.16000000000003</v>
      </c>
      <c r="E287" s="1544"/>
      <c r="F287" s="1550"/>
      <c r="G287" s="1540">
        <f>F287*D287</f>
        <v>0</v>
      </c>
      <c r="H287" s="1539"/>
      <c r="I287" s="1539">
        <f>D287*C287</f>
        <v>176.16000000000003</v>
      </c>
      <c r="J287" s="1539">
        <f>G287*C287</f>
        <v>0</v>
      </c>
      <c r="K287" s="1539">
        <f>C287*H287</f>
        <v>0</v>
      </c>
      <c r="L287" s="1603"/>
      <c r="M287" s="615"/>
    </row>
    <row r="288" spans="1:13" x14ac:dyDescent="0.2">
      <c r="A288" s="1547"/>
      <c r="B288" s="1548"/>
      <c r="C288" s="1548"/>
      <c r="D288" s="1548"/>
      <c r="E288" s="1548"/>
      <c r="F288" s="2200" t="s">
        <v>6711</v>
      </c>
      <c r="G288" s="2200"/>
      <c r="H288" s="2200"/>
      <c r="I288" s="1549">
        <f>ROUND(SUM(I287:I287),2)</f>
        <v>176.16</v>
      </c>
      <c r="J288" s="1549">
        <f>ROUND(SUM(J287:J287),2)</f>
        <v>0</v>
      </c>
      <c r="K288" s="1549">
        <f>ROUND(SUM(K287:K287),2)</f>
        <v>0</v>
      </c>
      <c r="L288" s="615"/>
      <c r="M288" s="615"/>
    </row>
    <row r="289" spans="1:13" x14ac:dyDescent="0.2">
      <c r="A289" s="1543"/>
      <c r="B289" s="2201"/>
      <c r="C289" s="2201"/>
      <c r="D289" s="2201"/>
      <c r="E289" s="2201"/>
      <c r="F289" s="2201"/>
      <c r="G289" s="2201"/>
      <c r="H289" s="2201"/>
      <c r="I289" s="2201"/>
      <c r="J289" s="2201"/>
      <c r="K289" s="1543"/>
      <c r="L289" s="615"/>
      <c r="M289" s="615"/>
    </row>
    <row r="290" spans="1:13" ht="25.5" x14ac:dyDescent="0.2">
      <c r="A290" s="1835" t="str">
        <f>'Orç - Prédio'!A126</f>
        <v>04.01.102.06</v>
      </c>
      <c r="B290" s="2207" t="str">
        <f>'Orç - Prédio'!D126</f>
        <v>Pilarete de amarração para alvenaria moldada in loco em concreto (9x9cm)</v>
      </c>
      <c r="C290" s="2207"/>
      <c r="D290" s="2207"/>
      <c r="E290" s="2207"/>
      <c r="F290" s="2207"/>
      <c r="G290" s="2207"/>
      <c r="H290" s="2207"/>
      <c r="I290" s="2207"/>
      <c r="J290" s="2207"/>
      <c r="K290" s="1836" t="str">
        <f>'Orç - Prédio'!F126</f>
        <v>m</v>
      </c>
      <c r="L290" s="1837" t="s">
        <v>15154</v>
      </c>
    </row>
    <row r="291" spans="1:13" x14ac:dyDescent="0.2">
      <c r="A291" s="2202"/>
      <c r="B291" s="2202"/>
      <c r="C291" s="1537"/>
      <c r="D291" s="1537"/>
      <c r="E291" s="1537"/>
      <c r="F291" s="1537"/>
      <c r="G291" s="2202" t="s">
        <v>6699</v>
      </c>
      <c r="H291" s="2202"/>
      <c r="I291" s="2202" t="s">
        <v>6700</v>
      </c>
      <c r="J291" s="2202"/>
      <c r="K291" s="2202"/>
      <c r="L291" s="615"/>
      <c r="M291" s="615"/>
    </row>
    <row r="292" spans="1:13" ht="22.5" x14ac:dyDescent="0.2">
      <c r="A292" s="2202" t="s">
        <v>6715</v>
      </c>
      <c r="B292" s="2202"/>
      <c r="C292" s="2202" t="s">
        <v>6701</v>
      </c>
      <c r="D292" s="2202" t="s">
        <v>6730</v>
      </c>
      <c r="E292" s="2202" t="s">
        <v>6703</v>
      </c>
      <c r="F292" s="2202" t="s">
        <v>6704</v>
      </c>
      <c r="G292" s="1543" t="s">
        <v>6705</v>
      </c>
      <c r="H292" s="1543" t="s">
        <v>6706</v>
      </c>
      <c r="I292" s="1543" t="s">
        <v>6707</v>
      </c>
      <c r="J292" s="1543" t="s">
        <v>6705</v>
      </c>
      <c r="K292" s="1543" t="s">
        <v>6706</v>
      </c>
      <c r="L292" s="615"/>
      <c r="M292" s="615"/>
    </row>
    <row r="293" spans="1:13" x14ac:dyDescent="0.2">
      <c r="A293" s="2202"/>
      <c r="B293" s="2202"/>
      <c r="C293" s="2202"/>
      <c r="D293" s="2202"/>
      <c r="E293" s="2202"/>
      <c r="F293" s="2202"/>
      <c r="G293" s="1543" t="s">
        <v>6708</v>
      </c>
      <c r="H293" s="1543" t="s">
        <v>6709</v>
      </c>
      <c r="I293" s="1543" t="s">
        <v>6710</v>
      </c>
      <c r="J293" s="1543" t="s">
        <v>6708</v>
      </c>
      <c r="K293" s="1543" t="s">
        <v>6709</v>
      </c>
      <c r="L293" s="615"/>
      <c r="M293" s="615"/>
    </row>
    <row r="294" spans="1:13" x14ac:dyDescent="0.2">
      <c r="A294" s="1543"/>
      <c r="B294" s="1553" t="s">
        <v>5808</v>
      </c>
      <c r="C294" s="1541">
        <v>1</v>
      </c>
      <c r="D294" s="1541">
        <f>D279/5</f>
        <v>43.357999999999997</v>
      </c>
      <c r="E294" s="1544"/>
      <c r="F294" s="1550">
        <v>3.45</v>
      </c>
      <c r="G294" s="1540">
        <v>0</v>
      </c>
      <c r="H294" s="1539"/>
      <c r="I294" s="1539">
        <f>F294*D294</f>
        <v>149.58510000000001</v>
      </c>
      <c r="J294" s="1539">
        <f>G294*C294</f>
        <v>0</v>
      </c>
      <c r="K294" s="1539">
        <f>C294*H294</f>
        <v>0</v>
      </c>
      <c r="L294" s="1603"/>
      <c r="M294" s="615"/>
    </row>
    <row r="295" spans="1:13" x14ac:dyDescent="0.2">
      <c r="A295" s="1543"/>
      <c r="B295" s="1553" t="s">
        <v>5809</v>
      </c>
      <c r="C295" s="1541">
        <v>1</v>
      </c>
      <c r="D295" s="1541">
        <f>D280/5</f>
        <v>41.616</v>
      </c>
      <c r="E295" s="1544"/>
      <c r="F295" s="1550">
        <v>3.45</v>
      </c>
      <c r="G295" s="1540">
        <v>0</v>
      </c>
      <c r="H295" s="1539"/>
      <c r="I295" s="1539">
        <f>F295*D295</f>
        <v>143.5752</v>
      </c>
      <c r="J295" s="1539">
        <f>G295*C295</f>
        <v>0</v>
      </c>
      <c r="K295" s="1539">
        <f>C295*H295</f>
        <v>0</v>
      </c>
      <c r="L295" s="1603"/>
      <c r="M295" s="615"/>
    </row>
    <row r="296" spans="1:13" x14ac:dyDescent="0.2">
      <c r="A296" s="1543"/>
      <c r="B296" s="1553" t="s">
        <v>5810</v>
      </c>
      <c r="C296" s="1541">
        <v>1</v>
      </c>
      <c r="D296" s="1541">
        <f>32.76/5</f>
        <v>6.5519999999999996</v>
      </c>
      <c r="E296" s="1544"/>
      <c r="F296" s="1550">
        <v>2.6</v>
      </c>
      <c r="G296" s="1540">
        <v>0</v>
      </c>
      <c r="H296" s="1539"/>
      <c r="I296" s="1539">
        <f>F296*D296</f>
        <v>17.0352</v>
      </c>
      <c r="J296" s="1539">
        <f>G296*C296</f>
        <v>0</v>
      </c>
      <c r="K296" s="1539">
        <f>C296*H296</f>
        <v>0</v>
      </c>
      <c r="L296" s="615"/>
      <c r="M296" s="615"/>
    </row>
    <row r="297" spans="1:13" x14ac:dyDescent="0.2">
      <c r="A297" s="1547"/>
      <c r="B297" s="1548"/>
      <c r="C297" s="1548"/>
      <c r="D297" s="1548"/>
      <c r="E297" s="1548"/>
      <c r="F297" s="2200" t="s">
        <v>6711</v>
      </c>
      <c r="G297" s="2200"/>
      <c r="H297" s="2200"/>
      <c r="I297" s="1549">
        <f>ROUND(SUM(I294:I296),2)</f>
        <v>310.2</v>
      </c>
      <c r="J297" s="1549">
        <f>ROUND(SUM(J294:J296),2)</f>
        <v>0</v>
      </c>
      <c r="K297" s="1549">
        <f>ROUND(SUM(K294:K296),2)</f>
        <v>0</v>
      </c>
      <c r="L297" s="615"/>
      <c r="M297" s="615"/>
    </row>
    <row r="298" spans="1:13" x14ac:dyDescent="0.2">
      <c r="A298" s="1543"/>
      <c r="B298" s="2201"/>
      <c r="C298" s="2201"/>
      <c r="D298" s="2201"/>
      <c r="E298" s="2201"/>
      <c r="F298" s="2201"/>
      <c r="G298" s="2201"/>
      <c r="H298" s="2201"/>
      <c r="I298" s="2201"/>
      <c r="J298" s="2201"/>
      <c r="K298" s="1543"/>
      <c r="L298" s="615"/>
      <c r="M298" s="615"/>
    </row>
    <row r="299" spans="1:13" ht="25.5" x14ac:dyDescent="0.2">
      <c r="A299" s="1835" t="str">
        <f>'Orç - Prédio'!A127</f>
        <v>04.01.102.07</v>
      </c>
      <c r="B299" s="2207" t="str">
        <f>'Orç - Prédio'!D127</f>
        <v>Fixação (encunhamento) de alvenaria de vedação com espuma de poliuretano expansiva</v>
      </c>
      <c r="C299" s="2207"/>
      <c r="D299" s="2207"/>
      <c r="E299" s="2207"/>
      <c r="F299" s="2207"/>
      <c r="G299" s="2207"/>
      <c r="H299" s="2207"/>
      <c r="I299" s="2207"/>
      <c r="J299" s="2207"/>
      <c r="K299" s="1836" t="str">
        <f>'Orç - Prédio'!F127</f>
        <v>m</v>
      </c>
      <c r="L299" s="1837" t="s">
        <v>15154</v>
      </c>
    </row>
    <row r="300" spans="1:13" x14ac:dyDescent="0.2">
      <c r="A300" s="2202"/>
      <c r="B300" s="2202"/>
      <c r="C300" s="1537"/>
      <c r="D300" s="1537"/>
      <c r="E300" s="1537"/>
      <c r="F300" s="1537"/>
      <c r="G300" s="2202" t="s">
        <v>6699</v>
      </c>
      <c r="H300" s="2202"/>
      <c r="I300" s="2202" t="s">
        <v>6700</v>
      </c>
      <c r="J300" s="2202"/>
      <c r="K300" s="2202"/>
      <c r="L300" s="615"/>
      <c r="M300" s="615"/>
    </row>
    <row r="301" spans="1:13" ht="22.5" x14ac:dyDescent="0.2">
      <c r="A301" s="2202" t="s">
        <v>6715</v>
      </c>
      <c r="B301" s="2202"/>
      <c r="C301" s="2202" t="s">
        <v>6701</v>
      </c>
      <c r="D301" s="2202" t="s">
        <v>6702</v>
      </c>
      <c r="E301" s="2202" t="s">
        <v>6703</v>
      </c>
      <c r="F301" s="2202" t="s">
        <v>6704</v>
      </c>
      <c r="G301" s="1543" t="s">
        <v>6705</v>
      </c>
      <c r="H301" s="1543" t="s">
        <v>6706</v>
      </c>
      <c r="I301" s="1543" t="s">
        <v>6707</v>
      </c>
      <c r="J301" s="1543" t="s">
        <v>6705</v>
      </c>
      <c r="K301" s="1543" t="s">
        <v>6706</v>
      </c>
      <c r="L301" s="615"/>
      <c r="M301" s="615"/>
    </row>
    <row r="302" spans="1:13" x14ac:dyDescent="0.2">
      <c r="A302" s="2202"/>
      <c r="B302" s="2202"/>
      <c r="C302" s="2202"/>
      <c r="D302" s="2202"/>
      <c r="E302" s="2202"/>
      <c r="F302" s="2202"/>
      <c r="G302" s="1543" t="s">
        <v>6708</v>
      </c>
      <c r="H302" s="1543" t="s">
        <v>6709</v>
      </c>
      <c r="I302" s="1543" t="s">
        <v>6710</v>
      </c>
      <c r="J302" s="1543" t="s">
        <v>6708</v>
      </c>
      <c r="K302" s="1543" t="s">
        <v>6709</v>
      </c>
      <c r="L302" s="615"/>
      <c r="M302" s="615"/>
    </row>
    <row r="303" spans="1:13" x14ac:dyDescent="0.2">
      <c r="A303" s="1543"/>
      <c r="B303" s="1553" t="s">
        <v>5808</v>
      </c>
      <c r="C303" s="1541">
        <v>1</v>
      </c>
      <c r="D303" s="1541">
        <f>D279</f>
        <v>216.79</v>
      </c>
      <c r="E303" s="1544"/>
      <c r="F303" s="1550"/>
      <c r="G303" s="1540">
        <f>F303*D303</f>
        <v>0</v>
      </c>
      <c r="H303" s="1539"/>
      <c r="I303" s="1539">
        <f>C303*D303</f>
        <v>216.79</v>
      </c>
      <c r="J303" s="1539">
        <f>G303*C303</f>
        <v>0</v>
      </c>
      <c r="K303" s="1539">
        <f>C303*H303</f>
        <v>0</v>
      </c>
      <c r="L303" s="1603"/>
      <c r="M303" s="615"/>
    </row>
    <row r="304" spans="1:13" x14ac:dyDescent="0.2">
      <c r="A304" s="1543"/>
      <c r="B304" s="1553" t="s">
        <v>5809</v>
      </c>
      <c r="C304" s="1541">
        <v>1</v>
      </c>
      <c r="D304" s="1541">
        <f>D280</f>
        <v>208.07999999999998</v>
      </c>
      <c r="E304" s="1544"/>
      <c r="F304" s="1550"/>
      <c r="G304" s="1540">
        <f>F304*D304</f>
        <v>0</v>
      </c>
      <c r="H304" s="1539"/>
      <c r="I304" s="1539">
        <f>C304*D304</f>
        <v>208.07999999999998</v>
      </c>
      <c r="J304" s="1539">
        <f>G304*C304</f>
        <v>0</v>
      </c>
      <c r="K304" s="1539">
        <f>C304*H304</f>
        <v>0</v>
      </c>
      <c r="L304" s="1603"/>
      <c r="M304" s="615"/>
    </row>
    <row r="305" spans="1:13" x14ac:dyDescent="0.2">
      <c r="A305" s="1547"/>
      <c r="B305" s="1548"/>
      <c r="C305" s="1548"/>
      <c r="D305" s="1548"/>
      <c r="E305" s="1548"/>
      <c r="F305" s="2200" t="s">
        <v>6711</v>
      </c>
      <c r="G305" s="2200"/>
      <c r="H305" s="2200"/>
      <c r="I305" s="1549">
        <f>ROUND(SUM(I303:I304),2)</f>
        <v>424.87</v>
      </c>
      <c r="J305" s="1549">
        <f>ROUND(SUM(J303:J304),2)</f>
        <v>0</v>
      </c>
      <c r="K305" s="1549">
        <f>ROUND(SUM(K303:K304),2)</f>
        <v>0</v>
      </c>
      <c r="L305" s="615"/>
      <c r="M305" s="615"/>
    </row>
    <row r="306" spans="1:13" x14ac:dyDescent="0.2">
      <c r="A306" s="1543"/>
      <c r="B306" s="2201"/>
      <c r="C306" s="2201"/>
      <c r="D306" s="2201"/>
      <c r="E306" s="2201"/>
      <c r="F306" s="2201"/>
      <c r="G306" s="2201"/>
      <c r="H306" s="2201"/>
      <c r="I306" s="2201"/>
      <c r="J306" s="2201"/>
      <c r="K306" s="1543"/>
      <c r="L306" s="615"/>
      <c r="M306" s="615"/>
    </row>
    <row r="307" spans="1:13" s="1643" customFormat="1" ht="25.5" customHeight="1" x14ac:dyDescent="0.2">
      <c r="A307" s="1835" t="str">
        <f>'Orç - Prédio'!A129</f>
        <v>04.01.120</v>
      </c>
      <c r="B307" s="2207" t="str">
        <f>'Orç - Prédio'!D129</f>
        <v>Divisória em granito cinza andorinha, esp = 3cm, assentado com argamassa traço 1:4, arremate em cimento branco, inclusive ferragens</v>
      </c>
      <c r="C307" s="2207"/>
      <c r="D307" s="2207"/>
      <c r="E307" s="2207"/>
      <c r="F307" s="2207"/>
      <c r="G307" s="2207"/>
      <c r="H307" s="2207"/>
      <c r="I307" s="2207"/>
      <c r="J307" s="2207"/>
      <c r="K307" s="1836" t="str">
        <f>'Orç - Prédio'!F129</f>
        <v>m2</v>
      </c>
      <c r="L307" s="1837" t="s">
        <v>15154</v>
      </c>
      <c r="M307" s="1838"/>
    </row>
    <row r="308" spans="1:13" x14ac:dyDescent="0.2">
      <c r="A308" s="2202"/>
      <c r="B308" s="2202"/>
      <c r="C308" s="1537"/>
      <c r="D308" s="1537"/>
      <c r="E308" s="1537"/>
      <c r="F308" s="1537"/>
      <c r="G308" s="2202" t="s">
        <v>6699</v>
      </c>
      <c r="H308" s="2202"/>
      <c r="I308" s="2202" t="s">
        <v>6700</v>
      </c>
      <c r="J308" s="2202"/>
      <c r="K308" s="2202"/>
      <c r="M308" s="617"/>
    </row>
    <row r="309" spans="1:13" ht="22.5" x14ac:dyDescent="0.2">
      <c r="A309" s="2202" t="s">
        <v>6715</v>
      </c>
      <c r="B309" s="2202"/>
      <c r="C309" s="2202" t="s">
        <v>6701</v>
      </c>
      <c r="D309" s="2202" t="s">
        <v>6702</v>
      </c>
      <c r="E309" s="2202" t="s">
        <v>6703</v>
      </c>
      <c r="F309" s="2202" t="s">
        <v>6704</v>
      </c>
      <c r="G309" s="1543" t="s">
        <v>6705</v>
      </c>
      <c r="H309" s="1543" t="s">
        <v>6706</v>
      </c>
      <c r="I309" s="1543" t="s">
        <v>6707</v>
      </c>
      <c r="J309" s="1543" t="s">
        <v>6705</v>
      </c>
      <c r="K309" s="1543" t="s">
        <v>6706</v>
      </c>
      <c r="M309" s="617"/>
    </row>
    <row r="310" spans="1:13" x14ac:dyDescent="0.2">
      <c r="A310" s="2202"/>
      <c r="B310" s="2202"/>
      <c r="C310" s="2202"/>
      <c r="D310" s="2202"/>
      <c r="E310" s="2202"/>
      <c r="F310" s="2202"/>
      <c r="G310" s="1543" t="s">
        <v>6708</v>
      </c>
      <c r="H310" s="1543" t="s">
        <v>6709</v>
      </c>
      <c r="I310" s="1543" t="s">
        <v>6710</v>
      </c>
      <c r="J310" s="1543" t="s">
        <v>6708</v>
      </c>
      <c r="K310" s="1543" t="s">
        <v>6709</v>
      </c>
      <c r="M310" s="617"/>
    </row>
    <row r="311" spans="1:13" x14ac:dyDescent="0.2">
      <c r="A311" s="1543"/>
      <c r="B311" s="1553" t="s">
        <v>5845</v>
      </c>
      <c r="C311" s="1541">
        <v>10</v>
      </c>
      <c r="D311" s="1541"/>
      <c r="E311" s="1544">
        <v>1.37</v>
      </c>
      <c r="F311" s="1541">
        <v>1.82</v>
      </c>
      <c r="G311" s="1540">
        <f>F311*E311</f>
        <v>2.4934000000000003</v>
      </c>
      <c r="H311" s="1539"/>
      <c r="I311" s="1539"/>
      <c r="J311" s="1539">
        <f>G311*C311</f>
        <v>24.934000000000005</v>
      </c>
      <c r="K311" s="1539">
        <f t="shared" ref="K311:K321" si="25">C311*H311</f>
        <v>0</v>
      </c>
      <c r="L311" s="1602"/>
      <c r="M311" s="617"/>
    </row>
    <row r="312" spans="1:13" x14ac:dyDescent="0.2">
      <c r="A312" s="1543"/>
      <c r="B312" s="1553" t="s">
        <v>5846</v>
      </c>
      <c r="C312" s="1541">
        <v>2</v>
      </c>
      <c r="D312" s="1541"/>
      <c r="E312" s="1544">
        <v>0.28000000000000003</v>
      </c>
      <c r="F312" s="1541">
        <v>1.82</v>
      </c>
      <c r="G312" s="1540">
        <f t="shared" ref="G312:G321" si="26">F312*E312</f>
        <v>0.50960000000000005</v>
      </c>
      <c r="H312" s="1539"/>
      <c r="I312" s="1539"/>
      <c r="J312" s="1539">
        <f>G312*C312</f>
        <v>1.0192000000000001</v>
      </c>
      <c r="K312" s="1539">
        <f t="shared" si="25"/>
        <v>0</v>
      </c>
      <c r="L312" s="1602"/>
      <c r="M312" s="617"/>
    </row>
    <row r="313" spans="1:13" x14ac:dyDescent="0.2">
      <c r="A313" s="1543"/>
      <c r="B313" s="1553" t="s">
        <v>5847</v>
      </c>
      <c r="C313" s="1541">
        <v>4</v>
      </c>
      <c r="D313" s="1541"/>
      <c r="E313" s="1544">
        <v>0.12</v>
      </c>
      <c r="F313" s="1541">
        <v>1.82</v>
      </c>
      <c r="G313" s="1540">
        <f t="shared" si="26"/>
        <v>0.21840000000000001</v>
      </c>
      <c r="H313" s="1539"/>
      <c r="I313" s="1539"/>
      <c r="J313" s="1539">
        <f t="shared" ref="J313:J321" si="27">G313*C313</f>
        <v>0.87360000000000004</v>
      </c>
      <c r="K313" s="1539">
        <f t="shared" si="25"/>
        <v>0</v>
      </c>
      <c r="L313" s="1602"/>
      <c r="M313" s="617"/>
    </row>
    <row r="314" spans="1:13" x14ac:dyDescent="0.2">
      <c r="A314" s="1543"/>
      <c r="B314" s="1553" t="s">
        <v>5848</v>
      </c>
      <c r="C314" s="1541">
        <v>8</v>
      </c>
      <c r="D314" s="1541"/>
      <c r="E314" s="1544">
        <v>0.38</v>
      </c>
      <c r="F314" s="1541">
        <v>1.82</v>
      </c>
      <c r="G314" s="1540">
        <f t="shared" si="26"/>
        <v>0.69159999999999999</v>
      </c>
      <c r="H314" s="1539"/>
      <c r="I314" s="1539"/>
      <c r="J314" s="1539">
        <f t="shared" si="27"/>
        <v>5.5327999999999999</v>
      </c>
      <c r="K314" s="1539">
        <f t="shared" si="25"/>
        <v>0</v>
      </c>
      <c r="L314" s="1602"/>
      <c r="M314" s="617"/>
    </row>
    <row r="315" spans="1:13" x14ac:dyDescent="0.2">
      <c r="A315" s="1543"/>
      <c r="B315" s="1553" t="s">
        <v>5849</v>
      </c>
      <c r="C315" s="1541">
        <v>4</v>
      </c>
      <c r="D315" s="1541"/>
      <c r="E315" s="1544">
        <v>1.47</v>
      </c>
      <c r="F315" s="1541">
        <v>1.82</v>
      </c>
      <c r="G315" s="1540">
        <f t="shared" si="26"/>
        <v>2.6754000000000002</v>
      </c>
      <c r="H315" s="1539"/>
      <c r="I315" s="1539"/>
      <c r="J315" s="1539">
        <f t="shared" si="27"/>
        <v>10.701600000000001</v>
      </c>
      <c r="K315" s="1539">
        <f t="shared" si="25"/>
        <v>0</v>
      </c>
      <c r="L315" s="1602"/>
      <c r="M315" s="617"/>
    </row>
    <row r="316" spans="1:13" x14ac:dyDescent="0.2">
      <c r="A316" s="1543"/>
      <c r="B316" s="1553" t="s">
        <v>5850</v>
      </c>
      <c r="C316" s="1541">
        <v>4</v>
      </c>
      <c r="D316" s="1541"/>
      <c r="E316" s="1544">
        <v>0.93</v>
      </c>
      <c r="F316" s="1541">
        <v>1.82</v>
      </c>
      <c r="G316" s="1540">
        <f t="shared" si="26"/>
        <v>1.6926000000000001</v>
      </c>
      <c r="H316" s="1539"/>
      <c r="I316" s="1539"/>
      <c r="J316" s="1539">
        <f t="shared" si="27"/>
        <v>6.7704000000000004</v>
      </c>
      <c r="K316" s="1539">
        <f t="shared" si="25"/>
        <v>0</v>
      </c>
      <c r="L316" s="1602"/>
      <c r="M316" s="617"/>
    </row>
    <row r="317" spans="1:13" x14ac:dyDescent="0.2">
      <c r="A317" s="1543"/>
      <c r="B317" s="1553" t="s">
        <v>5851</v>
      </c>
      <c r="C317" s="1541">
        <v>4</v>
      </c>
      <c r="D317" s="1541"/>
      <c r="E317" s="1544">
        <v>0.23</v>
      </c>
      <c r="F317" s="1541">
        <v>1.82</v>
      </c>
      <c r="G317" s="1540">
        <f t="shared" si="26"/>
        <v>0.41860000000000003</v>
      </c>
      <c r="H317" s="1539"/>
      <c r="I317" s="1539"/>
      <c r="J317" s="1539">
        <f t="shared" si="27"/>
        <v>1.6744000000000001</v>
      </c>
      <c r="K317" s="1539">
        <f t="shared" si="25"/>
        <v>0</v>
      </c>
      <c r="L317" s="1602"/>
      <c r="M317" s="617"/>
    </row>
    <row r="318" spans="1:13" x14ac:dyDescent="0.2">
      <c r="A318" s="1543"/>
      <c r="B318" s="1553" t="s">
        <v>5852</v>
      </c>
      <c r="C318" s="1541">
        <v>4</v>
      </c>
      <c r="D318" s="1541"/>
      <c r="E318" s="1544">
        <v>0.32</v>
      </c>
      <c r="F318" s="1541">
        <v>1.82</v>
      </c>
      <c r="G318" s="1540">
        <f t="shared" si="26"/>
        <v>0.58240000000000003</v>
      </c>
      <c r="H318" s="1539"/>
      <c r="I318" s="1539"/>
      <c r="J318" s="1539">
        <f t="shared" si="27"/>
        <v>2.3296000000000001</v>
      </c>
      <c r="K318" s="1539">
        <f t="shared" si="25"/>
        <v>0</v>
      </c>
      <c r="L318" s="1602"/>
      <c r="M318" s="617"/>
    </row>
    <row r="319" spans="1:13" x14ac:dyDescent="0.2">
      <c r="A319" s="1543"/>
      <c r="B319" s="1553" t="s">
        <v>5853</v>
      </c>
      <c r="C319" s="1541">
        <v>2</v>
      </c>
      <c r="D319" s="1541"/>
      <c r="E319" s="1544">
        <v>0.42</v>
      </c>
      <c r="F319" s="1541">
        <v>1.82</v>
      </c>
      <c r="G319" s="1540">
        <f t="shared" si="26"/>
        <v>0.76439999999999997</v>
      </c>
      <c r="H319" s="1539"/>
      <c r="I319" s="1539"/>
      <c r="J319" s="1539">
        <f t="shared" si="27"/>
        <v>1.5287999999999999</v>
      </c>
      <c r="K319" s="1539">
        <f t="shared" si="25"/>
        <v>0</v>
      </c>
      <c r="L319" s="1602"/>
      <c r="M319" s="617"/>
    </row>
    <row r="320" spans="1:13" x14ac:dyDescent="0.2">
      <c r="A320" s="1543"/>
      <c r="B320" s="1553" t="s">
        <v>5854</v>
      </c>
      <c r="C320" s="1541">
        <v>4</v>
      </c>
      <c r="D320" s="1541"/>
      <c r="E320" s="1544">
        <v>0.67</v>
      </c>
      <c r="F320" s="1541">
        <v>1.82</v>
      </c>
      <c r="G320" s="1540">
        <f t="shared" si="26"/>
        <v>1.2194</v>
      </c>
      <c r="H320" s="1539"/>
      <c r="I320" s="1539"/>
      <c r="J320" s="1539">
        <f t="shared" si="27"/>
        <v>4.8776000000000002</v>
      </c>
      <c r="K320" s="1539">
        <f t="shared" si="25"/>
        <v>0</v>
      </c>
      <c r="L320" s="1602"/>
      <c r="M320" s="617"/>
    </row>
    <row r="321" spans="1:13" x14ac:dyDescent="0.2">
      <c r="A321" s="1543"/>
      <c r="B321" s="1553" t="s">
        <v>5855</v>
      </c>
      <c r="C321" s="1541">
        <v>2</v>
      </c>
      <c r="D321" s="1541"/>
      <c r="E321" s="1544">
        <v>0.25</v>
      </c>
      <c r="F321" s="1541">
        <v>1.82</v>
      </c>
      <c r="G321" s="1540">
        <f t="shared" si="26"/>
        <v>0.45500000000000002</v>
      </c>
      <c r="H321" s="1539"/>
      <c r="I321" s="1539"/>
      <c r="J321" s="1539">
        <f t="shared" si="27"/>
        <v>0.91</v>
      </c>
      <c r="K321" s="1539">
        <f t="shared" si="25"/>
        <v>0</v>
      </c>
      <c r="L321" s="1602"/>
      <c r="M321" s="617"/>
    </row>
    <row r="322" spans="1:13" x14ac:dyDescent="0.2">
      <c r="A322" s="1547"/>
      <c r="B322" s="1548"/>
      <c r="C322" s="1548"/>
      <c r="D322" s="1548"/>
      <c r="E322" s="1548"/>
      <c r="F322" s="2200" t="s">
        <v>6711</v>
      </c>
      <c r="G322" s="2200"/>
      <c r="H322" s="2200"/>
      <c r="I322" s="1549">
        <f>ROUND(SUM(I311:I321),2)</f>
        <v>0</v>
      </c>
      <c r="J322" s="1549">
        <f>ROUND(SUM(J311:J321),2)</f>
        <v>61.15</v>
      </c>
      <c r="K322" s="1549">
        <f>ROUND(SUM(K311:K321),2)</f>
        <v>0</v>
      </c>
      <c r="M322" s="617"/>
    </row>
    <row r="323" spans="1:13" x14ac:dyDescent="0.2">
      <c r="A323" s="1543"/>
      <c r="B323" s="2201"/>
      <c r="C323" s="2201"/>
      <c r="D323" s="2201"/>
      <c r="E323" s="2201"/>
      <c r="F323" s="2201"/>
      <c r="G323" s="2201"/>
      <c r="H323" s="2201"/>
      <c r="I323" s="2201"/>
      <c r="J323" s="2201"/>
      <c r="K323" s="1543"/>
    </row>
    <row r="324" spans="1:13" ht="25.5" x14ac:dyDescent="0.2">
      <c r="A324" s="1835" t="str">
        <f>'Orç - Prédio'!A130</f>
        <v>04.01.121.01</v>
      </c>
      <c r="B324" s="2207" t="str">
        <f>'Orç - Prédio'!D130</f>
        <v>Parede com placas de gesso acartonado (drywall), para uso interno, com duas faces simples, com vãos</v>
      </c>
      <c r="C324" s="2207"/>
      <c r="D324" s="2207"/>
      <c r="E324" s="2207"/>
      <c r="F324" s="2207"/>
      <c r="G324" s="2207"/>
      <c r="H324" s="2207"/>
      <c r="I324" s="2207"/>
      <c r="J324" s="2207"/>
      <c r="K324" s="1836" t="str">
        <f>'Orç - Prédio'!F130</f>
        <v>m2</v>
      </c>
      <c r="L324" s="1837" t="s">
        <v>15154</v>
      </c>
    </row>
    <row r="325" spans="1:13" x14ac:dyDescent="0.2">
      <c r="A325" s="2202"/>
      <c r="B325" s="2202"/>
      <c r="C325" s="1537"/>
      <c r="D325" s="1537"/>
      <c r="E325" s="1537"/>
      <c r="F325" s="1537"/>
      <c r="G325" s="2202" t="s">
        <v>6699</v>
      </c>
      <c r="H325" s="2202"/>
      <c r="I325" s="2202" t="s">
        <v>6700</v>
      </c>
      <c r="J325" s="2202"/>
      <c r="K325" s="2202"/>
      <c r="L325" s="615"/>
      <c r="M325" s="615"/>
    </row>
    <row r="326" spans="1:13" ht="22.5" x14ac:dyDescent="0.2">
      <c r="A326" s="2202" t="s">
        <v>6715</v>
      </c>
      <c r="B326" s="2202"/>
      <c r="C326" s="2202" t="s">
        <v>6701</v>
      </c>
      <c r="D326" s="2202" t="s">
        <v>6702</v>
      </c>
      <c r="E326" s="2202" t="s">
        <v>6703</v>
      </c>
      <c r="F326" s="2202" t="s">
        <v>6704</v>
      </c>
      <c r="G326" s="1543" t="s">
        <v>6705</v>
      </c>
      <c r="H326" s="1543" t="s">
        <v>6706</v>
      </c>
      <c r="I326" s="1543" t="s">
        <v>6707</v>
      </c>
      <c r="J326" s="1543" t="s">
        <v>6705</v>
      </c>
      <c r="K326" s="1543" t="s">
        <v>6706</v>
      </c>
      <c r="L326" s="615"/>
      <c r="M326" s="615"/>
    </row>
    <row r="327" spans="1:13" x14ac:dyDescent="0.2">
      <c r="A327" s="2202"/>
      <c r="B327" s="2202"/>
      <c r="C327" s="2202"/>
      <c r="D327" s="2202"/>
      <c r="E327" s="2202"/>
      <c r="F327" s="2202"/>
      <c r="G327" s="1543" t="s">
        <v>6708</v>
      </c>
      <c r="H327" s="1543" t="s">
        <v>6709</v>
      </c>
      <c r="I327" s="1543" t="s">
        <v>6710</v>
      </c>
      <c r="J327" s="1543" t="s">
        <v>6708</v>
      </c>
      <c r="K327" s="1543" t="s">
        <v>6709</v>
      </c>
      <c r="L327" s="615"/>
      <c r="M327" s="615"/>
    </row>
    <row r="328" spans="1:13" x14ac:dyDescent="0.2">
      <c r="A328" s="1543"/>
      <c r="B328" s="1553" t="s">
        <v>5808</v>
      </c>
      <c r="C328" s="1541">
        <v>1</v>
      </c>
      <c r="D328" s="1541">
        <v>32.19</v>
      </c>
      <c r="E328" s="1544"/>
      <c r="F328" s="1550">
        <v>2.75</v>
      </c>
      <c r="G328" s="1540">
        <f>F328*D328</f>
        <v>88.522499999999994</v>
      </c>
      <c r="H328" s="1539"/>
      <c r="I328" s="1539"/>
      <c r="J328" s="1539">
        <f>G328*C328</f>
        <v>88.522499999999994</v>
      </c>
      <c r="K328" s="1539">
        <f>C328*H328</f>
        <v>0</v>
      </c>
      <c r="L328" s="1603"/>
      <c r="M328" s="615"/>
    </row>
    <row r="329" spans="1:13" x14ac:dyDescent="0.2">
      <c r="A329" s="1543"/>
      <c r="B329" s="1553" t="s">
        <v>5809</v>
      </c>
      <c r="C329" s="1541">
        <v>1</v>
      </c>
      <c r="D329" s="1541">
        <v>69.69</v>
      </c>
      <c r="E329" s="1544"/>
      <c r="F329" s="1550">
        <v>2.75</v>
      </c>
      <c r="G329" s="1540">
        <f>F329*D329</f>
        <v>191.64749999999998</v>
      </c>
      <c r="H329" s="1539"/>
      <c r="I329" s="1539"/>
      <c r="J329" s="1539">
        <f>G329*C329</f>
        <v>191.64749999999998</v>
      </c>
      <c r="K329" s="1539">
        <f>C329*H329</f>
        <v>0</v>
      </c>
      <c r="L329" s="1603"/>
      <c r="M329" s="615"/>
    </row>
    <row r="330" spans="1:13" x14ac:dyDescent="0.2">
      <c r="A330" s="1543"/>
      <c r="B330" s="1553" t="s">
        <v>5812</v>
      </c>
      <c r="C330" s="1541">
        <v>1</v>
      </c>
      <c r="D330" s="1541"/>
      <c r="E330" s="1544"/>
      <c r="F330" s="1550"/>
      <c r="G330" s="1540">
        <f>5.43+8.84+11.63</f>
        <v>25.9</v>
      </c>
      <c r="H330" s="1539"/>
      <c r="I330" s="1539"/>
      <c r="J330" s="1539">
        <f>G330*C330</f>
        <v>25.9</v>
      </c>
      <c r="K330" s="1539">
        <f>C330*H330</f>
        <v>0</v>
      </c>
      <c r="L330" s="1603"/>
      <c r="M330" s="615"/>
    </row>
    <row r="331" spans="1:13" x14ac:dyDescent="0.2">
      <c r="A331" s="1543"/>
      <c r="B331" s="1553" t="s">
        <v>5811</v>
      </c>
      <c r="C331" s="1541">
        <v>1</v>
      </c>
      <c r="D331" s="1541"/>
      <c r="E331" s="1544"/>
      <c r="F331" s="1550"/>
      <c r="G331" s="1540">
        <f>5.37+2.34+8.45+9.95+0.59</f>
        <v>26.7</v>
      </c>
      <c r="H331" s="1539"/>
      <c r="I331" s="1539"/>
      <c r="J331" s="1539">
        <f>G331*C331</f>
        <v>26.7</v>
      </c>
      <c r="K331" s="1539">
        <f>C331*H331</f>
        <v>0</v>
      </c>
      <c r="L331" s="1603"/>
      <c r="M331" s="615"/>
    </row>
    <row r="332" spans="1:13" x14ac:dyDescent="0.2">
      <c r="A332" s="1547"/>
      <c r="B332" s="1548"/>
      <c r="C332" s="1548"/>
      <c r="D332" s="1548"/>
      <c r="E332" s="1548"/>
      <c r="F332" s="2200" t="s">
        <v>6711</v>
      </c>
      <c r="G332" s="2200"/>
      <c r="H332" s="2200"/>
      <c r="I332" s="1549">
        <f>ROUND(SUM(I328:I331),2)</f>
        <v>0</v>
      </c>
      <c r="J332" s="1549">
        <f>ROUND(SUM(J328:J331),2)</f>
        <v>332.77</v>
      </c>
      <c r="K332" s="1549">
        <f>ROUND(SUM(K328:K331),2)</f>
        <v>0</v>
      </c>
      <c r="L332" s="615"/>
      <c r="M332" s="615"/>
    </row>
    <row r="333" spans="1:13" x14ac:dyDescent="0.2">
      <c r="A333" s="1543"/>
      <c r="B333" s="2201"/>
      <c r="C333" s="2201"/>
      <c r="D333" s="2201"/>
      <c r="E333" s="2201"/>
      <c r="F333" s="2201"/>
      <c r="G333" s="2201"/>
      <c r="H333" s="2201"/>
      <c r="I333" s="2201"/>
      <c r="J333" s="2201"/>
      <c r="K333" s="1543"/>
      <c r="L333" s="615"/>
      <c r="M333" s="615"/>
    </row>
    <row r="334" spans="1:13" ht="25.5" x14ac:dyDescent="0.2">
      <c r="A334" s="1835" t="str">
        <f>'Orç - Prédio'!A156</f>
        <v>04.01.305.01</v>
      </c>
      <c r="B334" s="2207" t="str">
        <f>'Orç - Prédio'!D156</f>
        <v>Vidro comum laminado, liso, incolor, duplo, espessura total 6 mm, colocado (EA-01, 02, 03, 04, 08, 09)</v>
      </c>
      <c r="C334" s="2207"/>
      <c r="D334" s="2207"/>
      <c r="E334" s="2207"/>
      <c r="F334" s="2207"/>
      <c r="G334" s="2207"/>
      <c r="H334" s="2207"/>
      <c r="I334" s="2207"/>
      <c r="J334" s="2207"/>
      <c r="K334" s="1836" t="str">
        <f>'Orç - Prédio'!F156</f>
        <v>m2</v>
      </c>
      <c r="L334" s="1837" t="s">
        <v>15154</v>
      </c>
    </row>
    <row r="335" spans="1:13" x14ac:dyDescent="0.2">
      <c r="A335" s="2202"/>
      <c r="B335" s="2202"/>
      <c r="C335" s="1537"/>
      <c r="D335" s="1537"/>
      <c r="E335" s="1537"/>
      <c r="F335" s="1537"/>
      <c r="G335" s="2202" t="s">
        <v>6699</v>
      </c>
      <c r="H335" s="2202"/>
      <c r="I335" s="2202" t="s">
        <v>6700</v>
      </c>
      <c r="J335" s="2202"/>
      <c r="K335" s="2202"/>
      <c r="L335" s="615"/>
      <c r="M335" s="615"/>
    </row>
    <row r="336" spans="1:13" ht="22.5" x14ac:dyDescent="0.2">
      <c r="A336" s="2202" t="s">
        <v>6715</v>
      </c>
      <c r="B336" s="2202"/>
      <c r="C336" s="2202" t="s">
        <v>6701</v>
      </c>
      <c r="D336" s="2202" t="s">
        <v>6702</v>
      </c>
      <c r="E336" s="2202" t="s">
        <v>6703</v>
      </c>
      <c r="F336" s="2202" t="s">
        <v>6704</v>
      </c>
      <c r="G336" s="1543" t="s">
        <v>6705</v>
      </c>
      <c r="H336" s="1543" t="s">
        <v>6706</v>
      </c>
      <c r="I336" s="1543" t="s">
        <v>6707</v>
      </c>
      <c r="J336" s="1543" t="s">
        <v>6705</v>
      </c>
      <c r="K336" s="1543" t="s">
        <v>6706</v>
      </c>
      <c r="L336" s="615"/>
      <c r="M336" s="615"/>
    </row>
    <row r="337" spans="1:13" x14ac:dyDescent="0.2">
      <c r="A337" s="2202"/>
      <c r="B337" s="2202"/>
      <c r="C337" s="2202"/>
      <c r="D337" s="2202"/>
      <c r="E337" s="2202"/>
      <c r="F337" s="2202"/>
      <c r="G337" s="1543" t="s">
        <v>6708</v>
      </c>
      <c r="H337" s="1543" t="s">
        <v>6709</v>
      </c>
      <c r="I337" s="1543" t="s">
        <v>6710</v>
      </c>
      <c r="J337" s="1543" t="s">
        <v>6708</v>
      </c>
      <c r="K337" s="1543" t="s">
        <v>6709</v>
      </c>
      <c r="L337" s="615"/>
      <c r="M337" s="615"/>
    </row>
    <row r="338" spans="1:13" ht="22.5" x14ac:dyDescent="0.2">
      <c r="A338" s="1543"/>
      <c r="B338" s="1553" t="s">
        <v>15033</v>
      </c>
      <c r="C338" s="1541">
        <v>8</v>
      </c>
      <c r="D338" s="1541"/>
      <c r="E338" s="1544"/>
      <c r="F338" s="1550"/>
      <c r="G338" s="1554">
        <f>(0.4877*11+0.158*11+0.2908+0.0958)</f>
        <v>7.4893000000000001</v>
      </c>
      <c r="H338" s="1539"/>
      <c r="I338" s="1539"/>
      <c r="J338" s="1539">
        <f t="shared" ref="J338:J343" si="28">G338*C338</f>
        <v>59.914400000000001</v>
      </c>
      <c r="K338" s="1539"/>
      <c r="L338" s="1603"/>
      <c r="M338" s="615"/>
    </row>
    <row r="339" spans="1:13" ht="22.5" x14ac:dyDescent="0.2">
      <c r="A339" s="1543"/>
      <c r="B339" s="1553" t="s">
        <v>15034</v>
      </c>
      <c r="C339" s="1541">
        <v>8</v>
      </c>
      <c r="D339" s="1541"/>
      <c r="E339" s="1544"/>
      <c r="F339" s="1550"/>
      <c r="G339" s="1554">
        <f>(0.4877*11+0.158*11+0.2908+0.0958)</f>
        <v>7.4893000000000001</v>
      </c>
      <c r="H339" s="1539"/>
      <c r="I339" s="1539"/>
      <c r="J339" s="1539">
        <f t="shared" si="28"/>
        <v>59.914400000000001</v>
      </c>
      <c r="K339" s="1539"/>
      <c r="L339" s="1603"/>
      <c r="M339" s="615"/>
    </row>
    <row r="340" spans="1:13" ht="22.5" x14ac:dyDescent="0.2">
      <c r="A340" s="1543"/>
      <c r="B340" s="1553" t="s">
        <v>15035</v>
      </c>
      <c r="C340" s="1541">
        <v>6</v>
      </c>
      <c r="D340" s="1541"/>
      <c r="E340" s="1544"/>
      <c r="F340" s="1550"/>
      <c r="G340" s="1554">
        <f>(0.4877*12+0.158*12)</f>
        <v>7.7484000000000002</v>
      </c>
      <c r="H340" s="1539"/>
      <c r="I340" s="1539"/>
      <c r="J340" s="1539">
        <f t="shared" si="28"/>
        <v>46.490400000000001</v>
      </c>
      <c r="K340" s="1539"/>
      <c r="L340" s="1603"/>
      <c r="M340" s="615"/>
    </row>
    <row r="341" spans="1:13" ht="22.5" x14ac:dyDescent="0.2">
      <c r="A341" s="1543"/>
      <c r="B341" s="1553" t="s">
        <v>15036</v>
      </c>
      <c r="C341" s="1541">
        <v>2</v>
      </c>
      <c r="D341" s="1541"/>
      <c r="E341" s="1544"/>
      <c r="F341" s="1550"/>
      <c r="G341" s="1554">
        <f>0.10218*40+0.0421*8</f>
        <v>4.4240000000000004</v>
      </c>
      <c r="H341" s="1539"/>
      <c r="I341" s="1539"/>
      <c r="J341" s="1539">
        <f t="shared" si="28"/>
        <v>8.8480000000000008</v>
      </c>
      <c r="K341" s="1539"/>
      <c r="L341" s="1603"/>
      <c r="M341" s="615"/>
    </row>
    <row r="342" spans="1:13" ht="22.5" x14ac:dyDescent="0.2">
      <c r="A342" s="1543"/>
      <c r="B342" s="1553" t="s">
        <v>15037</v>
      </c>
      <c r="C342" s="1541">
        <v>3</v>
      </c>
      <c r="D342" s="1541"/>
      <c r="E342" s="1544"/>
      <c r="F342" s="1550"/>
      <c r="G342" s="1554">
        <f>1.9</f>
        <v>1.9</v>
      </c>
      <c r="H342" s="1539"/>
      <c r="I342" s="1539"/>
      <c r="J342" s="1539">
        <f t="shared" si="28"/>
        <v>5.6999999999999993</v>
      </c>
      <c r="K342" s="1539"/>
      <c r="L342" s="1603"/>
      <c r="M342" s="615"/>
    </row>
    <row r="343" spans="1:13" ht="22.5" x14ac:dyDescent="0.2">
      <c r="A343" s="1543"/>
      <c r="B343" s="1553" t="s">
        <v>15038</v>
      </c>
      <c r="C343" s="1541">
        <v>2</v>
      </c>
      <c r="D343" s="1541"/>
      <c r="E343" s="1544"/>
      <c r="F343" s="1550"/>
      <c r="G343" s="1554">
        <f>3.75</f>
        <v>3.75</v>
      </c>
      <c r="H343" s="1539"/>
      <c r="I343" s="1539"/>
      <c r="J343" s="1539">
        <f t="shared" si="28"/>
        <v>7.5</v>
      </c>
      <c r="K343" s="1539"/>
      <c r="L343" s="1603"/>
      <c r="M343" s="615"/>
    </row>
    <row r="344" spans="1:13" x14ac:dyDescent="0.2">
      <c r="A344" s="1547"/>
      <c r="B344" s="1548"/>
      <c r="C344" s="1548"/>
      <c r="D344" s="1548"/>
      <c r="E344" s="1548"/>
      <c r="F344" s="2200" t="s">
        <v>6711</v>
      </c>
      <c r="G344" s="2200"/>
      <c r="H344" s="2200"/>
      <c r="I344" s="1549"/>
      <c r="J344" s="1549">
        <f>ROUND(SUM(J338:J343),2)</f>
        <v>188.37</v>
      </c>
      <c r="K344" s="1549"/>
      <c r="L344" s="615"/>
      <c r="M344" s="615"/>
    </row>
    <row r="345" spans="1:13" x14ac:dyDescent="0.2">
      <c r="A345" s="1543"/>
      <c r="B345" s="2201"/>
      <c r="C345" s="2201"/>
      <c r="D345" s="2201"/>
      <c r="E345" s="2201"/>
      <c r="F345" s="2201"/>
      <c r="G345" s="2201"/>
      <c r="H345" s="2201"/>
      <c r="I345" s="2201"/>
      <c r="J345" s="2201"/>
      <c r="K345" s="1543"/>
      <c r="L345" s="615"/>
      <c r="M345" s="615"/>
    </row>
    <row r="346" spans="1:13" ht="25.5" x14ac:dyDescent="0.2">
      <c r="A346" s="1835" t="str">
        <f>'Orç - Prédio'!A158</f>
        <v>04.01.305.03</v>
      </c>
      <c r="B346" s="2207" t="str">
        <f>'Orç - Prédio'!D158</f>
        <v>Vidro comum laminado, liso, incolor, duplo, espessura total 8 mm, colocado (EA-05 e 06)</v>
      </c>
      <c r="C346" s="2207"/>
      <c r="D346" s="2207"/>
      <c r="E346" s="2207"/>
      <c r="F346" s="2207"/>
      <c r="G346" s="2207"/>
      <c r="H346" s="2207"/>
      <c r="I346" s="2207"/>
      <c r="J346" s="2207"/>
      <c r="K346" s="1836" t="str">
        <f>'Orç - Prédio'!F158</f>
        <v>m2</v>
      </c>
      <c r="L346" s="1837" t="s">
        <v>15154</v>
      </c>
    </row>
    <row r="347" spans="1:13" x14ac:dyDescent="0.2">
      <c r="A347" s="2202"/>
      <c r="B347" s="2202"/>
      <c r="C347" s="1537"/>
      <c r="D347" s="1537"/>
      <c r="E347" s="1537"/>
      <c r="F347" s="1537"/>
      <c r="G347" s="2202" t="s">
        <v>6699</v>
      </c>
      <c r="H347" s="2202"/>
      <c r="I347" s="2202" t="s">
        <v>6700</v>
      </c>
      <c r="J347" s="2202"/>
      <c r="K347" s="2202"/>
      <c r="L347" s="615"/>
      <c r="M347" s="615"/>
    </row>
    <row r="348" spans="1:13" ht="22.5" x14ac:dyDescent="0.2">
      <c r="A348" s="2202" t="s">
        <v>6715</v>
      </c>
      <c r="B348" s="2202"/>
      <c r="C348" s="2202" t="s">
        <v>6701</v>
      </c>
      <c r="D348" s="2202" t="s">
        <v>6702</v>
      </c>
      <c r="E348" s="2202" t="s">
        <v>6703</v>
      </c>
      <c r="F348" s="2202" t="s">
        <v>6704</v>
      </c>
      <c r="G348" s="1543" t="s">
        <v>6705</v>
      </c>
      <c r="H348" s="1543" t="s">
        <v>6706</v>
      </c>
      <c r="I348" s="1543" t="s">
        <v>6707</v>
      </c>
      <c r="J348" s="1543" t="s">
        <v>6705</v>
      </c>
      <c r="K348" s="1543" t="s">
        <v>6706</v>
      </c>
      <c r="L348" s="615"/>
      <c r="M348" s="615"/>
    </row>
    <row r="349" spans="1:13" x14ac:dyDescent="0.2">
      <c r="A349" s="2202"/>
      <c r="B349" s="2202"/>
      <c r="C349" s="2202"/>
      <c r="D349" s="2202"/>
      <c r="E349" s="2202"/>
      <c r="F349" s="2202"/>
      <c r="G349" s="1543" t="s">
        <v>6708</v>
      </c>
      <c r="H349" s="1543" t="s">
        <v>6709</v>
      </c>
      <c r="I349" s="1543" t="s">
        <v>6710</v>
      </c>
      <c r="J349" s="1543" t="s">
        <v>6708</v>
      </c>
      <c r="K349" s="1543" t="s">
        <v>6709</v>
      </c>
      <c r="L349" s="615"/>
      <c r="M349" s="615"/>
    </row>
    <row r="350" spans="1:13" x14ac:dyDescent="0.2">
      <c r="A350" s="1543"/>
      <c r="B350" s="1553" t="s">
        <v>15039</v>
      </c>
      <c r="C350" s="1541">
        <v>1</v>
      </c>
      <c r="D350" s="1541"/>
      <c r="E350" s="1544"/>
      <c r="F350" s="1550"/>
      <c r="G350" s="1555">
        <v>43.34</v>
      </c>
      <c r="H350" s="1539"/>
      <c r="I350" s="1539"/>
      <c r="J350" s="1539">
        <f>G350*C350</f>
        <v>43.34</v>
      </c>
      <c r="K350" s="1539">
        <f>C350*H350</f>
        <v>0</v>
      </c>
      <c r="L350" s="1603"/>
      <c r="M350" s="615"/>
    </row>
    <row r="351" spans="1:13" x14ac:dyDescent="0.2">
      <c r="A351" s="1543"/>
      <c r="B351" s="1553" t="s">
        <v>15040</v>
      </c>
      <c r="C351" s="1541">
        <v>2</v>
      </c>
      <c r="D351" s="1541"/>
      <c r="E351" s="1544"/>
      <c r="F351" s="1550"/>
      <c r="G351" s="1555">
        <v>43.97</v>
      </c>
      <c r="H351" s="1539"/>
      <c r="I351" s="1539"/>
      <c r="J351" s="1539">
        <f>G351*C351</f>
        <v>87.94</v>
      </c>
      <c r="K351" s="1539">
        <f>C351*H351</f>
        <v>0</v>
      </c>
      <c r="L351" s="1603"/>
      <c r="M351" s="615"/>
    </row>
    <row r="352" spans="1:13" x14ac:dyDescent="0.2">
      <c r="A352" s="1547"/>
      <c r="B352" s="1548"/>
      <c r="C352" s="1548"/>
      <c r="D352" s="1548"/>
      <c r="E352" s="1548"/>
      <c r="F352" s="2200" t="s">
        <v>6711</v>
      </c>
      <c r="G352" s="2200"/>
      <c r="H352" s="2200"/>
      <c r="I352" s="1549">
        <f>ROUND(SUM(I350:I351),2)</f>
        <v>0</v>
      </c>
      <c r="J352" s="1549">
        <f>ROUND(SUM(J350:J351),2)</f>
        <v>131.28</v>
      </c>
      <c r="K352" s="1549">
        <f>ROUND(SUM(K350:K351),2)</f>
        <v>0</v>
      </c>
      <c r="L352" s="615"/>
      <c r="M352" s="615"/>
    </row>
    <row r="353" spans="1:13" x14ac:dyDescent="0.2">
      <c r="A353" s="1543"/>
      <c r="B353" s="2201"/>
      <c r="C353" s="2201"/>
      <c r="D353" s="2201"/>
      <c r="E353" s="2201"/>
      <c r="F353" s="2201"/>
      <c r="G353" s="2201"/>
      <c r="H353" s="2201"/>
      <c r="I353" s="2201"/>
      <c r="J353" s="2201"/>
      <c r="K353" s="1543"/>
      <c r="L353" s="615"/>
      <c r="M353" s="615"/>
    </row>
    <row r="354" spans="1:13" ht="25.5" x14ac:dyDescent="0.2">
      <c r="A354" s="1835" t="str">
        <f>'Orç - Prédio'!A159</f>
        <v>04.01.305.04</v>
      </c>
      <c r="B354" s="2207" t="str">
        <f>'Orç - Prédio'!D159</f>
        <v>Vidro comum laminado liso, incolor, duplo, espessura total 10mm, colocado (guarda-corpos)</v>
      </c>
      <c r="C354" s="2207"/>
      <c r="D354" s="2207"/>
      <c r="E354" s="2207"/>
      <c r="F354" s="2207"/>
      <c r="G354" s="2207"/>
      <c r="H354" s="2207"/>
      <c r="I354" s="2207"/>
      <c r="J354" s="2207"/>
      <c r="K354" s="1836" t="str">
        <f>'Orç - Prédio'!F159</f>
        <v>m2</v>
      </c>
      <c r="L354" s="1837" t="s">
        <v>15154</v>
      </c>
    </row>
    <row r="355" spans="1:13" x14ac:dyDescent="0.2">
      <c r="A355" s="2202"/>
      <c r="B355" s="2202"/>
      <c r="C355" s="1537"/>
      <c r="D355" s="1537"/>
      <c r="E355" s="1537"/>
      <c r="F355" s="1537"/>
      <c r="G355" s="2202" t="s">
        <v>6699</v>
      </c>
      <c r="H355" s="2202"/>
      <c r="I355" s="2202" t="s">
        <v>6700</v>
      </c>
      <c r="J355" s="2202"/>
      <c r="K355" s="2202"/>
      <c r="L355" s="615"/>
      <c r="M355" s="615"/>
    </row>
    <row r="356" spans="1:13" ht="22.5" x14ac:dyDescent="0.2">
      <c r="A356" s="2202" t="s">
        <v>6715</v>
      </c>
      <c r="B356" s="2202"/>
      <c r="C356" s="2202" t="s">
        <v>6701</v>
      </c>
      <c r="D356" s="2202" t="s">
        <v>6702</v>
      </c>
      <c r="E356" s="2202" t="s">
        <v>6703</v>
      </c>
      <c r="F356" s="2202" t="s">
        <v>6704</v>
      </c>
      <c r="G356" s="1543" t="s">
        <v>6705</v>
      </c>
      <c r="H356" s="1543" t="s">
        <v>6706</v>
      </c>
      <c r="I356" s="1543" t="s">
        <v>6707</v>
      </c>
      <c r="J356" s="1543" t="s">
        <v>6705</v>
      </c>
      <c r="K356" s="1543" t="s">
        <v>6706</v>
      </c>
      <c r="L356" s="615"/>
      <c r="M356" s="615"/>
    </row>
    <row r="357" spans="1:13" x14ac:dyDescent="0.2">
      <c r="A357" s="2202"/>
      <c r="B357" s="2202"/>
      <c r="C357" s="2202"/>
      <c r="D357" s="2202"/>
      <c r="E357" s="2202"/>
      <c r="F357" s="2202"/>
      <c r="G357" s="1543" t="s">
        <v>6708</v>
      </c>
      <c r="H357" s="1543" t="s">
        <v>6709</v>
      </c>
      <c r="I357" s="1543" t="s">
        <v>6710</v>
      </c>
      <c r="J357" s="1543" t="s">
        <v>6708</v>
      </c>
      <c r="K357" s="1543" t="s">
        <v>6709</v>
      </c>
      <c r="L357" s="615"/>
      <c r="M357" s="615"/>
    </row>
    <row r="358" spans="1:13" x14ac:dyDescent="0.2">
      <c r="A358" s="1871"/>
      <c r="B358" s="1553" t="s">
        <v>8919</v>
      </c>
      <c r="C358" s="1550">
        <v>2</v>
      </c>
      <c r="D358" s="1550"/>
      <c r="E358" s="1879"/>
      <c r="F358" s="1879"/>
      <c r="G358" s="1880">
        <v>1.79</v>
      </c>
      <c r="H358" s="1550"/>
      <c r="I358" s="1550"/>
      <c r="J358" s="1550">
        <f t="shared" ref="J358:J372" si="29">G358*C358</f>
        <v>3.58</v>
      </c>
      <c r="K358" s="1550"/>
      <c r="L358" s="1603"/>
      <c r="M358" s="615"/>
    </row>
    <row r="359" spans="1:13" x14ac:dyDescent="0.2">
      <c r="A359" s="1871"/>
      <c r="B359" s="1553" t="s">
        <v>8916</v>
      </c>
      <c r="C359" s="1550">
        <v>2</v>
      </c>
      <c r="D359" s="1550"/>
      <c r="E359" s="1879">
        <v>1.28</v>
      </c>
      <c r="F359" s="1879">
        <v>1</v>
      </c>
      <c r="G359" s="1880">
        <f>F359*E359</f>
        <v>1.28</v>
      </c>
      <c r="H359" s="1550"/>
      <c r="I359" s="1550"/>
      <c r="J359" s="1550">
        <f t="shared" si="29"/>
        <v>2.56</v>
      </c>
      <c r="K359" s="1550"/>
      <c r="L359" s="1603"/>
      <c r="M359" s="615"/>
    </row>
    <row r="360" spans="1:13" x14ac:dyDescent="0.2">
      <c r="A360" s="1871"/>
      <c r="B360" s="1553" t="s">
        <v>8920</v>
      </c>
      <c r="C360" s="1550">
        <v>2</v>
      </c>
      <c r="D360" s="1550"/>
      <c r="E360" s="1879">
        <v>1.07</v>
      </c>
      <c r="F360" s="1879">
        <v>1</v>
      </c>
      <c r="G360" s="1880">
        <f>F360*E360</f>
        <v>1.07</v>
      </c>
      <c r="H360" s="1550"/>
      <c r="I360" s="1550"/>
      <c r="J360" s="1550">
        <f t="shared" si="29"/>
        <v>2.14</v>
      </c>
      <c r="K360" s="1550"/>
      <c r="L360" s="1603"/>
      <c r="M360" s="615"/>
    </row>
    <row r="361" spans="1:13" x14ac:dyDescent="0.2">
      <c r="A361" s="1871"/>
      <c r="B361" s="1553" t="s">
        <v>8917</v>
      </c>
      <c r="C361" s="1550">
        <v>2</v>
      </c>
      <c r="D361" s="1550"/>
      <c r="E361" s="1879"/>
      <c r="F361" s="1879"/>
      <c r="G361" s="1880">
        <v>1.89</v>
      </c>
      <c r="H361" s="1550"/>
      <c r="I361" s="1550"/>
      <c r="J361" s="1550">
        <f t="shared" si="29"/>
        <v>3.78</v>
      </c>
      <c r="K361" s="1550"/>
      <c r="L361" s="1603"/>
      <c r="M361" s="615"/>
    </row>
    <row r="362" spans="1:13" x14ac:dyDescent="0.2">
      <c r="A362" s="1543"/>
      <c r="B362" s="1553" t="s">
        <v>8918</v>
      </c>
      <c r="C362" s="1550">
        <v>2</v>
      </c>
      <c r="D362" s="1550"/>
      <c r="E362" s="1879">
        <v>1.07</v>
      </c>
      <c r="F362" s="1879">
        <v>1</v>
      </c>
      <c r="G362" s="1880">
        <f>F362*E362</f>
        <v>1.07</v>
      </c>
      <c r="H362" s="1550"/>
      <c r="I362" s="1550"/>
      <c r="J362" s="1550">
        <f t="shared" si="29"/>
        <v>2.14</v>
      </c>
      <c r="K362" s="1550"/>
      <c r="L362" s="1603"/>
      <c r="M362" s="615"/>
    </row>
    <row r="363" spans="1:13" x14ac:dyDescent="0.2">
      <c r="A363" s="1543"/>
      <c r="B363" s="1553" t="s">
        <v>8921</v>
      </c>
      <c r="C363" s="1550">
        <v>2</v>
      </c>
      <c r="D363" s="1550"/>
      <c r="E363" s="1879">
        <v>1.19</v>
      </c>
      <c r="F363" s="1879">
        <v>1</v>
      </c>
      <c r="G363" s="1880">
        <f>F363*E363</f>
        <v>1.19</v>
      </c>
      <c r="H363" s="1550"/>
      <c r="I363" s="1550"/>
      <c r="J363" s="1550">
        <f t="shared" si="29"/>
        <v>2.38</v>
      </c>
      <c r="K363" s="1550"/>
      <c r="L363" s="1603"/>
      <c r="M363" s="615"/>
    </row>
    <row r="364" spans="1:13" x14ac:dyDescent="0.2">
      <c r="A364" s="1871"/>
      <c r="B364" s="1553" t="s">
        <v>8922</v>
      </c>
      <c r="C364" s="1550">
        <v>2</v>
      </c>
      <c r="D364" s="1550"/>
      <c r="E364" s="1879"/>
      <c r="F364" s="1879"/>
      <c r="G364" s="1880">
        <v>1.69</v>
      </c>
      <c r="H364" s="1550"/>
      <c r="I364" s="1550"/>
      <c r="J364" s="1550">
        <f t="shared" si="29"/>
        <v>3.38</v>
      </c>
      <c r="K364" s="1550"/>
      <c r="L364" s="1603"/>
      <c r="M364" s="615"/>
    </row>
    <row r="365" spans="1:13" x14ac:dyDescent="0.2">
      <c r="A365" s="1871"/>
      <c r="B365" s="1553" t="s">
        <v>8923</v>
      </c>
      <c r="C365" s="1550">
        <v>2</v>
      </c>
      <c r="D365" s="1550"/>
      <c r="E365" s="1879"/>
      <c r="F365" s="1879"/>
      <c r="G365" s="1880">
        <v>1.79</v>
      </c>
      <c r="H365" s="1550"/>
      <c r="I365" s="1550"/>
      <c r="J365" s="1550">
        <f t="shared" si="29"/>
        <v>3.58</v>
      </c>
      <c r="K365" s="1550"/>
      <c r="L365" s="1603"/>
      <c r="M365" s="615"/>
    </row>
    <row r="366" spans="1:13" x14ac:dyDescent="0.2">
      <c r="A366" s="1871"/>
      <c r="B366" s="1553" t="s">
        <v>8924</v>
      </c>
      <c r="C366" s="1550">
        <v>2</v>
      </c>
      <c r="D366" s="1550"/>
      <c r="E366" s="1879"/>
      <c r="F366" s="1879"/>
      <c r="G366" s="1880">
        <v>1.89</v>
      </c>
      <c r="H366" s="1550"/>
      <c r="I366" s="1550"/>
      <c r="J366" s="1550">
        <f t="shared" si="29"/>
        <v>3.78</v>
      </c>
      <c r="K366" s="1550"/>
      <c r="L366" s="1603"/>
      <c r="M366" s="615"/>
    </row>
    <row r="367" spans="1:13" x14ac:dyDescent="0.2">
      <c r="A367" s="1871"/>
      <c r="B367" s="1553" t="s">
        <v>8925</v>
      </c>
      <c r="C367" s="1550">
        <v>2</v>
      </c>
      <c r="D367" s="1550"/>
      <c r="E367" s="1879"/>
      <c r="F367" s="1879"/>
      <c r="G367" s="1880">
        <v>1.69</v>
      </c>
      <c r="H367" s="1550"/>
      <c r="I367" s="1550"/>
      <c r="J367" s="1550">
        <f t="shared" si="29"/>
        <v>3.38</v>
      </c>
      <c r="K367" s="1550"/>
      <c r="L367" s="1603"/>
      <c r="M367" s="615"/>
    </row>
    <row r="368" spans="1:13" x14ac:dyDescent="0.2">
      <c r="A368" s="1871"/>
      <c r="B368" s="1553" t="s">
        <v>8926</v>
      </c>
      <c r="C368" s="1550">
        <v>2</v>
      </c>
      <c r="D368" s="1550"/>
      <c r="E368" s="1879"/>
      <c r="F368" s="1879"/>
      <c r="G368" s="1880">
        <v>3.48</v>
      </c>
      <c r="H368" s="1550"/>
      <c r="I368" s="1550"/>
      <c r="J368" s="1550">
        <f t="shared" si="29"/>
        <v>6.96</v>
      </c>
      <c r="K368" s="1550"/>
      <c r="L368" s="1603"/>
      <c r="M368" s="615"/>
    </row>
    <row r="369" spans="1:13" x14ac:dyDescent="0.2">
      <c r="A369" s="1871"/>
      <c r="B369" s="1553" t="s">
        <v>8927</v>
      </c>
      <c r="C369" s="1550">
        <v>1</v>
      </c>
      <c r="D369" s="1550"/>
      <c r="E369" s="1879"/>
      <c r="F369" s="1879"/>
      <c r="G369" s="1880">
        <v>7.18</v>
      </c>
      <c r="H369" s="1550"/>
      <c r="I369" s="1550"/>
      <c r="J369" s="1550">
        <f t="shared" si="29"/>
        <v>7.18</v>
      </c>
      <c r="K369" s="1550"/>
      <c r="L369" s="1603"/>
      <c r="M369" s="615"/>
    </row>
    <row r="370" spans="1:13" x14ac:dyDescent="0.2">
      <c r="A370" s="1543"/>
      <c r="B370" s="1553" t="s">
        <v>8928</v>
      </c>
      <c r="C370" s="1550">
        <v>1</v>
      </c>
      <c r="D370" s="1550"/>
      <c r="E370" s="1879"/>
      <c r="F370" s="1879"/>
      <c r="G370" s="1880">
        <v>6.79</v>
      </c>
      <c r="H370" s="1550"/>
      <c r="I370" s="1550"/>
      <c r="J370" s="1550">
        <f t="shared" si="29"/>
        <v>6.79</v>
      </c>
      <c r="K370" s="1550"/>
      <c r="L370" s="1603"/>
      <c r="M370" s="615"/>
    </row>
    <row r="371" spans="1:13" x14ac:dyDescent="0.2">
      <c r="A371" s="1871"/>
      <c r="B371" s="1553" t="s">
        <v>8929</v>
      </c>
      <c r="C371" s="1550">
        <v>1</v>
      </c>
      <c r="D371" s="1550"/>
      <c r="E371" s="1879"/>
      <c r="F371" s="1879"/>
      <c r="G371" s="1880">
        <v>4.28</v>
      </c>
      <c r="H371" s="1550"/>
      <c r="I371" s="1550"/>
      <c r="J371" s="1550">
        <f t="shared" si="29"/>
        <v>4.28</v>
      </c>
      <c r="K371" s="1550"/>
      <c r="L371" s="1603"/>
      <c r="M371" s="615"/>
    </row>
    <row r="372" spans="1:13" x14ac:dyDescent="0.2">
      <c r="A372" s="1543"/>
      <c r="B372" s="1553" t="s">
        <v>8930</v>
      </c>
      <c r="C372" s="1550">
        <v>1</v>
      </c>
      <c r="D372" s="1550"/>
      <c r="E372" s="1879"/>
      <c r="F372" s="1879"/>
      <c r="G372" s="1880">
        <v>4.93</v>
      </c>
      <c r="H372" s="1550"/>
      <c r="I372" s="1550"/>
      <c r="J372" s="1550">
        <f t="shared" si="29"/>
        <v>4.93</v>
      </c>
      <c r="K372" s="1550"/>
      <c r="L372" s="1603"/>
      <c r="M372" s="615"/>
    </row>
    <row r="373" spans="1:13" x14ac:dyDescent="0.2">
      <c r="A373" s="1547"/>
      <c r="B373" s="1548"/>
      <c r="C373" s="1548"/>
      <c r="D373" s="1548"/>
      <c r="E373" s="1548"/>
      <c r="F373" s="2200" t="s">
        <v>6711</v>
      </c>
      <c r="G373" s="2200"/>
      <c r="H373" s="2200"/>
      <c r="I373" s="1549"/>
      <c r="J373" s="1622">
        <f>ROUND(SUM(J358:J372),2)</f>
        <v>60.84</v>
      </c>
      <c r="K373" s="1549"/>
      <c r="L373" s="615"/>
      <c r="M373" s="615"/>
    </row>
    <row r="374" spans="1:13" x14ac:dyDescent="0.2">
      <c r="A374" s="1543"/>
      <c r="B374" s="2201"/>
      <c r="C374" s="2201"/>
      <c r="D374" s="2201"/>
      <c r="E374" s="2201"/>
      <c r="F374" s="2201"/>
      <c r="G374" s="2201"/>
      <c r="H374" s="2201"/>
      <c r="I374" s="2201"/>
      <c r="J374" s="2201"/>
      <c r="K374" s="1543"/>
      <c r="L374" s="615"/>
      <c r="M374" s="615"/>
    </row>
    <row r="375" spans="1:13" ht="25.5" x14ac:dyDescent="0.2">
      <c r="A375" s="1835" t="str">
        <f>'Orç - Prédio'!A160</f>
        <v>04.01.312</v>
      </c>
      <c r="B375" s="2207" t="str">
        <f>'Orç - Prédio'!D160</f>
        <v>Espelho cristal, espessura 4mm, com parafusos de fixação, sem moldura, com pintura protetiva</v>
      </c>
      <c r="C375" s="2207"/>
      <c r="D375" s="2207"/>
      <c r="E375" s="2207"/>
      <c r="F375" s="2207"/>
      <c r="G375" s="2207"/>
      <c r="H375" s="2207"/>
      <c r="I375" s="2207"/>
      <c r="J375" s="2207"/>
      <c r="K375" s="1836" t="str">
        <f>'Orç - Prédio'!F160</f>
        <v>m2</v>
      </c>
      <c r="L375" s="1837" t="s">
        <v>15154</v>
      </c>
    </row>
    <row r="376" spans="1:13" x14ac:dyDescent="0.2">
      <c r="A376" s="2202"/>
      <c r="B376" s="2202"/>
      <c r="C376" s="1537"/>
      <c r="D376" s="1537"/>
      <c r="E376" s="1537"/>
      <c r="F376" s="1537"/>
      <c r="G376" s="2202" t="s">
        <v>6699</v>
      </c>
      <c r="H376" s="2202"/>
      <c r="I376" s="2202" t="s">
        <v>6700</v>
      </c>
      <c r="J376" s="2202"/>
      <c r="K376" s="2202"/>
      <c r="L376" s="615"/>
      <c r="M376" s="615"/>
    </row>
    <row r="377" spans="1:13" ht="22.5" x14ac:dyDescent="0.2">
      <c r="A377" s="2202" t="s">
        <v>6715</v>
      </c>
      <c r="B377" s="2202"/>
      <c r="C377" s="2202" t="s">
        <v>6701</v>
      </c>
      <c r="D377" s="2202" t="s">
        <v>6702</v>
      </c>
      <c r="E377" s="2202" t="s">
        <v>6703</v>
      </c>
      <c r="F377" s="2202" t="s">
        <v>6704</v>
      </c>
      <c r="G377" s="1543" t="s">
        <v>6705</v>
      </c>
      <c r="H377" s="1543" t="s">
        <v>6706</v>
      </c>
      <c r="I377" s="1543" t="s">
        <v>6707</v>
      </c>
      <c r="J377" s="1543" t="s">
        <v>6705</v>
      </c>
      <c r="K377" s="1543" t="s">
        <v>6706</v>
      </c>
      <c r="L377" s="615"/>
      <c r="M377" s="615"/>
    </row>
    <row r="378" spans="1:13" x14ac:dyDescent="0.2">
      <c r="A378" s="2202"/>
      <c r="B378" s="2202"/>
      <c r="C378" s="2202"/>
      <c r="D378" s="2202"/>
      <c r="E378" s="2202"/>
      <c r="F378" s="2202"/>
      <c r="G378" s="1543" t="s">
        <v>6708</v>
      </c>
      <c r="H378" s="1543" t="s">
        <v>6709</v>
      </c>
      <c r="I378" s="1543" t="s">
        <v>6710</v>
      </c>
      <c r="J378" s="1543" t="s">
        <v>6708</v>
      </c>
      <c r="K378" s="1543" t="s">
        <v>6709</v>
      </c>
      <c r="L378" s="615"/>
      <c r="M378" s="615"/>
    </row>
    <row r="379" spans="1:13" x14ac:dyDescent="0.2">
      <c r="A379" s="1543"/>
      <c r="B379" s="1553" t="s">
        <v>5820</v>
      </c>
      <c r="C379" s="1541">
        <f>4*4</f>
        <v>16</v>
      </c>
      <c r="D379" s="1541"/>
      <c r="E379" s="1544">
        <v>0.6</v>
      </c>
      <c r="F379" s="1550">
        <v>0.8</v>
      </c>
      <c r="G379" s="1555">
        <f>F379*E379</f>
        <v>0.48</v>
      </c>
      <c r="H379" s="1539"/>
      <c r="I379" s="1539"/>
      <c r="J379" s="1539">
        <f>G379*C379</f>
        <v>7.68</v>
      </c>
      <c r="K379" s="1539"/>
      <c r="L379" s="1603"/>
      <c r="M379" s="615"/>
    </row>
    <row r="380" spans="1:13" x14ac:dyDescent="0.2">
      <c r="A380" s="1543"/>
      <c r="B380" s="1553" t="s">
        <v>5821</v>
      </c>
      <c r="C380" s="1541">
        <v>4</v>
      </c>
      <c r="D380" s="1541"/>
      <c r="E380" s="1544">
        <v>0.6</v>
      </c>
      <c r="F380" s="1550">
        <v>0.8</v>
      </c>
      <c r="G380" s="1555">
        <f>F380*E380</f>
        <v>0.48</v>
      </c>
      <c r="H380" s="1539"/>
      <c r="I380" s="1539"/>
      <c r="J380" s="1539">
        <f>G380*C380</f>
        <v>1.92</v>
      </c>
      <c r="K380" s="1539"/>
      <c r="L380" s="1603"/>
      <c r="M380" s="615"/>
    </row>
    <row r="381" spans="1:13" x14ac:dyDescent="0.2">
      <c r="A381" s="1547"/>
      <c r="B381" s="1548"/>
      <c r="C381" s="1548"/>
      <c r="D381" s="1548"/>
      <c r="E381" s="1548"/>
      <c r="F381" s="2200" t="s">
        <v>6711</v>
      </c>
      <c r="G381" s="2200"/>
      <c r="H381" s="2200"/>
      <c r="I381" s="1549"/>
      <c r="J381" s="1878">
        <f>ROUND(SUM(J379:J380),2)</f>
        <v>9.6</v>
      </c>
      <c r="K381" s="1549"/>
      <c r="L381" s="615"/>
      <c r="M381" s="615"/>
    </row>
    <row r="382" spans="1:13" x14ac:dyDescent="0.2">
      <c r="A382" s="1543"/>
      <c r="B382" s="2201"/>
      <c r="C382" s="2201"/>
      <c r="D382" s="2201"/>
      <c r="E382" s="2201"/>
      <c r="F382" s="2201"/>
      <c r="G382" s="2201"/>
      <c r="H382" s="2201"/>
      <c r="I382" s="2201"/>
      <c r="J382" s="2201"/>
      <c r="K382" s="1543"/>
      <c r="L382" s="615"/>
      <c r="M382" s="615"/>
    </row>
    <row r="383" spans="1:13" ht="25.5" x14ac:dyDescent="0.2">
      <c r="A383" s="1835" t="str">
        <f>'Orç - Prédio'!A163</f>
        <v>04.01.415.01</v>
      </c>
      <c r="B383" s="2207" t="str">
        <f>'Orç - Prédio'!D163</f>
        <v>Rufo externo em chapa de aço galvanizado número 24, corte de 25cm, incluso transporte vertical</v>
      </c>
      <c r="C383" s="2207"/>
      <c r="D383" s="2207"/>
      <c r="E383" s="2207"/>
      <c r="F383" s="2207"/>
      <c r="G383" s="2207"/>
      <c r="H383" s="2207"/>
      <c r="I383" s="2207"/>
      <c r="J383" s="2207"/>
      <c r="K383" s="1836" t="str">
        <f xml:space="preserve"> 'Orç - Prédio'!F163</f>
        <v>m</v>
      </c>
      <c r="L383" s="1837" t="s">
        <v>15154</v>
      </c>
    </row>
    <row r="384" spans="1:13" x14ac:dyDescent="0.2">
      <c r="A384" s="2202"/>
      <c r="B384" s="2202"/>
      <c r="C384" s="1537"/>
      <c r="D384" s="1537"/>
      <c r="E384" s="1537"/>
      <c r="F384" s="1537"/>
      <c r="G384" s="2202" t="s">
        <v>6699</v>
      </c>
      <c r="H384" s="2202"/>
      <c r="I384" s="2202" t="s">
        <v>6700</v>
      </c>
      <c r="J384" s="2202"/>
      <c r="K384" s="2202"/>
      <c r="L384" s="615"/>
      <c r="M384" s="615"/>
    </row>
    <row r="385" spans="1:13" ht="22.5" x14ac:dyDescent="0.2">
      <c r="A385" s="2202" t="s">
        <v>6715</v>
      </c>
      <c r="B385" s="2202"/>
      <c r="C385" s="2202" t="s">
        <v>6701</v>
      </c>
      <c r="D385" s="2202" t="s">
        <v>6702</v>
      </c>
      <c r="E385" s="2202" t="s">
        <v>6703</v>
      </c>
      <c r="F385" s="2202" t="s">
        <v>6704</v>
      </c>
      <c r="G385" s="1552" t="s">
        <v>6705</v>
      </c>
      <c r="H385" s="1552" t="s">
        <v>6706</v>
      </c>
      <c r="I385" s="1552" t="s">
        <v>6707</v>
      </c>
      <c r="J385" s="1552" t="s">
        <v>6705</v>
      </c>
      <c r="K385" s="1552" t="s">
        <v>6706</v>
      </c>
      <c r="L385" s="615"/>
      <c r="M385" s="615"/>
    </row>
    <row r="386" spans="1:13" x14ac:dyDescent="0.2">
      <c r="A386" s="2202"/>
      <c r="B386" s="2202"/>
      <c r="C386" s="2202"/>
      <c r="D386" s="2202"/>
      <c r="E386" s="2202"/>
      <c r="F386" s="2202"/>
      <c r="G386" s="1552" t="s">
        <v>6708</v>
      </c>
      <c r="H386" s="1552" t="s">
        <v>6709</v>
      </c>
      <c r="I386" s="1552" t="s">
        <v>6710</v>
      </c>
      <c r="J386" s="1552" t="s">
        <v>6708</v>
      </c>
      <c r="K386" s="1552" t="s">
        <v>6709</v>
      </c>
      <c r="L386" s="615"/>
      <c r="M386" s="615"/>
    </row>
    <row r="387" spans="1:13" x14ac:dyDescent="0.2">
      <c r="A387" s="1552"/>
      <c r="B387" s="1553" t="s">
        <v>5822</v>
      </c>
      <c r="C387" s="1541">
        <v>1</v>
      </c>
      <c r="D387" s="1541">
        <f>2*11.05+2*4.95</f>
        <v>32</v>
      </c>
      <c r="E387" s="1544"/>
      <c r="F387" s="1550"/>
      <c r="G387" s="1555"/>
      <c r="H387" s="1539"/>
      <c r="I387" s="1539">
        <f>D387*C387</f>
        <v>32</v>
      </c>
      <c r="J387" s="1539"/>
      <c r="K387" s="1539">
        <f>C387*H387</f>
        <v>0</v>
      </c>
      <c r="L387" s="1603"/>
      <c r="M387" s="615"/>
    </row>
    <row r="388" spans="1:13" ht="22.5" x14ac:dyDescent="0.2">
      <c r="A388" s="1552"/>
      <c r="B388" s="1553" t="s">
        <v>5823</v>
      </c>
      <c r="C388" s="1541">
        <v>1</v>
      </c>
      <c r="D388" s="1541">
        <f>10.22</f>
        <v>10.220000000000001</v>
      </c>
      <c r="E388" s="1544"/>
      <c r="F388" s="1550"/>
      <c r="G388" s="1555"/>
      <c r="H388" s="1539"/>
      <c r="I388" s="1539">
        <f>D388*C388</f>
        <v>10.220000000000001</v>
      </c>
      <c r="J388" s="1539"/>
      <c r="K388" s="1539">
        <f>C388*H388</f>
        <v>0</v>
      </c>
      <c r="L388" s="1603"/>
      <c r="M388" s="615"/>
    </row>
    <row r="389" spans="1:13" x14ac:dyDescent="0.2">
      <c r="A389" s="1547"/>
      <c r="B389" s="1548"/>
      <c r="C389" s="1548"/>
      <c r="D389" s="1548"/>
      <c r="E389" s="1548"/>
      <c r="F389" s="2200" t="s">
        <v>6711</v>
      </c>
      <c r="G389" s="2200"/>
      <c r="H389" s="2200"/>
      <c r="I389" s="1549">
        <f>ROUND(SUM(I387:I388),2)</f>
        <v>42.22</v>
      </c>
      <c r="J389" s="1549">
        <f>ROUND(SUM(J387:J388),2)</f>
        <v>0</v>
      </c>
      <c r="K389" s="1549">
        <f>ROUND(SUM(K387:K388),2)</f>
        <v>0</v>
      </c>
      <c r="L389" s="615"/>
      <c r="M389" s="615"/>
    </row>
    <row r="390" spans="1:13" x14ac:dyDescent="0.2">
      <c r="A390" s="1552"/>
      <c r="B390" s="2201"/>
      <c r="C390" s="2201"/>
      <c r="D390" s="2201"/>
      <c r="E390" s="2201"/>
      <c r="F390" s="2201"/>
      <c r="G390" s="2201"/>
      <c r="H390" s="2201"/>
      <c r="I390" s="2201"/>
      <c r="J390" s="2201"/>
      <c r="K390" s="1552"/>
      <c r="L390" s="615"/>
      <c r="M390" s="615"/>
    </row>
    <row r="391" spans="1:13" ht="25.5" x14ac:dyDescent="0.2">
      <c r="A391" s="1835" t="str">
        <f>'Orç - Prédio'!A164</f>
        <v>04.01.415.02</v>
      </c>
      <c r="B391" s="2207" t="str">
        <f>'Orç - Prédio'!D164</f>
        <v>Rufo tipo pingadeira em chapa de aço galvanizado número 24, incluso transporte vertical</v>
      </c>
      <c r="C391" s="2207"/>
      <c r="D391" s="2207"/>
      <c r="E391" s="2207"/>
      <c r="F391" s="2207"/>
      <c r="G391" s="2207"/>
      <c r="H391" s="2207"/>
      <c r="I391" s="2207"/>
      <c r="J391" s="2207"/>
      <c r="K391" s="1836" t="str">
        <f>'Orç - Prédio'!F164</f>
        <v>m</v>
      </c>
      <c r="L391" s="1837" t="s">
        <v>15154</v>
      </c>
    </row>
    <row r="392" spans="1:13" x14ac:dyDescent="0.2">
      <c r="A392" s="2202"/>
      <c r="B392" s="2202"/>
      <c r="C392" s="1537"/>
      <c r="D392" s="1537"/>
      <c r="E392" s="1537"/>
      <c r="F392" s="1537"/>
      <c r="G392" s="2202" t="s">
        <v>6699</v>
      </c>
      <c r="H392" s="2202"/>
      <c r="I392" s="2202" t="s">
        <v>6700</v>
      </c>
      <c r="J392" s="2202"/>
      <c r="K392" s="2202"/>
      <c r="L392" s="615"/>
      <c r="M392" s="615"/>
    </row>
    <row r="393" spans="1:13" ht="22.5" x14ac:dyDescent="0.2">
      <c r="A393" s="2202" t="s">
        <v>6715</v>
      </c>
      <c r="B393" s="2202"/>
      <c r="C393" s="2202" t="s">
        <v>6701</v>
      </c>
      <c r="D393" s="2202" t="s">
        <v>6702</v>
      </c>
      <c r="E393" s="2202" t="s">
        <v>6703</v>
      </c>
      <c r="F393" s="2202" t="s">
        <v>6704</v>
      </c>
      <c r="G393" s="1552" t="s">
        <v>6705</v>
      </c>
      <c r="H393" s="1552" t="s">
        <v>6706</v>
      </c>
      <c r="I393" s="1552" t="s">
        <v>6707</v>
      </c>
      <c r="J393" s="1552" t="s">
        <v>6705</v>
      </c>
      <c r="K393" s="1552" t="s">
        <v>6706</v>
      </c>
      <c r="L393" s="615"/>
      <c r="M393" s="615"/>
    </row>
    <row r="394" spans="1:13" x14ac:dyDescent="0.2">
      <c r="A394" s="2202"/>
      <c r="B394" s="2202"/>
      <c r="C394" s="2202"/>
      <c r="D394" s="2202"/>
      <c r="E394" s="2202"/>
      <c r="F394" s="2202"/>
      <c r="G394" s="1552" t="s">
        <v>6708</v>
      </c>
      <c r="H394" s="1552" t="s">
        <v>6709</v>
      </c>
      <c r="I394" s="1552" t="s">
        <v>6710</v>
      </c>
      <c r="J394" s="1552" t="s">
        <v>6708</v>
      </c>
      <c r="K394" s="1552" t="s">
        <v>6709</v>
      </c>
      <c r="L394" s="615"/>
      <c r="M394" s="615"/>
    </row>
    <row r="395" spans="1:13" x14ac:dyDescent="0.2">
      <c r="A395" s="1552"/>
      <c r="B395" s="1553" t="s">
        <v>5824</v>
      </c>
      <c r="C395" s="1616">
        <v>1</v>
      </c>
      <c r="D395" s="1541">
        <v>32.619999999999997</v>
      </c>
      <c r="E395" s="1544"/>
      <c r="F395" s="1550"/>
      <c r="G395" s="1555"/>
      <c r="H395" s="1539"/>
      <c r="I395" s="1539">
        <f>D395*C395</f>
        <v>32.619999999999997</v>
      </c>
      <c r="J395" s="1539"/>
      <c r="K395" s="1539">
        <f>C395*H395</f>
        <v>0</v>
      </c>
      <c r="L395" s="1603"/>
      <c r="M395" s="615"/>
    </row>
    <row r="396" spans="1:13" x14ac:dyDescent="0.2">
      <c r="A396" s="1552"/>
      <c r="B396" s="1553" t="s">
        <v>5825</v>
      </c>
      <c r="C396" s="1616">
        <v>1</v>
      </c>
      <c r="D396" s="1541">
        <v>11.25</v>
      </c>
      <c r="E396" s="1544"/>
      <c r="F396" s="1550"/>
      <c r="G396" s="1555"/>
      <c r="H396" s="1539"/>
      <c r="I396" s="1539">
        <f>D396*C396</f>
        <v>11.25</v>
      </c>
      <c r="J396" s="1539"/>
      <c r="K396" s="1539">
        <f>C396*H396</f>
        <v>0</v>
      </c>
      <c r="L396" s="1603"/>
      <c r="M396" s="615"/>
    </row>
    <row r="397" spans="1:13" x14ac:dyDescent="0.2">
      <c r="A397" s="1552"/>
      <c r="B397" s="1553" t="s">
        <v>5826</v>
      </c>
      <c r="C397" s="1616">
        <v>1</v>
      </c>
      <c r="D397" s="1541">
        <v>161</v>
      </c>
      <c r="E397" s="1544"/>
      <c r="F397" s="1550"/>
      <c r="G397" s="1555"/>
      <c r="H397" s="1539"/>
      <c r="I397" s="1539">
        <f>D397*C397</f>
        <v>161</v>
      </c>
      <c r="J397" s="1539"/>
      <c r="K397" s="1539">
        <f>C397*H397</f>
        <v>0</v>
      </c>
      <c r="L397" s="1603"/>
      <c r="M397" s="615"/>
    </row>
    <row r="398" spans="1:13" x14ac:dyDescent="0.2">
      <c r="A398" s="1547"/>
      <c r="B398" s="1548"/>
      <c r="C398" s="1548"/>
      <c r="D398" s="1548"/>
      <c r="E398" s="1548"/>
      <c r="F398" s="2200" t="s">
        <v>6711</v>
      </c>
      <c r="G398" s="2200"/>
      <c r="H398" s="2200"/>
      <c r="I398" s="1549">
        <f>ROUND(SUM(I395:I397),2)</f>
        <v>204.87</v>
      </c>
      <c r="J398" s="1549">
        <f>ROUND(SUM(J395:J397),2)</f>
        <v>0</v>
      </c>
      <c r="K398" s="1549">
        <f>ROUND(SUM(K395:K397),2)</f>
        <v>0</v>
      </c>
      <c r="L398" s="615"/>
      <c r="M398" s="615"/>
    </row>
    <row r="399" spans="1:13" x14ac:dyDescent="0.2">
      <c r="A399" s="1552"/>
      <c r="B399" s="2201"/>
      <c r="C399" s="2201"/>
      <c r="D399" s="2201"/>
      <c r="E399" s="2201"/>
      <c r="F399" s="2201"/>
      <c r="G399" s="2201"/>
      <c r="H399" s="2201"/>
      <c r="I399" s="2201"/>
      <c r="J399" s="2201"/>
      <c r="K399" s="1552"/>
      <c r="L399" s="615"/>
      <c r="M399" s="615"/>
    </row>
    <row r="400" spans="1:13" ht="25.5" x14ac:dyDescent="0.2">
      <c r="A400" s="1835" t="str">
        <f>'Orç - Prédio'!A166</f>
        <v>04.01.511</v>
      </c>
      <c r="B400" s="2207" t="str">
        <f>'Orç - Prédio'!D166</f>
        <v>Piso cimentado traço 1:3 (cimento e areia), acabamento liso espessura 2 cm, preparo mecânico da argamassa</v>
      </c>
      <c r="C400" s="2207"/>
      <c r="D400" s="2207"/>
      <c r="E400" s="2207"/>
      <c r="F400" s="2207"/>
      <c r="G400" s="2207"/>
      <c r="H400" s="2207"/>
      <c r="I400" s="2207"/>
      <c r="J400" s="2207"/>
      <c r="K400" s="1836" t="str">
        <f>'Orç - Prédio'!F166</f>
        <v>m2</v>
      </c>
      <c r="L400" s="1837" t="s">
        <v>15154</v>
      </c>
    </row>
    <row r="401" spans="1:13" x14ac:dyDescent="0.2">
      <c r="A401" s="2202"/>
      <c r="B401" s="2202"/>
      <c r="C401" s="1537"/>
      <c r="D401" s="1537"/>
      <c r="E401" s="1537"/>
      <c r="F401" s="1537"/>
      <c r="G401" s="2202" t="s">
        <v>6699</v>
      </c>
      <c r="H401" s="2202"/>
      <c r="I401" s="2202" t="s">
        <v>6700</v>
      </c>
      <c r="J401" s="2202"/>
      <c r="K401" s="2202"/>
      <c r="L401" s="615"/>
      <c r="M401" s="615"/>
    </row>
    <row r="402" spans="1:13" ht="22.5" x14ac:dyDescent="0.2">
      <c r="A402" s="2202" t="s">
        <v>6715</v>
      </c>
      <c r="B402" s="2202"/>
      <c r="C402" s="2202" t="s">
        <v>6701</v>
      </c>
      <c r="D402" s="2202" t="s">
        <v>6702</v>
      </c>
      <c r="E402" s="2202" t="s">
        <v>6703</v>
      </c>
      <c r="F402" s="2202" t="s">
        <v>6704</v>
      </c>
      <c r="G402" s="1552" t="s">
        <v>6705</v>
      </c>
      <c r="H402" s="1552" t="s">
        <v>6706</v>
      </c>
      <c r="I402" s="1552" t="s">
        <v>6707</v>
      </c>
      <c r="J402" s="1552" t="s">
        <v>6705</v>
      </c>
      <c r="K402" s="1552" t="s">
        <v>6706</v>
      </c>
      <c r="L402" s="615"/>
      <c r="M402" s="615"/>
    </row>
    <row r="403" spans="1:13" x14ac:dyDescent="0.2">
      <c r="A403" s="2202"/>
      <c r="B403" s="2202"/>
      <c r="C403" s="2202"/>
      <c r="D403" s="2202"/>
      <c r="E403" s="2202"/>
      <c r="F403" s="2202"/>
      <c r="G403" s="1552" t="s">
        <v>6708</v>
      </c>
      <c r="H403" s="1552" t="s">
        <v>6709</v>
      </c>
      <c r="I403" s="1552" t="s">
        <v>6710</v>
      </c>
      <c r="J403" s="1552" t="s">
        <v>6708</v>
      </c>
      <c r="K403" s="1552" t="s">
        <v>6709</v>
      </c>
      <c r="L403" s="615"/>
      <c r="M403" s="615"/>
    </row>
    <row r="404" spans="1:13" x14ac:dyDescent="0.2">
      <c r="A404" s="1552" t="s">
        <v>15042</v>
      </c>
      <c r="B404" s="1553" t="s">
        <v>5827</v>
      </c>
      <c r="C404" s="1616">
        <v>4</v>
      </c>
      <c r="D404" s="1541"/>
      <c r="E404" s="1544"/>
      <c r="F404" s="1550"/>
      <c r="G404" s="1616">
        <v>7.17</v>
      </c>
      <c r="H404" s="1539"/>
      <c r="I404" s="1539"/>
      <c r="J404" s="1541">
        <f>G404*C404</f>
        <v>28.68</v>
      </c>
      <c r="K404" s="1539">
        <f>C404*H404</f>
        <v>0</v>
      </c>
      <c r="L404" s="1603"/>
      <c r="M404" s="615"/>
    </row>
    <row r="405" spans="1:13" ht="33.75" x14ac:dyDescent="0.2">
      <c r="A405" s="1552" t="s">
        <v>15041</v>
      </c>
      <c r="B405" s="1553" t="s">
        <v>8931</v>
      </c>
      <c r="C405" s="1616">
        <v>1</v>
      </c>
      <c r="D405" s="1541"/>
      <c r="E405" s="1544"/>
      <c r="F405" s="1550"/>
      <c r="G405" s="1541">
        <f>14.34+9.95+35.72+14.34+9.95+14.44+21.96+14.34</f>
        <v>135.04</v>
      </c>
      <c r="H405" s="1539"/>
      <c r="I405" s="1539"/>
      <c r="J405" s="1541">
        <f>G405*C405</f>
        <v>135.04</v>
      </c>
      <c r="K405" s="1539">
        <f>C405*H405</f>
        <v>0</v>
      </c>
      <c r="L405" s="1603"/>
      <c r="M405" s="615"/>
    </row>
    <row r="406" spans="1:13" x14ac:dyDescent="0.2">
      <c r="A406" s="1547"/>
      <c r="B406" s="1548"/>
      <c r="C406" s="1548"/>
      <c r="D406" s="1548"/>
      <c r="E406" s="1548"/>
      <c r="F406" s="2200" t="s">
        <v>6711</v>
      </c>
      <c r="G406" s="2200"/>
      <c r="H406" s="2200"/>
      <c r="I406" s="1549"/>
      <c r="J406" s="1695">
        <f>ROUND(SUM(J404:J405),2)</f>
        <v>163.72</v>
      </c>
      <c r="K406" s="1549"/>
      <c r="L406" s="615"/>
      <c r="M406" s="615"/>
    </row>
    <row r="407" spans="1:13" x14ac:dyDescent="0.2">
      <c r="A407" s="1552"/>
      <c r="B407" s="2201"/>
      <c r="C407" s="2201"/>
      <c r="D407" s="2201"/>
      <c r="E407" s="2201"/>
      <c r="F407" s="2201"/>
      <c r="G407" s="2201"/>
      <c r="H407" s="2201"/>
      <c r="I407" s="2201"/>
      <c r="J407" s="2201"/>
      <c r="K407" s="1552"/>
      <c r="L407" s="615"/>
      <c r="M407" s="615"/>
    </row>
    <row r="408" spans="1:13" ht="25.5" x14ac:dyDescent="0.2">
      <c r="A408" s="1835" t="str">
        <f>'Orç - Prédio'!A167</f>
        <v>04.01.512</v>
      </c>
      <c r="B408" s="2207" t="str">
        <f>'Orç - Prédio'!D167</f>
        <v>Revestimento cerâmico para piso com placas tipo grês, dimensões 30 x 30 cm</v>
      </c>
      <c r="C408" s="2207"/>
      <c r="D408" s="2207"/>
      <c r="E408" s="2207"/>
      <c r="F408" s="2207"/>
      <c r="G408" s="2207"/>
      <c r="H408" s="2207"/>
      <c r="I408" s="2207"/>
      <c r="J408" s="2207"/>
      <c r="K408" s="1836" t="str">
        <f>'Orç - Prédio'!F167</f>
        <v>m2</v>
      </c>
      <c r="L408" s="1837" t="s">
        <v>15154</v>
      </c>
    </row>
    <row r="409" spans="1:13" x14ac:dyDescent="0.2">
      <c r="A409" s="2202"/>
      <c r="B409" s="2202"/>
      <c r="C409" s="1537"/>
      <c r="D409" s="1537"/>
      <c r="E409" s="1537"/>
      <c r="F409" s="1537"/>
      <c r="G409" s="2202" t="s">
        <v>6699</v>
      </c>
      <c r="H409" s="2202"/>
      <c r="I409" s="2202" t="s">
        <v>6700</v>
      </c>
      <c r="J409" s="2202"/>
      <c r="K409" s="2202"/>
      <c r="L409" s="615"/>
      <c r="M409" s="615"/>
    </row>
    <row r="410" spans="1:13" ht="22.5" x14ac:dyDescent="0.2">
      <c r="A410" s="2202" t="s">
        <v>6715</v>
      </c>
      <c r="B410" s="2202"/>
      <c r="C410" s="2202" t="s">
        <v>6701</v>
      </c>
      <c r="D410" s="2202" t="s">
        <v>6702</v>
      </c>
      <c r="E410" s="2202" t="s">
        <v>6703</v>
      </c>
      <c r="F410" s="2202" t="s">
        <v>6704</v>
      </c>
      <c r="G410" s="1552" t="s">
        <v>6705</v>
      </c>
      <c r="H410" s="1552" t="s">
        <v>6706</v>
      </c>
      <c r="I410" s="1552" t="s">
        <v>6707</v>
      </c>
      <c r="J410" s="1552" t="s">
        <v>6705</v>
      </c>
      <c r="K410" s="1552" t="s">
        <v>6706</v>
      </c>
      <c r="L410" s="615"/>
      <c r="M410" s="615"/>
    </row>
    <row r="411" spans="1:13" x14ac:dyDescent="0.2">
      <c r="A411" s="2202"/>
      <c r="B411" s="2202"/>
      <c r="C411" s="2202"/>
      <c r="D411" s="2202"/>
      <c r="E411" s="2202"/>
      <c r="F411" s="2202"/>
      <c r="G411" s="1552" t="s">
        <v>6708</v>
      </c>
      <c r="H411" s="1552" t="s">
        <v>6709</v>
      </c>
      <c r="I411" s="1552" t="s">
        <v>6710</v>
      </c>
      <c r="J411" s="1552" t="s">
        <v>6708</v>
      </c>
      <c r="K411" s="1552" t="s">
        <v>6709</v>
      </c>
      <c r="L411" s="615"/>
      <c r="M411" s="615"/>
    </row>
    <row r="412" spans="1:13" x14ac:dyDescent="0.2">
      <c r="A412" s="1552" t="s">
        <v>15041</v>
      </c>
      <c r="B412" s="1553" t="s">
        <v>5828</v>
      </c>
      <c r="C412" s="1541">
        <v>4</v>
      </c>
      <c r="D412" s="1541"/>
      <c r="E412" s="1544"/>
      <c r="F412" s="1550"/>
      <c r="G412" s="1558">
        <v>19.13</v>
      </c>
      <c r="H412" s="1539"/>
      <c r="I412" s="1539"/>
      <c r="J412" s="1539">
        <f>G412*C412</f>
        <v>76.52</v>
      </c>
      <c r="K412" s="1539">
        <f>C412*H412</f>
        <v>0</v>
      </c>
      <c r="L412" s="1603"/>
      <c r="M412" s="615"/>
    </row>
    <row r="413" spans="1:13" x14ac:dyDescent="0.2">
      <c r="A413" s="1947" t="s">
        <v>15041</v>
      </c>
      <c r="B413" s="1553" t="s">
        <v>5829</v>
      </c>
      <c r="C413" s="1541">
        <v>4</v>
      </c>
      <c r="D413" s="1541"/>
      <c r="E413" s="1544"/>
      <c r="F413" s="1550"/>
      <c r="G413" s="1957">
        <v>5.97</v>
      </c>
      <c r="H413" s="1539"/>
      <c r="I413" s="1539"/>
      <c r="J413" s="1539">
        <f>G413*C413</f>
        <v>23.88</v>
      </c>
      <c r="K413" s="1539">
        <f>C413*H413</f>
        <v>0</v>
      </c>
      <c r="L413" s="1603"/>
      <c r="M413" s="615"/>
    </row>
    <row r="414" spans="1:13" x14ac:dyDescent="0.2">
      <c r="A414" s="1947" t="s">
        <v>15043</v>
      </c>
      <c r="B414" s="1553" t="s">
        <v>5830</v>
      </c>
      <c r="C414" s="1541">
        <v>1</v>
      </c>
      <c r="D414" s="1541"/>
      <c r="E414" s="1544"/>
      <c r="F414" s="1550"/>
      <c r="G414" s="1957">
        <f>4.27+3.27</f>
        <v>7.5399999999999991</v>
      </c>
      <c r="H414" s="1539"/>
      <c r="I414" s="1539"/>
      <c r="J414" s="1539">
        <f>G414*C414</f>
        <v>7.5399999999999991</v>
      </c>
      <c r="K414" s="1539">
        <f>C414*H414</f>
        <v>0</v>
      </c>
      <c r="L414" s="1603"/>
      <c r="M414" s="615"/>
    </row>
    <row r="415" spans="1:13" x14ac:dyDescent="0.2">
      <c r="A415" s="1547"/>
      <c r="B415" s="1548"/>
      <c r="C415" s="1548"/>
      <c r="D415" s="1548"/>
      <c r="E415" s="1548"/>
      <c r="F415" s="2200" t="s">
        <v>6711</v>
      </c>
      <c r="G415" s="2200"/>
      <c r="H415" s="2200"/>
      <c r="I415" s="1549">
        <f>ROUND(SUM(I412:I414),2)</f>
        <v>0</v>
      </c>
      <c r="J415" s="1549">
        <f>ROUND(SUM(J412:J414),2)</f>
        <v>107.94</v>
      </c>
      <c r="K415" s="1549">
        <f>ROUND(SUM(K412:K414),2)</f>
        <v>0</v>
      </c>
      <c r="L415" s="615"/>
      <c r="M415" s="615"/>
    </row>
    <row r="416" spans="1:13" x14ac:dyDescent="0.2">
      <c r="A416" s="1552"/>
      <c r="B416" s="2201"/>
      <c r="C416" s="2201"/>
      <c r="D416" s="2201"/>
      <c r="E416" s="2201"/>
      <c r="F416" s="2201"/>
      <c r="G416" s="2201"/>
      <c r="H416" s="2201"/>
      <c r="I416" s="2201"/>
      <c r="J416" s="2201"/>
      <c r="K416" s="1552"/>
      <c r="L416" s="615"/>
      <c r="M416" s="615"/>
    </row>
    <row r="417" spans="1:13" ht="25.5" x14ac:dyDescent="0.2">
      <c r="A417" s="1835" t="str">
        <f>'Orç - Prédio'!A168</f>
        <v>04.01.515</v>
      </c>
      <c r="B417" s="2207" t="str">
        <f>'Orç - Prédio'!D168</f>
        <v>Piso de granito cinza andorinha, e = 20mm, acabamento flameado (escadas)</v>
      </c>
      <c r="C417" s="2207"/>
      <c r="D417" s="2207"/>
      <c r="E417" s="2207"/>
      <c r="F417" s="2207"/>
      <c r="G417" s="2207"/>
      <c r="H417" s="2207"/>
      <c r="I417" s="2207"/>
      <c r="J417" s="2207"/>
      <c r="K417" s="1836" t="str">
        <f>'Orç - Prédio'!F168</f>
        <v>m2</v>
      </c>
      <c r="L417" s="1837" t="s">
        <v>15154</v>
      </c>
    </row>
    <row r="418" spans="1:13" x14ac:dyDescent="0.2">
      <c r="A418" s="2202"/>
      <c r="B418" s="2202"/>
      <c r="C418" s="1537"/>
      <c r="D418" s="1537"/>
      <c r="E418" s="1537"/>
      <c r="F418" s="1537"/>
      <c r="G418" s="2202" t="s">
        <v>6699</v>
      </c>
      <c r="H418" s="2202"/>
      <c r="I418" s="2202" t="s">
        <v>6700</v>
      </c>
      <c r="J418" s="2202"/>
      <c r="K418" s="2202"/>
      <c r="L418" s="615"/>
      <c r="M418" s="615"/>
    </row>
    <row r="419" spans="1:13" ht="22.5" x14ac:dyDescent="0.2">
      <c r="A419" s="2202" t="s">
        <v>6715</v>
      </c>
      <c r="B419" s="2202"/>
      <c r="C419" s="2202" t="s">
        <v>6701</v>
      </c>
      <c r="D419" s="2202" t="s">
        <v>6702</v>
      </c>
      <c r="E419" s="2202" t="s">
        <v>6703</v>
      </c>
      <c r="F419" s="2202" t="s">
        <v>6704</v>
      </c>
      <c r="G419" s="1557" t="s">
        <v>6705</v>
      </c>
      <c r="H419" s="1557" t="s">
        <v>6706</v>
      </c>
      <c r="I419" s="1557" t="s">
        <v>6707</v>
      </c>
      <c r="J419" s="1557" t="s">
        <v>6705</v>
      </c>
      <c r="K419" s="1557" t="s">
        <v>6706</v>
      </c>
      <c r="L419" s="615"/>
      <c r="M419" s="615"/>
    </row>
    <row r="420" spans="1:13" x14ac:dyDescent="0.2">
      <c r="A420" s="2202"/>
      <c r="B420" s="2202"/>
      <c r="C420" s="2202"/>
      <c r="D420" s="2202"/>
      <c r="E420" s="2202"/>
      <c r="F420" s="2202"/>
      <c r="G420" s="1557" t="s">
        <v>6708</v>
      </c>
      <c r="H420" s="1557" t="s">
        <v>6709</v>
      </c>
      <c r="I420" s="1557" t="s">
        <v>6710</v>
      </c>
      <c r="J420" s="1557" t="s">
        <v>6708</v>
      </c>
      <c r="K420" s="1557" t="s">
        <v>6709</v>
      </c>
      <c r="L420" s="615"/>
      <c r="M420" s="615"/>
    </row>
    <row r="421" spans="1:13" x14ac:dyDescent="0.2">
      <c r="A421" s="1947" t="s">
        <v>15041</v>
      </c>
      <c r="B421" s="1553" t="s">
        <v>5831</v>
      </c>
      <c r="C421" s="1541">
        <v>4</v>
      </c>
      <c r="D421" s="1541"/>
      <c r="E421" s="1544"/>
      <c r="F421" s="1550"/>
      <c r="G421" s="1558">
        <v>2.3199999999999998</v>
      </c>
      <c r="H421" s="1539"/>
      <c r="I421" s="1539"/>
      <c r="J421" s="1539">
        <f>G421*C421</f>
        <v>9.2799999999999994</v>
      </c>
      <c r="K421" s="1539">
        <f>C421*H421</f>
        <v>0</v>
      </c>
      <c r="L421" s="1603"/>
      <c r="M421" s="615"/>
    </row>
    <row r="422" spans="1:13" x14ac:dyDescent="0.2">
      <c r="A422" s="1947" t="s">
        <v>15041</v>
      </c>
      <c r="B422" s="1553" t="s">
        <v>5832</v>
      </c>
      <c r="C422" s="1541">
        <f>19*2</f>
        <v>38</v>
      </c>
      <c r="D422" s="1541"/>
      <c r="E422" s="1544"/>
      <c r="F422" s="1550"/>
      <c r="G422" s="1957">
        <v>0.46200000000000002</v>
      </c>
      <c r="H422" s="1539"/>
      <c r="I422" s="1539"/>
      <c r="J422" s="1539">
        <f>G422*C422</f>
        <v>17.556000000000001</v>
      </c>
      <c r="K422" s="1539">
        <f>C422*H422</f>
        <v>0</v>
      </c>
      <c r="L422" s="1603"/>
      <c r="M422" s="615"/>
    </row>
    <row r="423" spans="1:13" x14ac:dyDescent="0.2">
      <c r="A423" s="1547"/>
      <c r="B423" s="1548"/>
      <c r="C423" s="1548"/>
      <c r="D423" s="1548"/>
      <c r="E423" s="1548"/>
      <c r="F423" s="2200" t="s">
        <v>6711</v>
      </c>
      <c r="G423" s="2200"/>
      <c r="H423" s="2200"/>
      <c r="I423" s="1549">
        <f>ROUND(SUM(I421:I422),2)</f>
        <v>0</v>
      </c>
      <c r="J423" s="1549">
        <f>ROUND(SUM(J421:J422),2)</f>
        <v>26.84</v>
      </c>
      <c r="K423" s="1549">
        <f>ROUND(SUM(K421:K422),2)</f>
        <v>0</v>
      </c>
      <c r="L423" s="615"/>
      <c r="M423" s="615"/>
    </row>
    <row r="424" spans="1:13" x14ac:dyDescent="0.2">
      <c r="A424" s="1557"/>
      <c r="B424" s="2201"/>
      <c r="C424" s="2201"/>
      <c r="D424" s="2201"/>
      <c r="E424" s="2201"/>
      <c r="F424" s="2201"/>
      <c r="G424" s="2201"/>
      <c r="H424" s="2201"/>
      <c r="I424" s="2201"/>
      <c r="J424" s="2201"/>
      <c r="K424" s="1557"/>
      <c r="L424" s="615"/>
      <c r="M424" s="615"/>
    </row>
    <row r="425" spans="1:13" ht="25.5" x14ac:dyDescent="0.2">
      <c r="A425" s="1835" t="str">
        <f>'Orç - Prédio'!A169</f>
        <v>04.01.516</v>
      </c>
      <c r="B425" s="2207" t="str">
        <f>'Orç - Prédio'!D169</f>
        <v>Piso em granitina espessura acabada 15 mm, incluso juntas de dilatação plásticas e regularização</v>
      </c>
      <c r="C425" s="2207"/>
      <c r="D425" s="2207"/>
      <c r="E425" s="2207"/>
      <c r="F425" s="2207"/>
      <c r="G425" s="2207"/>
      <c r="H425" s="2207"/>
      <c r="I425" s="2207"/>
      <c r="J425" s="2207"/>
      <c r="K425" s="1836" t="str">
        <f>'Orç - Prédio'!F169</f>
        <v>m2</v>
      </c>
      <c r="L425" s="1837" t="s">
        <v>15154</v>
      </c>
    </row>
    <row r="426" spans="1:13" x14ac:dyDescent="0.2">
      <c r="A426" s="2202"/>
      <c r="B426" s="2202"/>
      <c r="C426" s="1537"/>
      <c r="D426" s="1537"/>
      <c r="E426" s="1537"/>
      <c r="F426" s="1537"/>
      <c r="G426" s="2202" t="s">
        <v>6699</v>
      </c>
      <c r="H426" s="2202"/>
      <c r="I426" s="2202" t="s">
        <v>6700</v>
      </c>
      <c r="J426" s="2202"/>
      <c r="K426" s="2202"/>
      <c r="L426" s="615"/>
      <c r="M426" s="615"/>
    </row>
    <row r="427" spans="1:13" ht="22.5" x14ac:dyDescent="0.2">
      <c r="A427" s="2202" t="s">
        <v>6715</v>
      </c>
      <c r="B427" s="2202"/>
      <c r="C427" s="2202" t="s">
        <v>6701</v>
      </c>
      <c r="D427" s="2202" t="s">
        <v>6702</v>
      </c>
      <c r="E427" s="2202" t="s">
        <v>6703</v>
      </c>
      <c r="F427" s="2202" t="s">
        <v>6704</v>
      </c>
      <c r="G427" s="1557" t="s">
        <v>6705</v>
      </c>
      <c r="H427" s="1557" t="s">
        <v>6706</v>
      </c>
      <c r="I427" s="1557" t="s">
        <v>6707</v>
      </c>
      <c r="J427" s="1557" t="s">
        <v>6705</v>
      </c>
      <c r="K427" s="1557" t="s">
        <v>6706</v>
      </c>
      <c r="L427" s="615"/>
      <c r="M427" s="615"/>
    </row>
    <row r="428" spans="1:13" x14ac:dyDescent="0.2">
      <c r="A428" s="2202"/>
      <c r="B428" s="2202"/>
      <c r="C428" s="2202"/>
      <c r="D428" s="2202"/>
      <c r="E428" s="2202"/>
      <c r="F428" s="2202"/>
      <c r="G428" s="1557" t="s">
        <v>6708</v>
      </c>
      <c r="H428" s="1557" t="s">
        <v>6709</v>
      </c>
      <c r="I428" s="1557" t="s">
        <v>6710</v>
      </c>
      <c r="J428" s="1557" t="s">
        <v>6708</v>
      </c>
      <c r="K428" s="1557" t="s">
        <v>6709</v>
      </c>
      <c r="L428" s="615"/>
      <c r="M428" s="615"/>
    </row>
    <row r="429" spans="1:13" x14ac:dyDescent="0.2">
      <c r="A429" s="1557"/>
      <c r="B429" s="1553" t="s">
        <v>5808</v>
      </c>
      <c r="C429" s="1541">
        <v>1</v>
      </c>
      <c r="D429" s="1541"/>
      <c r="E429" s="1544"/>
      <c r="F429" s="1550"/>
      <c r="G429" s="1558">
        <v>871.66</v>
      </c>
      <c r="H429" s="1539"/>
      <c r="I429" s="1539"/>
      <c r="J429" s="1539">
        <f>G429*C429</f>
        <v>871.66</v>
      </c>
      <c r="K429" s="1539">
        <f>C429*H429</f>
        <v>0</v>
      </c>
      <c r="L429" s="1603"/>
      <c r="M429" s="615"/>
    </row>
    <row r="430" spans="1:13" x14ac:dyDescent="0.2">
      <c r="A430" s="1557"/>
      <c r="B430" s="1553" t="s">
        <v>5809</v>
      </c>
      <c r="C430" s="1541">
        <v>1</v>
      </c>
      <c r="D430" s="1541"/>
      <c r="E430" s="1544"/>
      <c r="F430" s="1550"/>
      <c r="G430" s="1558">
        <v>793.6</v>
      </c>
      <c r="H430" s="1539"/>
      <c r="I430" s="1539"/>
      <c r="J430" s="1539">
        <f>G430*C430</f>
        <v>793.6</v>
      </c>
      <c r="K430" s="1539">
        <f>C430*H430</f>
        <v>0</v>
      </c>
      <c r="L430" s="1603"/>
      <c r="M430" s="615"/>
    </row>
    <row r="431" spans="1:13" x14ac:dyDescent="0.2">
      <c r="A431" s="1547"/>
      <c r="B431" s="1548"/>
      <c r="C431" s="1548"/>
      <c r="D431" s="1548"/>
      <c r="E431" s="1548"/>
      <c r="F431" s="2200" t="s">
        <v>6711</v>
      </c>
      <c r="G431" s="2200"/>
      <c r="H431" s="2200"/>
      <c r="I431" s="1549">
        <f>ROUND(SUM(I429:I430),2)</f>
        <v>0</v>
      </c>
      <c r="J431" s="1549">
        <f>ROUND(SUM(J429:J430),2)</f>
        <v>1665.26</v>
      </c>
      <c r="K431" s="1549">
        <f>ROUND(SUM(K429:K430),2)</f>
        <v>0</v>
      </c>
      <c r="L431" s="615"/>
      <c r="M431" s="615"/>
    </row>
    <row r="432" spans="1:13" x14ac:dyDescent="0.2">
      <c r="A432" s="1557"/>
      <c r="B432" s="2201"/>
      <c r="C432" s="2201"/>
      <c r="D432" s="2201"/>
      <c r="E432" s="2201"/>
      <c r="F432" s="2201"/>
      <c r="G432" s="2201"/>
      <c r="H432" s="2201"/>
      <c r="I432" s="2201"/>
      <c r="J432" s="2201"/>
      <c r="K432" s="1557"/>
      <c r="L432" s="615"/>
      <c r="M432" s="615"/>
    </row>
    <row r="433" spans="1:13" ht="25.5" x14ac:dyDescent="0.2">
      <c r="A433" s="1835" t="str">
        <f>'Orç - Prédio'!A171</f>
        <v>04.01.528.02</v>
      </c>
      <c r="B433" s="2207" t="str">
        <f>'Orç - Prédio'!D171</f>
        <v>Regularização de piso em argamassa traço 1:4 (cimento e areia), preparo mecânico, e = 2 cm</v>
      </c>
      <c r="C433" s="2207"/>
      <c r="D433" s="2207"/>
      <c r="E433" s="2207"/>
      <c r="F433" s="2207"/>
      <c r="G433" s="2207"/>
      <c r="H433" s="2207"/>
      <c r="I433" s="2207"/>
      <c r="J433" s="2207"/>
      <c r="K433" s="1836" t="str">
        <f>'Orç - Prédio'!F172</f>
        <v>m2</v>
      </c>
      <c r="L433" s="1837" t="s">
        <v>15154</v>
      </c>
    </row>
    <row r="434" spans="1:13" x14ac:dyDescent="0.2">
      <c r="A434" s="2202"/>
      <c r="B434" s="2202"/>
      <c r="C434" s="1537"/>
      <c r="D434" s="1537"/>
      <c r="E434" s="1537"/>
      <c r="F434" s="1537"/>
      <c r="G434" s="2202" t="s">
        <v>6699</v>
      </c>
      <c r="H434" s="2202"/>
      <c r="I434" s="2202" t="s">
        <v>6700</v>
      </c>
      <c r="J434" s="2202"/>
      <c r="K434" s="2202"/>
      <c r="L434" s="615"/>
      <c r="M434" s="615"/>
    </row>
    <row r="435" spans="1:13" ht="22.5" x14ac:dyDescent="0.2">
      <c r="A435" s="2202" t="s">
        <v>6715</v>
      </c>
      <c r="B435" s="2202"/>
      <c r="C435" s="2202" t="s">
        <v>6701</v>
      </c>
      <c r="D435" s="2202" t="s">
        <v>6702</v>
      </c>
      <c r="E435" s="2202" t="s">
        <v>6703</v>
      </c>
      <c r="F435" s="2202" t="s">
        <v>6704</v>
      </c>
      <c r="G435" s="1557" t="s">
        <v>6705</v>
      </c>
      <c r="H435" s="1557" t="s">
        <v>6706</v>
      </c>
      <c r="I435" s="1557" t="s">
        <v>6707</v>
      </c>
      <c r="J435" s="1557" t="s">
        <v>6705</v>
      </c>
      <c r="K435" s="1557" t="s">
        <v>6706</v>
      </c>
      <c r="L435" s="615"/>
      <c r="M435" s="615"/>
    </row>
    <row r="436" spans="1:13" x14ac:dyDescent="0.2">
      <c r="A436" s="2202"/>
      <c r="B436" s="2202"/>
      <c r="C436" s="2202"/>
      <c r="D436" s="2202"/>
      <c r="E436" s="2202"/>
      <c r="F436" s="2202"/>
      <c r="G436" s="1557" t="s">
        <v>6708</v>
      </c>
      <c r="H436" s="1557" t="s">
        <v>6709</v>
      </c>
      <c r="I436" s="1557" t="s">
        <v>6710</v>
      </c>
      <c r="J436" s="1557" t="s">
        <v>6708</v>
      </c>
      <c r="K436" s="1557" t="s">
        <v>6709</v>
      </c>
      <c r="L436" s="615"/>
      <c r="M436" s="615"/>
    </row>
    <row r="437" spans="1:13" x14ac:dyDescent="0.2">
      <c r="A437" s="1557"/>
      <c r="B437" s="1553" t="s">
        <v>5833</v>
      </c>
      <c r="C437" s="1541">
        <v>1</v>
      </c>
      <c r="D437" s="1541"/>
      <c r="E437" s="1544"/>
      <c r="F437" s="1550"/>
      <c r="G437" s="1539">
        <f>J415</f>
        <v>107.94</v>
      </c>
      <c r="H437" s="1539"/>
      <c r="I437" s="1539"/>
      <c r="J437" s="1539">
        <f>G437*C437</f>
        <v>107.94</v>
      </c>
      <c r="K437" s="1539">
        <f>C437*H437</f>
        <v>0</v>
      </c>
      <c r="L437" s="1603"/>
      <c r="M437" s="615"/>
    </row>
    <row r="438" spans="1:13" x14ac:dyDescent="0.2">
      <c r="A438" s="1557"/>
      <c r="B438" s="1553" t="s">
        <v>5834</v>
      </c>
      <c r="C438" s="1541">
        <v>1</v>
      </c>
      <c r="D438" s="1541"/>
      <c r="E438" s="1544"/>
      <c r="F438" s="1550"/>
      <c r="G438" s="1539">
        <f>J406</f>
        <v>163.72</v>
      </c>
      <c r="H438" s="1539"/>
      <c r="I438" s="1539"/>
      <c r="J438" s="1539">
        <f>G438*C438</f>
        <v>163.72</v>
      </c>
      <c r="K438" s="1539">
        <f>C438*H438</f>
        <v>0</v>
      </c>
      <c r="L438" s="1603"/>
      <c r="M438" s="615"/>
    </row>
    <row r="439" spans="1:13" x14ac:dyDescent="0.2">
      <c r="A439" s="1547"/>
      <c r="B439" s="1548"/>
      <c r="C439" s="1548"/>
      <c r="D439" s="1548"/>
      <c r="E439" s="1548"/>
      <c r="F439" s="2200" t="s">
        <v>6711</v>
      </c>
      <c r="G439" s="2200"/>
      <c r="H439" s="2200"/>
      <c r="I439" s="1549">
        <f>ROUND(SUM(I437:I438),2)</f>
        <v>0</v>
      </c>
      <c r="J439" s="1549">
        <f>ROUND(SUM(J437:J438),2)</f>
        <v>271.66000000000003</v>
      </c>
      <c r="K439" s="1549">
        <f>ROUND(SUM(K437:K438),2)</f>
        <v>0</v>
      </c>
      <c r="L439" s="615"/>
      <c r="M439" s="615"/>
    </row>
    <row r="440" spans="1:13" x14ac:dyDescent="0.2">
      <c r="A440" s="1557"/>
      <c r="B440" s="2201"/>
      <c r="C440" s="2201"/>
      <c r="D440" s="2201"/>
      <c r="E440" s="2201"/>
      <c r="F440" s="2201"/>
      <c r="G440" s="2201"/>
      <c r="H440" s="2201"/>
      <c r="I440" s="2201"/>
      <c r="J440" s="2201"/>
      <c r="K440" s="1557"/>
      <c r="L440" s="615"/>
      <c r="M440" s="615"/>
    </row>
    <row r="441" spans="1:13" ht="21.75" customHeight="1" x14ac:dyDescent="0.2">
      <c r="A441" s="1835" t="str">
        <f>'Orç - Prédio'!A173</f>
        <v>04.01.529</v>
      </c>
      <c r="B441" s="2207" t="str">
        <f>'Orç - Prédio'!D173</f>
        <v>Piso de ladrilho hidráulico colorido, modelo tátil (alerta ou direcional), 25x25cm aplicado em ambientes internos, incluso aplicação de resina</v>
      </c>
      <c r="C441" s="2207"/>
      <c r="D441" s="2207"/>
      <c r="E441" s="2207"/>
      <c r="F441" s="2207"/>
      <c r="G441" s="2207"/>
      <c r="H441" s="2207"/>
      <c r="I441" s="2207"/>
      <c r="J441" s="2207"/>
      <c r="K441" s="1836" t="str">
        <f>'Orç - Prédio'!F173</f>
        <v>m2</v>
      </c>
      <c r="L441" s="1837" t="s">
        <v>15154</v>
      </c>
    </row>
    <row r="442" spans="1:13" x14ac:dyDescent="0.2">
      <c r="A442" s="2202"/>
      <c r="B442" s="2202"/>
      <c r="C442" s="1537"/>
      <c r="D442" s="1537"/>
      <c r="E442" s="1537"/>
      <c r="F442" s="1537"/>
      <c r="G442" s="2202" t="s">
        <v>6699</v>
      </c>
      <c r="H442" s="2202"/>
      <c r="I442" s="2202" t="s">
        <v>6700</v>
      </c>
      <c r="J442" s="2202"/>
      <c r="K442" s="2202"/>
      <c r="L442" s="615"/>
      <c r="M442" s="615"/>
    </row>
    <row r="443" spans="1:13" ht="22.5" x14ac:dyDescent="0.2">
      <c r="A443" s="2202" t="s">
        <v>6715</v>
      </c>
      <c r="B443" s="2202"/>
      <c r="C443" s="2202" t="s">
        <v>6701</v>
      </c>
      <c r="D443" s="2202" t="s">
        <v>6702</v>
      </c>
      <c r="E443" s="2202" t="s">
        <v>6703</v>
      </c>
      <c r="F443" s="2202" t="s">
        <v>6704</v>
      </c>
      <c r="G443" s="1557" t="s">
        <v>6705</v>
      </c>
      <c r="H443" s="1557" t="s">
        <v>6706</v>
      </c>
      <c r="I443" s="1557" t="s">
        <v>6707</v>
      </c>
      <c r="J443" s="1557" t="s">
        <v>6705</v>
      </c>
      <c r="K443" s="1557" t="s">
        <v>6706</v>
      </c>
      <c r="L443" s="615"/>
      <c r="M443" s="615"/>
    </row>
    <row r="444" spans="1:13" x14ac:dyDescent="0.2">
      <c r="A444" s="2202"/>
      <c r="B444" s="2202"/>
      <c r="C444" s="2202"/>
      <c r="D444" s="2202"/>
      <c r="E444" s="2202"/>
      <c r="F444" s="2202"/>
      <c r="G444" s="1557" t="s">
        <v>6708</v>
      </c>
      <c r="H444" s="1557" t="s">
        <v>6709</v>
      </c>
      <c r="I444" s="1557" t="s">
        <v>6710</v>
      </c>
      <c r="J444" s="1557" t="s">
        <v>6708</v>
      </c>
      <c r="K444" s="1557" t="s">
        <v>6709</v>
      </c>
      <c r="L444" s="615"/>
      <c r="M444" s="615"/>
    </row>
    <row r="445" spans="1:13" x14ac:dyDescent="0.2">
      <c r="A445" s="1557" t="s">
        <v>15041</v>
      </c>
      <c r="B445" s="1553" t="s">
        <v>9452</v>
      </c>
      <c r="C445" s="1541">
        <v>63</v>
      </c>
      <c r="D445" s="1541">
        <v>0.25</v>
      </c>
      <c r="E445" s="1544">
        <v>0.25</v>
      </c>
      <c r="F445" s="1550"/>
      <c r="G445" s="1539">
        <f>E445*D445</f>
        <v>6.25E-2</v>
      </c>
      <c r="H445" s="1539"/>
      <c r="I445" s="1539"/>
      <c r="J445" s="1539">
        <f>G445*C445</f>
        <v>3.9375</v>
      </c>
      <c r="K445" s="1539">
        <f>C445*H445</f>
        <v>0</v>
      </c>
      <c r="L445" s="1603"/>
      <c r="M445" s="615"/>
    </row>
    <row r="446" spans="1:13" x14ac:dyDescent="0.2">
      <c r="A446" s="1947" t="s">
        <v>15041</v>
      </c>
      <c r="B446" s="1553" t="s">
        <v>9453</v>
      </c>
      <c r="C446" s="1541">
        <v>114</v>
      </c>
      <c r="D446" s="1541">
        <v>0.25</v>
      </c>
      <c r="E446" s="1544">
        <v>0.25</v>
      </c>
      <c r="F446" s="1550"/>
      <c r="G446" s="1539">
        <f>E446*D446</f>
        <v>6.25E-2</v>
      </c>
      <c r="H446" s="1539"/>
      <c r="I446" s="1539"/>
      <c r="J446" s="1539">
        <f>G446*C446</f>
        <v>7.125</v>
      </c>
      <c r="K446" s="1539">
        <f>C446*H446</f>
        <v>0</v>
      </c>
      <c r="L446" s="1603"/>
      <c r="M446" s="615"/>
    </row>
    <row r="447" spans="1:13" x14ac:dyDescent="0.2">
      <c r="A447" s="1947" t="s">
        <v>15043</v>
      </c>
      <c r="B447" s="1553" t="s">
        <v>9454</v>
      </c>
      <c r="C447" s="1541">
        <v>13</v>
      </c>
      <c r="D447" s="1541">
        <v>0.25</v>
      </c>
      <c r="E447" s="1544">
        <v>0.25</v>
      </c>
      <c r="F447" s="1550"/>
      <c r="G447" s="1539">
        <f>E447*D447</f>
        <v>6.25E-2</v>
      </c>
      <c r="H447" s="1539"/>
      <c r="I447" s="1539"/>
      <c r="J447" s="1539">
        <f>G447*C447</f>
        <v>0.8125</v>
      </c>
      <c r="K447" s="1539">
        <f>C447*H447</f>
        <v>0</v>
      </c>
      <c r="L447" s="1603"/>
      <c r="M447" s="615"/>
    </row>
    <row r="448" spans="1:13" x14ac:dyDescent="0.2">
      <c r="A448" s="1947" t="s">
        <v>15043</v>
      </c>
      <c r="B448" s="1553" t="s">
        <v>9455</v>
      </c>
      <c r="C448" s="1541">
        <v>0</v>
      </c>
      <c r="D448" s="1541">
        <v>0.25</v>
      </c>
      <c r="E448" s="1544">
        <v>0.25</v>
      </c>
      <c r="F448" s="1550"/>
      <c r="G448" s="1539">
        <f>E448*D448</f>
        <v>6.25E-2</v>
      </c>
      <c r="H448" s="1539"/>
      <c r="I448" s="1539"/>
      <c r="J448" s="1539">
        <f>G448*C448</f>
        <v>0</v>
      </c>
      <c r="K448" s="1539">
        <f>C448*H448</f>
        <v>0</v>
      </c>
      <c r="L448" s="1603"/>
      <c r="M448" s="615"/>
    </row>
    <row r="449" spans="1:13" x14ac:dyDescent="0.2">
      <c r="A449" s="1547"/>
      <c r="B449" s="1548"/>
      <c r="C449" s="1548"/>
      <c r="D449" s="1548"/>
      <c r="E449" s="1548"/>
      <c r="F449" s="2200" t="s">
        <v>6711</v>
      </c>
      <c r="G449" s="2200"/>
      <c r="H449" s="2200"/>
      <c r="I449" s="1549"/>
      <c r="J449" s="1549">
        <f>ROUND(SUM(J445:J446),2)</f>
        <v>11.06</v>
      </c>
      <c r="K449" s="1549"/>
      <c r="L449" s="615"/>
      <c r="M449" s="615"/>
    </row>
    <row r="450" spans="1:13" x14ac:dyDescent="0.2">
      <c r="A450" s="1557"/>
      <c r="B450" s="2201"/>
      <c r="C450" s="2201"/>
      <c r="D450" s="2201"/>
      <c r="E450" s="2201"/>
      <c r="F450" s="2201"/>
      <c r="G450" s="2201"/>
      <c r="H450" s="2201"/>
      <c r="I450" s="2201"/>
      <c r="J450" s="2201"/>
      <c r="K450" s="1557"/>
      <c r="L450" s="615"/>
      <c r="M450" s="615"/>
    </row>
    <row r="451" spans="1:13" ht="25.5" x14ac:dyDescent="0.2">
      <c r="A451" s="1835" t="str">
        <f>'Orç - Prédio'!A175</f>
        <v>04.01.531.01</v>
      </c>
      <c r="B451" s="2207" t="str">
        <f>'Orç - Prédio'!D175</f>
        <v>Chapisco aplicado em fachada, com colher de pedreiro, argamassa traço 1:3 com preparo mecânico</v>
      </c>
      <c r="C451" s="2207"/>
      <c r="D451" s="2207"/>
      <c r="E451" s="2207"/>
      <c r="F451" s="2207"/>
      <c r="G451" s="2207"/>
      <c r="H451" s="2207"/>
      <c r="I451" s="2207"/>
      <c r="J451" s="2207"/>
      <c r="K451" s="1836" t="str">
        <f>'Orç - Prédio'!F175</f>
        <v>m2</v>
      </c>
      <c r="L451" s="1837" t="s">
        <v>15154</v>
      </c>
    </row>
    <row r="452" spans="1:13" x14ac:dyDescent="0.2">
      <c r="A452" s="2202"/>
      <c r="B452" s="2202"/>
      <c r="C452" s="1537"/>
      <c r="D452" s="1537"/>
      <c r="E452" s="1537"/>
      <c r="F452" s="1537"/>
      <c r="G452" s="2202" t="s">
        <v>6699</v>
      </c>
      <c r="H452" s="2202"/>
      <c r="I452" s="2202" t="s">
        <v>6700</v>
      </c>
      <c r="J452" s="2202"/>
      <c r="K452" s="2202"/>
      <c r="L452" s="615"/>
      <c r="M452" s="615"/>
    </row>
    <row r="453" spans="1:13" ht="22.5" x14ac:dyDescent="0.2">
      <c r="A453" s="2202" t="s">
        <v>6715</v>
      </c>
      <c r="B453" s="2202"/>
      <c r="C453" s="2202" t="s">
        <v>6701</v>
      </c>
      <c r="D453" s="2202" t="s">
        <v>6702</v>
      </c>
      <c r="E453" s="2202" t="s">
        <v>6703</v>
      </c>
      <c r="F453" s="2202" t="s">
        <v>6704</v>
      </c>
      <c r="G453" s="1557" t="s">
        <v>6705</v>
      </c>
      <c r="H453" s="1557" t="s">
        <v>6706</v>
      </c>
      <c r="I453" s="1557" t="s">
        <v>6707</v>
      </c>
      <c r="J453" s="1557" t="s">
        <v>6705</v>
      </c>
      <c r="K453" s="1557" t="s">
        <v>6706</v>
      </c>
      <c r="L453" s="615"/>
      <c r="M453" s="615"/>
    </row>
    <row r="454" spans="1:13" x14ac:dyDescent="0.2">
      <c r="A454" s="2202"/>
      <c r="B454" s="2202"/>
      <c r="C454" s="2202"/>
      <c r="D454" s="2202"/>
      <c r="E454" s="2202"/>
      <c r="F454" s="2202"/>
      <c r="G454" s="1557" t="s">
        <v>6708</v>
      </c>
      <c r="H454" s="1557" t="s">
        <v>6709</v>
      </c>
      <c r="I454" s="1557" t="s">
        <v>6710</v>
      </c>
      <c r="J454" s="1557" t="s">
        <v>6708</v>
      </c>
      <c r="K454" s="1557" t="s">
        <v>6709</v>
      </c>
      <c r="L454" s="615"/>
      <c r="M454" s="615"/>
    </row>
    <row r="455" spans="1:13" ht="22.5" x14ac:dyDescent="0.2">
      <c r="A455" s="1557"/>
      <c r="B455" s="1553" t="s">
        <v>6762</v>
      </c>
      <c r="C455" s="1541">
        <v>1</v>
      </c>
      <c r="D455" s="1541"/>
      <c r="E455" s="1544"/>
      <c r="F455" s="1550"/>
      <c r="G455" s="1558">
        <v>297.90749999999997</v>
      </c>
      <c r="H455" s="1539"/>
      <c r="I455" s="1539"/>
      <c r="J455" s="1539">
        <f>G455*C455</f>
        <v>297.90749999999997</v>
      </c>
      <c r="K455" s="1539">
        <f>C455*H455</f>
        <v>0</v>
      </c>
      <c r="L455" s="1603"/>
      <c r="M455" s="615"/>
    </row>
    <row r="456" spans="1:13" ht="22.5" x14ac:dyDescent="0.2">
      <c r="A456" s="1557"/>
      <c r="B456" s="1553" t="s">
        <v>6763</v>
      </c>
      <c r="C456" s="1541">
        <v>1</v>
      </c>
      <c r="D456" s="1541"/>
      <c r="E456" s="1544"/>
      <c r="F456" s="1550"/>
      <c r="G456" s="1539">
        <v>278.07</v>
      </c>
      <c r="H456" s="1539"/>
      <c r="I456" s="1539"/>
      <c r="J456" s="1539">
        <f>G456*C456</f>
        <v>278.07</v>
      </c>
      <c r="K456" s="1539">
        <f>C456*H456</f>
        <v>0</v>
      </c>
      <c r="L456" s="1603"/>
      <c r="M456" s="615"/>
    </row>
    <row r="457" spans="1:13" ht="22.5" x14ac:dyDescent="0.2">
      <c r="A457" s="1557"/>
      <c r="B457" s="1553" t="s">
        <v>6764</v>
      </c>
      <c r="C457" s="1541">
        <v>1</v>
      </c>
      <c r="D457" s="1541"/>
      <c r="E457" s="1544"/>
      <c r="F457" s="1550"/>
      <c r="G457" s="1539">
        <v>355.60999999999996</v>
      </c>
      <c r="H457" s="1539"/>
      <c r="I457" s="1539"/>
      <c r="J457" s="1539">
        <f>G457*C457</f>
        <v>355.60999999999996</v>
      </c>
      <c r="K457" s="1539">
        <f>C457*H457</f>
        <v>0</v>
      </c>
      <c r="L457" s="1603"/>
      <c r="M457" s="615"/>
    </row>
    <row r="458" spans="1:13" x14ac:dyDescent="0.2">
      <c r="A458" s="1547"/>
      <c r="B458" s="1548"/>
      <c r="C458" s="1548"/>
      <c r="D458" s="1548"/>
      <c r="E458" s="1548"/>
      <c r="F458" s="2200" t="s">
        <v>6711</v>
      </c>
      <c r="G458" s="2200"/>
      <c r="H458" s="2200"/>
      <c r="I458" s="1549">
        <f>ROUND(SUM(I455:I457),2)</f>
        <v>0</v>
      </c>
      <c r="J458" s="1549">
        <f>ROUND(SUM(J455:J457),2)</f>
        <v>931.59</v>
      </c>
      <c r="K458" s="1549">
        <f>ROUND(SUM(K455:K457),2)</f>
        <v>0</v>
      </c>
      <c r="L458" s="615"/>
      <c r="M458" s="615"/>
    </row>
    <row r="459" spans="1:13" x14ac:dyDescent="0.2">
      <c r="A459" s="1557"/>
      <c r="B459" s="2201"/>
      <c r="C459" s="2201"/>
      <c r="D459" s="2201"/>
      <c r="E459" s="2201"/>
      <c r="F459" s="2201"/>
      <c r="G459" s="2201"/>
      <c r="H459" s="2201"/>
      <c r="I459" s="2201"/>
      <c r="J459" s="2201"/>
      <c r="K459" s="1557"/>
      <c r="L459" s="615"/>
      <c r="M459" s="615"/>
    </row>
    <row r="460" spans="1:13" ht="25.5" x14ac:dyDescent="0.2">
      <c r="A460" s="1835" t="str">
        <f>'Orç - Prédio'!A176</f>
        <v>04.01.531.02</v>
      </c>
      <c r="B460" s="2207" t="str">
        <f>'Orç - Prédio'!D176</f>
        <v>Chapisco aplicado em paredes internas, com colher de pedreiro, argamassa traço 1:3 com preparo mecânico</v>
      </c>
      <c r="C460" s="2207"/>
      <c r="D460" s="2207"/>
      <c r="E460" s="2207"/>
      <c r="F460" s="2207"/>
      <c r="G460" s="2207"/>
      <c r="H460" s="2207"/>
      <c r="I460" s="2207"/>
      <c r="J460" s="2207"/>
      <c r="K460" s="1836" t="str">
        <f>'Orç - Prédio'!F176</f>
        <v>m2</v>
      </c>
      <c r="L460" s="1837" t="s">
        <v>15154</v>
      </c>
    </row>
    <row r="461" spans="1:13" x14ac:dyDescent="0.2">
      <c r="A461" s="2202"/>
      <c r="B461" s="2202"/>
      <c r="C461" s="1537"/>
      <c r="D461" s="1537"/>
      <c r="E461" s="1537"/>
      <c r="F461" s="1537"/>
      <c r="G461" s="2202" t="s">
        <v>6699</v>
      </c>
      <c r="H461" s="2202"/>
      <c r="I461" s="2202" t="s">
        <v>6700</v>
      </c>
      <c r="J461" s="2202"/>
      <c r="K461" s="2202"/>
      <c r="L461" s="615"/>
      <c r="M461" s="615"/>
    </row>
    <row r="462" spans="1:13" ht="22.5" x14ac:dyDescent="0.2">
      <c r="A462" s="2202" t="s">
        <v>6715</v>
      </c>
      <c r="B462" s="2202"/>
      <c r="C462" s="2202" t="s">
        <v>6701</v>
      </c>
      <c r="D462" s="2202" t="s">
        <v>6702</v>
      </c>
      <c r="E462" s="2202" t="s">
        <v>6703</v>
      </c>
      <c r="F462" s="2202" t="s">
        <v>6704</v>
      </c>
      <c r="G462" s="1557" t="s">
        <v>6705</v>
      </c>
      <c r="H462" s="1557" t="s">
        <v>6706</v>
      </c>
      <c r="I462" s="1557" t="s">
        <v>6707</v>
      </c>
      <c r="J462" s="1557" t="s">
        <v>6705</v>
      </c>
      <c r="K462" s="1557" t="s">
        <v>6706</v>
      </c>
      <c r="L462" s="615"/>
      <c r="M462" s="615"/>
    </row>
    <row r="463" spans="1:13" x14ac:dyDescent="0.2">
      <c r="A463" s="2202"/>
      <c r="B463" s="2202"/>
      <c r="C463" s="2202"/>
      <c r="D463" s="2202"/>
      <c r="E463" s="2202"/>
      <c r="F463" s="2202"/>
      <c r="G463" s="1557" t="s">
        <v>6708</v>
      </c>
      <c r="H463" s="1557" t="s">
        <v>6709</v>
      </c>
      <c r="I463" s="1557" t="s">
        <v>6710</v>
      </c>
      <c r="J463" s="1557" t="s">
        <v>6708</v>
      </c>
      <c r="K463" s="1557" t="s">
        <v>6709</v>
      </c>
      <c r="L463" s="615"/>
      <c r="M463" s="615"/>
    </row>
    <row r="464" spans="1:13" ht="22.5" x14ac:dyDescent="0.2">
      <c r="A464" s="1557"/>
      <c r="B464" s="1553" t="s">
        <v>6765</v>
      </c>
      <c r="C464" s="1541">
        <v>1</v>
      </c>
      <c r="D464" s="1541"/>
      <c r="E464" s="1544"/>
      <c r="F464" s="1550"/>
      <c r="G464" s="1558">
        <f>J265</f>
        <v>931.59</v>
      </c>
      <c r="H464" s="1539"/>
      <c r="I464" s="1539"/>
      <c r="J464" s="1539">
        <f>G464*C464</f>
        <v>931.59</v>
      </c>
      <c r="K464" s="1539">
        <f>C464*H464</f>
        <v>0</v>
      </c>
      <c r="L464" s="1603"/>
      <c r="M464" s="615"/>
    </row>
    <row r="465" spans="1:13" x14ac:dyDescent="0.2">
      <c r="A465" s="1557"/>
      <c r="B465" s="1553" t="s">
        <v>6766</v>
      </c>
      <c r="C465" s="1541">
        <v>2</v>
      </c>
      <c r="D465" s="1541"/>
      <c r="E465" s="1544"/>
      <c r="F465" s="1550"/>
      <c r="G465" s="1539">
        <f>J256</f>
        <v>1031.28</v>
      </c>
      <c r="H465" s="1539"/>
      <c r="I465" s="1539"/>
      <c r="J465" s="1539">
        <f>G465*C465</f>
        <v>2062.56</v>
      </c>
      <c r="K465" s="1539">
        <f>C465*H465</f>
        <v>0</v>
      </c>
      <c r="L465" s="1603"/>
      <c r="M465" s="615"/>
    </row>
    <row r="466" spans="1:13" x14ac:dyDescent="0.2">
      <c r="A466" s="1557"/>
      <c r="B466" s="1553" t="s">
        <v>6767</v>
      </c>
      <c r="C466" s="1541">
        <v>2</v>
      </c>
      <c r="D466" s="1541"/>
      <c r="E466" s="1544"/>
      <c r="F466" s="1550"/>
      <c r="G466" s="1539">
        <f>J273</f>
        <v>33.5</v>
      </c>
      <c r="H466" s="1539"/>
      <c r="I466" s="1539"/>
      <c r="J466" s="1539">
        <f>G466*C466</f>
        <v>67</v>
      </c>
      <c r="K466" s="1539">
        <f>C466*H466</f>
        <v>0</v>
      </c>
      <c r="L466" s="1603"/>
      <c r="M466" s="615"/>
    </row>
    <row r="467" spans="1:13" x14ac:dyDescent="0.2">
      <c r="A467" s="1547"/>
      <c r="B467" s="1548"/>
      <c r="C467" s="1548"/>
      <c r="D467" s="1548"/>
      <c r="E467" s="1548"/>
      <c r="F467" s="2200" t="s">
        <v>6711</v>
      </c>
      <c r="G467" s="2200"/>
      <c r="H467" s="2200"/>
      <c r="I467" s="1549">
        <f>ROUND(SUM(I464:I466),2)</f>
        <v>0</v>
      </c>
      <c r="J467" s="1549">
        <f>ROUND(SUM(J464:J466),2)</f>
        <v>3061.15</v>
      </c>
      <c r="K467" s="1549">
        <f>ROUND(SUM(K464:K466),2)</f>
        <v>0</v>
      </c>
      <c r="L467" s="615"/>
      <c r="M467" s="615"/>
    </row>
    <row r="468" spans="1:13" x14ac:dyDescent="0.2">
      <c r="A468" s="1557"/>
      <c r="B468" s="2201"/>
      <c r="C468" s="2201"/>
      <c r="D468" s="2201"/>
      <c r="E468" s="2201"/>
      <c r="F468" s="2201"/>
      <c r="G468" s="2201"/>
      <c r="H468" s="2201"/>
      <c r="I468" s="2201"/>
      <c r="J468" s="2201"/>
      <c r="K468" s="1557"/>
      <c r="L468" s="615"/>
      <c r="M468" s="615"/>
    </row>
    <row r="469" spans="1:13" ht="25.5" x14ac:dyDescent="0.2">
      <c r="A469" s="1835" t="str">
        <f>'Orç - Prédio'!A177</f>
        <v>04.01.532</v>
      </c>
      <c r="B469" s="2207" t="str">
        <f>'Orç - Prédio'!D177</f>
        <v xml:space="preserve">Emboço/massa única, traço 1:2:8, preparo mecânico, aplicado manualmente </v>
      </c>
      <c r="C469" s="2207"/>
      <c r="D469" s="2207"/>
      <c r="E469" s="2207"/>
      <c r="F469" s="2207"/>
      <c r="G469" s="2207"/>
      <c r="H469" s="2207"/>
      <c r="I469" s="2207"/>
      <c r="J469" s="2207"/>
      <c r="K469" s="1836" t="str">
        <f>'Orç - Prédio'!F177</f>
        <v>m2</v>
      </c>
      <c r="L469" s="1837" t="s">
        <v>15154</v>
      </c>
    </row>
    <row r="470" spans="1:13" x14ac:dyDescent="0.2">
      <c r="A470" s="2202"/>
      <c r="B470" s="2202"/>
      <c r="C470" s="1537"/>
      <c r="D470" s="1537"/>
      <c r="E470" s="1537"/>
      <c r="F470" s="1537"/>
      <c r="G470" s="2202" t="s">
        <v>6699</v>
      </c>
      <c r="H470" s="2202"/>
      <c r="I470" s="2202" t="s">
        <v>6700</v>
      </c>
      <c r="J470" s="2202"/>
      <c r="K470" s="2202"/>
      <c r="L470" s="615"/>
      <c r="M470" s="615"/>
    </row>
    <row r="471" spans="1:13" ht="22.5" x14ac:dyDescent="0.2">
      <c r="A471" s="2202" t="s">
        <v>6715</v>
      </c>
      <c r="B471" s="2202"/>
      <c r="C471" s="2202" t="s">
        <v>6701</v>
      </c>
      <c r="D471" s="2202" t="s">
        <v>6702</v>
      </c>
      <c r="E471" s="2202" t="s">
        <v>6703</v>
      </c>
      <c r="F471" s="2202" t="s">
        <v>6704</v>
      </c>
      <c r="G471" s="1557" t="s">
        <v>6705</v>
      </c>
      <c r="H471" s="1557" t="s">
        <v>6706</v>
      </c>
      <c r="I471" s="1557" t="s">
        <v>6707</v>
      </c>
      <c r="J471" s="1557" t="s">
        <v>6705</v>
      </c>
      <c r="K471" s="1557" t="s">
        <v>6706</v>
      </c>
      <c r="L471" s="615"/>
      <c r="M471" s="615"/>
    </row>
    <row r="472" spans="1:13" x14ac:dyDescent="0.2">
      <c r="A472" s="2202"/>
      <c r="B472" s="2202"/>
      <c r="C472" s="2202"/>
      <c r="D472" s="2202"/>
      <c r="E472" s="2202"/>
      <c r="F472" s="2202"/>
      <c r="G472" s="1557" t="s">
        <v>6708</v>
      </c>
      <c r="H472" s="1557" t="s">
        <v>6709</v>
      </c>
      <c r="I472" s="1557" t="s">
        <v>6710</v>
      </c>
      <c r="J472" s="1557" t="s">
        <v>6708</v>
      </c>
      <c r="K472" s="1557" t="s">
        <v>6709</v>
      </c>
      <c r="L472" s="615"/>
      <c r="M472" s="615"/>
    </row>
    <row r="473" spans="1:13" ht="22.5" x14ac:dyDescent="0.2">
      <c r="A473" s="1557"/>
      <c r="B473" s="1553" t="s">
        <v>6768</v>
      </c>
      <c r="C473" s="1541">
        <v>1</v>
      </c>
      <c r="D473" s="1541"/>
      <c r="E473" s="1544"/>
      <c r="F473" s="1550"/>
      <c r="G473" s="1558">
        <f>J458</f>
        <v>931.59</v>
      </c>
      <c r="H473" s="1539"/>
      <c r="I473" s="1539"/>
      <c r="J473" s="1539">
        <f>G473*C473</f>
        <v>931.59</v>
      </c>
      <c r="K473" s="1539">
        <f>C473*H473</f>
        <v>0</v>
      </c>
      <c r="L473" s="1603"/>
      <c r="M473" s="615"/>
    </row>
    <row r="474" spans="1:13" ht="22.5" x14ac:dyDescent="0.2">
      <c r="A474" s="1557"/>
      <c r="B474" s="1553" t="s">
        <v>6769</v>
      </c>
      <c r="C474" s="1541">
        <v>1</v>
      </c>
      <c r="D474" s="1541"/>
      <c r="E474" s="1544"/>
      <c r="F474" s="1550"/>
      <c r="G474" s="1539">
        <f>J467</f>
        <v>3061.15</v>
      </c>
      <c r="H474" s="1539"/>
      <c r="I474" s="1539"/>
      <c r="J474" s="1539">
        <f>G474*C474</f>
        <v>3061.15</v>
      </c>
      <c r="K474" s="1539">
        <f>C474*H474</f>
        <v>0</v>
      </c>
      <c r="L474" s="1603"/>
      <c r="M474" s="615"/>
    </row>
    <row r="475" spans="1:13" ht="22.5" x14ac:dyDescent="0.2">
      <c r="A475" s="1557"/>
      <c r="B475" s="1553" t="s">
        <v>6770</v>
      </c>
      <c r="C475" s="1541">
        <v>1</v>
      </c>
      <c r="D475" s="1541"/>
      <c r="E475" s="1544"/>
      <c r="F475" s="1550"/>
      <c r="G475" s="1539">
        <f>-J498</f>
        <v>-32.950000000000003</v>
      </c>
      <c r="H475" s="1539"/>
      <c r="I475" s="1539"/>
      <c r="J475" s="1539">
        <f>G475*C475</f>
        <v>-32.950000000000003</v>
      </c>
      <c r="K475" s="1539">
        <f>C475*H475</f>
        <v>0</v>
      </c>
      <c r="L475" s="1603"/>
      <c r="M475" s="615"/>
    </row>
    <row r="476" spans="1:13" x14ac:dyDescent="0.2">
      <c r="A476" s="1547"/>
      <c r="B476" s="1548"/>
      <c r="C476" s="1548"/>
      <c r="D476" s="1548"/>
      <c r="E476" s="1548"/>
      <c r="F476" s="2200" t="s">
        <v>6711</v>
      </c>
      <c r="G476" s="2200"/>
      <c r="H476" s="2200"/>
      <c r="I476" s="1549">
        <f>ROUND(SUM(I473:I475),2)</f>
        <v>0</v>
      </c>
      <c r="J476" s="1549">
        <f>ROUND(SUM(J473:J475),2)</f>
        <v>3959.79</v>
      </c>
      <c r="K476" s="1549">
        <f>ROUND(SUM(K473:K475),2)</f>
        <v>0</v>
      </c>
      <c r="L476" s="615"/>
      <c r="M476" s="615"/>
    </row>
    <row r="477" spans="1:13" x14ac:dyDescent="0.2">
      <c r="A477" s="1557"/>
      <c r="B477" s="2201"/>
      <c r="C477" s="2201"/>
      <c r="D477" s="2201"/>
      <c r="E477" s="2201"/>
      <c r="F477" s="2201"/>
      <c r="G477" s="2201"/>
      <c r="H477" s="2201"/>
      <c r="I477" s="2201"/>
      <c r="J477" s="2201"/>
      <c r="K477" s="1557"/>
      <c r="L477" s="615"/>
      <c r="M477" s="615"/>
    </row>
    <row r="478" spans="1:13" ht="25.5" x14ac:dyDescent="0.2">
      <c r="A478" s="1835" t="str">
        <f>'Orç - Prédio'!A178</f>
        <v>04.01.534</v>
      </c>
      <c r="B478" s="2207" t="str">
        <f>'Orç - Prédio'!D178</f>
        <v>Revestimento cerâmico para paredes internas, meia parede ou parede inteira, com placas grês ou semi-grês 15x15 cm</v>
      </c>
      <c r="C478" s="2207"/>
      <c r="D478" s="2207"/>
      <c r="E478" s="2207"/>
      <c r="F478" s="2207"/>
      <c r="G478" s="2207"/>
      <c r="H478" s="2207"/>
      <c r="I478" s="2207"/>
      <c r="J478" s="2207"/>
      <c r="K478" s="1836" t="str">
        <f>'Orç - Prédio'!F178</f>
        <v>m2</v>
      </c>
      <c r="L478" s="1837" t="s">
        <v>15154</v>
      </c>
    </row>
    <row r="479" spans="1:13" x14ac:dyDescent="0.2">
      <c r="A479" s="2202"/>
      <c r="B479" s="2202"/>
      <c r="C479" s="1537"/>
      <c r="D479" s="1537"/>
      <c r="E479" s="1537"/>
      <c r="F479" s="1537"/>
      <c r="G479" s="2202" t="s">
        <v>6699</v>
      </c>
      <c r="H479" s="2202"/>
      <c r="I479" s="2202" t="s">
        <v>6700</v>
      </c>
      <c r="J479" s="2202"/>
      <c r="K479" s="2202"/>
      <c r="L479" s="615"/>
      <c r="M479" s="615"/>
    </row>
    <row r="480" spans="1:13" ht="22.5" x14ac:dyDescent="0.2">
      <c r="A480" s="2202" t="s">
        <v>6715</v>
      </c>
      <c r="B480" s="2202"/>
      <c r="C480" s="2202" t="s">
        <v>6701</v>
      </c>
      <c r="D480" s="2202" t="s">
        <v>6703</v>
      </c>
      <c r="E480" s="2202" t="s">
        <v>6953</v>
      </c>
      <c r="F480" s="2202" t="s">
        <v>6704</v>
      </c>
      <c r="G480" s="1557" t="s">
        <v>6705</v>
      </c>
      <c r="H480" s="1557" t="s">
        <v>6706</v>
      </c>
      <c r="I480" s="1557" t="s">
        <v>6707</v>
      </c>
      <c r="J480" s="1557" t="s">
        <v>6705</v>
      </c>
      <c r="K480" s="1557" t="s">
        <v>6706</v>
      </c>
      <c r="L480" s="615"/>
      <c r="M480" s="615"/>
    </row>
    <row r="481" spans="1:13" x14ac:dyDescent="0.2">
      <c r="A481" s="2202"/>
      <c r="B481" s="2202"/>
      <c r="C481" s="2202"/>
      <c r="D481" s="2202"/>
      <c r="E481" s="2202"/>
      <c r="F481" s="2202"/>
      <c r="G481" s="1557" t="s">
        <v>6708</v>
      </c>
      <c r="H481" s="1557" t="s">
        <v>6709</v>
      </c>
      <c r="I481" s="1557" t="s">
        <v>6710</v>
      </c>
      <c r="J481" s="1557" t="s">
        <v>6708</v>
      </c>
      <c r="K481" s="1557" t="s">
        <v>6709</v>
      </c>
      <c r="L481" s="615"/>
      <c r="M481" s="615"/>
    </row>
    <row r="482" spans="1:13" ht="22.5" x14ac:dyDescent="0.2">
      <c r="A482" s="1557"/>
      <c r="B482" s="1553" t="s">
        <v>6948</v>
      </c>
      <c r="C482" s="1541">
        <v>2</v>
      </c>
      <c r="D482" s="1541"/>
      <c r="E482" s="1544">
        <v>19.2</v>
      </c>
      <c r="F482" s="1550">
        <v>2.75</v>
      </c>
      <c r="G482" s="1558">
        <f t="shared" ref="G482:G487" si="30">F482*E482</f>
        <v>52.8</v>
      </c>
      <c r="H482" s="1539"/>
      <c r="I482" s="1539"/>
      <c r="J482" s="1539">
        <f t="shared" ref="J482:J490" si="31">G482*C482</f>
        <v>105.6</v>
      </c>
      <c r="K482" s="1539">
        <f t="shared" ref="K482:K490" si="32">C482*H482</f>
        <v>0</v>
      </c>
      <c r="L482" s="1603"/>
      <c r="M482" s="615"/>
    </row>
    <row r="483" spans="1:13" ht="22.5" x14ac:dyDescent="0.2">
      <c r="A483" s="1557"/>
      <c r="B483" s="1553" t="s">
        <v>6947</v>
      </c>
      <c r="C483" s="1541">
        <v>2</v>
      </c>
      <c r="D483" s="1541"/>
      <c r="E483" s="1544">
        <v>19.2</v>
      </c>
      <c r="F483" s="1550">
        <v>2.75</v>
      </c>
      <c r="G483" s="1558">
        <f t="shared" si="30"/>
        <v>52.8</v>
      </c>
      <c r="H483" s="1539"/>
      <c r="I483" s="1539"/>
      <c r="J483" s="1539">
        <f t="shared" si="31"/>
        <v>105.6</v>
      </c>
      <c r="K483" s="1539">
        <f t="shared" si="32"/>
        <v>0</v>
      </c>
      <c r="L483" s="1603"/>
      <c r="M483" s="615"/>
    </row>
    <row r="484" spans="1:13" ht="22.5" x14ac:dyDescent="0.2">
      <c r="A484" s="1600"/>
      <c r="B484" s="1553" t="s">
        <v>6949</v>
      </c>
      <c r="C484" s="1541">
        <v>2</v>
      </c>
      <c r="D484" s="1541"/>
      <c r="E484" s="1544">
        <v>10.9</v>
      </c>
      <c r="F484" s="1550">
        <v>2.75</v>
      </c>
      <c r="G484" s="1558">
        <f t="shared" si="30"/>
        <v>29.975000000000001</v>
      </c>
      <c r="H484" s="1539"/>
      <c r="I484" s="1539"/>
      <c r="J484" s="1539">
        <f t="shared" si="31"/>
        <v>59.95</v>
      </c>
      <c r="K484" s="1539">
        <f t="shared" si="32"/>
        <v>0</v>
      </c>
      <c r="L484" s="1603"/>
      <c r="M484" s="615"/>
    </row>
    <row r="485" spans="1:13" ht="22.5" x14ac:dyDescent="0.2">
      <c r="A485" s="1600"/>
      <c r="B485" s="1553" t="s">
        <v>6950</v>
      </c>
      <c r="C485" s="1541">
        <v>2</v>
      </c>
      <c r="D485" s="1541"/>
      <c r="E485" s="1544">
        <v>10.9</v>
      </c>
      <c r="F485" s="1550">
        <v>2.75</v>
      </c>
      <c r="G485" s="1558">
        <f t="shared" si="30"/>
        <v>29.975000000000001</v>
      </c>
      <c r="H485" s="1539"/>
      <c r="I485" s="1539"/>
      <c r="J485" s="1539">
        <f t="shared" si="31"/>
        <v>59.95</v>
      </c>
      <c r="K485" s="1539">
        <f t="shared" si="32"/>
        <v>0</v>
      </c>
      <c r="L485" s="1603"/>
      <c r="M485" s="615"/>
    </row>
    <row r="486" spans="1:13" x14ac:dyDescent="0.2">
      <c r="A486" s="1600"/>
      <c r="B486" s="1553" t="s">
        <v>6951</v>
      </c>
      <c r="C486" s="1541">
        <v>1</v>
      </c>
      <c r="D486" s="1541"/>
      <c r="E486" s="1544">
        <v>8.44</v>
      </c>
      <c r="F486" s="1550">
        <v>2.75</v>
      </c>
      <c r="G486" s="1558">
        <f t="shared" si="30"/>
        <v>23.209999999999997</v>
      </c>
      <c r="H486" s="1539"/>
      <c r="I486" s="1539"/>
      <c r="J486" s="1539">
        <f t="shared" si="31"/>
        <v>23.209999999999997</v>
      </c>
      <c r="K486" s="1539">
        <f t="shared" si="32"/>
        <v>0</v>
      </c>
      <c r="L486" s="1603"/>
      <c r="M486" s="615"/>
    </row>
    <row r="487" spans="1:13" x14ac:dyDescent="0.2">
      <c r="A487" s="1557"/>
      <c r="B487" s="1553" t="s">
        <v>6952</v>
      </c>
      <c r="C487" s="1541">
        <v>1</v>
      </c>
      <c r="D487" s="1541"/>
      <c r="E487" s="1544">
        <v>9.7100000000000009</v>
      </c>
      <c r="F487" s="1550">
        <v>2.75</v>
      </c>
      <c r="G487" s="1558">
        <f t="shared" si="30"/>
        <v>26.702500000000001</v>
      </c>
      <c r="H487" s="1539"/>
      <c r="I487" s="1539"/>
      <c r="J487" s="1539">
        <f t="shared" si="31"/>
        <v>26.702500000000001</v>
      </c>
      <c r="K487" s="1539">
        <f t="shared" si="32"/>
        <v>0</v>
      </c>
      <c r="L487" s="1603"/>
      <c r="M487" s="615"/>
    </row>
    <row r="488" spans="1:13" x14ac:dyDescent="0.2">
      <c r="A488" s="1600"/>
      <c r="B488" s="1553" t="s">
        <v>6955</v>
      </c>
      <c r="C488" s="1541">
        <v>6</v>
      </c>
      <c r="D488" s="1541">
        <v>0.9</v>
      </c>
      <c r="E488" s="1544"/>
      <c r="F488" s="1550">
        <v>2.1</v>
      </c>
      <c r="G488" s="1539">
        <f>-F488*D488</f>
        <v>-1.8900000000000001</v>
      </c>
      <c r="H488" s="1539"/>
      <c r="I488" s="1539"/>
      <c r="J488" s="1539">
        <f t="shared" si="31"/>
        <v>-11.34</v>
      </c>
      <c r="K488" s="1539">
        <f t="shared" si="32"/>
        <v>0</v>
      </c>
      <c r="L488" s="1603"/>
      <c r="M488" s="615"/>
    </row>
    <row r="489" spans="1:13" x14ac:dyDescent="0.2">
      <c r="A489" s="1600"/>
      <c r="B489" s="1553" t="s">
        <v>6954</v>
      </c>
      <c r="C489" s="1541">
        <v>4</v>
      </c>
      <c r="D489" s="1541">
        <v>0.9</v>
      </c>
      <c r="E489" s="1544"/>
      <c r="F489" s="1550">
        <v>2.1</v>
      </c>
      <c r="G489" s="1539">
        <f>-F489*D489</f>
        <v>-1.8900000000000001</v>
      </c>
      <c r="H489" s="1539"/>
      <c r="I489" s="1539"/>
      <c r="J489" s="1539">
        <f t="shared" si="31"/>
        <v>-7.5600000000000005</v>
      </c>
      <c r="K489" s="1539">
        <f t="shared" si="32"/>
        <v>0</v>
      </c>
      <c r="L489" s="1603"/>
      <c r="M489" s="615"/>
    </row>
    <row r="490" spans="1:13" x14ac:dyDescent="0.2">
      <c r="A490" s="1600"/>
      <c r="B490" s="1553" t="s">
        <v>6956</v>
      </c>
      <c r="C490" s="1541">
        <v>4</v>
      </c>
      <c r="D490" s="1541">
        <v>3.35</v>
      </c>
      <c r="E490" s="1544"/>
      <c r="F490" s="1550">
        <v>0.95</v>
      </c>
      <c r="G490" s="1539">
        <f>-F490*D490</f>
        <v>-3.1825000000000001</v>
      </c>
      <c r="H490" s="1539"/>
      <c r="I490" s="1539"/>
      <c r="J490" s="1539">
        <f t="shared" si="31"/>
        <v>-12.73</v>
      </c>
      <c r="K490" s="1539">
        <f t="shared" si="32"/>
        <v>0</v>
      </c>
      <c r="L490" s="1603"/>
      <c r="M490" s="615"/>
    </row>
    <row r="491" spans="1:13" x14ac:dyDescent="0.2">
      <c r="A491" s="1547"/>
      <c r="B491" s="1548"/>
      <c r="C491" s="1548"/>
      <c r="D491" s="1548"/>
      <c r="E491" s="1548"/>
      <c r="F491" s="2200" t="s">
        <v>6711</v>
      </c>
      <c r="G491" s="2200"/>
      <c r="H491" s="2200"/>
      <c r="I491" s="1549">
        <f>ROUND(SUM(I482:I487),2)</f>
        <v>0</v>
      </c>
      <c r="J491" s="1549">
        <f>ROUND(SUM(J482:J490),2)</f>
        <v>349.38</v>
      </c>
      <c r="K491" s="1549">
        <f>ROUND(SUM(K482:K487),2)</f>
        <v>0</v>
      </c>
      <c r="L491" s="615"/>
      <c r="M491" s="615"/>
    </row>
    <row r="492" spans="1:13" x14ac:dyDescent="0.2">
      <c r="A492" s="1557"/>
      <c r="B492" s="2201"/>
      <c r="C492" s="2201"/>
      <c r="D492" s="2201"/>
      <c r="E492" s="2201"/>
      <c r="F492" s="2201"/>
      <c r="G492" s="2201"/>
      <c r="H492" s="2201"/>
      <c r="I492" s="2201"/>
      <c r="J492" s="2201"/>
      <c r="K492" s="1557"/>
      <c r="L492" s="615"/>
      <c r="M492" s="615"/>
    </row>
    <row r="493" spans="1:13" ht="25.5" x14ac:dyDescent="0.2">
      <c r="A493" s="1835" t="str">
        <f>'Orç - Prédio'!A179</f>
        <v>04.01.546</v>
      </c>
      <c r="B493" s="2207" t="str">
        <f>'Orç - Prédio'!D179</f>
        <v>Revestimento de paredes em argamassa baritada, espessura de 4,0cm, aplicação em 2 camadas sucessivas de 2,0cm</v>
      </c>
      <c r="C493" s="2207"/>
      <c r="D493" s="2207"/>
      <c r="E493" s="2207"/>
      <c r="F493" s="2207"/>
      <c r="G493" s="2207"/>
      <c r="H493" s="2207"/>
      <c r="I493" s="2207"/>
      <c r="J493" s="2207"/>
      <c r="K493" s="1836" t="str">
        <f>'Orç - Prédio'!F187</f>
        <v>m2</v>
      </c>
      <c r="L493" s="1837" t="s">
        <v>15154</v>
      </c>
    </row>
    <row r="494" spans="1:13" x14ac:dyDescent="0.2">
      <c r="A494" s="2202"/>
      <c r="B494" s="2202"/>
      <c r="C494" s="1537"/>
      <c r="D494" s="1537"/>
      <c r="E494" s="1537"/>
      <c r="F494" s="1537"/>
      <c r="G494" s="2202" t="s">
        <v>6699</v>
      </c>
      <c r="H494" s="2202"/>
      <c r="I494" s="2202" t="s">
        <v>6700</v>
      </c>
      <c r="J494" s="2202"/>
      <c r="K494" s="2202"/>
      <c r="L494" s="615"/>
      <c r="M494" s="615"/>
    </row>
    <row r="495" spans="1:13" ht="22.5" x14ac:dyDescent="0.2">
      <c r="A495" s="2202" t="s">
        <v>6715</v>
      </c>
      <c r="B495" s="2202"/>
      <c r="C495" s="2202" t="s">
        <v>6701</v>
      </c>
      <c r="D495" s="2202" t="s">
        <v>6702</v>
      </c>
      <c r="E495" s="2202" t="s">
        <v>6703</v>
      </c>
      <c r="F495" s="2202" t="s">
        <v>6704</v>
      </c>
      <c r="G495" s="1557" t="s">
        <v>6705</v>
      </c>
      <c r="H495" s="1557" t="s">
        <v>6706</v>
      </c>
      <c r="I495" s="1557" t="s">
        <v>6707</v>
      </c>
      <c r="J495" s="1557" t="s">
        <v>6705</v>
      </c>
      <c r="K495" s="1557" t="s">
        <v>6706</v>
      </c>
      <c r="L495" s="615"/>
      <c r="M495" s="615"/>
    </row>
    <row r="496" spans="1:13" x14ac:dyDescent="0.2">
      <c r="A496" s="2202"/>
      <c r="B496" s="2202"/>
      <c r="C496" s="2202"/>
      <c r="D496" s="2202"/>
      <c r="E496" s="2202"/>
      <c r="F496" s="2202"/>
      <c r="G496" s="1557" t="s">
        <v>6708</v>
      </c>
      <c r="H496" s="1557" t="s">
        <v>6709</v>
      </c>
      <c r="I496" s="1557" t="s">
        <v>6710</v>
      </c>
      <c r="J496" s="1557" t="s">
        <v>6708</v>
      </c>
      <c r="K496" s="1557" t="s">
        <v>6709</v>
      </c>
      <c r="L496" s="615"/>
      <c r="M496" s="615"/>
    </row>
    <row r="497" spans="1:13" x14ac:dyDescent="0.2">
      <c r="A497" s="1557"/>
      <c r="B497" s="1553" t="s">
        <v>6771</v>
      </c>
      <c r="C497" s="1541">
        <v>1</v>
      </c>
      <c r="D497" s="1541">
        <v>9.5500000000000007</v>
      </c>
      <c r="E497" s="1544"/>
      <c r="F497" s="1550">
        <v>3.45</v>
      </c>
      <c r="G497" s="1558">
        <f>F497*D497</f>
        <v>32.947500000000005</v>
      </c>
      <c r="H497" s="1539"/>
      <c r="I497" s="1539"/>
      <c r="J497" s="1539">
        <f>G497*C497</f>
        <v>32.947500000000005</v>
      </c>
      <c r="K497" s="1539">
        <f>C497*H497</f>
        <v>0</v>
      </c>
      <c r="L497" s="1603"/>
      <c r="M497" s="615"/>
    </row>
    <row r="498" spans="1:13" x14ac:dyDescent="0.2">
      <c r="A498" s="1547"/>
      <c r="B498" s="1548"/>
      <c r="C498" s="1548"/>
      <c r="D498" s="1548"/>
      <c r="E498" s="1548"/>
      <c r="F498" s="2200" t="s">
        <v>6711</v>
      </c>
      <c r="G498" s="2200"/>
      <c r="H498" s="2200"/>
      <c r="I498" s="1549">
        <f>ROUND(SUM(I497:I497),2)</f>
        <v>0</v>
      </c>
      <c r="J498" s="1549">
        <f>ROUND(SUM(J497:J497),2)</f>
        <v>32.950000000000003</v>
      </c>
      <c r="K498" s="1549">
        <f>ROUND(SUM(K497:K497),2)</f>
        <v>0</v>
      </c>
      <c r="L498" s="615"/>
      <c r="M498" s="615"/>
    </row>
    <row r="499" spans="1:13" x14ac:dyDescent="0.2">
      <c r="A499" s="1557"/>
      <c r="B499" s="2201"/>
      <c r="C499" s="2201"/>
      <c r="D499" s="2201"/>
      <c r="E499" s="2201"/>
      <c r="F499" s="2201"/>
      <c r="G499" s="2201"/>
      <c r="H499" s="2201"/>
      <c r="I499" s="2201"/>
      <c r="J499" s="2201"/>
      <c r="K499" s="1557"/>
      <c r="L499" s="615"/>
      <c r="M499" s="615"/>
    </row>
    <row r="500" spans="1:13" ht="25.5" x14ac:dyDescent="0.2">
      <c r="A500" s="1835" t="str">
        <f>'Orç - Prédio'!A181</f>
        <v>04.01.555.01</v>
      </c>
      <c r="B500" s="2207" t="str">
        <f>'Orç - Prédio'!D181</f>
        <v>Forro fixo de drywall para ambientes comerciais, inclusive estrutura de fixação</v>
      </c>
      <c r="C500" s="2207"/>
      <c r="D500" s="2207"/>
      <c r="E500" s="2207"/>
      <c r="F500" s="2207"/>
      <c r="G500" s="2207"/>
      <c r="H500" s="2207"/>
      <c r="I500" s="2207"/>
      <c r="J500" s="2207"/>
      <c r="K500" s="1836" t="str">
        <f>'Orç - Prédio'!F181</f>
        <v>m2</v>
      </c>
      <c r="L500" s="1837" t="s">
        <v>15154</v>
      </c>
    </row>
    <row r="501" spans="1:13" x14ac:dyDescent="0.2">
      <c r="A501" s="2202"/>
      <c r="B501" s="2202"/>
      <c r="C501" s="1537"/>
      <c r="D501" s="1537"/>
      <c r="E501" s="1537"/>
      <c r="F501" s="1537"/>
      <c r="G501" s="2202" t="s">
        <v>6699</v>
      </c>
      <c r="H501" s="2202"/>
      <c r="I501" s="2202" t="s">
        <v>6700</v>
      </c>
      <c r="J501" s="2202"/>
      <c r="K501" s="2202"/>
      <c r="L501" s="615"/>
      <c r="M501" s="615"/>
    </row>
    <row r="502" spans="1:13" ht="22.5" x14ac:dyDescent="0.2">
      <c r="A502" s="2202" t="s">
        <v>6715</v>
      </c>
      <c r="B502" s="2202"/>
      <c r="C502" s="2202" t="s">
        <v>6701</v>
      </c>
      <c r="D502" s="2202" t="s">
        <v>6702</v>
      </c>
      <c r="E502" s="2202" t="s">
        <v>6703</v>
      </c>
      <c r="F502" s="2202" t="s">
        <v>6704</v>
      </c>
      <c r="G502" s="1947" t="s">
        <v>6705</v>
      </c>
      <c r="H502" s="1947" t="s">
        <v>6706</v>
      </c>
      <c r="I502" s="1947" t="s">
        <v>6707</v>
      </c>
      <c r="J502" s="1947" t="s">
        <v>6705</v>
      </c>
      <c r="K502" s="1947" t="s">
        <v>6706</v>
      </c>
      <c r="L502" s="615"/>
      <c r="M502" s="615"/>
    </row>
    <row r="503" spans="1:13" x14ac:dyDescent="0.2">
      <c r="A503" s="2202"/>
      <c r="B503" s="2202"/>
      <c r="C503" s="2202"/>
      <c r="D503" s="2202"/>
      <c r="E503" s="2202"/>
      <c r="F503" s="2202"/>
      <c r="G503" s="1947" t="s">
        <v>6708</v>
      </c>
      <c r="H503" s="1947" t="s">
        <v>6709</v>
      </c>
      <c r="I503" s="1947" t="s">
        <v>6710</v>
      </c>
      <c r="J503" s="1947" t="s">
        <v>6708</v>
      </c>
      <c r="K503" s="1947" t="s">
        <v>6709</v>
      </c>
      <c r="L503" s="615"/>
      <c r="M503" s="615"/>
    </row>
    <row r="504" spans="1:13" x14ac:dyDescent="0.2">
      <c r="A504" s="1958" t="s">
        <v>15045</v>
      </c>
      <c r="B504" s="1553" t="s">
        <v>15044</v>
      </c>
      <c r="C504" s="1956">
        <v>1</v>
      </c>
      <c r="D504" s="1956"/>
      <c r="E504" s="1544"/>
      <c r="F504" s="1550"/>
      <c r="G504" s="1558">
        <v>50.2</v>
      </c>
      <c r="H504" s="1539"/>
      <c r="I504" s="1539"/>
      <c r="J504" s="1539">
        <f>G504*C504</f>
        <v>50.2</v>
      </c>
      <c r="K504" s="1539"/>
      <c r="L504" s="1603"/>
      <c r="M504" s="615"/>
    </row>
    <row r="505" spans="1:13" x14ac:dyDescent="0.2">
      <c r="A505" s="1958" t="s">
        <v>15047</v>
      </c>
      <c r="B505" s="1553" t="s">
        <v>15046</v>
      </c>
      <c r="C505" s="1956">
        <v>1</v>
      </c>
      <c r="D505" s="1956"/>
      <c r="E505" s="1544"/>
      <c r="F505" s="1550"/>
      <c r="G505" s="1558">
        <v>54.47</v>
      </c>
      <c r="H505" s="1539"/>
      <c r="I505" s="1539"/>
      <c r="J505" s="1539">
        <f>G505*C505</f>
        <v>54.47</v>
      </c>
      <c r="K505" s="1539"/>
      <c r="L505" s="1603"/>
      <c r="M505" s="615"/>
    </row>
    <row r="506" spans="1:13" x14ac:dyDescent="0.2">
      <c r="A506" s="1547"/>
      <c r="B506" s="1548"/>
      <c r="C506" s="1548"/>
      <c r="D506" s="1548"/>
      <c r="E506" s="1548"/>
      <c r="F506" s="2200" t="s">
        <v>6711</v>
      </c>
      <c r="G506" s="2200"/>
      <c r="H506" s="2200"/>
      <c r="I506" s="1549"/>
      <c r="J506" s="1549">
        <f>ROUND(SUM(J504:J505),2)</f>
        <v>104.67</v>
      </c>
      <c r="K506" s="1549"/>
      <c r="L506" s="615"/>
      <c r="M506" s="615"/>
    </row>
    <row r="507" spans="1:13" x14ac:dyDescent="0.2">
      <c r="A507" s="1947"/>
      <c r="B507" s="2201"/>
      <c r="C507" s="2201"/>
      <c r="D507" s="2201"/>
      <c r="E507" s="2201"/>
      <c r="F507" s="2201"/>
      <c r="G507" s="2201"/>
      <c r="H507" s="2201"/>
      <c r="I507" s="2201"/>
      <c r="J507" s="2201"/>
      <c r="K507" s="1947"/>
      <c r="L507" s="615"/>
      <c r="M507" s="615"/>
    </row>
    <row r="508" spans="1:13" ht="25.5" x14ac:dyDescent="0.2">
      <c r="A508" s="1835" t="str">
        <f>'Orç - Prédio'!A182</f>
        <v>04.01.555.02</v>
      </c>
      <c r="B508" s="2207" t="str">
        <f>'Orç - Prédio'!D182</f>
        <v>Forro de gesso removível, em placas de 125x62,5cm, espessura 9,5mm, cor branca, borda aparente, com acabamento liso e película de PVC</v>
      </c>
      <c r="C508" s="2207"/>
      <c r="D508" s="2207"/>
      <c r="E508" s="2207"/>
      <c r="F508" s="2207"/>
      <c r="G508" s="2207"/>
      <c r="H508" s="2207"/>
      <c r="I508" s="2207"/>
      <c r="J508" s="2207"/>
      <c r="K508" s="1836" t="str">
        <f>'Orç - Prédio'!F182</f>
        <v>m2</v>
      </c>
      <c r="L508" s="1837" t="s">
        <v>15154</v>
      </c>
    </row>
    <row r="509" spans="1:13" x14ac:dyDescent="0.2">
      <c r="A509" s="2202"/>
      <c r="B509" s="2202"/>
      <c r="C509" s="1537"/>
      <c r="D509" s="1537"/>
      <c r="E509" s="1537"/>
      <c r="F509" s="1537"/>
      <c r="G509" s="2202" t="s">
        <v>6699</v>
      </c>
      <c r="H509" s="2202"/>
      <c r="I509" s="2202" t="s">
        <v>6700</v>
      </c>
      <c r="J509" s="2202"/>
      <c r="K509" s="2202"/>
      <c r="L509" s="615"/>
      <c r="M509" s="615"/>
    </row>
    <row r="510" spans="1:13" ht="22.5" x14ac:dyDescent="0.2">
      <c r="A510" s="2202" t="s">
        <v>6715</v>
      </c>
      <c r="B510" s="2202"/>
      <c r="C510" s="2202" t="s">
        <v>6701</v>
      </c>
      <c r="D510" s="2202" t="s">
        <v>6702</v>
      </c>
      <c r="E510" s="2202" t="s">
        <v>6703</v>
      </c>
      <c r="F510" s="2202" t="s">
        <v>6704</v>
      </c>
      <c r="G510" s="1947" t="s">
        <v>6705</v>
      </c>
      <c r="H510" s="1947" t="s">
        <v>6706</v>
      </c>
      <c r="I510" s="1947" t="s">
        <v>6707</v>
      </c>
      <c r="J510" s="1947" t="s">
        <v>6705</v>
      </c>
      <c r="K510" s="1947" t="s">
        <v>6706</v>
      </c>
      <c r="L510" s="615"/>
      <c r="M510" s="615"/>
    </row>
    <row r="511" spans="1:13" x14ac:dyDescent="0.2">
      <c r="A511" s="2202"/>
      <c r="B511" s="2202"/>
      <c r="C511" s="2202"/>
      <c r="D511" s="2202"/>
      <c r="E511" s="2202"/>
      <c r="F511" s="2202"/>
      <c r="G511" s="1947" t="s">
        <v>6708</v>
      </c>
      <c r="H511" s="1947" t="s">
        <v>6709</v>
      </c>
      <c r="I511" s="1947" t="s">
        <v>6710</v>
      </c>
      <c r="J511" s="1947" t="s">
        <v>6708</v>
      </c>
      <c r="K511" s="1947" t="s">
        <v>6709</v>
      </c>
      <c r="L511" s="615"/>
      <c r="M511" s="615"/>
    </row>
    <row r="512" spans="1:13" x14ac:dyDescent="0.2">
      <c r="A512" s="1958" t="s">
        <v>15045</v>
      </c>
      <c r="B512" s="1553" t="s">
        <v>15044</v>
      </c>
      <c r="C512" s="1956">
        <v>1</v>
      </c>
      <c r="D512" s="1956"/>
      <c r="E512" s="1544"/>
      <c r="F512" s="1550"/>
      <c r="G512" s="1558">
        <v>788.86</v>
      </c>
      <c r="H512" s="1539"/>
      <c r="I512" s="1539"/>
      <c r="J512" s="1539">
        <f>G512*C512</f>
        <v>788.86</v>
      </c>
      <c r="K512" s="1539"/>
      <c r="L512" s="1603"/>
      <c r="M512" s="615"/>
    </row>
    <row r="513" spans="1:13" x14ac:dyDescent="0.2">
      <c r="A513" s="1958" t="s">
        <v>15047</v>
      </c>
      <c r="B513" s="1553" t="s">
        <v>15046</v>
      </c>
      <c r="C513" s="1956">
        <v>1</v>
      </c>
      <c r="D513" s="1956"/>
      <c r="E513" s="1544"/>
      <c r="F513" s="1550"/>
      <c r="G513" s="1558">
        <v>799.1</v>
      </c>
      <c r="H513" s="1539"/>
      <c r="I513" s="1539"/>
      <c r="J513" s="1539">
        <f>G513*C513</f>
        <v>799.1</v>
      </c>
      <c r="K513" s="1539"/>
      <c r="L513" s="1603"/>
      <c r="M513" s="615"/>
    </row>
    <row r="514" spans="1:13" x14ac:dyDescent="0.2">
      <c r="A514" s="1547"/>
      <c r="B514" s="1548"/>
      <c r="C514" s="1548"/>
      <c r="D514" s="1548"/>
      <c r="E514" s="1548"/>
      <c r="F514" s="2200" t="s">
        <v>6711</v>
      </c>
      <c r="G514" s="2200"/>
      <c r="H514" s="2200"/>
      <c r="I514" s="1549"/>
      <c r="J514" s="1549">
        <f>ROUND(SUM(J512:J513),2)</f>
        <v>1587.96</v>
      </c>
      <c r="K514" s="1549"/>
      <c r="L514" s="615"/>
      <c r="M514" s="615"/>
    </row>
    <row r="515" spans="1:13" x14ac:dyDescent="0.2">
      <c r="A515" s="1947"/>
      <c r="B515" s="2201"/>
      <c r="C515" s="2201"/>
      <c r="D515" s="2201"/>
      <c r="E515" s="2201"/>
      <c r="F515" s="2201"/>
      <c r="G515" s="2201"/>
      <c r="H515" s="2201"/>
      <c r="I515" s="2201"/>
      <c r="J515" s="2201"/>
      <c r="K515" s="1947"/>
      <c r="L515" s="615"/>
      <c r="M515" s="615"/>
    </row>
    <row r="516" spans="1:13" ht="25.5" x14ac:dyDescent="0.2">
      <c r="A516" s="1835" t="str">
        <f>'Orç - Prédio'!A185</f>
        <v>04.01.561.01</v>
      </c>
      <c r="B516" s="2207" t="str">
        <f>'Orç - Prédio'!D185</f>
        <v>Aplicação e lixamento de massa látex em paredes, duas demãos</v>
      </c>
      <c r="C516" s="2207"/>
      <c r="D516" s="2207"/>
      <c r="E516" s="2207"/>
      <c r="F516" s="2207"/>
      <c r="G516" s="2207"/>
      <c r="H516" s="2207"/>
      <c r="I516" s="2207"/>
      <c r="J516" s="2207"/>
      <c r="K516" s="1836" t="str">
        <f>'Orç - Prédio'!F185</f>
        <v>m2</v>
      </c>
      <c r="L516" s="1837" t="s">
        <v>15154</v>
      </c>
    </row>
    <row r="517" spans="1:13" x14ac:dyDescent="0.2">
      <c r="A517" s="2202"/>
      <c r="B517" s="2202"/>
      <c r="C517" s="1537"/>
      <c r="D517" s="1537"/>
      <c r="E517" s="1537"/>
      <c r="F517" s="1537"/>
      <c r="G517" s="2202" t="s">
        <v>6699</v>
      </c>
      <c r="H517" s="2202"/>
      <c r="I517" s="2202" t="s">
        <v>6700</v>
      </c>
      <c r="J517" s="2202"/>
      <c r="K517" s="2202"/>
      <c r="L517" s="615"/>
      <c r="M517" s="615"/>
    </row>
    <row r="518" spans="1:13" ht="22.5" x14ac:dyDescent="0.2">
      <c r="A518" s="2202" t="s">
        <v>6715</v>
      </c>
      <c r="B518" s="2202"/>
      <c r="C518" s="2202" t="s">
        <v>6701</v>
      </c>
      <c r="D518" s="2202" t="s">
        <v>6702</v>
      </c>
      <c r="E518" s="2202" t="s">
        <v>6703</v>
      </c>
      <c r="F518" s="2202" t="s">
        <v>6704</v>
      </c>
      <c r="G518" s="1557" t="s">
        <v>6705</v>
      </c>
      <c r="H518" s="1557" t="s">
        <v>6706</v>
      </c>
      <c r="I518" s="1557" t="s">
        <v>6707</v>
      </c>
      <c r="J518" s="1557" t="s">
        <v>6705</v>
      </c>
      <c r="K518" s="1557" t="s">
        <v>6706</v>
      </c>
      <c r="L518" s="615"/>
      <c r="M518" s="615"/>
    </row>
    <row r="519" spans="1:13" x14ac:dyDescent="0.2">
      <c r="A519" s="2202"/>
      <c r="B519" s="2202"/>
      <c r="C519" s="2202"/>
      <c r="D519" s="2202"/>
      <c r="E519" s="2202"/>
      <c r="F519" s="2202"/>
      <c r="G519" s="1557" t="s">
        <v>6708</v>
      </c>
      <c r="H519" s="1557" t="s">
        <v>6709</v>
      </c>
      <c r="I519" s="1557" t="s">
        <v>6710</v>
      </c>
      <c r="J519" s="1557" t="s">
        <v>6708</v>
      </c>
      <c r="K519" s="1557" t="s">
        <v>6709</v>
      </c>
      <c r="L519" s="615"/>
      <c r="M519" s="615"/>
    </row>
    <row r="520" spans="1:13" ht="22.5" x14ac:dyDescent="0.2">
      <c r="A520" s="1557"/>
      <c r="B520" s="1553" t="s">
        <v>6789</v>
      </c>
      <c r="C520" s="1541">
        <v>1</v>
      </c>
      <c r="D520" s="1541"/>
      <c r="E520" s="1544"/>
      <c r="F520" s="1550"/>
      <c r="G520" s="1558">
        <f>J476</f>
        <v>3959.79</v>
      </c>
      <c r="H520" s="1539"/>
      <c r="I520" s="1539"/>
      <c r="J520" s="1539">
        <f>G520*C520</f>
        <v>3959.79</v>
      </c>
      <c r="K520" s="1539">
        <f>C520*H520</f>
        <v>0</v>
      </c>
      <c r="L520" s="1603"/>
      <c r="M520" s="615"/>
    </row>
    <row r="521" spans="1:13" ht="22.5" x14ac:dyDescent="0.2">
      <c r="A521" s="1557"/>
      <c r="B521" s="1553" t="s">
        <v>6792</v>
      </c>
      <c r="C521" s="1541">
        <v>2</v>
      </c>
      <c r="D521" s="1541"/>
      <c r="E521" s="1544"/>
      <c r="F521" s="1550"/>
      <c r="G521" s="1558">
        <f>J332</f>
        <v>332.77</v>
      </c>
      <c r="H521" s="1539"/>
      <c r="I521" s="1539"/>
      <c r="J521" s="1539">
        <f>G521*C521</f>
        <v>665.54</v>
      </c>
      <c r="K521" s="1539">
        <f>C521*H521</f>
        <v>0</v>
      </c>
      <c r="L521" s="1603"/>
      <c r="M521" s="615"/>
    </row>
    <row r="522" spans="1:13" x14ac:dyDescent="0.2">
      <c r="A522" s="1547"/>
      <c r="B522" s="1548"/>
      <c r="C522" s="1548"/>
      <c r="D522" s="1548"/>
      <c r="E522" s="1548"/>
      <c r="F522" s="2200" t="s">
        <v>6711</v>
      </c>
      <c r="G522" s="2200"/>
      <c r="H522" s="2200"/>
      <c r="I522" s="1549">
        <f>ROUND(SUM(I520:I521),2)</f>
        <v>0</v>
      </c>
      <c r="J522" s="1549">
        <f>ROUND(SUM(J520:J521),2)</f>
        <v>4625.33</v>
      </c>
      <c r="K522" s="1549">
        <f>ROUND(SUM(K520:K521),2)</f>
        <v>0</v>
      </c>
      <c r="L522" s="615"/>
      <c r="M522" s="615"/>
    </row>
    <row r="523" spans="1:13" x14ac:dyDescent="0.2">
      <c r="A523" s="1557"/>
      <c r="B523" s="2201"/>
      <c r="C523" s="2201"/>
      <c r="D523" s="2201"/>
      <c r="E523" s="2201"/>
      <c r="F523" s="2201"/>
      <c r="G523" s="2201"/>
      <c r="H523" s="2201"/>
      <c r="I523" s="2201"/>
      <c r="J523" s="2201"/>
      <c r="K523" s="1557"/>
      <c r="L523" s="615"/>
      <c r="M523" s="615"/>
    </row>
    <row r="524" spans="1:13" ht="26.25" customHeight="1" x14ac:dyDescent="0.2">
      <c r="A524" s="1835" t="str">
        <f>'Orç - Prédio'!A186</f>
        <v>04.01.561.02</v>
      </c>
      <c r="B524" s="2207" t="str">
        <f>'Orç - Prédio'!D186</f>
        <v>Aplicação manual de massa acrílica em panos de fachada com presença de vãos, de edifícios de múltiplos pavimentos, duas demãos</v>
      </c>
      <c r="C524" s="2207"/>
      <c r="D524" s="2207"/>
      <c r="E524" s="2207"/>
      <c r="F524" s="2207"/>
      <c r="G524" s="2207"/>
      <c r="H524" s="2207"/>
      <c r="I524" s="2207"/>
      <c r="J524" s="2207"/>
      <c r="K524" s="1836" t="str">
        <f>'Orç - Prédio'!F186</f>
        <v>m2</v>
      </c>
      <c r="L524" s="1837" t="s">
        <v>15154</v>
      </c>
    </row>
    <row r="525" spans="1:13" x14ac:dyDescent="0.2">
      <c r="A525" s="2202"/>
      <c r="B525" s="2202"/>
      <c r="C525" s="1537"/>
      <c r="D525" s="1537"/>
      <c r="E525" s="1537"/>
      <c r="F525" s="1537"/>
      <c r="G525" s="2202" t="s">
        <v>6699</v>
      </c>
      <c r="H525" s="2202"/>
      <c r="I525" s="2202" t="s">
        <v>6700</v>
      </c>
      <c r="J525" s="2202"/>
      <c r="K525" s="2202"/>
      <c r="L525" s="615"/>
      <c r="M525" s="615"/>
    </row>
    <row r="526" spans="1:13" ht="22.5" x14ac:dyDescent="0.2">
      <c r="A526" s="2202" t="s">
        <v>6715</v>
      </c>
      <c r="B526" s="2202"/>
      <c r="C526" s="2202" t="s">
        <v>6701</v>
      </c>
      <c r="D526" s="2202" t="s">
        <v>6702</v>
      </c>
      <c r="E526" s="2202" t="s">
        <v>6703</v>
      </c>
      <c r="F526" s="2202" t="s">
        <v>6704</v>
      </c>
      <c r="G526" s="1557" t="s">
        <v>6705</v>
      </c>
      <c r="H526" s="1557" t="s">
        <v>6706</v>
      </c>
      <c r="I526" s="1557" t="s">
        <v>6707</v>
      </c>
      <c r="J526" s="1557" t="s">
        <v>6705</v>
      </c>
      <c r="K526" s="1557" t="s">
        <v>6706</v>
      </c>
      <c r="L526" s="615"/>
      <c r="M526" s="615"/>
    </row>
    <row r="527" spans="1:13" x14ac:dyDescent="0.2">
      <c r="A527" s="2202"/>
      <c r="B527" s="2202"/>
      <c r="C527" s="2202"/>
      <c r="D527" s="2202"/>
      <c r="E527" s="2202"/>
      <c r="F527" s="2202"/>
      <c r="G527" s="1557" t="s">
        <v>6708</v>
      </c>
      <c r="H527" s="1557" t="s">
        <v>6709</v>
      </c>
      <c r="I527" s="1557" t="s">
        <v>6710</v>
      </c>
      <c r="J527" s="1557" t="s">
        <v>6708</v>
      </c>
      <c r="K527" s="1557" t="s">
        <v>6709</v>
      </c>
      <c r="L527" s="615"/>
      <c r="M527" s="615"/>
    </row>
    <row r="528" spans="1:13" x14ac:dyDescent="0.2">
      <c r="A528" s="1557"/>
      <c r="B528" s="1553" t="s">
        <v>6791</v>
      </c>
      <c r="C528" s="1541">
        <v>1</v>
      </c>
      <c r="D528" s="1541"/>
      <c r="E528" s="1544"/>
      <c r="F528" s="1550"/>
      <c r="G528" s="1558">
        <v>931.59</v>
      </c>
      <c r="H528" s="1539"/>
      <c r="I528" s="1539"/>
      <c r="J528" s="1539">
        <f>G528*C528</f>
        <v>931.59</v>
      </c>
      <c r="K528" s="1539">
        <f>C528*H528</f>
        <v>0</v>
      </c>
      <c r="L528" s="1603"/>
      <c r="M528" s="615"/>
    </row>
    <row r="529" spans="1:13" x14ac:dyDescent="0.2">
      <c r="A529" s="1547"/>
      <c r="B529" s="1548"/>
      <c r="C529" s="1548"/>
      <c r="D529" s="1548"/>
      <c r="E529" s="1548"/>
      <c r="F529" s="2200" t="s">
        <v>6711</v>
      </c>
      <c r="G529" s="2200"/>
      <c r="H529" s="2200"/>
      <c r="I529" s="1549">
        <f>ROUND(SUM(I528:I528),2)</f>
        <v>0</v>
      </c>
      <c r="J529" s="1549">
        <f>ROUND(SUM(J528:J528),2)</f>
        <v>931.59</v>
      </c>
      <c r="K529" s="1549">
        <f>ROUND(SUM(K528:K528),2)</f>
        <v>0</v>
      </c>
      <c r="L529" s="615"/>
      <c r="M529" s="615"/>
    </row>
    <row r="530" spans="1:13" x14ac:dyDescent="0.2">
      <c r="A530" s="1557"/>
      <c r="B530" s="2201"/>
      <c r="C530" s="2201"/>
      <c r="D530" s="2201"/>
      <c r="E530" s="2201"/>
      <c r="F530" s="2201"/>
      <c r="G530" s="2201"/>
      <c r="H530" s="2201"/>
      <c r="I530" s="2201"/>
      <c r="J530" s="2201"/>
      <c r="K530" s="1557"/>
      <c r="L530" s="615"/>
      <c r="M530" s="615"/>
    </row>
    <row r="531" spans="1:13" ht="25.5" x14ac:dyDescent="0.2">
      <c r="A531" s="1835" t="str">
        <f>'Orç - Prédio'!A192</f>
        <v>04.01.576.01</v>
      </c>
      <c r="B531" s="2207" t="str">
        <f>'Orç - Prédio'!D192</f>
        <v>Aplicação de fundo selador acrílico em estruturas de concreto aparente e nos pisos e soleiras de granitina, uma demão</v>
      </c>
      <c r="C531" s="2207"/>
      <c r="D531" s="2207"/>
      <c r="E531" s="2207"/>
      <c r="F531" s="2207"/>
      <c r="G531" s="2207"/>
      <c r="H531" s="2207"/>
      <c r="I531" s="2207"/>
      <c r="J531" s="2207"/>
      <c r="K531" s="1836" t="str">
        <f>'Orç - Prédio'!F192</f>
        <v>m2</v>
      </c>
      <c r="L531" s="1837" t="s">
        <v>15154</v>
      </c>
    </row>
    <row r="532" spans="1:13" x14ac:dyDescent="0.2">
      <c r="A532" s="2202"/>
      <c r="B532" s="2202"/>
      <c r="C532" s="1537"/>
      <c r="D532" s="1537"/>
      <c r="E532" s="1537"/>
      <c r="F532" s="1537"/>
      <c r="G532" s="2202" t="s">
        <v>6699</v>
      </c>
      <c r="H532" s="2202"/>
      <c r="I532" s="2202" t="s">
        <v>6700</v>
      </c>
      <c r="J532" s="2202"/>
      <c r="K532" s="2202"/>
      <c r="L532" s="615"/>
      <c r="M532" s="615"/>
    </row>
    <row r="533" spans="1:13" ht="22.5" x14ac:dyDescent="0.2">
      <c r="A533" s="2202" t="s">
        <v>6715</v>
      </c>
      <c r="B533" s="2202"/>
      <c r="C533" s="2202" t="s">
        <v>6701</v>
      </c>
      <c r="D533" s="2202" t="s">
        <v>6702</v>
      </c>
      <c r="E533" s="2202" t="s">
        <v>6703</v>
      </c>
      <c r="F533" s="2202" t="s">
        <v>6704</v>
      </c>
      <c r="G533" s="1557" t="s">
        <v>6705</v>
      </c>
      <c r="H533" s="1557" t="s">
        <v>6706</v>
      </c>
      <c r="I533" s="1557" t="s">
        <v>6707</v>
      </c>
      <c r="J533" s="1557" t="s">
        <v>6705</v>
      </c>
      <c r="K533" s="1557" t="s">
        <v>6706</v>
      </c>
      <c r="L533" s="615"/>
      <c r="M533" s="615"/>
    </row>
    <row r="534" spans="1:13" x14ac:dyDescent="0.2">
      <c r="A534" s="2202"/>
      <c r="B534" s="2202"/>
      <c r="C534" s="2202"/>
      <c r="D534" s="2202"/>
      <c r="E534" s="2202"/>
      <c r="F534" s="2202"/>
      <c r="G534" s="1557" t="s">
        <v>6708</v>
      </c>
      <c r="H534" s="1557" t="s">
        <v>6709</v>
      </c>
      <c r="I534" s="1557" t="s">
        <v>6710</v>
      </c>
      <c r="J534" s="1557" t="s">
        <v>6708</v>
      </c>
      <c r="K534" s="1557" t="s">
        <v>6709</v>
      </c>
      <c r="L534" s="615"/>
      <c r="M534" s="615"/>
    </row>
    <row r="535" spans="1:13" ht="22.5" x14ac:dyDescent="0.2">
      <c r="A535" s="1557"/>
      <c r="B535" s="1553" t="s">
        <v>5835</v>
      </c>
      <c r="C535" s="1541">
        <v>1</v>
      </c>
      <c r="D535" s="1541">
        <f>0.6+1.2+0.8+1.2+4*1.2+0.65+0.8+0.65+7*1.2+0.625+0.6+1.5+1.5+1.5+1.5+1.5+1.6+1.6</f>
        <v>31.025000000000006</v>
      </c>
      <c r="E535" s="1544"/>
      <c r="F535" s="1550">
        <v>3.45</v>
      </c>
      <c r="G535" s="1558">
        <f>F535*D535</f>
        <v>107.03625000000002</v>
      </c>
      <c r="H535" s="1539"/>
      <c r="I535" s="1539"/>
      <c r="J535" s="1539">
        <f t="shared" ref="J535:J540" si="33">G535*C535</f>
        <v>107.03625000000002</v>
      </c>
      <c r="K535" s="1539">
        <f t="shared" ref="K535:K540" si="34">C535*H535</f>
        <v>0</v>
      </c>
      <c r="L535" s="1603"/>
      <c r="M535" s="615"/>
    </row>
    <row r="536" spans="1:13" ht="22.5" x14ac:dyDescent="0.2">
      <c r="A536" s="1557"/>
      <c r="B536" s="1553" t="s">
        <v>5836</v>
      </c>
      <c r="C536" s="1541">
        <v>1</v>
      </c>
      <c r="D536" s="1541">
        <f>0.6+1.2+0.8+1.2+4*1.2+0.65+0.8+0.65+7*1.2+0.625+0.6+1.5+1.5+1.5+1.5+1.5+1.6+1.6</f>
        <v>31.025000000000006</v>
      </c>
      <c r="E536" s="1544"/>
      <c r="F536" s="1550">
        <v>3.45</v>
      </c>
      <c r="G536" s="1558">
        <f>F536*D536</f>
        <v>107.03625000000002</v>
      </c>
      <c r="H536" s="1539"/>
      <c r="I536" s="1539"/>
      <c r="J536" s="1539">
        <f t="shared" si="33"/>
        <v>107.03625000000002</v>
      </c>
      <c r="K536" s="1539">
        <f t="shared" si="34"/>
        <v>0</v>
      </c>
      <c r="L536" s="1603"/>
      <c r="M536" s="615"/>
    </row>
    <row r="537" spans="1:13" ht="22.5" x14ac:dyDescent="0.2">
      <c r="A537" s="1557"/>
      <c r="B537" s="1553" t="s">
        <v>6957</v>
      </c>
      <c r="C537" s="1541">
        <v>1</v>
      </c>
      <c r="D537" s="1541"/>
      <c r="E537" s="1544"/>
      <c r="F537" s="1550"/>
      <c r="G537" s="1539">
        <v>84.01</v>
      </c>
      <c r="H537" s="1539"/>
      <c r="I537" s="1539"/>
      <c r="J537" s="1539">
        <f t="shared" si="33"/>
        <v>84.01</v>
      </c>
      <c r="K537" s="1539">
        <f t="shared" si="34"/>
        <v>0</v>
      </c>
      <c r="L537" s="1603"/>
      <c r="M537" s="615"/>
    </row>
    <row r="538" spans="1:13" ht="22.5" x14ac:dyDescent="0.2">
      <c r="A538" s="1600"/>
      <c r="B538" s="1553" t="s">
        <v>6958</v>
      </c>
      <c r="C538" s="1541">
        <v>1</v>
      </c>
      <c r="D538" s="1541"/>
      <c r="E538" s="1544"/>
      <c r="F538" s="1550"/>
      <c r="G538" s="1539">
        <v>80.48</v>
      </c>
      <c r="H538" s="1539"/>
      <c r="I538" s="1539"/>
      <c r="J538" s="1539">
        <f t="shared" si="33"/>
        <v>80.48</v>
      </c>
      <c r="K538" s="1539">
        <f t="shared" si="34"/>
        <v>0</v>
      </c>
      <c r="L538" s="1603"/>
      <c r="M538" s="615"/>
    </row>
    <row r="539" spans="1:13" x14ac:dyDescent="0.2">
      <c r="A539" s="1557"/>
      <c r="B539" s="1553" t="s">
        <v>5837</v>
      </c>
      <c r="C539" s="1541">
        <v>1</v>
      </c>
      <c r="D539" s="1541"/>
      <c r="E539" s="1544"/>
      <c r="F539" s="1550"/>
      <c r="G539" s="1539">
        <v>266.34999999999997</v>
      </c>
      <c r="H539" s="1539"/>
      <c r="I539" s="1539"/>
      <c r="J539" s="1539">
        <f t="shared" si="33"/>
        <v>266.34999999999997</v>
      </c>
      <c r="K539" s="1539">
        <f t="shared" si="34"/>
        <v>0</v>
      </c>
      <c r="L539" s="1603"/>
      <c r="M539" s="615"/>
    </row>
    <row r="540" spans="1:13" x14ac:dyDescent="0.2">
      <c r="A540" s="1557"/>
      <c r="B540" s="1553" t="s">
        <v>6793</v>
      </c>
      <c r="C540" s="1541">
        <v>1</v>
      </c>
      <c r="D540" s="1541"/>
      <c r="E540" s="1544"/>
      <c r="F540" s="1550"/>
      <c r="G540" s="1539">
        <f>J431</f>
        <v>1665.26</v>
      </c>
      <c r="H540" s="1539"/>
      <c r="I540" s="1539"/>
      <c r="J540" s="1539">
        <f t="shared" si="33"/>
        <v>1665.26</v>
      </c>
      <c r="K540" s="1539">
        <f t="shared" si="34"/>
        <v>0</v>
      </c>
      <c r="L540" s="1603"/>
      <c r="M540" s="615"/>
    </row>
    <row r="541" spans="1:13" x14ac:dyDescent="0.2">
      <c r="A541" s="1547"/>
      <c r="B541" s="1548"/>
      <c r="C541" s="1548"/>
      <c r="D541" s="1548"/>
      <c r="E541" s="1548"/>
      <c r="F541" s="2200" t="s">
        <v>6711</v>
      </c>
      <c r="G541" s="2200"/>
      <c r="H541" s="2200"/>
      <c r="I541" s="1549">
        <f>ROUND(SUM(I535:I540),2)</f>
        <v>0</v>
      </c>
      <c r="J541" s="1549">
        <f>ROUND(SUM(J535:J540),2)</f>
        <v>2310.17</v>
      </c>
      <c r="K541" s="1549">
        <f>ROUND(SUM(K535:K540),2)</f>
        <v>0</v>
      </c>
      <c r="L541" s="615"/>
      <c r="M541" s="615"/>
    </row>
    <row r="542" spans="1:13" x14ac:dyDescent="0.2">
      <c r="A542" s="1557"/>
      <c r="B542" s="2201"/>
      <c r="C542" s="2201"/>
      <c r="D542" s="2201"/>
      <c r="E542" s="2201"/>
      <c r="F542" s="2201"/>
      <c r="G542" s="2201"/>
      <c r="H542" s="2201"/>
      <c r="I542" s="2201"/>
      <c r="J542" s="2201"/>
      <c r="K542" s="1557"/>
      <c r="L542" s="615"/>
      <c r="M542" s="615"/>
    </row>
    <row r="543" spans="1:13" ht="28.5" customHeight="1" x14ac:dyDescent="0.2">
      <c r="A543" s="1835" t="str">
        <f>'Orç - Prédio'!A196</f>
        <v>04.01.601.02</v>
      </c>
      <c r="B543" s="2207" t="str">
        <f>'Orç - Prédio'!D196</f>
        <v>Impermeabilização de superfície com manta asfáltica com polímeros tipo app, e=4mm, incluindo aplicação de primer (laje de cobertura)</v>
      </c>
      <c r="C543" s="2207"/>
      <c r="D543" s="2207"/>
      <c r="E543" s="2207"/>
      <c r="F543" s="2207"/>
      <c r="G543" s="2207"/>
      <c r="H543" s="2207"/>
      <c r="I543" s="2207"/>
      <c r="J543" s="2207"/>
      <c r="K543" s="1836" t="str">
        <f>'Orç - Prédio'!F196</f>
        <v>m2</v>
      </c>
      <c r="L543" s="1837" t="s">
        <v>15154</v>
      </c>
    </row>
    <row r="544" spans="1:13" x14ac:dyDescent="0.2">
      <c r="A544" s="2202"/>
      <c r="B544" s="2202"/>
      <c r="C544" s="1537"/>
      <c r="D544" s="1537"/>
      <c r="E544" s="1537"/>
      <c r="F544" s="1537"/>
      <c r="G544" s="2202" t="s">
        <v>6699</v>
      </c>
      <c r="H544" s="2202"/>
      <c r="I544" s="2202" t="s">
        <v>6700</v>
      </c>
      <c r="J544" s="2202"/>
      <c r="K544" s="2202"/>
      <c r="L544" s="615"/>
      <c r="M544" s="615"/>
    </row>
    <row r="545" spans="1:13" ht="22.5" x14ac:dyDescent="0.2">
      <c r="A545" s="2202" t="s">
        <v>6715</v>
      </c>
      <c r="B545" s="2202"/>
      <c r="C545" s="2202" t="s">
        <v>6701</v>
      </c>
      <c r="D545" s="2202" t="s">
        <v>6702</v>
      </c>
      <c r="E545" s="2202" t="s">
        <v>6703</v>
      </c>
      <c r="F545" s="2202" t="s">
        <v>6704</v>
      </c>
      <c r="G545" s="1557" t="s">
        <v>6705</v>
      </c>
      <c r="H545" s="1557" t="s">
        <v>6706</v>
      </c>
      <c r="I545" s="1557" t="s">
        <v>6707</v>
      </c>
      <c r="J545" s="1557" t="s">
        <v>6705</v>
      </c>
      <c r="K545" s="1557" t="s">
        <v>6706</v>
      </c>
      <c r="L545" s="615"/>
      <c r="M545" s="615"/>
    </row>
    <row r="546" spans="1:13" x14ac:dyDescent="0.2">
      <c r="A546" s="2202"/>
      <c r="B546" s="2202"/>
      <c r="C546" s="2202"/>
      <c r="D546" s="2202"/>
      <c r="E546" s="2202"/>
      <c r="F546" s="2202"/>
      <c r="G546" s="1557" t="s">
        <v>6708</v>
      </c>
      <c r="H546" s="1557" t="s">
        <v>6709</v>
      </c>
      <c r="I546" s="1557" t="s">
        <v>6710</v>
      </c>
      <c r="J546" s="1557" t="s">
        <v>6708</v>
      </c>
      <c r="K546" s="1557" t="s">
        <v>6709</v>
      </c>
      <c r="L546" s="615"/>
      <c r="M546" s="615"/>
    </row>
    <row r="547" spans="1:13" ht="22.5" x14ac:dyDescent="0.2">
      <c r="A547" s="1557" t="s">
        <v>15042</v>
      </c>
      <c r="B547" s="1553" t="s">
        <v>7841</v>
      </c>
      <c r="C547" s="1541">
        <v>1</v>
      </c>
      <c r="D547" s="1541"/>
      <c r="E547" s="1544"/>
      <c r="F547" s="1550"/>
      <c r="G547" s="1558">
        <v>339.14</v>
      </c>
      <c r="H547" s="1539"/>
      <c r="I547" s="1539"/>
      <c r="J547" s="1539">
        <f>G547*C547</f>
        <v>339.14</v>
      </c>
      <c r="K547" s="1539">
        <f>C547*H547</f>
        <v>0</v>
      </c>
      <c r="L547" s="1603"/>
      <c r="M547" s="615"/>
    </row>
    <row r="548" spans="1:13" ht="22.5" x14ac:dyDescent="0.2">
      <c r="A548" s="1557"/>
      <c r="B548" s="1553" t="s">
        <v>5838</v>
      </c>
      <c r="C548" s="1541">
        <v>1</v>
      </c>
      <c r="D548" s="1541">
        <v>446.27</v>
      </c>
      <c r="E548" s="1544"/>
      <c r="F548" s="1550">
        <v>0.3</v>
      </c>
      <c r="G548" s="1558">
        <f>F548*D548</f>
        <v>133.881</v>
      </c>
      <c r="H548" s="1539"/>
      <c r="I548" s="1539"/>
      <c r="J548" s="1539">
        <f>G548*C548</f>
        <v>133.881</v>
      </c>
      <c r="K548" s="1539">
        <f>C548*H548</f>
        <v>0</v>
      </c>
      <c r="L548" s="1603"/>
      <c r="M548" s="615"/>
    </row>
    <row r="549" spans="1:13" x14ac:dyDescent="0.2">
      <c r="A549" s="1547"/>
      <c r="B549" s="1548"/>
      <c r="C549" s="1548"/>
      <c r="D549" s="1548"/>
      <c r="E549" s="1548"/>
      <c r="F549" s="2200" t="s">
        <v>6711</v>
      </c>
      <c r="G549" s="2200"/>
      <c r="H549" s="2200"/>
      <c r="I549" s="1549">
        <f>ROUND(SUM(I547:I548),2)</f>
        <v>0</v>
      </c>
      <c r="J549" s="1549">
        <f>ROUND(SUM(J547:J548),2)</f>
        <v>473.02</v>
      </c>
      <c r="K549" s="1549">
        <f>ROUND(SUM(K547:K548),2)</f>
        <v>0</v>
      </c>
      <c r="L549" s="615"/>
      <c r="M549" s="615"/>
    </row>
    <row r="550" spans="1:13" x14ac:dyDescent="0.2">
      <c r="A550" s="1557"/>
      <c r="B550" s="2201"/>
      <c r="C550" s="2201"/>
      <c r="D550" s="2201"/>
      <c r="E550" s="2201"/>
      <c r="F550" s="2201"/>
      <c r="G550" s="2201"/>
      <c r="H550" s="2201"/>
      <c r="I550" s="2201"/>
      <c r="J550" s="2201"/>
      <c r="K550" s="1557"/>
      <c r="L550" s="615"/>
      <c r="M550" s="615"/>
    </row>
    <row r="551" spans="1:13" ht="29.25" customHeight="1" x14ac:dyDescent="0.2">
      <c r="A551" s="1835" t="str">
        <f>'Orç - Prédio'!A197</f>
        <v>04.01.601.03</v>
      </c>
      <c r="B551" s="2207" t="str">
        <f>'Orç - Prédio'!D197</f>
        <v>Contrapiso em argamassa traço 1:4 de cimento e areia, preparo mecânico com betoneira, aplicado em áreas molhadas sobre impermeabilização (proteção mecânica), espessura 3cm, armado com tela</v>
      </c>
      <c r="C551" s="2207"/>
      <c r="D551" s="2207"/>
      <c r="E551" s="2207"/>
      <c r="F551" s="2207"/>
      <c r="G551" s="2207"/>
      <c r="H551" s="2207"/>
      <c r="I551" s="2207"/>
      <c r="J551" s="2207"/>
      <c r="K551" s="1836" t="str">
        <f>'Orç - Prédio'!F197</f>
        <v>m2</v>
      </c>
      <c r="L551" s="1837" t="s">
        <v>15154</v>
      </c>
    </row>
    <row r="552" spans="1:13" x14ac:dyDescent="0.2">
      <c r="A552" s="2202"/>
      <c r="B552" s="2202"/>
      <c r="C552" s="1537"/>
      <c r="D552" s="1537"/>
      <c r="E552" s="1537"/>
      <c r="F552" s="1537"/>
      <c r="G552" s="2202" t="s">
        <v>6699</v>
      </c>
      <c r="H552" s="2202"/>
      <c r="I552" s="2202" t="s">
        <v>6700</v>
      </c>
      <c r="J552" s="2202"/>
      <c r="K552" s="2202"/>
      <c r="L552" s="615"/>
      <c r="M552" s="615"/>
    </row>
    <row r="553" spans="1:13" ht="22.5" x14ac:dyDescent="0.2">
      <c r="A553" s="2202" t="s">
        <v>6715</v>
      </c>
      <c r="B553" s="2202"/>
      <c r="C553" s="2202" t="s">
        <v>6701</v>
      </c>
      <c r="D553" s="2202" t="s">
        <v>6702</v>
      </c>
      <c r="E553" s="2202" t="s">
        <v>6703</v>
      </c>
      <c r="F553" s="2202" t="s">
        <v>6704</v>
      </c>
      <c r="G553" s="1557" t="s">
        <v>6705</v>
      </c>
      <c r="H553" s="1557" t="s">
        <v>6706</v>
      </c>
      <c r="I553" s="1557" t="s">
        <v>6707</v>
      </c>
      <c r="J553" s="1557" t="s">
        <v>6705</v>
      </c>
      <c r="K553" s="1557" t="s">
        <v>6706</v>
      </c>
      <c r="L553" s="615"/>
      <c r="M553" s="615"/>
    </row>
    <row r="554" spans="1:13" x14ac:dyDescent="0.2">
      <c r="A554" s="2202"/>
      <c r="B554" s="2202"/>
      <c r="C554" s="2202"/>
      <c r="D554" s="2202"/>
      <c r="E554" s="2202"/>
      <c r="F554" s="2202"/>
      <c r="G554" s="1557" t="s">
        <v>6708</v>
      </c>
      <c r="H554" s="1557" t="s">
        <v>6709</v>
      </c>
      <c r="I554" s="1557" t="s">
        <v>6710</v>
      </c>
      <c r="J554" s="1557" t="s">
        <v>6708</v>
      </c>
      <c r="K554" s="1557" t="s">
        <v>6709</v>
      </c>
      <c r="L554" s="615"/>
      <c r="M554" s="615"/>
    </row>
    <row r="555" spans="1:13" x14ac:dyDescent="0.2">
      <c r="A555" s="1557"/>
      <c r="B555" s="1553" t="s">
        <v>6794</v>
      </c>
      <c r="C555" s="1541">
        <v>1</v>
      </c>
      <c r="D555" s="1541"/>
      <c r="E555" s="1544"/>
      <c r="F555" s="1550"/>
      <c r="G555" s="1558">
        <f>J549</f>
        <v>473.02</v>
      </c>
      <c r="H555" s="1539"/>
      <c r="I555" s="1539"/>
      <c r="J555" s="1539">
        <f>G555*C555</f>
        <v>473.02</v>
      </c>
      <c r="K555" s="1539">
        <f>C555*H555</f>
        <v>0</v>
      </c>
      <c r="L555" s="1603"/>
      <c r="M555" s="615"/>
    </row>
    <row r="556" spans="1:13" x14ac:dyDescent="0.2">
      <c r="A556" s="1547"/>
      <c r="B556" s="1548"/>
      <c r="C556" s="1548"/>
      <c r="D556" s="1548"/>
      <c r="E556" s="1548"/>
      <c r="F556" s="2200" t="s">
        <v>6711</v>
      </c>
      <c r="G556" s="2200"/>
      <c r="H556" s="2200"/>
      <c r="I556" s="1549">
        <f>ROUND(SUM(I555:I555),2)</f>
        <v>0</v>
      </c>
      <c r="J556" s="1549">
        <f>ROUND(SUM(J555:J555),2)</f>
        <v>473.02</v>
      </c>
      <c r="K556" s="1549">
        <f>ROUND(SUM(K555:K555),2)</f>
        <v>0</v>
      </c>
      <c r="L556" s="615"/>
      <c r="M556" s="615"/>
    </row>
    <row r="557" spans="1:13" x14ac:dyDescent="0.2">
      <c r="A557" s="1557"/>
      <c r="B557" s="2201"/>
      <c r="C557" s="2201"/>
      <c r="D557" s="2201"/>
      <c r="E557" s="2201"/>
      <c r="F557" s="2201"/>
      <c r="G557" s="2201"/>
      <c r="H557" s="2201"/>
      <c r="I557" s="2201"/>
      <c r="J557" s="2201"/>
      <c r="K557" s="1557"/>
      <c r="L557" s="615"/>
      <c r="M557" s="615"/>
    </row>
    <row r="558" spans="1:13" ht="27.75" customHeight="1" x14ac:dyDescent="0.2">
      <c r="A558" s="1835" t="str">
        <f>'Orç - Prédio'!A198</f>
        <v>04.01.602</v>
      </c>
      <c r="B558" s="2207" t="str">
        <f>'Orç - Prédio'!D198</f>
        <v>Impermeabilização de superfície com cimento especial cristalizante com adesivo líquido, uma demão (paredes dos banheiros, até meia altura)</v>
      </c>
      <c r="C558" s="2207"/>
      <c r="D558" s="2207"/>
      <c r="E558" s="2207"/>
      <c r="F558" s="2207"/>
      <c r="G558" s="2207"/>
      <c r="H558" s="2207"/>
      <c r="I558" s="2207"/>
      <c r="J558" s="2207"/>
      <c r="K558" s="1836" t="str">
        <f>'Orç - Prédio'!F198</f>
        <v>m2</v>
      </c>
      <c r="L558" s="1837" t="s">
        <v>15154</v>
      </c>
    </row>
    <row r="559" spans="1:13" x14ac:dyDescent="0.2">
      <c r="A559" s="2202"/>
      <c r="B559" s="2202"/>
      <c r="C559" s="1537"/>
      <c r="D559" s="1537"/>
      <c r="E559" s="1537"/>
      <c r="F559" s="1537"/>
      <c r="G559" s="2202" t="s">
        <v>6699</v>
      </c>
      <c r="H559" s="2202"/>
      <c r="I559" s="2202" t="s">
        <v>6700</v>
      </c>
      <c r="J559" s="2202"/>
      <c r="K559" s="2202"/>
      <c r="L559" s="615"/>
      <c r="M559" s="615"/>
    </row>
    <row r="560" spans="1:13" ht="22.5" x14ac:dyDescent="0.2">
      <c r="A560" s="2202" t="s">
        <v>6715</v>
      </c>
      <c r="B560" s="2202"/>
      <c r="C560" s="2202" t="s">
        <v>6701</v>
      </c>
      <c r="D560" s="2202" t="s">
        <v>6702</v>
      </c>
      <c r="E560" s="2202" t="s">
        <v>6703</v>
      </c>
      <c r="F560" s="2202" t="s">
        <v>6704</v>
      </c>
      <c r="G560" s="1557" t="s">
        <v>6705</v>
      </c>
      <c r="H560" s="1557" t="s">
        <v>6706</v>
      </c>
      <c r="I560" s="1557" t="s">
        <v>6707</v>
      </c>
      <c r="J560" s="1557" t="s">
        <v>6705</v>
      </c>
      <c r="K560" s="1557" t="s">
        <v>6706</v>
      </c>
      <c r="L560" s="615"/>
      <c r="M560" s="615"/>
    </row>
    <row r="561" spans="1:13" x14ac:dyDescent="0.2">
      <c r="A561" s="2202"/>
      <c r="B561" s="2202"/>
      <c r="C561" s="2202"/>
      <c r="D561" s="2202"/>
      <c r="E561" s="2202"/>
      <c r="F561" s="2202"/>
      <c r="G561" s="1557" t="s">
        <v>6708</v>
      </c>
      <c r="H561" s="1557" t="s">
        <v>6709</v>
      </c>
      <c r="I561" s="1557" t="s">
        <v>6710</v>
      </c>
      <c r="J561" s="1557" t="s">
        <v>6708</v>
      </c>
      <c r="K561" s="1557" t="s">
        <v>6709</v>
      </c>
      <c r="L561" s="615"/>
      <c r="M561" s="615"/>
    </row>
    <row r="562" spans="1:13" ht="22.5" x14ac:dyDescent="0.2">
      <c r="A562" s="1557"/>
      <c r="B562" s="1553" t="s">
        <v>7270</v>
      </c>
      <c r="C562" s="1541">
        <v>0.5</v>
      </c>
      <c r="D562" s="1541"/>
      <c r="E562" s="1544"/>
      <c r="F562" s="1550"/>
      <c r="G562" s="1558">
        <f>SUM(J482:J485)</f>
        <v>331.09999999999997</v>
      </c>
      <c r="H562" s="1539"/>
      <c r="I562" s="1539"/>
      <c r="J562" s="1539">
        <f>G562*C562</f>
        <v>165.54999999999998</v>
      </c>
      <c r="K562" s="1539">
        <f>C562*H562</f>
        <v>0</v>
      </c>
      <c r="L562" s="1603"/>
      <c r="M562" s="615"/>
    </row>
    <row r="563" spans="1:13" x14ac:dyDescent="0.2">
      <c r="A563" s="1547"/>
      <c r="B563" s="1548"/>
      <c r="C563" s="1548"/>
      <c r="D563" s="1548"/>
      <c r="E563" s="1548"/>
      <c r="F563" s="2200" t="s">
        <v>6711</v>
      </c>
      <c r="G563" s="2200"/>
      <c r="H563" s="2200"/>
      <c r="I563" s="1549">
        <f>ROUND(SUM(I562:I562),2)</f>
        <v>0</v>
      </c>
      <c r="J563" s="1549">
        <f>ROUND(SUM(J562:J562),2)</f>
        <v>165.55</v>
      </c>
      <c r="K563" s="1549">
        <f>ROUND(SUM(K562:K562),2)</f>
        <v>0</v>
      </c>
      <c r="L563" s="615"/>
      <c r="M563" s="615"/>
    </row>
    <row r="564" spans="1:13" x14ac:dyDescent="0.2">
      <c r="A564" s="1557"/>
      <c r="B564" s="2201"/>
      <c r="C564" s="2201"/>
      <c r="D564" s="2201"/>
      <c r="E564" s="2201"/>
      <c r="F564" s="2201"/>
      <c r="G564" s="2201"/>
      <c r="H564" s="2201"/>
      <c r="I564" s="2201"/>
      <c r="J564" s="2201"/>
      <c r="K564" s="1557"/>
      <c r="L564" s="615"/>
      <c r="M564" s="615"/>
    </row>
    <row r="565" spans="1:13" ht="26.25" customHeight="1" x14ac:dyDescent="0.2">
      <c r="A565" s="1835" t="str">
        <f>'Orç - Prédio'!A199</f>
        <v>04.01.604.01</v>
      </c>
      <c r="B565" s="2207" t="str">
        <f>'Orç - Prédio'!D199</f>
        <v>Impermeabilização com cristalizante (A+B) tipo Viaplus 5000, com quatro demãos cruzadas, aplicação de tela de poliéster (malha 1x1) na segunda demão (casas de máquinas)</v>
      </c>
      <c r="C565" s="2207"/>
      <c r="D565" s="2207"/>
      <c r="E565" s="2207"/>
      <c r="F565" s="2207"/>
      <c r="G565" s="2207"/>
      <c r="H565" s="2207"/>
      <c r="I565" s="2207"/>
      <c r="J565" s="2207"/>
      <c r="K565" s="1836" t="str">
        <f>'Orç - Prédio'!F199</f>
        <v>m2</v>
      </c>
      <c r="L565" s="1837" t="s">
        <v>15154</v>
      </c>
    </row>
    <row r="566" spans="1:13" x14ac:dyDescent="0.2">
      <c r="A566" s="2202"/>
      <c r="B566" s="2202"/>
      <c r="C566" s="1537"/>
      <c r="D566" s="1537"/>
      <c r="E566" s="1537"/>
      <c r="F566" s="1537"/>
      <c r="G566" s="2202" t="s">
        <v>6699</v>
      </c>
      <c r="H566" s="2202"/>
      <c r="I566" s="2202" t="s">
        <v>6700</v>
      </c>
      <c r="J566" s="2202"/>
      <c r="K566" s="2202"/>
      <c r="L566" s="615"/>
      <c r="M566" s="615"/>
    </row>
    <row r="567" spans="1:13" ht="22.5" x14ac:dyDescent="0.2">
      <c r="A567" s="2202" t="s">
        <v>6715</v>
      </c>
      <c r="B567" s="2202"/>
      <c r="C567" s="2202" t="s">
        <v>6701</v>
      </c>
      <c r="D567" s="2202" t="s">
        <v>6702</v>
      </c>
      <c r="E567" s="2202" t="s">
        <v>6703</v>
      </c>
      <c r="F567" s="2202" t="s">
        <v>6704</v>
      </c>
      <c r="G567" s="1562" t="s">
        <v>6705</v>
      </c>
      <c r="H567" s="1562" t="s">
        <v>6706</v>
      </c>
      <c r="I567" s="1562" t="s">
        <v>6707</v>
      </c>
      <c r="J567" s="1562" t="s">
        <v>6705</v>
      </c>
      <c r="K567" s="1562" t="s">
        <v>6706</v>
      </c>
      <c r="L567" s="615"/>
      <c r="M567" s="615"/>
    </row>
    <row r="568" spans="1:13" x14ac:dyDescent="0.2">
      <c r="A568" s="2202"/>
      <c r="B568" s="2202"/>
      <c r="C568" s="2202"/>
      <c r="D568" s="2202"/>
      <c r="E568" s="2202"/>
      <c r="F568" s="2202"/>
      <c r="G568" s="1562" t="s">
        <v>6708</v>
      </c>
      <c r="H568" s="1562" t="s">
        <v>6709</v>
      </c>
      <c r="I568" s="1562" t="s">
        <v>6710</v>
      </c>
      <c r="J568" s="1562" t="s">
        <v>6708</v>
      </c>
      <c r="K568" s="1562" t="s">
        <v>6709</v>
      </c>
      <c r="L568" s="615"/>
      <c r="M568" s="615"/>
    </row>
    <row r="569" spans="1:13" x14ac:dyDescent="0.2">
      <c r="A569" s="1562"/>
      <c r="B569" s="1553" t="s">
        <v>7272</v>
      </c>
      <c r="C569" s="1541">
        <v>1</v>
      </c>
      <c r="D569" s="1541"/>
      <c r="E569" s="1544"/>
      <c r="F569" s="1550"/>
      <c r="G569" s="1558">
        <v>5.41</v>
      </c>
      <c r="H569" s="1539"/>
      <c r="I569" s="1539"/>
      <c r="J569" s="1539">
        <f>G569*C569</f>
        <v>5.41</v>
      </c>
      <c r="K569" s="1539">
        <f>C569*H569</f>
        <v>0</v>
      </c>
      <c r="L569" s="1603"/>
      <c r="M569" s="615"/>
    </row>
    <row r="570" spans="1:13" x14ac:dyDescent="0.2">
      <c r="A570" s="1620"/>
      <c r="B570" s="1553" t="s">
        <v>7273</v>
      </c>
      <c r="C570" s="1541">
        <v>1</v>
      </c>
      <c r="D570" s="1541"/>
      <c r="E570" s="1544"/>
      <c r="F570" s="1550"/>
      <c r="G570" s="1558">
        <v>7.16</v>
      </c>
      <c r="H570" s="1539"/>
      <c r="I570" s="1539"/>
      <c r="J570" s="1539">
        <f>G570*C570</f>
        <v>7.16</v>
      </c>
      <c r="K570" s="1539">
        <f>C570*H570</f>
        <v>0</v>
      </c>
      <c r="L570" s="1603"/>
      <c r="M570" s="615"/>
    </row>
    <row r="571" spans="1:13" x14ac:dyDescent="0.2">
      <c r="A571" s="1562"/>
      <c r="B571" s="1553" t="s">
        <v>7274</v>
      </c>
      <c r="C571" s="1541">
        <v>1</v>
      </c>
      <c r="D571" s="1541"/>
      <c r="E571" s="1544"/>
      <c r="F571" s="1550"/>
      <c r="G571" s="1558">
        <v>5.97</v>
      </c>
      <c r="H571" s="1539"/>
      <c r="I571" s="1539"/>
      <c r="J571" s="1539">
        <f>G571*C571</f>
        <v>5.97</v>
      </c>
      <c r="K571" s="1539">
        <f>C571*H571</f>
        <v>0</v>
      </c>
      <c r="L571" s="1603"/>
      <c r="M571" s="615"/>
    </row>
    <row r="572" spans="1:13" x14ac:dyDescent="0.2">
      <c r="A572" s="1562"/>
      <c r="B572" s="1553" t="s">
        <v>7275</v>
      </c>
      <c r="C572" s="1541">
        <v>1</v>
      </c>
      <c r="D572" s="1541"/>
      <c r="E572" s="1544"/>
      <c r="F572" s="1550"/>
      <c r="G572" s="1558">
        <v>5.42</v>
      </c>
      <c r="H572" s="1539"/>
      <c r="I572" s="1539"/>
      <c r="J572" s="1539">
        <f>G572*C572</f>
        <v>5.42</v>
      </c>
      <c r="K572" s="1539">
        <f>C572*H572</f>
        <v>0</v>
      </c>
      <c r="L572" s="1603"/>
      <c r="M572" s="615"/>
    </row>
    <row r="573" spans="1:13" x14ac:dyDescent="0.2">
      <c r="A573" s="1547"/>
      <c r="B573" s="1548"/>
      <c r="C573" s="1548"/>
      <c r="D573" s="1548"/>
      <c r="E573" s="1548"/>
      <c r="F573" s="2200" t="s">
        <v>6711</v>
      </c>
      <c r="G573" s="2200"/>
      <c r="H573" s="2200"/>
      <c r="I573" s="1549">
        <f>ROUND(SUM(I569:I572),2)</f>
        <v>0</v>
      </c>
      <c r="J573" s="1549">
        <f>ROUND(SUM(J569:J572),2)</f>
        <v>23.96</v>
      </c>
      <c r="K573" s="1549">
        <f>ROUND(SUM(K569:K572),2)</f>
        <v>0</v>
      </c>
      <c r="L573" s="615"/>
      <c r="M573" s="615"/>
    </row>
    <row r="574" spans="1:13" x14ac:dyDescent="0.2">
      <c r="A574" s="1562"/>
      <c r="B574" s="2201"/>
      <c r="C574" s="2201"/>
      <c r="D574" s="2201"/>
      <c r="E574" s="2201"/>
      <c r="F574" s="2201"/>
      <c r="G574" s="2201"/>
      <c r="H574" s="2201"/>
      <c r="I574" s="2201"/>
      <c r="J574" s="2201"/>
      <c r="K574" s="1562"/>
      <c r="L574" s="615"/>
      <c r="M574" s="615"/>
    </row>
    <row r="575" spans="1:13" ht="25.5" x14ac:dyDescent="0.2">
      <c r="A575" s="1835" t="str">
        <f>'Orç - Prédio'!A200</f>
        <v>04.01.604.02</v>
      </c>
      <c r="B575" s="2207" t="str">
        <f>'Orç - Prédio'!D200</f>
        <v>Impermeabilização de superfície com argamassa polimérica semi-flexível (na superfície do piso dos boxes dos chuveiros)</v>
      </c>
      <c r="C575" s="2207"/>
      <c r="D575" s="2207"/>
      <c r="E575" s="2207"/>
      <c r="F575" s="2207"/>
      <c r="G575" s="2207"/>
      <c r="H575" s="2207"/>
      <c r="I575" s="2207"/>
      <c r="J575" s="2207"/>
      <c r="K575" s="1836" t="str">
        <f>'Orç - Prédio'!F200</f>
        <v>m2</v>
      </c>
      <c r="L575" s="1837" t="s">
        <v>15154</v>
      </c>
    </row>
    <row r="576" spans="1:13" x14ac:dyDescent="0.2">
      <c r="A576" s="2202"/>
      <c r="B576" s="2202"/>
      <c r="C576" s="1537"/>
      <c r="D576" s="1537"/>
      <c r="E576" s="1537"/>
      <c r="F576" s="1537"/>
      <c r="G576" s="2202" t="s">
        <v>6699</v>
      </c>
      <c r="H576" s="2202"/>
      <c r="I576" s="2202" t="s">
        <v>6700</v>
      </c>
      <c r="J576" s="2202"/>
      <c r="K576" s="2202"/>
      <c r="L576" s="615"/>
      <c r="M576" s="615"/>
    </row>
    <row r="577" spans="1:13" ht="22.5" x14ac:dyDescent="0.2">
      <c r="A577" s="2202" t="s">
        <v>6715</v>
      </c>
      <c r="B577" s="2202"/>
      <c r="C577" s="2202" t="s">
        <v>6701</v>
      </c>
      <c r="D577" s="2202" t="s">
        <v>6702</v>
      </c>
      <c r="E577" s="2202" t="s">
        <v>6703</v>
      </c>
      <c r="F577" s="2202" t="s">
        <v>6704</v>
      </c>
      <c r="G577" s="1620" t="s">
        <v>6705</v>
      </c>
      <c r="H577" s="1620" t="s">
        <v>6706</v>
      </c>
      <c r="I577" s="1620" t="s">
        <v>6707</v>
      </c>
      <c r="J577" s="1620" t="s">
        <v>6705</v>
      </c>
      <c r="K577" s="1620" t="s">
        <v>6706</v>
      </c>
      <c r="L577" s="615"/>
      <c r="M577" s="615"/>
    </row>
    <row r="578" spans="1:13" x14ac:dyDescent="0.2">
      <c r="A578" s="2202"/>
      <c r="B578" s="2202"/>
      <c r="C578" s="2202"/>
      <c r="D578" s="2202"/>
      <c r="E578" s="2202"/>
      <c r="F578" s="2202"/>
      <c r="G578" s="1620" t="s">
        <v>6708</v>
      </c>
      <c r="H578" s="1620" t="s">
        <v>6709</v>
      </c>
      <c r="I578" s="1620" t="s">
        <v>6710</v>
      </c>
      <c r="J578" s="1620" t="s">
        <v>6708</v>
      </c>
      <c r="K578" s="1620" t="s">
        <v>6709</v>
      </c>
      <c r="L578" s="615"/>
      <c r="M578" s="615"/>
    </row>
    <row r="579" spans="1:13" ht="22.5" x14ac:dyDescent="0.2">
      <c r="A579" s="1620"/>
      <c r="B579" s="1553" t="s">
        <v>6948</v>
      </c>
      <c r="C579" s="1541">
        <v>2</v>
      </c>
      <c r="D579" s="1541"/>
      <c r="E579" s="1544"/>
      <c r="F579" s="1550"/>
      <c r="G579" s="1558">
        <v>1.95</v>
      </c>
      <c r="H579" s="1539"/>
      <c r="I579" s="1539"/>
      <c r="J579" s="1539">
        <f>G579*C579</f>
        <v>3.9</v>
      </c>
      <c r="K579" s="1539">
        <f>C579*H579</f>
        <v>0</v>
      </c>
      <c r="L579" s="1603"/>
      <c r="M579" s="615"/>
    </row>
    <row r="580" spans="1:13" ht="22.5" x14ac:dyDescent="0.2">
      <c r="A580" s="1620"/>
      <c r="B580" s="1553" t="s">
        <v>6947</v>
      </c>
      <c r="C580" s="1541">
        <v>2</v>
      </c>
      <c r="D580" s="1541"/>
      <c r="E580" s="1544"/>
      <c r="F580" s="1550"/>
      <c r="G580" s="1558">
        <v>1.95</v>
      </c>
      <c r="H580" s="1539"/>
      <c r="I580" s="1539"/>
      <c r="J580" s="1539">
        <f>G580*C580</f>
        <v>3.9</v>
      </c>
      <c r="K580" s="1539">
        <f>C580*H580</f>
        <v>0</v>
      </c>
      <c r="L580" s="1603"/>
      <c r="M580" s="615"/>
    </row>
    <row r="581" spans="1:13" ht="22.5" x14ac:dyDescent="0.2">
      <c r="A581" s="1620"/>
      <c r="B581" s="1553" t="s">
        <v>6949</v>
      </c>
      <c r="C581" s="1541">
        <v>2</v>
      </c>
      <c r="D581" s="1541"/>
      <c r="E581" s="1544"/>
      <c r="F581" s="1550"/>
      <c r="G581" s="1558">
        <v>0</v>
      </c>
      <c r="H581" s="1539"/>
      <c r="I581" s="1539"/>
      <c r="J581" s="1539">
        <f>G581*C581</f>
        <v>0</v>
      </c>
      <c r="K581" s="1539">
        <f>C581*H581</f>
        <v>0</v>
      </c>
      <c r="L581" s="1603"/>
      <c r="M581" s="615"/>
    </row>
    <row r="582" spans="1:13" ht="22.5" x14ac:dyDescent="0.2">
      <c r="A582" s="1620"/>
      <c r="B582" s="1553" t="s">
        <v>6950</v>
      </c>
      <c r="C582" s="1541">
        <v>2</v>
      </c>
      <c r="D582" s="1541"/>
      <c r="E582" s="1544"/>
      <c r="F582" s="1550"/>
      <c r="G582" s="1558">
        <v>0</v>
      </c>
      <c r="H582" s="1539"/>
      <c r="I582" s="1539"/>
      <c r="J582" s="1539">
        <f>G582*C582</f>
        <v>0</v>
      </c>
      <c r="K582" s="1539">
        <f>C582*H582</f>
        <v>0</v>
      </c>
      <c r="L582" s="1603"/>
      <c r="M582" s="615"/>
    </row>
    <row r="583" spans="1:13" x14ac:dyDescent="0.2">
      <c r="A583" s="1547"/>
      <c r="B583" s="1548"/>
      <c r="C583" s="1548"/>
      <c r="D583" s="1548"/>
      <c r="E583" s="1548"/>
      <c r="F583" s="2200" t="s">
        <v>6711</v>
      </c>
      <c r="G583" s="2200"/>
      <c r="H583" s="2200"/>
      <c r="I583" s="1549">
        <f>ROUND(SUM(I579:I582),2)</f>
        <v>0</v>
      </c>
      <c r="J583" s="1549">
        <f>ROUND(SUM(J579:J582),2)</f>
        <v>7.8</v>
      </c>
      <c r="K583" s="1549">
        <f>ROUND(SUM(K579:K582),2)</f>
        <v>0</v>
      </c>
      <c r="L583" s="615"/>
      <c r="M583" s="615"/>
    </row>
    <row r="584" spans="1:13" x14ac:dyDescent="0.2">
      <c r="A584" s="1620"/>
      <c r="B584" s="2201"/>
      <c r="C584" s="2201"/>
      <c r="D584" s="2201"/>
      <c r="E584" s="2201"/>
      <c r="F584" s="2201"/>
      <c r="G584" s="2201"/>
      <c r="H584" s="2201"/>
      <c r="I584" s="2201"/>
      <c r="J584" s="2201"/>
      <c r="K584" s="1620"/>
      <c r="L584" s="615"/>
      <c r="M584" s="615"/>
    </row>
    <row r="585" spans="1:13" ht="25.5" x14ac:dyDescent="0.2">
      <c r="A585" s="1835" t="str">
        <f>'Orç - Prédio'!A201</f>
        <v>04.01.609</v>
      </c>
      <c r="B585" s="2207" t="str">
        <f>'Orç - Prédio'!D201</f>
        <v>Pintura impermeabilizante para pedras (para pisos, divisórias, bancadas e soleiras de granito)</v>
      </c>
      <c r="C585" s="2207"/>
      <c r="D585" s="2207"/>
      <c r="E585" s="2207"/>
      <c r="F585" s="2207"/>
      <c r="G585" s="2207"/>
      <c r="H585" s="2207"/>
      <c r="I585" s="2207"/>
      <c r="J585" s="2207"/>
      <c r="K585" s="1836" t="str">
        <f>'Orç - Prédio'!F201</f>
        <v>m2</v>
      </c>
      <c r="L585" s="1837" t="s">
        <v>15154</v>
      </c>
    </row>
    <row r="586" spans="1:13" x14ac:dyDescent="0.2">
      <c r="A586" s="2202"/>
      <c r="B586" s="2202"/>
      <c r="C586" s="1537"/>
      <c r="D586" s="1537"/>
      <c r="E586" s="1537"/>
      <c r="F586" s="1537"/>
      <c r="G586" s="2202"/>
      <c r="H586" s="2202"/>
      <c r="I586" s="2202" t="s">
        <v>6700</v>
      </c>
      <c r="J586" s="2202"/>
      <c r="K586" s="2202"/>
      <c r="L586" s="615"/>
      <c r="M586" s="615"/>
    </row>
    <row r="587" spans="1:13" ht="22.5" x14ac:dyDescent="0.2">
      <c r="A587" s="2202" t="s">
        <v>6715</v>
      </c>
      <c r="B587" s="2202"/>
      <c r="C587" s="2202" t="s">
        <v>7281</v>
      </c>
      <c r="D587" s="2202" t="s">
        <v>6704</v>
      </c>
      <c r="E587" s="2202" t="s">
        <v>6703</v>
      </c>
      <c r="F587" s="2202" t="s">
        <v>7285</v>
      </c>
      <c r="G587" s="2202" t="s">
        <v>6705</v>
      </c>
      <c r="H587" s="1620"/>
      <c r="I587" s="1620" t="s">
        <v>6707</v>
      </c>
      <c r="J587" s="1620" t="s">
        <v>6705</v>
      </c>
      <c r="K587" s="1620" t="s">
        <v>6706</v>
      </c>
      <c r="L587" s="615"/>
      <c r="M587" s="615"/>
    </row>
    <row r="588" spans="1:13" x14ac:dyDescent="0.2">
      <c r="A588" s="2202"/>
      <c r="B588" s="2202"/>
      <c r="C588" s="2202"/>
      <c r="D588" s="2202"/>
      <c r="E588" s="2202"/>
      <c r="F588" s="2202"/>
      <c r="G588" s="2202"/>
      <c r="H588" s="1620"/>
      <c r="I588" s="1620" t="s">
        <v>6710</v>
      </c>
      <c r="J588" s="1620" t="s">
        <v>6708</v>
      </c>
      <c r="K588" s="1620" t="s">
        <v>6709</v>
      </c>
      <c r="L588" s="615"/>
      <c r="M588" s="615"/>
    </row>
    <row r="589" spans="1:13" x14ac:dyDescent="0.2">
      <c r="A589" s="1620"/>
      <c r="B589" s="1553" t="s">
        <v>7280</v>
      </c>
      <c r="C589" s="1541">
        <v>2</v>
      </c>
      <c r="D589" s="1541"/>
      <c r="E589" s="1544"/>
      <c r="F589" s="1550"/>
      <c r="G589" s="1558">
        <f>J322</f>
        <v>61.15</v>
      </c>
      <c r="H589" s="1539"/>
      <c r="I589" s="1539"/>
      <c r="J589" s="1539">
        <f>G589*C589</f>
        <v>122.3</v>
      </c>
      <c r="K589" s="1539">
        <f t="shared" ref="K589:K594" si="35">C589*H589</f>
        <v>0</v>
      </c>
      <c r="L589" s="1603"/>
      <c r="M589" s="615"/>
    </row>
    <row r="590" spans="1:13" x14ac:dyDescent="0.2">
      <c r="A590" s="1620"/>
      <c r="B590" s="1553" t="s">
        <v>7287</v>
      </c>
      <c r="C590" s="1541">
        <v>1</v>
      </c>
      <c r="D590" s="1541"/>
      <c r="E590" s="1544"/>
      <c r="F590" s="1550"/>
      <c r="G590" s="1558">
        <f>J423</f>
        <v>26.84</v>
      </c>
      <c r="H590" s="1539"/>
      <c r="I590" s="1539"/>
      <c r="J590" s="1539">
        <f>G590*C590</f>
        <v>26.84</v>
      </c>
      <c r="K590" s="1539">
        <f t="shared" si="35"/>
        <v>0</v>
      </c>
      <c r="L590" s="1603"/>
      <c r="M590" s="615"/>
    </row>
    <row r="591" spans="1:13" x14ac:dyDescent="0.2">
      <c r="A591" s="1620"/>
      <c r="B591" s="1553" t="s">
        <v>5882</v>
      </c>
      <c r="C591" s="1541">
        <v>1</v>
      </c>
      <c r="D591" s="1541"/>
      <c r="E591" s="1544"/>
      <c r="F591" s="1550"/>
      <c r="G591" s="1558">
        <f>J701</f>
        <v>233.88</v>
      </c>
      <c r="H591" s="1539"/>
      <c r="I591" s="1539"/>
      <c r="J591" s="1539">
        <f>G591*C591</f>
        <v>233.88</v>
      </c>
      <c r="K591" s="1539">
        <f t="shared" si="35"/>
        <v>0</v>
      </c>
      <c r="L591" s="1603"/>
      <c r="M591" s="615"/>
    </row>
    <row r="592" spans="1:13" x14ac:dyDescent="0.2">
      <c r="A592" s="1620"/>
      <c r="B592" s="1553" t="s">
        <v>7283</v>
      </c>
      <c r="C592" s="1541">
        <v>1</v>
      </c>
      <c r="D592" s="1541">
        <v>0.1</v>
      </c>
      <c r="E592" s="1544"/>
      <c r="F592" s="1550">
        <f>I732</f>
        <v>122.77</v>
      </c>
      <c r="G592" s="1558"/>
      <c r="H592" s="1539"/>
      <c r="I592" s="1539"/>
      <c r="J592" s="1539">
        <f>F592*D592*C592</f>
        <v>12.277000000000001</v>
      </c>
      <c r="K592" s="1539">
        <f t="shared" si="35"/>
        <v>0</v>
      </c>
      <c r="L592" s="1603"/>
      <c r="M592" s="615"/>
    </row>
    <row r="593" spans="1:13" x14ac:dyDescent="0.2">
      <c r="A593" s="1620"/>
      <c r="B593" s="1553" t="s">
        <v>7282</v>
      </c>
      <c r="C593" s="1541">
        <v>1</v>
      </c>
      <c r="D593" s="1541"/>
      <c r="E593" s="1544">
        <v>0.15</v>
      </c>
      <c r="F593" s="1550">
        <f>I617</f>
        <v>9.8000000000000007</v>
      </c>
      <c r="G593" s="1558"/>
      <c r="H593" s="1539"/>
      <c r="I593" s="1539"/>
      <c r="J593" s="1539">
        <f>F593*E593*C593</f>
        <v>1.47</v>
      </c>
      <c r="K593" s="1539">
        <f t="shared" si="35"/>
        <v>0</v>
      </c>
      <c r="L593" s="1603"/>
      <c r="M593" s="615"/>
    </row>
    <row r="594" spans="1:13" x14ac:dyDescent="0.2">
      <c r="A594" s="1620"/>
      <c r="B594" s="1553" t="s">
        <v>7284</v>
      </c>
      <c r="C594" s="1541">
        <v>2</v>
      </c>
      <c r="D594" s="1541"/>
      <c r="E594" s="1544"/>
      <c r="F594" s="1550"/>
      <c r="G594" s="1558">
        <f>J740</f>
        <v>3.81</v>
      </c>
      <c r="H594" s="1539"/>
      <c r="I594" s="1539"/>
      <c r="J594" s="1539">
        <f>G594*C594</f>
        <v>7.62</v>
      </c>
      <c r="K594" s="1539">
        <f t="shared" si="35"/>
        <v>0</v>
      </c>
      <c r="L594" s="1603"/>
      <c r="M594" s="615"/>
    </row>
    <row r="595" spans="1:13" x14ac:dyDescent="0.2">
      <c r="A595" s="1547"/>
      <c r="B595" s="1548"/>
      <c r="C595" s="1548"/>
      <c r="D595" s="1548"/>
      <c r="E595" s="1548"/>
      <c r="F595" s="2200" t="s">
        <v>6711</v>
      </c>
      <c r="G595" s="2200"/>
      <c r="H595" s="2200"/>
      <c r="I595" s="1549">
        <f>ROUND(SUM(I589:I594),2)</f>
        <v>0</v>
      </c>
      <c r="J595" s="1549">
        <f>ROUND(SUM(J589:J594),2)</f>
        <v>404.39</v>
      </c>
      <c r="K595" s="1549">
        <f>ROUND(SUM(K589:K594),2)</f>
        <v>0</v>
      </c>
      <c r="L595" s="615"/>
      <c r="M595" s="615"/>
    </row>
    <row r="596" spans="1:13" x14ac:dyDescent="0.2">
      <c r="A596" s="1620"/>
      <c r="B596" s="2201"/>
      <c r="C596" s="2201"/>
      <c r="D596" s="2201"/>
      <c r="E596" s="2201"/>
      <c r="F596" s="2201"/>
      <c r="G596" s="2201"/>
      <c r="H596" s="2201"/>
      <c r="I596" s="2201"/>
      <c r="J596" s="2201"/>
      <c r="K596" s="1620"/>
      <c r="L596" s="615"/>
      <c r="M596" s="615"/>
    </row>
    <row r="597" spans="1:13" ht="25.5" x14ac:dyDescent="0.2">
      <c r="A597" s="1835" t="str">
        <f>'Orç - Prédio'!A203</f>
        <v>04.01.701.01</v>
      </c>
      <c r="B597" s="2207" t="str">
        <f>'Orç - Prédio'!D203</f>
        <v>Rodapé em granito, altura 10 cm</v>
      </c>
      <c r="C597" s="2207"/>
      <c r="D597" s="2207"/>
      <c r="E597" s="2207"/>
      <c r="F597" s="2207"/>
      <c r="G597" s="2207"/>
      <c r="H597" s="2207"/>
      <c r="I597" s="2207"/>
      <c r="J597" s="2207"/>
      <c r="K597" s="1836" t="str">
        <f>'Orç - Prédio'!F203</f>
        <v>m</v>
      </c>
      <c r="L597" s="1837" t="s">
        <v>15154</v>
      </c>
    </row>
    <row r="598" spans="1:13" x14ac:dyDescent="0.2">
      <c r="A598" s="2202"/>
      <c r="B598" s="2202"/>
      <c r="C598" s="1537"/>
      <c r="D598" s="1537"/>
      <c r="E598" s="1537"/>
      <c r="F598" s="1537"/>
      <c r="G598" s="2202" t="s">
        <v>6699</v>
      </c>
      <c r="H598" s="2202"/>
      <c r="I598" s="2202" t="s">
        <v>6700</v>
      </c>
      <c r="J598" s="2202"/>
      <c r="K598" s="2202"/>
      <c r="L598" s="615"/>
      <c r="M598" s="615"/>
    </row>
    <row r="599" spans="1:13" ht="22.5" x14ac:dyDescent="0.2">
      <c r="A599" s="2202" t="s">
        <v>6715</v>
      </c>
      <c r="B599" s="2202"/>
      <c r="C599" s="2202" t="s">
        <v>6701</v>
      </c>
      <c r="D599" s="2202" t="s">
        <v>6702</v>
      </c>
      <c r="E599" s="2202" t="s">
        <v>6703</v>
      </c>
      <c r="F599" s="2202" t="s">
        <v>6704</v>
      </c>
      <c r="G599" s="1562" t="s">
        <v>6705</v>
      </c>
      <c r="H599" s="1562" t="s">
        <v>6706</v>
      </c>
      <c r="I599" s="1562" t="s">
        <v>6707</v>
      </c>
      <c r="J599" s="1562" t="s">
        <v>6705</v>
      </c>
      <c r="K599" s="1562" t="s">
        <v>6706</v>
      </c>
      <c r="L599" s="615"/>
      <c r="M599" s="615"/>
    </row>
    <row r="600" spans="1:13" x14ac:dyDescent="0.2">
      <c r="A600" s="2202"/>
      <c r="B600" s="2202"/>
      <c r="C600" s="2202"/>
      <c r="D600" s="2202"/>
      <c r="E600" s="2202"/>
      <c r="F600" s="2202"/>
      <c r="G600" s="1562" t="s">
        <v>6708</v>
      </c>
      <c r="H600" s="1562" t="s">
        <v>6709</v>
      </c>
      <c r="I600" s="1562" t="s">
        <v>6710</v>
      </c>
      <c r="J600" s="1562" t="s">
        <v>6708</v>
      </c>
      <c r="K600" s="1562" t="s">
        <v>6709</v>
      </c>
      <c r="L600" s="615"/>
      <c r="M600" s="615"/>
    </row>
    <row r="601" spans="1:13" ht="22.5" x14ac:dyDescent="0.2">
      <c r="A601" s="1562"/>
      <c r="B601" s="1553" t="s">
        <v>5888</v>
      </c>
      <c r="C601" s="1541">
        <v>1</v>
      </c>
      <c r="D601" s="1541">
        <f>2*(10.9+10.9+19.2+19.2)+9.71+8.4+11.3+11.3</f>
        <v>161.11000000000004</v>
      </c>
      <c r="E601" s="1544"/>
      <c r="F601" s="1550"/>
      <c r="G601" s="1558"/>
      <c r="H601" s="1539"/>
      <c r="I601" s="1539">
        <f>D601</f>
        <v>161.11000000000004</v>
      </c>
      <c r="J601" s="1539">
        <f>G601*C601</f>
        <v>0</v>
      </c>
      <c r="K601" s="1539">
        <f>C601*H601</f>
        <v>0</v>
      </c>
      <c r="L601" s="1603"/>
      <c r="M601" s="615"/>
    </row>
    <row r="602" spans="1:13" x14ac:dyDescent="0.2">
      <c r="A602" s="1547"/>
      <c r="B602" s="1548"/>
      <c r="C602" s="1548"/>
      <c r="D602" s="1548"/>
      <c r="E602" s="1548"/>
      <c r="F602" s="2200" t="s">
        <v>6711</v>
      </c>
      <c r="G602" s="2200"/>
      <c r="H602" s="2200"/>
      <c r="I602" s="1549">
        <f>ROUND(SUM(I601:I601),2)</f>
        <v>161.11000000000001</v>
      </c>
      <c r="J602" s="1549">
        <f>ROUND(SUM(J601:J601),2)</f>
        <v>0</v>
      </c>
      <c r="K602" s="1549">
        <f>ROUND(SUM(K601:K601),2)</f>
        <v>0</v>
      </c>
      <c r="L602" s="615"/>
      <c r="M602" s="615"/>
    </row>
    <row r="603" spans="1:13" x14ac:dyDescent="0.2">
      <c r="A603" s="1562"/>
      <c r="B603" s="2201"/>
      <c r="C603" s="2201"/>
      <c r="D603" s="2201"/>
      <c r="E603" s="2201"/>
      <c r="F603" s="2201"/>
      <c r="G603" s="2201"/>
      <c r="H603" s="2201"/>
      <c r="I603" s="2201"/>
      <c r="J603" s="2201"/>
      <c r="K603" s="1562"/>
      <c r="L603" s="615"/>
      <c r="M603" s="615"/>
    </row>
    <row r="604" spans="1:13" ht="25.5" x14ac:dyDescent="0.2">
      <c r="A604" s="1835" t="str">
        <f>'Orç - Prédio'!A204</f>
        <v>04.01.701.02</v>
      </c>
      <c r="B604" s="2207" t="str">
        <f>'Orç - Prédio'!D204</f>
        <v>Rodapé em granitina, altura 10 cm</v>
      </c>
      <c r="C604" s="2207"/>
      <c r="D604" s="2207"/>
      <c r="E604" s="2207"/>
      <c r="F604" s="2207"/>
      <c r="G604" s="2207"/>
      <c r="H604" s="2207"/>
      <c r="I604" s="2207"/>
      <c r="J604" s="2207"/>
      <c r="K604" s="1836" t="str">
        <f>'Orç - Prédio'!F204</f>
        <v>m</v>
      </c>
      <c r="L604" s="1837" t="s">
        <v>15154</v>
      </c>
    </row>
    <row r="605" spans="1:13" x14ac:dyDescent="0.2">
      <c r="A605" s="2202"/>
      <c r="B605" s="2202"/>
      <c r="C605" s="1537"/>
      <c r="D605" s="1537"/>
      <c r="E605" s="1537"/>
      <c r="F605" s="1537"/>
      <c r="G605" s="2202" t="s">
        <v>6699</v>
      </c>
      <c r="H605" s="2202"/>
      <c r="I605" s="2202" t="s">
        <v>6700</v>
      </c>
      <c r="J605" s="2202"/>
      <c r="K605" s="2202"/>
      <c r="L605" s="615"/>
      <c r="M605" s="615"/>
    </row>
    <row r="606" spans="1:13" ht="22.5" x14ac:dyDescent="0.2">
      <c r="A606" s="2202" t="s">
        <v>6715</v>
      </c>
      <c r="B606" s="2202"/>
      <c r="C606" s="2202" t="s">
        <v>6701</v>
      </c>
      <c r="D606" s="2202" t="s">
        <v>6702</v>
      </c>
      <c r="E606" s="2202" t="s">
        <v>6703</v>
      </c>
      <c r="F606" s="2202" t="s">
        <v>6704</v>
      </c>
      <c r="G606" s="1562" t="s">
        <v>6705</v>
      </c>
      <c r="H606" s="1562" t="s">
        <v>6706</v>
      </c>
      <c r="I606" s="1562" t="s">
        <v>6707</v>
      </c>
      <c r="J606" s="1562" t="s">
        <v>6705</v>
      </c>
      <c r="K606" s="1562" t="s">
        <v>6706</v>
      </c>
      <c r="L606" s="615"/>
      <c r="M606" s="615"/>
    </row>
    <row r="607" spans="1:13" x14ac:dyDescent="0.2">
      <c r="A607" s="2202"/>
      <c r="B607" s="2202"/>
      <c r="C607" s="2202"/>
      <c r="D607" s="2202"/>
      <c r="E607" s="2202"/>
      <c r="F607" s="2202"/>
      <c r="G607" s="1562" t="s">
        <v>6708</v>
      </c>
      <c r="H607" s="1562" t="s">
        <v>6709</v>
      </c>
      <c r="I607" s="1562" t="s">
        <v>6710</v>
      </c>
      <c r="J607" s="1562" t="s">
        <v>6708</v>
      </c>
      <c r="K607" s="1562" t="s">
        <v>6709</v>
      </c>
      <c r="L607" s="615"/>
      <c r="M607" s="615"/>
    </row>
    <row r="608" spans="1:13" x14ac:dyDescent="0.2">
      <c r="A608" s="1562"/>
      <c r="B608" s="1553" t="s">
        <v>5840</v>
      </c>
      <c r="C608" s="1541">
        <v>1</v>
      </c>
      <c r="D608" s="1541">
        <v>506.25</v>
      </c>
      <c r="E608" s="1544"/>
      <c r="F608" s="1550"/>
      <c r="G608" s="1558"/>
      <c r="H608" s="1539"/>
      <c r="I608" s="1539">
        <f>D608</f>
        <v>506.25</v>
      </c>
      <c r="J608" s="1539">
        <f>G608*C608</f>
        <v>0</v>
      </c>
      <c r="K608" s="1539">
        <f>C608*H608</f>
        <v>0</v>
      </c>
      <c r="L608" s="1603"/>
      <c r="M608" s="615"/>
    </row>
    <row r="609" spans="1:13" x14ac:dyDescent="0.2">
      <c r="A609" s="1562"/>
      <c r="B609" s="1553" t="s">
        <v>5841</v>
      </c>
      <c r="C609" s="1541">
        <v>1</v>
      </c>
      <c r="D609" s="1541">
        <v>381.3</v>
      </c>
      <c r="E609" s="1544"/>
      <c r="F609" s="1550"/>
      <c r="G609" s="1558"/>
      <c r="H609" s="1539"/>
      <c r="I609" s="1539">
        <f>D609</f>
        <v>381.3</v>
      </c>
      <c r="J609" s="1539">
        <f>G609*C609</f>
        <v>0</v>
      </c>
      <c r="K609" s="1539">
        <f>C609*H609</f>
        <v>0</v>
      </c>
      <c r="L609" s="1603"/>
      <c r="M609" s="615"/>
    </row>
    <row r="610" spans="1:13" x14ac:dyDescent="0.2">
      <c r="A610" s="1547"/>
      <c r="B610" s="1548"/>
      <c r="C610" s="1548"/>
      <c r="D610" s="1548"/>
      <c r="E610" s="1548"/>
      <c r="F610" s="2200" t="s">
        <v>6711</v>
      </c>
      <c r="G610" s="2200"/>
      <c r="H610" s="2200"/>
      <c r="I610" s="1549">
        <f>ROUND(SUM(I608:I609),2)</f>
        <v>887.55</v>
      </c>
      <c r="J610" s="1549">
        <f>ROUND(SUM(J609:J609),2)</f>
        <v>0</v>
      </c>
      <c r="K610" s="1549">
        <f>ROUND(SUM(K609:K609),2)</f>
        <v>0</v>
      </c>
      <c r="L610" s="615"/>
      <c r="M610" s="615"/>
    </row>
    <row r="611" spans="1:13" x14ac:dyDescent="0.2">
      <c r="A611" s="1562"/>
      <c r="B611" s="2201"/>
      <c r="C611" s="2201"/>
      <c r="D611" s="2201"/>
      <c r="E611" s="2201"/>
      <c r="F611" s="2201"/>
      <c r="G611" s="2201"/>
      <c r="H611" s="2201"/>
      <c r="I611" s="2201"/>
      <c r="J611" s="2201"/>
      <c r="K611" s="1562"/>
      <c r="L611" s="615"/>
      <c r="M611" s="615"/>
    </row>
    <row r="612" spans="1:13" ht="25.5" x14ac:dyDescent="0.2">
      <c r="A612" s="1835" t="str">
        <f>'Orç - Prédio'!A205</f>
        <v>04.01.702</v>
      </c>
      <c r="B612" s="2207" t="str">
        <f>'Orç - Prédio'!D205</f>
        <v>Soleira de granito, largura 15cm, espessura 3cm, assentada sobre argamassa traço 1:4 (cimento e areia)</v>
      </c>
      <c r="C612" s="2207"/>
      <c r="D612" s="2207"/>
      <c r="E612" s="2207"/>
      <c r="F612" s="2207"/>
      <c r="G612" s="2207"/>
      <c r="H612" s="2207"/>
      <c r="I612" s="2207"/>
      <c r="J612" s="2207"/>
      <c r="K612" s="1836" t="str">
        <f>'Orç - Prédio'!F205</f>
        <v>m</v>
      </c>
      <c r="L612" s="1837" t="s">
        <v>15154</v>
      </c>
    </row>
    <row r="613" spans="1:13" x14ac:dyDescent="0.2">
      <c r="A613" s="2202"/>
      <c r="B613" s="2202"/>
      <c r="C613" s="1537"/>
      <c r="D613" s="1537"/>
      <c r="E613" s="1537"/>
      <c r="F613" s="1537"/>
      <c r="G613" s="2202" t="s">
        <v>6699</v>
      </c>
      <c r="H613" s="2202"/>
      <c r="I613" s="2202" t="s">
        <v>6700</v>
      </c>
      <c r="J613" s="2202"/>
      <c r="K613" s="2202"/>
      <c r="L613" s="615"/>
      <c r="M613" s="615"/>
    </row>
    <row r="614" spans="1:13" ht="22.5" x14ac:dyDescent="0.2">
      <c r="A614" s="2202" t="s">
        <v>6715</v>
      </c>
      <c r="B614" s="2202"/>
      <c r="C614" s="2202" t="s">
        <v>6701</v>
      </c>
      <c r="D614" s="2202" t="s">
        <v>6702</v>
      </c>
      <c r="E614" s="2202" t="s">
        <v>6703</v>
      </c>
      <c r="F614" s="2202" t="s">
        <v>6704</v>
      </c>
      <c r="G614" s="1562" t="s">
        <v>6705</v>
      </c>
      <c r="H614" s="1562" t="s">
        <v>6706</v>
      </c>
      <c r="I614" s="1562" t="s">
        <v>6707</v>
      </c>
      <c r="J614" s="1562" t="s">
        <v>6705</v>
      </c>
      <c r="K614" s="1562" t="s">
        <v>6706</v>
      </c>
      <c r="L614" s="615"/>
      <c r="M614" s="615"/>
    </row>
    <row r="615" spans="1:13" x14ac:dyDescent="0.2">
      <c r="A615" s="2202"/>
      <c r="B615" s="2202"/>
      <c r="C615" s="2202"/>
      <c r="D615" s="2202"/>
      <c r="E615" s="2202"/>
      <c r="F615" s="2202"/>
      <c r="G615" s="1562" t="s">
        <v>6708</v>
      </c>
      <c r="H615" s="1562" t="s">
        <v>6709</v>
      </c>
      <c r="I615" s="1562" t="s">
        <v>6710</v>
      </c>
      <c r="J615" s="1562" t="s">
        <v>6708</v>
      </c>
      <c r="K615" s="1562" t="s">
        <v>6709</v>
      </c>
      <c r="L615" s="615"/>
      <c r="M615" s="615"/>
    </row>
    <row r="616" spans="1:13" ht="22.5" x14ac:dyDescent="0.2">
      <c r="A616" s="1562"/>
      <c r="B616" s="1553" t="s">
        <v>5839</v>
      </c>
      <c r="C616" s="1541">
        <v>10</v>
      </c>
      <c r="D616" s="1541">
        <v>0.98</v>
      </c>
      <c r="E616" s="1544"/>
      <c r="F616" s="1550"/>
      <c r="G616" s="1558"/>
      <c r="H616" s="1539"/>
      <c r="I616" s="1539">
        <f>D616*C616</f>
        <v>9.8000000000000007</v>
      </c>
      <c r="J616" s="1539">
        <f>G616*C616</f>
        <v>0</v>
      </c>
      <c r="K616" s="1539">
        <f>C616*H616</f>
        <v>0</v>
      </c>
      <c r="L616" s="1603"/>
      <c r="M616" s="615"/>
    </row>
    <row r="617" spans="1:13" x14ac:dyDescent="0.2">
      <c r="A617" s="1547"/>
      <c r="B617" s="1548"/>
      <c r="C617" s="1548"/>
      <c r="D617" s="1548"/>
      <c r="E617" s="1548"/>
      <c r="F617" s="2200" t="s">
        <v>6711</v>
      </c>
      <c r="G617" s="2200"/>
      <c r="H617" s="2200"/>
      <c r="I617" s="1549">
        <f>ROUND(SUM(I616:I616),2)</f>
        <v>9.8000000000000007</v>
      </c>
      <c r="J617" s="1549">
        <f>ROUND(SUM(J616:J616),2)</f>
        <v>0</v>
      </c>
      <c r="K617" s="1549">
        <f>ROUND(SUM(K616:K616),2)</f>
        <v>0</v>
      </c>
      <c r="L617" s="615"/>
      <c r="M617" s="615"/>
    </row>
    <row r="618" spans="1:13" x14ac:dyDescent="0.2">
      <c r="A618" s="1562"/>
      <c r="B618" s="2201"/>
      <c r="C618" s="2201"/>
      <c r="D618" s="2201"/>
      <c r="E618" s="2201"/>
      <c r="F618" s="2201"/>
      <c r="G618" s="2201"/>
      <c r="H618" s="2201"/>
      <c r="I618" s="2201"/>
      <c r="J618" s="2201"/>
      <c r="K618" s="1562"/>
      <c r="L618" s="615"/>
      <c r="M618" s="615"/>
    </row>
    <row r="619" spans="1:13" ht="25.5" x14ac:dyDescent="0.2">
      <c r="A619" s="1835" t="str">
        <f>'Orç - Prédio'!A206</f>
        <v>04.01.703</v>
      </c>
      <c r="B619" s="2207" t="str">
        <f>'Orç - Prédio'!D206</f>
        <v>Peitoril em peças de concreto pré-fabricadas, espessura 50mm</v>
      </c>
      <c r="C619" s="2207"/>
      <c r="D619" s="2207"/>
      <c r="E619" s="2207"/>
      <c r="F619" s="2207"/>
      <c r="G619" s="2207"/>
      <c r="H619" s="2207"/>
      <c r="I619" s="2207"/>
      <c r="J619" s="2207"/>
      <c r="K619" s="1836" t="str">
        <f>'Orç - Prédio'!F206</f>
        <v>m</v>
      </c>
      <c r="L619" s="1837" t="s">
        <v>15154</v>
      </c>
    </row>
    <row r="620" spans="1:13" x14ac:dyDescent="0.2">
      <c r="A620" s="2202"/>
      <c r="B620" s="2202"/>
      <c r="C620" s="1537"/>
      <c r="D620" s="1537"/>
      <c r="E620" s="1537"/>
      <c r="F620" s="1537"/>
      <c r="G620" s="2202" t="s">
        <v>6699</v>
      </c>
      <c r="H620" s="2202"/>
      <c r="I620" s="2202" t="s">
        <v>6700</v>
      </c>
      <c r="J620" s="2202"/>
      <c r="K620" s="2202"/>
      <c r="L620" s="615"/>
      <c r="M620" s="615"/>
    </row>
    <row r="621" spans="1:13" ht="22.5" x14ac:dyDescent="0.2">
      <c r="A621" s="2202" t="s">
        <v>6715</v>
      </c>
      <c r="B621" s="2202"/>
      <c r="C621" s="2202" t="s">
        <v>6701</v>
      </c>
      <c r="D621" s="2202" t="s">
        <v>6702</v>
      </c>
      <c r="E621" s="2202" t="s">
        <v>6703</v>
      </c>
      <c r="F621" s="2202" t="s">
        <v>6704</v>
      </c>
      <c r="G621" s="1562" t="s">
        <v>6705</v>
      </c>
      <c r="H621" s="1562" t="s">
        <v>6706</v>
      </c>
      <c r="I621" s="1562" t="s">
        <v>6707</v>
      </c>
      <c r="J621" s="1562" t="s">
        <v>6705</v>
      </c>
      <c r="K621" s="1562" t="s">
        <v>6706</v>
      </c>
      <c r="L621" s="1603"/>
      <c r="M621" s="615"/>
    </row>
    <row r="622" spans="1:13" x14ac:dyDescent="0.2">
      <c r="A622" s="2202"/>
      <c r="B622" s="2202"/>
      <c r="C622" s="2202"/>
      <c r="D622" s="2202"/>
      <c r="E622" s="2202"/>
      <c r="F622" s="2202"/>
      <c r="G622" s="1562" t="s">
        <v>6708</v>
      </c>
      <c r="H622" s="1562" t="s">
        <v>6709</v>
      </c>
      <c r="I622" s="1562" t="s">
        <v>6710</v>
      </c>
      <c r="J622" s="1562" t="s">
        <v>6708</v>
      </c>
      <c r="K622" s="1562" t="s">
        <v>6709</v>
      </c>
      <c r="L622" s="1603"/>
      <c r="M622" s="615"/>
    </row>
    <row r="623" spans="1:13" x14ac:dyDescent="0.2">
      <c r="A623" s="1562"/>
      <c r="B623" s="1553" t="s">
        <v>5814</v>
      </c>
      <c r="C623" s="1541">
        <v>8</v>
      </c>
      <c r="D623" s="1541">
        <v>7.32</v>
      </c>
      <c r="E623" s="1544"/>
      <c r="F623" s="1550"/>
      <c r="G623" s="1558"/>
      <c r="H623" s="1539"/>
      <c r="I623" s="1539">
        <f t="shared" ref="I623:I630" si="36">D623*C623</f>
        <v>58.56</v>
      </c>
      <c r="J623" s="1539">
        <f t="shared" ref="J623:J630" si="37">G623*C623</f>
        <v>0</v>
      </c>
      <c r="K623" s="1539">
        <f t="shared" ref="K623:K630" si="38">C623*H623</f>
        <v>0</v>
      </c>
      <c r="L623" s="1603"/>
      <c r="M623" s="615"/>
    </row>
    <row r="624" spans="1:13" x14ac:dyDescent="0.2">
      <c r="A624" s="1562"/>
      <c r="B624" s="1553" t="s">
        <v>5815</v>
      </c>
      <c r="C624" s="1541">
        <v>8</v>
      </c>
      <c r="D624" s="1541">
        <v>7.32</v>
      </c>
      <c r="E624" s="1544"/>
      <c r="F624" s="1550"/>
      <c r="G624" s="1558"/>
      <c r="H624" s="1539"/>
      <c r="I624" s="1539">
        <f t="shared" si="36"/>
        <v>58.56</v>
      </c>
      <c r="J624" s="1539">
        <f t="shared" si="37"/>
        <v>0</v>
      </c>
      <c r="K624" s="1539">
        <f t="shared" si="38"/>
        <v>0</v>
      </c>
      <c r="L624" s="1603"/>
      <c r="M624" s="615"/>
    </row>
    <row r="625" spans="1:13" x14ac:dyDescent="0.2">
      <c r="A625" s="1562"/>
      <c r="B625" s="1553" t="s">
        <v>5816</v>
      </c>
      <c r="C625" s="1541">
        <v>6</v>
      </c>
      <c r="D625" s="1541">
        <v>7.54</v>
      </c>
      <c r="E625" s="1544"/>
      <c r="F625" s="1550"/>
      <c r="G625" s="1558"/>
      <c r="H625" s="1539"/>
      <c r="I625" s="1539">
        <f t="shared" si="36"/>
        <v>45.24</v>
      </c>
      <c r="J625" s="1539">
        <f t="shared" si="37"/>
        <v>0</v>
      </c>
      <c r="K625" s="1539">
        <f t="shared" si="38"/>
        <v>0</v>
      </c>
      <c r="L625" s="1603"/>
      <c r="M625" s="615"/>
    </row>
    <row r="626" spans="1:13" x14ac:dyDescent="0.2">
      <c r="A626" s="1562"/>
      <c r="B626" s="1553" t="s">
        <v>5817</v>
      </c>
      <c r="C626" s="1541">
        <v>2</v>
      </c>
      <c r="D626" s="1541">
        <v>6.9</v>
      </c>
      <c r="E626" s="1544"/>
      <c r="F626" s="1550"/>
      <c r="G626" s="1558"/>
      <c r="H626" s="1539"/>
      <c r="I626" s="1539">
        <f t="shared" si="36"/>
        <v>13.8</v>
      </c>
      <c r="J626" s="1539">
        <f t="shared" si="37"/>
        <v>0</v>
      </c>
      <c r="K626" s="1539">
        <f t="shared" si="38"/>
        <v>0</v>
      </c>
      <c r="L626" s="1603"/>
      <c r="M626" s="615"/>
    </row>
    <row r="627" spans="1:13" x14ac:dyDescent="0.2">
      <c r="A627" s="1562"/>
      <c r="B627" s="1553" t="s">
        <v>5842</v>
      </c>
      <c r="C627" s="1541">
        <v>1</v>
      </c>
      <c r="D627" s="1541">
        <v>3.5</v>
      </c>
      <c r="E627" s="1544"/>
      <c r="F627" s="1550"/>
      <c r="G627" s="1558"/>
      <c r="H627" s="1539"/>
      <c r="I627" s="1539">
        <f t="shared" si="36"/>
        <v>3.5</v>
      </c>
      <c r="J627" s="1539">
        <f t="shared" si="37"/>
        <v>0</v>
      </c>
      <c r="K627" s="1539">
        <f t="shared" si="38"/>
        <v>0</v>
      </c>
      <c r="L627" s="1603"/>
      <c r="M627" s="615"/>
    </row>
    <row r="628" spans="1:13" x14ac:dyDescent="0.2">
      <c r="A628" s="1562"/>
      <c r="B628" s="1553" t="s">
        <v>5818</v>
      </c>
      <c r="C628" s="1541">
        <v>3</v>
      </c>
      <c r="D628" s="1541">
        <v>1.9</v>
      </c>
      <c r="E628" s="1544"/>
      <c r="F628" s="1550"/>
      <c r="G628" s="1558"/>
      <c r="H628" s="1539"/>
      <c r="I628" s="1539">
        <f t="shared" si="36"/>
        <v>5.6999999999999993</v>
      </c>
      <c r="J628" s="1539">
        <f t="shared" si="37"/>
        <v>0</v>
      </c>
      <c r="K628" s="1539">
        <f t="shared" si="38"/>
        <v>0</v>
      </c>
      <c r="L628" s="1603"/>
      <c r="M628" s="615"/>
    </row>
    <row r="629" spans="1:13" x14ac:dyDescent="0.2">
      <c r="A629" s="1562"/>
      <c r="B629" s="1553" t="s">
        <v>5819</v>
      </c>
      <c r="C629" s="1541">
        <v>2</v>
      </c>
      <c r="D629" s="1541">
        <v>3.75</v>
      </c>
      <c r="E629" s="1544"/>
      <c r="F629" s="1550"/>
      <c r="G629" s="1558"/>
      <c r="H629" s="1539"/>
      <c r="I629" s="1539">
        <f t="shared" si="36"/>
        <v>7.5</v>
      </c>
      <c r="J629" s="1539">
        <f t="shared" si="37"/>
        <v>0</v>
      </c>
      <c r="K629" s="1539">
        <f t="shared" si="38"/>
        <v>0</v>
      </c>
      <c r="L629" s="1603"/>
      <c r="M629" s="615"/>
    </row>
    <row r="630" spans="1:13" x14ac:dyDescent="0.2">
      <c r="A630" s="1562"/>
      <c r="B630" s="1553"/>
      <c r="C630" s="1541"/>
      <c r="D630" s="1541"/>
      <c r="E630" s="1544"/>
      <c r="F630" s="1550"/>
      <c r="G630" s="1558"/>
      <c r="H630" s="1539"/>
      <c r="I630" s="1539">
        <f t="shared" si="36"/>
        <v>0</v>
      </c>
      <c r="J630" s="1539">
        <f t="shared" si="37"/>
        <v>0</v>
      </c>
      <c r="K630" s="1539">
        <f t="shared" si="38"/>
        <v>0</v>
      </c>
      <c r="L630" s="1603"/>
      <c r="M630" s="615"/>
    </row>
    <row r="631" spans="1:13" x14ac:dyDescent="0.2">
      <c r="A631" s="1547"/>
      <c r="B631" s="1548"/>
      <c r="C631" s="1548"/>
      <c r="D631" s="1548"/>
      <c r="E631" s="1548"/>
      <c r="F631" s="2200" t="s">
        <v>6711</v>
      </c>
      <c r="G631" s="2200"/>
      <c r="H631" s="2200"/>
      <c r="I631" s="1549">
        <f>ROUND(SUM(I623:I630),2)</f>
        <v>192.86</v>
      </c>
      <c r="J631" s="1549">
        <f>ROUND(SUM(J623:J630),2)</f>
        <v>0</v>
      </c>
      <c r="K631" s="1549">
        <f>ROUND(SUM(K623:K630),2)</f>
        <v>0</v>
      </c>
      <c r="L631" s="1603"/>
      <c r="M631" s="615"/>
    </row>
    <row r="632" spans="1:13" x14ac:dyDescent="0.2">
      <c r="A632" s="1562"/>
      <c r="B632" s="2201"/>
      <c r="C632" s="2201"/>
      <c r="D632" s="2201"/>
      <c r="E632" s="2201"/>
      <c r="F632" s="2201"/>
      <c r="G632" s="2201"/>
      <c r="H632" s="2201"/>
      <c r="I632" s="2201"/>
      <c r="J632" s="2201"/>
      <c r="K632" s="1562"/>
      <c r="L632" s="1603"/>
      <c r="M632" s="615"/>
    </row>
    <row r="633" spans="1:13" ht="25.5" x14ac:dyDescent="0.2">
      <c r="A633" s="1835" t="str">
        <f>'Orç - Prédio'!A207</f>
        <v>04.01.705</v>
      </c>
      <c r="B633" s="2207" t="str">
        <f>'Orç - Prédio'!D207</f>
        <v>Cantoneira de alumínio 1"x1" para proteção de quinas de paredes dos banheiros</v>
      </c>
      <c r="C633" s="2207"/>
      <c r="D633" s="2207"/>
      <c r="E633" s="2207"/>
      <c r="F633" s="2207"/>
      <c r="G633" s="2207"/>
      <c r="H633" s="2207"/>
      <c r="I633" s="2207"/>
      <c r="J633" s="2207"/>
      <c r="K633" s="1836" t="str">
        <f>'Orç - Prédio'!F207</f>
        <v>m</v>
      </c>
      <c r="L633" s="1837" t="s">
        <v>15154</v>
      </c>
    </row>
    <row r="634" spans="1:13" x14ac:dyDescent="0.2">
      <c r="A634" s="2202"/>
      <c r="B634" s="2202"/>
      <c r="C634" s="1537"/>
      <c r="D634" s="1537"/>
      <c r="E634" s="1537"/>
      <c r="F634" s="1537"/>
      <c r="G634" s="2202"/>
      <c r="H634" s="2202"/>
      <c r="I634" s="2202" t="s">
        <v>6700</v>
      </c>
      <c r="J634" s="2202"/>
      <c r="K634" s="2202"/>
      <c r="L634" s="615"/>
      <c r="M634" s="615"/>
    </row>
    <row r="635" spans="1:13" ht="22.5" x14ac:dyDescent="0.2">
      <c r="A635" s="2202" t="s">
        <v>6715</v>
      </c>
      <c r="B635" s="2202"/>
      <c r="C635" s="2202" t="s">
        <v>6701</v>
      </c>
      <c r="D635" s="2202"/>
      <c r="E635" s="2202" t="s">
        <v>7279</v>
      </c>
      <c r="F635" s="2202" t="s">
        <v>6704</v>
      </c>
      <c r="G635" s="1620"/>
      <c r="H635" s="1620"/>
      <c r="I635" s="1620" t="s">
        <v>6707</v>
      </c>
      <c r="J635" s="1620" t="s">
        <v>6705</v>
      </c>
      <c r="K635" s="1620" t="s">
        <v>6706</v>
      </c>
      <c r="L635" s="615"/>
      <c r="M635" s="615"/>
    </row>
    <row r="636" spans="1:13" x14ac:dyDescent="0.2">
      <c r="A636" s="2202"/>
      <c r="B636" s="2202"/>
      <c r="C636" s="2202"/>
      <c r="D636" s="2202"/>
      <c r="E636" s="2202"/>
      <c r="F636" s="2202"/>
      <c r="G636" s="1620"/>
      <c r="H636" s="1620"/>
      <c r="I636" s="1620" t="s">
        <v>6710</v>
      </c>
      <c r="J636" s="1620" t="s">
        <v>6708</v>
      </c>
      <c r="K636" s="1620" t="s">
        <v>6709</v>
      </c>
      <c r="L636" s="615"/>
      <c r="M636" s="615"/>
    </row>
    <row r="637" spans="1:13" ht="22.5" x14ac:dyDescent="0.2">
      <c r="A637" s="1620"/>
      <c r="B637" s="1553" t="s">
        <v>6948</v>
      </c>
      <c r="C637" s="1541">
        <v>2</v>
      </c>
      <c r="D637" s="1541"/>
      <c r="E637" s="1544">
        <v>1</v>
      </c>
      <c r="F637" s="1550">
        <v>2.75</v>
      </c>
      <c r="G637" s="1558"/>
      <c r="H637" s="1539"/>
      <c r="I637" s="1539">
        <f>F637*E637*C637</f>
        <v>5.5</v>
      </c>
      <c r="J637" s="1539">
        <f>G637*C637</f>
        <v>0</v>
      </c>
      <c r="K637" s="1539">
        <f>C637*H637</f>
        <v>0</v>
      </c>
      <c r="L637" s="1603"/>
      <c r="M637" s="615"/>
    </row>
    <row r="638" spans="1:13" ht="22.5" x14ac:dyDescent="0.2">
      <c r="A638" s="1620"/>
      <c r="B638" s="1553" t="s">
        <v>6947</v>
      </c>
      <c r="C638" s="1541">
        <v>2</v>
      </c>
      <c r="D638" s="1541"/>
      <c r="E638" s="1544">
        <v>1</v>
      </c>
      <c r="F638" s="1550">
        <v>2.75</v>
      </c>
      <c r="G638" s="1558"/>
      <c r="H638" s="1539"/>
      <c r="I638" s="1539">
        <f>F638*E638*C638</f>
        <v>5.5</v>
      </c>
      <c r="J638" s="1539">
        <f>G638*C638</f>
        <v>0</v>
      </c>
      <c r="K638" s="1539">
        <f>C638*H638</f>
        <v>0</v>
      </c>
      <c r="L638" s="1603"/>
      <c r="M638" s="615"/>
    </row>
    <row r="639" spans="1:13" ht="22.5" x14ac:dyDescent="0.2">
      <c r="A639" s="1620"/>
      <c r="B639" s="1553" t="s">
        <v>6949</v>
      </c>
      <c r="C639" s="1541">
        <v>2</v>
      </c>
      <c r="D639" s="1541"/>
      <c r="E639" s="1544">
        <v>1</v>
      </c>
      <c r="F639" s="1550">
        <v>2.75</v>
      </c>
      <c r="G639" s="1558"/>
      <c r="H639" s="1539"/>
      <c r="I639" s="1539">
        <f>F639*E639*C639</f>
        <v>5.5</v>
      </c>
      <c r="J639" s="1539">
        <f>G639*C639</f>
        <v>0</v>
      </c>
      <c r="K639" s="1539">
        <f>C639*H639</f>
        <v>0</v>
      </c>
      <c r="L639" s="1603"/>
      <c r="M639" s="615"/>
    </row>
    <row r="640" spans="1:13" ht="22.5" x14ac:dyDescent="0.2">
      <c r="A640" s="1620"/>
      <c r="B640" s="1553" t="s">
        <v>6950</v>
      </c>
      <c r="C640" s="1541">
        <v>2</v>
      </c>
      <c r="D640" s="1541"/>
      <c r="E640" s="1544">
        <v>1</v>
      </c>
      <c r="F640" s="1550">
        <v>2.75</v>
      </c>
      <c r="G640" s="1558"/>
      <c r="H640" s="1539"/>
      <c r="I640" s="1539">
        <f>F640*E640*C640</f>
        <v>5.5</v>
      </c>
      <c r="J640" s="1539">
        <f>G640*C640</f>
        <v>0</v>
      </c>
      <c r="K640" s="1539">
        <f>C640*H640</f>
        <v>0</v>
      </c>
      <c r="L640" s="1603"/>
      <c r="M640" s="615"/>
    </row>
    <row r="641" spans="1:13" x14ac:dyDescent="0.2">
      <c r="A641" s="1547"/>
      <c r="B641" s="1548"/>
      <c r="C641" s="1548"/>
      <c r="D641" s="1548"/>
      <c r="E641" s="1548"/>
      <c r="F641" s="2200" t="s">
        <v>6711</v>
      </c>
      <c r="G641" s="2200"/>
      <c r="H641" s="2200"/>
      <c r="I641" s="1549">
        <f>ROUND(SUM(I637:I640),2)</f>
        <v>22</v>
      </c>
      <c r="J641" s="1549">
        <f>ROUND(SUM(J637:J640),2)</f>
        <v>0</v>
      </c>
      <c r="K641" s="1549">
        <f>ROUND(SUM(K637:K640),2)</f>
        <v>0</v>
      </c>
      <c r="L641" s="615"/>
      <c r="M641" s="615"/>
    </row>
    <row r="642" spans="1:13" x14ac:dyDescent="0.2">
      <c r="A642" s="1620"/>
      <c r="B642" s="2201"/>
      <c r="C642" s="2201"/>
      <c r="D642" s="2201"/>
      <c r="E642" s="2201"/>
      <c r="F642" s="2201"/>
      <c r="G642" s="2201"/>
      <c r="H642" s="2201"/>
      <c r="I642" s="2201"/>
      <c r="J642" s="2201"/>
      <c r="K642" s="1620"/>
      <c r="L642" s="615"/>
      <c r="M642" s="615"/>
    </row>
    <row r="643" spans="1:13" s="1643" customFormat="1" ht="37.5" customHeight="1" x14ac:dyDescent="0.2">
      <c r="A643" s="1835" t="str">
        <f>'Orç - Prédio'!A209</f>
        <v>04.01.801.01</v>
      </c>
      <c r="B643" s="2207" t="str">
        <f>'Orç - Prédio'!D209</f>
        <v>Guarda-corpo de montantes em chapa metálica, com acabamento em pintura esmalte branco brilhante e vedação em vidro, com corrimãos nas alturas de 92 e 70cm em uma face, exclusive vidros (escadas internas e pavimento superior)</v>
      </c>
      <c r="C643" s="2207"/>
      <c r="D643" s="2207"/>
      <c r="E643" s="2207"/>
      <c r="F643" s="2207"/>
      <c r="G643" s="2207"/>
      <c r="H643" s="2207"/>
      <c r="I643" s="2207"/>
      <c r="J643" s="2207"/>
      <c r="K643" s="1836" t="str">
        <f>'Orç - Prédio'!F209</f>
        <v>m</v>
      </c>
      <c r="L643" s="1837" t="s">
        <v>15155</v>
      </c>
    </row>
    <row r="644" spans="1:13" x14ac:dyDescent="0.2">
      <c r="A644" s="2202"/>
      <c r="B644" s="2202"/>
      <c r="C644" s="1537"/>
      <c r="D644" s="1537"/>
      <c r="E644" s="1537"/>
      <c r="F644" s="1537"/>
      <c r="G644" s="2202" t="s">
        <v>6699</v>
      </c>
      <c r="H644" s="2202"/>
      <c r="I644" s="2202" t="s">
        <v>6700</v>
      </c>
      <c r="J644" s="2202"/>
      <c r="K644" s="2202"/>
      <c r="L644" s="615"/>
      <c r="M644" s="615"/>
    </row>
    <row r="645" spans="1:13" ht="22.5" x14ac:dyDescent="0.2">
      <c r="A645" s="2202" t="s">
        <v>6715</v>
      </c>
      <c r="B645" s="2202"/>
      <c r="C645" s="2202" t="s">
        <v>6701</v>
      </c>
      <c r="D645" s="2202" t="s">
        <v>6702</v>
      </c>
      <c r="E645" s="2202" t="s">
        <v>6703</v>
      </c>
      <c r="F645" s="2202" t="s">
        <v>6704</v>
      </c>
      <c r="G645" s="1562" t="s">
        <v>6705</v>
      </c>
      <c r="H645" s="1562" t="s">
        <v>6706</v>
      </c>
      <c r="I645" s="1562" t="s">
        <v>6707</v>
      </c>
      <c r="J645" s="1562" t="s">
        <v>6705</v>
      </c>
      <c r="K645" s="1562" t="s">
        <v>6706</v>
      </c>
      <c r="L645" s="1603"/>
      <c r="M645" s="615"/>
    </row>
    <row r="646" spans="1:13" x14ac:dyDescent="0.2">
      <c r="A646" s="2202"/>
      <c r="B646" s="2202"/>
      <c r="C646" s="2202"/>
      <c r="D646" s="2202"/>
      <c r="E646" s="2202"/>
      <c r="F646" s="2202"/>
      <c r="G646" s="1562" t="s">
        <v>6708</v>
      </c>
      <c r="H646" s="1562" t="s">
        <v>6709</v>
      </c>
      <c r="I646" s="1562" t="s">
        <v>6710</v>
      </c>
      <c r="J646" s="1562" t="s">
        <v>6708</v>
      </c>
      <c r="K646" s="1562" t="s">
        <v>6709</v>
      </c>
      <c r="L646" s="1603"/>
      <c r="M646" s="615"/>
    </row>
    <row r="647" spans="1:13" x14ac:dyDescent="0.2">
      <c r="A647" s="1874"/>
      <c r="B647" s="1553" t="s">
        <v>8919</v>
      </c>
      <c r="C647" s="1550">
        <v>2</v>
      </c>
      <c r="D647" s="1550">
        <v>2.6</v>
      </c>
      <c r="E647" s="1879"/>
      <c r="F647" s="1879"/>
      <c r="G647" s="1880"/>
      <c r="H647" s="1550"/>
      <c r="I647" s="1550">
        <f>D647*C647</f>
        <v>5.2</v>
      </c>
      <c r="J647" s="1550"/>
      <c r="K647" s="1550"/>
      <c r="L647" s="1603"/>
      <c r="M647" s="615"/>
    </row>
    <row r="648" spans="1:13" x14ac:dyDescent="0.2">
      <c r="A648" s="1874"/>
      <c r="B648" s="1553" t="s">
        <v>8916</v>
      </c>
      <c r="C648" s="1550">
        <v>2</v>
      </c>
      <c r="D648" s="1550">
        <v>1.35</v>
      </c>
      <c r="E648" s="1879"/>
      <c r="F648" s="1879"/>
      <c r="G648" s="1880"/>
      <c r="H648" s="1550"/>
      <c r="I648" s="1550">
        <f t="shared" ref="I648:I661" si="39">D648*C648</f>
        <v>2.7</v>
      </c>
      <c r="J648" s="1550"/>
      <c r="K648" s="1550"/>
      <c r="L648" s="1603"/>
      <c r="M648" s="615"/>
    </row>
    <row r="649" spans="1:13" x14ac:dyDescent="0.2">
      <c r="A649" s="1874"/>
      <c r="B649" s="1553" t="s">
        <v>8920</v>
      </c>
      <c r="C649" s="1550">
        <v>2</v>
      </c>
      <c r="D649" s="1550">
        <v>1.1599999999999999</v>
      </c>
      <c r="E649" s="1879"/>
      <c r="F649" s="1879"/>
      <c r="G649" s="1880"/>
      <c r="H649" s="1550"/>
      <c r="I649" s="1550">
        <f t="shared" si="39"/>
        <v>2.3199999999999998</v>
      </c>
      <c r="J649" s="1550"/>
      <c r="K649" s="1550"/>
      <c r="L649" s="1603"/>
      <c r="M649" s="615"/>
    </row>
    <row r="650" spans="1:13" x14ac:dyDescent="0.2">
      <c r="A650" s="1874"/>
      <c r="B650" s="1553" t="s">
        <v>8917</v>
      </c>
      <c r="C650" s="1550">
        <v>2</v>
      </c>
      <c r="D650" s="1550">
        <v>2.4</v>
      </c>
      <c r="E650" s="1879"/>
      <c r="F650" s="1879"/>
      <c r="G650" s="1880"/>
      <c r="H650" s="1550"/>
      <c r="I650" s="1550">
        <f t="shared" si="39"/>
        <v>4.8</v>
      </c>
      <c r="J650" s="1550"/>
      <c r="K650" s="1550"/>
      <c r="L650" s="1603"/>
      <c r="M650" s="615"/>
    </row>
    <row r="651" spans="1:13" x14ac:dyDescent="0.2">
      <c r="A651" s="1874"/>
      <c r="B651" s="1553" t="s">
        <v>8918</v>
      </c>
      <c r="C651" s="1550">
        <v>2</v>
      </c>
      <c r="D651" s="1550">
        <v>1.25</v>
      </c>
      <c r="E651" s="1879"/>
      <c r="F651" s="1879"/>
      <c r="G651" s="1880"/>
      <c r="H651" s="1550"/>
      <c r="I651" s="1550">
        <f t="shared" si="39"/>
        <v>2.5</v>
      </c>
      <c r="J651" s="1550"/>
      <c r="K651" s="1550"/>
      <c r="L651" s="1603"/>
      <c r="M651" s="615"/>
    </row>
    <row r="652" spans="1:13" x14ac:dyDescent="0.2">
      <c r="A652" s="1874"/>
      <c r="B652" s="1553" t="s">
        <v>8921</v>
      </c>
      <c r="C652" s="1550">
        <v>2</v>
      </c>
      <c r="D652" s="1550">
        <v>1.2</v>
      </c>
      <c r="E652" s="1879"/>
      <c r="F652" s="1879"/>
      <c r="G652" s="1880"/>
      <c r="H652" s="1550"/>
      <c r="I652" s="1550">
        <f t="shared" si="39"/>
        <v>2.4</v>
      </c>
      <c r="J652" s="1550"/>
      <c r="K652" s="1550"/>
      <c r="L652" s="1603"/>
      <c r="M652" s="615"/>
    </row>
    <row r="653" spans="1:13" x14ac:dyDescent="0.2">
      <c r="A653" s="1874"/>
      <c r="B653" s="1553" t="s">
        <v>8922</v>
      </c>
      <c r="C653" s="1550">
        <v>2</v>
      </c>
      <c r="D653" s="1550">
        <v>2.4</v>
      </c>
      <c r="E653" s="1879"/>
      <c r="F653" s="1879"/>
      <c r="G653" s="1880"/>
      <c r="H653" s="1550"/>
      <c r="I653" s="1550">
        <f t="shared" si="39"/>
        <v>4.8</v>
      </c>
      <c r="J653" s="1550"/>
      <c r="K653" s="1550"/>
      <c r="L653" s="1603"/>
      <c r="M653" s="615"/>
    </row>
    <row r="654" spans="1:13" x14ac:dyDescent="0.2">
      <c r="A654" s="1874"/>
      <c r="B654" s="1553" t="s">
        <v>8923</v>
      </c>
      <c r="C654" s="1550">
        <v>2</v>
      </c>
      <c r="D654" s="1550">
        <v>2.6</v>
      </c>
      <c r="E654" s="1879"/>
      <c r="F654" s="1879"/>
      <c r="G654" s="1880"/>
      <c r="H654" s="1550"/>
      <c r="I654" s="1550">
        <f t="shared" si="39"/>
        <v>5.2</v>
      </c>
      <c r="J654" s="1550"/>
      <c r="K654" s="1550"/>
      <c r="L654" s="1603"/>
      <c r="M654" s="615"/>
    </row>
    <row r="655" spans="1:13" x14ac:dyDescent="0.2">
      <c r="A655" s="1874"/>
      <c r="B655" s="1553" t="s">
        <v>8924</v>
      </c>
      <c r="C655" s="1550">
        <v>2</v>
      </c>
      <c r="D655" s="1550">
        <v>2.4</v>
      </c>
      <c r="E655" s="1879"/>
      <c r="F655" s="1879"/>
      <c r="G655" s="1880"/>
      <c r="H655" s="1550"/>
      <c r="I655" s="1550">
        <f t="shared" si="39"/>
        <v>4.8</v>
      </c>
      <c r="J655" s="1550"/>
      <c r="K655" s="1550"/>
      <c r="L655" s="1603"/>
      <c r="M655" s="615"/>
    </row>
    <row r="656" spans="1:13" x14ac:dyDescent="0.2">
      <c r="A656" s="1874"/>
      <c r="B656" s="1553" t="s">
        <v>8925</v>
      </c>
      <c r="C656" s="1550">
        <v>2</v>
      </c>
      <c r="D656" s="1550">
        <v>2.4</v>
      </c>
      <c r="E656" s="1879"/>
      <c r="F656" s="1879"/>
      <c r="G656" s="1880"/>
      <c r="H656" s="1550"/>
      <c r="I656" s="1550">
        <f t="shared" si="39"/>
        <v>4.8</v>
      </c>
      <c r="J656" s="1550"/>
      <c r="K656" s="1550"/>
      <c r="L656" s="1603"/>
      <c r="M656" s="615"/>
    </row>
    <row r="657" spans="1:13" x14ac:dyDescent="0.2">
      <c r="A657" s="1874"/>
      <c r="B657" s="1553" t="s">
        <v>8926</v>
      </c>
      <c r="C657" s="1550">
        <v>2</v>
      </c>
      <c r="D657" s="1550">
        <v>3.9</v>
      </c>
      <c r="E657" s="1879"/>
      <c r="F657" s="1879"/>
      <c r="G657" s="1880"/>
      <c r="H657" s="1550"/>
      <c r="I657" s="1550">
        <f t="shared" si="39"/>
        <v>7.8</v>
      </c>
      <c r="J657" s="1550"/>
      <c r="K657" s="1550"/>
      <c r="L657" s="1603"/>
      <c r="M657" s="615"/>
    </row>
    <row r="658" spans="1:13" x14ac:dyDescent="0.2">
      <c r="A658" s="1874"/>
      <c r="B658" s="1553" t="s">
        <v>8927</v>
      </c>
      <c r="C658" s="1550">
        <v>1</v>
      </c>
      <c r="D658" s="1550">
        <v>7.5</v>
      </c>
      <c r="E658" s="1879"/>
      <c r="F658" s="1879"/>
      <c r="G658" s="1880"/>
      <c r="H658" s="1550"/>
      <c r="I658" s="1550">
        <f t="shared" si="39"/>
        <v>7.5</v>
      </c>
      <c r="J658" s="1550"/>
      <c r="K658" s="1550"/>
      <c r="L658" s="1603"/>
      <c r="M658" s="615"/>
    </row>
    <row r="659" spans="1:13" x14ac:dyDescent="0.2">
      <c r="A659" s="1874"/>
      <c r="B659" s="1553" t="s">
        <v>8928</v>
      </c>
      <c r="C659" s="1550">
        <v>1</v>
      </c>
      <c r="D659" s="1550">
        <v>7.1</v>
      </c>
      <c r="E659" s="1879"/>
      <c r="F659" s="1879"/>
      <c r="G659" s="1880"/>
      <c r="H659" s="1550"/>
      <c r="I659" s="1550">
        <f t="shared" si="39"/>
        <v>7.1</v>
      </c>
      <c r="J659" s="1550"/>
      <c r="K659" s="1550"/>
      <c r="L659" s="1603"/>
      <c r="M659" s="615"/>
    </row>
    <row r="660" spans="1:13" x14ac:dyDescent="0.2">
      <c r="A660" s="1874"/>
      <c r="B660" s="1553" t="s">
        <v>8929</v>
      </c>
      <c r="C660" s="1550">
        <v>1</v>
      </c>
      <c r="D660" s="1550">
        <v>4.5</v>
      </c>
      <c r="E660" s="1879"/>
      <c r="F660" s="1879"/>
      <c r="G660" s="1880"/>
      <c r="H660" s="1550"/>
      <c r="I660" s="1550">
        <f t="shared" si="39"/>
        <v>4.5</v>
      </c>
      <c r="J660" s="1550"/>
      <c r="K660" s="1550"/>
      <c r="L660" s="1603"/>
      <c r="M660" s="615"/>
    </row>
    <row r="661" spans="1:13" x14ac:dyDescent="0.2">
      <c r="A661" s="1874"/>
      <c r="B661" s="1553" t="s">
        <v>8930</v>
      </c>
      <c r="C661" s="1550">
        <v>1</v>
      </c>
      <c r="D661" s="1550">
        <v>1.45</v>
      </c>
      <c r="E661" s="1879"/>
      <c r="F661" s="1879"/>
      <c r="G661" s="1880"/>
      <c r="H661" s="1550"/>
      <c r="I661" s="1550">
        <f t="shared" si="39"/>
        <v>1.45</v>
      </c>
      <c r="J661" s="1550"/>
      <c r="K661" s="1550"/>
      <c r="L661" s="1603"/>
      <c r="M661" s="615"/>
    </row>
    <row r="662" spans="1:13" x14ac:dyDescent="0.2">
      <c r="A662" s="1547"/>
      <c r="B662" s="1548"/>
      <c r="C662" s="1548"/>
      <c r="D662" s="1548"/>
      <c r="E662" s="1548"/>
      <c r="F662" s="2200" t="s">
        <v>6711</v>
      </c>
      <c r="G662" s="2200"/>
      <c r="H662" s="2200"/>
      <c r="I662" s="1695">
        <f>SUM(I647:I661)</f>
        <v>67.86999999999999</v>
      </c>
      <c r="J662" s="1549"/>
      <c r="K662" s="1549"/>
      <c r="L662" s="1603"/>
      <c r="M662" s="615"/>
    </row>
    <row r="663" spans="1:13" x14ac:dyDescent="0.2">
      <c r="A663" s="1562"/>
      <c r="B663" s="2201"/>
      <c r="C663" s="2201"/>
      <c r="D663" s="2201"/>
      <c r="E663" s="2201"/>
      <c r="F663" s="2201"/>
      <c r="G663" s="2201"/>
      <c r="H663" s="2201"/>
      <c r="I663" s="2201"/>
      <c r="J663" s="2201"/>
      <c r="K663" s="1562"/>
      <c r="L663" s="1603"/>
      <c r="M663" s="615"/>
    </row>
    <row r="664" spans="1:13" ht="42.75" customHeight="1" x14ac:dyDescent="0.2">
      <c r="A664" s="1835" t="str">
        <f>'Orç - Prédio'!A210</f>
        <v>04.01.802.01</v>
      </c>
      <c r="B664" s="2207" t="str">
        <f>'Orç - Prédio'!D210</f>
        <v>Fornecimento de telhas perfuradas MBP-25, 16 furos/cm2, esp 0,8 mm, pintura em pó poliéster 50 micra na cor branco aplicado sobre superfície fosfotizada, fixadas em perfis metálicos, na cor branca e paineis bricromatizados Ecocel ou equivalente, para instalação na estrutura de brises</v>
      </c>
      <c r="C664" s="2207"/>
      <c r="D664" s="2207"/>
      <c r="E664" s="2207"/>
      <c r="F664" s="2207"/>
      <c r="G664" s="2207"/>
      <c r="H664" s="2207"/>
      <c r="I664" s="2207"/>
      <c r="J664" s="2207"/>
      <c r="K664" s="1836" t="str">
        <f>'Orç - Prédio'!F210</f>
        <v>m2</v>
      </c>
      <c r="L664" s="1837" t="s">
        <v>15154</v>
      </c>
    </row>
    <row r="665" spans="1:13" x14ac:dyDescent="0.2">
      <c r="A665" s="2202"/>
      <c r="B665" s="2202"/>
      <c r="C665" s="1537"/>
      <c r="D665" s="1537"/>
      <c r="E665" s="1537"/>
      <c r="F665" s="1537"/>
      <c r="G665" s="2202" t="s">
        <v>6699</v>
      </c>
      <c r="H665" s="2202"/>
      <c r="I665" s="2202" t="s">
        <v>6700</v>
      </c>
      <c r="J665" s="2202"/>
      <c r="K665" s="2202"/>
      <c r="L665" s="615"/>
      <c r="M665" s="615"/>
    </row>
    <row r="666" spans="1:13" ht="22.5" x14ac:dyDescent="0.2">
      <c r="A666" s="2202" t="s">
        <v>6715</v>
      </c>
      <c r="B666" s="2202"/>
      <c r="C666" s="2202" t="s">
        <v>6701</v>
      </c>
      <c r="D666" s="2202" t="s">
        <v>6702</v>
      </c>
      <c r="E666" s="2202" t="s">
        <v>6703</v>
      </c>
      <c r="F666" s="2202" t="s">
        <v>6704</v>
      </c>
      <c r="G666" s="1620" t="s">
        <v>6705</v>
      </c>
      <c r="H666" s="1620" t="s">
        <v>6706</v>
      </c>
      <c r="I666" s="1620" t="s">
        <v>6707</v>
      </c>
      <c r="J666" s="1620" t="s">
        <v>6705</v>
      </c>
      <c r="K666" s="1620" t="s">
        <v>6706</v>
      </c>
      <c r="L666" s="1603"/>
      <c r="M666" s="615"/>
    </row>
    <row r="667" spans="1:13" x14ac:dyDescent="0.2">
      <c r="A667" s="2202"/>
      <c r="B667" s="2202"/>
      <c r="C667" s="2202"/>
      <c r="D667" s="2202"/>
      <c r="E667" s="2202"/>
      <c r="F667" s="2202"/>
      <c r="G667" s="1620" t="s">
        <v>6708</v>
      </c>
      <c r="H667" s="1620" t="s">
        <v>6709</v>
      </c>
      <c r="I667" s="1620" t="s">
        <v>6710</v>
      </c>
      <c r="J667" s="1620" t="s">
        <v>6708</v>
      </c>
      <c r="K667" s="1620" t="s">
        <v>6709</v>
      </c>
      <c r="L667" s="1603"/>
      <c r="M667" s="615"/>
    </row>
    <row r="668" spans="1:13" x14ac:dyDescent="0.2">
      <c r="A668" s="1620"/>
      <c r="B668" s="1553" t="s">
        <v>7276</v>
      </c>
      <c r="C668" s="1541">
        <v>6</v>
      </c>
      <c r="D668" s="1541"/>
      <c r="E668" s="1544">
        <v>7.1</v>
      </c>
      <c r="F668" s="1550">
        <v>7.0949999999999998</v>
      </c>
      <c r="G668" s="1558">
        <f>F668*E668</f>
        <v>50.374499999999998</v>
      </c>
      <c r="H668" s="1539"/>
      <c r="I668" s="1539">
        <f>D668*C668</f>
        <v>0</v>
      </c>
      <c r="J668" s="1539">
        <f>G668*C668</f>
        <v>302.24699999999996</v>
      </c>
      <c r="K668" s="1539">
        <f>C668*H668</f>
        <v>0</v>
      </c>
      <c r="L668" s="1603"/>
      <c r="M668" s="615"/>
    </row>
    <row r="669" spans="1:13" x14ac:dyDescent="0.2">
      <c r="A669" s="1620"/>
      <c r="B669" s="1553" t="s">
        <v>7277</v>
      </c>
      <c r="C669" s="1541">
        <v>7</v>
      </c>
      <c r="D669" s="1541"/>
      <c r="E669" s="1544">
        <v>7.1</v>
      </c>
      <c r="F669" s="1550">
        <v>7.1</v>
      </c>
      <c r="G669" s="1558">
        <f>F669*E669</f>
        <v>50.41</v>
      </c>
      <c r="H669" s="1539"/>
      <c r="I669" s="1539">
        <f>D669*C669</f>
        <v>0</v>
      </c>
      <c r="J669" s="1539">
        <f>G669*C669</f>
        <v>352.87</v>
      </c>
      <c r="K669" s="1539">
        <f>C669*H669</f>
        <v>0</v>
      </c>
      <c r="L669" s="1603"/>
      <c r="M669" s="615"/>
    </row>
    <row r="670" spans="1:13" x14ac:dyDescent="0.2">
      <c r="A670" s="1547"/>
      <c r="B670" s="1548"/>
      <c r="C670" s="1548"/>
      <c r="D670" s="1548"/>
      <c r="E670" s="1548"/>
      <c r="F670" s="2200" t="s">
        <v>6711</v>
      </c>
      <c r="G670" s="2200"/>
      <c r="H670" s="2200"/>
      <c r="I670" s="1549">
        <f>ROUND(SUM(I668:I669),2)</f>
        <v>0</v>
      </c>
      <c r="J670" s="1549">
        <f>ROUND(SUM(J668:J669),2)</f>
        <v>655.12</v>
      </c>
      <c r="K670" s="1549">
        <f>ROUND(SUM(K668:K669),2)</f>
        <v>0</v>
      </c>
      <c r="L670" s="1603"/>
      <c r="M670" s="615"/>
    </row>
    <row r="671" spans="1:13" x14ac:dyDescent="0.2">
      <c r="A671" s="1620"/>
      <c r="B671" s="2201"/>
      <c r="C671" s="2201"/>
      <c r="D671" s="2201"/>
      <c r="E671" s="2201"/>
      <c r="F671" s="2201"/>
      <c r="G671" s="2201"/>
      <c r="H671" s="2201"/>
      <c r="I671" s="2201"/>
      <c r="J671" s="2201"/>
      <c r="K671" s="1620"/>
      <c r="L671" s="1603"/>
      <c r="M671" s="615"/>
    </row>
    <row r="672" spans="1:13" ht="25.5" x14ac:dyDescent="0.2">
      <c r="A672" s="1835" t="str">
        <f>'Orç - Prédio'!A214</f>
        <v>04.01.808.01</v>
      </c>
      <c r="B672" s="2207" t="str">
        <f>'Orç - Prédio'!D214</f>
        <v>Bancadas em granito cinza andorinha ou desireé (BG01 a BG25)</v>
      </c>
      <c r="C672" s="2207"/>
      <c r="D672" s="2207"/>
      <c r="E672" s="2207"/>
      <c r="F672" s="2207"/>
      <c r="G672" s="2207"/>
      <c r="H672" s="2207"/>
      <c r="I672" s="2207"/>
      <c r="J672" s="2207"/>
      <c r="K672" s="1836" t="str">
        <f>'Orç - Prédio'!F215</f>
        <v>m</v>
      </c>
      <c r="L672" s="1837" t="s">
        <v>15154</v>
      </c>
    </row>
    <row r="673" spans="1:13" x14ac:dyDescent="0.2">
      <c r="A673" s="2202"/>
      <c r="B673" s="2202"/>
      <c r="C673" s="1537"/>
      <c r="D673" s="1537"/>
      <c r="E673" s="1537"/>
      <c r="F673" s="1537"/>
      <c r="G673" s="2202" t="s">
        <v>6699</v>
      </c>
      <c r="H673" s="2202"/>
      <c r="I673" s="2202" t="s">
        <v>6700</v>
      </c>
      <c r="J673" s="2202"/>
      <c r="K673" s="2202"/>
      <c r="M673" s="615"/>
    </row>
    <row r="674" spans="1:13" ht="22.5" x14ac:dyDescent="0.2">
      <c r="A674" s="2202" t="s">
        <v>6715</v>
      </c>
      <c r="B674" s="2202"/>
      <c r="C674" s="2202" t="s">
        <v>6701</v>
      </c>
      <c r="D674" s="2202" t="s">
        <v>6921</v>
      </c>
      <c r="E674" s="2202" t="s">
        <v>6922</v>
      </c>
      <c r="F674" s="2202" t="s">
        <v>6923</v>
      </c>
      <c r="G674" s="1562" t="s">
        <v>6705</v>
      </c>
      <c r="H674" s="1562" t="s">
        <v>6706</v>
      </c>
      <c r="I674" s="1562" t="s">
        <v>6707</v>
      </c>
      <c r="J674" s="1562" t="s">
        <v>6705</v>
      </c>
      <c r="K674" s="1562" t="s">
        <v>6706</v>
      </c>
      <c r="M674" s="615"/>
    </row>
    <row r="675" spans="1:13" x14ac:dyDescent="0.2">
      <c r="A675" s="2202"/>
      <c r="B675" s="2202"/>
      <c r="C675" s="2202"/>
      <c r="D675" s="2202"/>
      <c r="E675" s="2202"/>
      <c r="F675" s="2202"/>
      <c r="G675" s="1562" t="s">
        <v>6708</v>
      </c>
      <c r="H675" s="1562" t="s">
        <v>6709</v>
      </c>
      <c r="I675" s="1562" t="s">
        <v>6710</v>
      </c>
      <c r="J675" s="1562" t="s">
        <v>6708</v>
      </c>
      <c r="K675" s="1562" t="s">
        <v>6709</v>
      </c>
      <c r="M675" s="615"/>
    </row>
    <row r="676" spans="1:13" x14ac:dyDescent="0.2">
      <c r="A676" s="1562"/>
      <c r="B676" s="1553" t="s">
        <v>5856</v>
      </c>
      <c r="C676" s="1541">
        <v>2</v>
      </c>
      <c r="D676" s="1541">
        <v>5.76</v>
      </c>
      <c r="E676" s="1544">
        <v>0.08</v>
      </c>
      <c r="F676" s="1550">
        <v>12</v>
      </c>
      <c r="G676" s="1558">
        <f>D676+E676*F676</f>
        <v>6.72</v>
      </c>
      <c r="H676" s="1539"/>
      <c r="I676" s="1539"/>
      <c r="J676" s="1539">
        <f t="shared" ref="J676:J700" si="40">G676*C676</f>
        <v>13.44</v>
      </c>
      <c r="K676" s="1539">
        <f t="shared" ref="K676:K700" si="41">C676*H676</f>
        <v>0</v>
      </c>
      <c r="M676" s="615"/>
    </row>
    <row r="677" spans="1:13" x14ac:dyDescent="0.2">
      <c r="A677" s="1562"/>
      <c r="B677" s="1553" t="s">
        <v>5857</v>
      </c>
      <c r="C677" s="1541">
        <v>4</v>
      </c>
      <c r="D677" s="1541">
        <v>4.2</v>
      </c>
      <c r="E677" s="1544">
        <v>0.08</v>
      </c>
      <c r="F677" s="1550">
        <v>9.4</v>
      </c>
      <c r="G677" s="1558">
        <f t="shared" ref="G677:G700" si="42">D677+E677*F677</f>
        <v>4.952</v>
      </c>
      <c r="H677" s="1539"/>
      <c r="I677" s="1539"/>
      <c r="J677" s="1539">
        <f t="shared" si="40"/>
        <v>19.808</v>
      </c>
      <c r="K677" s="1539">
        <f t="shared" si="41"/>
        <v>0</v>
      </c>
      <c r="M677" s="615"/>
    </row>
    <row r="678" spans="1:13" x14ac:dyDescent="0.2">
      <c r="A678" s="1562"/>
      <c r="B678" s="1553" t="s">
        <v>5858</v>
      </c>
      <c r="C678" s="1541">
        <v>12</v>
      </c>
      <c r="D678" s="1541">
        <v>4.92</v>
      </c>
      <c r="E678" s="1544">
        <v>0.08</v>
      </c>
      <c r="F678" s="1550">
        <v>10.6</v>
      </c>
      <c r="G678" s="1558">
        <f t="shared" si="42"/>
        <v>5.7679999999999998</v>
      </c>
      <c r="H678" s="1539"/>
      <c r="I678" s="1539"/>
      <c r="J678" s="1539">
        <f t="shared" si="40"/>
        <v>69.215999999999994</v>
      </c>
      <c r="K678" s="1539">
        <f t="shared" si="41"/>
        <v>0</v>
      </c>
      <c r="M678" s="615"/>
    </row>
    <row r="679" spans="1:13" x14ac:dyDescent="0.2">
      <c r="A679" s="1562"/>
      <c r="B679" s="1553" t="s">
        <v>5859</v>
      </c>
      <c r="C679" s="1541">
        <v>4</v>
      </c>
      <c r="D679" s="1541">
        <v>5.76</v>
      </c>
      <c r="E679" s="1544">
        <v>0.08</v>
      </c>
      <c r="F679" s="1550">
        <v>12</v>
      </c>
      <c r="G679" s="1558">
        <f t="shared" si="42"/>
        <v>6.72</v>
      </c>
      <c r="H679" s="1539"/>
      <c r="I679" s="1539"/>
      <c r="J679" s="1539">
        <f t="shared" si="40"/>
        <v>26.88</v>
      </c>
      <c r="K679" s="1539">
        <f t="shared" si="41"/>
        <v>0</v>
      </c>
      <c r="M679" s="615"/>
    </row>
    <row r="680" spans="1:13" x14ac:dyDescent="0.2">
      <c r="A680" s="1562"/>
      <c r="B680" s="1553" t="s">
        <v>5860</v>
      </c>
      <c r="C680" s="1541">
        <v>5</v>
      </c>
      <c r="D680" s="1541">
        <f>0.8*1.9</f>
        <v>1.52</v>
      </c>
      <c r="E680" s="1544">
        <v>0.08</v>
      </c>
      <c r="F680" s="1550">
        <f>0.8+1.9+0.8</f>
        <v>3.5</v>
      </c>
      <c r="G680" s="1558">
        <f t="shared" si="42"/>
        <v>1.8</v>
      </c>
      <c r="H680" s="1539"/>
      <c r="I680" s="1539"/>
      <c r="J680" s="1539">
        <f t="shared" si="40"/>
        <v>9</v>
      </c>
      <c r="K680" s="1539">
        <f t="shared" si="41"/>
        <v>0</v>
      </c>
      <c r="M680" s="615"/>
    </row>
    <row r="681" spans="1:13" x14ac:dyDescent="0.2">
      <c r="A681" s="1562"/>
      <c r="B681" s="1553" t="s">
        <v>5861</v>
      </c>
      <c r="C681" s="1541">
        <v>1</v>
      </c>
      <c r="D681" s="1541">
        <f>2.37*0.8</f>
        <v>1.8960000000000001</v>
      </c>
      <c r="E681" s="1544">
        <v>0.08</v>
      </c>
      <c r="F681" s="1550">
        <f>0.8+2.37</f>
        <v>3.17</v>
      </c>
      <c r="G681" s="1558">
        <f t="shared" si="42"/>
        <v>2.1496</v>
      </c>
      <c r="H681" s="1539"/>
      <c r="I681" s="1539"/>
      <c r="J681" s="1539">
        <f t="shared" si="40"/>
        <v>2.1496</v>
      </c>
      <c r="K681" s="1539">
        <f t="shared" si="41"/>
        <v>0</v>
      </c>
      <c r="M681" s="615"/>
    </row>
    <row r="682" spans="1:13" x14ac:dyDescent="0.2">
      <c r="A682" s="1562"/>
      <c r="B682" s="1553" t="s">
        <v>5862</v>
      </c>
      <c r="C682" s="1541">
        <v>2</v>
      </c>
      <c r="D682" s="1541">
        <f>2.5*0.7</f>
        <v>1.75</v>
      </c>
      <c r="E682" s="1544">
        <v>0.08</v>
      </c>
      <c r="F682" s="1550">
        <f>2.5+0.7</f>
        <v>3.2</v>
      </c>
      <c r="G682" s="1558">
        <f t="shared" si="42"/>
        <v>2.0060000000000002</v>
      </c>
      <c r="H682" s="1539"/>
      <c r="I682" s="1539"/>
      <c r="J682" s="1539">
        <f t="shared" si="40"/>
        <v>4.0120000000000005</v>
      </c>
      <c r="K682" s="1539">
        <f t="shared" si="41"/>
        <v>0</v>
      </c>
      <c r="M682" s="615"/>
    </row>
    <row r="683" spans="1:13" x14ac:dyDescent="0.2">
      <c r="A683" s="1562"/>
      <c r="B683" s="1553" t="s">
        <v>5863</v>
      </c>
      <c r="C683" s="1541">
        <v>2</v>
      </c>
      <c r="D683" s="1541">
        <f>2.97*0.8</f>
        <v>2.3760000000000003</v>
      </c>
      <c r="E683" s="1544">
        <v>0.08</v>
      </c>
      <c r="F683" s="1550">
        <v>2.97</v>
      </c>
      <c r="G683" s="1558">
        <f t="shared" si="42"/>
        <v>2.6136000000000004</v>
      </c>
      <c r="H683" s="1539"/>
      <c r="I683" s="1539"/>
      <c r="J683" s="1539">
        <f t="shared" si="40"/>
        <v>5.2272000000000007</v>
      </c>
      <c r="K683" s="1539">
        <f t="shared" si="41"/>
        <v>0</v>
      </c>
      <c r="M683" s="615"/>
    </row>
    <row r="684" spans="1:13" x14ac:dyDescent="0.2">
      <c r="A684" s="1562"/>
      <c r="B684" s="1553" t="s">
        <v>5864</v>
      </c>
      <c r="C684" s="1541">
        <v>1</v>
      </c>
      <c r="D684" s="1541">
        <f>2.97*0.8</f>
        <v>2.3760000000000003</v>
      </c>
      <c r="E684" s="1544">
        <v>0.08</v>
      </c>
      <c r="F684" s="1550">
        <v>2.97</v>
      </c>
      <c r="G684" s="1558">
        <f t="shared" si="42"/>
        <v>2.6136000000000004</v>
      </c>
      <c r="H684" s="1539"/>
      <c r="I684" s="1539"/>
      <c r="J684" s="1539">
        <f t="shared" si="40"/>
        <v>2.6136000000000004</v>
      </c>
      <c r="K684" s="1539">
        <f t="shared" si="41"/>
        <v>0</v>
      </c>
      <c r="M684" s="615"/>
    </row>
    <row r="685" spans="1:13" x14ac:dyDescent="0.2">
      <c r="A685" s="1562"/>
      <c r="B685" s="1553" t="s">
        <v>5865</v>
      </c>
      <c r="C685" s="1541">
        <v>1</v>
      </c>
      <c r="D685" s="1541">
        <f>6.1*0.7</f>
        <v>4.2699999999999996</v>
      </c>
      <c r="E685" s="1544">
        <v>0.08</v>
      </c>
      <c r="F685" s="1550">
        <v>6.1</v>
      </c>
      <c r="G685" s="1558">
        <f t="shared" si="42"/>
        <v>4.7579999999999991</v>
      </c>
      <c r="H685" s="1539"/>
      <c r="I685" s="1539"/>
      <c r="J685" s="1539">
        <f t="shared" si="40"/>
        <v>4.7579999999999991</v>
      </c>
      <c r="K685" s="1539">
        <f t="shared" si="41"/>
        <v>0</v>
      </c>
      <c r="M685" s="615"/>
    </row>
    <row r="686" spans="1:13" x14ac:dyDescent="0.2">
      <c r="A686" s="1562"/>
      <c r="B686" s="1553" t="s">
        <v>5866</v>
      </c>
      <c r="C686" s="1541">
        <v>1</v>
      </c>
      <c r="D686" s="1541">
        <f>4.91</f>
        <v>4.91</v>
      </c>
      <c r="E686" s="1544">
        <v>0.08</v>
      </c>
      <c r="F686" s="1550">
        <v>6.17</v>
      </c>
      <c r="G686" s="1558">
        <f t="shared" si="42"/>
        <v>5.4036</v>
      </c>
      <c r="H686" s="1539"/>
      <c r="I686" s="1539"/>
      <c r="J686" s="1539">
        <f t="shared" si="40"/>
        <v>5.4036</v>
      </c>
      <c r="K686" s="1539">
        <f t="shared" si="41"/>
        <v>0</v>
      </c>
      <c r="M686" s="615"/>
    </row>
    <row r="687" spans="1:13" x14ac:dyDescent="0.2">
      <c r="A687" s="1562"/>
      <c r="B687" s="1553" t="s">
        <v>5867</v>
      </c>
      <c r="C687" s="1541">
        <v>3</v>
      </c>
      <c r="D687" s="1541">
        <f>0.6*1.5</f>
        <v>0.89999999999999991</v>
      </c>
      <c r="E687" s="1544">
        <v>0.08</v>
      </c>
      <c r="F687" s="1550">
        <f>1.5+0.6</f>
        <v>2.1</v>
      </c>
      <c r="G687" s="1558">
        <f t="shared" si="42"/>
        <v>1.0679999999999998</v>
      </c>
      <c r="H687" s="1539"/>
      <c r="I687" s="1539"/>
      <c r="J687" s="1539">
        <f t="shared" si="40"/>
        <v>3.2039999999999997</v>
      </c>
      <c r="K687" s="1539">
        <f t="shared" si="41"/>
        <v>0</v>
      </c>
      <c r="M687" s="615"/>
    </row>
    <row r="688" spans="1:13" x14ac:dyDescent="0.2">
      <c r="A688" s="1562"/>
      <c r="B688" s="1553" t="s">
        <v>5868</v>
      </c>
      <c r="C688" s="1541">
        <v>1</v>
      </c>
      <c r="D688" s="1541">
        <f>0.6*1.87</f>
        <v>1.1220000000000001</v>
      </c>
      <c r="E688" s="1544">
        <v>0.08</v>
      </c>
      <c r="F688" s="1550">
        <f>0.6*2+1.87</f>
        <v>3.0700000000000003</v>
      </c>
      <c r="G688" s="1558">
        <f t="shared" si="42"/>
        <v>1.3676000000000001</v>
      </c>
      <c r="H688" s="1539"/>
      <c r="I688" s="1539"/>
      <c r="J688" s="1539">
        <f t="shared" si="40"/>
        <v>1.3676000000000001</v>
      </c>
      <c r="K688" s="1539">
        <f t="shared" si="41"/>
        <v>0</v>
      </c>
      <c r="M688" s="615"/>
    </row>
    <row r="689" spans="1:13" x14ac:dyDescent="0.2">
      <c r="A689" s="1562"/>
      <c r="B689" s="1553" t="s">
        <v>5869</v>
      </c>
      <c r="C689" s="1541">
        <v>1</v>
      </c>
      <c r="D689" s="1541">
        <f>1.87*0.5</f>
        <v>0.93500000000000005</v>
      </c>
      <c r="E689" s="1544">
        <v>0.08</v>
      </c>
      <c r="F689" s="1550">
        <v>1.87</v>
      </c>
      <c r="G689" s="1558">
        <f t="shared" si="42"/>
        <v>1.0846</v>
      </c>
      <c r="H689" s="1539"/>
      <c r="I689" s="1539"/>
      <c r="J689" s="1539">
        <f t="shared" si="40"/>
        <v>1.0846</v>
      </c>
      <c r="K689" s="1539">
        <f t="shared" si="41"/>
        <v>0</v>
      </c>
      <c r="M689" s="615"/>
    </row>
    <row r="690" spans="1:13" x14ac:dyDescent="0.2">
      <c r="A690" s="1562"/>
      <c r="B690" s="1553" t="s">
        <v>5870</v>
      </c>
      <c r="C690" s="1541">
        <v>2</v>
      </c>
      <c r="D690" s="1541">
        <f>2.3*0.8</f>
        <v>1.8399999999999999</v>
      </c>
      <c r="E690" s="1544">
        <v>0.08</v>
      </c>
      <c r="F690" s="1550">
        <v>2.2999999999999998</v>
      </c>
      <c r="G690" s="1558">
        <f t="shared" si="42"/>
        <v>2.024</v>
      </c>
      <c r="H690" s="1539"/>
      <c r="I690" s="1539"/>
      <c r="J690" s="1539">
        <f t="shared" si="40"/>
        <v>4.048</v>
      </c>
      <c r="K690" s="1539">
        <f t="shared" si="41"/>
        <v>0</v>
      </c>
      <c r="M690" s="615"/>
    </row>
    <row r="691" spans="1:13" x14ac:dyDescent="0.2">
      <c r="A691" s="1562"/>
      <c r="B691" s="1553" t="s">
        <v>5871</v>
      </c>
      <c r="C691" s="1541">
        <v>3</v>
      </c>
      <c r="D691" s="1541">
        <f>4.1*0.98</f>
        <v>4.0179999999999998</v>
      </c>
      <c r="E691" s="1544">
        <v>0.08</v>
      </c>
      <c r="F691" s="1550">
        <f>0.98+4.1</f>
        <v>5.08</v>
      </c>
      <c r="G691" s="1558">
        <f t="shared" si="42"/>
        <v>4.4243999999999994</v>
      </c>
      <c r="H691" s="1539"/>
      <c r="I691" s="1539"/>
      <c r="J691" s="1539">
        <f t="shared" si="40"/>
        <v>13.273199999999999</v>
      </c>
      <c r="K691" s="1539">
        <f t="shared" si="41"/>
        <v>0</v>
      </c>
      <c r="M691" s="615"/>
    </row>
    <row r="692" spans="1:13" x14ac:dyDescent="0.2">
      <c r="A692" s="1562"/>
      <c r="B692" s="1553" t="s">
        <v>5872</v>
      </c>
      <c r="C692" s="1541">
        <v>2</v>
      </c>
      <c r="D692" s="1541">
        <f>4.1*0.78</f>
        <v>3.198</v>
      </c>
      <c r="E692" s="1544">
        <v>0.08</v>
      </c>
      <c r="F692" s="1550">
        <f>0.78+4.1</f>
        <v>4.88</v>
      </c>
      <c r="G692" s="1558">
        <f t="shared" si="42"/>
        <v>3.5884</v>
      </c>
      <c r="H692" s="1539"/>
      <c r="I692" s="1539"/>
      <c r="J692" s="1539">
        <f t="shared" si="40"/>
        <v>7.1768000000000001</v>
      </c>
      <c r="K692" s="1539">
        <f t="shared" si="41"/>
        <v>0</v>
      </c>
      <c r="M692" s="615"/>
    </row>
    <row r="693" spans="1:13" x14ac:dyDescent="0.2">
      <c r="A693" s="1562"/>
      <c r="B693" s="1553" t="s">
        <v>5873</v>
      </c>
      <c r="C693" s="1541">
        <v>2</v>
      </c>
      <c r="D693" s="1541">
        <v>5.45</v>
      </c>
      <c r="E693" s="1544">
        <v>0.08</v>
      </c>
      <c r="F693" s="1550">
        <f>5.45+1</f>
        <v>6.45</v>
      </c>
      <c r="G693" s="1558">
        <f t="shared" si="42"/>
        <v>5.9660000000000002</v>
      </c>
      <c r="H693" s="1539"/>
      <c r="I693" s="1539"/>
      <c r="J693" s="1539">
        <f t="shared" si="40"/>
        <v>11.932</v>
      </c>
      <c r="K693" s="1539">
        <f t="shared" si="41"/>
        <v>0</v>
      </c>
      <c r="M693" s="615"/>
    </row>
    <row r="694" spans="1:13" x14ac:dyDescent="0.2">
      <c r="A694" s="1562"/>
      <c r="B694" s="1553" t="s">
        <v>5874</v>
      </c>
      <c r="C694" s="1541">
        <v>1</v>
      </c>
      <c r="D694" s="1541">
        <f>5.55*0.8</f>
        <v>4.4400000000000004</v>
      </c>
      <c r="E694" s="1544">
        <v>0.08</v>
      </c>
      <c r="F694" s="1550">
        <f>0.8+5.55</f>
        <v>6.35</v>
      </c>
      <c r="G694" s="1558">
        <f t="shared" si="42"/>
        <v>4.9480000000000004</v>
      </c>
      <c r="H694" s="1539"/>
      <c r="I694" s="1539"/>
      <c r="J694" s="1539">
        <f t="shared" si="40"/>
        <v>4.9480000000000004</v>
      </c>
      <c r="K694" s="1539">
        <f t="shared" si="41"/>
        <v>0</v>
      </c>
      <c r="M694" s="615"/>
    </row>
    <row r="695" spans="1:13" x14ac:dyDescent="0.2">
      <c r="A695" s="1562"/>
      <c r="B695" s="1553" t="s">
        <v>5875</v>
      </c>
      <c r="C695" s="1541">
        <v>2</v>
      </c>
      <c r="D695" s="1541">
        <f>3.4*0.57</f>
        <v>1.9379999999999997</v>
      </c>
      <c r="E695" s="1544">
        <v>0.08</v>
      </c>
      <c r="F695" s="1550">
        <f>3.4+0.57</f>
        <v>3.9699999999999998</v>
      </c>
      <c r="G695" s="1558">
        <f t="shared" si="42"/>
        <v>2.2555999999999998</v>
      </c>
      <c r="H695" s="1539"/>
      <c r="I695" s="1539"/>
      <c r="J695" s="1539">
        <f t="shared" si="40"/>
        <v>4.5111999999999997</v>
      </c>
      <c r="K695" s="1539">
        <f t="shared" si="41"/>
        <v>0</v>
      </c>
      <c r="M695" s="615"/>
    </row>
    <row r="696" spans="1:13" x14ac:dyDescent="0.2">
      <c r="A696" s="1562"/>
      <c r="B696" s="1553" t="s">
        <v>5876</v>
      </c>
      <c r="C696" s="1541">
        <v>2</v>
      </c>
      <c r="D696" s="1541">
        <f>3.4*0.57</f>
        <v>1.9379999999999997</v>
      </c>
      <c r="E696" s="1544">
        <v>0.08</v>
      </c>
      <c r="F696" s="1550">
        <f>3.4+0.57</f>
        <v>3.9699999999999998</v>
      </c>
      <c r="G696" s="1558">
        <f t="shared" si="42"/>
        <v>2.2555999999999998</v>
      </c>
      <c r="H696" s="1539"/>
      <c r="I696" s="1539"/>
      <c r="J696" s="1539">
        <f t="shared" si="40"/>
        <v>4.5111999999999997</v>
      </c>
      <c r="K696" s="1539">
        <f t="shared" si="41"/>
        <v>0</v>
      </c>
      <c r="M696" s="615"/>
    </row>
    <row r="697" spans="1:13" x14ac:dyDescent="0.2">
      <c r="A697" s="1562"/>
      <c r="B697" s="1553" t="s">
        <v>5877</v>
      </c>
      <c r="C697" s="1541">
        <v>1</v>
      </c>
      <c r="D697" s="1541">
        <f>2.47*0.57</f>
        <v>1.4078999999999999</v>
      </c>
      <c r="E697" s="1544">
        <v>0.08</v>
      </c>
      <c r="F697" s="1550">
        <f>0.54+0.54+2.49</f>
        <v>3.5700000000000003</v>
      </c>
      <c r="G697" s="1558">
        <f t="shared" si="42"/>
        <v>1.6935</v>
      </c>
      <c r="H697" s="1539"/>
      <c r="I697" s="1539"/>
      <c r="J697" s="1539">
        <f t="shared" si="40"/>
        <v>1.6935</v>
      </c>
      <c r="K697" s="1539">
        <f t="shared" si="41"/>
        <v>0</v>
      </c>
      <c r="M697" s="615"/>
    </row>
    <row r="698" spans="1:13" x14ac:dyDescent="0.2">
      <c r="A698" s="1562"/>
      <c r="B698" s="1553" t="s">
        <v>5878</v>
      </c>
      <c r="C698" s="1541">
        <v>1</v>
      </c>
      <c r="D698" s="1541">
        <f>4.95*0.55+0.8*0.55*4</f>
        <v>4.4824999999999999</v>
      </c>
      <c r="E698" s="1544">
        <v>0</v>
      </c>
      <c r="F698" s="1550">
        <v>0</v>
      </c>
      <c r="G698" s="1558">
        <f t="shared" si="42"/>
        <v>4.4824999999999999</v>
      </c>
      <c r="H698" s="1539"/>
      <c r="I698" s="1539"/>
      <c r="J698" s="1539">
        <f t="shared" si="40"/>
        <v>4.4824999999999999</v>
      </c>
      <c r="K698" s="1539">
        <f t="shared" si="41"/>
        <v>0</v>
      </c>
      <c r="M698" s="615"/>
    </row>
    <row r="699" spans="1:13" x14ac:dyDescent="0.2">
      <c r="A699" s="1562"/>
      <c r="B699" s="1553" t="s">
        <v>5880</v>
      </c>
      <c r="C699" s="1541">
        <v>1</v>
      </c>
      <c r="D699" s="1541">
        <f>5.12*0.55+0.55*0.5*6+2*0.78*0.55</f>
        <v>5.3239999999999998</v>
      </c>
      <c r="E699" s="1544">
        <v>0</v>
      </c>
      <c r="F699" s="1550">
        <v>0</v>
      </c>
      <c r="G699" s="1558">
        <f t="shared" si="42"/>
        <v>5.3239999999999998</v>
      </c>
      <c r="H699" s="1539"/>
      <c r="I699" s="1539"/>
      <c r="J699" s="1539">
        <f t="shared" si="40"/>
        <v>5.3239999999999998</v>
      </c>
      <c r="K699" s="1539">
        <f t="shared" si="41"/>
        <v>0</v>
      </c>
      <c r="M699" s="615"/>
    </row>
    <row r="700" spans="1:13" x14ac:dyDescent="0.2">
      <c r="A700" s="1562"/>
      <c r="B700" s="1553" t="s">
        <v>5879</v>
      </c>
      <c r="C700" s="1541">
        <v>2</v>
      </c>
      <c r="D700" s="1541">
        <f>2.1*0.4+0.6*1.78</f>
        <v>1.9080000000000001</v>
      </c>
      <c r="E700" s="1544">
        <v>0</v>
      </c>
      <c r="F700" s="1550">
        <v>0</v>
      </c>
      <c r="G700" s="1558">
        <f t="shared" si="42"/>
        <v>1.9080000000000001</v>
      </c>
      <c r="H700" s="1539"/>
      <c r="I700" s="1539"/>
      <c r="J700" s="1539">
        <f t="shared" si="40"/>
        <v>3.8160000000000003</v>
      </c>
      <c r="K700" s="1539">
        <f t="shared" si="41"/>
        <v>0</v>
      </c>
      <c r="M700" s="615"/>
    </row>
    <row r="701" spans="1:13" x14ac:dyDescent="0.2">
      <c r="A701" s="1547"/>
      <c r="B701" s="1548"/>
      <c r="C701" s="1548"/>
      <c r="D701" s="1548"/>
      <c r="E701" s="1548"/>
      <c r="F701" s="2200" t="s">
        <v>6711</v>
      </c>
      <c r="G701" s="2200"/>
      <c r="H701" s="2200"/>
      <c r="I701" s="1549">
        <f>ROUND(SUM(I699:I700),2)</f>
        <v>0</v>
      </c>
      <c r="J701" s="1549">
        <f>ROUND(SUM(J676:J700),2)</f>
        <v>233.88</v>
      </c>
      <c r="K701" s="1549">
        <f>ROUND(SUM(K699:K700),2)</f>
        <v>0</v>
      </c>
      <c r="M701" s="615"/>
    </row>
    <row r="702" spans="1:13" x14ac:dyDescent="0.2">
      <c r="A702" s="1562"/>
      <c r="B702" s="2201"/>
      <c r="C702" s="2201"/>
      <c r="D702" s="2201"/>
      <c r="E702" s="2201"/>
      <c r="F702" s="2201"/>
      <c r="G702" s="2201"/>
      <c r="H702" s="2201"/>
      <c r="I702" s="2201"/>
      <c r="J702" s="2201"/>
      <c r="K702" s="1562"/>
      <c r="M702" s="615"/>
    </row>
    <row r="703" spans="1:13" ht="25.5" x14ac:dyDescent="0.2">
      <c r="A703" s="1835" t="str">
        <f>'Orç - Prédio'!A215</f>
        <v>04.01.808.02</v>
      </c>
      <c r="B703" s="2207" t="str">
        <f>'Orç - Prédio'!D215</f>
        <v>Rodabancada em granito polido</v>
      </c>
      <c r="C703" s="2207"/>
      <c r="D703" s="2207"/>
      <c r="E703" s="2207"/>
      <c r="F703" s="2207"/>
      <c r="G703" s="2207"/>
      <c r="H703" s="2207"/>
      <c r="I703" s="2207"/>
      <c r="J703" s="2207"/>
      <c r="K703" s="1836" t="str">
        <f>'Orç - Prédio'!F215</f>
        <v>m</v>
      </c>
      <c r="L703" s="1837" t="s">
        <v>15154</v>
      </c>
    </row>
    <row r="704" spans="1:13" x14ac:dyDescent="0.2">
      <c r="A704" s="2202"/>
      <c r="B704" s="2202"/>
      <c r="C704" s="1537"/>
      <c r="D704" s="1537"/>
      <c r="E704" s="1537"/>
      <c r="F704" s="1537"/>
      <c r="G704" s="2202" t="s">
        <v>6699</v>
      </c>
      <c r="H704" s="2202"/>
      <c r="I704" s="2202" t="s">
        <v>6700</v>
      </c>
      <c r="J704" s="2202"/>
      <c r="K704" s="2202"/>
      <c r="M704" s="615"/>
    </row>
    <row r="705" spans="1:13" ht="22.5" x14ac:dyDescent="0.2">
      <c r="A705" s="2202" t="s">
        <v>6715</v>
      </c>
      <c r="B705" s="2202"/>
      <c r="C705" s="2202" t="s">
        <v>6701</v>
      </c>
      <c r="D705" s="2202"/>
      <c r="E705" s="2202"/>
      <c r="F705" s="2202" t="s">
        <v>6924</v>
      </c>
      <c r="G705" s="1562" t="s">
        <v>6705</v>
      </c>
      <c r="H705" s="1562" t="s">
        <v>6706</v>
      </c>
      <c r="I705" s="1562" t="s">
        <v>6707</v>
      </c>
      <c r="J705" s="1562" t="s">
        <v>6705</v>
      </c>
      <c r="K705" s="1562" t="s">
        <v>6706</v>
      </c>
      <c r="M705" s="615"/>
    </row>
    <row r="706" spans="1:13" x14ac:dyDescent="0.2">
      <c r="A706" s="2202"/>
      <c r="B706" s="2202"/>
      <c r="C706" s="2202"/>
      <c r="D706" s="2202"/>
      <c r="E706" s="2202"/>
      <c r="F706" s="2202"/>
      <c r="G706" s="1562" t="s">
        <v>6708</v>
      </c>
      <c r="H706" s="1562" t="s">
        <v>6709</v>
      </c>
      <c r="I706" s="1562" t="s">
        <v>6710</v>
      </c>
      <c r="J706" s="1562" t="s">
        <v>6708</v>
      </c>
      <c r="K706" s="1562" t="s">
        <v>6709</v>
      </c>
      <c r="M706" s="615"/>
    </row>
    <row r="707" spans="1:13" x14ac:dyDescent="0.2">
      <c r="A707" s="1562"/>
      <c r="B707" s="1553" t="s">
        <v>5856</v>
      </c>
      <c r="C707" s="1541">
        <v>2</v>
      </c>
      <c r="D707" s="1541"/>
      <c r="E707" s="1544"/>
      <c r="F707" s="1550">
        <v>0</v>
      </c>
      <c r="G707" s="1558"/>
      <c r="H707" s="1539"/>
      <c r="I707" s="1539">
        <f>F707*C707</f>
        <v>0</v>
      </c>
      <c r="J707" s="1539">
        <f t="shared" ref="J707:J731" si="43">G707*C707</f>
        <v>0</v>
      </c>
      <c r="K707" s="1539">
        <f t="shared" ref="K707:K731" si="44">C707*H707</f>
        <v>0</v>
      </c>
      <c r="L707" s="1604"/>
      <c r="M707" s="615"/>
    </row>
    <row r="708" spans="1:13" x14ac:dyDescent="0.2">
      <c r="A708" s="1562"/>
      <c r="B708" s="1553" t="s">
        <v>5857</v>
      </c>
      <c r="C708" s="1541">
        <v>4</v>
      </c>
      <c r="D708" s="1541"/>
      <c r="E708" s="1544"/>
      <c r="F708" s="1550">
        <v>0</v>
      </c>
      <c r="G708" s="1558"/>
      <c r="H708" s="1539"/>
      <c r="I708" s="1539">
        <f t="shared" ref="I708:I731" si="45">F708*C708</f>
        <v>0</v>
      </c>
      <c r="J708" s="1539">
        <f t="shared" si="43"/>
        <v>0</v>
      </c>
      <c r="K708" s="1539">
        <f t="shared" si="44"/>
        <v>0</v>
      </c>
      <c r="L708" s="1604"/>
      <c r="M708" s="615"/>
    </row>
    <row r="709" spans="1:13" x14ac:dyDescent="0.2">
      <c r="A709" s="1562"/>
      <c r="B709" s="1553" t="s">
        <v>5858</v>
      </c>
      <c r="C709" s="1541">
        <v>12</v>
      </c>
      <c r="D709" s="1541"/>
      <c r="E709" s="1544"/>
      <c r="F709" s="1550">
        <v>0</v>
      </c>
      <c r="G709" s="1558"/>
      <c r="H709" s="1539"/>
      <c r="I709" s="1539">
        <f t="shared" si="45"/>
        <v>0</v>
      </c>
      <c r="J709" s="1539">
        <f t="shared" si="43"/>
        <v>0</v>
      </c>
      <c r="K709" s="1539">
        <f t="shared" si="44"/>
        <v>0</v>
      </c>
      <c r="L709" s="1605"/>
      <c r="M709" s="615"/>
    </row>
    <row r="710" spans="1:13" x14ac:dyDescent="0.2">
      <c r="A710" s="1562"/>
      <c r="B710" s="1553" t="s">
        <v>5859</v>
      </c>
      <c r="C710" s="1541">
        <v>4</v>
      </c>
      <c r="D710" s="1541"/>
      <c r="E710" s="1544"/>
      <c r="F710" s="1550">
        <v>0</v>
      </c>
      <c r="G710" s="1558"/>
      <c r="H710" s="1539"/>
      <c r="I710" s="1539">
        <f t="shared" si="45"/>
        <v>0</v>
      </c>
      <c r="J710" s="1539">
        <f t="shared" si="43"/>
        <v>0</v>
      </c>
      <c r="K710" s="1539">
        <f t="shared" si="44"/>
        <v>0</v>
      </c>
      <c r="L710" s="1605"/>
      <c r="M710" s="615"/>
    </row>
    <row r="711" spans="1:13" x14ac:dyDescent="0.2">
      <c r="A711" s="1562"/>
      <c r="B711" s="1553" t="s">
        <v>5860</v>
      </c>
      <c r="C711" s="1541">
        <v>5</v>
      </c>
      <c r="D711" s="1541"/>
      <c r="E711" s="1544"/>
      <c r="F711" s="1550">
        <v>1.9</v>
      </c>
      <c r="G711" s="1558"/>
      <c r="H711" s="1539"/>
      <c r="I711" s="1539">
        <f t="shared" si="45"/>
        <v>9.5</v>
      </c>
      <c r="J711" s="1539">
        <f t="shared" si="43"/>
        <v>0</v>
      </c>
      <c r="K711" s="1539">
        <f t="shared" si="44"/>
        <v>0</v>
      </c>
      <c r="L711" s="1605"/>
      <c r="M711" s="615"/>
    </row>
    <row r="712" spans="1:13" x14ac:dyDescent="0.2">
      <c r="A712" s="1562"/>
      <c r="B712" s="1553" t="s">
        <v>5861</v>
      </c>
      <c r="C712" s="1541">
        <v>1</v>
      </c>
      <c r="D712" s="1541"/>
      <c r="E712" s="1544"/>
      <c r="F712" s="1550">
        <f>0.76+2.37</f>
        <v>3.13</v>
      </c>
      <c r="G712" s="1558"/>
      <c r="H712" s="1539"/>
      <c r="I712" s="1539">
        <f t="shared" si="45"/>
        <v>3.13</v>
      </c>
      <c r="J712" s="1539">
        <f t="shared" si="43"/>
        <v>0</v>
      </c>
      <c r="K712" s="1539">
        <f t="shared" si="44"/>
        <v>0</v>
      </c>
      <c r="L712" s="1605"/>
      <c r="M712" s="615"/>
    </row>
    <row r="713" spans="1:13" x14ac:dyDescent="0.2">
      <c r="A713" s="1562"/>
      <c r="B713" s="1553" t="s">
        <v>5862</v>
      </c>
      <c r="C713" s="1541">
        <v>2</v>
      </c>
      <c r="D713" s="1541"/>
      <c r="E713" s="1544"/>
      <c r="F713" s="1550">
        <f>0.68+2.5</f>
        <v>3.18</v>
      </c>
      <c r="G713" s="1558"/>
      <c r="H713" s="1539"/>
      <c r="I713" s="1539">
        <f t="shared" si="45"/>
        <v>6.36</v>
      </c>
      <c r="J713" s="1539">
        <f t="shared" si="43"/>
        <v>0</v>
      </c>
      <c r="K713" s="1539">
        <f t="shared" si="44"/>
        <v>0</v>
      </c>
      <c r="L713" s="1605"/>
      <c r="M713" s="615"/>
    </row>
    <row r="714" spans="1:13" x14ac:dyDescent="0.2">
      <c r="A714" s="1562"/>
      <c r="B714" s="1553" t="s">
        <v>5863</v>
      </c>
      <c r="C714" s="1541">
        <v>2</v>
      </c>
      <c r="D714" s="1541"/>
      <c r="E714" s="1544"/>
      <c r="F714" s="1550">
        <f>2.97+0.78+0.78</f>
        <v>4.53</v>
      </c>
      <c r="G714" s="1558"/>
      <c r="H714" s="1539"/>
      <c r="I714" s="1539">
        <f t="shared" si="45"/>
        <v>9.06</v>
      </c>
      <c r="J714" s="1539">
        <f t="shared" si="43"/>
        <v>0</v>
      </c>
      <c r="K714" s="1539">
        <f t="shared" si="44"/>
        <v>0</v>
      </c>
      <c r="L714" s="1605"/>
      <c r="M714" s="615"/>
    </row>
    <row r="715" spans="1:13" x14ac:dyDescent="0.2">
      <c r="A715" s="1562"/>
      <c r="B715" s="1553" t="s">
        <v>5864</v>
      </c>
      <c r="C715" s="1541">
        <v>1</v>
      </c>
      <c r="D715" s="1541"/>
      <c r="E715" s="1544"/>
      <c r="F715" s="1550">
        <f>2.97+0.78+0.78</f>
        <v>4.53</v>
      </c>
      <c r="G715" s="1558"/>
      <c r="H715" s="1539"/>
      <c r="I715" s="1539">
        <f t="shared" si="45"/>
        <v>4.53</v>
      </c>
      <c r="J715" s="1539">
        <f t="shared" si="43"/>
        <v>0</v>
      </c>
      <c r="K715" s="1539">
        <f t="shared" si="44"/>
        <v>0</v>
      </c>
      <c r="L715" s="1605"/>
      <c r="M715" s="615"/>
    </row>
    <row r="716" spans="1:13" x14ac:dyDescent="0.2">
      <c r="A716" s="1562"/>
      <c r="B716" s="1553" t="s">
        <v>5865</v>
      </c>
      <c r="C716" s="1541">
        <v>1</v>
      </c>
      <c r="D716" s="1541"/>
      <c r="E716" s="1544"/>
      <c r="F716" s="1550">
        <f>2*0.7+6.1</f>
        <v>7.5</v>
      </c>
      <c r="G716" s="1558"/>
      <c r="H716" s="1539"/>
      <c r="I716" s="1539">
        <f t="shared" si="45"/>
        <v>7.5</v>
      </c>
      <c r="J716" s="1539">
        <f t="shared" si="43"/>
        <v>0</v>
      </c>
      <c r="K716" s="1539">
        <f t="shared" si="44"/>
        <v>0</v>
      </c>
      <c r="L716" s="1605"/>
      <c r="M716" s="615"/>
    </row>
    <row r="717" spans="1:13" x14ac:dyDescent="0.2">
      <c r="A717" s="1562"/>
      <c r="B717" s="1553" t="s">
        <v>5866</v>
      </c>
      <c r="C717" s="1541">
        <v>1</v>
      </c>
      <c r="D717" s="1541"/>
      <c r="E717" s="1544"/>
      <c r="F717" s="1550">
        <f>0.8+0.8+6.17</f>
        <v>7.77</v>
      </c>
      <c r="G717" s="1558"/>
      <c r="H717" s="1539"/>
      <c r="I717" s="1539">
        <f t="shared" si="45"/>
        <v>7.77</v>
      </c>
      <c r="J717" s="1539">
        <f t="shared" si="43"/>
        <v>0</v>
      </c>
      <c r="K717" s="1539">
        <f t="shared" si="44"/>
        <v>0</v>
      </c>
      <c r="L717" s="1605"/>
      <c r="M717" s="615"/>
    </row>
    <row r="718" spans="1:13" x14ac:dyDescent="0.2">
      <c r="A718" s="1562"/>
      <c r="B718" s="1553" t="s">
        <v>5867</v>
      </c>
      <c r="C718" s="1541">
        <v>3</v>
      </c>
      <c r="D718" s="1541"/>
      <c r="E718" s="1544"/>
      <c r="F718" s="1550">
        <f>0.58+1.5</f>
        <v>2.08</v>
      </c>
      <c r="G718" s="1558"/>
      <c r="H718" s="1539"/>
      <c r="I718" s="1539">
        <f t="shared" si="45"/>
        <v>6.24</v>
      </c>
      <c r="J718" s="1539">
        <f t="shared" si="43"/>
        <v>0</v>
      </c>
      <c r="K718" s="1539">
        <f t="shared" si="44"/>
        <v>0</v>
      </c>
      <c r="L718" s="1605"/>
      <c r="M718" s="615"/>
    </row>
    <row r="719" spans="1:13" x14ac:dyDescent="0.2">
      <c r="A719" s="1562"/>
      <c r="B719" s="1553" t="s">
        <v>5868</v>
      </c>
      <c r="C719" s="1541">
        <v>1</v>
      </c>
      <c r="D719" s="1541"/>
      <c r="E719" s="1544"/>
      <c r="F719" s="1550">
        <v>1.87</v>
      </c>
      <c r="G719" s="1558"/>
      <c r="H719" s="1539"/>
      <c r="I719" s="1539">
        <f t="shared" si="45"/>
        <v>1.87</v>
      </c>
      <c r="J719" s="1539">
        <f t="shared" si="43"/>
        <v>0</v>
      </c>
      <c r="K719" s="1539">
        <f t="shared" si="44"/>
        <v>0</v>
      </c>
      <c r="L719" s="1605"/>
      <c r="M719" s="615"/>
    </row>
    <row r="720" spans="1:13" x14ac:dyDescent="0.2">
      <c r="A720" s="1562"/>
      <c r="B720" s="1553" t="s">
        <v>5869</v>
      </c>
      <c r="C720" s="1541">
        <v>1</v>
      </c>
      <c r="D720" s="1541"/>
      <c r="E720" s="1544"/>
      <c r="F720" s="1550">
        <v>1.87</v>
      </c>
      <c r="G720" s="1558"/>
      <c r="H720" s="1539"/>
      <c r="I720" s="1539">
        <f t="shared" si="45"/>
        <v>1.87</v>
      </c>
      <c r="J720" s="1539">
        <f t="shared" si="43"/>
        <v>0</v>
      </c>
      <c r="K720" s="1539">
        <f t="shared" si="44"/>
        <v>0</v>
      </c>
      <c r="L720" s="1605"/>
      <c r="M720" s="615"/>
    </row>
    <row r="721" spans="1:13" x14ac:dyDescent="0.2">
      <c r="A721" s="1562"/>
      <c r="B721" s="1553" t="s">
        <v>5870</v>
      </c>
      <c r="C721" s="1541">
        <v>2</v>
      </c>
      <c r="D721" s="1541"/>
      <c r="E721" s="1544"/>
      <c r="F721" s="1550">
        <v>2.2999999999999998</v>
      </c>
      <c r="G721" s="1558"/>
      <c r="H721" s="1539"/>
      <c r="I721" s="1539">
        <f t="shared" si="45"/>
        <v>4.5999999999999996</v>
      </c>
      <c r="J721" s="1539">
        <f t="shared" si="43"/>
        <v>0</v>
      </c>
      <c r="K721" s="1539">
        <f t="shared" si="44"/>
        <v>0</v>
      </c>
      <c r="L721" s="1605"/>
      <c r="M721" s="615"/>
    </row>
    <row r="722" spans="1:13" x14ac:dyDescent="0.2">
      <c r="A722" s="1562"/>
      <c r="B722" s="1553" t="s">
        <v>5871</v>
      </c>
      <c r="C722" s="1541">
        <v>3</v>
      </c>
      <c r="D722" s="1541"/>
      <c r="E722" s="1544"/>
      <c r="F722" s="1550">
        <f>4.1+1</f>
        <v>5.0999999999999996</v>
      </c>
      <c r="G722" s="1558"/>
      <c r="H722" s="1539"/>
      <c r="I722" s="1539">
        <f t="shared" si="45"/>
        <v>15.299999999999999</v>
      </c>
      <c r="J722" s="1539">
        <f t="shared" si="43"/>
        <v>0</v>
      </c>
      <c r="K722" s="1539">
        <f t="shared" si="44"/>
        <v>0</v>
      </c>
      <c r="L722" s="1605"/>
      <c r="M722" s="615"/>
    </row>
    <row r="723" spans="1:13" x14ac:dyDescent="0.2">
      <c r="A723" s="1562"/>
      <c r="B723" s="1553" t="s">
        <v>5872</v>
      </c>
      <c r="C723" s="1541">
        <v>2</v>
      </c>
      <c r="D723" s="1541"/>
      <c r="E723" s="1544"/>
      <c r="F723" s="1550">
        <f>0.78+4.1</f>
        <v>4.88</v>
      </c>
      <c r="G723" s="1558"/>
      <c r="H723" s="1539"/>
      <c r="I723" s="1539">
        <f t="shared" si="45"/>
        <v>9.76</v>
      </c>
      <c r="J723" s="1539">
        <f t="shared" si="43"/>
        <v>0</v>
      </c>
      <c r="K723" s="1539">
        <f t="shared" si="44"/>
        <v>0</v>
      </c>
      <c r="L723" s="1605"/>
      <c r="M723" s="615"/>
    </row>
    <row r="724" spans="1:13" x14ac:dyDescent="0.2">
      <c r="A724" s="1562"/>
      <c r="B724" s="1553" t="s">
        <v>5873</v>
      </c>
      <c r="C724" s="1541">
        <v>2</v>
      </c>
      <c r="D724" s="1541"/>
      <c r="E724" s="1544"/>
      <c r="F724" s="1550">
        <f>5.45+0.98</f>
        <v>6.43</v>
      </c>
      <c r="G724" s="1558"/>
      <c r="H724" s="1539"/>
      <c r="I724" s="1539">
        <f t="shared" si="45"/>
        <v>12.86</v>
      </c>
      <c r="J724" s="1539">
        <f t="shared" si="43"/>
        <v>0</v>
      </c>
      <c r="K724" s="1539">
        <f t="shared" si="44"/>
        <v>0</v>
      </c>
      <c r="L724" s="1605"/>
      <c r="M724" s="615"/>
    </row>
    <row r="725" spans="1:13" x14ac:dyDescent="0.2">
      <c r="A725" s="1562"/>
      <c r="B725" s="1553" t="s">
        <v>5874</v>
      </c>
      <c r="C725" s="1541">
        <v>1</v>
      </c>
      <c r="D725" s="1541"/>
      <c r="E725" s="1544"/>
      <c r="F725" s="1550">
        <f>0.8+5.55</f>
        <v>6.35</v>
      </c>
      <c r="G725" s="1558"/>
      <c r="H725" s="1539"/>
      <c r="I725" s="1539">
        <f t="shared" si="45"/>
        <v>6.35</v>
      </c>
      <c r="J725" s="1539">
        <f t="shared" si="43"/>
        <v>0</v>
      </c>
      <c r="K725" s="1539">
        <f t="shared" si="44"/>
        <v>0</v>
      </c>
      <c r="L725" s="1605"/>
      <c r="M725" s="615"/>
    </row>
    <row r="726" spans="1:13" x14ac:dyDescent="0.2">
      <c r="A726" s="1562"/>
      <c r="B726" s="1553" t="s">
        <v>5875</v>
      </c>
      <c r="C726" s="1541">
        <v>2</v>
      </c>
      <c r="D726" s="1541"/>
      <c r="E726" s="1544"/>
      <c r="F726" s="1550">
        <v>3.4</v>
      </c>
      <c r="G726" s="1558"/>
      <c r="H726" s="1539"/>
      <c r="I726" s="1539">
        <f t="shared" si="45"/>
        <v>6.8</v>
      </c>
      <c r="J726" s="1539">
        <f t="shared" si="43"/>
        <v>0</v>
      </c>
      <c r="K726" s="1539">
        <f t="shared" si="44"/>
        <v>0</v>
      </c>
      <c r="L726" s="1605"/>
      <c r="M726" s="615"/>
    </row>
    <row r="727" spans="1:13" x14ac:dyDescent="0.2">
      <c r="A727" s="1562"/>
      <c r="B727" s="1553" t="s">
        <v>5876</v>
      </c>
      <c r="C727" s="1541">
        <v>2</v>
      </c>
      <c r="D727" s="1541"/>
      <c r="E727" s="1544"/>
      <c r="F727" s="1550">
        <f>3.4</f>
        <v>3.4</v>
      </c>
      <c r="G727" s="1558"/>
      <c r="H727" s="1539"/>
      <c r="I727" s="1539">
        <f t="shared" si="45"/>
        <v>6.8</v>
      </c>
      <c r="J727" s="1539">
        <f t="shared" si="43"/>
        <v>0</v>
      </c>
      <c r="K727" s="1539">
        <f t="shared" si="44"/>
        <v>0</v>
      </c>
      <c r="L727" s="1605"/>
      <c r="M727" s="615"/>
    </row>
    <row r="728" spans="1:13" x14ac:dyDescent="0.2">
      <c r="A728" s="1562"/>
      <c r="B728" s="1553" t="s">
        <v>5877</v>
      </c>
      <c r="C728" s="1541">
        <v>1</v>
      </c>
      <c r="D728" s="1541"/>
      <c r="E728" s="1544"/>
      <c r="F728" s="1550">
        <v>2.4700000000000002</v>
      </c>
      <c r="G728" s="1558"/>
      <c r="H728" s="1539"/>
      <c r="I728" s="1539">
        <f t="shared" si="45"/>
        <v>2.4700000000000002</v>
      </c>
      <c r="J728" s="1539">
        <f t="shared" si="43"/>
        <v>0</v>
      </c>
      <c r="K728" s="1539">
        <f t="shared" si="44"/>
        <v>0</v>
      </c>
      <c r="L728" s="1605"/>
      <c r="M728" s="615"/>
    </row>
    <row r="729" spans="1:13" x14ac:dyDescent="0.2">
      <c r="A729" s="1562"/>
      <c r="B729" s="1553" t="s">
        <v>5878</v>
      </c>
      <c r="C729" s="1541">
        <v>1</v>
      </c>
      <c r="D729" s="1541"/>
      <c r="E729" s="1544"/>
      <c r="F729" s="1550">
        <v>0</v>
      </c>
      <c r="G729" s="1558"/>
      <c r="H729" s="1539"/>
      <c r="I729" s="1539">
        <f t="shared" si="45"/>
        <v>0</v>
      </c>
      <c r="J729" s="1539">
        <f t="shared" si="43"/>
        <v>0</v>
      </c>
      <c r="K729" s="1539">
        <f t="shared" si="44"/>
        <v>0</v>
      </c>
      <c r="L729" s="1605"/>
      <c r="M729" s="615"/>
    </row>
    <row r="730" spans="1:13" x14ac:dyDescent="0.2">
      <c r="A730" s="1562"/>
      <c r="B730" s="1553" t="s">
        <v>5880</v>
      </c>
      <c r="C730" s="1541">
        <v>1</v>
      </c>
      <c r="D730" s="1541"/>
      <c r="E730" s="1544"/>
      <c r="F730" s="1550">
        <v>0</v>
      </c>
      <c r="G730" s="1558"/>
      <c r="H730" s="1539"/>
      <c r="I730" s="1539">
        <f t="shared" si="45"/>
        <v>0</v>
      </c>
      <c r="J730" s="1539">
        <f t="shared" si="43"/>
        <v>0</v>
      </c>
      <c r="K730" s="1539">
        <f t="shared" si="44"/>
        <v>0</v>
      </c>
      <c r="L730" s="1605"/>
      <c r="M730" s="615"/>
    </row>
    <row r="731" spans="1:13" x14ac:dyDescent="0.2">
      <c r="A731" s="1562"/>
      <c r="B731" s="1553" t="s">
        <v>5879</v>
      </c>
      <c r="C731" s="1541">
        <v>2</v>
      </c>
      <c r="D731" s="1541"/>
      <c r="E731" s="1544"/>
      <c r="F731" s="1550">
        <v>0</v>
      </c>
      <c r="G731" s="1558"/>
      <c r="H731" s="1539"/>
      <c r="I731" s="1539">
        <f t="shared" si="45"/>
        <v>0</v>
      </c>
      <c r="J731" s="1539">
        <f t="shared" si="43"/>
        <v>0</v>
      </c>
      <c r="K731" s="1539">
        <f t="shared" si="44"/>
        <v>0</v>
      </c>
      <c r="L731" s="1604"/>
      <c r="M731" s="615"/>
    </row>
    <row r="732" spans="1:13" x14ac:dyDescent="0.2">
      <c r="A732" s="1547"/>
      <c r="B732" s="1548"/>
      <c r="C732" s="1548"/>
      <c r="D732" s="1548"/>
      <c r="E732" s="1548"/>
      <c r="F732" s="2200" t="s">
        <v>6711</v>
      </c>
      <c r="G732" s="2200"/>
      <c r="H732" s="2200"/>
      <c r="I732" s="1549">
        <f>ROUND(SUM(I707:I731),2)</f>
        <v>122.77</v>
      </c>
      <c r="J732" s="1549">
        <f>ROUND(SUM(J707:J731),2)</f>
        <v>0</v>
      </c>
      <c r="K732" s="1549">
        <f>ROUND(SUM(K730:K731),2)</f>
        <v>0</v>
      </c>
      <c r="M732" s="615"/>
    </row>
    <row r="733" spans="1:13" x14ac:dyDescent="0.2">
      <c r="A733" s="1562"/>
      <c r="B733" s="2201"/>
      <c r="C733" s="2201"/>
      <c r="D733" s="2201"/>
      <c r="E733" s="2201"/>
      <c r="F733" s="2201"/>
      <c r="G733" s="2201"/>
      <c r="H733" s="2201"/>
      <c r="I733" s="2201"/>
      <c r="J733" s="2201"/>
      <c r="K733" s="1562"/>
      <c r="M733" s="615"/>
    </row>
    <row r="734" spans="1:13" ht="25.5" x14ac:dyDescent="0.2">
      <c r="A734" s="1835" t="str">
        <f>'Orç - Prédio'!A216</f>
        <v>04.01.808.03</v>
      </c>
      <c r="B734" s="2207" t="str">
        <f>'Orç - Prédio'!D216</f>
        <v>Prateleiras em placas de granito, espessura 20mm, polido em todas as faces aparentes, exclusive mão-francesa (PG-01 e PG-02)</v>
      </c>
      <c r="C734" s="2207"/>
      <c r="D734" s="2207"/>
      <c r="E734" s="2207"/>
      <c r="F734" s="2207"/>
      <c r="G734" s="2207"/>
      <c r="H734" s="2207"/>
      <c r="I734" s="2207"/>
      <c r="J734" s="2207"/>
      <c r="K734" s="1836" t="str">
        <f>'Orç - Prédio'!F216</f>
        <v>m2</v>
      </c>
      <c r="L734" s="1837" t="s">
        <v>15154</v>
      </c>
    </row>
    <row r="735" spans="1:13" x14ac:dyDescent="0.2">
      <c r="A735" s="2202"/>
      <c r="B735" s="2202"/>
      <c r="C735" s="1537"/>
      <c r="D735" s="1537"/>
      <c r="E735" s="1537"/>
      <c r="F735" s="1537"/>
      <c r="G735" s="2202" t="s">
        <v>6699</v>
      </c>
      <c r="H735" s="2202"/>
      <c r="I735" s="2202" t="s">
        <v>6700</v>
      </c>
      <c r="J735" s="2202"/>
      <c r="K735" s="2202"/>
      <c r="M735" s="615"/>
    </row>
    <row r="736" spans="1:13" ht="22.5" x14ac:dyDescent="0.2">
      <c r="A736" s="2202" t="s">
        <v>6715</v>
      </c>
      <c r="B736" s="2202"/>
      <c r="C736" s="2202" t="s">
        <v>6701</v>
      </c>
      <c r="D736" s="2202" t="s">
        <v>6702</v>
      </c>
      <c r="E736" s="2202" t="s">
        <v>6703</v>
      </c>
      <c r="F736" s="2202" t="s">
        <v>6704</v>
      </c>
      <c r="G736" s="1562" t="s">
        <v>6705</v>
      </c>
      <c r="H736" s="1562" t="s">
        <v>6706</v>
      </c>
      <c r="I736" s="1562" t="s">
        <v>6707</v>
      </c>
      <c r="J736" s="1562" t="s">
        <v>6705</v>
      </c>
      <c r="K736" s="1562" t="s">
        <v>6706</v>
      </c>
      <c r="M736" s="615"/>
    </row>
    <row r="737" spans="1:13" x14ac:dyDescent="0.2">
      <c r="A737" s="2202"/>
      <c r="B737" s="2202"/>
      <c r="C737" s="2202"/>
      <c r="D737" s="2202"/>
      <c r="E737" s="2202"/>
      <c r="F737" s="2202"/>
      <c r="G737" s="1562" t="s">
        <v>6708</v>
      </c>
      <c r="H737" s="1562" t="s">
        <v>6709</v>
      </c>
      <c r="I737" s="1562" t="s">
        <v>6710</v>
      </c>
      <c r="J737" s="1562" t="s">
        <v>6708</v>
      </c>
      <c r="K737" s="1562" t="s">
        <v>6709</v>
      </c>
      <c r="M737" s="615"/>
    </row>
    <row r="738" spans="1:13" x14ac:dyDescent="0.2">
      <c r="A738" s="1562"/>
      <c r="B738" s="1553" t="s">
        <v>5843</v>
      </c>
      <c r="C738" s="1541">
        <v>4</v>
      </c>
      <c r="D738" s="1541">
        <v>0.28999999999999998</v>
      </c>
      <c r="E738" s="1544">
        <v>1.06</v>
      </c>
      <c r="F738" s="1550"/>
      <c r="G738" s="1558">
        <f>E738*D738</f>
        <v>0.30740000000000001</v>
      </c>
      <c r="H738" s="1539"/>
      <c r="I738" s="1539">
        <f>F738*C738</f>
        <v>0</v>
      </c>
      <c r="J738" s="1539">
        <f>G738*C738</f>
        <v>1.2296</v>
      </c>
      <c r="K738" s="1539">
        <f>C738*H738</f>
        <v>0</v>
      </c>
      <c r="L738" s="1604"/>
      <c r="M738" s="615"/>
    </row>
    <row r="739" spans="1:13" x14ac:dyDescent="0.2">
      <c r="A739" s="1562"/>
      <c r="B739" s="1553" t="s">
        <v>5844</v>
      </c>
      <c r="C739" s="1541">
        <v>16</v>
      </c>
      <c r="D739" s="1541">
        <v>0.17</v>
      </c>
      <c r="E739" s="1544">
        <v>0.95</v>
      </c>
      <c r="F739" s="1550"/>
      <c r="G739" s="1558">
        <f>E739*D739</f>
        <v>0.1615</v>
      </c>
      <c r="H739" s="1539"/>
      <c r="I739" s="1539">
        <f>F739*C739</f>
        <v>0</v>
      </c>
      <c r="J739" s="1539">
        <f>G739*C739</f>
        <v>2.5840000000000001</v>
      </c>
      <c r="K739" s="1539">
        <f>C739*H739</f>
        <v>0</v>
      </c>
      <c r="L739" s="1604"/>
      <c r="M739" s="615"/>
    </row>
    <row r="740" spans="1:13" x14ac:dyDescent="0.2">
      <c r="A740" s="1547"/>
      <c r="B740" s="1548"/>
      <c r="C740" s="1548"/>
      <c r="D740" s="1548"/>
      <c r="E740" s="1548"/>
      <c r="F740" s="2200" t="s">
        <v>6711</v>
      </c>
      <c r="G740" s="2200"/>
      <c r="H740" s="2200"/>
      <c r="I740" s="1549">
        <f>ROUND(SUM(I738:I739),2)</f>
        <v>0</v>
      </c>
      <c r="J740" s="1549">
        <f>ROUND(SUM(J738:J739),2)</f>
        <v>3.81</v>
      </c>
      <c r="K740" s="1549">
        <f>ROUND(SUM(K738:K739),2)</f>
        <v>0</v>
      </c>
      <c r="M740" s="615"/>
    </row>
    <row r="741" spans="1:13" x14ac:dyDescent="0.2">
      <c r="A741" s="1562"/>
      <c r="B741" s="2201"/>
      <c r="C741" s="2201"/>
      <c r="D741" s="2201"/>
      <c r="E741" s="2201"/>
      <c r="F741" s="2201"/>
      <c r="G741" s="2201"/>
      <c r="H741" s="2201"/>
      <c r="I741" s="2201"/>
      <c r="J741" s="2201"/>
      <c r="K741" s="1562"/>
      <c r="M741" s="615"/>
    </row>
    <row r="742" spans="1:13" ht="25.5" x14ac:dyDescent="0.2">
      <c r="A742" s="1835" t="str">
        <f>'Orç - Prédio'!A217</f>
        <v>04.01.809</v>
      </c>
      <c r="B742" s="2207" t="str">
        <f>'Orç - Prédio'!D217</f>
        <v>Mão-francesa em aço, abas iguais, 30cm, capacidade mínima de 60 kg, branca, fornecimento e instalação (bancadas BG-20 a BG-25 e prateleiras)</v>
      </c>
      <c r="C742" s="2207"/>
      <c r="D742" s="2207"/>
      <c r="E742" s="2207"/>
      <c r="F742" s="2207"/>
      <c r="G742" s="2207"/>
      <c r="H742" s="2207"/>
      <c r="I742" s="2207"/>
      <c r="J742" s="2207"/>
      <c r="K742" s="1836" t="str">
        <f>'Orç - Prédio'!F217</f>
        <v>unidade</v>
      </c>
      <c r="L742" s="1837" t="s">
        <v>15154</v>
      </c>
    </row>
    <row r="743" spans="1:13" x14ac:dyDescent="0.2">
      <c r="A743" s="2202"/>
      <c r="B743" s="2202"/>
      <c r="C743" s="1537"/>
      <c r="D743" s="1537"/>
      <c r="E743" s="1537"/>
      <c r="F743" s="1537"/>
      <c r="G743" s="2202" t="s">
        <v>6699</v>
      </c>
      <c r="H743" s="2202"/>
      <c r="I743" s="2202" t="s">
        <v>6700</v>
      </c>
      <c r="J743" s="2202"/>
      <c r="K743" s="2202"/>
      <c r="M743" s="615"/>
    </row>
    <row r="744" spans="1:13" ht="22.5" x14ac:dyDescent="0.2">
      <c r="A744" s="2202" t="s">
        <v>6715</v>
      </c>
      <c r="B744" s="2202"/>
      <c r="C744" s="2202" t="s">
        <v>6701</v>
      </c>
      <c r="D744" s="2202"/>
      <c r="E744" s="2202"/>
      <c r="F744" s="2202" t="s">
        <v>6925</v>
      </c>
      <c r="G744" s="1562" t="s">
        <v>6705</v>
      </c>
      <c r="H744" s="1562" t="s">
        <v>6706</v>
      </c>
      <c r="I744" s="1562" t="s">
        <v>6926</v>
      </c>
      <c r="J744" s="1562" t="s">
        <v>6705</v>
      </c>
      <c r="K744" s="1562" t="s">
        <v>6706</v>
      </c>
      <c r="M744" s="615"/>
    </row>
    <row r="745" spans="1:13" x14ac:dyDescent="0.2">
      <c r="A745" s="2202"/>
      <c r="B745" s="2202"/>
      <c r="C745" s="2202"/>
      <c r="D745" s="2202"/>
      <c r="E745" s="2202"/>
      <c r="F745" s="2202"/>
      <c r="G745" s="1562" t="s">
        <v>6708</v>
      </c>
      <c r="H745" s="1562" t="s">
        <v>6709</v>
      </c>
      <c r="I745" s="1562" t="s">
        <v>6927</v>
      </c>
      <c r="J745" s="1562" t="s">
        <v>6708</v>
      </c>
      <c r="K745" s="1562" t="s">
        <v>6709</v>
      </c>
      <c r="M745" s="615"/>
    </row>
    <row r="746" spans="1:13" x14ac:dyDescent="0.2">
      <c r="A746" s="1562"/>
      <c r="B746" s="1553" t="s">
        <v>5856</v>
      </c>
      <c r="C746" s="1541">
        <v>2</v>
      </c>
      <c r="D746" s="1541"/>
      <c r="E746" s="1544"/>
      <c r="F746" s="1550">
        <v>0</v>
      </c>
      <c r="G746" s="1558"/>
      <c r="H746" s="1539"/>
      <c r="I746" s="1539">
        <f>F746*C746</f>
        <v>0</v>
      </c>
      <c r="J746" s="1539">
        <f t="shared" ref="J746:J770" si="46">G746*C746</f>
        <v>0</v>
      </c>
      <c r="K746" s="1539">
        <f t="shared" ref="K746:K770" si="47">C746*H746</f>
        <v>0</v>
      </c>
      <c r="L746" s="1604"/>
      <c r="M746" s="615"/>
    </row>
    <row r="747" spans="1:13" x14ac:dyDescent="0.2">
      <c r="A747" s="1562"/>
      <c r="B747" s="1553" t="s">
        <v>5857</v>
      </c>
      <c r="C747" s="1541">
        <v>4</v>
      </c>
      <c r="D747" s="1541"/>
      <c r="E747" s="1544"/>
      <c r="F747" s="1550">
        <v>0</v>
      </c>
      <c r="G747" s="1558"/>
      <c r="H747" s="1539"/>
      <c r="I747" s="1539">
        <f t="shared" ref="I747:I770" si="48">F747*C747</f>
        <v>0</v>
      </c>
      <c r="J747" s="1539">
        <f t="shared" si="46"/>
        <v>0</v>
      </c>
      <c r="K747" s="1539">
        <f t="shared" si="47"/>
        <v>0</v>
      </c>
      <c r="L747" s="1604"/>
      <c r="M747" s="615"/>
    </row>
    <row r="748" spans="1:13" x14ac:dyDescent="0.2">
      <c r="A748" s="1562"/>
      <c r="B748" s="1553" t="s">
        <v>5858</v>
      </c>
      <c r="C748" s="1541">
        <v>12</v>
      </c>
      <c r="D748" s="1541"/>
      <c r="E748" s="1544"/>
      <c r="F748" s="1550">
        <v>0</v>
      </c>
      <c r="G748" s="1558"/>
      <c r="H748" s="1539"/>
      <c r="I748" s="1539">
        <f t="shared" si="48"/>
        <v>0</v>
      </c>
      <c r="J748" s="1539">
        <f t="shared" si="46"/>
        <v>0</v>
      </c>
      <c r="K748" s="1539">
        <f t="shared" si="47"/>
        <v>0</v>
      </c>
      <c r="L748" s="1605"/>
      <c r="M748" s="615"/>
    </row>
    <row r="749" spans="1:13" x14ac:dyDescent="0.2">
      <c r="A749" s="1562"/>
      <c r="B749" s="1553" t="s">
        <v>5859</v>
      </c>
      <c r="C749" s="1541">
        <v>4</v>
      </c>
      <c r="D749" s="1541"/>
      <c r="E749" s="1544"/>
      <c r="F749" s="1550">
        <v>0</v>
      </c>
      <c r="G749" s="1558"/>
      <c r="H749" s="1539"/>
      <c r="I749" s="1539">
        <f t="shared" si="48"/>
        <v>0</v>
      </c>
      <c r="J749" s="1539">
        <f t="shared" si="46"/>
        <v>0</v>
      </c>
      <c r="K749" s="1539">
        <f t="shared" si="47"/>
        <v>0</v>
      </c>
      <c r="L749" s="1605"/>
      <c r="M749" s="615"/>
    </row>
    <row r="750" spans="1:13" x14ac:dyDescent="0.2">
      <c r="A750" s="1562"/>
      <c r="B750" s="1553" t="s">
        <v>5860</v>
      </c>
      <c r="C750" s="1541">
        <v>5</v>
      </c>
      <c r="D750" s="1541"/>
      <c r="E750" s="1544"/>
      <c r="F750" s="1550">
        <v>0</v>
      </c>
      <c r="G750" s="1558"/>
      <c r="H750" s="1539"/>
      <c r="I750" s="1539">
        <f t="shared" si="48"/>
        <v>0</v>
      </c>
      <c r="J750" s="1539">
        <f t="shared" si="46"/>
        <v>0</v>
      </c>
      <c r="K750" s="1539">
        <f t="shared" si="47"/>
        <v>0</v>
      </c>
      <c r="L750" s="1605"/>
      <c r="M750" s="615"/>
    </row>
    <row r="751" spans="1:13" x14ac:dyDescent="0.2">
      <c r="A751" s="1562"/>
      <c r="B751" s="1553" t="s">
        <v>5861</v>
      </c>
      <c r="C751" s="1541">
        <v>1</v>
      </c>
      <c r="D751" s="1541"/>
      <c r="E751" s="1544"/>
      <c r="F751" s="1550">
        <v>0</v>
      </c>
      <c r="G751" s="1558"/>
      <c r="H751" s="1539"/>
      <c r="I751" s="1539">
        <f t="shared" si="48"/>
        <v>0</v>
      </c>
      <c r="J751" s="1539">
        <f t="shared" si="46"/>
        <v>0</v>
      </c>
      <c r="K751" s="1539">
        <f t="shared" si="47"/>
        <v>0</v>
      </c>
      <c r="L751" s="1605"/>
      <c r="M751" s="615"/>
    </row>
    <row r="752" spans="1:13" x14ac:dyDescent="0.2">
      <c r="A752" s="1562"/>
      <c r="B752" s="1553" t="s">
        <v>5862</v>
      </c>
      <c r="C752" s="1541">
        <v>2</v>
      </c>
      <c r="D752" s="1541"/>
      <c r="E752" s="1544"/>
      <c r="F752" s="1550">
        <v>0</v>
      </c>
      <c r="G752" s="1558"/>
      <c r="H752" s="1539"/>
      <c r="I752" s="1539">
        <f t="shared" si="48"/>
        <v>0</v>
      </c>
      <c r="J752" s="1539">
        <f t="shared" si="46"/>
        <v>0</v>
      </c>
      <c r="K752" s="1539">
        <f t="shared" si="47"/>
        <v>0</v>
      </c>
      <c r="L752" s="1605"/>
      <c r="M752" s="615"/>
    </row>
    <row r="753" spans="1:13" x14ac:dyDescent="0.2">
      <c r="A753" s="1562"/>
      <c r="B753" s="1553" t="s">
        <v>5863</v>
      </c>
      <c r="C753" s="1541">
        <v>2</v>
      </c>
      <c r="D753" s="1541"/>
      <c r="E753" s="1544"/>
      <c r="F753" s="1550">
        <v>0</v>
      </c>
      <c r="G753" s="1558"/>
      <c r="H753" s="1539"/>
      <c r="I753" s="1539">
        <f t="shared" si="48"/>
        <v>0</v>
      </c>
      <c r="J753" s="1539">
        <f t="shared" si="46"/>
        <v>0</v>
      </c>
      <c r="K753" s="1539">
        <f t="shared" si="47"/>
        <v>0</v>
      </c>
      <c r="L753" s="1605"/>
      <c r="M753" s="615"/>
    </row>
    <row r="754" spans="1:13" x14ac:dyDescent="0.2">
      <c r="A754" s="1562"/>
      <c r="B754" s="1553" t="s">
        <v>5864</v>
      </c>
      <c r="C754" s="1541">
        <v>1</v>
      </c>
      <c r="D754" s="1541"/>
      <c r="E754" s="1544"/>
      <c r="F754" s="1550">
        <v>0</v>
      </c>
      <c r="G754" s="1558"/>
      <c r="H754" s="1539"/>
      <c r="I754" s="1539">
        <f t="shared" si="48"/>
        <v>0</v>
      </c>
      <c r="J754" s="1539">
        <f t="shared" si="46"/>
        <v>0</v>
      </c>
      <c r="K754" s="1539">
        <f t="shared" si="47"/>
        <v>0</v>
      </c>
      <c r="L754" s="1605"/>
      <c r="M754" s="615"/>
    </row>
    <row r="755" spans="1:13" x14ac:dyDescent="0.2">
      <c r="A755" s="1562"/>
      <c r="B755" s="1553" t="s">
        <v>5865</v>
      </c>
      <c r="C755" s="1541">
        <v>1</v>
      </c>
      <c r="D755" s="1541"/>
      <c r="E755" s="1544"/>
      <c r="F755" s="1550">
        <v>0</v>
      </c>
      <c r="G755" s="1558"/>
      <c r="H755" s="1539"/>
      <c r="I755" s="1539">
        <f t="shared" si="48"/>
        <v>0</v>
      </c>
      <c r="J755" s="1539">
        <f t="shared" si="46"/>
        <v>0</v>
      </c>
      <c r="K755" s="1539">
        <f t="shared" si="47"/>
        <v>0</v>
      </c>
      <c r="L755" s="1605"/>
      <c r="M755" s="615"/>
    </row>
    <row r="756" spans="1:13" x14ac:dyDescent="0.2">
      <c r="A756" s="1562"/>
      <c r="B756" s="1553" t="s">
        <v>5866</v>
      </c>
      <c r="C756" s="1541">
        <v>1</v>
      </c>
      <c r="D756" s="1541"/>
      <c r="E756" s="1544"/>
      <c r="F756" s="1550">
        <v>0</v>
      </c>
      <c r="G756" s="1558"/>
      <c r="H756" s="1539"/>
      <c r="I756" s="1539">
        <f t="shared" si="48"/>
        <v>0</v>
      </c>
      <c r="J756" s="1539">
        <f t="shared" si="46"/>
        <v>0</v>
      </c>
      <c r="K756" s="1539">
        <f t="shared" si="47"/>
        <v>0</v>
      </c>
      <c r="L756" s="1605"/>
      <c r="M756" s="615"/>
    </row>
    <row r="757" spans="1:13" x14ac:dyDescent="0.2">
      <c r="A757" s="1562"/>
      <c r="B757" s="1553" t="s">
        <v>5867</v>
      </c>
      <c r="C757" s="1541">
        <v>3</v>
      </c>
      <c r="D757" s="1541"/>
      <c r="E757" s="1544"/>
      <c r="F757" s="1550">
        <v>0</v>
      </c>
      <c r="G757" s="1558"/>
      <c r="H757" s="1539"/>
      <c r="I757" s="1539">
        <f t="shared" si="48"/>
        <v>0</v>
      </c>
      <c r="J757" s="1539">
        <f t="shared" si="46"/>
        <v>0</v>
      </c>
      <c r="K757" s="1539">
        <f t="shared" si="47"/>
        <v>0</v>
      </c>
      <c r="L757" s="1605"/>
      <c r="M757" s="615"/>
    </row>
    <row r="758" spans="1:13" x14ac:dyDescent="0.2">
      <c r="A758" s="1562"/>
      <c r="B758" s="1553" t="s">
        <v>5868</v>
      </c>
      <c r="C758" s="1541">
        <v>1</v>
      </c>
      <c r="D758" s="1541"/>
      <c r="E758" s="1544"/>
      <c r="F758" s="1550">
        <v>0</v>
      </c>
      <c r="G758" s="1558"/>
      <c r="H758" s="1539"/>
      <c r="I758" s="1539">
        <f t="shared" si="48"/>
        <v>0</v>
      </c>
      <c r="J758" s="1539">
        <f t="shared" si="46"/>
        <v>0</v>
      </c>
      <c r="K758" s="1539">
        <f t="shared" si="47"/>
        <v>0</v>
      </c>
      <c r="L758" s="1605"/>
      <c r="M758" s="615"/>
    </row>
    <row r="759" spans="1:13" x14ac:dyDescent="0.2">
      <c r="A759" s="1562"/>
      <c r="B759" s="1553" t="s">
        <v>5869</v>
      </c>
      <c r="C759" s="1541">
        <v>1</v>
      </c>
      <c r="D759" s="1541"/>
      <c r="E759" s="1544"/>
      <c r="F759" s="1550">
        <v>0</v>
      </c>
      <c r="G759" s="1558"/>
      <c r="H759" s="1539"/>
      <c r="I759" s="1539">
        <f t="shared" si="48"/>
        <v>0</v>
      </c>
      <c r="J759" s="1539">
        <f t="shared" si="46"/>
        <v>0</v>
      </c>
      <c r="K759" s="1539">
        <f t="shared" si="47"/>
        <v>0</v>
      </c>
      <c r="L759" s="1605"/>
      <c r="M759" s="615"/>
    </row>
    <row r="760" spans="1:13" x14ac:dyDescent="0.2">
      <c r="A760" s="1562"/>
      <c r="B760" s="1553" t="s">
        <v>5870</v>
      </c>
      <c r="C760" s="1541">
        <v>2</v>
      </c>
      <c r="D760" s="1541"/>
      <c r="E760" s="1544"/>
      <c r="F760" s="1550">
        <v>0</v>
      </c>
      <c r="G760" s="1558"/>
      <c r="H760" s="1539"/>
      <c r="I760" s="1539">
        <f t="shared" si="48"/>
        <v>0</v>
      </c>
      <c r="J760" s="1539">
        <f t="shared" si="46"/>
        <v>0</v>
      </c>
      <c r="K760" s="1539">
        <f t="shared" si="47"/>
        <v>0</v>
      </c>
      <c r="L760" s="1605"/>
      <c r="M760" s="615"/>
    </row>
    <row r="761" spans="1:13" x14ac:dyDescent="0.2">
      <c r="A761" s="1562"/>
      <c r="B761" s="1553" t="s">
        <v>5871</v>
      </c>
      <c r="C761" s="1541">
        <v>3</v>
      </c>
      <c r="D761" s="1541"/>
      <c r="E761" s="1544"/>
      <c r="F761" s="1550">
        <v>0</v>
      </c>
      <c r="G761" s="1558"/>
      <c r="H761" s="1539"/>
      <c r="I761" s="1539">
        <f t="shared" si="48"/>
        <v>0</v>
      </c>
      <c r="J761" s="1539">
        <f t="shared" si="46"/>
        <v>0</v>
      </c>
      <c r="K761" s="1539">
        <f t="shared" si="47"/>
        <v>0</v>
      </c>
      <c r="L761" s="1605"/>
      <c r="M761" s="615"/>
    </row>
    <row r="762" spans="1:13" x14ac:dyDescent="0.2">
      <c r="A762" s="1562"/>
      <c r="B762" s="1553" t="s">
        <v>5872</v>
      </c>
      <c r="C762" s="1541">
        <v>2</v>
      </c>
      <c r="D762" s="1541"/>
      <c r="E762" s="1544"/>
      <c r="F762" s="1550">
        <v>0</v>
      </c>
      <c r="G762" s="1558"/>
      <c r="H762" s="1539"/>
      <c r="I762" s="1539">
        <f t="shared" si="48"/>
        <v>0</v>
      </c>
      <c r="J762" s="1539">
        <f t="shared" si="46"/>
        <v>0</v>
      </c>
      <c r="K762" s="1539">
        <f t="shared" si="47"/>
        <v>0</v>
      </c>
      <c r="L762" s="1605"/>
      <c r="M762" s="615"/>
    </row>
    <row r="763" spans="1:13" x14ac:dyDescent="0.2">
      <c r="A763" s="1562"/>
      <c r="B763" s="1553" t="s">
        <v>5873</v>
      </c>
      <c r="C763" s="1541">
        <v>2</v>
      </c>
      <c r="D763" s="1541"/>
      <c r="E763" s="1544"/>
      <c r="F763" s="1550">
        <v>0</v>
      </c>
      <c r="G763" s="1558"/>
      <c r="H763" s="1539"/>
      <c r="I763" s="1539">
        <f t="shared" si="48"/>
        <v>0</v>
      </c>
      <c r="J763" s="1539">
        <f t="shared" si="46"/>
        <v>0</v>
      </c>
      <c r="K763" s="1539">
        <f t="shared" si="47"/>
        <v>0</v>
      </c>
      <c r="L763" s="1605"/>
      <c r="M763" s="615"/>
    </row>
    <row r="764" spans="1:13" x14ac:dyDescent="0.2">
      <c r="A764" s="1562"/>
      <c r="B764" s="1553" t="s">
        <v>5874</v>
      </c>
      <c r="C764" s="1541">
        <v>1</v>
      </c>
      <c r="D764" s="1541"/>
      <c r="E764" s="1544"/>
      <c r="F764" s="1550">
        <v>0</v>
      </c>
      <c r="G764" s="1558"/>
      <c r="H764" s="1539"/>
      <c r="I764" s="1539">
        <f t="shared" si="48"/>
        <v>0</v>
      </c>
      <c r="J764" s="1539">
        <f t="shared" si="46"/>
        <v>0</v>
      </c>
      <c r="K764" s="1539">
        <f t="shared" si="47"/>
        <v>0</v>
      </c>
      <c r="L764" s="1605"/>
      <c r="M764" s="615"/>
    </row>
    <row r="765" spans="1:13" x14ac:dyDescent="0.2">
      <c r="A765" s="1562"/>
      <c r="B765" s="1553" t="s">
        <v>5875</v>
      </c>
      <c r="C765" s="1541">
        <v>2</v>
      </c>
      <c r="D765" s="1541"/>
      <c r="E765" s="1544"/>
      <c r="F765" s="1550">
        <v>5</v>
      </c>
      <c r="G765" s="1558"/>
      <c r="H765" s="1539"/>
      <c r="I765" s="1539">
        <f t="shared" si="48"/>
        <v>10</v>
      </c>
      <c r="J765" s="1539">
        <f t="shared" si="46"/>
        <v>0</v>
      </c>
      <c r="K765" s="1539">
        <f t="shared" si="47"/>
        <v>0</v>
      </c>
      <c r="L765" s="1605"/>
      <c r="M765" s="615"/>
    </row>
    <row r="766" spans="1:13" x14ac:dyDescent="0.2">
      <c r="A766" s="1562"/>
      <c r="B766" s="1553" t="s">
        <v>5876</v>
      </c>
      <c r="C766" s="1541">
        <v>2</v>
      </c>
      <c r="D766" s="1541"/>
      <c r="E766" s="1544"/>
      <c r="F766" s="1550">
        <v>5</v>
      </c>
      <c r="G766" s="1558"/>
      <c r="H766" s="1539"/>
      <c r="I766" s="1539">
        <f t="shared" si="48"/>
        <v>10</v>
      </c>
      <c r="J766" s="1539">
        <f t="shared" si="46"/>
        <v>0</v>
      </c>
      <c r="K766" s="1539">
        <f t="shared" si="47"/>
        <v>0</v>
      </c>
      <c r="L766" s="1605"/>
      <c r="M766" s="615"/>
    </row>
    <row r="767" spans="1:13" x14ac:dyDescent="0.2">
      <c r="A767" s="1562"/>
      <c r="B767" s="1553" t="s">
        <v>5877</v>
      </c>
      <c r="C767" s="1541">
        <v>1</v>
      </c>
      <c r="D767" s="1541"/>
      <c r="E767" s="1544"/>
      <c r="F767" s="1550">
        <v>4</v>
      </c>
      <c r="G767" s="1558"/>
      <c r="H767" s="1539"/>
      <c r="I767" s="1539">
        <f t="shared" si="48"/>
        <v>4</v>
      </c>
      <c r="J767" s="1539">
        <f t="shared" si="46"/>
        <v>0</v>
      </c>
      <c r="K767" s="1539">
        <f t="shared" si="47"/>
        <v>0</v>
      </c>
      <c r="L767" s="1605"/>
      <c r="M767" s="615"/>
    </row>
    <row r="768" spans="1:13" x14ac:dyDescent="0.2">
      <c r="A768" s="1562"/>
      <c r="B768" s="1553" t="s">
        <v>5878</v>
      </c>
      <c r="C768" s="1541">
        <v>1</v>
      </c>
      <c r="D768" s="1541"/>
      <c r="E768" s="1544"/>
      <c r="F768" s="1550">
        <v>0</v>
      </c>
      <c r="G768" s="1558"/>
      <c r="H768" s="1539"/>
      <c r="I768" s="1539">
        <f t="shared" si="48"/>
        <v>0</v>
      </c>
      <c r="J768" s="1539">
        <f t="shared" si="46"/>
        <v>0</v>
      </c>
      <c r="K768" s="1539">
        <f t="shared" si="47"/>
        <v>0</v>
      </c>
      <c r="L768" s="1605"/>
      <c r="M768" s="615"/>
    </row>
    <row r="769" spans="1:13" x14ac:dyDescent="0.2">
      <c r="A769" s="1562"/>
      <c r="B769" s="1553" t="s">
        <v>5880</v>
      </c>
      <c r="C769" s="1541">
        <v>1</v>
      </c>
      <c r="D769" s="1541"/>
      <c r="E769" s="1544"/>
      <c r="F769" s="1550">
        <v>4</v>
      </c>
      <c r="G769" s="1558"/>
      <c r="H769" s="1539"/>
      <c r="I769" s="1539">
        <f t="shared" si="48"/>
        <v>4</v>
      </c>
      <c r="J769" s="1539">
        <f t="shared" si="46"/>
        <v>0</v>
      </c>
      <c r="K769" s="1539">
        <f t="shared" si="47"/>
        <v>0</v>
      </c>
      <c r="L769" s="1605"/>
      <c r="M769" s="615"/>
    </row>
    <row r="770" spans="1:13" x14ac:dyDescent="0.2">
      <c r="A770" s="1562"/>
      <c r="B770" s="1553" t="s">
        <v>5879</v>
      </c>
      <c r="C770" s="1541">
        <v>2</v>
      </c>
      <c r="D770" s="1541"/>
      <c r="E770" s="1544"/>
      <c r="F770" s="1550">
        <v>1</v>
      </c>
      <c r="G770" s="1558"/>
      <c r="H770" s="1539"/>
      <c r="I770" s="1539">
        <f t="shared" si="48"/>
        <v>2</v>
      </c>
      <c r="J770" s="1539">
        <f t="shared" si="46"/>
        <v>0</v>
      </c>
      <c r="K770" s="1539">
        <f t="shared" si="47"/>
        <v>0</v>
      </c>
      <c r="L770" s="1604"/>
      <c r="M770" s="615"/>
    </row>
    <row r="771" spans="1:13" x14ac:dyDescent="0.2">
      <c r="A771" s="1547"/>
      <c r="B771" s="1548"/>
      <c r="C771" s="1548"/>
      <c r="D771" s="1548"/>
      <c r="E771" s="1548"/>
      <c r="F771" s="2200" t="s">
        <v>6711</v>
      </c>
      <c r="G771" s="2200"/>
      <c r="H771" s="2200"/>
      <c r="I771" s="1549">
        <f>ROUND(SUM(I746:I770),2)</f>
        <v>30</v>
      </c>
      <c r="J771" s="1549">
        <f>ROUND(SUM(J746:J770),2)</f>
        <v>0</v>
      </c>
      <c r="K771" s="1549">
        <f>ROUND(SUM(K769:K770),2)</f>
        <v>0</v>
      </c>
      <c r="M771" s="615"/>
    </row>
    <row r="772" spans="1:13" x14ac:dyDescent="0.2">
      <c r="A772" s="1562"/>
      <c r="B772" s="2201"/>
      <c r="C772" s="2201"/>
      <c r="D772" s="2201"/>
      <c r="E772" s="2201"/>
      <c r="F772" s="2201"/>
      <c r="G772" s="2201"/>
      <c r="H772" s="2201"/>
      <c r="I772" s="2201"/>
      <c r="J772" s="2201"/>
      <c r="K772" s="1562"/>
      <c r="M772" s="615"/>
    </row>
    <row r="773" spans="1:13" ht="25.5" x14ac:dyDescent="0.2">
      <c r="A773" s="1545" t="str">
        <f>'Orç - Prédio'!A729</f>
        <v>06.10.101.01</v>
      </c>
      <c r="B773" s="2203" t="str">
        <f>'Orç - Prédio'!D729</f>
        <v>Escavação manual de vala (eletrodutos enterrados, aterramento e caixas de passagem)</v>
      </c>
      <c r="C773" s="2203"/>
      <c r="D773" s="2203"/>
      <c r="E773" s="2203"/>
      <c r="F773" s="2203"/>
      <c r="G773" s="2203"/>
      <c r="H773" s="2203"/>
      <c r="I773" s="2203"/>
      <c r="J773" s="2203"/>
      <c r="K773" s="1546" t="str">
        <f>'Orç - Prédio'!F729</f>
        <v>m3</v>
      </c>
      <c r="L773" s="1837" t="s">
        <v>15154</v>
      </c>
    </row>
    <row r="774" spans="1:13" x14ac:dyDescent="0.2">
      <c r="A774" s="2202"/>
      <c r="B774" s="2202"/>
      <c r="C774" s="1537"/>
      <c r="D774" s="1537"/>
      <c r="E774" s="1537"/>
      <c r="F774" s="1537"/>
      <c r="G774" s="2202" t="s">
        <v>6699</v>
      </c>
      <c r="H774" s="2202"/>
      <c r="I774" s="2202" t="s">
        <v>6700</v>
      </c>
      <c r="J774" s="2202"/>
      <c r="K774" s="2202"/>
      <c r="M774" s="615"/>
    </row>
    <row r="775" spans="1:13" ht="22.5" x14ac:dyDescent="0.2">
      <c r="A775" s="2202" t="s">
        <v>6715</v>
      </c>
      <c r="B775" s="2202"/>
      <c r="C775" s="2202" t="s">
        <v>6701</v>
      </c>
      <c r="D775" s="2202" t="s">
        <v>6702</v>
      </c>
      <c r="E775" s="2202" t="s">
        <v>6703</v>
      </c>
      <c r="F775" s="2202" t="s">
        <v>6704</v>
      </c>
      <c r="G775" s="1641" t="s">
        <v>6705</v>
      </c>
      <c r="H775" s="1641" t="s">
        <v>6706</v>
      </c>
      <c r="I775" s="1641" t="s">
        <v>6707</v>
      </c>
      <c r="J775" s="1641" t="s">
        <v>6705</v>
      </c>
      <c r="K775" s="1641" t="s">
        <v>6706</v>
      </c>
      <c r="M775" s="615"/>
    </row>
    <row r="776" spans="1:13" x14ac:dyDescent="0.2">
      <c r="A776" s="2202"/>
      <c r="B776" s="2202"/>
      <c r="C776" s="2202"/>
      <c r="D776" s="2202"/>
      <c r="E776" s="2202"/>
      <c r="F776" s="2202"/>
      <c r="G776" s="1641" t="s">
        <v>6708</v>
      </c>
      <c r="H776" s="1641" t="s">
        <v>6709</v>
      </c>
      <c r="I776" s="1641" t="s">
        <v>6710</v>
      </c>
      <c r="J776" s="1641" t="s">
        <v>6708</v>
      </c>
      <c r="K776" s="1641" t="s">
        <v>6709</v>
      </c>
      <c r="M776" s="615"/>
    </row>
    <row r="777" spans="1:13" ht="22.5" x14ac:dyDescent="0.2">
      <c r="A777" s="1641"/>
      <c r="B777" s="1553" t="s">
        <v>7490</v>
      </c>
      <c r="C777" s="1541">
        <v>240</v>
      </c>
      <c r="D777" s="1541">
        <v>1</v>
      </c>
      <c r="E777" s="1544">
        <v>0.3</v>
      </c>
      <c r="F777" s="1550">
        <v>0.5</v>
      </c>
      <c r="G777" s="1558"/>
      <c r="H777" s="1539">
        <f>F777*E777*D777</f>
        <v>0.15</v>
      </c>
      <c r="I777" s="1539"/>
      <c r="J777" s="1539"/>
      <c r="K777" s="1539">
        <f>C777*H777</f>
        <v>36</v>
      </c>
      <c r="L777" s="1604"/>
      <c r="M777" s="615"/>
    </row>
    <row r="778" spans="1:13" x14ac:dyDescent="0.2">
      <c r="A778" s="1641"/>
      <c r="B778" s="1553" t="s">
        <v>7492</v>
      </c>
      <c r="C778" s="1541">
        <v>15</v>
      </c>
      <c r="D778" s="1541">
        <v>0.6</v>
      </c>
      <c r="E778" s="1544">
        <v>0.35</v>
      </c>
      <c r="F778" s="1550">
        <v>0.6</v>
      </c>
      <c r="G778" s="1558"/>
      <c r="H778" s="1539">
        <f>F778*E778*D778</f>
        <v>0.126</v>
      </c>
      <c r="I778" s="1539"/>
      <c r="J778" s="1539"/>
      <c r="K778" s="1539">
        <f>C778*H778</f>
        <v>1.8900000000000001</v>
      </c>
      <c r="L778" s="1604"/>
      <c r="M778" s="615"/>
    </row>
    <row r="779" spans="1:13" ht="22.5" x14ac:dyDescent="0.2">
      <c r="A779" s="1641"/>
      <c r="B779" s="1553" t="s">
        <v>7494</v>
      </c>
      <c r="C779" s="1541">
        <v>140</v>
      </c>
      <c r="D779" s="1541">
        <v>1</v>
      </c>
      <c r="E779" s="1544">
        <v>0.3</v>
      </c>
      <c r="F779" s="1550">
        <v>0.5</v>
      </c>
      <c r="G779" s="1558"/>
      <c r="H779" s="1539">
        <f>F779*E779*D779</f>
        <v>0.15</v>
      </c>
      <c r="I779" s="1539"/>
      <c r="J779" s="1539"/>
      <c r="K779" s="1539">
        <f>C779*H779</f>
        <v>21</v>
      </c>
      <c r="L779" s="1604"/>
      <c r="M779" s="615"/>
    </row>
    <row r="780" spans="1:13" x14ac:dyDescent="0.2">
      <c r="A780" s="1641"/>
      <c r="B780" s="1553" t="s">
        <v>7495</v>
      </c>
      <c r="C780" s="1541">
        <v>1</v>
      </c>
      <c r="D780" s="1541">
        <v>0.3</v>
      </c>
      <c r="E780" s="1544">
        <v>0.3</v>
      </c>
      <c r="F780" s="1550">
        <v>0.4</v>
      </c>
      <c r="G780" s="1558"/>
      <c r="H780" s="1539">
        <f>F780*E780*D780</f>
        <v>3.5999999999999997E-2</v>
      </c>
      <c r="I780" s="1539"/>
      <c r="J780" s="1539"/>
      <c r="K780" s="1539">
        <f>C780*H780</f>
        <v>3.5999999999999997E-2</v>
      </c>
      <c r="L780" s="1604"/>
      <c r="M780" s="615"/>
    </row>
    <row r="781" spans="1:13" ht="22.5" x14ac:dyDescent="0.2">
      <c r="A781" s="1815"/>
      <c r="B781" s="1553" t="s">
        <v>8327</v>
      </c>
      <c r="C781" s="1541">
        <f>6.6+67.3</f>
        <v>73.899999999999991</v>
      </c>
      <c r="D781" s="1541">
        <v>1</v>
      </c>
      <c r="E781" s="1544">
        <v>0.6</v>
      </c>
      <c r="F781" s="1550">
        <v>0.7</v>
      </c>
      <c r="G781" s="1558"/>
      <c r="H781" s="1539">
        <f>F781*E781*D781</f>
        <v>0.42</v>
      </c>
      <c r="I781" s="1539"/>
      <c r="J781" s="1539"/>
      <c r="K781" s="1539">
        <f>C781*H781</f>
        <v>31.037999999999997</v>
      </c>
      <c r="L781" s="1604"/>
      <c r="M781" s="615"/>
    </row>
    <row r="782" spans="1:13" x14ac:dyDescent="0.2">
      <c r="A782" s="1547"/>
      <c r="B782" s="1548"/>
      <c r="C782" s="1548"/>
      <c r="D782" s="1548"/>
      <c r="E782" s="1548"/>
      <c r="F782" s="2200" t="s">
        <v>6711</v>
      </c>
      <c r="G782" s="2200"/>
      <c r="H782" s="2200"/>
      <c r="I782" s="1549"/>
      <c r="J782" s="1549"/>
      <c r="K782" s="1549">
        <f>ROUND(SUM(K777:K781),2)</f>
        <v>89.96</v>
      </c>
      <c r="M782" s="615"/>
    </row>
    <row r="783" spans="1:13" x14ac:dyDescent="0.2">
      <c r="A783" s="1641"/>
      <c r="B783" s="2201"/>
      <c r="C783" s="2201"/>
      <c r="D783" s="2201"/>
      <c r="E783" s="2201"/>
      <c r="F783" s="2201"/>
      <c r="G783" s="2201"/>
      <c r="H783" s="2201"/>
      <c r="I783" s="2201"/>
      <c r="J783" s="2201"/>
      <c r="K783" s="1641"/>
      <c r="M783" s="615"/>
    </row>
    <row r="784" spans="1:13" x14ac:dyDescent="0.2">
      <c r="A784" s="1545" t="str">
        <f>'Orç - Prédio'!A730</f>
        <v>06.10.101.02</v>
      </c>
      <c r="B784" s="2203" t="str">
        <f>'Orç - Prédio'!D730</f>
        <v>Reaterro manual de valas apiloado com soquete</v>
      </c>
      <c r="C784" s="2203"/>
      <c r="D784" s="2203"/>
      <c r="E784" s="2203"/>
      <c r="F784" s="2203"/>
      <c r="G784" s="2203"/>
      <c r="H784" s="2203"/>
      <c r="I784" s="2203"/>
      <c r="J784" s="2203"/>
      <c r="K784" s="1546" t="str">
        <f>'Orç - Prédio'!F730</f>
        <v>m3</v>
      </c>
    </row>
    <row r="785" spans="1:13" x14ac:dyDescent="0.2">
      <c r="A785" s="2202"/>
      <c r="B785" s="2202"/>
      <c r="C785" s="1537"/>
      <c r="D785" s="1537"/>
      <c r="E785" s="1537"/>
      <c r="F785" s="1537"/>
      <c r="G785" s="2202" t="s">
        <v>6699</v>
      </c>
      <c r="H785" s="2202"/>
      <c r="I785" s="2202" t="s">
        <v>6700</v>
      </c>
      <c r="J785" s="2202"/>
      <c r="K785" s="2202"/>
      <c r="M785" s="615"/>
    </row>
    <row r="786" spans="1:13" ht="22.5" x14ac:dyDescent="0.2">
      <c r="A786" s="2202" t="s">
        <v>6715</v>
      </c>
      <c r="B786" s="2202"/>
      <c r="C786" s="2202" t="s">
        <v>6701</v>
      </c>
      <c r="D786" s="2202" t="s">
        <v>6702</v>
      </c>
      <c r="E786" s="2202" t="s">
        <v>6703</v>
      </c>
      <c r="F786" s="2202" t="s">
        <v>6704</v>
      </c>
      <c r="G786" s="1641" t="s">
        <v>6705</v>
      </c>
      <c r="H786" s="1641" t="s">
        <v>6706</v>
      </c>
      <c r="I786" s="1641" t="s">
        <v>6707</v>
      </c>
      <c r="J786" s="1641" t="s">
        <v>6705</v>
      </c>
      <c r="K786" s="1641" t="s">
        <v>6706</v>
      </c>
      <c r="M786" s="615"/>
    </row>
    <row r="787" spans="1:13" x14ac:dyDescent="0.2">
      <c r="A787" s="2202"/>
      <c r="B787" s="2202"/>
      <c r="C787" s="2202"/>
      <c r="D787" s="2202"/>
      <c r="E787" s="2202"/>
      <c r="F787" s="2202"/>
      <c r="G787" s="1641" t="s">
        <v>6708</v>
      </c>
      <c r="H787" s="1641" t="s">
        <v>6709</v>
      </c>
      <c r="I787" s="1641" t="s">
        <v>6710</v>
      </c>
      <c r="J787" s="1641" t="s">
        <v>6708</v>
      </c>
      <c r="K787" s="1641" t="s">
        <v>6709</v>
      </c>
      <c r="M787" s="615"/>
    </row>
    <row r="788" spans="1:13" ht="22.5" x14ac:dyDescent="0.2">
      <c r="A788" s="1641"/>
      <c r="B788" s="1553" t="s">
        <v>7490</v>
      </c>
      <c r="C788" s="1541">
        <v>240</v>
      </c>
      <c r="D788" s="1541">
        <v>1</v>
      </c>
      <c r="E788" s="1544">
        <v>0.3</v>
      </c>
      <c r="F788" s="1550">
        <v>0.5</v>
      </c>
      <c r="G788" s="1558"/>
      <c r="H788" s="1539">
        <f>F788*E788*D788</f>
        <v>0.15</v>
      </c>
      <c r="I788" s="1539"/>
      <c r="J788" s="1539"/>
      <c r="K788" s="1539">
        <f>C788*H788</f>
        <v>36</v>
      </c>
      <c r="L788" s="1604"/>
      <c r="M788" s="615"/>
    </row>
    <row r="789" spans="1:13" ht="22.5" x14ac:dyDescent="0.2">
      <c r="A789" s="1641"/>
      <c r="B789" s="1553" t="s">
        <v>7494</v>
      </c>
      <c r="C789" s="1541">
        <v>140</v>
      </c>
      <c r="D789" s="1541">
        <v>1</v>
      </c>
      <c r="E789" s="1544">
        <v>0.3</v>
      </c>
      <c r="F789" s="1550">
        <v>0.5</v>
      </c>
      <c r="G789" s="1558"/>
      <c r="H789" s="1539">
        <f>F789*E789*D789</f>
        <v>0.15</v>
      </c>
      <c r="I789" s="1539"/>
      <c r="J789" s="1539"/>
      <c r="K789" s="1539">
        <f>C789*H789</f>
        <v>21</v>
      </c>
      <c r="L789" s="1604"/>
      <c r="M789" s="615"/>
    </row>
    <row r="790" spans="1:13" ht="22.5" x14ac:dyDescent="0.2">
      <c r="A790" s="1815"/>
      <c r="B790" s="1553" t="s">
        <v>8327</v>
      </c>
      <c r="C790" s="1541">
        <f>6.6+67.3</f>
        <v>73.899999999999991</v>
      </c>
      <c r="D790" s="1541">
        <v>1</v>
      </c>
      <c r="E790" s="1544">
        <v>0.6</v>
      </c>
      <c r="F790" s="1550">
        <v>0.7</v>
      </c>
      <c r="G790" s="1558"/>
      <c r="H790" s="1539">
        <f>F790*E790*D790</f>
        <v>0.42</v>
      </c>
      <c r="I790" s="1539"/>
      <c r="J790" s="1539"/>
      <c r="K790" s="1539">
        <f>C790*H790</f>
        <v>31.037999999999997</v>
      </c>
      <c r="L790" s="1604"/>
      <c r="M790" s="615"/>
    </row>
    <row r="791" spans="1:13" x14ac:dyDescent="0.2">
      <c r="A791" s="1547"/>
      <c r="B791" s="1548"/>
      <c r="C791" s="1548"/>
      <c r="D791" s="1548"/>
      <c r="E791" s="1548"/>
      <c r="F791" s="2200" t="s">
        <v>6711</v>
      </c>
      <c r="G791" s="2200"/>
      <c r="H791" s="2200"/>
      <c r="I791" s="1549"/>
      <c r="J791" s="1549"/>
      <c r="K791" s="1549">
        <f>ROUND(SUM(K788:K790),2)</f>
        <v>88.04</v>
      </c>
      <c r="M791" s="615"/>
    </row>
    <row r="792" spans="1:13" x14ac:dyDescent="0.2">
      <c r="A792" s="1641"/>
      <c r="B792" s="2201"/>
      <c r="C792" s="2201"/>
      <c r="D792" s="2201"/>
      <c r="E792" s="2201"/>
      <c r="F792" s="2201"/>
      <c r="G792" s="2201"/>
      <c r="H792" s="2201"/>
      <c r="I792" s="2201"/>
      <c r="J792" s="2201"/>
      <c r="K792" s="1641"/>
      <c r="M792" s="615"/>
    </row>
  </sheetData>
  <mergeCells count="762">
    <mergeCell ref="F233:H233"/>
    <mergeCell ref="B234:J234"/>
    <mergeCell ref="D229:F230"/>
    <mergeCell ref="D231:F231"/>
    <mergeCell ref="B227:J227"/>
    <mergeCell ref="A228:B228"/>
    <mergeCell ref="G228:H228"/>
    <mergeCell ref="I228:K228"/>
    <mergeCell ref="A229:B230"/>
    <mergeCell ref="C229:C230"/>
    <mergeCell ref="F53:H53"/>
    <mergeCell ref="B54:J54"/>
    <mergeCell ref="F45:H45"/>
    <mergeCell ref="B46:J46"/>
    <mergeCell ref="B47:J47"/>
    <mergeCell ref="A48:B48"/>
    <mergeCell ref="G48:H48"/>
    <mergeCell ref="I48:K48"/>
    <mergeCell ref="A49:B50"/>
    <mergeCell ref="C49:C50"/>
    <mergeCell ref="D49:D50"/>
    <mergeCell ref="E49:E50"/>
    <mergeCell ref="F49:F50"/>
    <mergeCell ref="B39:J39"/>
    <mergeCell ref="A40:B40"/>
    <mergeCell ref="G40:H40"/>
    <mergeCell ref="I40:K40"/>
    <mergeCell ref="A41:B42"/>
    <mergeCell ref="C41:C42"/>
    <mergeCell ref="D41:D42"/>
    <mergeCell ref="E41:E42"/>
    <mergeCell ref="F41:F42"/>
    <mergeCell ref="F242:H242"/>
    <mergeCell ref="B244:J244"/>
    <mergeCell ref="F243:H243"/>
    <mergeCell ref="B235:J235"/>
    <mergeCell ref="A236:B236"/>
    <mergeCell ref="G236:H236"/>
    <mergeCell ref="I236:K236"/>
    <mergeCell ref="A237:B238"/>
    <mergeCell ref="C237:C238"/>
    <mergeCell ref="D237:D238"/>
    <mergeCell ref="E237:E238"/>
    <mergeCell ref="F237:F238"/>
    <mergeCell ref="A2:K2"/>
    <mergeCell ref="A3:K3"/>
    <mergeCell ref="A4:K4"/>
    <mergeCell ref="A7:K7"/>
    <mergeCell ref="B9:J9"/>
    <mergeCell ref="B10:J10"/>
    <mergeCell ref="B11:J11"/>
    <mergeCell ref="B12:J12"/>
    <mergeCell ref="F123:F124"/>
    <mergeCell ref="C81:C82"/>
    <mergeCell ref="D81:D82"/>
    <mergeCell ref="E81:E82"/>
    <mergeCell ref="F81:F82"/>
    <mergeCell ref="F87:H87"/>
    <mergeCell ref="F88:H88"/>
    <mergeCell ref="A66:B67"/>
    <mergeCell ref="C66:C67"/>
    <mergeCell ref="D66:D67"/>
    <mergeCell ref="E66:E67"/>
    <mergeCell ref="F66:F67"/>
    <mergeCell ref="B24:J24"/>
    <mergeCell ref="A25:B25"/>
    <mergeCell ref="G25:H25"/>
    <mergeCell ref="I25:K25"/>
    <mergeCell ref="B195:J195"/>
    <mergeCell ref="A15:B16"/>
    <mergeCell ref="C15:C16"/>
    <mergeCell ref="D15:D16"/>
    <mergeCell ref="F77:H77"/>
    <mergeCell ref="F29:H29"/>
    <mergeCell ref="B30:J30"/>
    <mergeCell ref="F76:H76"/>
    <mergeCell ref="B78:J78"/>
    <mergeCell ref="B79:J79"/>
    <mergeCell ref="A80:B80"/>
    <mergeCell ref="B89:J89"/>
    <mergeCell ref="G80:H80"/>
    <mergeCell ref="I80:K80"/>
    <mergeCell ref="A81:B82"/>
    <mergeCell ref="F144:H144"/>
    <mergeCell ref="B146:J146"/>
    <mergeCell ref="F145:H145"/>
    <mergeCell ref="F119:H119"/>
    <mergeCell ref="B120:J120"/>
    <mergeCell ref="B147:J147"/>
    <mergeCell ref="A148:B148"/>
    <mergeCell ref="G148:H148"/>
    <mergeCell ref="I148:K148"/>
    <mergeCell ref="F791:H791"/>
    <mergeCell ref="B792:J792"/>
    <mergeCell ref="F782:H782"/>
    <mergeCell ref="B783:J783"/>
    <mergeCell ref="B784:J784"/>
    <mergeCell ref="A785:B785"/>
    <mergeCell ref="G785:H785"/>
    <mergeCell ref="I785:K785"/>
    <mergeCell ref="A786:B787"/>
    <mergeCell ref="C786:C787"/>
    <mergeCell ref="D786:D787"/>
    <mergeCell ref="E786:E787"/>
    <mergeCell ref="F786:F787"/>
    <mergeCell ref="B773:J773"/>
    <mergeCell ref="A774:B774"/>
    <mergeCell ref="G774:H774"/>
    <mergeCell ref="I774:K774"/>
    <mergeCell ref="A775:B776"/>
    <mergeCell ref="C775:C776"/>
    <mergeCell ref="D775:D776"/>
    <mergeCell ref="E775:E776"/>
    <mergeCell ref="F775:F776"/>
    <mergeCell ref="F771:H771"/>
    <mergeCell ref="B772:J772"/>
    <mergeCell ref="B179:J179"/>
    <mergeCell ref="A180:B180"/>
    <mergeCell ref="G180:H180"/>
    <mergeCell ref="I180:K180"/>
    <mergeCell ref="A181:B182"/>
    <mergeCell ref="C181:C182"/>
    <mergeCell ref="D181:D182"/>
    <mergeCell ref="E181:E182"/>
    <mergeCell ref="F181:F182"/>
    <mergeCell ref="F186:H186"/>
    <mergeCell ref="B187:J187"/>
    <mergeCell ref="B188:J188"/>
    <mergeCell ref="A189:B189"/>
    <mergeCell ref="G189:H189"/>
    <mergeCell ref="I189:K189"/>
    <mergeCell ref="A190:B191"/>
    <mergeCell ref="C190:C191"/>
    <mergeCell ref="D190:D191"/>
    <mergeCell ref="E190:E191"/>
    <mergeCell ref="F190:F191"/>
    <mergeCell ref="F194:H194"/>
    <mergeCell ref="F740:H740"/>
    <mergeCell ref="B741:J741"/>
    <mergeCell ref="B742:J742"/>
    <mergeCell ref="A743:B743"/>
    <mergeCell ref="G743:H743"/>
    <mergeCell ref="I743:K743"/>
    <mergeCell ref="A744:B745"/>
    <mergeCell ref="C744:C745"/>
    <mergeCell ref="D744:D745"/>
    <mergeCell ref="E744:E745"/>
    <mergeCell ref="F744:F745"/>
    <mergeCell ref="F732:H732"/>
    <mergeCell ref="B733:J733"/>
    <mergeCell ref="B734:J734"/>
    <mergeCell ref="A735:B735"/>
    <mergeCell ref="G735:H735"/>
    <mergeCell ref="I735:K735"/>
    <mergeCell ref="A736:B737"/>
    <mergeCell ref="C736:C737"/>
    <mergeCell ref="D736:D737"/>
    <mergeCell ref="E736:E737"/>
    <mergeCell ref="F736:F737"/>
    <mergeCell ref="F701:H701"/>
    <mergeCell ref="B702:J702"/>
    <mergeCell ref="B703:J703"/>
    <mergeCell ref="A704:B704"/>
    <mergeCell ref="G704:H704"/>
    <mergeCell ref="I704:K704"/>
    <mergeCell ref="A705:B706"/>
    <mergeCell ref="C705:C706"/>
    <mergeCell ref="D705:D706"/>
    <mergeCell ref="E705:E706"/>
    <mergeCell ref="F705:F706"/>
    <mergeCell ref="F662:H662"/>
    <mergeCell ref="B663:J663"/>
    <mergeCell ref="B672:J672"/>
    <mergeCell ref="A673:B673"/>
    <mergeCell ref="G673:H673"/>
    <mergeCell ref="I673:K673"/>
    <mergeCell ref="A674:B675"/>
    <mergeCell ref="C674:C675"/>
    <mergeCell ref="D674:D675"/>
    <mergeCell ref="E674:E675"/>
    <mergeCell ref="F674:F675"/>
    <mergeCell ref="B664:J664"/>
    <mergeCell ref="A665:B665"/>
    <mergeCell ref="G665:H665"/>
    <mergeCell ref="I665:K665"/>
    <mergeCell ref="A666:B667"/>
    <mergeCell ref="C666:C667"/>
    <mergeCell ref="D666:D667"/>
    <mergeCell ref="E666:E667"/>
    <mergeCell ref="F666:F667"/>
    <mergeCell ref="F670:H670"/>
    <mergeCell ref="B671:J671"/>
    <mergeCell ref="A645:B646"/>
    <mergeCell ref="C645:C646"/>
    <mergeCell ref="D645:D646"/>
    <mergeCell ref="E645:E646"/>
    <mergeCell ref="F645:F646"/>
    <mergeCell ref="B633:J633"/>
    <mergeCell ref="A634:B634"/>
    <mergeCell ref="G634:H634"/>
    <mergeCell ref="I634:K634"/>
    <mergeCell ref="A635:B636"/>
    <mergeCell ref="C635:C636"/>
    <mergeCell ref="D635:D636"/>
    <mergeCell ref="E635:E636"/>
    <mergeCell ref="F635:F636"/>
    <mergeCell ref="F641:H641"/>
    <mergeCell ref="B642:J642"/>
    <mergeCell ref="A621:B622"/>
    <mergeCell ref="C621:C622"/>
    <mergeCell ref="D621:D622"/>
    <mergeCell ref="E621:E622"/>
    <mergeCell ref="F621:F622"/>
    <mergeCell ref="F631:H631"/>
    <mergeCell ref="B632:J632"/>
    <mergeCell ref="B643:J643"/>
    <mergeCell ref="A644:B644"/>
    <mergeCell ref="G644:H644"/>
    <mergeCell ref="I644:K644"/>
    <mergeCell ref="A614:B615"/>
    <mergeCell ref="C614:C615"/>
    <mergeCell ref="D614:D615"/>
    <mergeCell ref="E614:E615"/>
    <mergeCell ref="F614:F615"/>
    <mergeCell ref="F617:H617"/>
    <mergeCell ref="B618:J618"/>
    <mergeCell ref="B619:J619"/>
    <mergeCell ref="A620:B620"/>
    <mergeCell ref="G620:H620"/>
    <mergeCell ref="I620:K620"/>
    <mergeCell ref="F610:H610"/>
    <mergeCell ref="B611:J611"/>
    <mergeCell ref="B612:J612"/>
    <mergeCell ref="A613:B613"/>
    <mergeCell ref="G613:H613"/>
    <mergeCell ref="I613:K613"/>
    <mergeCell ref="B597:J597"/>
    <mergeCell ref="A598:B598"/>
    <mergeCell ref="G598:H598"/>
    <mergeCell ref="I598:K598"/>
    <mergeCell ref="A599:B600"/>
    <mergeCell ref="C599:C600"/>
    <mergeCell ref="D599:D600"/>
    <mergeCell ref="E599:E600"/>
    <mergeCell ref="F599:F600"/>
    <mergeCell ref="F602:H602"/>
    <mergeCell ref="B603:J603"/>
    <mergeCell ref="B604:J604"/>
    <mergeCell ref="A605:B605"/>
    <mergeCell ref="G605:H605"/>
    <mergeCell ref="I605:K605"/>
    <mergeCell ref="A606:B607"/>
    <mergeCell ref="C606:C607"/>
    <mergeCell ref="D606:D607"/>
    <mergeCell ref="E606:E607"/>
    <mergeCell ref="F606:F607"/>
    <mergeCell ref="A577:B578"/>
    <mergeCell ref="C577:C578"/>
    <mergeCell ref="D577:D578"/>
    <mergeCell ref="E577:E578"/>
    <mergeCell ref="F577:F578"/>
    <mergeCell ref="F583:H583"/>
    <mergeCell ref="B584:J584"/>
    <mergeCell ref="B585:J585"/>
    <mergeCell ref="A586:B586"/>
    <mergeCell ref="F595:H595"/>
    <mergeCell ref="B596:J596"/>
    <mergeCell ref="G587:G588"/>
    <mergeCell ref="F415:H415"/>
    <mergeCell ref="B416:J416"/>
    <mergeCell ref="F406:H406"/>
    <mergeCell ref="B407:J407"/>
    <mergeCell ref="B408:J408"/>
    <mergeCell ref="A409:B409"/>
    <mergeCell ref="G409:H409"/>
    <mergeCell ref="I409:K409"/>
    <mergeCell ref="A410:B411"/>
    <mergeCell ref="C410:C411"/>
    <mergeCell ref="D410:D411"/>
    <mergeCell ref="E410:E411"/>
    <mergeCell ref="F410:F411"/>
    <mergeCell ref="F398:H398"/>
    <mergeCell ref="B399:J399"/>
    <mergeCell ref="B400:J400"/>
    <mergeCell ref="A401:B401"/>
    <mergeCell ref="G401:H401"/>
    <mergeCell ref="I401:K401"/>
    <mergeCell ref="A402:B403"/>
    <mergeCell ref="C402:C403"/>
    <mergeCell ref="D402:D403"/>
    <mergeCell ref="E402:E403"/>
    <mergeCell ref="F402:F403"/>
    <mergeCell ref="F389:H389"/>
    <mergeCell ref="B390:J390"/>
    <mergeCell ref="B391:J391"/>
    <mergeCell ref="A392:B392"/>
    <mergeCell ref="G392:H392"/>
    <mergeCell ref="I392:K392"/>
    <mergeCell ref="A393:B394"/>
    <mergeCell ref="C393:C394"/>
    <mergeCell ref="D393:D394"/>
    <mergeCell ref="E393:E394"/>
    <mergeCell ref="F393:F394"/>
    <mergeCell ref="B383:J383"/>
    <mergeCell ref="A384:B384"/>
    <mergeCell ref="G384:H384"/>
    <mergeCell ref="I384:K384"/>
    <mergeCell ref="A385:B386"/>
    <mergeCell ref="C385:C386"/>
    <mergeCell ref="D385:D386"/>
    <mergeCell ref="E385:E386"/>
    <mergeCell ref="F385:F386"/>
    <mergeCell ref="B178:J178"/>
    <mergeCell ref="A149:B150"/>
    <mergeCell ref="C149:C150"/>
    <mergeCell ref="D149:D150"/>
    <mergeCell ref="E149:E150"/>
    <mergeCell ref="F149:F150"/>
    <mergeCell ref="A92:B93"/>
    <mergeCell ref="C92:C93"/>
    <mergeCell ref="D92:D93"/>
    <mergeCell ref="E92:E93"/>
    <mergeCell ref="F92:F93"/>
    <mergeCell ref="F202:H202"/>
    <mergeCell ref="B203:J203"/>
    <mergeCell ref="B90:J90"/>
    <mergeCell ref="A91:B91"/>
    <mergeCell ref="G91:H91"/>
    <mergeCell ref="I91:K91"/>
    <mergeCell ref="A123:B124"/>
    <mergeCell ref="C123:C124"/>
    <mergeCell ref="D123:D124"/>
    <mergeCell ref="E123:E124"/>
    <mergeCell ref="B121:J121"/>
    <mergeCell ref="A122:B122"/>
    <mergeCell ref="G122:H122"/>
    <mergeCell ref="I122:K122"/>
    <mergeCell ref="B196:J196"/>
    <mergeCell ref="A197:B197"/>
    <mergeCell ref="G197:H197"/>
    <mergeCell ref="I197:K197"/>
    <mergeCell ref="A198:B199"/>
    <mergeCell ref="C198:C199"/>
    <mergeCell ref="D198:D199"/>
    <mergeCell ref="E198:E199"/>
    <mergeCell ref="F198:F199"/>
    <mergeCell ref="F177:H177"/>
    <mergeCell ref="A26:B27"/>
    <mergeCell ref="C26:C27"/>
    <mergeCell ref="D26:D27"/>
    <mergeCell ref="E26:E27"/>
    <mergeCell ref="F26:F27"/>
    <mergeCell ref="B64:J64"/>
    <mergeCell ref="A65:B65"/>
    <mergeCell ref="G65:H65"/>
    <mergeCell ref="I65:K65"/>
    <mergeCell ref="C57:C58"/>
    <mergeCell ref="D57:D58"/>
    <mergeCell ref="E57:E58"/>
    <mergeCell ref="F57:F58"/>
    <mergeCell ref="B31:J31"/>
    <mergeCell ref="A32:B32"/>
    <mergeCell ref="G32:H32"/>
    <mergeCell ref="I32:K32"/>
    <mergeCell ref="A33:B34"/>
    <mergeCell ref="C33:C34"/>
    <mergeCell ref="D33:D34"/>
    <mergeCell ref="E33:E34"/>
    <mergeCell ref="F33:F34"/>
    <mergeCell ref="F37:H37"/>
    <mergeCell ref="B38:J38"/>
    <mergeCell ref="B13:J13"/>
    <mergeCell ref="A14:B14"/>
    <mergeCell ref="G14:H14"/>
    <mergeCell ref="I14:K14"/>
    <mergeCell ref="B245:J245"/>
    <mergeCell ref="A246:B246"/>
    <mergeCell ref="G246:H246"/>
    <mergeCell ref="I246:K246"/>
    <mergeCell ref="A247:B248"/>
    <mergeCell ref="C247:C248"/>
    <mergeCell ref="D247:D248"/>
    <mergeCell ref="E247:E248"/>
    <mergeCell ref="F247:F248"/>
    <mergeCell ref="E15:E16"/>
    <mergeCell ref="F15:F16"/>
    <mergeCell ref="F22:H22"/>
    <mergeCell ref="B23:J23"/>
    <mergeCell ref="F62:H62"/>
    <mergeCell ref="B63:J63"/>
    <mergeCell ref="B55:J55"/>
    <mergeCell ref="A56:B56"/>
    <mergeCell ref="G56:H56"/>
    <mergeCell ref="I56:K56"/>
    <mergeCell ref="A57:B58"/>
    <mergeCell ref="A260:B261"/>
    <mergeCell ref="C260:C261"/>
    <mergeCell ref="D260:D261"/>
    <mergeCell ref="E260:E261"/>
    <mergeCell ref="F260:F261"/>
    <mergeCell ref="F256:H256"/>
    <mergeCell ref="B257:J257"/>
    <mergeCell ref="B258:J258"/>
    <mergeCell ref="A259:B259"/>
    <mergeCell ref="G259:H259"/>
    <mergeCell ref="I259:K259"/>
    <mergeCell ref="A269:B270"/>
    <mergeCell ref="C269:C270"/>
    <mergeCell ref="D269:D270"/>
    <mergeCell ref="E269:E270"/>
    <mergeCell ref="F269:F270"/>
    <mergeCell ref="F265:H265"/>
    <mergeCell ref="B266:J266"/>
    <mergeCell ref="B267:J267"/>
    <mergeCell ref="A268:B268"/>
    <mergeCell ref="G268:H268"/>
    <mergeCell ref="I268:K268"/>
    <mergeCell ref="A277:B278"/>
    <mergeCell ref="C277:C278"/>
    <mergeCell ref="D277:D278"/>
    <mergeCell ref="E277:E278"/>
    <mergeCell ref="F277:F278"/>
    <mergeCell ref="F273:H273"/>
    <mergeCell ref="B274:J274"/>
    <mergeCell ref="B275:J275"/>
    <mergeCell ref="A276:B276"/>
    <mergeCell ref="G276:H276"/>
    <mergeCell ref="I276:K276"/>
    <mergeCell ref="A285:B286"/>
    <mergeCell ref="C285:C286"/>
    <mergeCell ref="D285:D286"/>
    <mergeCell ref="E285:E286"/>
    <mergeCell ref="F285:F286"/>
    <mergeCell ref="F281:H281"/>
    <mergeCell ref="B282:J282"/>
    <mergeCell ref="B283:J283"/>
    <mergeCell ref="A284:B284"/>
    <mergeCell ref="G284:H284"/>
    <mergeCell ref="I284:K284"/>
    <mergeCell ref="A292:B293"/>
    <mergeCell ref="C292:C293"/>
    <mergeCell ref="D292:D293"/>
    <mergeCell ref="E292:E293"/>
    <mergeCell ref="F292:F293"/>
    <mergeCell ref="F288:H288"/>
    <mergeCell ref="B289:J289"/>
    <mergeCell ref="B290:J290"/>
    <mergeCell ref="A291:B291"/>
    <mergeCell ref="G291:H291"/>
    <mergeCell ref="I291:K291"/>
    <mergeCell ref="A301:B302"/>
    <mergeCell ref="C301:C302"/>
    <mergeCell ref="D301:D302"/>
    <mergeCell ref="E301:E302"/>
    <mergeCell ref="F301:F302"/>
    <mergeCell ref="F297:H297"/>
    <mergeCell ref="B298:J298"/>
    <mergeCell ref="B299:J299"/>
    <mergeCell ref="A300:B300"/>
    <mergeCell ref="G300:H300"/>
    <mergeCell ref="I300:K300"/>
    <mergeCell ref="A309:B310"/>
    <mergeCell ref="C309:C310"/>
    <mergeCell ref="D309:D310"/>
    <mergeCell ref="E309:E310"/>
    <mergeCell ref="F309:F310"/>
    <mergeCell ref="F305:H305"/>
    <mergeCell ref="B306:J306"/>
    <mergeCell ref="B307:J307"/>
    <mergeCell ref="A308:B308"/>
    <mergeCell ref="G308:H308"/>
    <mergeCell ref="I308:K308"/>
    <mergeCell ref="A326:B327"/>
    <mergeCell ref="C326:C327"/>
    <mergeCell ref="D326:D327"/>
    <mergeCell ref="E326:E327"/>
    <mergeCell ref="F326:F327"/>
    <mergeCell ref="F322:H322"/>
    <mergeCell ref="B323:J323"/>
    <mergeCell ref="B324:J324"/>
    <mergeCell ref="A325:B325"/>
    <mergeCell ref="G325:H325"/>
    <mergeCell ref="I325:K325"/>
    <mergeCell ref="A336:B337"/>
    <mergeCell ref="C336:C337"/>
    <mergeCell ref="D336:D337"/>
    <mergeCell ref="E336:E337"/>
    <mergeCell ref="F336:F337"/>
    <mergeCell ref="F332:H332"/>
    <mergeCell ref="B333:J333"/>
    <mergeCell ref="B334:J334"/>
    <mergeCell ref="A335:B335"/>
    <mergeCell ref="G335:H335"/>
    <mergeCell ref="I335:K335"/>
    <mergeCell ref="A348:B349"/>
    <mergeCell ref="C348:C349"/>
    <mergeCell ref="D348:D349"/>
    <mergeCell ref="E348:E349"/>
    <mergeCell ref="F348:F349"/>
    <mergeCell ref="F344:H344"/>
    <mergeCell ref="B345:J345"/>
    <mergeCell ref="B346:J346"/>
    <mergeCell ref="A347:B347"/>
    <mergeCell ref="G347:H347"/>
    <mergeCell ref="I347:K347"/>
    <mergeCell ref="A356:B357"/>
    <mergeCell ref="C356:C357"/>
    <mergeCell ref="D356:D357"/>
    <mergeCell ref="E356:E357"/>
    <mergeCell ref="F356:F357"/>
    <mergeCell ref="F352:H352"/>
    <mergeCell ref="B353:J353"/>
    <mergeCell ref="B354:J354"/>
    <mergeCell ref="A355:B355"/>
    <mergeCell ref="G355:H355"/>
    <mergeCell ref="I355:K355"/>
    <mergeCell ref="F381:H381"/>
    <mergeCell ref="B382:J382"/>
    <mergeCell ref="A377:B378"/>
    <mergeCell ref="C377:C378"/>
    <mergeCell ref="D377:D378"/>
    <mergeCell ref="E377:E378"/>
    <mergeCell ref="F377:F378"/>
    <mergeCell ref="F373:H373"/>
    <mergeCell ref="B374:J374"/>
    <mergeCell ref="B375:J375"/>
    <mergeCell ref="A376:B376"/>
    <mergeCell ref="G376:H376"/>
    <mergeCell ref="I376:K376"/>
    <mergeCell ref="B417:J417"/>
    <mergeCell ref="A418:B418"/>
    <mergeCell ref="G418:H418"/>
    <mergeCell ref="I418:K418"/>
    <mergeCell ref="A419:B420"/>
    <mergeCell ref="C419:C420"/>
    <mergeCell ref="D419:D420"/>
    <mergeCell ref="E419:E420"/>
    <mergeCell ref="F419:F420"/>
    <mergeCell ref="F423:H423"/>
    <mergeCell ref="B424:J424"/>
    <mergeCell ref="B425:J425"/>
    <mergeCell ref="A426:B426"/>
    <mergeCell ref="G426:H426"/>
    <mergeCell ref="I426:K426"/>
    <mergeCell ref="A427:B428"/>
    <mergeCell ref="C427:C428"/>
    <mergeCell ref="D427:D428"/>
    <mergeCell ref="E427:E428"/>
    <mergeCell ref="F427:F428"/>
    <mergeCell ref="F431:H431"/>
    <mergeCell ref="B432:J432"/>
    <mergeCell ref="B433:J433"/>
    <mergeCell ref="A434:B434"/>
    <mergeCell ref="G434:H434"/>
    <mergeCell ref="I434:K434"/>
    <mergeCell ref="A435:B436"/>
    <mergeCell ref="C435:C436"/>
    <mergeCell ref="D435:D436"/>
    <mergeCell ref="E435:E436"/>
    <mergeCell ref="F435:F436"/>
    <mergeCell ref="F439:H439"/>
    <mergeCell ref="B440:J440"/>
    <mergeCell ref="B441:J441"/>
    <mergeCell ref="A442:B442"/>
    <mergeCell ref="G442:H442"/>
    <mergeCell ref="I442:K442"/>
    <mergeCell ref="A443:B444"/>
    <mergeCell ref="C443:C444"/>
    <mergeCell ref="D443:D444"/>
    <mergeCell ref="E443:E444"/>
    <mergeCell ref="F443:F444"/>
    <mergeCell ref="F449:H449"/>
    <mergeCell ref="B450:J450"/>
    <mergeCell ref="B451:J451"/>
    <mergeCell ref="A452:B452"/>
    <mergeCell ref="G452:H452"/>
    <mergeCell ref="I452:K452"/>
    <mergeCell ref="A453:B454"/>
    <mergeCell ref="C453:C454"/>
    <mergeCell ref="D453:D454"/>
    <mergeCell ref="E453:E454"/>
    <mergeCell ref="F453:F454"/>
    <mergeCell ref="F458:H458"/>
    <mergeCell ref="B459:J459"/>
    <mergeCell ref="B460:J460"/>
    <mergeCell ref="A461:B461"/>
    <mergeCell ref="G461:H461"/>
    <mergeCell ref="I461:K461"/>
    <mergeCell ref="A462:B463"/>
    <mergeCell ref="C462:C463"/>
    <mergeCell ref="D462:D463"/>
    <mergeCell ref="E462:E463"/>
    <mergeCell ref="F462:F463"/>
    <mergeCell ref="F467:H467"/>
    <mergeCell ref="B468:J468"/>
    <mergeCell ref="B469:J469"/>
    <mergeCell ref="A470:B470"/>
    <mergeCell ref="G470:H470"/>
    <mergeCell ref="I470:K470"/>
    <mergeCell ref="A471:B472"/>
    <mergeCell ref="C471:C472"/>
    <mergeCell ref="D471:D472"/>
    <mergeCell ref="E471:E472"/>
    <mergeCell ref="F471:F472"/>
    <mergeCell ref="F476:H476"/>
    <mergeCell ref="B477:J477"/>
    <mergeCell ref="B493:J493"/>
    <mergeCell ref="A494:B494"/>
    <mergeCell ref="G494:H494"/>
    <mergeCell ref="I494:K494"/>
    <mergeCell ref="A495:B496"/>
    <mergeCell ref="C495:C496"/>
    <mergeCell ref="D495:D496"/>
    <mergeCell ref="E495:E496"/>
    <mergeCell ref="F495:F496"/>
    <mergeCell ref="B478:J478"/>
    <mergeCell ref="A479:B479"/>
    <mergeCell ref="G479:H479"/>
    <mergeCell ref="I479:K479"/>
    <mergeCell ref="A480:B481"/>
    <mergeCell ref="C480:C481"/>
    <mergeCell ref="D480:D481"/>
    <mergeCell ref="E480:E481"/>
    <mergeCell ref="F480:F481"/>
    <mergeCell ref="F491:H491"/>
    <mergeCell ref="B492:J492"/>
    <mergeCell ref="F498:H498"/>
    <mergeCell ref="B499:J499"/>
    <mergeCell ref="B516:J516"/>
    <mergeCell ref="A517:B517"/>
    <mergeCell ref="G517:H517"/>
    <mergeCell ref="I517:K517"/>
    <mergeCell ref="A518:B519"/>
    <mergeCell ref="C518:C519"/>
    <mergeCell ref="D518:D519"/>
    <mergeCell ref="E518:E519"/>
    <mergeCell ref="F518:F519"/>
    <mergeCell ref="B508:J508"/>
    <mergeCell ref="A509:B509"/>
    <mergeCell ref="G509:H509"/>
    <mergeCell ref="I509:K509"/>
    <mergeCell ref="A510:B511"/>
    <mergeCell ref="C510:C511"/>
    <mergeCell ref="D510:D511"/>
    <mergeCell ref="E510:E511"/>
    <mergeCell ref="F510:F511"/>
    <mergeCell ref="F514:H514"/>
    <mergeCell ref="B515:J515"/>
    <mergeCell ref="B500:J500"/>
    <mergeCell ref="A501:B501"/>
    <mergeCell ref="F522:H522"/>
    <mergeCell ref="B523:J523"/>
    <mergeCell ref="B524:J524"/>
    <mergeCell ref="A525:B525"/>
    <mergeCell ref="G525:H525"/>
    <mergeCell ref="I525:K525"/>
    <mergeCell ref="A526:B527"/>
    <mergeCell ref="C526:C527"/>
    <mergeCell ref="D526:D527"/>
    <mergeCell ref="E526:E527"/>
    <mergeCell ref="F526:F527"/>
    <mergeCell ref="G552:H552"/>
    <mergeCell ref="B550:J550"/>
    <mergeCell ref="F541:H541"/>
    <mergeCell ref="B542:J542"/>
    <mergeCell ref="B543:J543"/>
    <mergeCell ref="A544:B544"/>
    <mergeCell ref="G544:H544"/>
    <mergeCell ref="I544:K544"/>
    <mergeCell ref="A545:B546"/>
    <mergeCell ref="C545:C546"/>
    <mergeCell ref="D545:D546"/>
    <mergeCell ref="E545:E546"/>
    <mergeCell ref="F545:F546"/>
    <mergeCell ref="F549:H549"/>
    <mergeCell ref="I552:K552"/>
    <mergeCell ref="B551:J551"/>
    <mergeCell ref="A552:B552"/>
    <mergeCell ref="F529:H529"/>
    <mergeCell ref="B530:J530"/>
    <mergeCell ref="B531:J531"/>
    <mergeCell ref="A532:B532"/>
    <mergeCell ref="G532:H532"/>
    <mergeCell ref="I532:K532"/>
    <mergeCell ref="A533:B534"/>
    <mergeCell ref="C533:C534"/>
    <mergeCell ref="D533:D534"/>
    <mergeCell ref="E533:E534"/>
    <mergeCell ref="F533:F534"/>
    <mergeCell ref="G576:H576"/>
    <mergeCell ref="F563:H563"/>
    <mergeCell ref="B564:J564"/>
    <mergeCell ref="F556:H556"/>
    <mergeCell ref="B557:J557"/>
    <mergeCell ref="B558:J558"/>
    <mergeCell ref="A559:B559"/>
    <mergeCell ref="G559:H559"/>
    <mergeCell ref="I559:K559"/>
    <mergeCell ref="A560:B561"/>
    <mergeCell ref="C560:C561"/>
    <mergeCell ref="F573:H573"/>
    <mergeCell ref="B574:J574"/>
    <mergeCell ref="B575:J575"/>
    <mergeCell ref="A576:B576"/>
    <mergeCell ref="I576:K576"/>
    <mergeCell ref="F553:F554"/>
    <mergeCell ref="A553:B554"/>
    <mergeCell ref="C553:C554"/>
    <mergeCell ref="D553:D554"/>
    <mergeCell ref="E553:E554"/>
    <mergeCell ref="G586:H586"/>
    <mergeCell ref="I586:K586"/>
    <mergeCell ref="A587:B588"/>
    <mergeCell ref="C587:C588"/>
    <mergeCell ref="D587:D588"/>
    <mergeCell ref="E587:E588"/>
    <mergeCell ref="F587:F588"/>
    <mergeCell ref="D560:D561"/>
    <mergeCell ref="E560:E561"/>
    <mergeCell ref="F560:F561"/>
    <mergeCell ref="B565:J565"/>
    <mergeCell ref="A566:B566"/>
    <mergeCell ref="G566:H566"/>
    <mergeCell ref="I566:K566"/>
    <mergeCell ref="A567:B568"/>
    <mergeCell ref="C567:C568"/>
    <mergeCell ref="D567:D568"/>
    <mergeCell ref="E567:E568"/>
    <mergeCell ref="F567:F568"/>
    <mergeCell ref="G501:H501"/>
    <mergeCell ref="I501:K501"/>
    <mergeCell ref="A502:B503"/>
    <mergeCell ref="C502:C503"/>
    <mergeCell ref="D502:D503"/>
    <mergeCell ref="E502:E503"/>
    <mergeCell ref="F502:F503"/>
    <mergeCell ref="F506:H506"/>
    <mergeCell ref="B507:J507"/>
    <mergeCell ref="F224:H224"/>
    <mergeCell ref="B226:J226"/>
    <mergeCell ref="A225:K225"/>
    <mergeCell ref="B204:J204"/>
    <mergeCell ref="A205:B205"/>
    <mergeCell ref="G205:H205"/>
    <mergeCell ref="I205:K205"/>
    <mergeCell ref="A206:B207"/>
    <mergeCell ref="C206:C207"/>
    <mergeCell ref="D206:D207"/>
    <mergeCell ref="E206:E207"/>
    <mergeCell ref="F206:F207"/>
    <mergeCell ref="F213:H213"/>
    <mergeCell ref="A214:K214"/>
    <mergeCell ref="B215:J215"/>
    <mergeCell ref="B216:J216"/>
    <mergeCell ref="A217:B217"/>
    <mergeCell ref="G217:H217"/>
    <mergeCell ref="I217:K217"/>
    <mergeCell ref="A218:B219"/>
    <mergeCell ref="C218:C219"/>
    <mergeCell ref="D218:D219"/>
    <mergeCell ref="E218:E219"/>
    <mergeCell ref="F218:F219"/>
  </mergeCells>
  <pageMargins left="0.39370078740157483" right="0.39370078740157483" top="0.39370078740157483" bottom="0.98425196850393704" header="0" footer="0.39370078740157483"/>
  <pageSetup paperSize="9" scale="89" firstPageNumber="229" fitToHeight="30" orientation="portrait" useFirstPageNumber="1" r:id="rId1"/>
  <headerFooter>
    <oddFooter>&amp;RPágina &amp;P de 249</oddFooter>
  </headerFooter>
  <rowBreaks count="5" manualBreakCount="5">
    <brk id="54" max="10" man="1"/>
    <brk id="413" max="10" man="1"/>
    <brk id="459" max="10" man="1"/>
    <brk id="550" max="10" man="1"/>
    <brk id="596" max="1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1"/>
  <dimension ref="A1:N89"/>
  <sheetViews>
    <sheetView view="pageBreakPreview" zoomScale="115" zoomScaleNormal="100" zoomScaleSheetLayoutView="115" workbookViewId="0">
      <selection activeCell="B12" sqref="B12:J12"/>
    </sheetView>
  </sheetViews>
  <sheetFormatPr defaultRowHeight="12.75" x14ac:dyDescent="0.2"/>
  <cols>
    <col min="1" max="1" width="10" style="616" customWidth="1"/>
    <col min="2" max="2" width="25.85546875" style="614" customWidth="1"/>
    <col min="3" max="3" width="5.7109375" style="614" bestFit="1" customWidth="1"/>
    <col min="4" max="4" width="7.140625" style="614" bestFit="1" customWidth="1"/>
    <col min="5" max="5" width="7.28515625" style="614" bestFit="1" customWidth="1"/>
    <col min="6" max="6" width="7.85546875" style="614" bestFit="1" customWidth="1"/>
    <col min="7" max="7" width="9.5703125" style="614" bestFit="1" customWidth="1"/>
    <col min="8" max="8" width="10" style="614" bestFit="1" customWidth="1"/>
    <col min="9" max="9" width="7.28515625" style="614" bestFit="1" customWidth="1"/>
    <col min="10" max="10" width="8" style="614" bestFit="1" customWidth="1"/>
    <col min="11" max="11" width="8.28515625" style="614" customWidth="1"/>
    <col min="12" max="12" width="14.7109375" style="614" customWidth="1"/>
    <col min="13" max="13" width="10.42578125" style="614" bestFit="1" customWidth="1"/>
    <col min="14" max="14" width="13.140625" style="614" bestFit="1" customWidth="1"/>
    <col min="15" max="256" width="9.140625" style="614"/>
    <col min="257" max="257" width="9.140625" style="614" customWidth="1"/>
    <col min="258" max="258" width="25.85546875" style="614" customWidth="1"/>
    <col min="259" max="259" width="5.7109375" style="614" bestFit="1" customWidth="1"/>
    <col min="260" max="260" width="7.140625" style="614" bestFit="1" customWidth="1"/>
    <col min="261" max="261" width="7.28515625" style="614" bestFit="1" customWidth="1"/>
    <col min="262" max="262" width="6.140625" style="614" bestFit="1" customWidth="1"/>
    <col min="263" max="265" width="7.28515625" style="614" bestFit="1" customWidth="1"/>
    <col min="266" max="266" width="8" style="614" bestFit="1" customWidth="1"/>
    <col min="267" max="267" width="8.28515625" style="614" customWidth="1"/>
    <col min="268" max="269" width="10.42578125" style="614" bestFit="1" customWidth="1"/>
    <col min="270" max="270" width="13.140625" style="614" bestFit="1" customWidth="1"/>
    <col min="271" max="512" width="9.140625" style="614"/>
    <col min="513" max="513" width="9.140625" style="614" customWidth="1"/>
    <col min="514" max="514" width="25.85546875" style="614" customWidth="1"/>
    <col min="515" max="515" width="5.7109375" style="614" bestFit="1" customWidth="1"/>
    <col min="516" max="516" width="7.140625" style="614" bestFit="1" customWidth="1"/>
    <col min="517" max="517" width="7.28515625" style="614" bestFit="1" customWidth="1"/>
    <col min="518" max="518" width="6.140625" style="614" bestFit="1" customWidth="1"/>
    <col min="519" max="521" width="7.28515625" style="614" bestFit="1" customWidth="1"/>
    <col min="522" max="522" width="8" style="614" bestFit="1" customWidth="1"/>
    <col min="523" max="523" width="8.28515625" style="614" customWidth="1"/>
    <col min="524" max="525" width="10.42578125" style="614" bestFit="1" customWidth="1"/>
    <col min="526" max="526" width="13.140625" style="614" bestFit="1" customWidth="1"/>
    <col min="527" max="768" width="9.140625" style="614"/>
    <col min="769" max="769" width="9.140625" style="614" customWidth="1"/>
    <col min="770" max="770" width="25.85546875" style="614" customWidth="1"/>
    <col min="771" max="771" width="5.7109375" style="614" bestFit="1" customWidth="1"/>
    <col min="772" max="772" width="7.140625" style="614" bestFit="1" customWidth="1"/>
    <col min="773" max="773" width="7.28515625" style="614" bestFit="1" customWidth="1"/>
    <col min="774" max="774" width="6.140625" style="614" bestFit="1" customWidth="1"/>
    <col min="775" max="777" width="7.28515625" style="614" bestFit="1" customWidth="1"/>
    <col min="778" max="778" width="8" style="614" bestFit="1" customWidth="1"/>
    <col min="779" max="779" width="8.28515625" style="614" customWidth="1"/>
    <col min="780" max="781" width="10.42578125" style="614" bestFit="1" customWidth="1"/>
    <col min="782" max="782" width="13.140625" style="614" bestFit="1" customWidth="1"/>
    <col min="783" max="1024" width="9.140625" style="614"/>
    <col min="1025" max="1025" width="9.140625" style="614" customWidth="1"/>
    <col min="1026" max="1026" width="25.85546875" style="614" customWidth="1"/>
    <col min="1027" max="1027" width="5.7109375" style="614" bestFit="1" customWidth="1"/>
    <col min="1028" max="1028" width="7.140625" style="614" bestFit="1" customWidth="1"/>
    <col min="1029" max="1029" width="7.28515625" style="614" bestFit="1" customWidth="1"/>
    <col min="1030" max="1030" width="6.140625" style="614" bestFit="1" customWidth="1"/>
    <col min="1031" max="1033" width="7.28515625" style="614" bestFit="1" customWidth="1"/>
    <col min="1034" max="1034" width="8" style="614" bestFit="1" customWidth="1"/>
    <col min="1035" max="1035" width="8.28515625" style="614" customWidth="1"/>
    <col min="1036" max="1037" width="10.42578125" style="614" bestFit="1" customWidth="1"/>
    <col min="1038" max="1038" width="13.140625" style="614" bestFit="1" customWidth="1"/>
    <col min="1039" max="1280" width="9.140625" style="614"/>
    <col min="1281" max="1281" width="9.140625" style="614" customWidth="1"/>
    <col min="1282" max="1282" width="25.85546875" style="614" customWidth="1"/>
    <col min="1283" max="1283" width="5.7109375" style="614" bestFit="1" customWidth="1"/>
    <col min="1284" max="1284" width="7.140625" style="614" bestFit="1" customWidth="1"/>
    <col min="1285" max="1285" width="7.28515625" style="614" bestFit="1" customWidth="1"/>
    <col min="1286" max="1286" width="6.140625" style="614" bestFit="1" customWidth="1"/>
    <col min="1287" max="1289" width="7.28515625" style="614" bestFit="1" customWidth="1"/>
    <col min="1290" max="1290" width="8" style="614" bestFit="1" customWidth="1"/>
    <col min="1291" max="1291" width="8.28515625" style="614" customWidth="1"/>
    <col min="1292" max="1293" width="10.42578125" style="614" bestFit="1" customWidth="1"/>
    <col min="1294" max="1294" width="13.140625" style="614" bestFit="1" customWidth="1"/>
    <col min="1295" max="1536" width="9.140625" style="614"/>
    <col min="1537" max="1537" width="9.140625" style="614" customWidth="1"/>
    <col min="1538" max="1538" width="25.85546875" style="614" customWidth="1"/>
    <col min="1539" max="1539" width="5.7109375" style="614" bestFit="1" customWidth="1"/>
    <col min="1540" max="1540" width="7.140625" style="614" bestFit="1" customWidth="1"/>
    <col min="1541" max="1541" width="7.28515625" style="614" bestFit="1" customWidth="1"/>
    <col min="1542" max="1542" width="6.140625" style="614" bestFit="1" customWidth="1"/>
    <col min="1543" max="1545" width="7.28515625" style="614" bestFit="1" customWidth="1"/>
    <col min="1546" max="1546" width="8" style="614" bestFit="1" customWidth="1"/>
    <col min="1547" max="1547" width="8.28515625" style="614" customWidth="1"/>
    <col min="1548" max="1549" width="10.42578125" style="614" bestFit="1" customWidth="1"/>
    <col min="1550" max="1550" width="13.140625" style="614" bestFit="1" customWidth="1"/>
    <col min="1551" max="1792" width="9.140625" style="614"/>
    <col min="1793" max="1793" width="9.140625" style="614" customWidth="1"/>
    <col min="1794" max="1794" width="25.85546875" style="614" customWidth="1"/>
    <col min="1795" max="1795" width="5.7109375" style="614" bestFit="1" customWidth="1"/>
    <col min="1796" max="1796" width="7.140625" style="614" bestFit="1" customWidth="1"/>
    <col min="1797" max="1797" width="7.28515625" style="614" bestFit="1" customWidth="1"/>
    <col min="1798" max="1798" width="6.140625" style="614" bestFit="1" customWidth="1"/>
    <col min="1799" max="1801" width="7.28515625" style="614" bestFit="1" customWidth="1"/>
    <col min="1802" max="1802" width="8" style="614" bestFit="1" customWidth="1"/>
    <col min="1803" max="1803" width="8.28515625" style="614" customWidth="1"/>
    <col min="1804" max="1805" width="10.42578125" style="614" bestFit="1" customWidth="1"/>
    <col min="1806" max="1806" width="13.140625" style="614" bestFit="1" customWidth="1"/>
    <col min="1807" max="2048" width="9.140625" style="614"/>
    <col min="2049" max="2049" width="9.140625" style="614" customWidth="1"/>
    <col min="2050" max="2050" width="25.85546875" style="614" customWidth="1"/>
    <col min="2051" max="2051" width="5.7109375" style="614" bestFit="1" customWidth="1"/>
    <col min="2052" max="2052" width="7.140625" style="614" bestFit="1" customWidth="1"/>
    <col min="2053" max="2053" width="7.28515625" style="614" bestFit="1" customWidth="1"/>
    <col min="2054" max="2054" width="6.140625" style="614" bestFit="1" customWidth="1"/>
    <col min="2055" max="2057" width="7.28515625" style="614" bestFit="1" customWidth="1"/>
    <col min="2058" max="2058" width="8" style="614" bestFit="1" customWidth="1"/>
    <col min="2059" max="2059" width="8.28515625" style="614" customWidth="1"/>
    <col min="2060" max="2061" width="10.42578125" style="614" bestFit="1" customWidth="1"/>
    <col min="2062" max="2062" width="13.140625" style="614" bestFit="1" customWidth="1"/>
    <col min="2063" max="2304" width="9.140625" style="614"/>
    <col min="2305" max="2305" width="9.140625" style="614" customWidth="1"/>
    <col min="2306" max="2306" width="25.85546875" style="614" customWidth="1"/>
    <col min="2307" max="2307" width="5.7109375" style="614" bestFit="1" customWidth="1"/>
    <col min="2308" max="2308" width="7.140625" style="614" bestFit="1" customWidth="1"/>
    <col min="2309" max="2309" width="7.28515625" style="614" bestFit="1" customWidth="1"/>
    <col min="2310" max="2310" width="6.140625" style="614" bestFit="1" customWidth="1"/>
    <col min="2311" max="2313" width="7.28515625" style="614" bestFit="1" customWidth="1"/>
    <col min="2314" max="2314" width="8" style="614" bestFit="1" customWidth="1"/>
    <col min="2315" max="2315" width="8.28515625" style="614" customWidth="1"/>
    <col min="2316" max="2317" width="10.42578125" style="614" bestFit="1" customWidth="1"/>
    <col min="2318" max="2318" width="13.140625" style="614" bestFit="1" customWidth="1"/>
    <col min="2319" max="2560" width="9.140625" style="614"/>
    <col min="2561" max="2561" width="9.140625" style="614" customWidth="1"/>
    <col min="2562" max="2562" width="25.85546875" style="614" customWidth="1"/>
    <col min="2563" max="2563" width="5.7109375" style="614" bestFit="1" customWidth="1"/>
    <col min="2564" max="2564" width="7.140625" style="614" bestFit="1" customWidth="1"/>
    <col min="2565" max="2565" width="7.28515625" style="614" bestFit="1" customWidth="1"/>
    <col min="2566" max="2566" width="6.140625" style="614" bestFit="1" customWidth="1"/>
    <col min="2567" max="2569" width="7.28515625" style="614" bestFit="1" customWidth="1"/>
    <col min="2570" max="2570" width="8" style="614" bestFit="1" customWidth="1"/>
    <col min="2571" max="2571" width="8.28515625" style="614" customWidth="1"/>
    <col min="2572" max="2573" width="10.42578125" style="614" bestFit="1" customWidth="1"/>
    <col min="2574" max="2574" width="13.140625" style="614" bestFit="1" customWidth="1"/>
    <col min="2575" max="2816" width="9.140625" style="614"/>
    <col min="2817" max="2817" width="9.140625" style="614" customWidth="1"/>
    <col min="2818" max="2818" width="25.85546875" style="614" customWidth="1"/>
    <col min="2819" max="2819" width="5.7109375" style="614" bestFit="1" customWidth="1"/>
    <col min="2820" max="2820" width="7.140625" style="614" bestFit="1" customWidth="1"/>
    <col min="2821" max="2821" width="7.28515625" style="614" bestFit="1" customWidth="1"/>
    <col min="2822" max="2822" width="6.140625" style="614" bestFit="1" customWidth="1"/>
    <col min="2823" max="2825" width="7.28515625" style="614" bestFit="1" customWidth="1"/>
    <col min="2826" max="2826" width="8" style="614" bestFit="1" customWidth="1"/>
    <col min="2827" max="2827" width="8.28515625" style="614" customWidth="1"/>
    <col min="2828" max="2829" width="10.42578125" style="614" bestFit="1" customWidth="1"/>
    <col min="2830" max="2830" width="13.140625" style="614" bestFit="1" customWidth="1"/>
    <col min="2831" max="3072" width="9.140625" style="614"/>
    <col min="3073" max="3073" width="9.140625" style="614" customWidth="1"/>
    <col min="3074" max="3074" width="25.85546875" style="614" customWidth="1"/>
    <col min="3075" max="3075" width="5.7109375" style="614" bestFit="1" customWidth="1"/>
    <col min="3076" max="3076" width="7.140625" style="614" bestFit="1" customWidth="1"/>
    <col min="3077" max="3077" width="7.28515625" style="614" bestFit="1" customWidth="1"/>
    <col min="3078" max="3078" width="6.140625" style="614" bestFit="1" customWidth="1"/>
    <col min="3079" max="3081" width="7.28515625" style="614" bestFit="1" customWidth="1"/>
    <col min="3082" max="3082" width="8" style="614" bestFit="1" customWidth="1"/>
    <col min="3083" max="3083" width="8.28515625" style="614" customWidth="1"/>
    <col min="3084" max="3085" width="10.42578125" style="614" bestFit="1" customWidth="1"/>
    <col min="3086" max="3086" width="13.140625" style="614" bestFit="1" customWidth="1"/>
    <col min="3087" max="3328" width="9.140625" style="614"/>
    <col min="3329" max="3329" width="9.140625" style="614" customWidth="1"/>
    <col min="3330" max="3330" width="25.85546875" style="614" customWidth="1"/>
    <col min="3331" max="3331" width="5.7109375" style="614" bestFit="1" customWidth="1"/>
    <col min="3332" max="3332" width="7.140625" style="614" bestFit="1" customWidth="1"/>
    <col min="3333" max="3333" width="7.28515625" style="614" bestFit="1" customWidth="1"/>
    <col min="3334" max="3334" width="6.140625" style="614" bestFit="1" customWidth="1"/>
    <col min="3335" max="3337" width="7.28515625" style="614" bestFit="1" customWidth="1"/>
    <col min="3338" max="3338" width="8" style="614" bestFit="1" customWidth="1"/>
    <col min="3339" max="3339" width="8.28515625" style="614" customWidth="1"/>
    <col min="3340" max="3341" width="10.42578125" style="614" bestFit="1" customWidth="1"/>
    <col min="3342" max="3342" width="13.140625" style="614" bestFit="1" customWidth="1"/>
    <col min="3343" max="3584" width="9.140625" style="614"/>
    <col min="3585" max="3585" width="9.140625" style="614" customWidth="1"/>
    <col min="3586" max="3586" width="25.85546875" style="614" customWidth="1"/>
    <col min="3587" max="3587" width="5.7109375" style="614" bestFit="1" customWidth="1"/>
    <col min="3588" max="3588" width="7.140625" style="614" bestFit="1" customWidth="1"/>
    <col min="3589" max="3589" width="7.28515625" style="614" bestFit="1" customWidth="1"/>
    <col min="3590" max="3590" width="6.140625" style="614" bestFit="1" customWidth="1"/>
    <col min="3591" max="3593" width="7.28515625" style="614" bestFit="1" customWidth="1"/>
    <col min="3594" max="3594" width="8" style="614" bestFit="1" customWidth="1"/>
    <col min="3595" max="3595" width="8.28515625" style="614" customWidth="1"/>
    <col min="3596" max="3597" width="10.42578125" style="614" bestFit="1" customWidth="1"/>
    <col min="3598" max="3598" width="13.140625" style="614" bestFit="1" customWidth="1"/>
    <col min="3599" max="3840" width="9.140625" style="614"/>
    <col min="3841" max="3841" width="9.140625" style="614" customWidth="1"/>
    <col min="3842" max="3842" width="25.85546875" style="614" customWidth="1"/>
    <col min="3843" max="3843" width="5.7109375" style="614" bestFit="1" customWidth="1"/>
    <col min="3844" max="3844" width="7.140625" style="614" bestFit="1" customWidth="1"/>
    <col min="3845" max="3845" width="7.28515625" style="614" bestFit="1" customWidth="1"/>
    <col min="3846" max="3846" width="6.140625" style="614" bestFit="1" customWidth="1"/>
    <col min="3847" max="3849" width="7.28515625" style="614" bestFit="1" customWidth="1"/>
    <col min="3850" max="3850" width="8" style="614" bestFit="1" customWidth="1"/>
    <col min="3851" max="3851" width="8.28515625" style="614" customWidth="1"/>
    <col min="3852" max="3853" width="10.42578125" style="614" bestFit="1" customWidth="1"/>
    <col min="3854" max="3854" width="13.140625" style="614" bestFit="1" customWidth="1"/>
    <col min="3855" max="4096" width="9.140625" style="614"/>
    <col min="4097" max="4097" width="9.140625" style="614" customWidth="1"/>
    <col min="4098" max="4098" width="25.85546875" style="614" customWidth="1"/>
    <col min="4099" max="4099" width="5.7109375" style="614" bestFit="1" customWidth="1"/>
    <col min="4100" max="4100" width="7.140625" style="614" bestFit="1" customWidth="1"/>
    <col min="4101" max="4101" width="7.28515625" style="614" bestFit="1" customWidth="1"/>
    <col min="4102" max="4102" width="6.140625" style="614" bestFit="1" customWidth="1"/>
    <col min="4103" max="4105" width="7.28515625" style="614" bestFit="1" customWidth="1"/>
    <col min="4106" max="4106" width="8" style="614" bestFit="1" customWidth="1"/>
    <col min="4107" max="4107" width="8.28515625" style="614" customWidth="1"/>
    <col min="4108" max="4109" width="10.42578125" style="614" bestFit="1" customWidth="1"/>
    <col min="4110" max="4110" width="13.140625" style="614" bestFit="1" customWidth="1"/>
    <col min="4111" max="4352" width="9.140625" style="614"/>
    <col min="4353" max="4353" width="9.140625" style="614" customWidth="1"/>
    <col min="4354" max="4354" width="25.85546875" style="614" customWidth="1"/>
    <col min="4355" max="4355" width="5.7109375" style="614" bestFit="1" customWidth="1"/>
    <col min="4356" max="4356" width="7.140625" style="614" bestFit="1" customWidth="1"/>
    <col min="4357" max="4357" width="7.28515625" style="614" bestFit="1" customWidth="1"/>
    <col min="4358" max="4358" width="6.140625" style="614" bestFit="1" customWidth="1"/>
    <col min="4359" max="4361" width="7.28515625" style="614" bestFit="1" customWidth="1"/>
    <col min="4362" max="4362" width="8" style="614" bestFit="1" customWidth="1"/>
    <col min="4363" max="4363" width="8.28515625" style="614" customWidth="1"/>
    <col min="4364" max="4365" width="10.42578125" style="614" bestFit="1" customWidth="1"/>
    <col min="4366" max="4366" width="13.140625" style="614" bestFit="1" customWidth="1"/>
    <col min="4367" max="4608" width="9.140625" style="614"/>
    <col min="4609" max="4609" width="9.140625" style="614" customWidth="1"/>
    <col min="4610" max="4610" width="25.85546875" style="614" customWidth="1"/>
    <col min="4611" max="4611" width="5.7109375" style="614" bestFit="1" customWidth="1"/>
    <col min="4612" max="4612" width="7.140625" style="614" bestFit="1" customWidth="1"/>
    <col min="4613" max="4613" width="7.28515625" style="614" bestFit="1" customWidth="1"/>
    <col min="4614" max="4614" width="6.140625" style="614" bestFit="1" customWidth="1"/>
    <col min="4615" max="4617" width="7.28515625" style="614" bestFit="1" customWidth="1"/>
    <col min="4618" max="4618" width="8" style="614" bestFit="1" customWidth="1"/>
    <col min="4619" max="4619" width="8.28515625" style="614" customWidth="1"/>
    <col min="4620" max="4621" width="10.42578125" style="614" bestFit="1" customWidth="1"/>
    <col min="4622" max="4622" width="13.140625" style="614" bestFit="1" customWidth="1"/>
    <col min="4623" max="4864" width="9.140625" style="614"/>
    <col min="4865" max="4865" width="9.140625" style="614" customWidth="1"/>
    <col min="4866" max="4866" width="25.85546875" style="614" customWidth="1"/>
    <col min="4867" max="4867" width="5.7109375" style="614" bestFit="1" customWidth="1"/>
    <col min="4868" max="4868" width="7.140625" style="614" bestFit="1" customWidth="1"/>
    <col min="4869" max="4869" width="7.28515625" style="614" bestFit="1" customWidth="1"/>
    <col min="4870" max="4870" width="6.140625" style="614" bestFit="1" customWidth="1"/>
    <col min="4871" max="4873" width="7.28515625" style="614" bestFit="1" customWidth="1"/>
    <col min="4874" max="4874" width="8" style="614" bestFit="1" customWidth="1"/>
    <col min="4875" max="4875" width="8.28515625" style="614" customWidth="1"/>
    <col min="4876" max="4877" width="10.42578125" style="614" bestFit="1" customWidth="1"/>
    <col min="4878" max="4878" width="13.140625" style="614" bestFit="1" customWidth="1"/>
    <col min="4879" max="5120" width="9.140625" style="614"/>
    <col min="5121" max="5121" width="9.140625" style="614" customWidth="1"/>
    <col min="5122" max="5122" width="25.85546875" style="614" customWidth="1"/>
    <col min="5123" max="5123" width="5.7109375" style="614" bestFit="1" customWidth="1"/>
    <col min="5124" max="5124" width="7.140625" style="614" bestFit="1" customWidth="1"/>
    <col min="5125" max="5125" width="7.28515625" style="614" bestFit="1" customWidth="1"/>
    <col min="5126" max="5126" width="6.140625" style="614" bestFit="1" customWidth="1"/>
    <col min="5127" max="5129" width="7.28515625" style="614" bestFit="1" customWidth="1"/>
    <col min="5130" max="5130" width="8" style="614" bestFit="1" customWidth="1"/>
    <col min="5131" max="5131" width="8.28515625" style="614" customWidth="1"/>
    <col min="5132" max="5133" width="10.42578125" style="614" bestFit="1" customWidth="1"/>
    <col min="5134" max="5134" width="13.140625" style="614" bestFit="1" customWidth="1"/>
    <col min="5135" max="5376" width="9.140625" style="614"/>
    <col min="5377" max="5377" width="9.140625" style="614" customWidth="1"/>
    <col min="5378" max="5378" width="25.85546875" style="614" customWidth="1"/>
    <col min="5379" max="5379" width="5.7109375" style="614" bestFit="1" customWidth="1"/>
    <col min="5380" max="5380" width="7.140625" style="614" bestFit="1" customWidth="1"/>
    <col min="5381" max="5381" width="7.28515625" style="614" bestFit="1" customWidth="1"/>
    <col min="5382" max="5382" width="6.140625" style="614" bestFit="1" customWidth="1"/>
    <col min="5383" max="5385" width="7.28515625" style="614" bestFit="1" customWidth="1"/>
    <col min="5386" max="5386" width="8" style="614" bestFit="1" customWidth="1"/>
    <col min="5387" max="5387" width="8.28515625" style="614" customWidth="1"/>
    <col min="5388" max="5389" width="10.42578125" style="614" bestFit="1" customWidth="1"/>
    <col min="5390" max="5390" width="13.140625" style="614" bestFit="1" customWidth="1"/>
    <col min="5391" max="5632" width="9.140625" style="614"/>
    <col min="5633" max="5633" width="9.140625" style="614" customWidth="1"/>
    <col min="5634" max="5634" width="25.85546875" style="614" customWidth="1"/>
    <col min="5635" max="5635" width="5.7109375" style="614" bestFit="1" customWidth="1"/>
    <col min="5636" max="5636" width="7.140625" style="614" bestFit="1" customWidth="1"/>
    <col min="5637" max="5637" width="7.28515625" style="614" bestFit="1" customWidth="1"/>
    <col min="5638" max="5638" width="6.140625" style="614" bestFit="1" customWidth="1"/>
    <col min="5639" max="5641" width="7.28515625" style="614" bestFit="1" customWidth="1"/>
    <col min="5642" max="5642" width="8" style="614" bestFit="1" customWidth="1"/>
    <col min="5643" max="5643" width="8.28515625" style="614" customWidth="1"/>
    <col min="5644" max="5645" width="10.42578125" style="614" bestFit="1" customWidth="1"/>
    <col min="5646" max="5646" width="13.140625" style="614" bestFit="1" customWidth="1"/>
    <col min="5647" max="5888" width="9.140625" style="614"/>
    <col min="5889" max="5889" width="9.140625" style="614" customWidth="1"/>
    <col min="5890" max="5890" width="25.85546875" style="614" customWidth="1"/>
    <col min="5891" max="5891" width="5.7109375" style="614" bestFit="1" customWidth="1"/>
    <col min="5892" max="5892" width="7.140625" style="614" bestFit="1" customWidth="1"/>
    <col min="5893" max="5893" width="7.28515625" style="614" bestFit="1" customWidth="1"/>
    <col min="5894" max="5894" width="6.140625" style="614" bestFit="1" customWidth="1"/>
    <col min="5895" max="5897" width="7.28515625" style="614" bestFit="1" customWidth="1"/>
    <col min="5898" max="5898" width="8" style="614" bestFit="1" customWidth="1"/>
    <col min="5899" max="5899" width="8.28515625" style="614" customWidth="1"/>
    <col min="5900" max="5901" width="10.42578125" style="614" bestFit="1" customWidth="1"/>
    <col min="5902" max="5902" width="13.140625" style="614" bestFit="1" customWidth="1"/>
    <col min="5903" max="6144" width="9.140625" style="614"/>
    <col min="6145" max="6145" width="9.140625" style="614" customWidth="1"/>
    <col min="6146" max="6146" width="25.85546875" style="614" customWidth="1"/>
    <col min="6147" max="6147" width="5.7109375" style="614" bestFit="1" customWidth="1"/>
    <col min="6148" max="6148" width="7.140625" style="614" bestFit="1" customWidth="1"/>
    <col min="6149" max="6149" width="7.28515625" style="614" bestFit="1" customWidth="1"/>
    <col min="6150" max="6150" width="6.140625" style="614" bestFit="1" customWidth="1"/>
    <col min="6151" max="6153" width="7.28515625" style="614" bestFit="1" customWidth="1"/>
    <col min="6154" max="6154" width="8" style="614" bestFit="1" customWidth="1"/>
    <col min="6155" max="6155" width="8.28515625" style="614" customWidth="1"/>
    <col min="6156" max="6157" width="10.42578125" style="614" bestFit="1" customWidth="1"/>
    <col min="6158" max="6158" width="13.140625" style="614" bestFit="1" customWidth="1"/>
    <col min="6159" max="6400" width="9.140625" style="614"/>
    <col min="6401" max="6401" width="9.140625" style="614" customWidth="1"/>
    <col min="6402" max="6402" width="25.85546875" style="614" customWidth="1"/>
    <col min="6403" max="6403" width="5.7109375" style="614" bestFit="1" customWidth="1"/>
    <col min="6404" max="6404" width="7.140625" style="614" bestFit="1" customWidth="1"/>
    <col min="6405" max="6405" width="7.28515625" style="614" bestFit="1" customWidth="1"/>
    <col min="6406" max="6406" width="6.140625" style="614" bestFit="1" customWidth="1"/>
    <col min="6407" max="6409" width="7.28515625" style="614" bestFit="1" customWidth="1"/>
    <col min="6410" max="6410" width="8" style="614" bestFit="1" customWidth="1"/>
    <col min="6411" max="6411" width="8.28515625" style="614" customWidth="1"/>
    <col min="6412" max="6413" width="10.42578125" style="614" bestFit="1" customWidth="1"/>
    <col min="6414" max="6414" width="13.140625" style="614" bestFit="1" customWidth="1"/>
    <col min="6415" max="6656" width="9.140625" style="614"/>
    <col min="6657" max="6657" width="9.140625" style="614" customWidth="1"/>
    <col min="6658" max="6658" width="25.85546875" style="614" customWidth="1"/>
    <col min="6659" max="6659" width="5.7109375" style="614" bestFit="1" customWidth="1"/>
    <col min="6660" max="6660" width="7.140625" style="614" bestFit="1" customWidth="1"/>
    <col min="6661" max="6661" width="7.28515625" style="614" bestFit="1" customWidth="1"/>
    <col min="6662" max="6662" width="6.140625" style="614" bestFit="1" customWidth="1"/>
    <col min="6663" max="6665" width="7.28515625" style="614" bestFit="1" customWidth="1"/>
    <col min="6666" max="6666" width="8" style="614" bestFit="1" customWidth="1"/>
    <col min="6667" max="6667" width="8.28515625" style="614" customWidth="1"/>
    <col min="6668" max="6669" width="10.42578125" style="614" bestFit="1" customWidth="1"/>
    <col min="6670" max="6670" width="13.140625" style="614" bestFit="1" customWidth="1"/>
    <col min="6671" max="6912" width="9.140625" style="614"/>
    <col min="6913" max="6913" width="9.140625" style="614" customWidth="1"/>
    <col min="6914" max="6914" width="25.85546875" style="614" customWidth="1"/>
    <col min="6915" max="6915" width="5.7109375" style="614" bestFit="1" customWidth="1"/>
    <col min="6916" max="6916" width="7.140625" style="614" bestFit="1" customWidth="1"/>
    <col min="6917" max="6917" width="7.28515625" style="614" bestFit="1" customWidth="1"/>
    <col min="6918" max="6918" width="6.140625" style="614" bestFit="1" customWidth="1"/>
    <col min="6919" max="6921" width="7.28515625" style="614" bestFit="1" customWidth="1"/>
    <col min="6922" max="6922" width="8" style="614" bestFit="1" customWidth="1"/>
    <col min="6923" max="6923" width="8.28515625" style="614" customWidth="1"/>
    <col min="6924" max="6925" width="10.42578125" style="614" bestFit="1" customWidth="1"/>
    <col min="6926" max="6926" width="13.140625" style="614" bestFit="1" customWidth="1"/>
    <col min="6927" max="7168" width="9.140625" style="614"/>
    <col min="7169" max="7169" width="9.140625" style="614" customWidth="1"/>
    <col min="7170" max="7170" width="25.85546875" style="614" customWidth="1"/>
    <col min="7171" max="7171" width="5.7109375" style="614" bestFit="1" customWidth="1"/>
    <col min="7172" max="7172" width="7.140625" style="614" bestFit="1" customWidth="1"/>
    <col min="7173" max="7173" width="7.28515625" style="614" bestFit="1" customWidth="1"/>
    <col min="7174" max="7174" width="6.140625" style="614" bestFit="1" customWidth="1"/>
    <col min="7175" max="7177" width="7.28515625" style="614" bestFit="1" customWidth="1"/>
    <col min="7178" max="7178" width="8" style="614" bestFit="1" customWidth="1"/>
    <col min="7179" max="7179" width="8.28515625" style="614" customWidth="1"/>
    <col min="7180" max="7181" width="10.42578125" style="614" bestFit="1" customWidth="1"/>
    <col min="7182" max="7182" width="13.140625" style="614" bestFit="1" customWidth="1"/>
    <col min="7183" max="7424" width="9.140625" style="614"/>
    <col min="7425" max="7425" width="9.140625" style="614" customWidth="1"/>
    <col min="7426" max="7426" width="25.85546875" style="614" customWidth="1"/>
    <col min="7427" max="7427" width="5.7109375" style="614" bestFit="1" customWidth="1"/>
    <col min="7428" max="7428" width="7.140625" style="614" bestFit="1" customWidth="1"/>
    <col min="7429" max="7429" width="7.28515625" style="614" bestFit="1" customWidth="1"/>
    <col min="7430" max="7430" width="6.140625" style="614" bestFit="1" customWidth="1"/>
    <col min="7431" max="7433" width="7.28515625" style="614" bestFit="1" customWidth="1"/>
    <col min="7434" max="7434" width="8" style="614" bestFit="1" customWidth="1"/>
    <col min="7435" max="7435" width="8.28515625" style="614" customWidth="1"/>
    <col min="7436" max="7437" width="10.42578125" style="614" bestFit="1" customWidth="1"/>
    <col min="7438" max="7438" width="13.140625" style="614" bestFit="1" customWidth="1"/>
    <col min="7439" max="7680" width="9.140625" style="614"/>
    <col min="7681" max="7681" width="9.140625" style="614" customWidth="1"/>
    <col min="7682" max="7682" width="25.85546875" style="614" customWidth="1"/>
    <col min="7683" max="7683" width="5.7109375" style="614" bestFit="1" customWidth="1"/>
    <col min="7684" max="7684" width="7.140625" style="614" bestFit="1" customWidth="1"/>
    <col min="7685" max="7685" width="7.28515625" style="614" bestFit="1" customWidth="1"/>
    <col min="7686" max="7686" width="6.140625" style="614" bestFit="1" customWidth="1"/>
    <col min="7687" max="7689" width="7.28515625" style="614" bestFit="1" customWidth="1"/>
    <col min="7690" max="7690" width="8" style="614" bestFit="1" customWidth="1"/>
    <col min="7691" max="7691" width="8.28515625" style="614" customWidth="1"/>
    <col min="7692" max="7693" width="10.42578125" style="614" bestFit="1" customWidth="1"/>
    <col min="7694" max="7694" width="13.140625" style="614" bestFit="1" customWidth="1"/>
    <col min="7695" max="7936" width="9.140625" style="614"/>
    <col min="7937" max="7937" width="9.140625" style="614" customWidth="1"/>
    <col min="7938" max="7938" width="25.85546875" style="614" customWidth="1"/>
    <col min="7939" max="7939" width="5.7109375" style="614" bestFit="1" customWidth="1"/>
    <col min="7940" max="7940" width="7.140625" style="614" bestFit="1" customWidth="1"/>
    <col min="7941" max="7941" width="7.28515625" style="614" bestFit="1" customWidth="1"/>
    <col min="7942" max="7942" width="6.140625" style="614" bestFit="1" customWidth="1"/>
    <col min="7943" max="7945" width="7.28515625" style="614" bestFit="1" customWidth="1"/>
    <col min="7946" max="7946" width="8" style="614" bestFit="1" customWidth="1"/>
    <col min="7947" max="7947" width="8.28515625" style="614" customWidth="1"/>
    <col min="7948" max="7949" width="10.42578125" style="614" bestFit="1" customWidth="1"/>
    <col min="7950" max="7950" width="13.140625" style="614" bestFit="1" customWidth="1"/>
    <col min="7951" max="8192" width="9.140625" style="614"/>
    <col min="8193" max="8193" width="9.140625" style="614" customWidth="1"/>
    <col min="8194" max="8194" width="25.85546875" style="614" customWidth="1"/>
    <col min="8195" max="8195" width="5.7109375" style="614" bestFit="1" customWidth="1"/>
    <col min="8196" max="8196" width="7.140625" style="614" bestFit="1" customWidth="1"/>
    <col min="8197" max="8197" width="7.28515625" style="614" bestFit="1" customWidth="1"/>
    <col min="8198" max="8198" width="6.140625" style="614" bestFit="1" customWidth="1"/>
    <col min="8199" max="8201" width="7.28515625" style="614" bestFit="1" customWidth="1"/>
    <col min="8202" max="8202" width="8" style="614" bestFit="1" customWidth="1"/>
    <col min="8203" max="8203" width="8.28515625" style="614" customWidth="1"/>
    <col min="8204" max="8205" width="10.42578125" style="614" bestFit="1" customWidth="1"/>
    <col min="8206" max="8206" width="13.140625" style="614" bestFit="1" customWidth="1"/>
    <col min="8207" max="8448" width="9.140625" style="614"/>
    <col min="8449" max="8449" width="9.140625" style="614" customWidth="1"/>
    <col min="8450" max="8450" width="25.85546875" style="614" customWidth="1"/>
    <col min="8451" max="8451" width="5.7109375" style="614" bestFit="1" customWidth="1"/>
    <col min="8452" max="8452" width="7.140625" style="614" bestFit="1" customWidth="1"/>
    <col min="8453" max="8453" width="7.28515625" style="614" bestFit="1" customWidth="1"/>
    <col min="8454" max="8454" width="6.140625" style="614" bestFit="1" customWidth="1"/>
    <col min="8455" max="8457" width="7.28515625" style="614" bestFit="1" customWidth="1"/>
    <col min="8458" max="8458" width="8" style="614" bestFit="1" customWidth="1"/>
    <col min="8459" max="8459" width="8.28515625" style="614" customWidth="1"/>
    <col min="8460" max="8461" width="10.42578125" style="614" bestFit="1" customWidth="1"/>
    <col min="8462" max="8462" width="13.140625" style="614" bestFit="1" customWidth="1"/>
    <col min="8463" max="8704" width="9.140625" style="614"/>
    <col min="8705" max="8705" width="9.140625" style="614" customWidth="1"/>
    <col min="8706" max="8706" width="25.85546875" style="614" customWidth="1"/>
    <col min="8707" max="8707" width="5.7109375" style="614" bestFit="1" customWidth="1"/>
    <col min="8708" max="8708" width="7.140625" style="614" bestFit="1" customWidth="1"/>
    <col min="8709" max="8709" width="7.28515625" style="614" bestFit="1" customWidth="1"/>
    <col min="8710" max="8710" width="6.140625" style="614" bestFit="1" customWidth="1"/>
    <col min="8711" max="8713" width="7.28515625" style="614" bestFit="1" customWidth="1"/>
    <col min="8714" max="8714" width="8" style="614" bestFit="1" customWidth="1"/>
    <col min="8715" max="8715" width="8.28515625" style="614" customWidth="1"/>
    <col min="8716" max="8717" width="10.42578125" style="614" bestFit="1" customWidth="1"/>
    <col min="8718" max="8718" width="13.140625" style="614" bestFit="1" customWidth="1"/>
    <col min="8719" max="8960" width="9.140625" style="614"/>
    <col min="8961" max="8961" width="9.140625" style="614" customWidth="1"/>
    <col min="8962" max="8962" width="25.85546875" style="614" customWidth="1"/>
    <col min="8963" max="8963" width="5.7109375" style="614" bestFit="1" customWidth="1"/>
    <col min="8964" max="8964" width="7.140625" style="614" bestFit="1" customWidth="1"/>
    <col min="8965" max="8965" width="7.28515625" style="614" bestFit="1" customWidth="1"/>
    <col min="8966" max="8966" width="6.140625" style="614" bestFit="1" customWidth="1"/>
    <col min="8967" max="8969" width="7.28515625" style="614" bestFit="1" customWidth="1"/>
    <col min="8970" max="8970" width="8" style="614" bestFit="1" customWidth="1"/>
    <col min="8971" max="8971" width="8.28515625" style="614" customWidth="1"/>
    <col min="8972" max="8973" width="10.42578125" style="614" bestFit="1" customWidth="1"/>
    <col min="8974" max="8974" width="13.140625" style="614" bestFit="1" customWidth="1"/>
    <col min="8975" max="9216" width="9.140625" style="614"/>
    <col min="9217" max="9217" width="9.140625" style="614" customWidth="1"/>
    <col min="9218" max="9218" width="25.85546875" style="614" customWidth="1"/>
    <col min="9219" max="9219" width="5.7109375" style="614" bestFit="1" customWidth="1"/>
    <col min="9220" max="9220" width="7.140625" style="614" bestFit="1" customWidth="1"/>
    <col min="9221" max="9221" width="7.28515625" style="614" bestFit="1" customWidth="1"/>
    <col min="9222" max="9222" width="6.140625" style="614" bestFit="1" customWidth="1"/>
    <col min="9223" max="9225" width="7.28515625" style="614" bestFit="1" customWidth="1"/>
    <col min="9226" max="9226" width="8" style="614" bestFit="1" customWidth="1"/>
    <col min="9227" max="9227" width="8.28515625" style="614" customWidth="1"/>
    <col min="9228" max="9229" width="10.42578125" style="614" bestFit="1" customWidth="1"/>
    <col min="9230" max="9230" width="13.140625" style="614" bestFit="1" customWidth="1"/>
    <col min="9231" max="9472" width="9.140625" style="614"/>
    <col min="9473" max="9473" width="9.140625" style="614" customWidth="1"/>
    <col min="9474" max="9474" width="25.85546875" style="614" customWidth="1"/>
    <col min="9475" max="9475" width="5.7109375" style="614" bestFit="1" customWidth="1"/>
    <col min="9476" max="9476" width="7.140625" style="614" bestFit="1" customWidth="1"/>
    <col min="9477" max="9477" width="7.28515625" style="614" bestFit="1" customWidth="1"/>
    <col min="9478" max="9478" width="6.140625" style="614" bestFit="1" customWidth="1"/>
    <col min="9479" max="9481" width="7.28515625" style="614" bestFit="1" customWidth="1"/>
    <col min="9482" max="9482" width="8" style="614" bestFit="1" customWidth="1"/>
    <col min="9483" max="9483" width="8.28515625" style="614" customWidth="1"/>
    <col min="9484" max="9485" width="10.42578125" style="614" bestFit="1" customWidth="1"/>
    <col min="9486" max="9486" width="13.140625" style="614" bestFit="1" customWidth="1"/>
    <col min="9487" max="9728" width="9.140625" style="614"/>
    <col min="9729" max="9729" width="9.140625" style="614" customWidth="1"/>
    <col min="9730" max="9730" width="25.85546875" style="614" customWidth="1"/>
    <col min="9731" max="9731" width="5.7109375" style="614" bestFit="1" customWidth="1"/>
    <col min="9732" max="9732" width="7.140625" style="614" bestFit="1" customWidth="1"/>
    <col min="9733" max="9733" width="7.28515625" style="614" bestFit="1" customWidth="1"/>
    <col min="9734" max="9734" width="6.140625" style="614" bestFit="1" customWidth="1"/>
    <col min="9735" max="9737" width="7.28515625" style="614" bestFit="1" customWidth="1"/>
    <col min="9738" max="9738" width="8" style="614" bestFit="1" customWidth="1"/>
    <col min="9739" max="9739" width="8.28515625" style="614" customWidth="1"/>
    <col min="9740" max="9741" width="10.42578125" style="614" bestFit="1" customWidth="1"/>
    <col min="9742" max="9742" width="13.140625" style="614" bestFit="1" customWidth="1"/>
    <col min="9743" max="9984" width="9.140625" style="614"/>
    <col min="9985" max="9985" width="9.140625" style="614" customWidth="1"/>
    <col min="9986" max="9986" width="25.85546875" style="614" customWidth="1"/>
    <col min="9987" max="9987" width="5.7109375" style="614" bestFit="1" customWidth="1"/>
    <col min="9988" max="9988" width="7.140625" style="614" bestFit="1" customWidth="1"/>
    <col min="9989" max="9989" width="7.28515625" style="614" bestFit="1" customWidth="1"/>
    <col min="9990" max="9990" width="6.140625" style="614" bestFit="1" customWidth="1"/>
    <col min="9991" max="9993" width="7.28515625" style="614" bestFit="1" customWidth="1"/>
    <col min="9994" max="9994" width="8" style="614" bestFit="1" customWidth="1"/>
    <col min="9995" max="9995" width="8.28515625" style="614" customWidth="1"/>
    <col min="9996" max="9997" width="10.42578125" style="614" bestFit="1" customWidth="1"/>
    <col min="9998" max="9998" width="13.140625" style="614" bestFit="1" customWidth="1"/>
    <col min="9999" max="10240" width="9.140625" style="614"/>
    <col min="10241" max="10241" width="9.140625" style="614" customWidth="1"/>
    <col min="10242" max="10242" width="25.85546875" style="614" customWidth="1"/>
    <col min="10243" max="10243" width="5.7109375" style="614" bestFit="1" customWidth="1"/>
    <col min="10244" max="10244" width="7.140625" style="614" bestFit="1" customWidth="1"/>
    <col min="10245" max="10245" width="7.28515625" style="614" bestFit="1" customWidth="1"/>
    <col min="10246" max="10246" width="6.140625" style="614" bestFit="1" customWidth="1"/>
    <col min="10247" max="10249" width="7.28515625" style="614" bestFit="1" customWidth="1"/>
    <col min="10250" max="10250" width="8" style="614" bestFit="1" customWidth="1"/>
    <col min="10251" max="10251" width="8.28515625" style="614" customWidth="1"/>
    <col min="10252" max="10253" width="10.42578125" style="614" bestFit="1" customWidth="1"/>
    <col min="10254" max="10254" width="13.140625" style="614" bestFit="1" customWidth="1"/>
    <col min="10255" max="10496" width="9.140625" style="614"/>
    <col min="10497" max="10497" width="9.140625" style="614" customWidth="1"/>
    <col min="10498" max="10498" width="25.85546875" style="614" customWidth="1"/>
    <col min="10499" max="10499" width="5.7109375" style="614" bestFit="1" customWidth="1"/>
    <col min="10500" max="10500" width="7.140625" style="614" bestFit="1" customWidth="1"/>
    <col min="10501" max="10501" width="7.28515625" style="614" bestFit="1" customWidth="1"/>
    <col min="10502" max="10502" width="6.140625" style="614" bestFit="1" customWidth="1"/>
    <col min="10503" max="10505" width="7.28515625" style="614" bestFit="1" customWidth="1"/>
    <col min="10506" max="10506" width="8" style="614" bestFit="1" customWidth="1"/>
    <col min="10507" max="10507" width="8.28515625" style="614" customWidth="1"/>
    <col min="10508" max="10509" width="10.42578125" style="614" bestFit="1" customWidth="1"/>
    <col min="10510" max="10510" width="13.140625" style="614" bestFit="1" customWidth="1"/>
    <col min="10511" max="10752" width="9.140625" style="614"/>
    <col min="10753" max="10753" width="9.140625" style="614" customWidth="1"/>
    <col min="10754" max="10754" width="25.85546875" style="614" customWidth="1"/>
    <col min="10755" max="10755" width="5.7109375" style="614" bestFit="1" customWidth="1"/>
    <col min="10756" max="10756" width="7.140625" style="614" bestFit="1" customWidth="1"/>
    <col min="10757" max="10757" width="7.28515625" style="614" bestFit="1" customWidth="1"/>
    <col min="10758" max="10758" width="6.140625" style="614" bestFit="1" customWidth="1"/>
    <col min="10759" max="10761" width="7.28515625" style="614" bestFit="1" customWidth="1"/>
    <col min="10762" max="10762" width="8" style="614" bestFit="1" customWidth="1"/>
    <col min="10763" max="10763" width="8.28515625" style="614" customWidth="1"/>
    <col min="10764" max="10765" width="10.42578125" style="614" bestFit="1" customWidth="1"/>
    <col min="10766" max="10766" width="13.140625" style="614" bestFit="1" customWidth="1"/>
    <col min="10767" max="11008" width="9.140625" style="614"/>
    <col min="11009" max="11009" width="9.140625" style="614" customWidth="1"/>
    <col min="11010" max="11010" width="25.85546875" style="614" customWidth="1"/>
    <col min="11011" max="11011" width="5.7109375" style="614" bestFit="1" customWidth="1"/>
    <col min="11012" max="11012" width="7.140625" style="614" bestFit="1" customWidth="1"/>
    <col min="11013" max="11013" width="7.28515625" style="614" bestFit="1" customWidth="1"/>
    <col min="11014" max="11014" width="6.140625" style="614" bestFit="1" customWidth="1"/>
    <col min="11015" max="11017" width="7.28515625" style="614" bestFit="1" customWidth="1"/>
    <col min="11018" max="11018" width="8" style="614" bestFit="1" customWidth="1"/>
    <col min="11019" max="11019" width="8.28515625" style="614" customWidth="1"/>
    <col min="11020" max="11021" width="10.42578125" style="614" bestFit="1" customWidth="1"/>
    <col min="11022" max="11022" width="13.140625" style="614" bestFit="1" customWidth="1"/>
    <col min="11023" max="11264" width="9.140625" style="614"/>
    <col min="11265" max="11265" width="9.140625" style="614" customWidth="1"/>
    <col min="11266" max="11266" width="25.85546875" style="614" customWidth="1"/>
    <col min="11267" max="11267" width="5.7109375" style="614" bestFit="1" customWidth="1"/>
    <col min="11268" max="11268" width="7.140625" style="614" bestFit="1" customWidth="1"/>
    <col min="11269" max="11269" width="7.28515625" style="614" bestFit="1" customWidth="1"/>
    <col min="11270" max="11270" width="6.140625" style="614" bestFit="1" customWidth="1"/>
    <col min="11271" max="11273" width="7.28515625" style="614" bestFit="1" customWidth="1"/>
    <col min="11274" max="11274" width="8" style="614" bestFit="1" customWidth="1"/>
    <col min="11275" max="11275" width="8.28515625" style="614" customWidth="1"/>
    <col min="11276" max="11277" width="10.42578125" style="614" bestFit="1" customWidth="1"/>
    <col min="11278" max="11278" width="13.140625" style="614" bestFit="1" customWidth="1"/>
    <col min="11279" max="11520" width="9.140625" style="614"/>
    <col min="11521" max="11521" width="9.140625" style="614" customWidth="1"/>
    <col min="11522" max="11522" width="25.85546875" style="614" customWidth="1"/>
    <col min="11523" max="11523" width="5.7109375" style="614" bestFit="1" customWidth="1"/>
    <col min="11524" max="11524" width="7.140625" style="614" bestFit="1" customWidth="1"/>
    <col min="11525" max="11525" width="7.28515625" style="614" bestFit="1" customWidth="1"/>
    <col min="11526" max="11526" width="6.140625" style="614" bestFit="1" customWidth="1"/>
    <col min="11527" max="11529" width="7.28515625" style="614" bestFit="1" customWidth="1"/>
    <col min="11530" max="11530" width="8" style="614" bestFit="1" customWidth="1"/>
    <col min="11531" max="11531" width="8.28515625" style="614" customWidth="1"/>
    <col min="11532" max="11533" width="10.42578125" style="614" bestFit="1" customWidth="1"/>
    <col min="11534" max="11534" width="13.140625" style="614" bestFit="1" customWidth="1"/>
    <col min="11535" max="11776" width="9.140625" style="614"/>
    <col min="11777" max="11777" width="9.140625" style="614" customWidth="1"/>
    <col min="11778" max="11778" width="25.85546875" style="614" customWidth="1"/>
    <col min="11779" max="11779" width="5.7109375" style="614" bestFit="1" customWidth="1"/>
    <col min="11780" max="11780" width="7.140625" style="614" bestFit="1" customWidth="1"/>
    <col min="11781" max="11781" width="7.28515625" style="614" bestFit="1" customWidth="1"/>
    <col min="11782" max="11782" width="6.140625" style="614" bestFit="1" customWidth="1"/>
    <col min="11783" max="11785" width="7.28515625" style="614" bestFit="1" customWidth="1"/>
    <col min="11786" max="11786" width="8" style="614" bestFit="1" customWidth="1"/>
    <col min="11787" max="11787" width="8.28515625" style="614" customWidth="1"/>
    <col min="11788" max="11789" width="10.42578125" style="614" bestFit="1" customWidth="1"/>
    <col min="11790" max="11790" width="13.140625" style="614" bestFit="1" customWidth="1"/>
    <col min="11791" max="12032" width="9.140625" style="614"/>
    <col min="12033" max="12033" width="9.140625" style="614" customWidth="1"/>
    <col min="12034" max="12034" width="25.85546875" style="614" customWidth="1"/>
    <col min="12035" max="12035" width="5.7109375" style="614" bestFit="1" customWidth="1"/>
    <col min="12036" max="12036" width="7.140625" style="614" bestFit="1" customWidth="1"/>
    <col min="12037" max="12037" width="7.28515625" style="614" bestFit="1" customWidth="1"/>
    <col min="12038" max="12038" width="6.140625" style="614" bestFit="1" customWidth="1"/>
    <col min="12039" max="12041" width="7.28515625" style="614" bestFit="1" customWidth="1"/>
    <col min="12042" max="12042" width="8" style="614" bestFit="1" customWidth="1"/>
    <col min="12043" max="12043" width="8.28515625" style="614" customWidth="1"/>
    <col min="12044" max="12045" width="10.42578125" style="614" bestFit="1" customWidth="1"/>
    <col min="12046" max="12046" width="13.140625" style="614" bestFit="1" customWidth="1"/>
    <col min="12047" max="12288" width="9.140625" style="614"/>
    <col min="12289" max="12289" width="9.140625" style="614" customWidth="1"/>
    <col min="12290" max="12290" width="25.85546875" style="614" customWidth="1"/>
    <col min="12291" max="12291" width="5.7109375" style="614" bestFit="1" customWidth="1"/>
    <col min="12292" max="12292" width="7.140625" style="614" bestFit="1" customWidth="1"/>
    <col min="12293" max="12293" width="7.28515625" style="614" bestFit="1" customWidth="1"/>
    <col min="12294" max="12294" width="6.140625" style="614" bestFit="1" customWidth="1"/>
    <col min="12295" max="12297" width="7.28515625" style="614" bestFit="1" customWidth="1"/>
    <col min="12298" max="12298" width="8" style="614" bestFit="1" customWidth="1"/>
    <col min="12299" max="12299" width="8.28515625" style="614" customWidth="1"/>
    <col min="12300" max="12301" width="10.42578125" style="614" bestFit="1" customWidth="1"/>
    <col min="12302" max="12302" width="13.140625" style="614" bestFit="1" customWidth="1"/>
    <col min="12303" max="12544" width="9.140625" style="614"/>
    <col min="12545" max="12545" width="9.140625" style="614" customWidth="1"/>
    <col min="12546" max="12546" width="25.85546875" style="614" customWidth="1"/>
    <col min="12547" max="12547" width="5.7109375" style="614" bestFit="1" customWidth="1"/>
    <col min="12548" max="12548" width="7.140625" style="614" bestFit="1" customWidth="1"/>
    <col min="12549" max="12549" width="7.28515625" style="614" bestFit="1" customWidth="1"/>
    <col min="12550" max="12550" width="6.140625" style="614" bestFit="1" customWidth="1"/>
    <col min="12551" max="12553" width="7.28515625" style="614" bestFit="1" customWidth="1"/>
    <col min="12554" max="12554" width="8" style="614" bestFit="1" customWidth="1"/>
    <col min="12555" max="12555" width="8.28515625" style="614" customWidth="1"/>
    <col min="12556" max="12557" width="10.42578125" style="614" bestFit="1" customWidth="1"/>
    <col min="12558" max="12558" width="13.140625" style="614" bestFit="1" customWidth="1"/>
    <col min="12559" max="12800" width="9.140625" style="614"/>
    <col min="12801" max="12801" width="9.140625" style="614" customWidth="1"/>
    <col min="12802" max="12802" width="25.85546875" style="614" customWidth="1"/>
    <col min="12803" max="12803" width="5.7109375" style="614" bestFit="1" customWidth="1"/>
    <col min="12804" max="12804" width="7.140625" style="614" bestFit="1" customWidth="1"/>
    <col min="12805" max="12805" width="7.28515625" style="614" bestFit="1" customWidth="1"/>
    <col min="12806" max="12806" width="6.140625" style="614" bestFit="1" customWidth="1"/>
    <col min="12807" max="12809" width="7.28515625" style="614" bestFit="1" customWidth="1"/>
    <col min="12810" max="12810" width="8" style="614" bestFit="1" customWidth="1"/>
    <col min="12811" max="12811" width="8.28515625" style="614" customWidth="1"/>
    <col min="12812" max="12813" width="10.42578125" style="614" bestFit="1" customWidth="1"/>
    <col min="12814" max="12814" width="13.140625" style="614" bestFit="1" customWidth="1"/>
    <col min="12815" max="13056" width="9.140625" style="614"/>
    <col min="13057" max="13057" width="9.140625" style="614" customWidth="1"/>
    <col min="13058" max="13058" width="25.85546875" style="614" customWidth="1"/>
    <col min="13059" max="13059" width="5.7109375" style="614" bestFit="1" customWidth="1"/>
    <col min="13060" max="13060" width="7.140625" style="614" bestFit="1" customWidth="1"/>
    <col min="13061" max="13061" width="7.28515625" style="614" bestFit="1" customWidth="1"/>
    <col min="13062" max="13062" width="6.140625" style="614" bestFit="1" customWidth="1"/>
    <col min="13063" max="13065" width="7.28515625" style="614" bestFit="1" customWidth="1"/>
    <col min="13066" max="13066" width="8" style="614" bestFit="1" customWidth="1"/>
    <col min="13067" max="13067" width="8.28515625" style="614" customWidth="1"/>
    <col min="13068" max="13069" width="10.42578125" style="614" bestFit="1" customWidth="1"/>
    <col min="13070" max="13070" width="13.140625" style="614" bestFit="1" customWidth="1"/>
    <col min="13071" max="13312" width="9.140625" style="614"/>
    <col min="13313" max="13313" width="9.140625" style="614" customWidth="1"/>
    <col min="13314" max="13314" width="25.85546875" style="614" customWidth="1"/>
    <col min="13315" max="13315" width="5.7109375" style="614" bestFit="1" customWidth="1"/>
    <col min="13316" max="13316" width="7.140625" style="614" bestFit="1" customWidth="1"/>
    <col min="13317" max="13317" width="7.28515625" style="614" bestFit="1" customWidth="1"/>
    <col min="13318" max="13318" width="6.140625" style="614" bestFit="1" customWidth="1"/>
    <col min="13319" max="13321" width="7.28515625" style="614" bestFit="1" customWidth="1"/>
    <col min="13322" max="13322" width="8" style="614" bestFit="1" customWidth="1"/>
    <col min="13323" max="13323" width="8.28515625" style="614" customWidth="1"/>
    <col min="13324" max="13325" width="10.42578125" style="614" bestFit="1" customWidth="1"/>
    <col min="13326" max="13326" width="13.140625" style="614" bestFit="1" customWidth="1"/>
    <col min="13327" max="13568" width="9.140625" style="614"/>
    <col min="13569" max="13569" width="9.140625" style="614" customWidth="1"/>
    <col min="13570" max="13570" width="25.85546875" style="614" customWidth="1"/>
    <col min="13571" max="13571" width="5.7109375" style="614" bestFit="1" customWidth="1"/>
    <col min="13572" max="13572" width="7.140625" style="614" bestFit="1" customWidth="1"/>
    <col min="13573" max="13573" width="7.28515625" style="614" bestFit="1" customWidth="1"/>
    <col min="13574" max="13574" width="6.140625" style="614" bestFit="1" customWidth="1"/>
    <col min="13575" max="13577" width="7.28515625" style="614" bestFit="1" customWidth="1"/>
    <col min="13578" max="13578" width="8" style="614" bestFit="1" customWidth="1"/>
    <col min="13579" max="13579" width="8.28515625" style="614" customWidth="1"/>
    <col min="13580" max="13581" width="10.42578125" style="614" bestFit="1" customWidth="1"/>
    <col min="13582" max="13582" width="13.140625" style="614" bestFit="1" customWidth="1"/>
    <col min="13583" max="13824" width="9.140625" style="614"/>
    <col min="13825" max="13825" width="9.140625" style="614" customWidth="1"/>
    <col min="13826" max="13826" width="25.85546875" style="614" customWidth="1"/>
    <col min="13827" max="13827" width="5.7109375" style="614" bestFit="1" customWidth="1"/>
    <col min="13828" max="13828" width="7.140625" style="614" bestFit="1" customWidth="1"/>
    <col min="13829" max="13829" width="7.28515625" style="614" bestFit="1" customWidth="1"/>
    <col min="13830" max="13830" width="6.140625" style="614" bestFit="1" customWidth="1"/>
    <col min="13831" max="13833" width="7.28515625" style="614" bestFit="1" customWidth="1"/>
    <col min="13834" max="13834" width="8" style="614" bestFit="1" customWidth="1"/>
    <col min="13835" max="13835" width="8.28515625" style="614" customWidth="1"/>
    <col min="13836" max="13837" width="10.42578125" style="614" bestFit="1" customWidth="1"/>
    <col min="13838" max="13838" width="13.140625" style="614" bestFit="1" customWidth="1"/>
    <col min="13839" max="14080" width="9.140625" style="614"/>
    <col min="14081" max="14081" width="9.140625" style="614" customWidth="1"/>
    <col min="14082" max="14082" width="25.85546875" style="614" customWidth="1"/>
    <col min="14083" max="14083" width="5.7109375" style="614" bestFit="1" customWidth="1"/>
    <col min="14084" max="14084" width="7.140625" style="614" bestFit="1" customWidth="1"/>
    <col min="14085" max="14085" width="7.28515625" style="614" bestFit="1" customWidth="1"/>
    <col min="14086" max="14086" width="6.140625" style="614" bestFit="1" customWidth="1"/>
    <col min="14087" max="14089" width="7.28515625" style="614" bestFit="1" customWidth="1"/>
    <col min="14090" max="14090" width="8" style="614" bestFit="1" customWidth="1"/>
    <col min="14091" max="14091" width="8.28515625" style="614" customWidth="1"/>
    <col min="14092" max="14093" width="10.42578125" style="614" bestFit="1" customWidth="1"/>
    <col min="14094" max="14094" width="13.140625" style="614" bestFit="1" customWidth="1"/>
    <col min="14095" max="14336" width="9.140625" style="614"/>
    <col min="14337" max="14337" width="9.140625" style="614" customWidth="1"/>
    <col min="14338" max="14338" width="25.85546875" style="614" customWidth="1"/>
    <col min="14339" max="14339" width="5.7109375" style="614" bestFit="1" customWidth="1"/>
    <col min="14340" max="14340" width="7.140625" style="614" bestFit="1" customWidth="1"/>
    <col min="14341" max="14341" width="7.28515625" style="614" bestFit="1" customWidth="1"/>
    <col min="14342" max="14342" width="6.140625" style="614" bestFit="1" customWidth="1"/>
    <col min="14343" max="14345" width="7.28515625" style="614" bestFit="1" customWidth="1"/>
    <col min="14346" max="14346" width="8" style="614" bestFit="1" customWidth="1"/>
    <col min="14347" max="14347" width="8.28515625" style="614" customWidth="1"/>
    <col min="14348" max="14349" width="10.42578125" style="614" bestFit="1" customWidth="1"/>
    <col min="14350" max="14350" width="13.140625" style="614" bestFit="1" customWidth="1"/>
    <col min="14351" max="14592" width="9.140625" style="614"/>
    <col min="14593" max="14593" width="9.140625" style="614" customWidth="1"/>
    <col min="14594" max="14594" width="25.85546875" style="614" customWidth="1"/>
    <col min="14595" max="14595" width="5.7109375" style="614" bestFit="1" customWidth="1"/>
    <col min="14596" max="14596" width="7.140625" style="614" bestFit="1" customWidth="1"/>
    <col min="14597" max="14597" width="7.28515625" style="614" bestFit="1" customWidth="1"/>
    <col min="14598" max="14598" width="6.140625" style="614" bestFit="1" customWidth="1"/>
    <col min="14599" max="14601" width="7.28515625" style="614" bestFit="1" customWidth="1"/>
    <col min="14602" max="14602" width="8" style="614" bestFit="1" customWidth="1"/>
    <col min="14603" max="14603" width="8.28515625" style="614" customWidth="1"/>
    <col min="14604" max="14605" width="10.42578125" style="614" bestFit="1" customWidth="1"/>
    <col min="14606" max="14606" width="13.140625" style="614" bestFit="1" customWidth="1"/>
    <col min="14607" max="14848" width="9.140625" style="614"/>
    <col min="14849" max="14849" width="9.140625" style="614" customWidth="1"/>
    <col min="14850" max="14850" width="25.85546875" style="614" customWidth="1"/>
    <col min="14851" max="14851" width="5.7109375" style="614" bestFit="1" customWidth="1"/>
    <col min="14852" max="14852" width="7.140625" style="614" bestFit="1" customWidth="1"/>
    <col min="14853" max="14853" width="7.28515625" style="614" bestFit="1" customWidth="1"/>
    <col min="14854" max="14854" width="6.140625" style="614" bestFit="1" customWidth="1"/>
    <col min="14855" max="14857" width="7.28515625" style="614" bestFit="1" customWidth="1"/>
    <col min="14858" max="14858" width="8" style="614" bestFit="1" customWidth="1"/>
    <col min="14859" max="14859" width="8.28515625" style="614" customWidth="1"/>
    <col min="14860" max="14861" width="10.42578125" style="614" bestFit="1" customWidth="1"/>
    <col min="14862" max="14862" width="13.140625" style="614" bestFit="1" customWidth="1"/>
    <col min="14863" max="15104" width="9.140625" style="614"/>
    <col min="15105" max="15105" width="9.140625" style="614" customWidth="1"/>
    <col min="15106" max="15106" width="25.85546875" style="614" customWidth="1"/>
    <col min="15107" max="15107" width="5.7109375" style="614" bestFit="1" customWidth="1"/>
    <col min="15108" max="15108" width="7.140625" style="614" bestFit="1" customWidth="1"/>
    <col min="15109" max="15109" width="7.28515625" style="614" bestFit="1" customWidth="1"/>
    <col min="15110" max="15110" width="6.140625" style="614" bestFit="1" customWidth="1"/>
    <col min="15111" max="15113" width="7.28515625" style="614" bestFit="1" customWidth="1"/>
    <col min="15114" max="15114" width="8" style="614" bestFit="1" customWidth="1"/>
    <col min="15115" max="15115" width="8.28515625" style="614" customWidth="1"/>
    <col min="15116" max="15117" width="10.42578125" style="614" bestFit="1" customWidth="1"/>
    <col min="15118" max="15118" width="13.140625" style="614" bestFit="1" customWidth="1"/>
    <col min="15119" max="15360" width="9.140625" style="614"/>
    <col min="15361" max="15361" width="9.140625" style="614" customWidth="1"/>
    <col min="15362" max="15362" width="25.85546875" style="614" customWidth="1"/>
    <col min="15363" max="15363" width="5.7109375" style="614" bestFit="1" customWidth="1"/>
    <col min="15364" max="15364" width="7.140625" style="614" bestFit="1" customWidth="1"/>
    <col min="15365" max="15365" width="7.28515625" style="614" bestFit="1" customWidth="1"/>
    <col min="15366" max="15366" width="6.140625" style="614" bestFit="1" customWidth="1"/>
    <col min="15367" max="15369" width="7.28515625" style="614" bestFit="1" customWidth="1"/>
    <col min="15370" max="15370" width="8" style="614" bestFit="1" customWidth="1"/>
    <col min="15371" max="15371" width="8.28515625" style="614" customWidth="1"/>
    <col min="15372" max="15373" width="10.42578125" style="614" bestFit="1" customWidth="1"/>
    <col min="15374" max="15374" width="13.140625" style="614" bestFit="1" customWidth="1"/>
    <col min="15375" max="15616" width="9.140625" style="614"/>
    <col min="15617" max="15617" width="9.140625" style="614" customWidth="1"/>
    <col min="15618" max="15618" width="25.85546875" style="614" customWidth="1"/>
    <col min="15619" max="15619" width="5.7109375" style="614" bestFit="1" customWidth="1"/>
    <col min="15620" max="15620" width="7.140625" style="614" bestFit="1" customWidth="1"/>
    <col min="15621" max="15621" width="7.28515625" style="614" bestFit="1" customWidth="1"/>
    <col min="15622" max="15622" width="6.140625" style="614" bestFit="1" customWidth="1"/>
    <col min="15623" max="15625" width="7.28515625" style="614" bestFit="1" customWidth="1"/>
    <col min="15626" max="15626" width="8" style="614" bestFit="1" customWidth="1"/>
    <col min="15627" max="15627" width="8.28515625" style="614" customWidth="1"/>
    <col min="15628" max="15629" width="10.42578125" style="614" bestFit="1" customWidth="1"/>
    <col min="15630" max="15630" width="13.140625" style="614" bestFit="1" customWidth="1"/>
    <col min="15631" max="15872" width="9.140625" style="614"/>
    <col min="15873" max="15873" width="9.140625" style="614" customWidth="1"/>
    <col min="15874" max="15874" width="25.85546875" style="614" customWidth="1"/>
    <col min="15875" max="15875" width="5.7109375" style="614" bestFit="1" customWidth="1"/>
    <col min="15876" max="15876" width="7.140625" style="614" bestFit="1" customWidth="1"/>
    <col min="15877" max="15877" width="7.28515625" style="614" bestFit="1" customWidth="1"/>
    <col min="15878" max="15878" width="6.140625" style="614" bestFit="1" customWidth="1"/>
    <col min="15879" max="15881" width="7.28515625" style="614" bestFit="1" customWidth="1"/>
    <col min="15882" max="15882" width="8" style="614" bestFit="1" customWidth="1"/>
    <col min="15883" max="15883" width="8.28515625" style="614" customWidth="1"/>
    <col min="15884" max="15885" width="10.42578125" style="614" bestFit="1" customWidth="1"/>
    <col min="15886" max="15886" width="13.140625" style="614" bestFit="1" customWidth="1"/>
    <col min="15887" max="16128" width="9.140625" style="614"/>
    <col min="16129" max="16129" width="9.140625" style="614" customWidth="1"/>
    <col min="16130" max="16130" width="25.85546875" style="614" customWidth="1"/>
    <col min="16131" max="16131" width="5.7109375" style="614" bestFit="1" customWidth="1"/>
    <col min="16132" max="16132" width="7.140625" style="614" bestFit="1" customWidth="1"/>
    <col min="16133" max="16133" width="7.28515625" style="614" bestFit="1" customWidth="1"/>
    <col min="16134" max="16134" width="6.140625" style="614" bestFit="1" customWidth="1"/>
    <col min="16135" max="16137" width="7.28515625" style="614" bestFit="1" customWidth="1"/>
    <col min="16138" max="16138" width="8" style="614" bestFit="1" customWidth="1"/>
    <col min="16139" max="16139" width="8.28515625" style="614" customWidth="1"/>
    <col min="16140" max="16141" width="10.42578125" style="614" bestFit="1" customWidth="1"/>
    <col min="16142" max="16142" width="13.140625" style="614" bestFit="1" customWidth="1"/>
    <col min="16143" max="16384" width="9.140625" style="614"/>
  </cols>
  <sheetData>
    <row r="1" spans="1:14" s="1480" customFormat="1" ht="15" x14ac:dyDescent="0.2">
      <c r="A1" s="184"/>
      <c r="B1" s="184"/>
      <c r="C1" s="184"/>
      <c r="D1" s="62"/>
      <c r="E1" s="68"/>
      <c r="F1" s="63"/>
      <c r="G1" s="185"/>
      <c r="H1" s="185"/>
      <c r="I1" s="185"/>
      <c r="J1" s="1722"/>
      <c r="K1" s="1683"/>
      <c r="L1" s="1684"/>
      <c r="M1" s="2"/>
      <c r="N1" s="2"/>
    </row>
    <row r="2" spans="1:14" s="1480" customFormat="1" x14ac:dyDescent="0.2">
      <c r="A2" s="2206" t="s">
        <v>34</v>
      </c>
      <c r="B2" s="2206"/>
      <c r="C2" s="2206"/>
      <c r="D2" s="2206"/>
      <c r="E2" s="2206"/>
      <c r="F2" s="2206"/>
      <c r="G2" s="2206"/>
      <c r="H2" s="2206"/>
      <c r="I2" s="2206"/>
      <c r="J2" s="2206"/>
      <c r="K2" s="2206"/>
      <c r="L2" s="38"/>
      <c r="M2" s="38"/>
      <c r="N2" s="39"/>
    </row>
    <row r="3" spans="1:14" s="1480" customFormat="1" x14ac:dyDescent="0.2">
      <c r="A3" s="2206" t="s">
        <v>35</v>
      </c>
      <c r="B3" s="2206"/>
      <c r="C3" s="2206"/>
      <c r="D3" s="2206"/>
      <c r="E3" s="2206"/>
      <c r="F3" s="2206"/>
      <c r="G3" s="2206"/>
      <c r="H3" s="2206"/>
      <c r="I3" s="2206"/>
      <c r="J3" s="2206"/>
      <c r="K3" s="2206"/>
      <c r="L3" s="38"/>
      <c r="M3" s="38"/>
      <c r="N3" s="39"/>
    </row>
    <row r="4" spans="1:14" s="1480" customFormat="1" x14ac:dyDescent="0.2">
      <c r="A4" s="2206" t="s">
        <v>4980</v>
      </c>
      <c r="B4" s="2206"/>
      <c r="C4" s="2206"/>
      <c r="D4" s="2206"/>
      <c r="E4" s="2206"/>
      <c r="F4" s="2206"/>
      <c r="G4" s="2206"/>
      <c r="H4" s="2206"/>
      <c r="I4" s="2206"/>
      <c r="J4" s="2206"/>
      <c r="K4" s="2206"/>
      <c r="L4" s="38"/>
      <c r="M4" s="38"/>
      <c r="N4" s="39"/>
    </row>
    <row r="5" spans="1:14" s="1480" customFormat="1" ht="15" x14ac:dyDescent="0.2">
      <c r="A5" s="56"/>
      <c r="B5" s="56"/>
      <c r="C5" s="56"/>
      <c r="D5" s="57" t="s">
        <v>29</v>
      </c>
      <c r="E5" s="1503"/>
      <c r="F5" s="1717"/>
      <c r="G5" s="64"/>
      <c r="H5" s="64"/>
      <c r="I5" s="64"/>
      <c r="J5" s="1721"/>
      <c r="K5" s="1685"/>
      <c r="L5" s="38"/>
      <c r="M5" s="38"/>
      <c r="N5" s="39"/>
    </row>
    <row r="6" spans="1:14" s="1480" customFormat="1" ht="15" x14ac:dyDescent="0.2">
      <c r="A6" s="56"/>
      <c r="B6" s="56"/>
      <c r="C6" s="56"/>
      <c r="D6" s="57"/>
      <c r="E6" s="1503"/>
      <c r="F6" s="65"/>
      <c r="G6" s="185"/>
      <c r="H6" s="185"/>
      <c r="I6" s="185"/>
      <c r="J6" s="1722"/>
      <c r="K6" s="1683"/>
      <c r="L6" s="1684"/>
      <c r="M6" s="2"/>
      <c r="N6" s="2"/>
    </row>
    <row r="7" spans="1:14" s="1480" customFormat="1" ht="15.75" x14ac:dyDescent="0.2">
      <c r="A7" s="2205" t="s">
        <v>7850</v>
      </c>
      <c r="B7" s="2205"/>
      <c r="C7" s="2205"/>
      <c r="D7" s="2205"/>
      <c r="E7" s="2205"/>
      <c r="F7" s="2205"/>
      <c r="G7" s="2205"/>
      <c r="H7" s="2205"/>
      <c r="I7" s="2205"/>
      <c r="J7" s="2205"/>
      <c r="K7" s="2205"/>
      <c r="L7" s="38"/>
      <c r="M7" s="38"/>
      <c r="N7" s="39"/>
    </row>
    <row r="8" spans="1:14" s="1480" customFormat="1" ht="15" x14ac:dyDescent="0.2">
      <c r="A8" s="56"/>
      <c r="B8" s="56"/>
      <c r="C8" s="56"/>
      <c r="D8" s="57"/>
      <c r="E8" s="1503"/>
      <c r="F8" s="1717"/>
      <c r="G8" s="64"/>
      <c r="H8" s="64"/>
      <c r="I8" s="64"/>
      <c r="J8" s="1721"/>
      <c r="K8" s="1685"/>
      <c r="L8" s="38"/>
      <c r="M8" s="38"/>
      <c r="N8" s="39"/>
    </row>
    <row r="9" spans="1:14" s="6" customFormat="1" x14ac:dyDescent="0.2">
      <c r="A9" s="1730" t="s">
        <v>4443</v>
      </c>
      <c r="B9" s="2204" t="str">
        <f>'Orç - Canteiro e Adm'!B9:J9</f>
        <v>Construção do Edifício ULEG-FM</v>
      </c>
      <c r="C9" s="2204"/>
      <c r="D9" s="2204"/>
      <c r="E9" s="2204"/>
      <c r="F9" s="2204"/>
      <c r="G9" s="2204"/>
      <c r="H9" s="2204"/>
      <c r="I9" s="2204"/>
      <c r="J9" s="2204"/>
      <c r="K9" s="1685"/>
      <c r="L9" s="1685"/>
      <c r="M9" s="2"/>
      <c r="N9" s="2"/>
    </row>
    <row r="10" spans="1:14" s="1480" customFormat="1" x14ac:dyDescent="0.2">
      <c r="A10" s="1730" t="s">
        <v>128</v>
      </c>
      <c r="B10" s="2204" t="str">
        <f>'Orç - Canteiro e Adm'!B10:J10</f>
        <v>Campus Darcy Ribeiro</v>
      </c>
      <c r="C10" s="2204"/>
      <c r="D10" s="2204"/>
      <c r="E10" s="2204"/>
      <c r="F10" s="2204"/>
      <c r="G10" s="2204"/>
      <c r="H10" s="2204"/>
      <c r="I10" s="2204"/>
      <c r="J10" s="2204"/>
      <c r="K10" s="1685"/>
      <c r="L10" s="1685"/>
      <c r="M10" s="2"/>
      <c r="N10" s="2"/>
    </row>
    <row r="11" spans="1:14" s="1480" customFormat="1" x14ac:dyDescent="0.2">
      <c r="A11" s="1730" t="s">
        <v>4444</v>
      </c>
      <c r="B11" s="2204" t="str">
        <f>'Orç - Canteiro e Adm'!B11:J11</f>
        <v>Maio de 2020</v>
      </c>
      <c r="C11" s="2204"/>
      <c r="D11" s="2204"/>
      <c r="E11" s="2204"/>
      <c r="F11" s="2204"/>
      <c r="G11" s="2204"/>
      <c r="H11" s="2204"/>
      <c r="I11" s="2204"/>
      <c r="J11" s="2204"/>
      <c r="K11" s="1685"/>
      <c r="L11" s="1685"/>
      <c r="M11" s="2"/>
      <c r="N11" s="2"/>
    </row>
    <row r="12" spans="1:14" x14ac:dyDescent="0.2">
      <c r="A12" s="1718"/>
      <c r="B12" s="2201"/>
      <c r="C12" s="2201"/>
      <c r="D12" s="2201"/>
      <c r="E12" s="2201"/>
      <c r="F12" s="2201"/>
      <c r="G12" s="2201"/>
      <c r="H12" s="2201"/>
      <c r="I12" s="2201"/>
      <c r="J12" s="2201"/>
      <c r="K12" s="1718"/>
    </row>
    <row r="13" spans="1:14" s="1643" customFormat="1" ht="25.5" x14ac:dyDescent="0.2">
      <c r="A13" s="1835" t="str">
        <f>'Orç - Prédio'!A25</f>
        <v>01.06.002</v>
      </c>
      <c r="B13" s="2207" t="str">
        <f>'Orç - Prédio'!D25</f>
        <v>Ensaio de abatimento de tronco de cone (1 a cada caminhão de 8m3 de concreto usinado)</v>
      </c>
      <c r="C13" s="2207"/>
      <c r="D13" s="2207"/>
      <c r="E13" s="2207"/>
      <c r="F13" s="2207"/>
      <c r="G13" s="2207"/>
      <c r="H13" s="2207"/>
      <c r="I13" s="2207"/>
      <c r="J13" s="2207"/>
      <c r="K13" s="1836"/>
      <c r="L13" s="1837" t="s">
        <v>15154</v>
      </c>
    </row>
    <row r="14" spans="1:14" x14ac:dyDescent="0.2">
      <c r="A14" s="2202"/>
      <c r="B14" s="2202"/>
      <c r="C14" s="1537"/>
      <c r="D14" s="1537"/>
      <c r="E14" s="1537"/>
      <c r="F14" s="1537"/>
      <c r="G14" s="2202"/>
      <c r="H14" s="2202"/>
      <c r="I14" s="2202"/>
      <c r="J14" s="2202"/>
      <c r="K14" s="2202"/>
    </row>
    <row r="15" spans="1:14" x14ac:dyDescent="0.2">
      <c r="A15" s="2202" t="s">
        <v>6715</v>
      </c>
      <c r="B15" s="2202"/>
      <c r="C15" s="2202"/>
      <c r="D15" s="2202"/>
      <c r="E15" s="2202"/>
      <c r="F15" s="2202"/>
      <c r="G15" s="1627"/>
      <c r="H15" s="1627" t="s">
        <v>6706</v>
      </c>
      <c r="I15" s="1627"/>
      <c r="J15" s="1627" t="s">
        <v>6926</v>
      </c>
      <c r="K15" s="1627"/>
    </row>
    <row r="16" spans="1:14" x14ac:dyDescent="0.2">
      <c r="A16" s="2202"/>
      <c r="B16" s="2202"/>
      <c r="C16" s="2202"/>
      <c r="D16" s="2202"/>
      <c r="E16" s="2202"/>
      <c r="F16" s="2202"/>
      <c r="G16" s="1627"/>
      <c r="H16" s="1627" t="s">
        <v>6709</v>
      </c>
      <c r="I16" s="1627"/>
      <c r="J16" s="1627" t="s">
        <v>7342</v>
      </c>
      <c r="K16" s="1627"/>
    </row>
    <row r="17" spans="1:12" x14ac:dyDescent="0.2">
      <c r="A17" s="1627"/>
      <c r="B17" s="1538" t="s">
        <v>7343</v>
      </c>
      <c r="C17" s="1541"/>
      <c r="D17" s="1541"/>
      <c r="E17" s="1544"/>
      <c r="F17" s="1541"/>
      <c r="G17" s="1540"/>
      <c r="H17" s="1937">
        <f>'Orç - Reservatório'!E45*(PI()*0.225*0.225)</f>
        <v>14.313881527918497</v>
      </c>
      <c r="I17" s="1539"/>
      <c r="J17" s="1539">
        <f>ROUNDUP(H17/8,0)</f>
        <v>2</v>
      </c>
      <c r="K17" s="1539"/>
    </row>
    <row r="18" spans="1:12" x14ac:dyDescent="0.2">
      <c r="A18" s="1627"/>
      <c r="B18" s="1538" t="s">
        <v>7489</v>
      </c>
      <c r="C18" s="1541"/>
      <c r="D18" s="1541"/>
      <c r="E18" s="1544"/>
      <c r="F18" s="1541"/>
      <c r="G18" s="1540"/>
      <c r="H18" s="1937">
        <f>'Orç - Reservatório'!E54+'Orç - Reservatório'!E60</f>
        <v>7.54</v>
      </c>
      <c r="I18" s="1539"/>
      <c r="J18" s="1539">
        <f t="shared" ref="J18:J22" si="0">ROUNDUP(H18/8,0)</f>
        <v>1</v>
      </c>
      <c r="K18" s="1539"/>
    </row>
    <row r="19" spans="1:12" x14ac:dyDescent="0.2">
      <c r="A19" s="1627"/>
      <c r="B19" s="1538" t="s">
        <v>7420</v>
      </c>
      <c r="C19" s="1541"/>
      <c r="D19" s="1541"/>
      <c r="E19" s="1544"/>
      <c r="F19" s="1541"/>
      <c r="G19" s="1540"/>
      <c r="H19" s="1937">
        <f>'Orç - Reservatório'!E71</f>
        <v>3.61</v>
      </c>
      <c r="I19" s="1539"/>
      <c r="J19" s="1539">
        <f t="shared" si="0"/>
        <v>1</v>
      </c>
      <c r="K19" s="1539"/>
    </row>
    <row r="20" spans="1:12" x14ac:dyDescent="0.2">
      <c r="A20" s="1641"/>
      <c r="B20" s="1538" t="s">
        <v>7486</v>
      </c>
      <c r="C20" s="1541"/>
      <c r="D20" s="1541"/>
      <c r="E20" s="1544"/>
      <c r="F20" s="1541"/>
      <c r="G20" s="1540"/>
      <c r="H20" s="1937">
        <f>'Orç - Reservatório'!E76</f>
        <v>2.2400000000000002</v>
      </c>
      <c r="I20" s="1539"/>
      <c r="J20" s="1539">
        <f t="shared" si="0"/>
        <v>1</v>
      </c>
      <c r="K20" s="1539"/>
    </row>
    <row r="21" spans="1:12" x14ac:dyDescent="0.2">
      <c r="A21" s="1641"/>
      <c r="B21" s="1538" t="s">
        <v>7487</v>
      </c>
      <c r="C21" s="1541"/>
      <c r="D21" s="1541"/>
      <c r="E21" s="1544"/>
      <c r="F21" s="1541"/>
      <c r="G21" s="1540"/>
      <c r="H21" s="1937">
        <f>'Orç - Reservatório'!E81</f>
        <v>19.43</v>
      </c>
      <c r="I21" s="1539"/>
      <c r="J21" s="1539">
        <f t="shared" si="0"/>
        <v>3</v>
      </c>
      <c r="K21" s="1539"/>
    </row>
    <row r="22" spans="1:12" x14ac:dyDescent="0.2">
      <c r="A22" s="1641"/>
      <c r="B22" s="1538" t="s">
        <v>7488</v>
      </c>
      <c r="C22" s="1541"/>
      <c r="D22" s="1541"/>
      <c r="E22" s="1544"/>
      <c r="F22" s="1541"/>
      <c r="G22" s="1540"/>
      <c r="H22" s="1937">
        <f>'Orç - Reservatório'!E91</f>
        <v>4.1960000000000006</v>
      </c>
      <c r="I22" s="1539"/>
      <c r="J22" s="1539">
        <f t="shared" si="0"/>
        <v>1</v>
      </c>
      <c r="K22" s="1539"/>
    </row>
    <row r="23" spans="1:12" x14ac:dyDescent="0.2">
      <c r="A23" s="1547"/>
      <c r="B23" s="1548"/>
      <c r="C23" s="1548"/>
      <c r="D23" s="1548"/>
      <c r="E23" s="1548"/>
      <c r="F23" s="2200" t="s">
        <v>6711</v>
      </c>
      <c r="G23" s="2200"/>
      <c r="H23" s="2200"/>
      <c r="I23" s="1549"/>
      <c r="J23" s="1549">
        <f>SUM(J17:J22)</f>
        <v>9</v>
      </c>
      <c r="K23" s="1549"/>
    </row>
    <row r="24" spans="1:12" x14ac:dyDescent="0.2">
      <c r="A24" s="1627"/>
      <c r="B24" s="2201"/>
      <c r="C24" s="2201"/>
      <c r="D24" s="2201"/>
      <c r="E24" s="2201"/>
      <c r="F24" s="2201"/>
      <c r="G24" s="2201"/>
      <c r="H24" s="2201"/>
      <c r="I24" s="2201"/>
      <c r="J24" s="2201"/>
      <c r="K24" s="1627"/>
    </row>
    <row r="25" spans="1:12" s="1643" customFormat="1" ht="25.5" x14ac:dyDescent="0.2">
      <c r="A25" s="1835" t="str">
        <f>'Orç - Reservatório'!A34</f>
        <v>02.04.201</v>
      </c>
      <c r="B25" s="2207" t="str">
        <f>'Orç - Reservatório'!D34</f>
        <v>Escavação mecanizada com retroescavadeira</v>
      </c>
      <c r="C25" s="2207"/>
      <c r="D25" s="2207"/>
      <c r="E25" s="2207"/>
      <c r="F25" s="2207"/>
      <c r="G25" s="2207"/>
      <c r="H25" s="2207"/>
      <c r="I25" s="2207"/>
      <c r="J25" s="2207"/>
      <c r="K25" s="1836"/>
      <c r="L25" s="1837" t="s">
        <v>15154</v>
      </c>
    </row>
    <row r="26" spans="1:12" x14ac:dyDescent="0.2">
      <c r="A26" s="2202"/>
      <c r="B26" s="2202"/>
      <c r="C26" s="1537"/>
      <c r="D26" s="1537"/>
      <c r="E26" s="1537"/>
      <c r="F26" s="1537"/>
      <c r="G26" s="2202" t="s">
        <v>6699</v>
      </c>
      <c r="H26" s="2202"/>
      <c r="I26" s="2202" t="s">
        <v>6700</v>
      </c>
      <c r="J26" s="2202"/>
      <c r="K26" s="2202"/>
    </row>
    <row r="27" spans="1:12" ht="22.5" x14ac:dyDescent="0.2">
      <c r="A27" s="2202" t="s">
        <v>6715</v>
      </c>
      <c r="B27" s="2202"/>
      <c r="C27" s="2202" t="s">
        <v>6701</v>
      </c>
      <c r="D27" s="2202" t="s">
        <v>6702</v>
      </c>
      <c r="E27" s="2202" t="s">
        <v>6703</v>
      </c>
      <c r="F27" s="2202" t="s">
        <v>6704</v>
      </c>
      <c r="G27" s="1627" t="s">
        <v>6705</v>
      </c>
      <c r="H27" s="1627" t="s">
        <v>6706</v>
      </c>
      <c r="I27" s="1627" t="s">
        <v>6707</v>
      </c>
      <c r="J27" s="1627" t="s">
        <v>6705</v>
      </c>
      <c r="K27" s="1627" t="s">
        <v>6706</v>
      </c>
    </row>
    <row r="28" spans="1:12" x14ac:dyDescent="0.2">
      <c r="A28" s="2202"/>
      <c r="B28" s="2202"/>
      <c r="C28" s="2202"/>
      <c r="D28" s="2202"/>
      <c r="E28" s="2202"/>
      <c r="F28" s="2202"/>
      <c r="G28" s="1627" t="s">
        <v>6708</v>
      </c>
      <c r="H28" s="1627" t="s">
        <v>6709</v>
      </c>
      <c r="I28" s="1627" t="s">
        <v>6710</v>
      </c>
      <c r="J28" s="1627" t="s">
        <v>6708</v>
      </c>
      <c r="K28" s="1627" t="s">
        <v>6709</v>
      </c>
    </row>
    <row r="29" spans="1:12" x14ac:dyDescent="0.2">
      <c r="A29" s="1627"/>
      <c r="B29" s="1538" t="s">
        <v>7418</v>
      </c>
      <c r="C29" s="1541">
        <v>1</v>
      </c>
      <c r="D29" s="1541">
        <v>8</v>
      </c>
      <c r="E29" s="1544">
        <v>8</v>
      </c>
      <c r="F29" s="1541">
        <v>3.2</v>
      </c>
      <c r="G29" s="1540"/>
      <c r="H29" s="1539">
        <f>F29*E29*D29</f>
        <v>204.8</v>
      </c>
      <c r="I29" s="1539"/>
      <c r="J29" s="1539">
        <f>C29*G29</f>
        <v>0</v>
      </c>
      <c r="K29" s="1539">
        <f>C29*H29</f>
        <v>204.8</v>
      </c>
    </row>
    <row r="30" spans="1:12" x14ac:dyDescent="0.2">
      <c r="A30" s="1547"/>
      <c r="B30" s="1548"/>
      <c r="C30" s="1548"/>
      <c r="D30" s="1548"/>
      <c r="E30" s="1548"/>
      <c r="F30" s="2200" t="s">
        <v>6711</v>
      </c>
      <c r="G30" s="2200"/>
      <c r="H30" s="2200"/>
      <c r="I30" s="1549">
        <f>ROUND(SUM(I29:I29),2)</f>
        <v>0</v>
      </c>
      <c r="J30" s="1549">
        <f>ROUND(SUM(J29:J29),2)</f>
        <v>0</v>
      </c>
      <c r="K30" s="1549">
        <f>ROUND(SUM(K29:K29),2)</f>
        <v>204.8</v>
      </c>
    </row>
    <row r="31" spans="1:12" x14ac:dyDescent="0.2">
      <c r="A31" s="1627"/>
      <c r="B31" s="2201"/>
      <c r="C31" s="2201"/>
      <c r="D31" s="2201"/>
      <c r="E31" s="2201"/>
      <c r="F31" s="2201"/>
      <c r="G31" s="2201"/>
      <c r="H31" s="2201"/>
      <c r="I31" s="2201"/>
      <c r="J31" s="2201"/>
      <c r="K31" s="1627"/>
    </row>
    <row r="32" spans="1:12" s="1643" customFormat="1" ht="25.5" x14ac:dyDescent="0.2">
      <c r="A32" s="1835" t="str">
        <f>'Orç - Reservatório'!A43</f>
        <v>03.01.102.01</v>
      </c>
      <c r="B32" s="2207" t="str">
        <f>'Orç - Reservatório'!D43</f>
        <v>Escavação mecanizada para bloco de coroamento ou sapata, com previsão de forma, com retroescavadeira</v>
      </c>
      <c r="C32" s="2207"/>
      <c r="D32" s="2207"/>
      <c r="E32" s="2207"/>
      <c r="F32" s="2207"/>
      <c r="G32" s="2207"/>
      <c r="H32" s="2207"/>
      <c r="I32" s="2207"/>
      <c r="J32" s="2207"/>
      <c r="K32" s="1836"/>
      <c r="L32" s="1837" t="s">
        <v>15154</v>
      </c>
    </row>
    <row r="33" spans="1:13" x14ac:dyDescent="0.2">
      <c r="A33" s="2202"/>
      <c r="B33" s="2202"/>
      <c r="C33" s="1537"/>
      <c r="D33" s="1537"/>
      <c r="E33" s="1537"/>
      <c r="F33" s="1537"/>
      <c r="G33" s="2202" t="s">
        <v>6699</v>
      </c>
      <c r="H33" s="2202"/>
      <c r="I33" s="2202" t="s">
        <v>6700</v>
      </c>
      <c r="J33" s="2202"/>
      <c r="K33" s="2202"/>
    </row>
    <row r="34" spans="1:13" ht="22.5" x14ac:dyDescent="0.2">
      <c r="A34" s="2202" t="s">
        <v>6715</v>
      </c>
      <c r="B34" s="2202"/>
      <c r="C34" s="2202" t="s">
        <v>6701</v>
      </c>
      <c r="D34" s="2202" t="s">
        <v>6702</v>
      </c>
      <c r="E34" s="2202" t="s">
        <v>6703</v>
      </c>
      <c r="F34" s="2202" t="s">
        <v>6704</v>
      </c>
      <c r="G34" s="1959" t="s">
        <v>6705</v>
      </c>
      <c r="H34" s="1959" t="s">
        <v>6706</v>
      </c>
      <c r="I34" s="1959" t="s">
        <v>6707</v>
      </c>
      <c r="J34" s="1959" t="s">
        <v>6705</v>
      </c>
      <c r="K34" s="1959" t="s">
        <v>6706</v>
      </c>
    </row>
    <row r="35" spans="1:13" x14ac:dyDescent="0.2">
      <c r="A35" s="2202"/>
      <c r="B35" s="2202"/>
      <c r="C35" s="2202"/>
      <c r="D35" s="2202"/>
      <c r="E35" s="2202"/>
      <c r="F35" s="2202"/>
      <c r="G35" s="1959" t="s">
        <v>6708</v>
      </c>
      <c r="H35" s="1959" t="s">
        <v>6709</v>
      </c>
      <c r="I35" s="1959" t="s">
        <v>6710</v>
      </c>
      <c r="J35" s="1959" t="s">
        <v>6708</v>
      </c>
      <c r="K35" s="1959" t="s">
        <v>6709</v>
      </c>
    </row>
    <row r="36" spans="1:13" x14ac:dyDescent="0.2">
      <c r="A36" s="1959"/>
      <c r="B36" s="1551" t="s">
        <v>7408</v>
      </c>
      <c r="C36" s="1960">
        <v>9</v>
      </c>
      <c r="D36" s="1960">
        <v>0.81</v>
      </c>
      <c r="E36" s="1544">
        <v>0.81</v>
      </c>
      <c r="F36" s="1960">
        <v>0.7</v>
      </c>
      <c r="G36" s="1540"/>
      <c r="H36" s="1964">
        <f>F36*E36*D36</f>
        <v>0.45927000000000001</v>
      </c>
      <c r="I36" s="1957"/>
      <c r="J36" s="1957"/>
      <c r="K36" s="1964">
        <f>C36*H36</f>
        <v>4.1334299999999997</v>
      </c>
    </row>
    <row r="37" spans="1:13" x14ac:dyDescent="0.2">
      <c r="A37" s="1959"/>
      <c r="B37" s="1551" t="s">
        <v>7409</v>
      </c>
      <c r="C37" s="1960">
        <v>3</v>
      </c>
      <c r="D37" s="1960">
        <v>1.65</v>
      </c>
      <c r="E37" s="1544">
        <v>0.75</v>
      </c>
      <c r="F37" s="1960">
        <v>0.55000000000000004</v>
      </c>
      <c r="G37" s="1540"/>
      <c r="H37" s="1957">
        <f>F37*E37*D37</f>
        <v>0.68062500000000004</v>
      </c>
      <c r="I37" s="1957"/>
      <c r="J37" s="1957"/>
      <c r="K37" s="1957">
        <f>C37*H37</f>
        <v>2.0418750000000001</v>
      </c>
    </row>
    <row r="38" spans="1:13" x14ac:dyDescent="0.2">
      <c r="A38" s="1959"/>
      <c r="B38" s="1551" t="s">
        <v>7410</v>
      </c>
      <c r="C38" s="1960">
        <v>1</v>
      </c>
      <c r="D38" s="2208" t="s">
        <v>15055</v>
      </c>
      <c r="E38" s="2208"/>
      <c r="F38" s="1960">
        <v>0.55000000000000004</v>
      </c>
      <c r="G38" s="1540">
        <v>1.84</v>
      </c>
      <c r="H38" s="1965">
        <f>G38*F38</f>
        <v>1.0120000000000002</v>
      </c>
      <c r="I38" s="1957"/>
      <c r="J38" s="1957"/>
      <c r="K38" s="1957">
        <f>C38*H38</f>
        <v>1.0120000000000002</v>
      </c>
    </row>
    <row r="39" spans="1:13" x14ac:dyDescent="0.2">
      <c r="A39" s="1547"/>
      <c r="B39" s="1548"/>
      <c r="C39" s="1548"/>
      <c r="D39" s="1548"/>
      <c r="E39" s="1548"/>
      <c r="F39" s="2200" t="s">
        <v>6711</v>
      </c>
      <c r="G39" s="2200"/>
      <c r="H39" s="2200"/>
      <c r="I39" s="1549"/>
      <c r="J39" s="1549"/>
      <c r="K39" s="1966">
        <f>ROUND(SUM(K36:K38),2)</f>
        <v>7.19</v>
      </c>
    </row>
    <row r="40" spans="1:13" x14ac:dyDescent="0.2">
      <c r="A40" s="1959"/>
      <c r="B40" s="2201"/>
      <c r="C40" s="2201"/>
      <c r="D40" s="2201"/>
      <c r="E40" s="2201"/>
      <c r="F40" s="2201"/>
      <c r="G40" s="2201"/>
      <c r="H40" s="2201"/>
      <c r="I40" s="2201"/>
      <c r="J40" s="2201"/>
      <c r="K40" s="1959"/>
    </row>
    <row r="41" spans="1:13" s="1643" customFormat="1" ht="38.25" x14ac:dyDescent="0.2">
      <c r="A41" s="1835" t="str">
        <f>'Orç - Reservatório'!A50</f>
        <v>03.01.501</v>
      </c>
      <c r="B41" s="2207" t="str">
        <f>'Orç - Reservatório'!D50</f>
        <v>Lastro de concreto magro, aplicado em blocos de coroamento ou sapatas, espessura 5 cm</v>
      </c>
      <c r="C41" s="2207"/>
      <c r="D41" s="2207"/>
      <c r="E41" s="2207"/>
      <c r="F41" s="2207"/>
      <c r="G41" s="2207"/>
      <c r="H41" s="2207"/>
      <c r="I41" s="2207"/>
      <c r="J41" s="2207"/>
      <c r="K41" s="1836" t="str">
        <f>'Orç - Reservatório'!F50</f>
        <v>m2</v>
      </c>
      <c r="L41" s="1837" t="s">
        <v>8535</v>
      </c>
    </row>
    <row r="42" spans="1:13" x14ac:dyDescent="0.2">
      <c r="A42" s="2202"/>
      <c r="B42" s="2202"/>
      <c r="C42" s="1537"/>
      <c r="D42" s="1537"/>
      <c r="E42" s="1537"/>
      <c r="F42" s="1537"/>
      <c r="G42" s="2202" t="s">
        <v>6699</v>
      </c>
      <c r="H42" s="2202"/>
      <c r="I42" s="2202" t="s">
        <v>6700</v>
      </c>
      <c r="J42" s="2202"/>
      <c r="K42" s="2202"/>
    </row>
    <row r="43" spans="1:13" ht="22.5" x14ac:dyDescent="0.2">
      <c r="A43" s="2202" t="s">
        <v>6715</v>
      </c>
      <c r="B43" s="2202"/>
      <c r="C43" s="2202" t="s">
        <v>6701</v>
      </c>
      <c r="D43" s="2202" t="s">
        <v>6702</v>
      </c>
      <c r="E43" s="2202" t="s">
        <v>6703</v>
      </c>
      <c r="F43" s="2202" t="s">
        <v>6704</v>
      </c>
      <c r="G43" s="1627" t="s">
        <v>6705</v>
      </c>
      <c r="H43" s="1627" t="s">
        <v>6706</v>
      </c>
      <c r="I43" s="1627" t="s">
        <v>6707</v>
      </c>
      <c r="J43" s="1627" t="s">
        <v>6705</v>
      </c>
      <c r="K43" s="1627" t="s">
        <v>6706</v>
      </c>
    </row>
    <row r="44" spans="1:13" x14ac:dyDescent="0.2">
      <c r="A44" s="2202"/>
      <c r="B44" s="2202"/>
      <c r="C44" s="2202"/>
      <c r="D44" s="2202"/>
      <c r="E44" s="2202"/>
      <c r="F44" s="2202"/>
      <c r="G44" s="1627" t="s">
        <v>6708</v>
      </c>
      <c r="H44" s="1627" t="s">
        <v>6709</v>
      </c>
      <c r="I44" s="1627" t="s">
        <v>6710</v>
      </c>
      <c r="J44" s="1627" t="s">
        <v>6708</v>
      </c>
      <c r="K44" s="1627" t="s">
        <v>6709</v>
      </c>
    </row>
    <row r="45" spans="1:13" x14ac:dyDescent="0.2">
      <c r="A45" s="1627"/>
      <c r="B45" s="1551" t="s">
        <v>7408</v>
      </c>
      <c r="C45" s="1541">
        <v>9</v>
      </c>
      <c r="D45" s="1541">
        <v>0.81</v>
      </c>
      <c r="E45" s="1544">
        <v>0.81</v>
      </c>
      <c r="F45" s="1541"/>
      <c r="G45" s="1540">
        <f>E45*D45</f>
        <v>0.65610000000000013</v>
      </c>
      <c r="H45" s="1539"/>
      <c r="I45" s="1539"/>
      <c r="J45" s="1539">
        <f>G45*C45</f>
        <v>5.9049000000000014</v>
      </c>
      <c r="K45" s="1539"/>
      <c r="L45" s="1602"/>
      <c r="M45" s="617"/>
    </row>
    <row r="46" spans="1:13" x14ac:dyDescent="0.2">
      <c r="A46" s="1627"/>
      <c r="B46" s="1551" t="s">
        <v>7409</v>
      </c>
      <c r="C46" s="1541">
        <v>3</v>
      </c>
      <c r="D46" s="1541">
        <v>1.65</v>
      </c>
      <c r="E46" s="1544">
        <v>0.75</v>
      </c>
      <c r="F46" s="1541"/>
      <c r="G46" s="1540">
        <f>E46*D46</f>
        <v>1.2374999999999998</v>
      </c>
      <c r="H46" s="1539"/>
      <c r="I46" s="1539"/>
      <c r="J46" s="1539">
        <f>G46*C46</f>
        <v>3.7124999999999995</v>
      </c>
      <c r="K46" s="1539"/>
      <c r="L46" s="1602"/>
      <c r="M46" s="617"/>
    </row>
    <row r="47" spans="1:13" x14ac:dyDescent="0.2">
      <c r="A47" s="1627"/>
      <c r="B47" s="1551" t="s">
        <v>7410</v>
      </c>
      <c r="C47" s="1541">
        <v>1</v>
      </c>
      <c r="D47" s="1541"/>
      <c r="E47" s="1544"/>
      <c r="F47" s="1541"/>
      <c r="G47" s="1540">
        <v>1.84</v>
      </c>
      <c r="H47" s="1539"/>
      <c r="I47" s="1539"/>
      <c r="J47" s="1539">
        <f t="shared" ref="J47" si="1">G47*C47</f>
        <v>1.84</v>
      </c>
      <c r="K47" s="1539"/>
      <c r="L47" s="1602"/>
      <c r="M47" s="617"/>
    </row>
    <row r="48" spans="1:13" x14ac:dyDescent="0.2">
      <c r="A48" s="1547"/>
      <c r="B48" s="1548"/>
      <c r="C48" s="1548"/>
      <c r="D48" s="1548"/>
      <c r="E48" s="1548"/>
      <c r="F48" s="2200" t="s">
        <v>6711</v>
      </c>
      <c r="G48" s="2200"/>
      <c r="H48" s="2200"/>
      <c r="I48" s="1549"/>
      <c r="J48" s="1549">
        <f>ROUND(SUM(J44:J47),2)</f>
        <v>11.46</v>
      </c>
      <c r="K48" s="1549"/>
      <c r="M48" s="617"/>
    </row>
    <row r="49" spans="1:13" x14ac:dyDescent="0.2">
      <c r="A49" s="1627"/>
      <c r="B49" s="2201"/>
      <c r="C49" s="2201"/>
      <c r="D49" s="2201"/>
      <c r="E49" s="2201"/>
      <c r="F49" s="2201"/>
      <c r="G49" s="2201"/>
      <c r="H49" s="2201"/>
      <c r="I49" s="2201"/>
      <c r="J49" s="2201"/>
      <c r="K49" s="1627"/>
      <c r="M49" s="617"/>
    </row>
    <row r="50" spans="1:13" s="1643" customFormat="1" ht="38.25" x14ac:dyDescent="0.2">
      <c r="A50" s="1835" t="str">
        <f>'Orç - Reservatório'!A62</f>
        <v>03.01.602</v>
      </c>
      <c r="B50" s="2207" t="str">
        <f>'Orç - Reservatório'!D62</f>
        <v>Impermeabilização de superfícies (faces de blocos de fundação) com emulsão asfáltica, duas demãos</v>
      </c>
      <c r="C50" s="2207"/>
      <c r="D50" s="2207"/>
      <c r="E50" s="2207"/>
      <c r="F50" s="2207"/>
      <c r="G50" s="2207"/>
      <c r="H50" s="2207"/>
      <c r="I50" s="2207"/>
      <c r="J50" s="2207"/>
      <c r="K50" s="1836" t="str">
        <f>'Orç - Reservatório'!F62</f>
        <v>m2</v>
      </c>
      <c r="L50" s="1837" t="s">
        <v>8535</v>
      </c>
    </row>
    <row r="51" spans="1:13" x14ac:dyDescent="0.2">
      <c r="A51" s="2202"/>
      <c r="B51" s="2202"/>
      <c r="C51" s="1537"/>
      <c r="D51" s="1537"/>
      <c r="E51" s="1537"/>
      <c r="F51" s="1537"/>
      <c r="G51" s="2202" t="s">
        <v>6699</v>
      </c>
      <c r="H51" s="2202"/>
      <c r="I51" s="2202" t="s">
        <v>6700</v>
      </c>
      <c r="J51" s="2202"/>
      <c r="K51" s="2202"/>
    </row>
    <row r="52" spans="1:13" ht="22.5" x14ac:dyDescent="0.2">
      <c r="A52" s="2202" t="s">
        <v>6715</v>
      </c>
      <c r="B52" s="2202"/>
      <c r="C52" s="2202" t="s">
        <v>6701</v>
      </c>
      <c r="D52" s="2202" t="s">
        <v>6953</v>
      </c>
      <c r="E52" s="2202" t="s">
        <v>6704</v>
      </c>
      <c r="F52" s="2202" t="s">
        <v>7455</v>
      </c>
      <c r="G52" s="1627" t="s">
        <v>6705</v>
      </c>
      <c r="H52" s="1627" t="s">
        <v>6706</v>
      </c>
      <c r="I52" s="1627" t="s">
        <v>6707</v>
      </c>
      <c r="J52" s="1627" t="s">
        <v>6705</v>
      </c>
      <c r="K52" s="1627" t="s">
        <v>6706</v>
      </c>
    </row>
    <row r="53" spans="1:13" x14ac:dyDescent="0.2">
      <c r="A53" s="2202"/>
      <c r="B53" s="2202"/>
      <c r="C53" s="2202"/>
      <c r="D53" s="2202"/>
      <c r="E53" s="2202"/>
      <c r="F53" s="2202"/>
      <c r="G53" s="1627" t="s">
        <v>6708</v>
      </c>
      <c r="H53" s="1627" t="s">
        <v>6709</v>
      </c>
      <c r="I53" s="1627" t="s">
        <v>6710</v>
      </c>
      <c r="J53" s="1627" t="s">
        <v>6708</v>
      </c>
      <c r="K53" s="1627" t="s">
        <v>6709</v>
      </c>
    </row>
    <row r="54" spans="1:13" x14ac:dyDescent="0.2">
      <c r="A54" s="1627"/>
      <c r="B54" s="1551" t="s">
        <v>7408</v>
      </c>
      <c r="C54" s="1541">
        <v>9</v>
      </c>
      <c r="D54" s="1541">
        <f>4*0.81</f>
        <v>3.24</v>
      </c>
      <c r="E54" s="1544">
        <v>0.7</v>
      </c>
      <c r="F54" s="1541">
        <f>0.81*0.81</f>
        <v>0.65610000000000013</v>
      </c>
      <c r="G54" s="1540">
        <f>(D54*E54+F54)</f>
        <v>2.9241000000000001</v>
      </c>
      <c r="H54" s="1539"/>
      <c r="I54" s="1539"/>
      <c r="J54" s="1539">
        <f>G54*C54</f>
        <v>26.3169</v>
      </c>
      <c r="K54" s="1539"/>
      <c r="L54" s="1602"/>
      <c r="M54" s="617"/>
    </row>
    <row r="55" spans="1:13" x14ac:dyDescent="0.2">
      <c r="A55" s="1627"/>
      <c r="B55" s="1551" t="s">
        <v>7409</v>
      </c>
      <c r="C55" s="1541">
        <v>3</v>
      </c>
      <c r="D55" s="1541">
        <f>1.65+1.65+0.75+0.75</f>
        <v>4.8</v>
      </c>
      <c r="E55" s="1544">
        <v>0.55000000000000004</v>
      </c>
      <c r="F55" s="1541">
        <f>1.65*0.75</f>
        <v>1.2374999999999998</v>
      </c>
      <c r="G55" s="1540">
        <f t="shared" ref="G55:G56" si="2">(D55*E55+F55)</f>
        <v>3.8774999999999999</v>
      </c>
      <c r="H55" s="1539"/>
      <c r="I55" s="1539"/>
      <c r="J55" s="1539">
        <f>G55*C55</f>
        <v>11.6325</v>
      </c>
      <c r="K55" s="1539"/>
      <c r="L55" s="1602"/>
      <c r="M55" s="617"/>
    </row>
    <row r="56" spans="1:13" x14ac:dyDescent="0.2">
      <c r="A56" s="1627"/>
      <c r="B56" s="1551" t="s">
        <v>7410</v>
      </c>
      <c r="C56" s="1541">
        <v>1</v>
      </c>
      <c r="D56" s="1541">
        <f>10.6/2</f>
        <v>5.3</v>
      </c>
      <c r="E56" s="1544">
        <v>0.55000000000000004</v>
      </c>
      <c r="F56" s="1541">
        <f>7.42/4</f>
        <v>1.855</v>
      </c>
      <c r="G56" s="1540">
        <f t="shared" si="2"/>
        <v>4.7699999999999996</v>
      </c>
      <c r="H56" s="1539"/>
      <c r="I56" s="1539"/>
      <c r="J56" s="1539">
        <f t="shared" ref="J56" si="3">G56*C56</f>
        <v>4.7699999999999996</v>
      </c>
      <c r="K56" s="1539"/>
      <c r="L56" s="1602"/>
      <c r="M56" s="617"/>
    </row>
    <row r="57" spans="1:13" x14ac:dyDescent="0.2">
      <c r="A57" s="1547"/>
      <c r="B57" s="1548"/>
      <c r="C57" s="1548"/>
      <c r="D57" s="1548"/>
      <c r="E57" s="1548"/>
      <c r="F57" s="2200" t="s">
        <v>6711</v>
      </c>
      <c r="G57" s="2200"/>
      <c r="H57" s="2200"/>
      <c r="I57" s="1549"/>
      <c r="J57" s="1549">
        <f>ROUND(SUM(J53:J56),2)</f>
        <v>42.72</v>
      </c>
      <c r="K57" s="1549"/>
      <c r="M57" s="617"/>
    </row>
    <row r="58" spans="1:13" x14ac:dyDescent="0.2">
      <c r="A58" s="1627"/>
      <c r="B58" s="2201"/>
      <c r="C58" s="2201"/>
      <c r="D58" s="2201"/>
      <c r="E58" s="2201"/>
      <c r="F58" s="2201"/>
      <c r="G58" s="2201"/>
      <c r="H58" s="2201"/>
      <c r="I58" s="2201"/>
      <c r="J58" s="2201"/>
      <c r="K58" s="1627"/>
      <c r="M58" s="617"/>
    </row>
    <row r="59" spans="1:13" s="1643" customFormat="1" ht="25.5" x14ac:dyDescent="0.2">
      <c r="A59" s="1835" t="str">
        <f>'Orç - Reservatório'!A93</f>
        <v>04.01.531</v>
      </c>
      <c r="B59" s="2207" t="str">
        <f>'Orç - Reservatório'!D93</f>
        <v>Chapisco aplicado em paredes internas, com colher de pedreiro, argamassa traço 1:3 com preparo mecânico</v>
      </c>
      <c r="C59" s="2207"/>
      <c r="D59" s="2207"/>
      <c r="E59" s="2207"/>
      <c r="F59" s="2207"/>
      <c r="G59" s="2207"/>
      <c r="H59" s="2207"/>
      <c r="I59" s="2207"/>
      <c r="J59" s="2207"/>
      <c r="K59" s="1836" t="str">
        <f>'Orç - Reservatório'!F93</f>
        <v>m2</v>
      </c>
      <c r="L59" s="1837" t="s">
        <v>15154</v>
      </c>
    </row>
    <row r="60" spans="1:13" x14ac:dyDescent="0.2">
      <c r="A60" s="2202"/>
      <c r="B60" s="2202"/>
      <c r="C60" s="1537"/>
      <c r="D60" s="1537"/>
      <c r="E60" s="1537"/>
      <c r="F60" s="1537"/>
      <c r="G60" s="2202" t="s">
        <v>6699</v>
      </c>
      <c r="H60" s="2202"/>
      <c r="I60" s="2202" t="s">
        <v>6700</v>
      </c>
      <c r="J60" s="2202"/>
      <c r="K60" s="2202"/>
    </row>
    <row r="61" spans="1:13" ht="22.5" x14ac:dyDescent="0.2">
      <c r="A61" s="2202" t="s">
        <v>6715</v>
      </c>
      <c r="B61" s="2202"/>
      <c r="C61" s="2202" t="s">
        <v>6701</v>
      </c>
      <c r="D61" s="2202"/>
      <c r="E61" s="2202" t="s">
        <v>6953</v>
      </c>
      <c r="F61" s="2202" t="s">
        <v>6704</v>
      </c>
      <c r="G61" s="1627" t="s">
        <v>6705</v>
      </c>
      <c r="H61" s="1627" t="s">
        <v>6706</v>
      </c>
      <c r="I61" s="1627" t="s">
        <v>6707</v>
      </c>
      <c r="J61" s="1627" t="s">
        <v>6705</v>
      </c>
      <c r="K61" s="1627" t="s">
        <v>6706</v>
      </c>
    </row>
    <row r="62" spans="1:13" x14ac:dyDescent="0.2">
      <c r="A62" s="2202"/>
      <c r="B62" s="2202"/>
      <c r="C62" s="2202"/>
      <c r="D62" s="2202"/>
      <c r="E62" s="2202"/>
      <c r="F62" s="2202"/>
      <c r="G62" s="1627" t="s">
        <v>6708</v>
      </c>
      <c r="H62" s="1627" t="s">
        <v>6709</v>
      </c>
      <c r="I62" s="1627" t="s">
        <v>6710</v>
      </c>
      <c r="J62" s="1627" t="s">
        <v>6708</v>
      </c>
      <c r="K62" s="1627" t="s">
        <v>6709</v>
      </c>
    </row>
    <row r="63" spans="1:13" ht="22.5" x14ac:dyDescent="0.2">
      <c r="A63" s="1627"/>
      <c r="B63" s="1538" t="s">
        <v>7461</v>
      </c>
      <c r="C63" s="1541">
        <v>1</v>
      </c>
      <c r="D63" s="1541"/>
      <c r="E63" s="1544">
        <f>2*2.6+2*3.5</f>
        <v>12.2</v>
      </c>
      <c r="F63" s="1541">
        <v>2.1</v>
      </c>
      <c r="G63" s="1540">
        <f>F63*E63</f>
        <v>25.62</v>
      </c>
      <c r="H63" s="1539">
        <f>F63*E63*D63</f>
        <v>0</v>
      </c>
      <c r="I63" s="1539"/>
      <c r="J63" s="1539">
        <f>C63*G63</f>
        <v>25.62</v>
      </c>
      <c r="K63" s="1539">
        <f>C63*H63</f>
        <v>0</v>
      </c>
      <c r="L63" s="1602"/>
      <c r="M63" s="617"/>
    </row>
    <row r="64" spans="1:13" x14ac:dyDescent="0.2">
      <c r="A64" s="1547"/>
      <c r="B64" s="1548"/>
      <c r="C64" s="1548"/>
      <c r="D64" s="1548"/>
      <c r="E64" s="1548"/>
      <c r="F64" s="2200" t="s">
        <v>6711</v>
      </c>
      <c r="G64" s="2200"/>
      <c r="H64" s="2200"/>
      <c r="I64" s="1549"/>
      <c r="J64" s="1549">
        <f>ROUND(SUM(J63:J63),2)</f>
        <v>25.62</v>
      </c>
      <c r="K64" s="1549"/>
      <c r="L64" s="1602"/>
      <c r="M64" s="617"/>
    </row>
    <row r="65" spans="1:13" x14ac:dyDescent="0.2">
      <c r="A65" s="1627"/>
      <c r="B65" s="1551"/>
      <c r="C65" s="1541"/>
      <c r="D65" s="1541"/>
      <c r="E65" s="1544"/>
      <c r="F65" s="1541"/>
      <c r="G65" s="1540"/>
      <c r="H65" s="1539"/>
      <c r="I65" s="1539"/>
      <c r="J65" s="1539"/>
      <c r="K65" s="1539"/>
      <c r="L65" s="1602"/>
      <c r="M65" s="617"/>
    </row>
    <row r="66" spans="1:13" s="1643" customFormat="1" ht="25.5" x14ac:dyDescent="0.2">
      <c r="A66" s="1835" t="str">
        <f>'Orç - Reservatório'!A99</f>
        <v>04.01.601.01</v>
      </c>
      <c r="B66" s="2207" t="str">
        <f>'Orç - Reservatório'!D99</f>
        <v>Impermeabilização de superfície com manta asfáltica com polímeros tipo app, e=4mm, antirraiz, incluindo aplicação de primer (superfície externa do reservatório enterrado)</v>
      </c>
      <c r="C66" s="2207"/>
      <c r="D66" s="2207"/>
      <c r="E66" s="2207"/>
      <c r="F66" s="2207"/>
      <c r="G66" s="2207"/>
      <c r="H66" s="2207"/>
      <c r="I66" s="2207"/>
      <c r="J66" s="2207"/>
      <c r="K66" s="1836" t="str">
        <f>'Orç - Reservatório'!F99</f>
        <v>m2</v>
      </c>
      <c r="L66" s="1837" t="s">
        <v>15154</v>
      </c>
    </row>
    <row r="67" spans="1:13" x14ac:dyDescent="0.2">
      <c r="A67" s="2202"/>
      <c r="B67" s="2202"/>
      <c r="C67" s="1537"/>
      <c r="D67" s="1537"/>
      <c r="E67" s="1537"/>
      <c r="F67" s="1537"/>
      <c r="G67" s="2202" t="s">
        <v>6699</v>
      </c>
      <c r="H67" s="2202"/>
      <c r="I67" s="2202" t="s">
        <v>6700</v>
      </c>
      <c r="J67" s="2202"/>
      <c r="K67" s="2202"/>
    </row>
    <row r="68" spans="1:13" ht="22.5" x14ac:dyDescent="0.2">
      <c r="A68" s="2202" t="s">
        <v>6715</v>
      </c>
      <c r="B68" s="2202"/>
      <c r="C68" s="2202" t="s">
        <v>6701</v>
      </c>
      <c r="D68" s="2202"/>
      <c r="E68" s="2202" t="s">
        <v>6953</v>
      </c>
      <c r="F68" s="2202" t="s">
        <v>6704</v>
      </c>
      <c r="G68" s="1641" t="s">
        <v>6705</v>
      </c>
      <c r="H68" s="1641" t="s">
        <v>6706</v>
      </c>
      <c r="I68" s="1641" t="s">
        <v>6707</v>
      </c>
      <c r="J68" s="1641" t="s">
        <v>6705</v>
      </c>
      <c r="K68" s="1641" t="s">
        <v>6706</v>
      </c>
    </row>
    <row r="69" spans="1:13" x14ac:dyDescent="0.2">
      <c r="A69" s="2202"/>
      <c r="B69" s="2202"/>
      <c r="C69" s="2202"/>
      <c r="D69" s="2202"/>
      <c r="E69" s="2202"/>
      <c r="F69" s="2202"/>
      <c r="G69" s="1641" t="s">
        <v>6708</v>
      </c>
      <c r="H69" s="1641" t="s">
        <v>6709</v>
      </c>
      <c r="I69" s="1641" t="s">
        <v>6710</v>
      </c>
      <c r="J69" s="1641" t="s">
        <v>6708</v>
      </c>
      <c r="K69" s="1641" t="s">
        <v>6709</v>
      </c>
    </row>
    <row r="70" spans="1:13" x14ac:dyDescent="0.2">
      <c r="A70" s="1641"/>
      <c r="B70" s="1538" t="s">
        <v>7475</v>
      </c>
      <c r="C70" s="1541">
        <v>1</v>
      </c>
      <c r="D70" s="1541"/>
      <c r="E70" s="1544">
        <v>27.8</v>
      </c>
      <c r="F70" s="1541">
        <v>3.2</v>
      </c>
      <c r="G70" s="1540">
        <f>F70*E70</f>
        <v>88.960000000000008</v>
      </c>
      <c r="H70" s="1539">
        <f>F70*E70*D70</f>
        <v>0</v>
      </c>
      <c r="I70" s="1539"/>
      <c r="J70" s="1539">
        <f>C70*G70</f>
        <v>88.960000000000008</v>
      </c>
      <c r="K70" s="1539">
        <f>C70*H70</f>
        <v>0</v>
      </c>
      <c r="L70" s="1602"/>
      <c r="M70" s="617"/>
    </row>
    <row r="71" spans="1:13" x14ac:dyDescent="0.2">
      <c r="A71" s="1641"/>
      <c r="B71" s="1538" t="s">
        <v>7469</v>
      </c>
      <c r="C71" s="1541">
        <v>1</v>
      </c>
      <c r="D71" s="1541"/>
      <c r="E71" s="1544"/>
      <c r="F71" s="1541"/>
      <c r="G71" s="1540">
        <v>41.83</v>
      </c>
      <c r="H71" s="1539">
        <f>F71*E71*D71</f>
        <v>0</v>
      </c>
      <c r="I71" s="1539"/>
      <c r="J71" s="1539">
        <f>C71*G71</f>
        <v>41.83</v>
      </c>
      <c r="K71" s="1539">
        <f>C71*H71</f>
        <v>0</v>
      </c>
      <c r="L71" s="1602"/>
      <c r="M71" s="617"/>
    </row>
    <row r="72" spans="1:13" x14ac:dyDescent="0.2">
      <c r="A72" s="1547"/>
      <c r="B72" s="1548"/>
      <c r="C72" s="1548"/>
      <c r="D72" s="1548"/>
      <c r="E72" s="1548"/>
      <c r="F72" s="2200" t="s">
        <v>6711</v>
      </c>
      <c r="G72" s="2200"/>
      <c r="H72" s="2200"/>
      <c r="I72" s="1549">
        <f>ROUND(SUM(I70:I70),2)</f>
        <v>0</v>
      </c>
      <c r="J72" s="1549">
        <f>ROUND(SUM(J70:J71),2)</f>
        <v>130.79</v>
      </c>
      <c r="K72" s="1549">
        <f>ROUND(SUM(K70:K70),2)</f>
        <v>0</v>
      </c>
      <c r="L72" s="1602"/>
      <c r="M72" s="617"/>
    </row>
    <row r="73" spans="1:13" x14ac:dyDescent="0.2">
      <c r="A73" s="1547"/>
      <c r="B73" s="1548"/>
      <c r="C73" s="1548"/>
      <c r="D73" s="1548"/>
      <c r="E73" s="1548"/>
      <c r="F73" s="2200"/>
      <c r="G73" s="2200"/>
      <c r="H73" s="2200"/>
      <c r="I73" s="1549"/>
      <c r="J73" s="1549"/>
      <c r="K73" s="1549"/>
      <c r="M73" s="617"/>
    </row>
    <row r="74" spans="1:13" x14ac:dyDescent="0.2">
      <c r="A74" s="1641"/>
      <c r="B74" s="2201"/>
      <c r="C74" s="2201"/>
      <c r="D74" s="2201"/>
      <c r="E74" s="2201"/>
      <c r="F74" s="2201"/>
      <c r="G74" s="2201"/>
      <c r="H74" s="2201"/>
      <c r="I74" s="2201"/>
      <c r="J74" s="2201"/>
      <c r="K74" s="1641"/>
      <c r="M74" s="617"/>
    </row>
    <row r="75" spans="1:13" s="1643" customFormat="1" ht="25.5" x14ac:dyDescent="0.2">
      <c r="A75" s="1835" t="str">
        <f>'Orç - Reservatório'!A101</f>
        <v>04.01.604</v>
      </c>
      <c r="B75" s="2207" t="str">
        <f>'Orç - Reservatório'!D101</f>
        <v>Impermeabilização com cristalizante (A+B) tipo Viaplus 5000, com quatro demãos cruzadas, aplicação de tela de poliéster (malha 1x1) na segunda demão (nas superfícies indicadas em projeto)</v>
      </c>
      <c r="C75" s="2207"/>
      <c r="D75" s="2207"/>
      <c r="E75" s="2207"/>
      <c r="F75" s="2207"/>
      <c r="G75" s="2207"/>
      <c r="H75" s="2207"/>
      <c r="I75" s="2207"/>
      <c r="J75" s="2207"/>
      <c r="K75" s="1836" t="str">
        <f>'Orç - Reservatório'!F101</f>
        <v>m2</v>
      </c>
      <c r="L75" s="1837" t="s">
        <v>15154</v>
      </c>
    </row>
    <row r="76" spans="1:13" x14ac:dyDescent="0.2">
      <c r="A76" s="2202"/>
      <c r="B76" s="2202"/>
      <c r="C76" s="1537"/>
      <c r="D76" s="1537"/>
      <c r="E76" s="1537"/>
      <c r="F76" s="1537"/>
      <c r="G76" s="2202" t="s">
        <v>6699</v>
      </c>
      <c r="H76" s="2202"/>
      <c r="I76" s="2202" t="s">
        <v>6700</v>
      </c>
      <c r="J76" s="2202"/>
      <c r="K76" s="2202"/>
    </row>
    <row r="77" spans="1:13" ht="22.5" x14ac:dyDescent="0.2">
      <c r="A77" s="2202" t="s">
        <v>6715</v>
      </c>
      <c r="B77" s="2202"/>
      <c r="C77" s="2202" t="s">
        <v>6701</v>
      </c>
      <c r="D77" s="2202"/>
      <c r="E77" s="2202" t="s">
        <v>6953</v>
      </c>
      <c r="F77" s="2202" t="s">
        <v>6704</v>
      </c>
      <c r="G77" s="1627" t="s">
        <v>6705</v>
      </c>
      <c r="H77" s="1627" t="s">
        <v>6706</v>
      </c>
      <c r="I77" s="1627" t="s">
        <v>6707</v>
      </c>
      <c r="J77" s="1627" t="s">
        <v>6705</v>
      </c>
      <c r="K77" s="1627" t="s">
        <v>6706</v>
      </c>
    </row>
    <row r="78" spans="1:13" x14ac:dyDescent="0.2">
      <c r="A78" s="2202"/>
      <c r="B78" s="2202"/>
      <c r="C78" s="2202"/>
      <c r="D78" s="2202"/>
      <c r="E78" s="2202"/>
      <c r="F78" s="2202"/>
      <c r="G78" s="1627" t="s">
        <v>6708</v>
      </c>
      <c r="H78" s="1627" t="s">
        <v>6709</v>
      </c>
      <c r="I78" s="1627" t="s">
        <v>6710</v>
      </c>
      <c r="J78" s="1627" t="s">
        <v>6708</v>
      </c>
      <c r="K78" s="1627" t="s">
        <v>6709</v>
      </c>
    </row>
    <row r="79" spans="1:13" x14ac:dyDescent="0.2">
      <c r="A79" s="1627"/>
      <c r="B79" s="1538" t="s">
        <v>7465</v>
      </c>
      <c r="C79" s="1541">
        <v>1</v>
      </c>
      <c r="D79" s="1541"/>
      <c r="E79" s="1544"/>
      <c r="F79" s="1541"/>
      <c r="G79" s="1540">
        <v>37.700000000000003</v>
      </c>
      <c r="H79" s="1539">
        <f t="shared" ref="H79:H87" si="4">F79*E79*D79</f>
        <v>0</v>
      </c>
      <c r="I79" s="1539"/>
      <c r="J79" s="1539">
        <f t="shared" ref="J79:J87" si="5">C79*G79</f>
        <v>37.700000000000003</v>
      </c>
      <c r="K79" s="1539">
        <f t="shared" ref="K79:K87" si="6">C79*H79</f>
        <v>0</v>
      </c>
      <c r="L79" s="1602"/>
      <c r="M79" s="617"/>
    </row>
    <row r="80" spans="1:13" x14ac:dyDescent="0.2">
      <c r="A80" s="1641"/>
      <c r="B80" s="1538" t="s">
        <v>7466</v>
      </c>
      <c r="C80" s="1541">
        <v>1</v>
      </c>
      <c r="D80" s="1541"/>
      <c r="E80" s="1544">
        <v>29.8</v>
      </c>
      <c r="F80" s="1541">
        <v>0.65</v>
      </c>
      <c r="G80" s="1540">
        <f>F80*E80</f>
        <v>19.37</v>
      </c>
      <c r="H80" s="1539">
        <f t="shared" si="4"/>
        <v>0</v>
      </c>
      <c r="I80" s="1539"/>
      <c r="J80" s="1539">
        <f t="shared" si="5"/>
        <v>19.37</v>
      </c>
      <c r="K80" s="1539">
        <f t="shared" si="6"/>
        <v>0</v>
      </c>
      <c r="L80" s="1602"/>
      <c r="M80" s="617"/>
    </row>
    <row r="81" spans="1:13" x14ac:dyDescent="0.2">
      <c r="A81" s="1641"/>
      <c r="B81" s="1538" t="s">
        <v>7467</v>
      </c>
      <c r="C81" s="1541">
        <v>1</v>
      </c>
      <c r="D81" s="1541"/>
      <c r="E81" s="1544">
        <v>18.88</v>
      </c>
      <c r="F81" s="1541">
        <v>2.25</v>
      </c>
      <c r="G81" s="1540">
        <f>F81*E81</f>
        <v>42.48</v>
      </c>
      <c r="H81" s="1539">
        <f t="shared" si="4"/>
        <v>0</v>
      </c>
      <c r="I81" s="1539"/>
      <c r="J81" s="1539">
        <f t="shared" si="5"/>
        <v>42.48</v>
      </c>
      <c r="K81" s="1539">
        <f t="shared" si="6"/>
        <v>0</v>
      </c>
      <c r="L81" s="1602"/>
      <c r="M81" s="617"/>
    </row>
    <row r="82" spans="1:13" x14ac:dyDescent="0.2">
      <c r="A82" s="1641"/>
      <c r="B82" s="1538" t="s">
        <v>7468</v>
      </c>
      <c r="C82" s="1541">
        <v>1</v>
      </c>
      <c r="D82" s="1541"/>
      <c r="E82" s="1544">
        <v>13.7</v>
      </c>
      <c r="F82" s="1541">
        <v>2.25</v>
      </c>
      <c r="G82" s="1540">
        <f>F82*E82</f>
        <v>30.824999999999999</v>
      </c>
      <c r="H82" s="1539">
        <f t="shared" si="4"/>
        <v>0</v>
      </c>
      <c r="I82" s="1539"/>
      <c r="J82" s="1539">
        <f t="shared" si="5"/>
        <v>30.824999999999999</v>
      </c>
      <c r="K82" s="1539">
        <f t="shared" si="6"/>
        <v>0</v>
      </c>
      <c r="L82" s="1602"/>
      <c r="M82" s="617"/>
    </row>
    <row r="83" spans="1:13" x14ac:dyDescent="0.2">
      <c r="A83" s="1641"/>
      <c r="B83" s="1538" t="s">
        <v>7469</v>
      </c>
      <c r="C83" s="1541">
        <v>1</v>
      </c>
      <c r="D83" s="1541"/>
      <c r="E83" s="1544"/>
      <c r="F83" s="1541"/>
      <c r="G83" s="1540">
        <v>27.2</v>
      </c>
      <c r="H83" s="1539">
        <f t="shared" si="4"/>
        <v>0</v>
      </c>
      <c r="I83" s="1539"/>
      <c r="J83" s="1539">
        <f t="shared" si="5"/>
        <v>27.2</v>
      </c>
      <c r="K83" s="1539">
        <f t="shared" si="6"/>
        <v>0</v>
      </c>
      <c r="L83" s="1602"/>
      <c r="M83" s="617"/>
    </row>
    <row r="84" spans="1:13" x14ac:dyDescent="0.2">
      <c r="A84" s="1641"/>
      <c r="B84" s="1538" t="s">
        <v>7470</v>
      </c>
      <c r="C84" s="1541">
        <v>1</v>
      </c>
      <c r="D84" s="1541"/>
      <c r="E84" s="1544"/>
      <c r="F84" s="1541"/>
      <c r="G84" s="1540">
        <v>10.6</v>
      </c>
      <c r="H84" s="1539">
        <f t="shared" si="4"/>
        <v>0</v>
      </c>
      <c r="I84" s="1539"/>
      <c r="J84" s="1539">
        <f t="shared" si="5"/>
        <v>10.6</v>
      </c>
      <c r="K84" s="1539">
        <f t="shared" si="6"/>
        <v>0</v>
      </c>
      <c r="L84" s="1602"/>
      <c r="M84" s="617"/>
    </row>
    <row r="85" spans="1:13" x14ac:dyDescent="0.2">
      <c r="A85" s="1641"/>
      <c r="B85" s="1538" t="s">
        <v>7471</v>
      </c>
      <c r="C85" s="1541">
        <v>2</v>
      </c>
      <c r="D85" s="1541"/>
      <c r="E85" s="1544"/>
      <c r="F85" s="1541"/>
      <c r="G85" s="1540">
        <v>7.5</v>
      </c>
      <c r="H85" s="1539">
        <f t="shared" si="4"/>
        <v>0</v>
      </c>
      <c r="I85" s="1539"/>
      <c r="J85" s="1539">
        <f t="shared" si="5"/>
        <v>15</v>
      </c>
      <c r="K85" s="1539">
        <f t="shared" si="6"/>
        <v>0</v>
      </c>
      <c r="L85" s="1602"/>
      <c r="M85" s="617"/>
    </row>
    <row r="86" spans="1:13" x14ac:dyDescent="0.2">
      <c r="A86" s="1641"/>
      <c r="B86" s="1538" t="s">
        <v>7472</v>
      </c>
      <c r="C86" s="1541">
        <v>2</v>
      </c>
      <c r="D86" s="1541"/>
      <c r="E86" s="1544"/>
      <c r="F86" s="1541"/>
      <c r="G86" s="1540">
        <v>7.5</v>
      </c>
      <c r="H86" s="1539">
        <f t="shared" si="4"/>
        <v>0</v>
      </c>
      <c r="I86" s="1539"/>
      <c r="J86" s="1539">
        <f t="shared" si="5"/>
        <v>15</v>
      </c>
      <c r="K86" s="1539">
        <f t="shared" si="6"/>
        <v>0</v>
      </c>
      <c r="L86" s="1602"/>
      <c r="M86" s="617"/>
    </row>
    <row r="87" spans="1:13" x14ac:dyDescent="0.2">
      <c r="A87" s="1641"/>
      <c r="B87" s="1538" t="s">
        <v>7473</v>
      </c>
      <c r="C87" s="1541">
        <v>2</v>
      </c>
      <c r="D87" s="1541"/>
      <c r="E87" s="1544">
        <v>11</v>
      </c>
      <c r="F87" s="1541">
        <v>2.1</v>
      </c>
      <c r="G87" s="1540">
        <f>F87*E87</f>
        <v>23.1</v>
      </c>
      <c r="H87" s="1539">
        <f t="shared" si="4"/>
        <v>0</v>
      </c>
      <c r="I87" s="1539"/>
      <c r="J87" s="1539">
        <f t="shared" si="5"/>
        <v>46.2</v>
      </c>
      <c r="K87" s="1539">
        <f t="shared" si="6"/>
        <v>0</v>
      </c>
      <c r="L87" s="1602"/>
      <c r="M87" s="617"/>
    </row>
    <row r="88" spans="1:13" x14ac:dyDescent="0.2">
      <c r="A88" s="1547"/>
      <c r="B88" s="1548"/>
      <c r="C88" s="1548"/>
      <c r="D88" s="1548"/>
      <c r="E88" s="1548"/>
      <c r="F88" s="2200" t="s">
        <v>6711</v>
      </c>
      <c r="G88" s="2200"/>
      <c r="H88" s="2200"/>
      <c r="I88" s="1549">
        <f>ROUND(SUM(I79:I79),2)</f>
        <v>0</v>
      </c>
      <c r="J88" s="1549">
        <f>ROUND(SUM(J79:J87),2)</f>
        <v>244.38</v>
      </c>
      <c r="K88" s="1549">
        <f>ROUND(SUM(K79:K79),2)</f>
        <v>0</v>
      </c>
      <c r="L88" s="1602"/>
      <c r="M88" s="617"/>
    </row>
    <row r="89" spans="1:13" x14ac:dyDescent="0.2">
      <c r="A89" s="1547"/>
      <c r="B89" s="1548"/>
      <c r="C89" s="1548"/>
      <c r="D89" s="1548"/>
      <c r="E89" s="1548"/>
      <c r="F89" s="2200"/>
      <c r="G89" s="2200"/>
      <c r="H89" s="2200"/>
      <c r="I89" s="1549"/>
      <c r="J89" s="1549"/>
      <c r="K89" s="1549"/>
      <c r="M89" s="617"/>
    </row>
  </sheetData>
  <mergeCells count="97">
    <mergeCell ref="F30:H30"/>
    <mergeCell ref="B50:J50"/>
    <mergeCell ref="A51:B51"/>
    <mergeCell ref="G51:H51"/>
    <mergeCell ref="B31:J31"/>
    <mergeCell ref="A43:B44"/>
    <mergeCell ref="C43:C44"/>
    <mergeCell ref="D43:D44"/>
    <mergeCell ref="E43:E44"/>
    <mergeCell ref="F39:H39"/>
    <mergeCell ref="B40:J40"/>
    <mergeCell ref="D38:E38"/>
    <mergeCell ref="B32:J32"/>
    <mergeCell ref="A33:B33"/>
    <mergeCell ref="G33:H33"/>
    <mergeCell ref="I33:K33"/>
    <mergeCell ref="I51:K51"/>
    <mergeCell ref="B41:J41"/>
    <mergeCell ref="A42:B42"/>
    <mergeCell ref="G42:H42"/>
    <mergeCell ref="I42:K42"/>
    <mergeCell ref="E15:E16"/>
    <mergeCell ref="F23:H23"/>
    <mergeCell ref="B24:J24"/>
    <mergeCell ref="F15:F16"/>
    <mergeCell ref="A15:B16"/>
    <mergeCell ref="C15:C16"/>
    <mergeCell ref="D15:D16"/>
    <mergeCell ref="A2:K2"/>
    <mergeCell ref="A3:K3"/>
    <mergeCell ref="A4:K4"/>
    <mergeCell ref="A7:K7"/>
    <mergeCell ref="B9:J9"/>
    <mergeCell ref="B10:J10"/>
    <mergeCell ref="B11:J11"/>
    <mergeCell ref="B12:J12"/>
    <mergeCell ref="B13:J13"/>
    <mergeCell ref="A14:B14"/>
    <mergeCell ref="G14:H14"/>
    <mergeCell ref="I14:K14"/>
    <mergeCell ref="B66:J66"/>
    <mergeCell ref="A52:B53"/>
    <mergeCell ref="B58:J58"/>
    <mergeCell ref="F64:H64"/>
    <mergeCell ref="A60:B60"/>
    <mergeCell ref="G60:H60"/>
    <mergeCell ref="I60:K60"/>
    <mergeCell ref="B59:J59"/>
    <mergeCell ref="E52:E53"/>
    <mergeCell ref="F52:F53"/>
    <mergeCell ref="F57:H57"/>
    <mergeCell ref="C77:C78"/>
    <mergeCell ref="D77:D78"/>
    <mergeCell ref="E77:E78"/>
    <mergeCell ref="F43:F44"/>
    <mergeCell ref="F48:H48"/>
    <mergeCell ref="B49:J49"/>
    <mergeCell ref="A67:B67"/>
    <mergeCell ref="G67:H67"/>
    <mergeCell ref="I67:K67"/>
    <mergeCell ref="A61:B62"/>
    <mergeCell ref="C61:C62"/>
    <mergeCell ref="D61:D62"/>
    <mergeCell ref="E61:E62"/>
    <mergeCell ref="F61:F62"/>
    <mergeCell ref="C52:C53"/>
    <mergeCell ref="D52:D53"/>
    <mergeCell ref="F89:H89"/>
    <mergeCell ref="C68:C69"/>
    <mergeCell ref="D68:D69"/>
    <mergeCell ref="E68:E69"/>
    <mergeCell ref="F68:F69"/>
    <mergeCell ref="F72:H72"/>
    <mergeCell ref="F77:F78"/>
    <mergeCell ref="F88:H88"/>
    <mergeCell ref="F73:H73"/>
    <mergeCell ref="B74:J74"/>
    <mergeCell ref="B75:J75"/>
    <mergeCell ref="A76:B76"/>
    <mergeCell ref="G76:H76"/>
    <mergeCell ref="I76:K76"/>
    <mergeCell ref="A68:B69"/>
    <mergeCell ref="A77:B78"/>
    <mergeCell ref="B25:J25"/>
    <mergeCell ref="A26:B26"/>
    <mergeCell ref="G26:H26"/>
    <mergeCell ref="I26:K26"/>
    <mergeCell ref="A27:B28"/>
    <mergeCell ref="C27:C28"/>
    <mergeCell ref="D27:D28"/>
    <mergeCell ref="E27:E28"/>
    <mergeCell ref="F27:F28"/>
    <mergeCell ref="A34:B35"/>
    <mergeCell ref="C34:C35"/>
    <mergeCell ref="D34:D35"/>
    <mergeCell ref="E34:E35"/>
    <mergeCell ref="F34:F35"/>
  </mergeCells>
  <pageMargins left="0.39370078740157483" right="0.39370078740157483" top="0.39370078740157483" bottom="0.98425196850393704" header="0" footer="0.39370078740157483"/>
  <pageSetup paperSize="9" scale="91" firstPageNumber="245" fitToHeight="30" orientation="portrait" useFirstPageNumber="1" r:id="rId1"/>
  <headerFooter>
    <oddFooter>&amp;RPágina &amp;P de 249</oddFooter>
  </headerFooter>
  <rowBreaks count="1" manualBreakCount="1">
    <brk id="49"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0">
    <pageSetUpPr fitToPage="1"/>
  </sheetPr>
  <dimension ref="A1:N99"/>
  <sheetViews>
    <sheetView view="pageBreakPreview" zoomScale="130" zoomScaleNormal="145" zoomScaleSheetLayoutView="130" zoomScalePageLayoutView="85" workbookViewId="0">
      <selection activeCell="B13" sqref="B13"/>
    </sheetView>
  </sheetViews>
  <sheetFormatPr defaultRowHeight="12.75" x14ac:dyDescent="0.2"/>
  <cols>
    <col min="1" max="1" width="10.5703125" style="1608" customWidth="1"/>
    <col min="2" max="2" width="37.5703125" style="1612" customWidth="1"/>
    <col min="3" max="3" width="10" style="1611" customWidth="1"/>
    <col min="4" max="6" width="11.5703125" style="1610" customWidth="1"/>
    <col min="7" max="7" width="9.140625" style="1611"/>
    <col min="8" max="13" width="9.140625" style="1609"/>
    <col min="14" max="16384" width="9.140625" style="1608"/>
  </cols>
  <sheetData>
    <row r="1" spans="1:14" s="1480" customFormat="1" ht="15" x14ac:dyDescent="0.2">
      <c r="A1" s="184"/>
      <c r="B1" s="184"/>
      <c r="C1" s="1733"/>
      <c r="D1" s="62"/>
      <c r="E1" s="68"/>
      <c r="F1" s="63"/>
      <c r="G1" s="185"/>
      <c r="H1" s="1719"/>
      <c r="I1" s="185"/>
      <c r="J1" s="1722"/>
      <c r="K1" s="1683"/>
      <c r="L1" s="1684"/>
      <c r="M1" s="2"/>
      <c r="N1" s="2"/>
    </row>
    <row r="2" spans="1:14" s="1480" customFormat="1" x14ac:dyDescent="0.2">
      <c r="A2" s="2206" t="s">
        <v>34</v>
      </c>
      <c r="B2" s="2206"/>
      <c r="C2" s="2206"/>
      <c r="D2" s="2206"/>
      <c r="E2" s="2206"/>
      <c r="F2" s="2206"/>
      <c r="G2" s="2206"/>
      <c r="H2" s="2206"/>
      <c r="I2" s="1731"/>
      <c r="J2" s="1731"/>
      <c r="K2" s="1731"/>
      <c r="L2" s="38"/>
      <c r="M2" s="38"/>
      <c r="N2" s="39"/>
    </row>
    <row r="3" spans="1:14" s="1480" customFormat="1" x14ac:dyDescent="0.2">
      <c r="A3" s="2206" t="s">
        <v>35</v>
      </c>
      <c r="B3" s="2206"/>
      <c r="C3" s="2206"/>
      <c r="D3" s="2206"/>
      <c r="E3" s="2206"/>
      <c r="F3" s="2206"/>
      <c r="G3" s="2206"/>
      <c r="H3" s="2206"/>
      <c r="I3" s="1731"/>
      <c r="J3" s="1731"/>
      <c r="K3" s="1731"/>
      <c r="L3" s="38"/>
      <c r="M3" s="38"/>
      <c r="N3" s="39"/>
    </row>
    <row r="4" spans="1:14" s="1480" customFormat="1" x14ac:dyDescent="0.2">
      <c r="A4" s="2206" t="s">
        <v>4980</v>
      </c>
      <c r="B4" s="2206"/>
      <c r="C4" s="2206"/>
      <c r="D4" s="2206"/>
      <c r="E4" s="2206"/>
      <c r="F4" s="2206"/>
      <c r="G4" s="2206"/>
      <c r="H4" s="2206"/>
      <c r="I4" s="1731"/>
      <c r="J4" s="1731"/>
      <c r="K4" s="1731"/>
      <c r="L4" s="38"/>
      <c r="M4" s="38"/>
      <c r="N4" s="39"/>
    </row>
    <row r="5" spans="1:14" s="1480" customFormat="1" ht="15" x14ac:dyDescent="0.2">
      <c r="A5" s="56"/>
      <c r="B5" s="56"/>
      <c r="C5" s="56"/>
      <c r="D5" s="57" t="s">
        <v>29</v>
      </c>
      <c r="E5" s="1503"/>
      <c r="F5" s="1717"/>
      <c r="G5" s="64"/>
      <c r="H5" s="195"/>
      <c r="I5" s="64"/>
      <c r="J5" s="1721"/>
      <c r="K5" s="1685"/>
      <c r="L5" s="38"/>
      <c r="M5" s="38"/>
      <c r="N5" s="39"/>
    </row>
    <row r="6" spans="1:14" s="1480" customFormat="1" ht="15" x14ac:dyDescent="0.2">
      <c r="A6" s="56"/>
      <c r="B6" s="56"/>
      <c r="C6" s="56"/>
      <c r="D6" s="57"/>
      <c r="E6" s="1503"/>
      <c r="F6" s="65"/>
      <c r="G6" s="185"/>
      <c r="H6" s="1719"/>
      <c r="I6" s="185"/>
      <c r="J6" s="1722"/>
      <c r="K6" s="1683"/>
      <c r="L6" s="1684"/>
      <c r="M6" s="2"/>
      <c r="N6" s="2"/>
    </row>
    <row r="7" spans="1:14" s="1480" customFormat="1" ht="15.75" x14ac:dyDescent="0.2">
      <c r="A7" s="2205" t="s">
        <v>7851</v>
      </c>
      <c r="B7" s="2205"/>
      <c r="C7" s="2205"/>
      <c r="D7" s="2205"/>
      <c r="E7" s="2205"/>
      <c r="F7" s="2205"/>
      <c r="G7" s="2205"/>
      <c r="H7" s="2205"/>
      <c r="I7" s="1729"/>
      <c r="J7" s="1729"/>
      <c r="K7" s="1729"/>
      <c r="L7" s="38"/>
      <c r="M7" s="38"/>
      <c r="N7" s="39"/>
    </row>
    <row r="8" spans="1:14" s="1480" customFormat="1" ht="15" x14ac:dyDescent="0.2">
      <c r="A8" s="56"/>
      <c r="B8" s="56"/>
      <c r="C8" s="56"/>
      <c r="D8" s="57"/>
      <c r="E8" s="1503"/>
      <c r="F8" s="1717"/>
      <c r="G8" s="64"/>
      <c r="H8" s="195"/>
      <c r="I8" s="64"/>
      <c r="J8" s="1721"/>
      <c r="K8" s="1685"/>
      <c r="L8" s="38"/>
      <c r="M8" s="38"/>
      <c r="N8" s="39"/>
    </row>
    <row r="9" spans="1:14" s="6" customFormat="1" x14ac:dyDescent="0.2">
      <c r="A9" s="1730" t="s">
        <v>4443</v>
      </c>
      <c r="B9" s="2204" t="str">
        <f>'Orç - Canteiro e Adm'!B9:J9</f>
        <v>Construção do Edifício ULEG-FM</v>
      </c>
      <c r="C9" s="2204"/>
      <c r="D9" s="2204"/>
      <c r="E9" s="2204"/>
      <c r="F9" s="2204"/>
      <c r="G9" s="2204"/>
      <c r="H9" s="2204"/>
      <c r="I9" s="1732"/>
      <c r="J9" s="1732"/>
      <c r="K9" s="1685"/>
      <c r="L9" s="1685"/>
      <c r="M9" s="2"/>
      <c r="N9" s="2"/>
    </row>
    <row r="10" spans="1:14" s="1480" customFormat="1" x14ac:dyDescent="0.2">
      <c r="A10" s="1730" t="s">
        <v>128</v>
      </c>
      <c r="B10" s="2204" t="str">
        <f>'Orç - Canteiro e Adm'!B10:J10</f>
        <v>Campus Darcy Ribeiro</v>
      </c>
      <c r="C10" s="2204"/>
      <c r="D10" s="2204"/>
      <c r="E10" s="2204"/>
      <c r="F10" s="2204"/>
      <c r="G10" s="2204"/>
      <c r="H10" s="2204"/>
      <c r="I10" s="1732"/>
      <c r="J10" s="1732"/>
      <c r="K10" s="1685"/>
      <c r="L10" s="1685"/>
      <c r="M10" s="2"/>
      <c r="N10" s="2"/>
    </row>
    <row r="11" spans="1:14" s="1480" customFormat="1" x14ac:dyDescent="0.2">
      <c r="A11" s="1730" t="s">
        <v>4444</v>
      </c>
      <c r="B11" s="2204" t="str">
        <f>'Orç - Canteiro e Adm'!B11:J11</f>
        <v>Maio de 2020</v>
      </c>
      <c r="C11" s="2204"/>
      <c r="D11" s="2204"/>
      <c r="E11" s="2204"/>
      <c r="F11" s="2204"/>
      <c r="G11" s="2204"/>
      <c r="H11" s="2204"/>
      <c r="I11" s="1732"/>
      <c r="J11" s="1732"/>
      <c r="K11" s="1685"/>
      <c r="L11" s="1685"/>
      <c r="M11" s="2"/>
      <c r="N11" s="2"/>
    </row>
    <row r="12" spans="1:14" s="614" customFormat="1" x14ac:dyDescent="0.2">
      <c r="A12" s="1718"/>
      <c r="B12" s="2201"/>
      <c r="C12" s="2201"/>
      <c r="D12" s="2201"/>
      <c r="E12" s="2201"/>
      <c r="F12" s="2201"/>
      <c r="G12" s="2201"/>
      <c r="H12" s="2201"/>
      <c r="I12" s="2201"/>
      <c r="J12" s="2201"/>
      <c r="K12" s="1718"/>
    </row>
    <row r="13" spans="1:14" s="1842" customFormat="1" ht="33.75" x14ac:dyDescent="0.2">
      <c r="B13" s="1843" t="s">
        <v>6959</v>
      </c>
      <c r="C13" s="1844" t="s">
        <v>8557</v>
      </c>
      <c r="D13" s="1844" t="s">
        <v>8556</v>
      </c>
      <c r="E13" s="1844" t="s">
        <v>8558</v>
      </c>
      <c r="F13" s="1844" t="s">
        <v>8559</v>
      </c>
      <c r="G13" s="1844" t="s">
        <v>7484</v>
      </c>
      <c r="H13" s="1845"/>
      <c r="I13" s="1845"/>
      <c r="J13" s="1845"/>
      <c r="K13" s="1845"/>
      <c r="L13" s="1845"/>
      <c r="M13" s="1845"/>
    </row>
    <row r="14" spans="1:14" ht="22.5" x14ac:dyDescent="0.2">
      <c r="B14" s="1613" t="s">
        <v>5922</v>
      </c>
      <c r="C14" s="1734"/>
      <c r="D14" s="1614">
        <f>235.64+0.96</f>
        <v>236.6</v>
      </c>
      <c r="E14" s="1614">
        <f>157.32+0.96</f>
        <v>158.28</v>
      </c>
      <c r="F14" s="1614">
        <v>3</v>
      </c>
      <c r="G14" s="1614">
        <f>F14+E14+D14</f>
        <v>397.88</v>
      </c>
    </row>
    <row r="15" spans="1:14" ht="22.5" x14ac:dyDescent="0.2">
      <c r="B15" s="1613" t="s">
        <v>5923</v>
      </c>
      <c r="C15" s="1734">
        <v>10.11</v>
      </c>
      <c r="D15" s="1614">
        <f>98.67</f>
        <v>98.67</v>
      </c>
      <c r="E15" s="1614">
        <v>79.09</v>
      </c>
      <c r="F15" s="1614"/>
      <c r="G15" s="1614">
        <f t="shared" ref="G15:G78" si="0">F15+E15+D15</f>
        <v>177.76</v>
      </c>
    </row>
    <row r="16" spans="1:14" ht="22.5" x14ac:dyDescent="0.2">
      <c r="B16" s="1613" t="s">
        <v>5924</v>
      </c>
      <c r="C16" s="1734"/>
      <c r="D16" s="1614">
        <v>66.319999999999993</v>
      </c>
      <c r="E16" s="1614">
        <v>47.8</v>
      </c>
      <c r="F16" s="1614"/>
      <c r="G16" s="1614">
        <f t="shared" si="0"/>
        <v>114.11999999999999</v>
      </c>
    </row>
    <row r="17" spans="2:7" ht="22.5" x14ac:dyDescent="0.2">
      <c r="B17" s="1613" t="s">
        <v>5925</v>
      </c>
      <c r="C17" s="1734">
        <v>25.16</v>
      </c>
      <c r="D17" s="1614">
        <f>29.25+39.03-25.16</f>
        <v>43.120000000000005</v>
      </c>
      <c r="E17" s="1614">
        <f>65.49+3.75</f>
        <v>69.239999999999995</v>
      </c>
      <c r="F17" s="1614">
        <f>12.1+25.72+1</f>
        <v>38.82</v>
      </c>
      <c r="G17" s="1614">
        <f t="shared" si="0"/>
        <v>151.18</v>
      </c>
    </row>
    <row r="18" spans="2:7" ht="22.5" x14ac:dyDescent="0.2">
      <c r="B18" s="1613" t="s">
        <v>5926</v>
      </c>
      <c r="C18" s="1734"/>
      <c r="D18" s="1614">
        <v>13.99</v>
      </c>
      <c r="E18" s="1614">
        <v>17.149999999999999</v>
      </c>
      <c r="F18" s="1614"/>
      <c r="G18" s="1614">
        <f t="shared" si="0"/>
        <v>31.14</v>
      </c>
    </row>
    <row r="19" spans="2:7" ht="22.5" x14ac:dyDescent="0.2">
      <c r="B19" s="1613" t="s">
        <v>5927</v>
      </c>
      <c r="C19" s="1734"/>
      <c r="D19" s="1614">
        <v>0.82</v>
      </c>
      <c r="E19" s="1614">
        <v>10.210000000000001</v>
      </c>
      <c r="F19" s="1614">
        <v>42.01</v>
      </c>
      <c r="G19" s="1614">
        <f t="shared" si="0"/>
        <v>53.04</v>
      </c>
    </row>
    <row r="20" spans="2:7" ht="33.75" x14ac:dyDescent="0.2">
      <c r="B20" s="1613" t="s">
        <v>6689</v>
      </c>
      <c r="C20" s="1734">
        <v>2</v>
      </c>
      <c r="D20" s="1614">
        <v>1</v>
      </c>
      <c r="E20" s="1614"/>
      <c r="F20" s="1614"/>
      <c r="G20" s="1614">
        <f t="shared" si="0"/>
        <v>1</v>
      </c>
    </row>
    <row r="21" spans="2:7" ht="33.75" x14ac:dyDescent="0.2">
      <c r="B21" s="1613" t="s">
        <v>5928</v>
      </c>
      <c r="C21" s="1734">
        <v>2</v>
      </c>
      <c r="D21" s="1614"/>
      <c r="E21" s="1614"/>
      <c r="F21" s="1614">
        <v>4</v>
      </c>
      <c r="G21" s="1614">
        <f t="shared" si="0"/>
        <v>4</v>
      </c>
    </row>
    <row r="22" spans="2:7" ht="33.75" x14ac:dyDescent="0.2">
      <c r="B22" s="1613" t="s">
        <v>5929</v>
      </c>
      <c r="C22" s="1734"/>
      <c r="D22" s="1614"/>
      <c r="E22" s="1614"/>
      <c r="F22" s="1614">
        <v>5</v>
      </c>
      <c r="G22" s="1614">
        <f t="shared" si="0"/>
        <v>5</v>
      </c>
    </row>
    <row r="23" spans="2:7" ht="33.75" x14ac:dyDescent="0.2">
      <c r="B23" s="1613" t="s">
        <v>5930</v>
      </c>
      <c r="C23" s="1734"/>
      <c r="D23" s="1614">
        <v>30</v>
      </c>
      <c r="E23" s="1614">
        <v>33</v>
      </c>
      <c r="F23" s="1614"/>
      <c r="G23" s="1614">
        <f t="shared" si="0"/>
        <v>63</v>
      </c>
    </row>
    <row r="24" spans="2:7" ht="33.75" x14ac:dyDescent="0.2">
      <c r="B24" s="1613" t="s">
        <v>5931</v>
      </c>
      <c r="C24" s="1734">
        <v>1</v>
      </c>
      <c r="D24" s="1614">
        <v>12</v>
      </c>
      <c r="E24" s="1614">
        <v>8</v>
      </c>
      <c r="F24" s="1614"/>
      <c r="G24" s="1614">
        <f t="shared" si="0"/>
        <v>20</v>
      </c>
    </row>
    <row r="25" spans="2:7" ht="33.75" x14ac:dyDescent="0.2">
      <c r="B25" s="1613" t="s">
        <v>5932</v>
      </c>
      <c r="C25" s="1734">
        <v>8</v>
      </c>
      <c r="D25" s="1614">
        <v>9</v>
      </c>
      <c r="E25" s="1614">
        <v>9</v>
      </c>
      <c r="F25" s="1614">
        <v>4</v>
      </c>
      <c r="G25" s="1614">
        <f t="shared" si="0"/>
        <v>22</v>
      </c>
    </row>
    <row r="26" spans="2:7" ht="33.75" x14ac:dyDescent="0.2">
      <c r="B26" s="1613" t="s">
        <v>6697</v>
      </c>
      <c r="C26" s="1734"/>
      <c r="D26" s="1614"/>
      <c r="E26" s="1614"/>
      <c r="F26" s="1614">
        <v>10</v>
      </c>
      <c r="G26" s="1614">
        <f t="shared" si="0"/>
        <v>10</v>
      </c>
    </row>
    <row r="27" spans="2:7" x14ac:dyDescent="0.2">
      <c r="B27" s="1613" t="s">
        <v>5933</v>
      </c>
      <c r="C27" s="1734"/>
      <c r="D27" s="1614">
        <v>1</v>
      </c>
      <c r="E27" s="1614">
        <v>2</v>
      </c>
      <c r="F27" s="1614"/>
      <c r="G27" s="1614">
        <f t="shared" si="0"/>
        <v>3</v>
      </c>
    </row>
    <row r="28" spans="2:7" x14ac:dyDescent="0.2">
      <c r="B28" s="1613" t="s">
        <v>5934</v>
      </c>
      <c r="C28" s="1734"/>
      <c r="D28" s="1614">
        <v>3</v>
      </c>
      <c r="E28" s="1614">
        <v>3</v>
      </c>
      <c r="F28" s="1614"/>
      <c r="G28" s="1614">
        <f t="shared" si="0"/>
        <v>6</v>
      </c>
    </row>
    <row r="29" spans="2:7" x14ac:dyDescent="0.2">
      <c r="B29" s="1613" t="s">
        <v>5935</v>
      </c>
      <c r="C29" s="1734"/>
      <c r="D29" s="1614">
        <v>1</v>
      </c>
      <c r="E29" s="1614">
        <v>1</v>
      </c>
      <c r="F29" s="1614"/>
      <c r="G29" s="1614">
        <f t="shared" si="0"/>
        <v>2</v>
      </c>
    </row>
    <row r="30" spans="2:7" x14ac:dyDescent="0.2">
      <c r="B30" s="1613" t="s">
        <v>5936</v>
      </c>
      <c r="C30" s="1734"/>
      <c r="D30" s="1614">
        <v>9</v>
      </c>
      <c r="E30" s="1614">
        <v>11</v>
      </c>
      <c r="F30" s="1614"/>
      <c r="G30" s="1614">
        <f t="shared" si="0"/>
        <v>20</v>
      </c>
    </row>
    <row r="31" spans="2:7" x14ac:dyDescent="0.2">
      <c r="B31" s="1613" t="s">
        <v>5937</v>
      </c>
      <c r="C31" s="1734"/>
      <c r="D31" s="1614">
        <v>1</v>
      </c>
      <c r="E31" s="1614">
        <v>1</v>
      </c>
      <c r="F31" s="1614"/>
      <c r="G31" s="1614">
        <f t="shared" si="0"/>
        <v>2</v>
      </c>
    </row>
    <row r="32" spans="2:7" x14ac:dyDescent="0.2">
      <c r="B32" s="1613" t="s">
        <v>5938</v>
      </c>
      <c r="C32" s="1734"/>
      <c r="D32" s="1614">
        <v>2</v>
      </c>
      <c r="E32" s="1614"/>
      <c r="F32" s="1614"/>
      <c r="G32" s="1614">
        <f t="shared" si="0"/>
        <v>2</v>
      </c>
    </row>
    <row r="33" spans="2:7" x14ac:dyDescent="0.2">
      <c r="B33" s="1613" t="s">
        <v>5939</v>
      </c>
      <c r="C33" s="1734"/>
      <c r="D33" s="1614">
        <v>1</v>
      </c>
      <c r="E33" s="1614"/>
      <c r="F33" s="1614"/>
      <c r="G33" s="1614">
        <f t="shared" si="0"/>
        <v>1</v>
      </c>
    </row>
    <row r="34" spans="2:7" x14ac:dyDescent="0.2">
      <c r="B34" s="1613" t="s">
        <v>5940</v>
      </c>
      <c r="C34" s="1734"/>
      <c r="D34" s="1614"/>
      <c r="E34" s="1614">
        <f>1+2</f>
        <v>3</v>
      </c>
      <c r="F34" s="1614"/>
      <c r="G34" s="1614">
        <f t="shared" si="0"/>
        <v>3</v>
      </c>
    </row>
    <row r="35" spans="2:7" x14ac:dyDescent="0.2">
      <c r="B35" s="1613" t="s">
        <v>5948</v>
      </c>
      <c r="C35" s="1734"/>
      <c r="D35" s="1614">
        <v>44</v>
      </c>
      <c r="E35" s="1614"/>
      <c r="F35" s="1614"/>
      <c r="G35" s="1614">
        <f t="shared" si="0"/>
        <v>44</v>
      </c>
    </row>
    <row r="36" spans="2:7" ht="22.5" x14ac:dyDescent="0.2">
      <c r="B36" s="1613" t="s">
        <v>5950</v>
      </c>
      <c r="C36" s="1734"/>
      <c r="D36" s="1614">
        <v>1</v>
      </c>
      <c r="E36" s="1614"/>
      <c r="F36" s="1614"/>
      <c r="G36" s="1614">
        <f t="shared" si="0"/>
        <v>1</v>
      </c>
    </row>
    <row r="37" spans="2:7" ht="22.5" x14ac:dyDescent="0.2">
      <c r="B37" s="1613" t="s">
        <v>5951</v>
      </c>
      <c r="C37" s="1734"/>
      <c r="D37" s="1614"/>
      <c r="E37" s="1614"/>
      <c r="F37" s="1614">
        <v>2</v>
      </c>
      <c r="G37" s="1614">
        <f t="shared" si="0"/>
        <v>2</v>
      </c>
    </row>
    <row r="38" spans="2:7" ht="22.5" x14ac:dyDescent="0.2">
      <c r="B38" s="1613" t="s">
        <v>6688</v>
      </c>
      <c r="C38" s="1734">
        <v>1</v>
      </c>
      <c r="D38" s="1614"/>
      <c r="E38" s="1614"/>
      <c r="F38" s="1614"/>
      <c r="G38" s="1614">
        <f t="shared" si="0"/>
        <v>0</v>
      </c>
    </row>
    <row r="39" spans="2:7" ht="22.5" x14ac:dyDescent="0.2">
      <c r="B39" s="1613" t="s">
        <v>5952</v>
      </c>
      <c r="C39" s="1734"/>
      <c r="D39" s="1614">
        <v>116</v>
      </c>
      <c r="E39" s="1614">
        <v>48</v>
      </c>
      <c r="F39" s="1614">
        <v>1</v>
      </c>
      <c r="G39" s="1614">
        <f t="shared" si="0"/>
        <v>165</v>
      </c>
    </row>
    <row r="40" spans="2:7" ht="22.5" x14ac:dyDescent="0.2">
      <c r="B40" s="1613" t="s">
        <v>5953</v>
      </c>
      <c r="C40" s="1734">
        <v>4</v>
      </c>
      <c r="D40" s="1614">
        <v>17</v>
      </c>
      <c r="E40" s="1614">
        <v>11</v>
      </c>
      <c r="F40" s="1614"/>
      <c r="G40" s="1614">
        <f t="shared" si="0"/>
        <v>28</v>
      </c>
    </row>
    <row r="41" spans="2:7" ht="22.5" x14ac:dyDescent="0.2">
      <c r="B41" s="1613" t="s">
        <v>5954</v>
      </c>
      <c r="C41" s="1734"/>
      <c r="D41" s="1614">
        <v>3</v>
      </c>
      <c r="E41" s="1614">
        <v>3</v>
      </c>
      <c r="F41" s="1614"/>
      <c r="G41" s="1614">
        <f t="shared" si="0"/>
        <v>6</v>
      </c>
    </row>
    <row r="42" spans="2:7" ht="22.5" x14ac:dyDescent="0.2">
      <c r="B42" s="1613" t="s">
        <v>5955</v>
      </c>
      <c r="C42" s="1734">
        <v>4</v>
      </c>
      <c r="D42" s="1614">
        <v>16</v>
      </c>
      <c r="E42" s="1614">
        <v>18</v>
      </c>
      <c r="F42" s="1614">
        <v>15</v>
      </c>
      <c r="G42" s="1614">
        <f t="shared" si="0"/>
        <v>49</v>
      </c>
    </row>
    <row r="43" spans="2:7" ht="22.5" x14ac:dyDescent="0.2">
      <c r="B43" s="1613" t="s">
        <v>5956</v>
      </c>
      <c r="C43" s="1734"/>
      <c r="D43" s="1614">
        <v>1</v>
      </c>
      <c r="E43" s="1614">
        <v>2</v>
      </c>
      <c r="F43" s="1614"/>
      <c r="G43" s="1614">
        <f t="shared" si="0"/>
        <v>3</v>
      </c>
    </row>
    <row r="44" spans="2:7" ht="22.5" x14ac:dyDescent="0.2">
      <c r="B44" s="1613" t="s">
        <v>5957</v>
      </c>
      <c r="C44" s="1734"/>
      <c r="D44" s="1614">
        <v>1</v>
      </c>
      <c r="E44" s="1614">
        <v>1</v>
      </c>
      <c r="F44" s="1614">
        <v>13</v>
      </c>
      <c r="G44" s="1614">
        <f t="shared" si="0"/>
        <v>15</v>
      </c>
    </row>
    <row r="45" spans="2:7" ht="22.5" x14ac:dyDescent="0.2">
      <c r="B45" s="1613" t="s">
        <v>5958</v>
      </c>
      <c r="C45" s="1734"/>
      <c r="D45" s="1614"/>
      <c r="E45" s="1614"/>
      <c r="F45" s="1614">
        <v>2</v>
      </c>
      <c r="G45" s="1614">
        <f t="shared" si="0"/>
        <v>2</v>
      </c>
    </row>
    <row r="46" spans="2:7" ht="22.5" x14ac:dyDescent="0.2">
      <c r="B46" s="1613" t="s">
        <v>5959</v>
      </c>
      <c r="C46" s="1734"/>
      <c r="D46" s="1614">
        <v>1</v>
      </c>
      <c r="E46" s="1614">
        <v>1</v>
      </c>
      <c r="F46" s="1614"/>
      <c r="G46" s="1614">
        <f t="shared" si="0"/>
        <v>2</v>
      </c>
    </row>
    <row r="47" spans="2:7" ht="22.5" x14ac:dyDescent="0.2">
      <c r="B47" s="1613" t="s">
        <v>5960</v>
      </c>
      <c r="C47" s="1734"/>
      <c r="D47" s="1614">
        <v>34</v>
      </c>
      <c r="E47" s="1614">
        <v>20</v>
      </c>
      <c r="F47" s="1614">
        <v>1</v>
      </c>
      <c r="G47" s="1614">
        <f t="shared" si="0"/>
        <v>55</v>
      </c>
    </row>
    <row r="48" spans="2:7" ht="22.5" x14ac:dyDescent="0.2">
      <c r="B48" s="1613" t="s">
        <v>5961</v>
      </c>
      <c r="C48" s="1734"/>
      <c r="D48" s="1614">
        <v>7</v>
      </c>
      <c r="E48" s="1614">
        <v>3</v>
      </c>
      <c r="F48" s="1614"/>
      <c r="G48" s="1614">
        <f t="shared" si="0"/>
        <v>10</v>
      </c>
    </row>
    <row r="49" spans="2:7" ht="22.5" x14ac:dyDescent="0.2">
      <c r="B49" s="1613" t="s">
        <v>8552</v>
      </c>
      <c r="C49" s="1734"/>
      <c r="D49" s="1614">
        <v>3</v>
      </c>
      <c r="E49" s="1614"/>
      <c r="F49" s="1614"/>
      <c r="G49" s="1614">
        <f t="shared" si="0"/>
        <v>3</v>
      </c>
    </row>
    <row r="50" spans="2:7" ht="22.5" x14ac:dyDescent="0.2">
      <c r="B50" s="1613" t="s">
        <v>8553</v>
      </c>
      <c r="C50" s="1734"/>
      <c r="D50" s="1614">
        <v>49</v>
      </c>
      <c r="E50" s="1614">
        <v>5</v>
      </c>
      <c r="F50" s="1614"/>
      <c r="G50" s="1614">
        <f t="shared" si="0"/>
        <v>54</v>
      </c>
    </row>
    <row r="51" spans="2:7" ht="22.5" x14ac:dyDescent="0.2">
      <c r="B51" s="1613" t="s">
        <v>8554</v>
      </c>
      <c r="C51" s="1734"/>
      <c r="D51" s="1614">
        <v>16</v>
      </c>
      <c r="E51" s="1614">
        <v>12</v>
      </c>
      <c r="F51" s="1614"/>
      <c r="G51" s="1614">
        <f t="shared" si="0"/>
        <v>28</v>
      </c>
    </row>
    <row r="52" spans="2:7" ht="22.5" x14ac:dyDescent="0.2">
      <c r="B52" s="1613" t="s">
        <v>8555</v>
      </c>
      <c r="C52" s="1734"/>
      <c r="D52" s="1614">
        <v>7</v>
      </c>
      <c r="E52" s="1614">
        <v>4</v>
      </c>
      <c r="F52" s="1614"/>
      <c r="G52" s="1614">
        <f t="shared" si="0"/>
        <v>11</v>
      </c>
    </row>
    <row r="53" spans="2:7" ht="22.5" x14ac:dyDescent="0.2">
      <c r="B53" s="1613" t="s">
        <v>5967</v>
      </c>
      <c r="C53" s="1734"/>
      <c r="D53" s="1614">
        <v>1</v>
      </c>
      <c r="E53" s="1614">
        <v>3</v>
      </c>
      <c r="F53" s="1614"/>
      <c r="G53" s="1614">
        <f t="shared" si="0"/>
        <v>4</v>
      </c>
    </row>
    <row r="54" spans="2:7" ht="22.5" x14ac:dyDescent="0.2">
      <c r="B54" s="1613" t="s">
        <v>5968</v>
      </c>
      <c r="C54" s="1734"/>
      <c r="D54" s="1614"/>
      <c r="E54" s="1614"/>
      <c r="F54" s="1614">
        <v>1</v>
      </c>
      <c r="G54" s="1614">
        <f t="shared" si="0"/>
        <v>1</v>
      </c>
    </row>
    <row r="55" spans="2:7" ht="22.5" x14ac:dyDescent="0.2">
      <c r="B55" s="1613" t="s">
        <v>5969</v>
      </c>
      <c r="C55" s="1734"/>
      <c r="D55" s="1614">
        <v>3</v>
      </c>
      <c r="E55" s="1614"/>
      <c r="F55" s="1614"/>
      <c r="G55" s="1614">
        <f t="shared" si="0"/>
        <v>3</v>
      </c>
    </row>
    <row r="56" spans="2:7" ht="22.5" x14ac:dyDescent="0.2">
      <c r="B56" s="1613" t="s">
        <v>5970</v>
      </c>
      <c r="C56" s="1734"/>
      <c r="D56" s="1614">
        <v>2</v>
      </c>
      <c r="E56" s="1614">
        <v>5</v>
      </c>
      <c r="F56" s="1614"/>
      <c r="G56" s="1614">
        <f t="shared" si="0"/>
        <v>7</v>
      </c>
    </row>
    <row r="57" spans="2:7" ht="22.5" x14ac:dyDescent="0.2">
      <c r="B57" s="1613" t="s">
        <v>5971</v>
      </c>
      <c r="C57" s="1734">
        <v>2</v>
      </c>
      <c r="D57" s="1614"/>
      <c r="E57" s="1614"/>
      <c r="F57" s="1614"/>
      <c r="G57" s="1614">
        <f t="shared" si="0"/>
        <v>0</v>
      </c>
    </row>
    <row r="58" spans="2:7" ht="22.5" x14ac:dyDescent="0.2">
      <c r="B58" s="1613" t="s">
        <v>5972</v>
      </c>
      <c r="C58" s="1734"/>
      <c r="D58" s="1614">
        <v>1</v>
      </c>
      <c r="E58" s="1614">
        <v>1</v>
      </c>
      <c r="F58" s="1614"/>
      <c r="G58" s="1614">
        <f t="shared" si="0"/>
        <v>2</v>
      </c>
    </row>
    <row r="59" spans="2:7" ht="22.5" x14ac:dyDescent="0.2">
      <c r="B59" s="1613" t="s">
        <v>5973</v>
      </c>
      <c r="C59" s="1734"/>
      <c r="D59" s="1614">
        <v>1</v>
      </c>
      <c r="E59" s="1614">
        <v>4</v>
      </c>
      <c r="F59" s="1614"/>
      <c r="G59" s="1614">
        <f t="shared" si="0"/>
        <v>5</v>
      </c>
    </row>
    <row r="60" spans="2:7" ht="22.5" x14ac:dyDescent="0.2">
      <c r="B60" s="1613" t="s">
        <v>5975</v>
      </c>
      <c r="C60" s="1734"/>
      <c r="D60" s="1614">
        <v>67</v>
      </c>
      <c r="E60" s="1614">
        <v>44</v>
      </c>
      <c r="F60" s="1614"/>
      <c r="G60" s="1614">
        <f t="shared" si="0"/>
        <v>111</v>
      </c>
    </row>
    <row r="61" spans="2:7" ht="22.5" x14ac:dyDescent="0.2">
      <c r="B61" s="1613" t="s">
        <v>5976</v>
      </c>
      <c r="C61" s="1734">
        <v>1</v>
      </c>
      <c r="D61" s="1614">
        <v>5</v>
      </c>
      <c r="E61" s="1614">
        <v>7</v>
      </c>
      <c r="F61" s="1614"/>
      <c r="G61" s="1614">
        <f t="shared" si="0"/>
        <v>12</v>
      </c>
    </row>
    <row r="62" spans="2:7" ht="22.5" x14ac:dyDescent="0.2">
      <c r="B62" s="1613" t="s">
        <v>5977</v>
      </c>
      <c r="C62" s="1734"/>
      <c r="D62" s="1614">
        <v>11</v>
      </c>
      <c r="E62" s="1614">
        <v>6</v>
      </c>
      <c r="F62" s="1614"/>
      <c r="G62" s="1614">
        <f t="shared" si="0"/>
        <v>17</v>
      </c>
    </row>
    <row r="63" spans="2:7" ht="22.5" x14ac:dyDescent="0.2">
      <c r="B63" s="1613" t="s">
        <v>5978</v>
      </c>
      <c r="C63" s="1734">
        <v>5</v>
      </c>
      <c r="D63" s="1614">
        <v>1</v>
      </c>
      <c r="E63" s="1614">
        <v>2</v>
      </c>
      <c r="F63" s="1614">
        <v>3</v>
      </c>
      <c r="G63" s="1614">
        <f t="shared" si="0"/>
        <v>6</v>
      </c>
    </row>
    <row r="64" spans="2:7" ht="22.5" x14ac:dyDescent="0.2">
      <c r="B64" s="1613" t="s">
        <v>5979</v>
      </c>
      <c r="C64" s="1734"/>
      <c r="D64" s="1614">
        <v>8</v>
      </c>
      <c r="E64" s="1614">
        <v>7</v>
      </c>
      <c r="F64" s="1614"/>
      <c r="G64" s="1614">
        <f t="shared" si="0"/>
        <v>15</v>
      </c>
    </row>
    <row r="65" spans="2:7" ht="22.5" x14ac:dyDescent="0.2">
      <c r="B65" s="1613" t="s">
        <v>5980</v>
      </c>
      <c r="C65" s="1734"/>
      <c r="D65" s="1614"/>
      <c r="E65" s="1614">
        <v>1</v>
      </c>
      <c r="F65" s="1614">
        <v>3</v>
      </c>
      <c r="G65" s="1614">
        <f t="shared" si="0"/>
        <v>4</v>
      </c>
    </row>
    <row r="66" spans="2:7" ht="22.5" x14ac:dyDescent="0.2">
      <c r="B66" s="1613" t="s">
        <v>5981</v>
      </c>
      <c r="C66" s="1734"/>
      <c r="D66" s="1614">
        <v>14</v>
      </c>
      <c r="E66" s="1614">
        <v>7</v>
      </c>
      <c r="F66" s="1614"/>
      <c r="G66" s="1614">
        <f t="shared" si="0"/>
        <v>21</v>
      </c>
    </row>
    <row r="67" spans="2:7" ht="22.5" x14ac:dyDescent="0.2">
      <c r="B67" s="1613" t="s">
        <v>5982</v>
      </c>
      <c r="C67" s="1734"/>
      <c r="D67" s="1614">
        <v>4</v>
      </c>
      <c r="E67" s="1614">
        <v>3</v>
      </c>
      <c r="F67" s="1614"/>
      <c r="G67" s="1614">
        <f t="shared" si="0"/>
        <v>7</v>
      </c>
    </row>
    <row r="68" spans="2:7" ht="22.5" x14ac:dyDescent="0.2">
      <c r="B68" s="1613" t="s">
        <v>5983</v>
      </c>
      <c r="C68" s="1734"/>
      <c r="D68" s="1614"/>
      <c r="E68" s="1614">
        <v>1</v>
      </c>
      <c r="F68" s="1614"/>
      <c r="G68" s="1614">
        <f t="shared" si="0"/>
        <v>1</v>
      </c>
    </row>
    <row r="69" spans="2:7" ht="33.75" x14ac:dyDescent="0.2">
      <c r="B69" s="1613" t="s">
        <v>5984</v>
      </c>
      <c r="C69" s="1734"/>
      <c r="D69" s="1614">
        <v>10</v>
      </c>
      <c r="E69" s="1614">
        <v>16</v>
      </c>
      <c r="F69" s="1614"/>
      <c r="G69" s="1614">
        <f t="shared" si="0"/>
        <v>26</v>
      </c>
    </row>
    <row r="70" spans="2:7" ht="22.5" x14ac:dyDescent="0.2">
      <c r="B70" s="1613" t="s">
        <v>6696</v>
      </c>
      <c r="C70" s="1734"/>
      <c r="D70" s="1614"/>
      <c r="E70" s="1614">
        <v>1</v>
      </c>
      <c r="F70" s="1614"/>
      <c r="G70" s="1614">
        <f t="shared" si="0"/>
        <v>1</v>
      </c>
    </row>
    <row r="71" spans="2:7" ht="22.5" x14ac:dyDescent="0.2">
      <c r="B71" s="1613" t="s">
        <v>5985</v>
      </c>
      <c r="C71" s="1734"/>
      <c r="D71" s="1614">
        <v>1</v>
      </c>
      <c r="E71" s="1614">
        <v>5</v>
      </c>
      <c r="F71" s="1614"/>
      <c r="G71" s="1614">
        <f t="shared" si="0"/>
        <v>6</v>
      </c>
    </row>
    <row r="72" spans="2:7" ht="22.5" x14ac:dyDescent="0.2">
      <c r="B72" s="1613" t="s">
        <v>5986</v>
      </c>
      <c r="C72" s="1734"/>
      <c r="D72" s="1614">
        <v>1</v>
      </c>
      <c r="E72" s="1614"/>
      <c r="F72" s="1614"/>
      <c r="G72" s="1614">
        <f t="shared" si="0"/>
        <v>1</v>
      </c>
    </row>
    <row r="73" spans="2:7" ht="22.5" x14ac:dyDescent="0.2">
      <c r="B73" s="1613" t="s">
        <v>6692</v>
      </c>
      <c r="C73" s="1734"/>
      <c r="D73" s="1614">
        <v>7</v>
      </c>
      <c r="E73" s="1614">
        <v>7</v>
      </c>
      <c r="F73" s="1614"/>
      <c r="G73" s="1614">
        <f t="shared" si="0"/>
        <v>14</v>
      </c>
    </row>
    <row r="74" spans="2:7" ht="22.5" x14ac:dyDescent="0.2">
      <c r="B74" s="1613" t="s">
        <v>6693</v>
      </c>
      <c r="C74" s="1734"/>
      <c r="D74" s="1614">
        <v>2</v>
      </c>
      <c r="E74" s="1614">
        <v>2</v>
      </c>
      <c r="F74" s="1614"/>
      <c r="G74" s="1614">
        <f t="shared" si="0"/>
        <v>4</v>
      </c>
    </row>
    <row r="75" spans="2:7" x14ac:dyDescent="0.2">
      <c r="B75" s="1613" t="s">
        <v>8551</v>
      </c>
      <c r="C75" s="1734"/>
      <c r="D75" s="1614">
        <v>9</v>
      </c>
      <c r="E75" s="1614">
        <v>9</v>
      </c>
      <c r="F75" s="1614"/>
      <c r="G75" s="1614">
        <f t="shared" si="0"/>
        <v>18</v>
      </c>
    </row>
    <row r="76" spans="2:7" x14ac:dyDescent="0.2">
      <c r="B76" s="1613" t="s">
        <v>6694</v>
      </c>
      <c r="C76" s="1734"/>
      <c r="D76" s="1614">
        <v>12</v>
      </c>
      <c r="E76" s="1614">
        <v>13</v>
      </c>
      <c r="F76" s="1614"/>
      <c r="G76" s="1614">
        <f t="shared" si="0"/>
        <v>25</v>
      </c>
    </row>
    <row r="77" spans="2:7" ht="22.5" x14ac:dyDescent="0.2">
      <c r="B77" s="1613" t="s">
        <v>6695</v>
      </c>
      <c r="C77" s="1734"/>
      <c r="D77" s="1614">
        <v>9</v>
      </c>
      <c r="E77" s="1614">
        <v>9</v>
      </c>
      <c r="F77" s="1614"/>
      <c r="G77" s="1614">
        <f t="shared" si="0"/>
        <v>18</v>
      </c>
    </row>
    <row r="78" spans="2:7" ht="33.75" x14ac:dyDescent="0.2">
      <c r="B78" s="1613" t="s">
        <v>5990</v>
      </c>
      <c r="C78" s="1734"/>
      <c r="D78" s="1614">
        <v>3</v>
      </c>
      <c r="E78" s="1614">
        <v>3</v>
      </c>
      <c r="F78" s="1614"/>
      <c r="G78" s="1614">
        <f t="shared" si="0"/>
        <v>6</v>
      </c>
    </row>
    <row r="79" spans="2:7" ht="22.5" x14ac:dyDescent="0.2">
      <c r="B79" s="1613" t="s">
        <v>5995</v>
      </c>
      <c r="C79" s="1734"/>
      <c r="D79" s="1614"/>
      <c r="E79" s="1614">
        <v>1</v>
      </c>
      <c r="F79" s="1614"/>
      <c r="G79" s="1614">
        <f t="shared" ref="G79:G98" si="1">F79+E79+D79</f>
        <v>1</v>
      </c>
    </row>
    <row r="80" spans="2:7" x14ac:dyDescent="0.2">
      <c r="B80" s="1613" t="s">
        <v>6691</v>
      </c>
      <c r="C80" s="1734"/>
      <c r="D80" s="1614">
        <v>2</v>
      </c>
      <c r="E80" s="1614">
        <v>2</v>
      </c>
      <c r="F80" s="1614"/>
      <c r="G80" s="1614">
        <f t="shared" si="1"/>
        <v>4</v>
      </c>
    </row>
    <row r="81" spans="2:7" ht="22.5" x14ac:dyDescent="0.2">
      <c r="B81" s="1613" t="s">
        <v>5996</v>
      </c>
      <c r="C81" s="1734"/>
      <c r="D81" s="1614">
        <f>10</f>
        <v>10</v>
      </c>
      <c r="E81" s="1614">
        <v>10</v>
      </c>
      <c r="F81" s="1614"/>
      <c r="G81" s="1614">
        <f t="shared" si="1"/>
        <v>20</v>
      </c>
    </row>
    <row r="82" spans="2:7" ht="33.75" x14ac:dyDescent="0.2">
      <c r="B82" s="1613" t="s">
        <v>5997</v>
      </c>
      <c r="C82" s="1734"/>
      <c r="D82" s="1614">
        <v>27</v>
      </c>
      <c r="E82" s="1614">
        <v>18</v>
      </c>
      <c r="F82" s="1614"/>
      <c r="G82" s="1614">
        <f t="shared" si="1"/>
        <v>45</v>
      </c>
    </row>
    <row r="83" spans="2:7" ht="22.5" x14ac:dyDescent="0.2">
      <c r="B83" s="1613" t="s">
        <v>5998</v>
      </c>
      <c r="C83" s="1734"/>
      <c r="D83" s="1614">
        <v>2</v>
      </c>
      <c r="E83" s="1614"/>
      <c r="F83" s="1614"/>
      <c r="G83" s="1614">
        <f t="shared" si="1"/>
        <v>2</v>
      </c>
    </row>
    <row r="84" spans="2:7" x14ac:dyDescent="0.2">
      <c r="B84" s="1613" t="s">
        <v>5999</v>
      </c>
      <c r="C84" s="1734"/>
      <c r="D84" s="1614">
        <v>9</v>
      </c>
      <c r="E84" s="1614"/>
      <c r="F84" s="1614"/>
      <c r="G84" s="1614">
        <f t="shared" si="1"/>
        <v>9</v>
      </c>
    </row>
    <row r="85" spans="2:7" ht="22.5" x14ac:dyDescent="0.2">
      <c r="B85" s="1613" t="s">
        <v>6000</v>
      </c>
      <c r="C85" s="1734"/>
      <c r="D85" s="1614">
        <v>8</v>
      </c>
      <c r="E85" s="1614">
        <v>1</v>
      </c>
      <c r="F85" s="1614"/>
      <c r="G85" s="1614">
        <f t="shared" si="1"/>
        <v>9</v>
      </c>
    </row>
    <row r="86" spans="2:7" ht="33.75" x14ac:dyDescent="0.2">
      <c r="B86" s="1613" t="s">
        <v>6001</v>
      </c>
      <c r="C86" s="1734"/>
      <c r="D86" s="1614">
        <v>2</v>
      </c>
      <c r="E86" s="1614">
        <v>5</v>
      </c>
      <c r="F86" s="1614"/>
      <c r="G86" s="1614">
        <f t="shared" si="1"/>
        <v>7</v>
      </c>
    </row>
    <row r="87" spans="2:7" x14ac:dyDescent="0.2">
      <c r="B87" s="1613" t="s">
        <v>6686</v>
      </c>
      <c r="C87" s="1734">
        <v>1</v>
      </c>
      <c r="D87" s="1614"/>
      <c r="E87" s="1614"/>
      <c r="F87" s="1614"/>
      <c r="G87" s="1614">
        <f t="shared" si="1"/>
        <v>0</v>
      </c>
    </row>
    <row r="88" spans="2:7" ht="33.75" x14ac:dyDescent="0.2">
      <c r="B88" s="1613" t="s">
        <v>6002</v>
      </c>
      <c r="C88" s="1734"/>
      <c r="D88" s="1614">
        <v>14</v>
      </c>
      <c r="E88" s="1614">
        <v>13</v>
      </c>
      <c r="F88" s="1614"/>
      <c r="G88" s="1614">
        <f t="shared" si="1"/>
        <v>27</v>
      </c>
    </row>
    <row r="89" spans="2:7" ht="33.75" x14ac:dyDescent="0.2">
      <c r="B89" s="1613" t="s">
        <v>6003</v>
      </c>
      <c r="C89" s="1734"/>
      <c r="D89" s="1614">
        <v>6</v>
      </c>
      <c r="E89" s="1614">
        <v>5</v>
      </c>
      <c r="F89" s="1614"/>
      <c r="G89" s="1614">
        <f t="shared" si="1"/>
        <v>11</v>
      </c>
    </row>
    <row r="90" spans="2:7" ht="33.75" x14ac:dyDescent="0.2">
      <c r="B90" s="1613" t="s">
        <v>6687</v>
      </c>
      <c r="C90" s="1734">
        <v>4</v>
      </c>
      <c r="D90" s="1614"/>
      <c r="E90" s="1614"/>
      <c r="F90" s="1614"/>
      <c r="G90" s="1614">
        <f t="shared" si="1"/>
        <v>0</v>
      </c>
    </row>
    <row r="91" spans="2:7" ht="22.5" x14ac:dyDescent="0.2">
      <c r="B91" s="1613" t="s">
        <v>6004</v>
      </c>
      <c r="C91" s="1734"/>
      <c r="D91" s="1614"/>
      <c r="E91" s="1614"/>
      <c r="F91" s="1614">
        <v>5</v>
      </c>
      <c r="G91" s="1614">
        <f t="shared" si="1"/>
        <v>5</v>
      </c>
    </row>
    <row r="92" spans="2:7" ht="22.5" x14ac:dyDescent="0.2">
      <c r="B92" s="1613" t="s">
        <v>6005</v>
      </c>
      <c r="C92" s="1734"/>
      <c r="D92" s="1614"/>
      <c r="E92" s="1614"/>
      <c r="F92" s="1614">
        <v>2</v>
      </c>
      <c r="G92" s="1614">
        <f t="shared" si="1"/>
        <v>2</v>
      </c>
    </row>
    <row r="93" spans="2:7" ht="22.5" x14ac:dyDescent="0.2">
      <c r="B93" s="1613" t="s">
        <v>6006</v>
      </c>
      <c r="C93" s="1734"/>
      <c r="D93" s="1614">
        <v>2</v>
      </c>
      <c r="E93" s="1614">
        <v>2</v>
      </c>
      <c r="F93" s="1614"/>
      <c r="G93" s="1614">
        <f t="shared" si="1"/>
        <v>4</v>
      </c>
    </row>
    <row r="94" spans="2:7" ht="22.5" x14ac:dyDescent="0.2">
      <c r="B94" s="1613" t="s">
        <v>6007</v>
      </c>
      <c r="C94" s="1734"/>
      <c r="D94" s="1614">
        <v>7</v>
      </c>
      <c r="E94" s="1614">
        <v>3</v>
      </c>
      <c r="F94" s="1614"/>
      <c r="G94" s="1614">
        <f t="shared" si="1"/>
        <v>10</v>
      </c>
    </row>
    <row r="95" spans="2:7" ht="33.75" x14ac:dyDescent="0.2">
      <c r="B95" s="1613" t="s">
        <v>6008</v>
      </c>
      <c r="C95" s="1734"/>
      <c r="D95" s="1614">
        <v>9</v>
      </c>
      <c r="E95" s="1614">
        <v>9</v>
      </c>
      <c r="F95" s="1614"/>
      <c r="G95" s="1614">
        <f t="shared" si="1"/>
        <v>18</v>
      </c>
    </row>
    <row r="96" spans="2:7" x14ac:dyDescent="0.2">
      <c r="B96" s="1613" t="s">
        <v>6025</v>
      </c>
      <c r="C96" s="1734">
        <v>2</v>
      </c>
      <c r="D96" s="1614"/>
      <c r="E96" s="1614"/>
      <c r="F96" s="1614"/>
      <c r="G96" s="1614">
        <f t="shared" si="1"/>
        <v>0</v>
      </c>
    </row>
    <row r="97" spans="2:7" x14ac:dyDescent="0.2">
      <c r="B97" s="1613" t="s">
        <v>6685</v>
      </c>
      <c r="C97" s="1734">
        <v>1</v>
      </c>
      <c r="D97" s="1614"/>
      <c r="E97" s="1614"/>
      <c r="F97" s="1614"/>
      <c r="G97" s="1614">
        <f t="shared" si="1"/>
        <v>0</v>
      </c>
    </row>
    <row r="98" spans="2:7" x14ac:dyDescent="0.2">
      <c r="B98" s="1613" t="s">
        <v>6030</v>
      </c>
      <c r="C98" s="1734">
        <v>1</v>
      </c>
      <c r="D98" s="1614"/>
      <c r="E98" s="1614"/>
      <c r="F98" s="1614"/>
      <c r="G98" s="1614">
        <f t="shared" si="1"/>
        <v>0</v>
      </c>
    </row>
    <row r="99" spans="2:7" x14ac:dyDescent="0.2">
      <c r="B99" s="1615" t="s">
        <v>6690</v>
      </c>
      <c r="C99" s="1614"/>
      <c r="D99" s="1614">
        <v>2</v>
      </c>
      <c r="E99" s="1614">
        <v>2</v>
      </c>
      <c r="F99" s="1614"/>
      <c r="G99" s="1614">
        <f t="shared" ref="G99" si="2">F99+E99+D99</f>
        <v>4</v>
      </c>
    </row>
  </sheetData>
  <mergeCells count="8">
    <mergeCell ref="B12:J12"/>
    <mergeCell ref="A2:H2"/>
    <mergeCell ref="A3:H3"/>
    <mergeCell ref="A4:H4"/>
    <mergeCell ref="A7:H7"/>
    <mergeCell ref="B9:H9"/>
    <mergeCell ref="B10:H10"/>
    <mergeCell ref="B11:H11"/>
  </mergeCells>
  <pageMargins left="0.39370078740157483" right="0.39370078740157483" top="0.39370078740157483" bottom="0.98425196850393704" header="0" footer="0.39370078740157483"/>
  <pageSetup paperSize="9" scale="87" firstPageNumber="247" fitToHeight="0" orientation="portrait" useFirstPageNumber="1" r:id="rId1"/>
  <headerFooter>
    <oddFooter>&amp;RPágina &amp;P de 249</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2"/>
  <dimension ref="A1:E5282"/>
  <sheetViews>
    <sheetView topLeftCell="A2287" zoomScale="85" zoomScaleNormal="85" workbookViewId="0">
      <selection activeCell="D2304" sqref="D2304"/>
    </sheetView>
  </sheetViews>
  <sheetFormatPr defaultRowHeight="12.75" x14ac:dyDescent="0.2"/>
  <cols>
    <col min="1" max="1" width="10.5703125" style="1926" customWidth="1"/>
    <col min="2" max="2" width="78.140625" style="1926" customWidth="1"/>
    <col min="3" max="3" width="21.140625" style="1926" customWidth="1"/>
    <col min="4" max="4" width="18.7109375" style="1926" customWidth="1"/>
    <col min="5" max="5" width="22.28515625" style="1926" customWidth="1"/>
    <col min="6" max="256" width="9.140625" style="1926"/>
    <col min="257" max="257" width="10.5703125" style="1926" customWidth="1"/>
    <col min="258" max="258" width="78.140625" style="1926" customWidth="1"/>
    <col min="259" max="259" width="21.140625" style="1926" customWidth="1"/>
    <col min="260" max="260" width="18.7109375" style="1926" customWidth="1"/>
    <col min="261" max="261" width="22.28515625" style="1926" customWidth="1"/>
    <col min="262" max="512" width="9.140625" style="1926"/>
    <col min="513" max="513" width="10.5703125" style="1926" customWidth="1"/>
    <col min="514" max="514" width="78.140625" style="1926" customWidth="1"/>
    <col min="515" max="515" width="21.140625" style="1926" customWidth="1"/>
    <col min="516" max="516" width="18.7109375" style="1926" customWidth="1"/>
    <col min="517" max="517" width="22.28515625" style="1926" customWidth="1"/>
    <col min="518" max="768" width="9.140625" style="1926"/>
    <col min="769" max="769" width="10.5703125" style="1926" customWidth="1"/>
    <col min="770" max="770" width="78.140625" style="1926" customWidth="1"/>
    <col min="771" max="771" width="21.140625" style="1926" customWidth="1"/>
    <col min="772" max="772" width="18.7109375" style="1926" customWidth="1"/>
    <col min="773" max="773" width="22.28515625" style="1926" customWidth="1"/>
    <col min="774" max="1024" width="9.140625" style="1926"/>
    <col min="1025" max="1025" width="10.5703125" style="1926" customWidth="1"/>
    <col min="1026" max="1026" width="78.140625" style="1926" customWidth="1"/>
    <col min="1027" max="1027" width="21.140625" style="1926" customWidth="1"/>
    <col min="1028" max="1028" width="18.7109375" style="1926" customWidth="1"/>
    <col min="1029" max="1029" width="22.28515625" style="1926" customWidth="1"/>
    <col min="1030" max="1280" width="9.140625" style="1926"/>
    <col min="1281" max="1281" width="10.5703125" style="1926" customWidth="1"/>
    <col min="1282" max="1282" width="78.140625" style="1926" customWidth="1"/>
    <col min="1283" max="1283" width="21.140625" style="1926" customWidth="1"/>
    <col min="1284" max="1284" width="18.7109375" style="1926" customWidth="1"/>
    <col min="1285" max="1285" width="22.28515625" style="1926" customWidth="1"/>
    <col min="1286" max="1536" width="9.140625" style="1926"/>
    <col min="1537" max="1537" width="10.5703125" style="1926" customWidth="1"/>
    <col min="1538" max="1538" width="78.140625" style="1926" customWidth="1"/>
    <col min="1539" max="1539" width="21.140625" style="1926" customWidth="1"/>
    <col min="1540" max="1540" width="18.7109375" style="1926" customWidth="1"/>
    <col min="1541" max="1541" width="22.28515625" style="1926" customWidth="1"/>
    <col min="1542" max="1792" width="9.140625" style="1926"/>
    <col min="1793" max="1793" width="10.5703125" style="1926" customWidth="1"/>
    <col min="1794" max="1794" width="78.140625" style="1926" customWidth="1"/>
    <col min="1795" max="1795" width="21.140625" style="1926" customWidth="1"/>
    <col min="1796" max="1796" width="18.7109375" style="1926" customWidth="1"/>
    <col min="1797" max="1797" width="22.28515625" style="1926" customWidth="1"/>
    <col min="1798" max="2048" width="9.140625" style="1926"/>
    <col min="2049" max="2049" width="10.5703125" style="1926" customWidth="1"/>
    <col min="2050" max="2050" width="78.140625" style="1926" customWidth="1"/>
    <col min="2051" max="2051" width="21.140625" style="1926" customWidth="1"/>
    <col min="2052" max="2052" width="18.7109375" style="1926" customWidth="1"/>
    <col min="2053" max="2053" width="22.28515625" style="1926" customWidth="1"/>
    <col min="2054" max="2304" width="9.140625" style="1926"/>
    <col min="2305" max="2305" width="10.5703125" style="1926" customWidth="1"/>
    <col min="2306" max="2306" width="78.140625" style="1926" customWidth="1"/>
    <col min="2307" max="2307" width="21.140625" style="1926" customWidth="1"/>
    <col min="2308" max="2308" width="18.7109375" style="1926" customWidth="1"/>
    <col min="2309" max="2309" width="22.28515625" style="1926" customWidth="1"/>
    <col min="2310" max="2560" width="9.140625" style="1926"/>
    <col min="2561" max="2561" width="10.5703125" style="1926" customWidth="1"/>
    <col min="2562" max="2562" width="78.140625" style="1926" customWidth="1"/>
    <col min="2563" max="2563" width="21.140625" style="1926" customWidth="1"/>
    <col min="2564" max="2564" width="18.7109375" style="1926" customWidth="1"/>
    <col min="2565" max="2565" width="22.28515625" style="1926" customWidth="1"/>
    <col min="2566" max="2816" width="9.140625" style="1926"/>
    <col min="2817" max="2817" width="10.5703125" style="1926" customWidth="1"/>
    <col min="2818" max="2818" width="78.140625" style="1926" customWidth="1"/>
    <col min="2819" max="2819" width="21.140625" style="1926" customWidth="1"/>
    <col min="2820" max="2820" width="18.7109375" style="1926" customWidth="1"/>
    <col min="2821" max="2821" width="22.28515625" style="1926" customWidth="1"/>
    <col min="2822" max="3072" width="9.140625" style="1926"/>
    <col min="3073" max="3073" width="10.5703125" style="1926" customWidth="1"/>
    <col min="3074" max="3074" width="78.140625" style="1926" customWidth="1"/>
    <col min="3075" max="3075" width="21.140625" style="1926" customWidth="1"/>
    <col min="3076" max="3076" width="18.7109375" style="1926" customWidth="1"/>
    <col min="3077" max="3077" width="22.28515625" style="1926" customWidth="1"/>
    <col min="3078" max="3328" width="9.140625" style="1926"/>
    <col min="3329" max="3329" width="10.5703125" style="1926" customWidth="1"/>
    <col min="3330" max="3330" width="78.140625" style="1926" customWidth="1"/>
    <col min="3331" max="3331" width="21.140625" style="1926" customWidth="1"/>
    <col min="3332" max="3332" width="18.7109375" style="1926" customWidth="1"/>
    <col min="3333" max="3333" width="22.28515625" style="1926" customWidth="1"/>
    <col min="3334" max="3584" width="9.140625" style="1926"/>
    <col min="3585" max="3585" width="10.5703125" style="1926" customWidth="1"/>
    <col min="3586" max="3586" width="78.140625" style="1926" customWidth="1"/>
    <col min="3587" max="3587" width="21.140625" style="1926" customWidth="1"/>
    <col min="3588" max="3588" width="18.7109375" style="1926" customWidth="1"/>
    <col min="3589" max="3589" width="22.28515625" style="1926" customWidth="1"/>
    <col min="3590" max="3840" width="9.140625" style="1926"/>
    <col min="3841" max="3841" width="10.5703125" style="1926" customWidth="1"/>
    <col min="3842" max="3842" width="78.140625" style="1926" customWidth="1"/>
    <col min="3843" max="3843" width="21.140625" style="1926" customWidth="1"/>
    <col min="3844" max="3844" width="18.7109375" style="1926" customWidth="1"/>
    <col min="3845" max="3845" width="22.28515625" style="1926" customWidth="1"/>
    <col min="3846" max="4096" width="9.140625" style="1926"/>
    <col min="4097" max="4097" width="10.5703125" style="1926" customWidth="1"/>
    <col min="4098" max="4098" width="78.140625" style="1926" customWidth="1"/>
    <col min="4099" max="4099" width="21.140625" style="1926" customWidth="1"/>
    <col min="4100" max="4100" width="18.7109375" style="1926" customWidth="1"/>
    <col min="4101" max="4101" width="22.28515625" style="1926" customWidth="1"/>
    <col min="4102" max="4352" width="9.140625" style="1926"/>
    <col min="4353" max="4353" width="10.5703125" style="1926" customWidth="1"/>
    <col min="4354" max="4354" width="78.140625" style="1926" customWidth="1"/>
    <col min="4355" max="4355" width="21.140625" style="1926" customWidth="1"/>
    <col min="4356" max="4356" width="18.7109375" style="1926" customWidth="1"/>
    <col min="4357" max="4357" width="22.28515625" style="1926" customWidth="1"/>
    <col min="4358" max="4608" width="9.140625" style="1926"/>
    <col min="4609" max="4609" width="10.5703125" style="1926" customWidth="1"/>
    <col min="4610" max="4610" width="78.140625" style="1926" customWidth="1"/>
    <col min="4611" max="4611" width="21.140625" style="1926" customWidth="1"/>
    <col min="4612" max="4612" width="18.7109375" style="1926" customWidth="1"/>
    <col min="4613" max="4613" width="22.28515625" style="1926" customWidth="1"/>
    <col min="4614" max="4864" width="9.140625" style="1926"/>
    <col min="4865" max="4865" width="10.5703125" style="1926" customWidth="1"/>
    <col min="4866" max="4866" width="78.140625" style="1926" customWidth="1"/>
    <col min="4867" max="4867" width="21.140625" style="1926" customWidth="1"/>
    <col min="4868" max="4868" width="18.7109375" style="1926" customWidth="1"/>
    <col min="4869" max="4869" width="22.28515625" style="1926" customWidth="1"/>
    <col min="4870" max="5120" width="9.140625" style="1926"/>
    <col min="5121" max="5121" width="10.5703125" style="1926" customWidth="1"/>
    <col min="5122" max="5122" width="78.140625" style="1926" customWidth="1"/>
    <col min="5123" max="5123" width="21.140625" style="1926" customWidth="1"/>
    <col min="5124" max="5124" width="18.7109375" style="1926" customWidth="1"/>
    <col min="5125" max="5125" width="22.28515625" style="1926" customWidth="1"/>
    <col min="5126" max="5376" width="9.140625" style="1926"/>
    <col min="5377" max="5377" width="10.5703125" style="1926" customWidth="1"/>
    <col min="5378" max="5378" width="78.140625" style="1926" customWidth="1"/>
    <col min="5379" max="5379" width="21.140625" style="1926" customWidth="1"/>
    <col min="5380" max="5380" width="18.7109375" style="1926" customWidth="1"/>
    <col min="5381" max="5381" width="22.28515625" style="1926" customWidth="1"/>
    <col min="5382" max="5632" width="9.140625" style="1926"/>
    <col min="5633" max="5633" width="10.5703125" style="1926" customWidth="1"/>
    <col min="5634" max="5634" width="78.140625" style="1926" customWidth="1"/>
    <col min="5635" max="5635" width="21.140625" style="1926" customWidth="1"/>
    <col min="5636" max="5636" width="18.7109375" style="1926" customWidth="1"/>
    <col min="5637" max="5637" width="22.28515625" style="1926" customWidth="1"/>
    <col min="5638" max="5888" width="9.140625" style="1926"/>
    <col min="5889" max="5889" width="10.5703125" style="1926" customWidth="1"/>
    <col min="5890" max="5890" width="78.140625" style="1926" customWidth="1"/>
    <col min="5891" max="5891" width="21.140625" style="1926" customWidth="1"/>
    <col min="5892" max="5892" width="18.7109375" style="1926" customWidth="1"/>
    <col min="5893" max="5893" width="22.28515625" style="1926" customWidth="1"/>
    <col min="5894" max="6144" width="9.140625" style="1926"/>
    <col min="6145" max="6145" width="10.5703125" style="1926" customWidth="1"/>
    <col min="6146" max="6146" width="78.140625" style="1926" customWidth="1"/>
    <col min="6147" max="6147" width="21.140625" style="1926" customWidth="1"/>
    <col min="6148" max="6148" width="18.7109375" style="1926" customWidth="1"/>
    <col min="6149" max="6149" width="22.28515625" style="1926" customWidth="1"/>
    <col min="6150" max="6400" width="9.140625" style="1926"/>
    <col min="6401" max="6401" width="10.5703125" style="1926" customWidth="1"/>
    <col min="6402" max="6402" width="78.140625" style="1926" customWidth="1"/>
    <col min="6403" max="6403" width="21.140625" style="1926" customWidth="1"/>
    <col min="6404" max="6404" width="18.7109375" style="1926" customWidth="1"/>
    <col min="6405" max="6405" width="22.28515625" style="1926" customWidth="1"/>
    <col min="6406" max="6656" width="9.140625" style="1926"/>
    <col min="6657" max="6657" width="10.5703125" style="1926" customWidth="1"/>
    <col min="6658" max="6658" width="78.140625" style="1926" customWidth="1"/>
    <col min="6659" max="6659" width="21.140625" style="1926" customWidth="1"/>
    <col min="6660" max="6660" width="18.7109375" style="1926" customWidth="1"/>
    <col min="6661" max="6661" width="22.28515625" style="1926" customWidth="1"/>
    <col min="6662" max="6912" width="9.140625" style="1926"/>
    <col min="6913" max="6913" width="10.5703125" style="1926" customWidth="1"/>
    <col min="6914" max="6914" width="78.140625" style="1926" customWidth="1"/>
    <col min="6915" max="6915" width="21.140625" style="1926" customWidth="1"/>
    <col min="6916" max="6916" width="18.7109375" style="1926" customWidth="1"/>
    <col min="6917" max="6917" width="22.28515625" style="1926" customWidth="1"/>
    <col min="6918" max="7168" width="9.140625" style="1926"/>
    <col min="7169" max="7169" width="10.5703125" style="1926" customWidth="1"/>
    <col min="7170" max="7170" width="78.140625" style="1926" customWidth="1"/>
    <col min="7171" max="7171" width="21.140625" style="1926" customWidth="1"/>
    <col min="7172" max="7172" width="18.7109375" style="1926" customWidth="1"/>
    <col min="7173" max="7173" width="22.28515625" style="1926" customWidth="1"/>
    <col min="7174" max="7424" width="9.140625" style="1926"/>
    <col min="7425" max="7425" width="10.5703125" style="1926" customWidth="1"/>
    <col min="7426" max="7426" width="78.140625" style="1926" customWidth="1"/>
    <col min="7427" max="7427" width="21.140625" style="1926" customWidth="1"/>
    <col min="7428" max="7428" width="18.7109375" style="1926" customWidth="1"/>
    <col min="7429" max="7429" width="22.28515625" style="1926" customWidth="1"/>
    <col min="7430" max="7680" width="9.140625" style="1926"/>
    <col min="7681" max="7681" width="10.5703125" style="1926" customWidth="1"/>
    <col min="7682" max="7682" width="78.140625" style="1926" customWidth="1"/>
    <col min="7683" max="7683" width="21.140625" style="1926" customWidth="1"/>
    <col min="7684" max="7684" width="18.7109375" style="1926" customWidth="1"/>
    <col min="7685" max="7685" width="22.28515625" style="1926" customWidth="1"/>
    <col min="7686" max="7936" width="9.140625" style="1926"/>
    <col min="7937" max="7937" width="10.5703125" style="1926" customWidth="1"/>
    <col min="7938" max="7938" width="78.140625" style="1926" customWidth="1"/>
    <col min="7939" max="7939" width="21.140625" style="1926" customWidth="1"/>
    <col min="7940" max="7940" width="18.7109375" style="1926" customWidth="1"/>
    <col min="7941" max="7941" width="22.28515625" style="1926" customWidth="1"/>
    <col min="7942" max="8192" width="9.140625" style="1926"/>
    <col min="8193" max="8193" width="10.5703125" style="1926" customWidth="1"/>
    <col min="8194" max="8194" width="78.140625" style="1926" customWidth="1"/>
    <col min="8195" max="8195" width="21.140625" style="1926" customWidth="1"/>
    <col min="8196" max="8196" width="18.7109375" style="1926" customWidth="1"/>
    <col min="8197" max="8197" width="22.28515625" style="1926" customWidth="1"/>
    <col min="8198" max="8448" width="9.140625" style="1926"/>
    <col min="8449" max="8449" width="10.5703125" style="1926" customWidth="1"/>
    <col min="8450" max="8450" width="78.140625" style="1926" customWidth="1"/>
    <col min="8451" max="8451" width="21.140625" style="1926" customWidth="1"/>
    <col min="8452" max="8452" width="18.7109375" style="1926" customWidth="1"/>
    <col min="8453" max="8453" width="22.28515625" style="1926" customWidth="1"/>
    <col min="8454" max="8704" width="9.140625" style="1926"/>
    <col min="8705" max="8705" width="10.5703125" style="1926" customWidth="1"/>
    <col min="8706" max="8706" width="78.140625" style="1926" customWidth="1"/>
    <col min="8707" max="8707" width="21.140625" style="1926" customWidth="1"/>
    <col min="8708" max="8708" width="18.7109375" style="1926" customWidth="1"/>
    <col min="8709" max="8709" width="22.28515625" style="1926" customWidth="1"/>
    <col min="8710" max="8960" width="9.140625" style="1926"/>
    <col min="8961" max="8961" width="10.5703125" style="1926" customWidth="1"/>
    <col min="8962" max="8962" width="78.140625" style="1926" customWidth="1"/>
    <col min="8963" max="8963" width="21.140625" style="1926" customWidth="1"/>
    <col min="8964" max="8964" width="18.7109375" style="1926" customWidth="1"/>
    <col min="8965" max="8965" width="22.28515625" style="1926" customWidth="1"/>
    <col min="8966" max="9216" width="9.140625" style="1926"/>
    <col min="9217" max="9217" width="10.5703125" style="1926" customWidth="1"/>
    <col min="9218" max="9218" width="78.140625" style="1926" customWidth="1"/>
    <col min="9219" max="9219" width="21.140625" style="1926" customWidth="1"/>
    <col min="9220" max="9220" width="18.7109375" style="1926" customWidth="1"/>
    <col min="9221" max="9221" width="22.28515625" style="1926" customWidth="1"/>
    <col min="9222" max="9472" width="9.140625" style="1926"/>
    <col min="9473" max="9473" width="10.5703125" style="1926" customWidth="1"/>
    <col min="9474" max="9474" width="78.140625" style="1926" customWidth="1"/>
    <col min="9475" max="9475" width="21.140625" style="1926" customWidth="1"/>
    <col min="9476" max="9476" width="18.7109375" style="1926" customWidth="1"/>
    <col min="9477" max="9477" width="22.28515625" style="1926" customWidth="1"/>
    <col min="9478" max="9728" width="9.140625" style="1926"/>
    <col min="9729" max="9729" width="10.5703125" style="1926" customWidth="1"/>
    <col min="9730" max="9730" width="78.140625" style="1926" customWidth="1"/>
    <col min="9731" max="9731" width="21.140625" style="1926" customWidth="1"/>
    <col min="9732" max="9732" width="18.7109375" style="1926" customWidth="1"/>
    <col min="9733" max="9733" width="22.28515625" style="1926" customWidth="1"/>
    <col min="9734" max="9984" width="9.140625" style="1926"/>
    <col min="9985" max="9985" width="10.5703125" style="1926" customWidth="1"/>
    <col min="9986" max="9986" width="78.140625" style="1926" customWidth="1"/>
    <col min="9987" max="9987" width="21.140625" style="1926" customWidth="1"/>
    <col min="9988" max="9988" width="18.7109375" style="1926" customWidth="1"/>
    <col min="9989" max="9989" width="22.28515625" style="1926" customWidth="1"/>
    <col min="9990" max="10240" width="9.140625" style="1926"/>
    <col min="10241" max="10241" width="10.5703125" style="1926" customWidth="1"/>
    <col min="10242" max="10242" width="78.140625" style="1926" customWidth="1"/>
    <col min="10243" max="10243" width="21.140625" style="1926" customWidth="1"/>
    <col min="10244" max="10244" width="18.7109375" style="1926" customWidth="1"/>
    <col min="10245" max="10245" width="22.28515625" style="1926" customWidth="1"/>
    <col min="10246" max="10496" width="9.140625" style="1926"/>
    <col min="10497" max="10497" width="10.5703125" style="1926" customWidth="1"/>
    <col min="10498" max="10498" width="78.140625" style="1926" customWidth="1"/>
    <col min="10499" max="10499" width="21.140625" style="1926" customWidth="1"/>
    <col min="10500" max="10500" width="18.7109375" style="1926" customWidth="1"/>
    <col min="10501" max="10501" width="22.28515625" style="1926" customWidth="1"/>
    <col min="10502" max="10752" width="9.140625" style="1926"/>
    <col min="10753" max="10753" width="10.5703125" style="1926" customWidth="1"/>
    <col min="10754" max="10754" width="78.140625" style="1926" customWidth="1"/>
    <col min="10755" max="10755" width="21.140625" style="1926" customWidth="1"/>
    <col min="10756" max="10756" width="18.7109375" style="1926" customWidth="1"/>
    <col min="10757" max="10757" width="22.28515625" style="1926" customWidth="1"/>
    <col min="10758" max="11008" width="9.140625" style="1926"/>
    <col min="11009" max="11009" width="10.5703125" style="1926" customWidth="1"/>
    <col min="11010" max="11010" width="78.140625" style="1926" customWidth="1"/>
    <col min="11011" max="11011" width="21.140625" style="1926" customWidth="1"/>
    <col min="11012" max="11012" width="18.7109375" style="1926" customWidth="1"/>
    <col min="11013" max="11013" width="22.28515625" style="1926" customWidth="1"/>
    <col min="11014" max="11264" width="9.140625" style="1926"/>
    <col min="11265" max="11265" width="10.5703125" style="1926" customWidth="1"/>
    <col min="11266" max="11266" width="78.140625" style="1926" customWidth="1"/>
    <col min="11267" max="11267" width="21.140625" style="1926" customWidth="1"/>
    <col min="11268" max="11268" width="18.7109375" style="1926" customWidth="1"/>
    <col min="11269" max="11269" width="22.28515625" style="1926" customWidth="1"/>
    <col min="11270" max="11520" width="9.140625" style="1926"/>
    <col min="11521" max="11521" width="10.5703125" style="1926" customWidth="1"/>
    <col min="11522" max="11522" width="78.140625" style="1926" customWidth="1"/>
    <col min="11523" max="11523" width="21.140625" style="1926" customWidth="1"/>
    <col min="11524" max="11524" width="18.7109375" style="1926" customWidth="1"/>
    <col min="11525" max="11525" width="22.28515625" style="1926" customWidth="1"/>
    <col min="11526" max="11776" width="9.140625" style="1926"/>
    <col min="11777" max="11777" width="10.5703125" style="1926" customWidth="1"/>
    <col min="11778" max="11778" width="78.140625" style="1926" customWidth="1"/>
    <col min="11779" max="11779" width="21.140625" style="1926" customWidth="1"/>
    <col min="11780" max="11780" width="18.7109375" style="1926" customWidth="1"/>
    <col min="11781" max="11781" width="22.28515625" style="1926" customWidth="1"/>
    <col min="11782" max="12032" width="9.140625" style="1926"/>
    <col min="12033" max="12033" width="10.5703125" style="1926" customWidth="1"/>
    <col min="12034" max="12034" width="78.140625" style="1926" customWidth="1"/>
    <col min="12035" max="12035" width="21.140625" style="1926" customWidth="1"/>
    <col min="12036" max="12036" width="18.7109375" style="1926" customWidth="1"/>
    <col min="12037" max="12037" width="22.28515625" style="1926" customWidth="1"/>
    <col min="12038" max="12288" width="9.140625" style="1926"/>
    <col min="12289" max="12289" width="10.5703125" style="1926" customWidth="1"/>
    <col min="12290" max="12290" width="78.140625" style="1926" customWidth="1"/>
    <col min="12291" max="12291" width="21.140625" style="1926" customWidth="1"/>
    <col min="12292" max="12292" width="18.7109375" style="1926" customWidth="1"/>
    <col min="12293" max="12293" width="22.28515625" style="1926" customWidth="1"/>
    <col min="12294" max="12544" width="9.140625" style="1926"/>
    <col min="12545" max="12545" width="10.5703125" style="1926" customWidth="1"/>
    <col min="12546" max="12546" width="78.140625" style="1926" customWidth="1"/>
    <col min="12547" max="12547" width="21.140625" style="1926" customWidth="1"/>
    <col min="12548" max="12548" width="18.7109375" style="1926" customWidth="1"/>
    <col min="12549" max="12549" width="22.28515625" style="1926" customWidth="1"/>
    <col min="12550" max="12800" width="9.140625" style="1926"/>
    <col min="12801" max="12801" width="10.5703125" style="1926" customWidth="1"/>
    <col min="12802" max="12802" width="78.140625" style="1926" customWidth="1"/>
    <col min="12803" max="12803" width="21.140625" style="1926" customWidth="1"/>
    <col min="12804" max="12804" width="18.7109375" style="1926" customWidth="1"/>
    <col min="12805" max="12805" width="22.28515625" style="1926" customWidth="1"/>
    <col min="12806" max="13056" width="9.140625" style="1926"/>
    <col min="13057" max="13057" width="10.5703125" style="1926" customWidth="1"/>
    <col min="13058" max="13058" width="78.140625" style="1926" customWidth="1"/>
    <col min="13059" max="13059" width="21.140625" style="1926" customWidth="1"/>
    <col min="13060" max="13060" width="18.7109375" style="1926" customWidth="1"/>
    <col min="13061" max="13061" width="22.28515625" style="1926" customWidth="1"/>
    <col min="13062" max="13312" width="9.140625" style="1926"/>
    <col min="13313" max="13313" width="10.5703125" style="1926" customWidth="1"/>
    <col min="13314" max="13314" width="78.140625" style="1926" customWidth="1"/>
    <col min="13315" max="13315" width="21.140625" style="1926" customWidth="1"/>
    <col min="13316" max="13316" width="18.7109375" style="1926" customWidth="1"/>
    <col min="13317" max="13317" width="22.28515625" style="1926" customWidth="1"/>
    <col min="13318" max="13568" width="9.140625" style="1926"/>
    <col min="13569" max="13569" width="10.5703125" style="1926" customWidth="1"/>
    <col min="13570" max="13570" width="78.140625" style="1926" customWidth="1"/>
    <col min="13571" max="13571" width="21.140625" style="1926" customWidth="1"/>
    <col min="13572" max="13572" width="18.7109375" style="1926" customWidth="1"/>
    <col min="13573" max="13573" width="22.28515625" style="1926" customWidth="1"/>
    <col min="13574" max="13824" width="9.140625" style="1926"/>
    <col min="13825" max="13825" width="10.5703125" style="1926" customWidth="1"/>
    <col min="13826" max="13826" width="78.140625" style="1926" customWidth="1"/>
    <col min="13827" max="13827" width="21.140625" style="1926" customWidth="1"/>
    <col min="13828" max="13828" width="18.7109375" style="1926" customWidth="1"/>
    <col min="13829" max="13829" width="22.28515625" style="1926" customWidth="1"/>
    <col min="13830" max="14080" width="9.140625" style="1926"/>
    <col min="14081" max="14081" width="10.5703125" style="1926" customWidth="1"/>
    <col min="14082" max="14082" width="78.140625" style="1926" customWidth="1"/>
    <col min="14083" max="14083" width="21.140625" style="1926" customWidth="1"/>
    <col min="14084" max="14084" width="18.7109375" style="1926" customWidth="1"/>
    <col min="14085" max="14085" width="22.28515625" style="1926" customWidth="1"/>
    <col min="14086" max="14336" width="9.140625" style="1926"/>
    <col min="14337" max="14337" width="10.5703125" style="1926" customWidth="1"/>
    <col min="14338" max="14338" width="78.140625" style="1926" customWidth="1"/>
    <col min="14339" max="14339" width="21.140625" style="1926" customWidth="1"/>
    <col min="14340" max="14340" width="18.7109375" style="1926" customWidth="1"/>
    <col min="14341" max="14341" width="22.28515625" style="1926" customWidth="1"/>
    <col min="14342" max="14592" width="9.140625" style="1926"/>
    <col min="14593" max="14593" width="10.5703125" style="1926" customWidth="1"/>
    <col min="14594" max="14594" width="78.140625" style="1926" customWidth="1"/>
    <col min="14595" max="14595" width="21.140625" style="1926" customWidth="1"/>
    <col min="14596" max="14596" width="18.7109375" style="1926" customWidth="1"/>
    <col min="14597" max="14597" width="22.28515625" style="1926" customWidth="1"/>
    <col min="14598" max="14848" width="9.140625" style="1926"/>
    <col min="14849" max="14849" width="10.5703125" style="1926" customWidth="1"/>
    <col min="14850" max="14850" width="78.140625" style="1926" customWidth="1"/>
    <col min="14851" max="14851" width="21.140625" style="1926" customWidth="1"/>
    <col min="14852" max="14852" width="18.7109375" style="1926" customWidth="1"/>
    <col min="14853" max="14853" width="22.28515625" style="1926" customWidth="1"/>
    <col min="14854" max="15104" width="9.140625" style="1926"/>
    <col min="15105" max="15105" width="10.5703125" style="1926" customWidth="1"/>
    <col min="15106" max="15106" width="78.140625" style="1926" customWidth="1"/>
    <col min="15107" max="15107" width="21.140625" style="1926" customWidth="1"/>
    <col min="15108" max="15108" width="18.7109375" style="1926" customWidth="1"/>
    <col min="15109" max="15109" width="22.28515625" style="1926" customWidth="1"/>
    <col min="15110" max="15360" width="9.140625" style="1926"/>
    <col min="15361" max="15361" width="10.5703125" style="1926" customWidth="1"/>
    <col min="15362" max="15362" width="78.140625" style="1926" customWidth="1"/>
    <col min="15363" max="15363" width="21.140625" style="1926" customWidth="1"/>
    <col min="15364" max="15364" width="18.7109375" style="1926" customWidth="1"/>
    <col min="15365" max="15365" width="22.28515625" style="1926" customWidth="1"/>
    <col min="15366" max="15616" width="9.140625" style="1926"/>
    <col min="15617" max="15617" width="10.5703125" style="1926" customWidth="1"/>
    <col min="15618" max="15618" width="78.140625" style="1926" customWidth="1"/>
    <col min="15619" max="15619" width="21.140625" style="1926" customWidth="1"/>
    <col min="15620" max="15620" width="18.7109375" style="1926" customWidth="1"/>
    <col min="15621" max="15621" width="22.28515625" style="1926" customWidth="1"/>
    <col min="15622" max="15872" width="9.140625" style="1926"/>
    <col min="15873" max="15873" width="10.5703125" style="1926" customWidth="1"/>
    <col min="15874" max="15874" width="78.140625" style="1926" customWidth="1"/>
    <col min="15875" max="15875" width="21.140625" style="1926" customWidth="1"/>
    <col min="15876" max="15876" width="18.7109375" style="1926" customWidth="1"/>
    <col min="15877" max="15877" width="22.28515625" style="1926" customWidth="1"/>
    <col min="15878" max="16128" width="9.140625" style="1926"/>
    <col min="16129" max="16129" width="10.5703125" style="1926" customWidth="1"/>
    <col min="16130" max="16130" width="78.140625" style="1926" customWidth="1"/>
    <col min="16131" max="16131" width="21.140625" style="1926" customWidth="1"/>
    <col min="16132" max="16132" width="18.7109375" style="1926" customWidth="1"/>
    <col min="16133" max="16133" width="22.28515625" style="1926" customWidth="1"/>
    <col min="16134" max="16384" width="9.140625" style="1926"/>
  </cols>
  <sheetData>
    <row r="1" spans="1:5" x14ac:dyDescent="0.2">
      <c r="A1" s="1926" t="s">
        <v>9608</v>
      </c>
    </row>
    <row r="2" spans="1:5" x14ac:dyDescent="0.2">
      <c r="A2" s="1926" t="s">
        <v>33</v>
      </c>
    </row>
    <row r="3" spans="1:5" x14ac:dyDescent="0.2">
      <c r="A3" s="1926" t="s">
        <v>9609</v>
      </c>
    </row>
    <row r="4" spans="1:5" x14ac:dyDescent="0.2">
      <c r="A4" s="1926" t="s">
        <v>36</v>
      </c>
    </row>
    <row r="5" spans="1:5" x14ac:dyDescent="0.2">
      <c r="A5" s="1926" t="s">
        <v>9610</v>
      </c>
    </row>
    <row r="6" spans="1:5" x14ac:dyDescent="0.2">
      <c r="A6" s="1926" t="s">
        <v>33</v>
      </c>
    </row>
    <row r="7" spans="1:5" x14ac:dyDescent="0.2">
      <c r="A7" s="1926" t="s">
        <v>37</v>
      </c>
      <c r="B7" s="1926" t="s">
        <v>38</v>
      </c>
      <c r="C7" s="1926" t="s">
        <v>31</v>
      </c>
      <c r="D7" s="1926" t="s">
        <v>32</v>
      </c>
      <c r="E7" s="1926" t="s">
        <v>9611</v>
      </c>
    </row>
    <row r="8" spans="1:5" x14ac:dyDescent="0.2">
      <c r="A8" s="135">
        <v>41758</v>
      </c>
      <c r="B8" s="1926" t="s">
        <v>9612</v>
      </c>
      <c r="C8" s="1926" t="s">
        <v>39</v>
      </c>
      <c r="D8" s="1926" t="s">
        <v>40</v>
      </c>
      <c r="E8" s="1662">
        <v>127.45</v>
      </c>
    </row>
    <row r="9" spans="1:5" x14ac:dyDescent="0.2">
      <c r="A9" s="135">
        <v>39680</v>
      </c>
      <c r="B9" s="1926" t="s">
        <v>9613</v>
      </c>
      <c r="C9" s="1926" t="s">
        <v>39</v>
      </c>
      <c r="D9" s="1926" t="s">
        <v>40</v>
      </c>
      <c r="E9" s="1662">
        <v>119.65</v>
      </c>
    </row>
    <row r="10" spans="1:5" x14ac:dyDescent="0.2">
      <c r="A10" s="135">
        <v>39683</v>
      </c>
      <c r="B10" s="1926" t="s">
        <v>9614</v>
      </c>
      <c r="C10" s="1926" t="s">
        <v>39</v>
      </c>
      <c r="D10" s="1926" t="s">
        <v>40</v>
      </c>
      <c r="E10" s="1662">
        <v>73.25</v>
      </c>
    </row>
    <row r="11" spans="1:5" x14ac:dyDescent="0.2">
      <c r="A11" s="135">
        <v>1363</v>
      </c>
      <c r="B11" s="1926" t="s">
        <v>9615</v>
      </c>
      <c r="C11" s="1926" t="s">
        <v>45</v>
      </c>
      <c r="D11" s="1926" t="s">
        <v>43</v>
      </c>
      <c r="E11" s="1662">
        <v>19.93</v>
      </c>
    </row>
    <row r="12" spans="1:5" x14ac:dyDescent="0.2">
      <c r="A12" s="135">
        <v>1344</v>
      </c>
      <c r="B12" s="1926" t="s">
        <v>9616</v>
      </c>
      <c r="C12" s="1926" t="s">
        <v>39</v>
      </c>
      <c r="D12" s="1926" t="s">
        <v>40</v>
      </c>
      <c r="E12" s="1662">
        <v>39.76</v>
      </c>
    </row>
    <row r="13" spans="1:5" x14ac:dyDescent="0.2">
      <c r="A13" s="135">
        <v>1342</v>
      </c>
      <c r="B13" s="1926" t="s">
        <v>9617</v>
      </c>
      <c r="C13" s="1926" t="s">
        <v>39</v>
      </c>
      <c r="D13" s="1926" t="s">
        <v>40</v>
      </c>
      <c r="E13" s="1662">
        <v>70.290000000000006</v>
      </c>
    </row>
    <row r="14" spans="1:5" x14ac:dyDescent="0.2">
      <c r="A14" s="135">
        <v>1349</v>
      </c>
      <c r="B14" s="1926" t="s">
        <v>9618</v>
      </c>
      <c r="C14" s="1926" t="s">
        <v>39</v>
      </c>
      <c r="D14" s="1926" t="s">
        <v>40</v>
      </c>
      <c r="E14" s="1662">
        <v>100.25</v>
      </c>
    </row>
    <row r="15" spans="1:5" x14ac:dyDescent="0.2">
      <c r="A15" s="135">
        <v>1350</v>
      </c>
      <c r="B15" s="1926" t="s">
        <v>9619</v>
      </c>
      <c r="C15" s="1926" t="s">
        <v>39</v>
      </c>
      <c r="D15" s="1926" t="s">
        <v>43</v>
      </c>
      <c r="E15" s="1662">
        <v>41.34</v>
      </c>
    </row>
    <row r="16" spans="1:5" x14ac:dyDescent="0.2">
      <c r="A16" s="135">
        <v>1357</v>
      </c>
      <c r="B16" s="1926" t="s">
        <v>9620</v>
      </c>
      <c r="C16" s="1926" t="s">
        <v>39</v>
      </c>
      <c r="D16" s="1926" t="s">
        <v>40</v>
      </c>
      <c r="E16" s="1662">
        <v>52.66</v>
      </c>
    </row>
    <row r="17" spans="1:5" x14ac:dyDescent="0.2">
      <c r="A17" s="135">
        <v>1359</v>
      </c>
      <c r="B17" s="1926" t="s">
        <v>9621</v>
      </c>
      <c r="C17" s="1926" t="s">
        <v>39</v>
      </c>
      <c r="D17" s="1926" t="s">
        <v>40</v>
      </c>
      <c r="E17" s="1662">
        <v>81.349999999999994</v>
      </c>
    </row>
    <row r="18" spans="1:5" x14ac:dyDescent="0.2">
      <c r="A18" s="135">
        <v>1351</v>
      </c>
      <c r="B18" s="1926" t="s">
        <v>9622</v>
      </c>
      <c r="C18" s="1926" t="s">
        <v>39</v>
      </c>
      <c r="D18" s="1926" t="s">
        <v>40</v>
      </c>
      <c r="E18" s="1662">
        <v>26.21</v>
      </c>
    </row>
    <row r="19" spans="1:5" x14ac:dyDescent="0.2">
      <c r="A19" s="135">
        <v>3113</v>
      </c>
      <c r="B19" s="1926" t="s">
        <v>9623</v>
      </c>
      <c r="C19" s="1926" t="s">
        <v>57</v>
      </c>
      <c r="D19" s="1926" t="s">
        <v>40</v>
      </c>
      <c r="E19" s="1662">
        <v>55.6</v>
      </c>
    </row>
    <row r="20" spans="1:5" x14ac:dyDescent="0.2">
      <c r="A20" s="135">
        <v>2404</v>
      </c>
      <c r="B20" s="1926" t="s">
        <v>9624</v>
      </c>
      <c r="C20" s="1926" t="s">
        <v>45</v>
      </c>
      <c r="D20" s="1926" t="s">
        <v>46</v>
      </c>
      <c r="E20" s="1662">
        <v>81.66</v>
      </c>
    </row>
    <row r="21" spans="1:5" x14ac:dyDescent="0.2">
      <c r="A21" s="135">
        <v>2418</v>
      </c>
      <c r="B21" s="1926" t="s">
        <v>9625</v>
      </c>
      <c r="C21" s="1926" t="s">
        <v>39</v>
      </c>
      <c r="D21" s="1926" t="s">
        <v>43</v>
      </c>
      <c r="E21" s="1662">
        <v>7.5</v>
      </c>
    </row>
    <row r="22" spans="1:5" x14ac:dyDescent="0.2">
      <c r="A22" s="135">
        <v>2720</v>
      </c>
      <c r="B22" s="1926" t="s">
        <v>9626</v>
      </c>
      <c r="C22" s="1926" t="s">
        <v>42</v>
      </c>
      <c r="D22" s="1926" t="s">
        <v>46</v>
      </c>
      <c r="E22" s="1662">
        <v>171.31</v>
      </c>
    </row>
    <row r="23" spans="1:5" x14ac:dyDescent="0.2">
      <c r="A23" s="135">
        <v>2719</v>
      </c>
      <c r="B23" s="1926" t="s">
        <v>9627</v>
      </c>
      <c r="C23" s="1926" t="s">
        <v>42</v>
      </c>
      <c r="D23" s="1926" t="s">
        <v>46</v>
      </c>
      <c r="E23" s="1662">
        <v>145.15</v>
      </c>
    </row>
    <row r="24" spans="1:5" x14ac:dyDescent="0.2">
      <c r="A24" s="135">
        <v>6086</v>
      </c>
      <c r="B24" s="1926" t="s">
        <v>9628</v>
      </c>
      <c r="C24" s="1926" t="s">
        <v>61</v>
      </c>
      <c r="D24" s="1926" t="s">
        <v>40</v>
      </c>
      <c r="E24" s="1662">
        <v>72.849999999999994</v>
      </c>
    </row>
    <row r="25" spans="1:5" x14ac:dyDescent="0.2">
      <c r="A25" s="135">
        <v>38968</v>
      </c>
      <c r="B25" s="1926" t="s">
        <v>9629</v>
      </c>
      <c r="C25" s="1926" t="s">
        <v>45</v>
      </c>
      <c r="D25" s="1926" t="s">
        <v>46</v>
      </c>
      <c r="E25" s="1662">
        <v>336.94</v>
      </c>
    </row>
    <row r="26" spans="1:5" x14ac:dyDescent="0.2">
      <c r="A26" s="135">
        <v>3378</v>
      </c>
      <c r="B26" s="1926" t="s">
        <v>9630</v>
      </c>
      <c r="C26" s="1926" t="s">
        <v>39</v>
      </c>
      <c r="D26" s="1926" t="s">
        <v>40</v>
      </c>
      <c r="E26" s="1662">
        <v>70.62</v>
      </c>
    </row>
    <row r="27" spans="1:5" x14ac:dyDescent="0.2">
      <c r="A27" s="135">
        <v>3380</v>
      </c>
      <c r="B27" s="1926" t="s">
        <v>9631</v>
      </c>
      <c r="C27" s="1926" t="s">
        <v>39</v>
      </c>
      <c r="D27" s="1926" t="s">
        <v>43</v>
      </c>
      <c r="E27" s="1662">
        <v>49.44</v>
      </c>
    </row>
    <row r="28" spans="1:5" x14ac:dyDescent="0.2">
      <c r="A28" s="135">
        <v>3379</v>
      </c>
      <c r="B28" s="1926" t="s">
        <v>9632</v>
      </c>
      <c r="C28" s="1926" t="s">
        <v>39</v>
      </c>
      <c r="D28" s="1926" t="s">
        <v>40</v>
      </c>
      <c r="E28" s="1662">
        <v>47.73</v>
      </c>
    </row>
    <row r="29" spans="1:5" x14ac:dyDescent="0.2">
      <c r="A29" s="135">
        <v>615</v>
      </c>
      <c r="B29" s="1926" t="s">
        <v>9633</v>
      </c>
      <c r="C29" s="1926" t="s">
        <v>45</v>
      </c>
      <c r="D29" s="1926" t="s">
        <v>46</v>
      </c>
      <c r="E29" s="1662">
        <v>398.39</v>
      </c>
    </row>
    <row r="30" spans="1:5" x14ac:dyDescent="0.2">
      <c r="A30" s="135">
        <v>606</v>
      </c>
      <c r="B30" s="1926" t="s">
        <v>9634</v>
      </c>
      <c r="C30" s="1926" t="s">
        <v>45</v>
      </c>
      <c r="D30" s="1926" t="s">
        <v>46</v>
      </c>
      <c r="E30" s="1662">
        <v>625.83000000000004</v>
      </c>
    </row>
    <row r="31" spans="1:5" x14ac:dyDescent="0.2">
      <c r="A31" s="135">
        <v>11193</v>
      </c>
      <c r="B31" s="1926" t="s">
        <v>9635</v>
      </c>
      <c r="C31" s="1926" t="s">
        <v>45</v>
      </c>
      <c r="D31" s="1926" t="s">
        <v>46</v>
      </c>
      <c r="E31" s="1662">
        <v>634.53</v>
      </c>
    </row>
    <row r="32" spans="1:5" x14ac:dyDescent="0.2">
      <c r="A32" s="135">
        <v>11197</v>
      </c>
      <c r="B32" s="1926" t="s">
        <v>9636</v>
      </c>
      <c r="C32" s="1926" t="s">
        <v>39</v>
      </c>
      <c r="D32" s="1926" t="s">
        <v>46</v>
      </c>
      <c r="E32" s="1662">
        <v>868.99</v>
      </c>
    </row>
    <row r="33" spans="1:5" x14ac:dyDescent="0.2">
      <c r="A33" s="135">
        <v>3346</v>
      </c>
      <c r="B33" s="1926" t="s">
        <v>9637</v>
      </c>
      <c r="C33" s="1926" t="s">
        <v>42</v>
      </c>
      <c r="D33" s="1926" t="s">
        <v>46</v>
      </c>
      <c r="E33" s="1662">
        <v>13.5</v>
      </c>
    </row>
    <row r="34" spans="1:5" x14ac:dyDescent="0.2">
      <c r="A34" s="135">
        <v>3348</v>
      </c>
      <c r="B34" s="1926" t="s">
        <v>9638</v>
      </c>
      <c r="C34" s="1926" t="s">
        <v>42</v>
      </c>
      <c r="D34" s="1926" t="s">
        <v>46</v>
      </c>
      <c r="E34" s="1662">
        <v>16.149999999999999</v>
      </c>
    </row>
    <row r="35" spans="1:5" x14ac:dyDescent="0.2">
      <c r="A35" s="135">
        <v>3345</v>
      </c>
      <c r="B35" s="1926" t="s">
        <v>9639</v>
      </c>
      <c r="C35" s="1926" t="s">
        <v>42</v>
      </c>
      <c r="D35" s="1926" t="s">
        <v>46</v>
      </c>
      <c r="E35" s="1662">
        <v>10.43</v>
      </c>
    </row>
    <row r="36" spans="1:5" x14ac:dyDescent="0.2">
      <c r="A36" s="135">
        <v>39833</v>
      </c>
      <c r="B36" s="1926" t="s">
        <v>9640</v>
      </c>
      <c r="C36" s="1926" t="s">
        <v>42</v>
      </c>
      <c r="D36" s="1926" t="s">
        <v>46</v>
      </c>
      <c r="E36" s="1662">
        <v>22.12</v>
      </c>
    </row>
    <row r="37" spans="1:5" x14ac:dyDescent="0.2">
      <c r="A37" s="135">
        <v>39834</v>
      </c>
      <c r="B37" s="1926" t="s">
        <v>9641</v>
      </c>
      <c r="C37" s="1926" t="s">
        <v>42</v>
      </c>
      <c r="D37" s="1926" t="s">
        <v>46</v>
      </c>
      <c r="E37" s="1662">
        <v>37.96</v>
      </c>
    </row>
    <row r="38" spans="1:5" x14ac:dyDescent="0.2">
      <c r="A38" s="135">
        <v>39835</v>
      </c>
      <c r="B38" s="1926" t="s">
        <v>9642</v>
      </c>
      <c r="C38" s="1926" t="s">
        <v>42</v>
      </c>
      <c r="D38" s="1926" t="s">
        <v>46</v>
      </c>
      <c r="E38" s="1662">
        <v>46.28</v>
      </c>
    </row>
    <row r="39" spans="1:5" x14ac:dyDescent="0.2">
      <c r="A39" s="135">
        <v>3779</v>
      </c>
      <c r="B39" s="1926" t="s">
        <v>9643</v>
      </c>
      <c r="C39" s="1926" t="s">
        <v>47</v>
      </c>
      <c r="D39" s="1926" t="s">
        <v>40</v>
      </c>
      <c r="E39" s="1662">
        <v>7.91</v>
      </c>
    </row>
    <row r="40" spans="1:5" x14ac:dyDescent="0.2">
      <c r="A40" s="135">
        <v>13382</v>
      </c>
      <c r="B40" s="1926" t="s">
        <v>9644</v>
      </c>
      <c r="C40" s="1926" t="s">
        <v>39</v>
      </c>
      <c r="D40" s="1926" t="s">
        <v>46</v>
      </c>
      <c r="E40" s="1662">
        <v>188.86</v>
      </c>
    </row>
    <row r="41" spans="1:5" x14ac:dyDescent="0.2">
      <c r="A41" s="135">
        <v>4051</v>
      </c>
      <c r="B41" s="1926" t="s">
        <v>9645</v>
      </c>
      <c r="C41" s="1926" t="s">
        <v>50</v>
      </c>
      <c r="D41" s="1926" t="s">
        <v>40</v>
      </c>
      <c r="E41" s="1662">
        <v>73.7</v>
      </c>
    </row>
    <row r="42" spans="1:5" x14ac:dyDescent="0.2">
      <c r="A42" s="135">
        <v>4047</v>
      </c>
      <c r="B42" s="1926" t="s">
        <v>9645</v>
      </c>
      <c r="C42" s="1926" t="s">
        <v>61</v>
      </c>
      <c r="D42" s="1926" t="s">
        <v>43</v>
      </c>
      <c r="E42" s="1662">
        <v>14.74</v>
      </c>
    </row>
    <row r="43" spans="1:5" x14ac:dyDescent="0.2">
      <c r="A43" s="135">
        <v>11367</v>
      </c>
      <c r="B43" s="1926" t="s">
        <v>9646</v>
      </c>
      <c r="C43" s="1926" t="s">
        <v>45</v>
      </c>
      <c r="D43" s="1926" t="s">
        <v>40</v>
      </c>
      <c r="E43" s="1662">
        <v>84.98</v>
      </c>
    </row>
    <row r="44" spans="1:5" x14ac:dyDescent="0.2">
      <c r="A44" s="135">
        <v>11523</v>
      </c>
      <c r="B44" s="1926" t="s">
        <v>9647</v>
      </c>
      <c r="C44" s="1926" t="s">
        <v>39</v>
      </c>
      <c r="D44" s="1926" t="s">
        <v>40</v>
      </c>
      <c r="E44" s="1662">
        <v>12.02</v>
      </c>
    </row>
    <row r="45" spans="1:5" x14ac:dyDescent="0.2">
      <c r="A45" s="135">
        <v>13399</v>
      </c>
      <c r="B45" s="1926" t="s">
        <v>9648</v>
      </c>
      <c r="C45" s="1926" t="s">
        <v>39</v>
      </c>
      <c r="D45" s="1926" t="s">
        <v>40</v>
      </c>
      <c r="E45" s="1662">
        <v>37.36</v>
      </c>
    </row>
    <row r="46" spans="1:5" x14ac:dyDescent="0.2">
      <c r="A46" s="135">
        <v>39764</v>
      </c>
      <c r="B46" s="1926" t="s">
        <v>9649</v>
      </c>
      <c r="C46" s="1926" t="s">
        <v>39</v>
      </c>
      <c r="D46" s="1926" t="s">
        <v>40</v>
      </c>
      <c r="E46" s="1662">
        <v>51.38</v>
      </c>
    </row>
    <row r="47" spans="1:5" x14ac:dyDescent="0.2">
      <c r="A47" s="135">
        <v>6204</v>
      </c>
      <c r="B47" s="1926" t="s">
        <v>9650</v>
      </c>
      <c r="C47" s="1926" t="s">
        <v>47</v>
      </c>
      <c r="D47" s="1926" t="s">
        <v>40</v>
      </c>
      <c r="E47" s="1662">
        <v>13.76</v>
      </c>
    </row>
    <row r="48" spans="1:5" x14ac:dyDescent="0.2">
      <c r="A48" s="135">
        <v>6188</v>
      </c>
      <c r="B48" s="1926" t="s">
        <v>9651</v>
      </c>
      <c r="C48" s="1926" t="s">
        <v>45</v>
      </c>
      <c r="D48" s="1926" t="s">
        <v>40</v>
      </c>
      <c r="E48" s="1662">
        <v>23.99</v>
      </c>
    </row>
    <row r="49" spans="1:5" x14ac:dyDescent="0.2">
      <c r="A49" s="135">
        <v>4126</v>
      </c>
      <c r="B49" s="1926" t="s">
        <v>9652</v>
      </c>
      <c r="C49" s="1926" t="s">
        <v>39</v>
      </c>
      <c r="D49" s="1926" t="s">
        <v>46</v>
      </c>
      <c r="E49" s="1662">
        <v>201.22</v>
      </c>
    </row>
    <row r="50" spans="1:5" x14ac:dyDescent="0.2">
      <c r="A50" s="135">
        <v>7287</v>
      </c>
      <c r="B50" s="1926" t="s">
        <v>9653</v>
      </c>
      <c r="C50" s="1926" t="s">
        <v>61</v>
      </c>
      <c r="D50" s="1926" t="s">
        <v>40</v>
      </c>
      <c r="E50" s="1662">
        <v>79.47</v>
      </c>
    </row>
    <row r="51" spans="1:5" x14ac:dyDescent="0.2">
      <c r="A51" s="135">
        <v>7347</v>
      </c>
      <c r="B51" s="1926" t="s">
        <v>9654</v>
      </c>
      <c r="C51" s="1926" t="s">
        <v>61</v>
      </c>
      <c r="D51" s="1926" t="s">
        <v>40</v>
      </c>
      <c r="E51" s="1662">
        <v>49.53</v>
      </c>
    </row>
    <row r="52" spans="1:5" x14ac:dyDescent="0.2">
      <c r="A52" s="135">
        <v>7345</v>
      </c>
      <c r="B52" s="1926" t="s">
        <v>9655</v>
      </c>
      <c r="C52" s="1926" t="s">
        <v>49</v>
      </c>
      <c r="D52" s="1926" t="s">
        <v>40</v>
      </c>
      <c r="E52" s="1662">
        <v>17.82</v>
      </c>
    </row>
    <row r="53" spans="1:5" x14ac:dyDescent="0.2">
      <c r="A53" s="135">
        <v>7344</v>
      </c>
      <c r="B53" s="1926" t="s">
        <v>9655</v>
      </c>
      <c r="C53" s="1926" t="s">
        <v>61</v>
      </c>
      <c r="D53" s="1926" t="s">
        <v>43</v>
      </c>
      <c r="E53" s="1662">
        <v>64.17</v>
      </c>
    </row>
    <row r="54" spans="1:5" x14ac:dyDescent="0.2">
      <c r="A54" s="135">
        <v>40514</v>
      </c>
      <c r="B54" s="1926" t="s">
        <v>9656</v>
      </c>
      <c r="C54" s="1926" t="s">
        <v>49</v>
      </c>
      <c r="D54" s="1926" t="s">
        <v>43</v>
      </c>
      <c r="E54" s="1662">
        <v>25.8</v>
      </c>
    </row>
    <row r="55" spans="1:5" x14ac:dyDescent="0.2">
      <c r="A55" s="135">
        <v>4487</v>
      </c>
      <c r="B55" s="1926" t="s">
        <v>9657</v>
      </c>
      <c r="C55" s="1926" t="s">
        <v>47</v>
      </c>
      <c r="D55" s="1926" t="s">
        <v>40</v>
      </c>
      <c r="E55" s="1662">
        <v>17.41</v>
      </c>
    </row>
    <row r="56" spans="1:5" x14ac:dyDescent="0.2">
      <c r="A56" s="135">
        <v>11199</v>
      </c>
      <c r="B56" s="1926" t="s">
        <v>9658</v>
      </c>
      <c r="C56" s="1926" t="s">
        <v>39</v>
      </c>
      <c r="D56" s="1926" t="s">
        <v>46</v>
      </c>
      <c r="E56" s="1662">
        <v>898.01</v>
      </c>
    </row>
    <row r="57" spans="1:5" x14ac:dyDescent="0.2">
      <c r="A57" s="135">
        <v>4053</v>
      </c>
      <c r="B57" s="1926" t="s">
        <v>9659</v>
      </c>
      <c r="C57" s="1926" t="s">
        <v>61</v>
      </c>
      <c r="D57" s="1926" t="s">
        <v>40</v>
      </c>
      <c r="E57" s="1662">
        <v>56.15</v>
      </c>
    </row>
    <row r="58" spans="1:5" x14ac:dyDescent="0.2">
      <c r="A58" s="135">
        <v>4056</v>
      </c>
      <c r="B58" s="1926" t="s">
        <v>9660</v>
      </c>
      <c r="C58" s="1926" t="s">
        <v>61</v>
      </c>
      <c r="D58" s="1926" t="s">
        <v>40</v>
      </c>
      <c r="E58" s="1662">
        <v>29.52</v>
      </c>
    </row>
    <row r="59" spans="1:5" x14ac:dyDescent="0.2">
      <c r="A59" s="135">
        <v>21136</v>
      </c>
      <c r="B59" s="1926" t="s">
        <v>9661</v>
      </c>
      <c r="C59" s="1926" t="s">
        <v>47</v>
      </c>
      <c r="D59" s="1926" t="s">
        <v>46</v>
      </c>
      <c r="E59" s="1662">
        <v>11.95</v>
      </c>
    </row>
    <row r="60" spans="1:5" x14ac:dyDescent="0.2">
      <c r="A60" s="135">
        <v>21128</v>
      </c>
      <c r="B60" s="1926" t="s">
        <v>9662</v>
      </c>
      <c r="C60" s="1926" t="s">
        <v>47</v>
      </c>
      <c r="D60" s="1926" t="s">
        <v>46</v>
      </c>
      <c r="E60" s="1662">
        <v>9.25</v>
      </c>
    </row>
    <row r="61" spans="1:5" x14ac:dyDescent="0.2">
      <c r="A61" s="135">
        <v>21130</v>
      </c>
      <c r="B61" s="1926" t="s">
        <v>9663</v>
      </c>
      <c r="C61" s="1926" t="s">
        <v>47</v>
      </c>
      <c r="D61" s="1926" t="s">
        <v>46</v>
      </c>
      <c r="E61" s="1662">
        <v>23.36</v>
      </c>
    </row>
    <row r="62" spans="1:5" x14ac:dyDescent="0.2">
      <c r="A62" s="135">
        <v>21135</v>
      </c>
      <c r="B62" s="1926" t="s">
        <v>9664</v>
      </c>
      <c r="C62" s="1926" t="s">
        <v>47</v>
      </c>
      <c r="D62" s="1926" t="s">
        <v>46</v>
      </c>
      <c r="E62" s="1662">
        <v>23</v>
      </c>
    </row>
    <row r="63" spans="1:5" x14ac:dyDescent="0.2">
      <c r="A63" s="135">
        <v>42402</v>
      </c>
      <c r="B63" s="1926" t="s">
        <v>9665</v>
      </c>
      <c r="C63" s="1926" t="s">
        <v>48</v>
      </c>
      <c r="D63" s="1926" t="s">
        <v>40</v>
      </c>
      <c r="E63" s="1662">
        <v>5.62</v>
      </c>
    </row>
    <row r="64" spans="1:5" x14ac:dyDescent="0.2">
      <c r="A64" s="135">
        <v>38605</v>
      </c>
      <c r="B64" s="1926" t="s">
        <v>9666</v>
      </c>
      <c r="C64" s="1926" t="s">
        <v>39</v>
      </c>
      <c r="D64" s="1926" t="s">
        <v>40</v>
      </c>
      <c r="E64" s="1662">
        <v>74.63</v>
      </c>
    </row>
    <row r="65" spans="1:5" x14ac:dyDescent="0.2">
      <c r="A65" s="135">
        <v>11270</v>
      </c>
      <c r="B65" s="1926" t="s">
        <v>9667</v>
      </c>
      <c r="C65" s="1926" t="s">
        <v>39</v>
      </c>
      <c r="D65" s="1926" t="s">
        <v>40</v>
      </c>
      <c r="E65" s="1662">
        <v>1.92</v>
      </c>
    </row>
    <row r="66" spans="1:5" x14ac:dyDescent="0.2">
      <c r="A66" s="135">
        <v>412</v>
      </c>
      <c r="B66" s="1926" t="s">
        <v>9668</v>
      </c>
      <c r="C66" s="1926" t="s">
        <v>39</v>
      </c>
      <c r="D66" s="1926" t="s">
        <v>40</v>
      </c>
      <c r="E66" s="1662">
        <v>0.97</v>
      </c>
    </row>
    <row r="67" spans="1:5" x14ac:dyDescent="0.2">
      <c r="A67" s="135">
        <v>414</v>
      </c>
      <c r="B67" s="1926" t="s">
        <v>9669</v>
      </c>
      <c r="C67" s="1926" t="s">
        <v>39</v>
      </c>
      <c r="D67" s="1926" t="s">
        <v>40</v>
      </c>
      <c r="E67" s="1662">
        <v>0.06</v>
      </c>
    </row>
    <row r="68" spans="1:5" x14ac:dyDescent="0.2">
      <c r="A68" s="135">
        <v>410</v>
      </c>
      <c r="B68" s="1926" t="s">
        <v>9670</v>
      </c>
      <c r="C68" s="1926" t="s">
        <v>39</v>
      </c>
      <c r="D68" s="1926" t="s">
        <v>40</v>
      </c>
      <c r="E68" s="1662">
        <v>0.15</v>
      </c>
    </row>
    <row r="69" spans="1:5" x14ac:dyDescent="0.2">
      <c r="A69" s="135">
        <v>411</v>
      </c>
      <c r="B69" s="1926" t="s">
        <v>9671</v>
      </c>
      <c r="C69" s="1926" t="s">
        <v>39</v>
      </c>
      <c r="D69" s="1926" t="s">
        <v>43</v>
      </c>
      <c r="E69" s="1662">
        <v>0.19</v>
      </c>
    </row>
    <row r="70" spans="1:5" x14ac:dyDescent="0.2">
      <c r="A70" s="135">
        <v>408</v>
      </c>
      <c r="B70" s="1926" t="s">
        <v>9672</v>
      </c>
      <c r="C70" s="1926" t="s">
        <v>39</v>
      </c>
      <c r="D70" s="1926" t="s">
        <v>40</v>
      </c>
      <c r="E70" s="1662">
        <v>0.94</v>
      </c>
    </row>
    <row r="71" spans="1:5" x14ac:dyDescent="0.2">
      <c r="A71" s="135">
        <v>39131</v>
      </c>
      <c r="B71" s="1926" t="s">
        <v>9673</v>
      </c>
      <c r="C71" s="1926" t="s">
        <v>39</v>
      </c>
      <c r="D71" s="1926" t="s">
        <v>40</v>
      </c>
      <c r="E71" s="1662">
        <v>2.21</v>
      </c>
    </row>
    <row r="72" spans="1:5" x14ac:dyDescent="0.2">
      <c r="A72" s="135">
        <v>394</v>
      </c>
      <c r="B72" s="1926" t="s">
        <v>9674</v>
      </c>
      <c r="C72" s="1926" t="s">
        <v>39</v>
      </c>
      <c r="D72" s="1926" t="s">
        <v>40</v>
      </c>
      <c r="E72" s="1662">
        <v>2.2400000000000002</v>
      </c>
    </row>
    <row r="73" spans="1:5" x14ac:dyDescent="0.2">
      <c r="A73" s="135">
        <v>39130</v>
      </c>
      <c r="B73" s="1926" t="s">
        <v>9675</v>
      </c>
      <c r="C73" s="1926" t="s">
        <v>39</v>
      </c>
      <c r="D73" s="1926" t="s">
        <v>40</v>
      </c>
      <c r="E73" s="1662">
        <v>2.0099999999999998</v>
      </c>
    </row>
    <row r="74" spans="1:5" x14ac:dyDescent="0.2">
      <c r="A74" s="135">
        <v>395</v>
      </c>
      <c r="B74" s="1926" t="s">
        <v>9676</v>
      </c>
      <c r="C74" s="1926" t="s">
        <v>39</v>
      </c>
      <c r="D74" s="1926" t="s">
        <v>40</v>
      </c>
      <c r="E74" s="1662">
        <v>2.15</v>
      </c>
    </row>
    <row r="75" spans="1:5" x14ac:dyDescent="0.2">
      <c r="A75" s="135">
        <v>39127</v>
      </c>
      <c r="B75" s="1926" t="s">
        <v>9677</v>
      </c>
      <c r="C75" s="1926" t="s">
        <v>39</v>
      </c>
      <c r="D75" s="1926" t="s">
        <v>40</v>
      </c>
      <c r="E75" s="1662">
        <v>1.06</v>
      </c>
    </row>
    <row r="76" spans="1:5" x14ac:dyDescent="0.2">
      <c r="A76" s="135">
        <v>392</v>
      </c>
      <c r="B76" s="1926" t="s">
        <v>9678</v>
      </c>
      <c r="C76" s="1926" t="s">
        <v>39</v>
      </c>
      <c r="D76" s="1926" t="s">
        <v>40</v>
      </c>
      <c r="E76" s="1662">
        <v>1.0900000000000001</v>
      </c>
    </row>
    <row r="77" spans="1:5" x14ac:dyDescent="0.2">
      <c r="A77" s="135">
        <v>39129</v>
      </c>
      <c r="B77" s="1926" t="s">
        <v>9679</v>
      </c>
      <c r="C77" s="1926" t="s">
        <v>39</v>
      </c>
      <c r="D77" s="1926" t="s">
        <v>40</v>
      </c>
      <c r="E77" s="1662">
        <v>1.24</v>
      </c>
    </row>
    <row r="78" spans="1:5" x14ac:dyDescent="0.2">
      <c r="A78" s="135">
        <v>393</v>
      </c>
      <c r="B78" s="1926" t="s">
        <v>9680</v>
      </c>
      <c r="C78" s="1926" t="s">
        <v>39</v>
      </c>
      <c r="D78" s="1926" t="s">
        <v>43</v>
      </c>
      <c r="E78" s="1662">
        <v>1.3</v>
      </c>
    </row>
    <row r="79" spans="1:5" x14ac:dyDescent="0.2">
      <c r="A79" s="135">
        <v>39133</v>
      </c>
      <c r="B79" s="1926" t="s">
        <v>9681</v>
      </c>
      <c r="C79" s="1926" t="s">
        <v>39</v>
      </c>
      <c r="D79" s="1926" t="s">
        <v>40</v>
      </c>
      <c r="E79" s="1662">
        <v>2.9</v>
      </c>
    </row>
    <row r="80" spans="1:5" x14ac:dyDescent="0.2">
      <c r="A80" s="135">
        <v>397</v>
      </c>
      <c r="B80" s="1926" t="s">
        <v>9682</v>
      </c>
      <c r="C80" s="1926" t="s">
        <v>39</v>
      </c>
      <c r="D80" s="1926" t="s">
        <v>40</v>
      </c>
      <c r="E80" s="1662">
        <v>3.2</v>
      </c>
    </row>
    <row r="81" spans="1:5" x14ac:dyDescent="0.2">
      <c r="A81" s="135">
        <v>39132</v>
      </c>
      <c r="B81" s="1926" t="s">
        <v>9683</v>
      </c>
      <c r="C81" s="1926" t="s">
        <v>39</v>
      </c>
      <c r="D81" s="1926" t="s">
        <v>40</v>
      </c>
      <c r="E81" s="1662">
        <v>2.3199999999999998</v>
      </c>
    </row>
    <row r="82" spans="1:5" x14ac:dyDescent="0.2">
      <c r="A82" s="135">
        <v>396</v>
      </c>
      <c r="B82" s="1926" t="s">
        <v>9684</v>
      </c>
      <c r="C82" s="1926" t="s">
        <v>39</v>
      </c>
      <c r="D82" s="1926" t="s">
        <v>40</v>
      </c>
      <c r="E82" s="1662">
        <v>2.48</v>
      </c>
    </row>
    <row r="83" spans="1:5" x14ac:dyDescent="0.2">
      <c r="A83" s="135">
        <v>39135</v>
      </c>
      <c r="B83" s="1926" t="s">
        <v>9685</v>
      </c>
      <c r="C83" s="1926" t="s">
        <v>39</v>
      </c>
      <c r="D83" s="1926" t="s">
        <v>40</v>
      </c>
      <c r="E83" s="1662">
        <v>4.6399999999999997</v>
      </c>
    </row>
    <row r="84" spans="1:5" x14ac:dyDescent="0.2">
      <c r="A84" s="135">
        <v>39128</v>
      </c>
      <c r="B84" s="1926" t="s">
        <v>9686</v>
      </c>
      <c r="C84" s="1926" t="s">
        <v>39</v>
      </c>
      <c r="D84" s="1926" t="s">
        <v>40</v>
      </c>
      <c r="E84" s="1662">
        <v>1.1599999999999999</v>
      </c>
    </row>
    <row r="85" spans="1:5" x14ac:dyDescent="0.2">
      <c r="A85" s="135">
        <v>400</v>
      </c>
      <c r="B85" s="1926" t="s">
        <v>9687</v>
      </c>
      <c r="C85" s="1926" t="s">
        <v>39</v>
      </c>
      <c r="D85" s="1926" t="s">
        <v>40</v>
      </c>
      <c r="E85" s="1662">
        <v>1.1299999999999999</v>
      </c>
    </row>
    <row r="86" spans="1:5" x14ac:dyDescent="0.2">
      <c r="A86" s="135">
        <v>39125</v>
      </c>
      <c r="B86" s="1926" t="s">
        <v>9688</v>
      </c>
      <c r="C86" s="1926" t="s">
        <v>39</v>
      </c>
      <c r="D86" s="1926" t="s">
        <v>40</v>
      </c>
      <c r="E86" s="1662">
        <v>1.1599999999999999</v>
      </c>
    </row>
    <row r="87" spans="1:5" x14ac:dyDescent="0.2">
      <c r="A87" s="135">
        <v>39134</v>
      </c>
      <c r="B87" s="1926" t="s">
        <v>9689</v>
      </c>
      <c r="C87" s="1926" t="s">
        <v>39</v>
      </c>
      <c r="D87" s="1926" t="s">
        <v>40</v>
      </c>
      <c r="E87" s="1662">
        <v>3.87</v>
      </c>
    </row>
    <row r="88" spans="1:5" x14ac:dyDescent="0.2">
      <c r="A88" s="135">
        <v>398</v>
      </c>
      <c r="B88" s="1926" t="s">
        <v>9690</v>
      </c>
      <c r="C88" s="1926" t="s">
        <v>39</v>
      </c>
      <c r="D88" s="1926" t="s">
        <v>40</v>
      </c>
      <c r="E88" s="1662">
        <v>3.56</v>
      </c>
    </row>
    <row r="89" spans="1:5" x14ac:dyDescent="0.2">
      <c r="A89" s="135">
        <v>39126</v>
      </c>
      <c r="B89" s="1926" t="s">
        <v>9691</v>
      </c>
      <c r="C89" s="1926" t="s">
        <v>39</v>
      </c>
      <c r="D89" s="1926" t="s">
        <v>40</v>
      </c>
      <c r="E89" s="1662">
        <v>5.22</v>
      </c>
    </row>
    <row r="90" spans="1:5" x14ac:dyDescent="0.2">
      <c r="A90" s="135">
        <v>399</v>
      </c>
      <c r="B90" s="1926" t="s">
        <v>9692</v>
      </c>
      <c r="C90" s="1926" t="s">
        <v>39</v>
      </c>
      <c r="D90" s="1926" t="s">
        <v>40</v>
      </c>
      <c r="E90" s="1662">
        <v>4.5999999999999996</v>
      </c>
    </row>
    <row r="91" spans="1:5" x14ac:dyDescent="0.2">
      <c r="A91" s="135">
        <v>39158</v>
      </c>
      <c r="B91" s="1926" t="s">
        <v>9693</v>
      </c>
      <c r="C91" s="1926" t="s">
        <v>39</v>
      </c>
      <c r="D91" s="1926" t="s">
        <v>40</v>
      </c>
      <c r="E91" s="1662">
        <v>12.36</v>
      </c>
    </row>
    <row r="92" spans="1:5" x14ac:dyDescent="0.2">
      <c r="A92" s="135">
        <v>39141</v>
      </c>
      <c r="B92" s="1926" t="s">
        <v>9694</v>
      </c>
      <c r="C92" s="1926" t="s">
        <v>39</v>
      </c>
      <c r="D92" s="1926" t="s">
        <v>40</v>
      </c>
      <c r="E92" s="1662">
        <v>0.89</v>
      </c>
    </row>
    <row r="93" spans="1:5" x14ac:dyDescent="0.2">
      <c r="A93" s="135">
        <v>39140</v>
      </c>
      <c r="B93" s="1926" t="s">
        <v>9695</v>
      </c>
      <c r="C93" s="1926" t="s">
        <v>39</v>
      </c>
      <c r="D93" s="1926" t="s">
        <v>40</v>
      </c>
      <c r="E93" s="1662">
        <v>0.81</v>
      </c>
    </row>
    <row r="94" spans="1:5" x14ac:dyDescent="0.2">
      <c r="A94" s="135">
        <v>39137</v>
      </c>
      <c r="B94" s="1926" t="s">
        <v>9696</v>
      </c>
      <c r="C94" s="1926" t="s">
        <v>39</v>
      </c>
      <c r="D94" s="1926" t="s">
        <v>40</v>
      </c>
      <c r="E94" s="1662">
        <v>0.47</v>
      </c>
    </row>
    <row r="95" spans="1:5" x14ac:dyDescent="0.2">
      <c r="A95" s="135">
        <v>39139</v>
      </c>
      <c r="B95" s="1926" t="s">
        <v>9697</v>
      </c>
      <c r="C95" s="1926" t="s">
        <v>39</v>
      </c>
      <c r="D95" s="1926" t="s">
        <v>40</v>
      </c>
      <c r="E95" s="1662">
        <v>0.67</v>
      </c>
    </row>
    <row r="96" spans="1:5" x14ac:dyDescent="0.2">
      <c r="A96" s="135">
        <v>39143</v>
      </c>
      <c r="B96" s="1926" t="s">
        <v>9698</v>
      </c>
      <c r="C96" s="1926" t="s">
        <v>39</v>
      </c>
      <c r="D96" s="1926" t="s">
        <v>40</v>
      </c>
      <c r="E96" s="1662">
        <v>1.85</v>
      </c>
    </row>
    <row r="97" spans="1:5" x14ac:dyDescent="0.2">
      <c r="A97" s="135">
        <v>39142</v>
      </c>
      <c r="B97" s="1926" t="s">
        <v>9699</v>
      </c>
      <c r="C97" s="1926" t="s">
        <v>39</v>
      </c>
      <c r="D97" s="1926" t="s">
        <v>40</v>
      </c>
      <c r="E97" s="1662">
        <v>1.32</v>
      </c>
    </row>
    <row r="98" spans="1:5" x14ac:dyDescent="0.2">
      <c r="A98" s="135">
        <v>39138</v>
      </c>
      <c r="B98" s="1926" t="s">
        <v>9700</v>
      </c>
      <c r="C98" s="1926" t="s">
        <v>39</v>
      </c>
      <c r="D98" s="1926" t="s">
        <v>40</v>
      </c>
      <c r="E98" s="1662">
        <v>0.49</v>
      </c>
    </row>
    <row r="99" spans="1:5" x14ac:dyDescent="0.2">
      <c r="A99" s="135">
        <v>39136</v>
      </c>
      <c r="B99" s="1926" t="s">
        <v>9701</v>
      </c>
      <c r="C99" s="1926" t="s">
        <v>39</v>
      </c>
      <c r="D99" s="1926" t="s">
        <v>40</v>
      </c>
      <c r="E99" s="1662">
        <v>0.33</v>
      </c>
    </row>
    <row r="100" spans="1:5" x14ac:dyDescent="0.2">
      <c r="A100" s="135">
        <v>39144</v>
      </c>
      <c r="B100" s="1926" t="s">
        <v>9702</v>
      </c>
      <c r="C100" s="1926" t="s">
        <v>39</v>
      </c>
      <c r="D100" s="1926" t="s">
        <v>40</v>
      </c>
      <c r="E100" s="1662">
        <v>2.15</v>
      </c>
    </row>
    <row r="101" spans="1:5" x14ac:dyDescent="0.2">
      <c r="A101" s="135">
        <v>39145</v>
      </c>
      <c r="B101" s="1926" t="s">
        <v>9703</v>
      </c>
      <c r="C101" s="1926" t="s">
        <v>39</v>
      </c>
      <c r="D101" s="1926" t="s">
        <v>40</v>
      </c>
      <c r="E101" s="1662">
        <v>3.55</v>
      </c>
    </row>
    <row r="102" spans="1:5" x14ac:dyDescent="0.2">
      <c r="A102" s="135">
        <v>12615</v>
      </c>
      <c r="B102" s="1926" t="s">
        <v>9704</v>
      </c>
      <c r="C102" s="1926" t="s">
        <v>39</v>
      </c>
      <c r="D102" s="1926" t="s">
        <v>46</v>
      </c>
      <c r="E102" s="1662">
        <v>3.06</v>
      </c>
    </row>
    <row r="103" spans="1:5" x14ac:dyDescent="0.2">
      <c r="A103" s="135">
        <v>11927</v>
      </c>
      <c r="B103" s="1926" t="s">
        <v>9705</v>
      </c>
      <c r="C103" s="1926" t="s">
        <v>39</v>
      </c>
      <c r="D103" s="1926" t="s">
        <v>40</v>
      </c>
      <c r="E103" s="1662">
        <v>5.73</v>
      </c>
    </row>
    <row r="104" spans="1:5" x14ac:dyDescent="0.2">
      <c r="A104" s="135">
        <v>11928</v>
      </c>
      <c r="B104" s="1926" t="s">
        <v>9706</v>
      </c>
      <c r="C104" s="1926" t="s">
        <v>39</v>
      </c>
      <c r="D104" s="1926" t="s">
        <v>40</v>
      </c>
      <c r="E104" s="1662">
        <v>6.56</v>
      </c>
    </row>
    <row r="105" spans="1:5" x14ac:dyDescent="0.2">
      <c r="A105" s="135">
        <v>11929</v>
      </c>
      <c r="B105" s="1926" t="s">
        <v>9707</v>
      </c>
      <c r="C105" s="1926" t="s">
        <v>39</v>
      </c>
      <c r="D105" s="1926" t="s">
        <v>40</v>
      </c>
      <c r="E105" s="1662">
        <v>10.15</v>
      </c>
    </row>
    <row r="106" spans="1:5" x14ac:dyDescent="0.2">
      <c r="A106" s="135">
        <v>36801</v>
      </c>
      <c r="B106" s="1926" t="s">
        <v>9708</v>
      </c>
      <c r="C106" s="1926" t="s">
        <v>39</v>
      </c>
      <c r="D106" s="1926" t="s">
        <v>40</v>
      </c>
      <c r="E106" s="1662">
        <v>20.27</v>
      </c>
    </row>
    <row r="107" spans="1:5" x14ac:dyDescent="0.2">
      <c r="A107" s="135">
        <v>36246</v>
      </c>
      <c r="B107" s="1926" t="s">
        <v>9709</v>
      </c>
      <c r="C107" s="1926" t="s">
        <v>47</v>
      </c>
      <c r="D107" s="1926" t="s">
        <v>40</v>
      </c>
      <c r="E107" s="1662">
        <v>1.96</v>
      </c>
    </row>
    <row r="108" spans="1:5" x14ac:dyDescent="0.2">
      <c r="A108" s="135">
        <v>37600</v>
      </c>
      <c r="B108" s="1926" t="s">
        <v>9710</v>
      </c>
      <c r="C108" s="1926" t="s">
        <v>39</v>
      </c>
      <c r="D108" s="1926" t="s">
        <v>46</v>
      </c>
      <c r="E108" s="1662">
        <v>60.66</v>
      </c>
    </row>
    <row r="109" spans="1:5" x14ac:dyDescent="0.2">
      <c r="A109" s="135">
        <v>37599</v>
      </c>
      <c r="B109" s="1926" t="s">
        <v>9711</v>
      </c>
      <c r="C109" s="1926" t="s">
        <v>39</v>
      </c>
      <c r="D109" s="1926" t="s">
        <v>46</v>
      </c>
      <c r="E109" s="1662">
        <v>56.46</v>
      </c>
    </row>
    <row r="110" spans="1:5" x14ac:dyDescent="0.2">
      <c r="A110" s="135">
        <v>1</v>
      </c>
      <c r="B110" s="1926" t="s">
        <v>9712</v>
      </c>
      <c r="C110" s="1926" t="s">
        <v>48</v>
      </c>
      <c r="D110" s="1926" t="s">
        <v>43</v>
      </c>
      <c r="E110" s="1662">
        <v>40</v>
      </c>
    </row>
    <row r="111" spans="1:5" x14ac:dyDescent="0.2">
      <c r="A111" s="135">
        <v>3</v>
      </c>
      <c r="B111" s="1926" t="s">
        <v>9713</v>
      </c>
      <c r="C111" s="1926" t="s">
        <v>49</v>
      </c>
      <c r="D111" s="1926" t="s">
        <v>40</v>
      </c>
      <c r="E111" s="1662">
        <v>4.63</v>
      </c>
    </row>
    <row r="112" spans="1:5" x14ac:dyDescent="0.2">
      <c r="A112" s="135">
        <v>43054</v>
      </c>
      <c r="B112" s="1926" t="s">
        <v>9714</v>
      </c>
      <c r="C112" s="1926" t="s">
        <v>48</v>
      </c>
      <c r="D112" s="1926" t="s">
        <v>40</v>
      </c>
      <c r="E112" s="1662">
        <v>5.88</v>
      </c>
    </row>
    <row r="113" spans="1:5" x14ac:dyDescent="0.2">
      <c r="A113" s="135">
        <v>42403</v>
      </c>
      <c r="B113" s="1926" t="s">
        <v>9715</v>
      </c>
      <c r="C113" s="1926" t="s">
        <v>48</v>
      </c>
      <c r="D113" s="1926" t="s">
        <v>40</v>
      </c>
      <c r="E113" s="1662">
        <v>7.21</v>
      </c>
    </row>
    <row r="114" spans="1:5" x14ac:dyDescent="0.2">
      <c r="A114" s="135">
        <v>42404</v>
      </c>
      <c r="B114" s="1926" t="s">
        <v>9716</v>
      </c>
      <c r="C114" s="1926" t="s">
        <v>48</v>
      </c>
      <c r="D114" s="1926" t="s">
        <v>40</v>
      </c>
      <c r="E114" s="1662">
        <v>7.17</v>
      </c>
    </row>
    <row r="115" spans="1:5" x14ac:dyDescent="0.2">
      <c r="A115" s="135">
        <v>42405</v>
      </c>
      <c r="B115" s="1926" t="s">
        <v>9717</v>
      </c>
      <c r="C115" s="1926" t="s">
        <v>48</v>
      </c>
      <c r="D115" s="1926" t="s">
        <v>40</v>
      </c>
      <c r="E115" s="1662">
        <v>7.63</v>
      </c>
    </row>
    <row r="116" spans="1:5" x14ac:dyDescent="0.2">
      <c r="A116" s="135">
        <v>34341</v>
      </c>
      <c r="B116" s="1926" t="s">
        <v>9718</v>
      </c>
      <c r="C116" s="1926" t="s">
        <v>48</v>
      </c>
      <c r="D116" s="1926" t="s">
        <v>40</v>
      </c>
      <c r="E116" s="1662">
        <v>6.62</v>
      </c>
    </row>
    <row r="117" spans="1:5" x14ac:dyDescent="0.2">
      <c r="A117" s="135">
        <v>43053</v>
      </c>
      <c r="B117" s="1926" t="s">
        <v>9719</v>
      </c>
      <c r="C117" s="1926" t="s">
        <v>48</v>
      </c>
      <c r="D117" s="1926" t="s">
        <v>40</v>
      </c>
      <c r="E117" s="1662">
        <v>5.25</v>
      </c>
    </row>
    <row r="118" spans="1:5" x14ac:dyDescent="0.2">
      <c r="A118" s="135">
        <v>43058</v>
      </c>
      <c r="B118" s="1926" t="s">
        <v>9720</v>
      </c>
      <c r="C118" s="1926" t="s">
        <v>48</v>
      </c>
      <c r="D118" s="1926" t="s">
        <v>40</v>
      </c>
      <c r="E118" s="1662">
        <v>5.44</v>
      </c>
    </row>
    <row r="119" spans="1:5" x14ac:dyDescent="0.2">
      <c r="A119" s="135">
        <v>34</v>
      </c>
      <c r="B119" s="1926" t="s">
        <v>9721</v>
      </c>
      <c r="C119" s="1926" t="s">
        <v>48</v>
      </c>
      <c r="D119" s="1926" t="s">
        <v>40</v>
      </c>
      <c r="E119" s="1662">
        <v>5.47</v>
      </c>
    </row>
    <row r="120" spans="1:5" x14ac:dyDescent="0.2">
      <c r="A120" s="135">
        <v>43055</v>
      </c>
      <c r="B120" s="1926" t="s">
        <v>9722</v>
      </c>
      <c r="C120" s="1926" t="s">
        <v>48</v>
      </c>
      <c r="D120" s="1926" t="s">
        <v>43</v>
      </c>
      <c r="E120" s="1662">
        <v>4.74</v>
      </c>
    </row>
    <row r="121" spans="1:5" x14ac:dyDescent="0.2">
      <c r="A121" s="135">
        <v>43056</v>
      </c>
      <c r="B121" s="1926" t="s">
        <v>9723</v>
      </c>
      <c r="C121" s="1926" t="s">
        <v>48</v>
      </c>
      <c r="D121" s="1926" t="s">
        <v>40</v>
      </c>
      <c r="E121" s="1662">
        <v>5.46</v>
      </c>
    </row>
    <row r="122" spans="1:5" x14ac:dyDescent="0.2">
      <c r="A122" s="135">
        <v>43057</v>
      </c>
      <c r="B122" s="1926" t="s">
        <v>9724</v>
      </c>
      <c r="C122" s="1926" t="s">
        <v>48</v>
      </c>
      <c r="D122" s="1926" t="s">
        <v>40</v>
      </c>
      <c r="E122" s="1662">
        <v>6</v>
      </c>
    </row>
    <row r="123" spans="1:5" x14ac:dyDescent="0.2">
      <c r="A123" s="135">
        <v>34449</v>
      </c>
      <c r="B123" s="1926" t="s">
        <v>9725</v>
      </c>
      <c r="C123" s="1926" t="s">
        <v>48</v>
      </c>
      <c r="D123" s="1926" t="s">
        <v>40</v>
      </c>
      <c r="E123" s="1662">
        <v>6.42</v>
      </c>
    </row>
    <row r="124" spans="1:5" x14ac:dyDescent="0.2">
      <c r="A124" s="135">
        <v>32</v>
      </c>
      <c r="B124" s="1926" t="s">
        <v>9726</v>
      </c>
      <c r="C124" s="1926" t="s">
        <v>48</v>
      </c>
      <c r="D124" s="1926" t="s">
        <v>40</v>
      </c>
      <c r="E124" s="1662">
        <v>5.77</v>
      </c>
    </row>
    <row r="125" spans="1:5" x14ac:dyDescent="0.2">
      <c r="A125" s="135">
        <v>33</v>
      </c>
      <c r="B125" s="1926" t="s">
        <v>9727</v>
      </c>
      <c r="C125" s="1926" t="s">
        <v>48</v>
      </c>
      <c r="D125" s="1926" t="s">
        <v>40</v>
      </c>
      <c r="E125" s="1662">
        <v>5.8</v>
      </c>
    </row>
    <row r="126" spans="1:5" x14ac:dyDescent="0.2">
      <c r="A126" s="135">
        <v>43061</v>
      </c>
      <c r="B126" s="1926" t="s">
        <v>9728</v>
      </c>
      <c r="C126" s="1926" t="s">
        <v>48</v>
      </c>
      <c r="D126" s="1926" t="s">
        <v>40</v>
      </c>
      <c r="E126" s="1662">
        <v>5.42</v>
      </c>
    </row>
    <row r="127" spans="1:5" x14ac:dyDescent="0.2">
      <c r="A127" s="135">
        <v>43059</v>
      </c>
      <c r="B127" s="1926" t="s">
        <v>9729</v>
      </c>
      <c r="C127" s="1926" t="s">
        <v>48</v>
      </c>
      <c r="D127" s="1926" t="s">
        <v>40</v>
      </c>
      <c r="E127" s="1662">
        <v>5.18</v>
      </c>
    </row>
    <row r="128" spans="1:5" x14ac:dyDescent="0.2">
      <c r="A128" s="135">
        <v>43062</v>
      </c>
      <c r="B128" s="1926" t="s">
        <v>9730</v>
      </c>
      <c r="C128" s="1926" t="s">
        <v>48</v>
      </c>
      <c r="D128" s="1926" t="s">
        <v>40</v>
      </c>
      <c r="E128" s="1662">
        <v>5.74</v>
      </c>
    </row>
    <row r="129" spans="1:5" x14ac:dyDescent="0.2">
      <c r="A129" s="135">
        <v>43060</v>
      </c>
      <c r="B129" s="1926" t="s">
        <v>9731</v>
      </c>
      <c r="C129" s="1926" t="s">
        <v>48</v>
      </c>
      <c r="D129" s="1926" t="s">
        <v>40</v>
      </c>
      <c r="E129" s="1662">
        <v>4.51</v>
      </c>
    </row>
    <row r="130" spans="1:5" x14ac:dyDescent="0.2">
      <c r="A130" s="135">
        <v>20063</v>
      </c>
      <c r="B130" s="1926" t="s">
        <v>9732</v>
      </c>
      <c r="C130" s="1926" t="s">
        <v>39</v>
      </c>
      <c r="D130" s="1926" t="s">
        <v>46</v>
      </c>
      <c r="E130" s="1662">
        <v>3.04</v>
      </c>
    </row>
    <row r="131" spans="1:5" x14ac:dyDescent="0.2">
      <c r="A131" s="135">
        <v>40410</v>
      </c>
      <c r="B131" s="1926" t="s">
        <v>9733</v>
      </c>
      <c r="C131" s="1926" t="s">
        <v>39</v>
      </c>
      <c r="D131" s="1926" t="s">
        <v>46</v>
      </c>
      <c r="E131" s="1662">
        <v>15.5</v>
      </c>
    </row>
    <row r="132" spans="1:5" x14ac:dyDescent="0.2">
      <c r="A132" s="135">
        <v>40411</v>
      </c>
      <c r="B132" s="1926" t="s">
        <v>9734</v>
      </c>
      <c r="C132" s="1926" t="s">
        <v>39</v>
      </c>
      <c r="D132" s="1926" t="s">
        <v>46</v>
      </c>
      <c r="E132" s="1662">
        <v>16.82</v>
      </c>
    </row>
    <row r="133" spans="1:5" x14ac:dyDescent="0.2">
      <c r="A133" s="135">
        <v>40412</v>
      </c>
      <c r="B133" s="1926" t="s">
        <v>9735</v>
      </c>
      <c r="C133" s="1926" t="s">
        <v>39</v>
      </c>
      <c r="D133" s="1926" t="s">
        <v>46</v>
      </c>
      <c r="E133" s="1662">
        <v>18.88</v>
      </c>
    </row>
    <row r="134" spans="1:5" x14ac:dyDescent="0.2">
      <c r="A134" s="135">
        <v>38838</v>
      </c>
      <c r="B134" s="1926" t="s">
        <v>9736</v>
      </c>
      <c r="C134" s="1926" t="s">
        <v>39</v>
      </c>
      <c r="D134" s="1926" t="s">
        <v>46</v>
      </c>
      <c r="E134" s="1662">
        <v>6.79</v>
      </c>
    </row>
    <row r="135" spans="1:5" x14ac:dyDescent="0.2">
      <c r="A135" s="135">
        <v>38839</v>
      </c>
      <c r="B135" s="1926" t="s">
        <v>9737</v>
      </c>
      <c r="C135" s="1926" t="s">
        <v>39</v>
      </c>
      <c r="D135" s="1926" t="s">
        <v>46</v>
      </c>
      <c r="E135" s="1662">
        <v>7.99</v>
      </c>
    </row>
    <row r="136" spans="1:5" x14ac:dyDescent="0.2">
      <c r="A136" s="135">
        <v>55</v>
      </c>
      <c r="B136" s="1926" t="s">
        <v>9738</v>
      </c>
      <c r="C136" s="1926" t="s">
        <v>39</v>
      </c>
      <c r="D136" s="1926" t="s">
        <v>46</v>
      </c>
      <c r="E136" s="1662">
        <v>3.5</v>
      </c>
    </row>
    <row r="137" spans="1:5" x14ac:dyDescent="0.2">
      <c r="A137" s="135">
        <v>61</v>
      </c>
      <c r="B137" s="1926" t="s">
        <v>9739</v>
      </c>
      <c r="C137" s="1926" t="s">
        <v>39</v>
      </c>
      <c r="D137" s="1926" t="s">
        <v>46</v>
      </c>
      <c r="E137" s="1662">
        <v>3.31</v>
      </c>
    </row>
    <row r="138" spans="1:5" x14ac:dyDescent="0.2">
      <c r="A138" s="135">
        <v>62</v>
      </c>
      <c r="B138" s="1926" t="s">
        <v>9740</v>
      </c>
      <c r="C138" s="1926" t="s">
        <v>39</v>
      </c>
      <c r="D138" s="1926" t="s">
        <v>46</v>
      </c>
      <c r="E138" s="1662">
        <v>6.86</v>
      </c>
    </row>
    <row r="139" spans="1:5" x14ac:dyDescent="0.2">
      <c r="A139" s="135">
        <v>77</v>
      </c>
      <c r="B139" s="1926" t="s">
        <v>9741</v>
      </c>
      <c r="C139" s="1926" t="s">
        <v>39</v>
      </c>
      <c r="D139" s="1926" t="s">
        <v>40</v>
      </c>
      <c r="E139" s="1662">
        <v>0.85</v>
      </c>
    </row>
    <row r="140" spans="1:5" x14ac:dyDescent="0.2">
      <c r="A140" s="135">
        <v>76</v>
      </c>
      <c r="B140" s="1926" t="s">
        <v>9742</v>
      </c>
      <c r="C140" s="1926" t="s">
        <v>39</v>
      </c>
      <c r="D140" s="1926" t="s">
        <v>40</v>
      </c>
      <c r="E140" s="1662">
        <v>0.87</v>
      </c>
    </row>
    <row r="141" spans="1:5" x14ac:dyDescent="0.2">
      <c r="A141" s="135">
        <v>67</v>
      </c>
      <c r="B141" s="1926" t="s">
        <v>9743</v>
      </c>
      <c r="C141" s="1926" t="s">
        <v>39</v>
      </c>
      <c r="D141" s="1926" t="s">
        <v>40</v>
      </c>
      <c r="E141" s="1662">
        <v>8.39</v>
      </c>
    </row>
    <row r="142" spans="1:5" x14ac:dyDescent="0.2">
      <c r="A142" s="135">
        <v>71</v>
      </c>
      <c r="B142" s="1926" t="s">
        <v>9744</v>
      </c>
      <c r="C142" s="1926" t="s">
        <v>39</v>
      </c>
      <c r="D142" s="1926" t="s">
        <v>40</v>
      </c>
      <c r="E142" s="1662">
        <v>15.42</v>
      </c>
    </row>
    <row r="143" spans="1:5" x14ac:dyDescent="0.2">
      <c r="A143" s="135">
        <v>73</v>
      </c>
      <c r="B143" s="1926" t="s">
        <v>9745</v>
      </c>
      <c r="C143" s="1926" t="s">
        <v>39</v>
      </c>
      <c r="D143" s="1926" t="s">
        <v>40</v>
      </c>
      <c r="E143" s="1662">
        <v>11.52</v>
      </c>
    </row>
    <row r="144" spans="1:5" x14ac:dyDescent="0.2">
      <c r="A144" s="135">
        <v>103</v>
      </c>
      <c r="B144" s="1926" t="s">
        <v>9746</v>
      </c>
      <c r="C144" s="1926" t="s">
        <v>39</v>
      </c>
      <c r="D144" s="1926" t="s">
        <v>40</v>
      </c>
      <c r="E144" s="1662">
        <v>34.25</v>
      </c>
    </row>
    <row r="145" spans="1:5" x14ac:dyDescent="0.2">
      <c r="A145" s="135">
        <v>107</v>
      </c>
      <c r="B145" s="1926" t="s">
        <v>9747</v>
      </c>
      <c r="C145" s="1926" t="s">
        <v>39</v>
      </c>
      <c r="D145" s="1926" t="s">
        <v>40</v>
      </c>
      <c r="E145" s="1662">
        <v>0.53</v>
      </c>
    </row>
    <row r="146" spans="1:5" x14ac:dyDescent="0.2">
      <c r="A146" s="135">
        <v>65</v>
      </c>
      <c r="B146" s="1926" t="s">
        <v>9748</v>
      </c>
      <c r="C146" s="1926" t="s">
        <v>39</v>
      </c>
      <c r="D146" s="1926" t="s">
        <v>40</v>
      </c>
      <c r="E146" s="1662">
        <v>0.66</v>
      </c>
    </row>
    <row r="147" spans="1:5" x14ac:dyDescent="0.2">
      <c r="A147" s="135">
        <v>108</v>
      </c>
      <c r="B147" s="1926" t="s">
        <v>9749</v>
      </c>
      <c r="C147" s="1926" t="s">
        <v>39</v>
      </c>
      <c r="D147" s="1926" t="s">
        <v>40</v>
      </c>
      <c r="E147" s="1662">
        <v>1.37</v>
      </c>
    </row>
    <row r="148" spans="1:5" x14ac:dyDescent="0.2">
      <c r="A148" s="135">
        <v>110</v>
      </c>
      <c r="B148" s="1926" t="s">
        <v>9750</v>
      </c>
      <c r="C148" s="1926" t="s">
        <v>39</v>
      </c>
      <c r="D148" s="1926" t="s">
        <v>40</v>
      </c>
      <c r="E148" s="1662">
        <v>5.29</v>
      </c>
    </row>
    <row r="149" spans="1:5" x14ac:dyDescent="0.2">
      <c r="A149" s="135">
        <v>109</v>
      </c>
      <c r="B149" s="1926" t="s">
        <v>9751</v>
      </c>
      <c r="C149" s="1926" t="s">
        <v>39</v>
      </c>
      <c r="D149" s="1926" t="s">
        <v>40</v>
      </c>
      <c r="E149" s="1662">
        <v>2.6</v>
      </c>
    </row>
    <row r="150" spans="1:5" x14ac:dyDescent="0.2">
      <c r="A150" s="135">
        <v>111</v>
      </c>
      <c r="B150" s="1926" t="s">
        <v>9752</v>
      </c>
      <c r="C150" s="1926" t="s">
        <v>39</v>
      </c>
      <c r="D150" s="1926" t="s">
        <v>40</v>
      </c>
      <c r="E150" s="1662">
        <v>6.1</v>
      </c>
    </row>
    <row r="151" spans="1:5" x14ac:dyDescent="0.2">
      <c r="A151" s="135">
        <v>112</v>
      </c>
      <c r="B151" s="1926" t="s">
        <v>9753</v>
      </c>
      <c r="C151" s="1926" t="s">
        <v>39</v>
      </c>
      <c r="D151" s="1926" t="s">
        <v>40</v>
      </c>
      <c r="E151" s="1662">
        <v>3.32</v>
      </c>
    </row>
    <row r="152" spans="1:5" x14ac:dyDescent="0.2">
      <c r="A152" s="135">
        <v>113</v>
      </c>
      <c r="B152" s="1926" t="s">
        <v>9754</v>
      </c>
      <c r="C152" s="1926" t="s">
        <v>39</v>
      </c>
      <c r="D152" s="1926" t="s">
        <v>40</v>
      </c>
      <c r="E152" s="1662">
        <v>9.01</v>
      </c>
    </row>
    <row r="153" spans="1:5" x14ac:dyDescent="0.2">
      <c r="A153" s="135">
        <v>104</v>
      </c>
      <c r="B153" s="1926" t="s">
        <v>9755</v>
      </c>
      <c r="C153" s="1926" t="s">
        <v>39</v>
      </c>
      <c r="D153" s="1926" t="s">
        <v>40</v>
      </c>
      <c r="E153" s="1662">
        <v>13.1</v>
      </c>
    </row>
    <row r="154" spans="1:5" x14ac:dyDescent="0.2">
      <c r="A154" s="135">
        <v>102</v>
      </c>
      <c r="B154" s="1926" t="s">
        <v>9756</v>
      </c>
      <c r="C154" s="1926" t="s">
        <v>39</v>
      </c>
      <c r="D154" s="1926" t="s">
        <v>40</v>
      </c>
      <c r="E154" s="1662">
        <v>21.51</v>
      </c>
    </row>
    <row r="155" spans="1:5" x14ac:dyDescent="0.2">
      <c r="A155" s="135">
        <v>95</v>
      </c>
      <c r="B155" s="1926" t="s">
        <v>9757</v>
      </c>
      <c r="C155" s="1926" t="s">
        <v>39</v>
      </c>
      <c r="D155" s="1926" t="s">
        <v>40</v>
      </c>
      <c r="E155" s="1662">
        <v>7.28</v>
      </c>
    </row>
    <row r="156" spans="1:5" x14ac:dyDescent="0.2">
      <c r="A156" s="135">
        <v>96</v>
      </c>
      <c r="B156" s="1926" t="s">
        <v>9758</v>
      </c>
      <c r="C156" s="1926" t="s">
        <v>39</v>
      </c>
      <c r="D156" s="1926" t="s">
        <v>40</v>
      </c>
      <c r="E156" s="1662">
        <v>8.3699999999999992</v>
      </c>
    </row>
    <row r="157" spans="1:5" x14ac:dyDescent="0.2">
      <c r="A157" s="135">
        <v>97</v>
      </c>
      <c r="B157" s="1926" t="s">
        <v>9759</v>
      </c>
      <c r="C157" s="1926" t="s">
        <v>39</v>
      </c>
      <c r="D157" s="1926" t="s">
        <v>40</v>
      </c>
      <c r="E157" s="1662">
        <v>10.87</v>
      </c>
    </row>
    <row r="158" spans="1:5" x14ac:dyDescent="0.2">
      <c r="A158" s="135">
        <v>98</v>
      </c>
      <c r="B158" s="1926" t="s">
        <v>9760</v>
      </c>
      <c r="C158" s="1926" t="s">
        <v>39</v>
      </c>
      <c r="D158" s="1926" t="s">
        <v>40</v>
      </c>
      <c r="E158" s="1662">
        <v>14.66</v>
      </c>
    </row>
    <row r="159" spans="1:5" x14ac:dyDescent="0.2">
      <c r="A159" s="135">
        <v>99</v>
      </c>
      <c r="B159" s="1926" t="s">
        <v>9761</v>
      </c>
      <c r="C159" s="1926" t="s">
        <v>39</v>
      </c>
      <c r="D159" s="1926" t="s">
        <v>40</v>
      </c>
      <c r="E159" s="1662">
        <v>17.78</v>
      </c>
    </row>
    <row r="160" spans="1:5" x14ac:dyDescent="0.2">
      <c r="A160" s="135">
        <v>100</v>
      </c>
      <c r="B160" s="1926" t="s">
        <v>9762</v>
      </c>
      <c r="C160" s="1926" t="s">
        <v>39</v>
      </c>
      <c r="D160" s="1926" t="s">
        <v>40</v>
      </c>
      <c r="E160" s="1662">
        <v>24.8</v>
      </c>
    </row>
    <row r="161" spans="1:5" x14ac:dyDescent="0.2">
      <c r="A161" s="135">
        <v>75</v>
      </c>
      <c r="B161" s="1926" t="s">
        <v>9763</v>
      </c>
      <c r="C161" s="1926" t="s">
        <v>39</v>
      </c>
      <c r="D161" s="1926" t="s">
        <v>40</v>
      </c>
      <c r="E161" s="1662">
        <v>258.48</v>
      </c>
    </row>
    <row r="162" spans="1:5" x14ac:dyDescent="0.2">
      <c r="A162" s="135">
        <v>114</v>
      </c>
      <c r="B162" s="1926" t="s">
        <v>9764</v>
      </c>
      <c r="C162" s="1926" t="s">
        <v>39</v>
      </c>
      <c r="D162" s="1926" t="s">
        <v>40</v>
      </c>
      <c r="E162" s="1662">
        <v>9.42</v>
      </c>
    </row>
    <row r="163" spans="1:5" x14ac:dyDescent="0.2">
      <c r="A163" s="135">
        <v>68</v>
      </c>
      <c r="B163" s="1926" t="s">
        <v>9765</v>
      </c>
      <c r="C163" s="1926" t="s">
        <v>39</v>
      </c>
      <c r="D163" s="1926" t="s">
        <v>40</v>
      </c>
      <c r="E163" s="1662">
        <v>14.4</v>
      </c>
    </row>
    <row r="164" spans="1:5" x14ac:dyDescent="0.2">
      <c r="A164" s="135">
        <v>86</v>
      </c>
      <c r="B164" s="1926" t="s">
        <v>9766</v>
      </c>
      <c r="C164" s="1926" t="s">
        <v>39</v>
      </c>
      <c r="D164" s="1926" t="s">
        <v>40</v>
      </c>
      <c r="E164" s="1662">
        <v>26.77</v>
      </c>
    </row>
    <row r="165" spans="1:5" x14ac:dyDescent="0.2">
      <c r="A165" s="135">
        <v>66</v>
      </c>
      <c r="B165" s="1926" t="s">
        <v>9767</v>
      </c>
      <c r="C165" s="1926" t="s">
        <v>39</v>
      </c>
      <c r="D165" s="1926" t="s">
        <v>40</v>
      </c>
      <c r="E165" s="1662">
        <v>26.87</v>
      </c>
    </row>
    <row r="166" spans="1:5" x14ac:dyDescent="0.2">
      <c r="A166" s="135">
        <v>69</v>
      </c>
      <c r="B166" s="1926" t="s">
        <v>9768</v>
      </c>
      <c r="C166" s="1926" t="s">
        <v>39</v>
      </c>
      <c r="D166" s="1926" t="s">
        <v>40</v>
      </c>
      <c r="E166" s="1662">
        <v>41.07</v>
      </c>
    </row>
    <row r="167" spans="1:5" x14ac:dyDescent="0.2">
      <c r="A167" s="135">
        <v>83</v>
      </c>
      <c r="B167" s="1926" t="s">
        <v>9769</v>
      </c>
      <c r="C167" s="1926" t="s">
        <v>39</v>
      </c>
      <c r="D167" s="1926" t="s">
        <v>40</v>
      </c>
      <c r="E167" s="1662">
        <v>131.18</v>
      </c>
    </row>
    <row r="168" spans="1:5" x14ac:dyDescent="0.2">
      <c r="A168" s="135">
        <v>74</v>
      </c>
      <c r="B168" s="1926" t="s">
        <v>9770</v>
      </c>
      <c r="C168" s="1926" t="s">
        <v>39</v>
      </c>
      <c r="D168" s="1926" t="s">
        <v>40</v>
      </c>
      <c r="E168" s="1662">
        <v>183.14</v>
      </c>
    </row>
    <row r="169" spans="1:5" x14ac:dyDescent="0.2">
      <c r="A169" s="135">
        <v>106</v>
      </c>
      <c r="B169" s="1926" t="s">
        <v>9771</v>
      </c>
      <c r="C169" s="1926" t="s">
        <v>39</v>
      </c>
      <c r="D169" s="1926" t="s">
        <v>40</v>
      </c>
      <c r="E169" s="1662">
        <v>278.22000000000003</v>
      </c>
    </row>
    <row r="170" spans="1:5" x14ac:dyDescent="0.2">
      <c r="A170" s="135">
        <v>87</v>
      </c>
      <c r="B170" s="1926" t="s">
        <v>9772</v>
      </c>
      <c r="C170" s="1926" t="s">
        <v>39</v>
      </c>
      <c r="D170" s="1926" t="s">
        <v>40</v>
      </c>
      <c r="E170" s="1662">
        <v>13.22</v>
      </c>
    </row>
    <row r="171" spans="1:5" x14ac:dyDescent="0.2">
      <c r="A171" s="135">
        <v>88</v>
      </c>
      <c r="B171" s="1926" t="s">
        <v>9773</v>
      </c>
      <c r="C171" s="1926" t="s">
        <v>39</v>
      </c>
      <c r="D171" s="1926" t="s">
        <v>40</v>
      </c>
      <c r="E171" s="1662">
        <v>14.76</v>
      </c>
    </row>
    <row r="172" spans="1:5" x14ac:dyDescent="0.2">
      <c r="A172" s="135">
        <v>89</v>
      </c>
      <c r="B172" s="1926" t="s">
        <v>9774</v>
      </c>
      <c r="C172" s="1926" t="s">
        <v>39</v>
      </c>
      <c r="D172" s="1926" t="s">
        <v>40</v>
      </c>
      <c r="E172" s="1662">
        <v>21.82</v>
      </c>
    </row>
    <row r="173" spans="1:5" x14ac:dyDescent="0.2">
      <c r="A173" s="135">
        <v>90</v>
      </c>
      <c r="B173" s="1926" t="s">
        <v>9775</v>
      </c>
      <c r="C173" s="1926" t="s">
        <v>39</v>
      </c>
      <c r="D173" s="1926" t="s">
        <v>40</v>
      </c>
      <c r="E173" s="1662">
        <v>25</v>
      </c>
    </row>
    <row r="174" spans="1:5" x14ac:dyDescent="0.2">
      <c r="A174" s="135">
        <v>81</v>
      </c>
      <c r="B174" s="1926" t="s">
        <v>9776</v>
      </c>
      <c r="C174" s="1926" t="s">
        <v>39</v>
      </c>
      <c r="D174" s="1926" t="s">
        <v>40</v>
      </c>
      <c r="E174" s="1662">
        <v>42.76</v>
      </c>
    </row>
    <row r="175" spans="1:5" x14ac:dyDescent="0.2">
      <c r="A175" s="135">
        <v>82</v>
      </c>
      <c r="B175" s="1926" t="s">
        <v>9777</v>
      </c>
      <c r="C175" s="1926" t="s">
        <v>39</v>
      </c>
      <c r="D175" s="1926" t="s">
        <v>40</v>
      </c>
      <c r="E175" s="1662">
        <v>166</v>
      </c>
    </row>
    <row r="176" spans="1:5" x14ac:dyDescent="0.2">
      <c r="A176" s="135">
        <v>105</v>
      </c>
      <c r="B176" s="1926" t="s">
        <v>9778</v>
      </c>
      <c r="C176" s="1926" t="s">
        <v>39</v>
      </c>
      <c r="D176" s="1926" t="s">
        <v>40</v>
      </c>
      <c r="E176" s="1662">
        <v>194.35</v>
      </c>
    </row>
    <row r="177" spans="1:5" x14ac:dyDescent="0.2">
      <c r="A177" s="135">
        <v>60</v>
      </c>
      <c r="B177" s="1926" t="s">
        <v>9779</v>
      </c>
      <c r="C177" s="1926" t="s">
        <v>39</v>
      </c>
      <c r="D177" s="1926" t="s">
        <v>46</v>
      </c>
      <c r="E177" s="1662">
        <v>4.54</v>
      </c>
    </row>
    <row r="178" spans="1:5" x14ac:dyDescent="0.2">
      <c r="A178" s="135">
        <v>72</v>
      </c>
      <c r="B178" s="1926" t="s">
        <v>9780</v>
      </c>
      <c r="C178" s="1926" t="s">
        <v>39</v>
      </c>
      <c r="D178" s="1926" t="s">
        <v>40</v>
      </c>
      <c r="E178" s="1662">
        <v>26.14</v>
      </c>
    </row>
    <row r="179" spans="1:5" x14ac:dyDescent="0.2">
      <c r="A179" s="135">
        <v>70</v>
      </c>
      <c r="B179" s="1926" t="s">
        <v>9781</v>
      </c>
      <c r="C179" s="1926" t="s">
        <v>39</v>
      </c>
      <c r="D179" s="1926" t="s">
        <v>40</v>
      </c>
      <c r="E179" s="1662">
        <v>21.86</v>
      </c>
    </row>
    <row r="180" spans="1:5" x14ac:dyDescent="0.2">
      <c r="A180" s="135">
        <v>85</v>
      </c>
      <c r="B180" s="1926" t="s">
        <v>9782</v>
      </c>
      <c r="C180" s="1926" t="s">
        <v>39</v>
      </c>
      <c r="D180" s="1926" t="s">
        <v>40</v>
      </c>
      <c r="E180" s="1662">
        <v>31.73</v>
      </c>
    </row>
    <row r="181" spans="1:5" x14ac:dyDescent="0.2">
      <c r="A181" s="135">
        <v>84</v>
      </c>
      <c r="B181" s="1926" t="s">
        <v>9783</v>
      </c>
      <c r="C181" s="1926" t="s">
        <v>39</v>
      </c>
      <c r="D181" s="1926" t="s">
        <v>40</v>
      </c>
      <c r="E181" s="1662">
        <v>0.36</v>
      </c>
    </row>
    <row r="182" spans="1:5" x14ac:dyDescent="0.2">
      <c r="A182" s="135">
        <v>37997</v>
      </c>
      <c r="B182" s="1926" t="s">
        <v>9784</v>
      </c>
      <c r="C182" s="1926" t="s">
        <v>39</v>
      </c>
      <c r="D182" s="1926" t="s">
        <v>40</v>
      </c>
      <c r="E182" s="1662">
        <v>3.31</v>
      </c>
    </row>
    <row r="183" spans="1:5" x14ac:dyDescent="0.2">
      <c r="A183" s="135">
        <v>37998</v>
      </c>
      <c r="B183" s="1926" t="s">
        <v>9785</v>
      </c>
      <c r="C183" s="1926" t="s">
        <v>39</v>
      </c>
      <c r="D183" s="1926" t="s">
        <v>40</v>
      </c>
      <c r="E183" s="1662">
        <v>3.43</v>
      </c>
    </row>
    <row r="184" spans="1:5" x14ac:dyDescent="0.2">
      <c r="A184" s="135">
        <v>10899</v>
      </c>
      <c r="B184" s="1926" t="s">
        <v>9786</v>
      </c>
      <c r="C184" s="1926" t="s">
        <v>39</v>
      </c>
      <c r="D184" s="1926" t="s">
        <v>40</v>
      </c>
      <c r="E184" s="1662">
        <v>48.94</v>
      </c>
    </row>
    <row r="185" spans="1:5" x14ac:dyDescent="0.2">
      <c r="A185" s="135">
        <v>10900</v>
      </c>
      <c r="B185" s="1926" t="s">
        <v>9787</v>
      </c>
      <c r="C185" s="1926" t="s">
        <v>39</v>
      </c>
      <c r="D185" s="1926" t="s">
        <v>40</v>
      </c>
      <c r="E185" s="1662">
        <v>38.299999999999997</v>
      </c>
    </row>
    <row r="186" spans="1:5" x14ac:dyDescent="0.2">
      <c r="A186" s="135">
        <v>46</v>
      </c>
      <c r="B186" s="1926" t="s">
        <v>9788</v>
      </c>
      <c r="C186" s="1926" t="s">
        <v>39</v>
      </c>
      <c r="D186" s="1926" t="s">
        <v>46</v>
      </c>
      <c r="E186" s="1662">
        <v>34.15</v>
      </c>
    </row>
    <row r="187" spans="1:5" x14ac:dyDescent="0.2">
      <c r="A187" s="135">
        <v>51</v>
      </c>
      <c r="B187" s="1926" t="s">
        <v>9789</v>
      </c>
      <c r="C187" s="1926" t="s">
        <v>39</v>
      </c>
      <c r="D187" s="1926" t="s">
        <v>46</v>
      </c>
      <c r="E187" s="1662">
        <v>94.22</v>
      </c>
    </row>
    <row r="188" spans="1:5" x14ac:dyDescent="0.2">
      <c r="A188" s="135">
        <v>12863</v>
      </c>
      <c r="B188" s="1926" t="s">
        <v>9790</v>
      </c>
      <c r="C188" s="1926" t="s">
        <v>39</v>
      </c>
      <c r="D188" s="1926" t="s">
        <v>46</v>
      </c>
      <c r="E188" s="1662">
        <v>21.7</v>
      </c>
    </row>
    <row r="189" spans="1:5" x14ac:dyDescent="0.2">
      <c r="A189" s="135">
        <v>50</v>
      </c>
      <c r="B189" s="1926" t="s">
        <v>9791</v>
      </c>
      <c r="C189" s="1926" t="s">
        <v>39</v>
      </c>
      <c r="D189" s="1926" t="s">
        <v>46</v>
      </c>
      <c r="E189" s="1662">
        <v>49.2</v>
      </c>
    </row>
    <row r="190" spans="1:5" x14ac:dyDescent="0.2">
      <c r="A190" s="135">
        <v>47</v>
      </c>
      <c r="B190" s="1926" t="s">
        <v>9792</v>
      </c>
      <c r="C190" s="1926" t="s">
        <v>39</v>
      </c>
      <c r="D190" s="1926" t="s">
        <v>46</v>
      </c>
      <c r="E190" s="1662">
        <v>58.4</v>
      </c>
    </row>
    <row r="191" spans="1:5" x14ac:dyDescent="0.2">
      <c r="A191" s="135">
        <v>48</v>
      </c>
      <c r="B191" s="1926" t="s">
        <v>9793</v>
      </c>
      <c r="C191" s="1926" t="s">
        <v>39</v>
      </c>
      <c r="D191" s="1926" t="s">
        <v>46</v>
      </c>
      <c r="E191" s="1662">
        <v>15.23</v>
      </c>
    </row>
    <row r="192" spans="1:5" x14ac:dyDescent="0.2">
      <c r="A192" s="135">
        <v>52</v>
      </c>
      <c r="B192" s="1926" t="s">
        <v>9794</v>
      </c>
      <c r="C192" s="1926" t="s">
        <v>39</v>
      </c>
      <c r="D192" s="1926" t="s">
        <v>46</v>
      </c>
      <c r="E192" s="1662">
        <v>11.57</v>
      </c>
    </row>
    <row r="193" spans="1:5" x14ac:dyDescent="0.2">
      <c r="A193" s="135">
        <v>43</v>
      </c>
      <c r="B193" s="1926" t="s">
        <v>9795</v>
      </c>
      <c r="C193" s="1926" t="s">
        <v>39</v>
      </c>
      <c r="D193" s="1926" t="s">
        <v>46</v>
      </c>
      <c r="E193" s="1662">
        <v>39.049999999999997</v>
      </c>
    </row>
    <row r="194" spans="1:5" x14ac:dyDescent="0.2">
      <c r="A194" s="135">
        <v>4791</v>
      </c>
      <c r="B194" s="1926" t="s">
        <v>9796</v>
      </c>
      <c r="C194" s="1926" t="s">
        <v>48</v>
      </c>
      <c r="D194" s="1926" t="s">
        <v>40</v>
      </c>
      <c r="E194" s="1662">
        <v>24.95</v>
      </c>
    </row>
    <row r="195" spans="1:5" x14ac:dyDescent="0.2">
      <c r="A195" s="135">
        <v>157</v>
      </c>
      <c r="B195" s="1926" t="s">
        <v>9797</v>
      </c>
      <c r="C195" s="1926" t="s">
        <v>48</v>
      </c>
      <c r="D195" s="1926" t="s">
        <v>40</v>
      </c>
      <c r="E195" s="1662">
        <v>99.08</v>
      </c>
    </row>
    <row r="196" spans="1:5" x14ac:dyDescent="0.2">
      <c r="A196" s="135">
        <v>156</v>
      </c>
      <c r="B196" s="1926" t="s">
        <v>9798</v>
      </c>
      <c r="C196" s="1926" t="s">
        <v>48</v>
      </c>
      <c r="D196" s="1926" t="s">
        <v>40</v>
      </c>
      <c r="E196" s="1662">
        <v>35.28</v>
      </c>
    </row>
    <row r="197" spans="1:5" x14ac:dyDescent="0.2">
      <c r="A197" s="135">
        <v>131</v>
      </c>
      <c r="B197" s="1926" t="s">
        <v>9799</v>
      </c>
      <c r="C197" s="1926" t="s">
        <v>48</v>
      </c>
      <c r="D197" s="1926" t="s">
        <v>40</v>
      </c>
      <c r="E197" s="1662">
        <v>30.17</v>
      </c>
    </row>
    <row r="198" spans="1:5" x14ac:dyDescent="0.2">
      <c r="A198" s="135">
        <v>39719</v>
      </c>
      <c r="B198" s="1926" t="s">
        <v>9800</v>
      </c>
      <c r="C198" s="1926" t="s">
        <v>49</v>
      </c>
      <c r="D198" s="1926" t="s">
        <v>40</v>
      </c>
      <c r="E198" s="1662">
        <v>74.41</v>
      </c>
    </row>
    <row r="199" spans="1:5" x14ac:dyDescent="0.2">
      <c r="A199" s="135">
        <v>21114</v>
      </c>
      <c r="B199" s="1926" t="s">
        <v>9801</v>
      </c>
      <c r="C199" s="1926" t="s">
        <v>39</v>
      </c>
      <c r="D199" s="1926" t="s">
        <v>40</v>
      </c>
      <c r="E199" s="1662">
        <v>15.94</v>
      </c>
    </row>
    <row r="200" spans="1:5" x14ac:dyDescent="0.2">
      <c r="A200" s="135">
        <v>119</v>
      </c>
      <c r="B200" s="1926" t="s">
        <v>9802</v>
      </c>
      <c r="C200" s="1926" t="s">
        <v>39</v>
      </c>
      <c r="D200" s="1926" t="s">
        <v>43</v>
      </c>
      <c r="E200" s="1662">
        <v>6.29</v>
      </c>
    </row>
    <row r="201" spans="1:5" x14ac:dyDescent="0.2">
      <c r="A201" s="135">
        <v>20080</v>
      </c>
      <c r="B201" s="1926" t="s">
        <v>9803</v>
      </c>
      <c r="C201" s="1926" t="s">
        <v>39</v>
      </c>
      <c r="D201" s="1926" t="s">
        <v>40</v>
      </c>
      <c r="E201" s="1662">
        <v>18.03</v>
      </c>
    </row>
    <row r="202" spans="1:5" x14ac:dyDescent="0.2">
      <c r="A202" s="135">
        <v>122</v>
      </c>
      <c r="B202" s="1926" t="s">
        <v>9804</v>
      </c>
      <c r="C202" s="1926" t="s">
        <v>39</v>
      </c>
      <c r="D202" s="1926" t="s">
        <v>40</v>
      </c>
      <c r="E202" s="1662">
        <v>56.82</v>
      </c>
    </row>
    <row r="203" spans="1:5" x14ac:dyDescent="0.2">
      <c r="A203" s="135">
        <v>3410</v>
      </c>
      <c r="B203" s="1926" t="s">
        <v>9805</v>
      </c>
      <c r="C203" s="1926" t="s">
        <v>48</v>
      </c>
      <c r="D203" s="1926" t="s">
        <v>46</v>
      </c>
      <c r="E203" s="1662">
        <v>19.72</v>
      </c>
    </row>
    <row r="204" spans="1:5" x14ac:dyDescent="0.2">
      <c r="A204" s="135">
        <v>124</v>
      </c>
      <c r="B204" s="1926" t="s">
        <v>9806</v>
      </c>
      <c r="C204" s="1926" t="s">
        <v>49</v>
      </c>
      <c r="D204" s="1926" t="s">
        <v>40</v>
      </c>
      <c r="E204" s="1662">
        <v>11.63</v>
      </c>
    </row>
    <row r="205" spans="1:5" x14ac:dyDescent="0.2">
      <c r="A205" s="135">
        <v>7334</v>
      </c>
      <c r="B205" s="1926" t="s">
        <v>9807</v>
      </c>
      <c r="C205" s="1926" t="s">
        <v>49</v>
      </c>
      <c r="D205" s="1926" t="s">
        <v>40</v>
      </c>
      <c r="E205" s="1662">
        <v>11.67</v>
      </c>
    </row>
    <row r="206" spans="1:5" x14ac:dyDescent="0.2">
      <c r="A206" s="135">
        <v>123</v>
      </c>
      <c r="B206" s="1926" t="s">
        <v>9808</v>
      </c>
      <c r="C206" s="1926" t="s">
        <v>49</v>
      </c>
      <c r="D206" s="1926" t="s">
        <v>43</v>
      </c>
      <c r="E206" s="1662">
        <v>4.76</v>
      </c>
    </row>
    <row r="207" spans="1:5" x14ac:dyDescent="0.2">
      <c r="A207" s="135">
        <v>127</v>
      </c>
      <c r="B207" s="1926" t="s">
        <v>9809</v>
      </c>
      <c r="C207" s="1926" t="s">
        <v>49</v>
      </c>
      <c r="D207" s="1926" t="s">
        <v>40</v>
      </c>
      <c r="E207" s="1662">
        <v>11.36</v>
      </c>
    </row>
    <row r="208" spans="1:5" x14ac:dyDescent="0.2">
      <c r="A208" s="135">
        <v>41373</v>
      </c>
      <c r="B208" s="1926" t="s">
        <v>9810</v>
      </c>
      <c r="C208" s="1926" t="s">
        <v>49</v>
      </c>
      <c r="D208" s="1926" t="s">
        <v>40</v>
      </c>
      <c r="E208" s="1662">
        <v>15.83</v>
      </c>
    </row>
    <row r="209" spans="1:5" x14ac:dyDescent="0.2">
      <c r="A209" s="135">
        <v>133</v>
      </c>
      <c r="B209" s="1926" t="s">
        <v>9811</v>
      </c>
      <c r="C209" s="1926" t="s">
        <v>49</v>
      </c>
      <c r="D209" s="1926" t="s">
        <v>40</v>
      </c>
      <c r="E209" s="1662">
        <v>4.72</v>
      </c>
    </row>
    <row r="210" spans="1:5" x14ac:dyDescent="0.2">
      <c r="A210" s="135">
        <v>43617</v>
      </c>
      <c r="B210" s="1926" t="s">
        <v>9812</v>
      </c>
      <c r="C210" s="1926" t="s">
        <v>49</v>
      </c>
      <c r="D210" s="1926" t="s">
        <v>40</v>
      </c>
      <c r="E210" s="1662">
        <v>5.27</v>
      </c>
    </row>
    <row r="211" spans="1:5" x14ac:dyDescent="0.2">
      <c r="A211" s="135">
        <v>132</v>
      </c>
      <c r="B211" s="1926" t="s">
        <v>9813</v>
      </c>
      <c r="C211" s="1926" t="s">
        <v>49</v>
      </c>
      <c r="D211" s="1926" t="s">
        <v>40</v>
      </c>
      <c r="E211" s="1662">
        <v>4.8899999999999997</v>
      </c>
    </row>
    <row r="212" spans="1:5" x14ac:dyDescent="0.2">
      <c r="A212" s="135">
        <v>43618</v>
      </c>
      <c r="B212" s="1926" t="s">
        <v>9814</v>
      </c>
      <c r="C212" s="1926" t="s">
        <v>48</v>
      </c>
      <c r="D212" s="1926" t="s">
        <v>40</v>
      </c>
      <c r="E212" s="1662">
        <v>12.32</v>
      </c>
    </row>
    <row r="213" spans="1:5" x14ac:dyDescent="0.2">
      <c r="A213" s="135">
        <v>37476</v>
      </c>
      <c r="B213" s="1926" t="s">
        <v>9815</v>
      </c>
      <c r="C213" s="1926" t="s">
        <v>39</v>
      </c>
      <c r="D213" s="1926" t="s">
        <v>40</v>
      </c>
      <c r="E213" s="1662">
        <v>2119.4899999999998</v>
      </c>
    </row>
    <row r="214" spans="1:5" x14ac:dyDescent="0.2">
      <c r="A214" s="135">
        <v>37478</v>
      </c>
      <c r="B214" s="1926" t="s">
        <v>9816</v>
      </c>
      <c r="C214" s="1926" t="s">
        <v>39</v>
      </c>
      <c r="D214" s="1926" t="s">
        <v>40</v>
      </c>
      <c r="E214" s="1662">
        <v>2998.53</v>
      </c>
    </row>
    <row r="215" spans="1:5" x14ac:dyDescent="0.2">
      <c r="A215" s="135">
        <v>37477</v>
      </c>
      <c r="B215" s="1926" t="s">
        <v>9817</v>
      </c>
      <c r="C215" s="1926" t="s">
        <v>39</v>
      </c>
      <c r="D215" s="1926" t="s">
        <v>40</v>
      </c>
      <c r="E215" s="1662">
        <v>3669.13</v>
      </c>
    </row>
    <row r="216" spans="1:5" x14ac:dyDescent="0.2">
      <c r="A216" s="135">
        <v>37479</v>
      </c>
      <c r="B216" s="1926" t="s">
        <v>9818</v>
      </c>
      <c r="C216" s="1926" t="s">
        <v>39</v>
      </c>
      <c r="D216" s="1926" t="s">
        <v>40</v>
      </c>
      <c r="E216" s="1662">
        <v>4587.84</v>
      </c>
    </row>
    <row r="217" spans="1:5" x14ac:dyDescent="0.2">
      <c r="A217" s="135">
        <v>4319</v>
      </c>
      <c r="B217" s="1926" t="s">
        <v>9819</v>
      </c>
      <c r="C217" s="1926" t="s">
        <v>39</v>
      </c>
      <c r="D217" s="1926" t="s">
        <v>40</v>
      </c>
      <c r="E217" s="1662">
        <v>1.02</v>
      </c>
    </row>
    <row r="218" spans="1:5" x14ac:dyDescent="0.2">
      <c r="A218" s="135">
        <v>42409</v>
      </c>
      <c r="B218" s="1926" t="s">
        <v>9820</v>
      </c>
      <c r="C218" s="1926" t="s">
        <v>48</v>
      </c>
      <c r="D218" s="1926" t="s">
        <v>40</v>
      </c>
      <c r="E218" s="1662">
        <v>7.75</v>
      </c>
    </row>
    <row r="219" spans="1:5" x14ac:dyDescent="0.2">
      <c r="A219" s="135">
        <v>40553</v>
      </c>
      <c r="B219" s="1926" t="s">
        <v>9821</v>
      </c>
      <c r="C219" s="1926" t="s">
        <v>44</v>
      </c>
      <c r="D219" s="1926" t="s">
        <v>46</v>
      </c>
      <c r="E219" s="1662">
        <v>34.08</v>
      </c>
    </row>
    <row r="220" spans="1:5" x14ac:dyDescent="0.2">
      <c r="A220" s="135">
        <v>13003</v>
      </c>
      <c r="B220" s="1926" t="s">
        <v>9822</v>
      </c>
      <c r="C220" s="1926" t="s">
        <v>49</v>
      </c>
      <c r="D220" s="1926" t="s">
        <v>40</v>
      </c>
      <c r="E220" s="1662">
        <v>2.2799999999999998</v>
      </c>
    </row>
    <row r="221" spans="1:5" x14ac:dyDescent="0.2">
      <c r="A221" s="135">
        <v>6114</v>
      </c>
      <c r="B221" s="1926" t="s">
        <v>9823</v>
      </c>
      <c r="C221" s="1926" t="s">
        <v>42</v>
      </c>
      <c r="D221" s="1926" t="s">
        <v>40</v>
      </c>
      <c r="E221" s="1662">
        <v>9.84</v>
      </c>
    </row>
    <row r="222" spans="1:5" x14ac:dyDescent="0.2">
      <c r="A222" s="135">
        <v>40912</v>
      </c>
      <c r="B222" s="1926" t="s">
        <v>9824</v>
      </c>
      <c r="C222" s="1926" t="s">
        <v>51</v>
      </c>
      <c r="D222" s="1926" t="s">
        <v>40</v>
      </c>
      <c r="E222" s="1662">
        <v>1758.61</v>
      </c>
    </row>
    <row r="223" spans="1:5" x14ac:dyDescent="0.2">
      <c r="A223" s="135">
        <v>247</v>
      </c>
      <c r="B223" s="1926" t="s">
        <v>9825</v>
      </c>
      <c r="C223" s="1926" t="s">
        <v>42</v>
      </c>
      <c r="D223" s="1926" t="s">
        <v>40</v>
      </c>
      <c r="E223" s="1662">
        <v>9.94</v>
      </c>
    </row>
    <row r="224" spans="1:5" x14ac:dyDescent="0.2">
      <c r="A224" s="135">
        <v>40919</v>
      </c>
      <c r="B224" s="1926" t="s">
        <v>9826</v>
      </c>
      <c r="C224" s="1926" t="s">
        <v>51</v>
      </c>
      <c r="D224" s="1926" t="s">
        <v>40</v>
      </c>
      <c r="E224" s="1662">
        <v>1773.42</v>
      </c>
    </row>
    <row r="225" spans="1:5" x14ac:dyDescent="0.2">
      <c r="A225" s="135">
        <v>25958</v>
      </c>
      <c r="B225" s="1926" t="s">
        <v>9827</v>
      </c>
      <c r="C225" s="1926" t="s">
        <v>42</v>
      </c>
      <c r="D225" s="1926" t="s">
        <v>40</v>
      </c>
      <c r="E225" s="1662">
        <v>7.46</v>
      </c>
    </row>
    <row r="226" spans="1:5" x14ac:dyDescent="0.2">
      <c r="A226" s="135">
        <v>40984</v>
      </c>
      <c r="B226" s="1926" t="s">
        <v>9828</v>
      </c>
      <c r="C226" s="1926" t="s">
        <v>51</v>
      </c>
      <c r="D226" s="1926" t="s">
        <v>40</v>
      </c>
      <c r="E226" s="1662">
        <v>1331.11</v>
      </c>
    </row>
    <row r="227" spans="1:5" x14ac:dyDescent="0.2">
      <c r="A227" s="135">
        <v>248</v>
      </c>
      <c r="B227" s="1926" t="s">
        <v>9829</v>
      </c>
      <c r="C227" s="1926" t="s">
        <v>42</v>
      </c>
      <c r="D227" s="1926" t="s">
        <v>40</v>
      </c>
      <c r="E227" s="1662">
        <v>10.19</v>
      </c>
    </row>
    <row r="228" spans="1:5" x14ac:dyDescent="0.2">
      <c r="A228" s="135">
        <v>41086</v>
      </c>
      <c r="B228" s="1926" t="s">
        <v>9830</v>
      </c>
      <c r="C228" s="1926" t="s">
        <v>51</v>
      </c>
      <c r="D228" s="1926" t="s">
        <v>40</v>
      </c>
      <c r="E228" s="1662">
        <v>1819.76</v>
      </c>
    </row>
    <row r="229" spans="1:5" x14ac:dyDescent="0.2">
      <c r="A229" s="135">
        <v>34466</v>
      </c>
      <c r="B229" s="1926" t="s">
        <v>9831</v>
      </c>
      <c r="C229" s="1926" t="s">
        <v>42</v>
      </c>
      <c r="D229" s="1926" t="s">
        <v>40</v>
      </c>
      <c r="E229" s="1662">
        <v>10.19</v>
      </c>
    </row>
    <row r="230" spans="1:5" x14ac:dyDescent="0.2">
      <c r="A230" s="135">
        <v>41083</v>
      </c>
      <c r="B230" s="1926" t="s">
        <v>9832</v>
      </c>
      <c r="C230" s="1926" t="s">
        <v>51</v>
      </c>
      <c r="D230" s="1926" t="s">
        <v>40</v>
      </c>
      <c r="E230" s="1662">
        <v>1819.76</v>
      </c>
    </row>
    <row r="231" spans="1:5" x14ac:dyDescent="0.2">
      <c r="A231" s="135">
        <v>252</v>
      </c>
      <c r="B231" s="1926" t="s">
        <v>9833</v>
      </c>
      <c r="C231" s="1926" t="s">
        <v>42</v>
      </c>
      <c r="D231" s="1926" t="s">
        <v>40</v>
      </c>
      <c r="E231" s="1662">
        <v>10.56</v>
      </c>
    </row>
    <row r="232" spans="1:5" x14ac:dyDescent="0.2">
      <c r="A232" s="135">
        <v>40909</v>
      </c>
      <c r="B232" s="1926" t="s">
        <v>9834</v>
      </c>
      <c r="C232" s="1926" t="s">
        <v>51</v>
      </c>
      <c r="D232" s="1926" t="s">
        <v>40</v>
      </c>
      <c r="E232" s="1662">
        <v>1886.29</v>
      </c>
    </row>
    <row r="233" spans="1:5" x14ac:dyDescent="0.2">
      <c r="A233" s="135">
        <v>242</v>
      </c>
      <c r="B233" s="1926" t="s">
        <v>9835</v>
      </c>
      <c r="C233" s="1926" t="s">
        <v>42</v>
      </c>
      <c r="D233" s="1926" t="s">
        <v>40</v>
      </c>
      <c r="E233" s="1662">
        <v>11.93</v>
      </c>
    </row>
    <row r="234" spans="1:5" x14ac:dyDescent="0.2">
      <c r="A234" s="135">
        <v>41085</v>
      </c>
      <c r="B234" s="1926" t="s">
        <v>9836</v>
      </c>
      <c r="C234" s="1926" t="s">
        <v>51</v>
      </c>
      <c r="D234" s="1926" t="s">
        <v>40</v>
      </c>
      <c r="E234" s="1662">
        <v>2130.41</v>
      </c>
    </row>
    <row r="235" spans="1:5" x14ac:dyDescent="0.2">
      <c r="A235" s="135">
        <v>427</v>
      </c>
      <c r="B235" s="1926" t="s">
        <v>9837</v>
      </c>
      <c r="C235" s="1926" t="s">
        <v>39</v>
      </c>
      <c r="D235" s="1926" t="s">
        <v>46</v>
      </c>
      <c r="E235" s="1662">
        <v>4.8899999999999997</v>
      </c>
    </row>
    <row r="236" spans="1:5" x14ac:dyDescent="0.2">
      <c r="A236" s="135">
        <v>417</v>
      </c>
      <c r="B236" s="1926" t="s">
        <v>9838</v>
      </c>
      <c r="C236" s="1926" t="s">
        <v>39</v>
      </c>
      <c r="D236" s="1926" t="s">
        <v>46</v>
      </c>
      <c r="E236" s="1662">
        <v>2.2999999999999998</v>
      </c>
    </row>
    <row r="237" spans="1:5" x14ac:dyDescent="0.2">
      <c r="A237" s="135">
        <v>11273</v>
      </c>
      <c r="B237" s="1926" t="s">
        <v>9839</v>
      </c>
      <c r="C237" s="1926" t="s">
        <v>39</v>
      </c>
      <c r="D237" s="1926" t="s">
        <v>46</v>
      </c>
      <c r="E237" s="1662">
        <v>7.15</v>
      </c>
    </row>
    <row r="238" spans="1:5" x14ac:dyDescent="0.2">
      <c r="A238" s="135">
        <v>11272</v>
      </c>
      <c r="B238" s="1926" t="s">
        <v>9840</v>
      </c>
      <c r="C238" s="1926" t="s">
        <v>39</v>
      </c>
      <c r="D238" s="1926" t="s">
        <v>46</v>
      </c>
      <c r="E238" s="1662">
        <v>4.3099999999999996</v>
      </c>
    </row>
    <row r="239" spans="1:5" x14ac:dyDescent="0.2">
      <c r="A239" s="135">
        <v>11275</v>
      </c>
      <c r="B239" s="1926" t="s">
        <v>9841</v>
      </c>
      <c r="C239" s="1926" t="s">
        <v>39</v>
      </c>
      <c r="D239" s="1926" t="s">
        <v>46</v>
      </c>
      <c r="E239" s="1662">
        <v>1.73</v>
      </c>
    </row>
    <row r="240" spans="1:5" x14ac:dyDescent="0.2">
      <c r="A240" s="135">
        <v>11274</v>
      </c>
      <c r="B240" s="1926" t="s">
        <v>9842</v>
      </c>
      <c r="C240" s="1926" t="s">
        <v>39</v>
      </c>
      <c r="D240" s="1926" t="s">
        <v>46</v>
      </c>
      <c r="E240" s="1662">
        <v>1.32</v>
      </c>
    </row>
    <row r="241" spans="1:5" x14ac:dyDescent="0.2">
      <c r="A241" s="135">
        <v>38470</v>
      </c>
      <c r="B241" s="1926" t="s">
        <v>9843</v>
      </c>
      <c r="C241" s="1926" t="s">
        <v>39</v>
      </c>
      <c r="D241" s="1926" t="s">
        <v>43</v>
      </c>
      <c r="E241" s="1662">
        <v>38.03</v>
      </c>
    </row>
    <row r="242" spans="1:5" x14ac:dyDescent="0.2">
      <c r="A242" s="135">
        <v>38547</v>
      </c>
      <c r="B242" s="1926" t="s">
        <v>9844</v>
      </c>
      <c r="C242" s="1926" t="s">
        <v>39</v>
      </c>
      <c r="D242" s="1926" t="s">
        <v>40</v>
      </c>
      <c r="E242" s="1662">
        <v>103.77</v>
      </c>
    </row>
    <row r="243" spans="1:5" x14ac:dyDescent="0.2">
      <c r="A243" s="135">
        <v>38469</v>
      </c>
      <c r="B243" s="1926" t="s">
        <v>9845</v>
      </c>
      <c r="C243" s="1926" t="s">
        <v>39</v>
      </c>
      <c r="D243" s="1926" t="s">
        <v>40</v>
      </c>
      <c r="E243" s="1662">
        <v>111.59</v>
      </c>
    </row>
    <row r="244" spans="1:5" x14ac:dyDescent="0.2">
      <c r="A244" s="135">
        <v>38467</v>
      </c>
      <c r="B244" s="1926" t="s">
        <v>9846</v>
      </c>
      <c r="C244" s="1926" t="s">
        <v>39</v>
      </c>
      <c r="D244" s="1926" t="s">
        <v>40</v>
      </c>
      <c r="E244" s="1662">
        <v>62.79</v>
      </c>
    </row>
    <row r="245" spans="1:5" x14ac:dyDescent="0.2">
      <c r="A245" s="135">
        <v>38468</v>
      </c>
      <c r="B245" s="1926" t="s">
        <v>9847</v>
      </c>
      <c r="C245" s="1926" t="s">
        <v>39</v>
      </c>
      <c r="D245" s="1926" t="s">
        <v>40</v>
      </c>
      <c r="E245" s="1662">
        <v>69.09</v>
      </c>
    </row>
    <row r="246" spans="1:5" x14ac:dyDescent="0.2">
      <c r="A246" s="135">
        <v>38471</v>
      </c>
      <c r="B246" s="1926" t="s">
        <v>9848</v>
      </c>
      <c r="C246" s="1926" t="s">
        <v>39</v>
      </c>
      <c r="D246" s="1926" t="s">
        <v>40</v>
      </c>
      <c r="E246" s="1662">
        <v>89.72</v>
      </c>
    </row>
    <row r="247" spans="1:5" x14ac:dyDescent="0.2">
      <c r="A247" s="135">
        <v>37370</v>
      </c>
      <c r="B247" s="1926" t="s">
        <v>9849</v>
      </c>
      <c r="C247" s="1926" t="s">
        <v>42</v>
      </c>
      <c r="D247" s="1926" t="s">
        <v>43</v>
      </c>
      <c r="E247" s="1662">
        <v>2.57</v>
      </c>
    </row>
    <row r="248" spans="1:5" x14ac:dyDescent="0.2">
      <c r="A248" s="135">
        <v>40862</v>
      </c>
      <c r="B248" s="1926" t="s">
        <v>9850</v>
      </c>
      <c r="C248" s="1926" t="s">
        <v>51</v>
      </c>
      <c r="D248" s="1926" t="s">
        <v>43</v>
      </c>
      <c r="E248" s="1662">
        <v>485.2</v>
      </c>
    </row>
    <row r="249" spans="1:5" x14ac:dyDescent="0.2">
      <c r="A249" s="135">
        <v>10658</v>
      </c>
      <c r="B249" s="1926" t="s">
        <v>9851</v>
      </c>
      <c r="C249" s="1926" t="s">
        <v>39</v>
      </c>
      <c r="D249" s="1926" t="s">
        <v>46</v>
      </c>
      <c r="E249" s="1662">
        <v>6445</v>
      </c>
    </row>
    <row r="250" spans="1:5" x14ac:dyDescent="0.2">
      <c r="A250" s="135">
        <v>253</v>
      </c>
      <c r="B250" s="1926" t="s">
        <v>9852</v>
      </c>
      <c r="C250" s="1926" t="s">
        <v>42</v>
      </c>
      <c r="D250" s="1926" t="s">
        <v>43</v>
      </c>
      <c r="E250" s="1662">
        <v>21.98</v>
      </c>
    </row>
    <row r="251" spans="1:5" x14ac:dyDescent="0.2">
      <c r="A251" s="135">
        <v>40809</v>
      </c>
      <c r="B251" s="1926" t="s">
        <v>9853</v>
      </c>
      <c r="C251" s="1926" t="s">
        <v>51</v>
      </c>
      <c r="D251" s="1926" t="s">
        <v>40</v>
      </c>
      <c r="E251" s="1662">
        <v>3920.56</v>
      </c>
    </row>
    <row r="252" spans="1:5" x14ac:dyDescent="0.2">
      <c r="A252" s="135">
        <v>42428</v>
      </c>
      <c r="B252" s="1926" t="s">
        <v>9854</v>
      </c>
      <c r="C252" s="1926" t="s">
        <v>39</v>
      </c>
      <c r="D252" s="1926" t="s">
        <v>46</v>
      </c>
      <c r="E252" s="1662">
        <v>1300</v>
      </c>
    </row>
    <row r="253" spans="1:5" x14ac:dyDescent="0.2">
      <c r="A253" s="135">
        <v>583</v>
      </c>
      <c r="B253" s="1926" t="s">
        <v>9855</v>
      </c>
      <c r="C253" s="1926" t="s">
        <v>48</v>
      </c>
      <c r="D253" s="1926" t="s">
        <v>46</v>
      </c>
      <c r="E253" s="1662">
        <v>25.64</v>
      </c>
    </row>
    <row r="254" spans="1:5" x14ac:dyDescent="0.2">
      <c r="A254" s="135">
        <v>299</v>
      </c>
      <c r="B254" s="1926" t="s">
        <v>9856</v>
      </c>
      <c r="C254" s="1926" t="s">
        <v>39</v>
      </c>
      <c r="D254" s="1926" t="s">
        <v>40</v>
      </c>
      <c r="E254" s="1662">
        <v>2</v>
      </c>
    </row>
    <row r="255" spans="1:5" x14ac:dyDescent="0.2">
      <c r="A255" s="135">
        <v>298</v>
      </c>
      <c r="B255" s="1926" t="s">
        <v>9857</v>
      </c>
      <c r="C255" s="1926" t="s">
        <v>39</v>
      </c>
      <c r="D255" s="1926" t="s">
        <v>40</v>
      </c>
      <c r="E255" s="1662">
        <v>2.02</v>
      </c>
    </row>
    <row r="256" spans="1:5" x14ac:dyDescent="0.2">
      <c r="A256" s="135">
        <v>295</v>
      </c>
      <c r="B256" s="1926" t="s">
        <v>9858</v>
      </c>
      <c r="C256" s="1926" t="s">
        <v>39</v>
      </c>
      <c r="D256" s="1926" t="s">
        <v>40</v>
      </c>
      <c r="E256" s="1662">
        <v>1.2</v>
      </c>
    </row>
    <row r="257" spans="1:5" x14ac:dyDescent="0.2">
      <c r="A257" s="135">
        <v>296</v>
      </c>
      <c r="B257" s="1926" t="s">
        <v>9859</v>
      </c>
      <c r="C257" s="1926" t="s">
        <v>39</v>
      </c>
      <c r="D257" s="1926" t="s">
        <v>40</v>
      </c>
      <c r="E257" s="1662">
        <v>1.25</v>
      </c>
    </row>
    <row r="258" spans="1:5" x14ac:dyDescent="0.2">
      <c r="A258" s="135">
        <v>297</v>
      </c>
      <c r="B258" s="1926" t="s">
        <v>9860</v>
      </c>
      <c r="C258" s="1926" t="s">
        <v>39</v>
      </c>
      <c r="D258" s="1926" t="s">
        <v>40</v>
      </c>
      <c r="E258" s="1662">
        <v>1.76</v>
      </c>
    </row>
    <row r="259" spans="1:5" x14ac:dyDescent="0.2">
      <c r="A259" s="135">
        <v>301</v>
      </c>
      <c r="B259" s="1926" t="s">
        <v>9861</v>
      </c>
      <c r="C259" s="1926" t="s">
        <v>39</v>
      </c>
      <c r="D259" s="1926" t="s">
        <v>43</v>
      </c>
      <c r="E259" s="1662">
        <v>2.21</v>
      </c>
    </row>
    <row r="260" spans="1:5" x14ac:dyDescent="0.2">
      <c r="A260" s="135">
        <v>300</v>
      </c>
      <c r="B260" s="1926" t="s">
        <v>9862</v>
      </c>
      <c r="C260" s="1926" t="s">
        <v>39</v>
      </c>
      <c r="D260" s="1926" t="s">
        <v>40</v>
      </c>
      <c r="E260" s="1662">
        <v>9.2799999999999994</v>
      </c>
    </row>
    <row r="261" spans="1:5" x14ac:dyDescent="0.2">
      <c r="A261" s="135">
        <v>20084</v>
      </c>
      <c r="B261" s="1926" t="s">
        <v>9863</v>
      </c>
      <c r="C261" s="1926" t="s">
        <v>39</v>
      </c>
      <c r="D261" s="1926" t="s">
        <v>40</v>
      </c>
      <c r="E261" s="1662">
        <v>1.2</v>
      </c>
    </row>
    <row r="262" spans="1:5" x14ac:dyDescent="0.2">
      <c r="A262" s="135">
        <v>20085</v>
      </c>
      <c r="B262" s="1926" t="s">
        <v>9864</v>
      </c>
      <c r="C262" s="1926" t="s">
        <v>39</v>
      </c>
      <c r="D262" s="1926" t="s">
        <v>40</v>
      </c>
      <c r="E262" s="1662">
        <v>1.1100000000000001</v>
      </c>
    </row>
    <row r="263" spans="1:5" x14ac:dyDescent="0.2">
      <c r="A263" s="135">
        <v>311</v>
      </c>
      <c r="B263" s="1926" t="s">
        <v>9865</v>
      </c>
      <c r="C263" s="1926" t="s">
        <v>39</v>
      </c>
      <c r="D263" s="1926" t="s">
        <v>40</v>
      </c>
      <c r="E263" s="1662">
        <v>7.18</v>
      </c>
    </row>
    <row r="264" spans="1:5" x14ac:dyDescent="0.2">
      <c r="A264" s="135">
        <v>318</v>
      </c>
      <c r="B264" s="1926" t="s">
        <v>9866</v>
      </c>
      <c r="C264" s="1926" t="s">
        <v>39</v>
      </c>
      <c r="D264" s="1926" t="s">
        <v>40</v>
      </c>
      <c r="E264" s="1662">
        <v>12.59</v>
      </c>
    </row>
    <row r="265" spans="1:5" x14ac:dyDescent="0.2">
      <c r="A265" s="135">
        <v>319</v>
      </c>
      <c r="B265" s="1926" t="s">
        <v>9867</v>
      </c>
      <c r="C265" s="1926" t="s">
        <v>39</v>
      </c>
      <c r="D265" s="1926" t="s">
        <v>40</v>
      </c>
      <c r="E265" s="1662">
        <v>23.77</v>
      </c>
    </row>
    <row r="266" spans="1:5" x14ac:dyDescent="0.2">
      <c r="A266" s="135">
        <v>320</v>
      </c>
      <c r="B266" s="1926" t="s">
        <v>9868</v>
      </c>
      <c r="C266" s="1926" t="s">
        <v>39</v>
      </c>
      <c r="D266" s="1926" t="s">
        <v>40</v>
      </c>
      <c r="E266" s="1662">
        <v>75.569999999999993</v>
      </c>
    </row>
    <row r="267" spans="1:5" x14ac:dyDescent="0.2">
      <c r="A267" s="135">
        <v>314</v>
      </c>
      <c r="B267" s="1926" t="s">
        <v>9869</v>
      </c>
      <c r="C267" s="1926" t="s">
        <v>39</v>
      </c>
      <c r="D267" s="1926" t="s">
        <v>40</v>
      </c>
      <c r="E267" s="1662">
        <v>116.08</v>
      </c>
    </row>
    <row r="268" spans="1:5" x14ac:dyDescent="0.2">
      <c r="A268" s="135">
        <v>303</v>
      </c>
      <c r="B268" s="1926" t="s">
        <v>9870</v>
      </c>
      <c r="C268" s="1926" t="s">
        <v>39</v>
      </c>
      <c r="D268" s="1926" t="s">
        <v>40</v>
      </c>
      <c r="E268" s="1662">
        <v>3.01</v>
      </c>
    </row>
    <row r="269" spans="1:5" x14ac:dyDescent="0.2">
      <c r="A269" s="135">
        <v>304</v>
      </c>
      <c r="B269" s="1926" t="s">
        <v>9871</v>
      </c>
      <c r="C269" s="1926" t="s">
        <v>39</v>
      </c>
      <c r="D269" s="1926" t="s">
        <v>40</v>
      </c>
      <c r="E269" s="1662">
        <v>4.59</v>
      </c>
    </row>
    <row r="270" spans="1:5" x14ac:dyDescent="0.2">
      <c r="A270" s="135">
        <v>305</v>
      </c>
      <c r="B270" s="1926" t="s">
        <v>9872</v>
      </c>
      <c r="C270" s="1926" t="s">
        <v>39</v>
      </c>
      <c r="D270" s="1926" t="s">
        <v>40</v>
      </c>
      <c r="E270" s="1662">
        <v>7.85</v>
      </c>
    </row>
    <row r="271" spans="1:5" x14ac:dyDescent="0.2">
      <c r="A271" s="135">
        <v>306</v>
      </c>
      <c r="B271" s="1926" t="s">
        <v>9873</v>
      </c>
      <c r="C271" s="1926" t="s">
        <v>39</v>
      </c>
      <c r="D271" s="1926" t="s">
        <v>40</v>
      </c>
      <c r="E271" s="1662">
        <v>9.44</v>
      </c>
    </row>
    <row r="272" spans="1:5" x14ac:dyDescent="0.2">
      <c r="A272" s="135">
        <v>307</v>
      </c>
      <c r="B272" s="1926" t="s">
        <v>9874</v>
      </c>
      <c r="C272" s="1926" t="s">
        <v>39</v>
      </c>
      <c r="D272" s="1926" t="s">
        <v>40</v>
      </c>
      <c r="E272" s="1662">
        <v>18.63</v>
      </c>
    </row>
    <row r="273" spans="1:5" x14ac:dyDescent="0.2">
      <c r="A273" s="135">
        <v>309</v>
      </c>
      <c r="B273" s="1926" t="s">
        <v>9875</v>
      </c>
      <c r="C273" s="1926" t="s">
        <v>39</v>
      </c>
      <c r="D273" s="1926" t="s">
        <v>40</v>
      </c>
      <c r="E273" s="1662">
        <v>38.19</v>
      </c>
    </row>
    <row r="274" spans="1:5" x14ac:dyDescent="0.2">
      <c r="A274" s="135">
        <v>310</v>
      </c>
      <c r="B274" s="1926" t="s">
        <v>9876</v>
      </c>
      <c r="C274" s="1926" t="s">
        <v>39</v>
      </c>
      <c r="D274" s="1926" t="s">
        <v>40</v>
      </c>
      <c r="E274" s="1662">
        <v>48.44</v>
      </c>
    </row>
    <row r="275" spans="1:5" x14ac:dyDescent="0.2">
      <c r="A275" s="135">
        <v>328</v>
      </c>
      <c r="B275" s="1926" t="s">
        <v>9877</v>
      </c>
      <c r="C275" s="1926" t="s">
        <v>39</v>
      </c>
      <c r="D275" s="1926" t="s">
        <v>40</v>
      </c>
      <c r="E275" s="1662">
        <v>5.78</v>
      </c>
    </row>
    <row r="276" spans="1:5" x14ac:dyDescent="0.2">
      <c r="A276" s="135">
        <v>325</v>
      </c>
      <c r="B276" s="1926" t="s">
        <v>9878</v>
      </c>
      <c r="C276" s="1926" t="s">
        <v>39</v>
      </c>
      <c r="D276" s="1926" t="s">
        <v>40</v>
      </c>
      <c r="E276" s="1662">
        <v>2.2400000000000002</v>
      </c>
    </row>
    <row r="277" spans="1:5" x14ac:dyDescent="0.2">
      <c r="A277" s="135">
        <v>20326</v>
      </c>
      <c r="B277" s="1926" t="s">
        <v>9879</v>
      </c>
      <c r="C277" s="1926" t="s">
        <v>39</v>
      </c>
      <c r="D277" s="1926" t="s">
        <v>40</v>
      </c>
      <c r="E277" s="1662">
        <v>6</v>
      </c>
    </row>
    <row r="278" spans="1:5" x14ac:dyDescent="0.2">
      <c r="A278" s="135">
        <v>329</v>
      </c>
      <c r="B278" s="1926" t="s">
        <v>9880</v>
      </c>
      <c r="C278" s="1926" t="s">
        <v>39</v>
      </c>
      <c r="D278" s="1926" t="s">
        <v>40</v>
      </c>
      <c r="E278" s="1662">
        <v>7.38</v>
      </c>
    </row>
    <row r="279" spans="1:5" x14ac:dyDescent="0.2">
      <c r="A279" s="135">
        <v>308</v>
      </c>
      <c r="B279" s="1926" t="s">
        <v>9881</v>
      </c>
      <c r="C279" s="1926" t="s">
        <v>39</v>
      </c>
      <c r="D279" s="1926" t="s">
        <v>40</v>
      </c>
      <c r="E279" s="1662">
        <v>24.89</v>
      </c>
    </row>
    <row r="280" spans="1:5" x14ac:dyDescent="0.2">
      <c r="A280" s="135">
        <v>39642</v>
      </c>
      <c r="B280" s="1926" t="s">
        <v>9882</v>
      </c>
      <c r="C280" s="1926" t="s">
        <v>39</v>
      </c>
      <c r="D280" s="1926" t="s">
        <v>40</v>
      </c>
      <c r="E280" s="1662">
        <v>1.51</v>
      </c>
    </row>
    <row r="281" spans="1:5" x14ac:dyDescent="0.2">
      <c r="A281" s="135">
        <v>39641</v>
      </c>
      <c r="B281" s="1926" t="s">
        <v>9883</v>
      </c>
      <c r="C281" s="1926" t="s">
        <v>39</v>
      </c>
      <c r="D281" s="1926" t="s">
        <v>40</v>
      </c>
      <c r="E281" s="1662">
        <v>1.05</v>
      </c>
    </row>
    <row r="282" spans="1:5" x14ac:dyDescent="0.2">
      <c r="A282" s="135">
        <v>39643</v>
      </c>
      <c r="B282" s="1926" t="s">
        <v>9884</v>
      </c>
      <c r="C282" s="1926" t="s">
        <v>39</v>
      </c>
      <c r="D282" s="1926" t="s">
        <v>40</v>
      </c>
      <c r="E282" s="1662">
        <v>4.1900000000000004</v>
      </c>
    </row>
    <row r="283" spans="1:5" x14ac:dyDescent="0.2">
      <c r="A283" s="135">
        <v>39644</v>
      </c>
      <c r="B283" s="1926" t="s">
        <v>9885</v>
      </c>
      <c r="C283" s="1926" t="s">
        <v>39</v>
      </c>
      <c r="D283" s="1926" t="s">
        <v>40</v>
      </c>
      <c r="E283" s="1662">
        <v>5.42</v>
      </c>
    </row>
    <row r="284" spans="1:5" x14ac:dyDescent="0.2">
      <c r="A284" s="135">
        <v>39645</v>
      </c>
      <c r="B284" s="1926" t="s">
        <v>9886</v>
      </c>
      <c r="C284" s="1926" t="s">
        <v>39</v>
      </c>
      <c r="D284" s="1926" t="s">
        <v>40</v>
      </c>
      <c r="E284" s="1662">
        <v>7</v>
      </c>
    </row>
    <row r="285" spans="1:5" x14ac:dyDescent="0.2">
      <c r="A285" s="135">
        <v>12548</v>
      </c>
      <c r="B285" s="1926" t="s">
        <v>9887</v>
      </c>
      <c r="C285" s="1926" t="s">
        <v>39</v>
      </c>
      <c r="D285" s="1926" t="s">
        <v>40</v>
      </c>
      <c r="E285" s="1662">
        <v>106</v>
      </c>
    </row>
    <row r="286" spans="1:5" x14ac:dyDescent="0.2">
      <c r="A286" s="135">
        <v>13113</v>
      </c>
      <c r="B286" s="1926" t="s">
        <v>9888</v>
      </c>
      <c r="C286" s="1926" t="s">
        <v>39</v>
      </c>
      <c r="D286" s="1926" t="s">
        <v>40</v>
      </c>
      <c r="E286" s="1662">
        <v>43.44</v>
      </c>
    </row>
    <row r="287" spans="1:5" x14ac:dyDescent="0.2">
      <c r="A287" s="135">
        <v>13114</v>
      </c>
      <c r="B287" s="1926" t="s">
        <v>9889</v>
      </c>
      <c r="C287" s="1926" t="s">
        <v>39</v>
      </c>
      <c r="D287" s="1926" t="s">
        <v>40</v>
      </c>
      <c r="E287" s="1662">
        <v>52.89</v>
      </c>
    </row>
    <row r="288" spans="1:5" x14ac:dyDescent="0.2">
      <c r="A288" s="135">
        <v>12530</v>
      </c>
      <c r="B288" s="1926" t="s">
        <v>9890</v>
      </c>
      <c r="C288" s="1926" t="s">
        <v>39</v>
      </c>
      <c r="D288" s="1926" t="s">
        <v>40</v>
      </c>
      <c r="E288" s="1662">
        <v>64.44</v>
      </c>
    </row>
    <row r="289" spans="1:5" x14ac:dyDescent="0.2">
      <c r="A289" s="135">
        <v>12531</v>
      </c>
      <c r="B289" s="1926" t="s">
        <v>9891</v>
      </c>
      <c r="C289" s="1926" t="s">
        <v>39</v>
      </c>
      <c r="D289" s="1926" t="s">
        <v>40</v>
      </c>
      <c r="E289" s="1662">
        <v>72.08</v>
      </c>
    </row>
    <row r="290" spans="1:5" x14ac:dyDescent="0.2">
      <c r="A290" s="135">
        <v>12532</v>
      </c>
      <c r="B290" s="1926" t="s">
        <v>9892</v>
      </c>
      <c r="C290" s="1926" t="s">
        <v>39</v>
      </c>
      <c r="D290" s="1926" t="s">
        <v>40</v>
      </c>
      <c r="E290" s="1662">
        <v>88.15</v>
      </c>
    </row>
    <row r="291" spans="1:5" x14ac:dyDescent="0.2">
      <c r="A291" s="135">
        <v>12533</v>
      </c>
      <c r="B291" s="1926" t="s">
        <v>9893</v>
      </c>
      <c r="C291" s="1926" t="s">
        <v>39</v>
      </c>
      <c r="D291" s="1926" t="s">
        <v>40</v>
      </c>
      <c r="E291" s="1662">
        <v>105.15</v>
      </c>
    </row>
    <row r="292" spans="1:5" x14ac:dyDescent="0.2">
      <c r="A292" s="135">
        <v>12544</v>
      </c>
      <c r="B292" s="1926" t="s">
        <v>9894</v>
      </c>
      <c r="C292" s="1926" t="s">
        <v>39</v>
      </c>
      <c r="D292" s="1926" t="s">
        <v>40</v>
      </c>
      <c r="E292" s="1662">
        <v>128.44999999999999</v>
      </c>
    </row>
    <row r="293" spans="1:5" x14ac:dyDescent="0.2">
      <c r="A293" s="135">
        <v>12546</v>
      </c>
      <c r="B293" s="1926" t="s">
        <v>9895</v>
      </c>
      <c r="C293" s="1926" t="s">
        <v>39</v>
      </c>
      <c r="D293" s="1926" t="s">
        <v>40</v>
      </c>
      <c r="E293" s="1662">
        <v>132.96</v>
      </c>
    </row>
    <row r="294" spans="1:5" x14ac:dyDescent="0.2">
      <c r="A294" s="135">
        <v>12547</v>
      </c>
      <c r="B294" s="1926" t="s">
        <v>9896</v>
      </c>
      <c r="C294" s="1926" t="s">
        <v>39</v>
      </c>
      <c r="D294" s="1926" t="s">
        <v>40</v>
      </c>
      <c r="E294" s="1662">
        <v>154.63</v>
      </c>
    </row>
    <row r="295" spans="1:5" x14ac:dyDescent="0.2">
      <c r="A295" s="135">
        <v>12551</v>
      </c>
      <c r="B295" s="1926" t="s">
        <v>9897</v>
      </c>
      <c r="C295" s="1926" t="s">
        <v>39</v>
      </c>
      <c r="D295" s="1926" t="s">
        <v>40</v>
      </c>
      <c r="E295" s="1662">
        <v>168.37</v>
      </c>
    </row>
    <row r="296" spans="1:5" x14ac:dyDescent="0.2">
      <c r="A296" s="135">
        <v>12563</v>
      </c>
      <c r="B296" s="1926" t="s">
        <v>9898</v>
      </c>
      <c r="C296" s="1926" t="s">
        <v>39</v>
      </c>
      <c r="D296" s="1926" t="s">
        <v>40</v>
      </c>
      <c r="E296" s="1662">
        <v>264.45999999999998</v>
      </c>
    </row>
    <row r="297" spans="1:5" x14ac:dyDescent="0.2">
      <c r="A297" s="135">
        <v>12565</v>
      </c>
      <c r="B297" s="1926" t="s">
        <v>9899</v>
      </c>
      <c r="C297" s="1926" t="s">
        <v>39</v>
      </c>
      <c r="D297" s="1926" t="s">
        <v>40</v>
      </c>
      <c r="E297" s="1662">
        <v>416.16</v>
      </c>
    </row>
    <row r="298" spans="1:5" x14ac:dyDescent="0.2">
      <c r="A298" s="135">
        <v>12567</v>
      </c>
      <c r="B298" s="1926" t="s">
        <v>9900</v>
      </c>
      <c r="C298" s="1926" t="s">
        <v>39</v>
      </c>
      <c r="D298" s="1926" t="s">
        <v>40</v>
      </c>
      <c r="E298" s="1662">
        <v>541.52</v>
      </c>
    </row>
    <row r="299" spans="1:5" x14ac:dyDescent="0.2">
      <c r="A299" s="135">
        <v>12568</v>
      </c>
      <c r="B299" s="1926" t="s">
        <v>9901</v>
      </c>
      <c r="C299" s="1926" t="s">
        <v>39</v>
      </c>
      <c r="D299" s="1926" t="s">
        <v>40</v>
      </c>
      <c r="E299" s="1662">
        <v>894.14</v>
      </c>
    </row>
    <row r="300" spans="1:5" x14ac:dyDescent="0.2">
      <c r="A300" s="135">
        <v>11789</v>
      </c>
      <c r="B300" s="1926" t="s">
        <v>9902</v>
      </c>
      <c r="C300" s="1926" t="s">
        <v>39</v>
      </c>
      <c r="D300" s="1926" t="s">
        <v>46</v>
      </c>
      <c r="E300" s="1662">
        <v>0.65</v>
      </c>
    </row>
    <row r="301" spans="1:5" x14ac:dyDescent="0.2">
      <c r="A301" s="135">
        <v>20975</v>
      </c>
      <c r="B301" s="1926" t="s">
        <v>9903</v>
      </c>
      <c r="C301" s="1926" t="s">
        <v>39</v>
      </c>
      <c r="D301" s="1926" t="s">
        <v>40</v>
      </c>
      <c r="E301" s="1662">
        <v>7.67</v>
      </c>
    </row>
    <row r="302" spans="1:5" x14ac:dyDescent="0.2">
      <c r="A302" s="135">
        <v>20976</v>
      </c>
      <c r="B302" s="1926" t="s">
        <v>9904</v>
      </c>
      <c r="C302" s="1926" t="s">
        <v>39</v>
      </c>
      <c r="D302" s="1926" t="s">
        <v>40</v>
      </c>
      <c r="E302" s="1662">
        <v>11.59</v>
      </c>
    </row>
    <row r="303" spans="1:5" x14ac:dyDescent="0.2">
      <c r="A303" s="135">
        <v>40340</v>
      </c>
      <c r="B303" s="1926" t="s">
        <v>9905</v>
      </c>
      <c r="C303" s="1926" t="s">
        <v>39</v>
      </c>
      <c r="D303" s="1926" t="s">
        <v>40</v>
      </c>
      <c r="E303" s="1662">
        <v>58.52</v>
      </c>
    </row>
    <row r="304" spans="1:5" x14ac:dyDescent="0.2">
      <c r="A304" s="135">
        <v>40341</v>
      </c>
      <c r="B304" s="1926" t="s">
        <v>9906</v>
      </c>
      <c r="C304" s="1926" t="s">
        <v>39</v>
      </c>
      <c r="D304" s="1926" t="s">
        <v>40</v>
      </c>
      <c r="E304" s="1662">
        <v>69.3</v>
      </c>
    </row>
    <row r="305" spans="1:5" x14ac:dyDescent="0.2">
      <c r="A305" s="135">
        <v>40342</v>
      </c>
      <c r="B305" s="1926" t="s">
        <v>9907</v>
      </c>
      <c r="C305" s="1926" t="s">
        <v>39</v>
      </c>
      <c r="D305" s="1926" t="s">
        <v>40</v>
      </c>
      <c r="E305" s="1662">
        <v>87.85</v>
      </c>
    </row>
    <row r="306" spans="1:5" x14ac:dyDescent="0.2">
      <c r="A306" s="135">
        <v>40343</v>
      </c>
      <c r="B306" s="1926" t="s">
        <v>9908</v>
      </c>
      <c r="C306" s="1926" t="s">
        <v>39</v>
      </c>
      <c r="D306" s="1926" t="s">
        <v>40</v>
      </c>
      <c r="E306" s="1662">
        <v>107.78</v>
      </c>
    </row>
    <row r="307" spans="1:5" x14ac:dyDescent="0.2">
      <c r="A307" s="135">
        <v>40344</v>
      </c>
      <c r="B307" s="1926" t="s">
        <v>9909</v>
      </c>
      <c r="C307" s="1926" t="s">
        <v>39</v>
      </c>
      <c r="D307" s="1926" t="s">
        <v>40</v>
      </c>
      <c r="E307" s="1662">
        <v>113.96</v>
      </c>
    </row>
    <row r="308" spans="1:5" x14ac:dyDescent="0.2">
      <c r="A308" s="135">
        <v>40345</v>
      </c>
      <c r="B308" s="1926" t="s">
        <v>9910</v>
      </c>
      <c r="C308" s="1926" t="s">
        <v>39</v>
      </c>
      <c r="D308" s="1926" t="s">
        <v>40</v>
      </c>
      <c r="E308" s="1662">
        <v>142.28</v>
      </c>
    </row>
    <row r="309" spans="1:5" x14ac:dyDescent="0.2">
      <c r="A309" s="135">
        <v>40346</v>
      </c>
      <c r="B309" s="1926" t="s">
        <v>9911</v>
      </c>
      <c r="C309" s="1926" t="s">
        <v>39</v>
      </c>
      <c r="D309" s="1926" t="s">
        <v>40</v>
      </c>
      <c r="E309" s="1662">
        <v>133.85</v>
      </c>
    </row>
    <row r="310" spans="1:5" x14ac:dyDescent="0.2">
      <c r="A310" s="135">
        <v>40347</v>
      </c>
      <c r="B310" s="1926" t="s">
        <v>9912</v>
      </c>
      <c r="C310" s="1926" t="s">
        <v>39</v>
      </c>
      <c r="D310" s="1926" t="s">
        <v>40</v>
      </c>
      <c r="E310" s="1662">
        <v>165.5</v>
      </c>
    </row>
    <row r="311" spans="1:5" x14ac:dyDescent="0.2">
      <c r="A311" s="135">
        <v>38840</v>
      </c>
      <c r="B311" s="1926" t="s">
        <v>9913</v>
      </c>
      <c r="C311" s="1926" t="s">
        <v>39</v>
      </c>
      <c r="D311" s="1926" t="s">
        <v>46</v>
      </c>
      <c r="E311" s="1662">
        <v>1.9</v>
      </c>
    </row>
    <row r="312" spans="1:5" x14ac:dyDescent="0.2">
      <c r="A312" s="135">
        <v>38841</v>
      </c>
      <c r="B312" s="1926" t="s">
        <v>9914</v>
      </c>
      <c r="C312" s="1926" t="s">
        <v>39</v>
      </c>
      <c r="D312" s="1926" t="s">
        <v>46</v>
      </c>
      <c r="E312" s="1662">
        <v>2.11</v>
      </c>
    </row>
    <row r="313" spans="1:5" x14ac:dyDescent="0.2">
      <c r="A313" s="135">
        <v>38842</v>
      </c>
      <c r="B313" s="1926" t="s">
        <v>9915</v>
      </c>
      <c r="C313" s="1926" t="s">
        <v>39</v>
      </c>
      <c r="D313" s="1926" t="s">
        <v>46</v>
      </c>
      <c r="E313" s="1662">
        <v>4.16</v>
      </c>
    </row>
    <row r="314" spans="1:5" x14ac:dyDescent="0.2">
      <c r="A314" s="135">
        <v>38843</v>
      </c>
      <c r="B314" s="1926" t="s">
        <v>9916</v>
      </c>
      <c r="C314" s="1926" t="s">
        <v>39</v>
      </c>
      <c r="D314" s="1926" t="s">
        <v>46</v>
      </c>
      <c r="E314" s="1662">
        <v>6.51</v>
      </c>
    </row>
    <row r="315" spans="1:5" x14ac:dyDescent="0.2">
      <c r="A315" s="135">
        <v>13761</v>
      </c>
      <c r="B315" s="1926" t="s">
        <v>9917</v>
      </c>
      <c r="C315" s="1926" t="s">
        <v>39</v>
      </c>
      <c r="D315" s="1926" t="s">
        <v>46</v>
      </c>
      <c r="E315" s="1662">
        <v>2626.14</v>
      </c>
    </row>
    <row r="316" spans="1:5" x14ac:dyDescent="0.2">
      <c r="A316" s="135">
        <v>12888</v>
      </c>
      <c r="B316" s="1926" t="s">
        <v>9918</v>
      </c>
      <c r="C316" s="1926" t="s">
        <v>52</v>
      </c>
      <c r="D316" s="1926" t="s">
        <v>46</v>
      </c>
      <c r="E316" s="1662">
        <v>88.25</v>
      </c>
    </row>
    <row r="317" spans="1:5" x14ac:dyDescent="0.2">
      <c r="A317" s="135">
        <v>12889</v>
      </c>
      <c r="B317" s="1926" t="s">
        <v>9919</v>
      </c>
      <c r="C317" s="1926" t="s">
        <v>52</v>
      </c>
      <c r="D317" s="1926" t="s">
        <v>46</v>
      </c>
      <c r="E317" s="1662">
        <v>57.63</v>
      </c>
    </row>
    <row r="318" spans="1:5" x14ac:dyDescent="0.2">
      <c r="A318" s="135">
        <v>4814</v>
      </c>
      <c r="B318" s="1926" t="s">
        <v>9920</v>
      </c>
      <c r="C318" s="1926" t="s">
        <v>39</v>
      </c>
      <c r="D318" s="1926" t="s">
        <v>40</v>
      </c>
      <c r="E318" s="1662">
        <v>110.33</v>
      </c>
    </row>
    <row r="319" spans="1:5" x14ac:dyDescent="0.2">
      <c r="A319" s="135">
        <v>25967</v>
      </c>
      <c r="B319" s="1926" t="s">
        <v>9921</v>
      </c>
      <c r="C319" s="1926" t="s">
        <v>39</v>
      </c>
      <c r="D319" s="1926" t="s">
        <v>46</v>
      </c>
      <c r="E319" s="1662">
        <v>1741.31</v>
      </c>
    </row>
    <row r="320" spans="1:5" x14ac:dyDescent="0.2">
      <c r="A320" s="135">
        <v>6122</v>
      </c>
      <c r="B320" s="1926" t="s">
        <v>9922</v>
      </c>
      <c r="C320" s="1926" t="s">
        <v>42</v>
      </c>
      <c r="D320" s="1926" t="s">
        <v>40</v>
      </c>
      <c r="E320" s="1662">
        <v>26.4</v>
      </c>
    </row>
    <row r="321" spans="1:5" x14ac:dyDescent="0.2">
      <c r="A321" s="135">
        <v>40810</v>
      </c>
      <c r="B321" s="1926" t="s">
        <v>9923</v>
      </c>
      <c r="C321" s="1926" t="s">
        <v>51</v>
      </c>
      <c r="D321" s="1926" t="s">
        <v>40</v>
      </c>
      <c r="E321" s="1662">
        <v>4710.3900000000003</v>
      </c>
    </row>
    <row r="322" spans="1:5" x14ac:dyDescent="0.2">
      <c r="A322" s="135">
        <v>21100</v>
      </c>
      <c r="B322" s="1926" t="s">
        <v>9924</v>
      </c>
      <c r="C322" s="1926" t="s">
        <v>39</v>
      </c>
      <c r="D322" s="1926" t="s">
        <v>46</v>
      </c>
      <c r="E322" s="1662">
        <v>2410.2199999999998</v>
      </c>
    </row>
    <row r="323" spans="1:5" x14ac:dyDescent="0.2">
      <c r="A323" s="135">
        <v>11816</v>
      </c>
      <c r="B323" s="1926" t="s">
        <v>9925</v>
      </c>
      <c r="C323" s="1926" t="s">
        <v>39</v>
      </c>
      <c r="D323" s="1926" t="s">
        <v>46</v>
      </c>
      <c r="E323" s="1662">
        <v>2570</v>
      </c>
    </row>
    <row r="324" spans="1:5" x14ac:dyDescent="0.2">
      <c r="A324" s="135">
        <v>11814</v>
      </c>
      <c r="B324" s="1926" t="s">
        <v>9926</v>
      </c>
      <c r="C324" s="1926" t="s">
        <v>39</v>
      </c>
      <c r="D324" s="1926" t="s">
        <v>46</v>
      </c>
      <c r="E324" s="1662">
        <v>5594.24</v>
      </c>
    </row>
    <row r="325" spans="1:5" x14ac:dyDescent="0.2">
      <c r="A325" s="135">
        <v>14186</v>
      </c>
      <c r="B325" s="1926" t="s">
        <v>9927</v>
      </c>
      <c r="C325" s="1926" t="s">
        <v>39</v>
      </c>
      <c r="D325" s="1926" t="s">
        <v>46</v>
      </c>
      <c r="E325" s="1662">
        <v>7024.33</v>
      </c>
    </row>
    <row r="326" spans="1:5" x14ac:dyDescent="0.2">
      <c r="A326" s="135">
        <v>14185</v>
      </c>
      <c r="B326" s="1926" t="s">
        <v>9928</v>
      </c>
      <c r="C326" s="1926" t="s">
        <v>39</v>
      </c>
      <c r="D326" s="1926" t="s">
        <v>46</v>
      </c>
      <c r="E326" s="1662">
        <v>9099.24</v>
      </c>
    </row>
    <row r="327" spans="1:5" x14ac:dyDescent="0.2">
      <c r="A327" s="135">
        <v>11811</v>
      </c>
      <c r="B327" s="1926" t="s">
        <v>9929</v>
      </c>
      <c r="C327" s="1926" t="s">
        <v>39</v>
      </c>
      <c r="D327" s="1926" t="s">
        <v>46</v>
      </c>
      <c r="E327" s="1662">
        <v>3479.2</v>
      </c>
    </row>
    <row r="328" spans="1:5" x14ac:dyDescent="0.2">
      <c r="A328" s="135">
        <v>26038</v>
      </c>
      <c r="B328" s="1926" t="s">
        <v>9930</v>
      </c>
      <c r="C328" s="1926" t="s">
        <v>39</v>
      </c>
      <c r="D328" s="1926" t="s">
        <v>46</v>
      </c>
      <c r="E328" s="1662">
        <v>202992.51</v>
      </c>
    </row>
    <row r="329" spans="1:5" x14ac:dyDescent="0.2">
      <c r="A329" s="135">
        <v>34482</v>
      </c>
      <c r="B329" s="1926" t="s">
        <v>9931</v>
      </c>
      <c r="C329" s="1926" t="s">
        <v>39</v>
      </c>
      <c r="D329" s="1926" t="s">
        <v>46</v>
      </c>
      <c r="E329" s="1662">
        <v>5042.8100000000004</v>
      </c>
    </row>
    <row r="330" spans="1:5" x14ac:dyDescent="0.2">
      <c r="A330" s="135">
        <v>34469</v>
      </c>
      <c r="B330" s="1926" t="s">
        <v>9932</v>
      </c>
      <c r="C330" s="1926" t="s">
        <v>39</v>
      </c>
      <c r="D330" s="1926" t="s">
        <v>46</v>
      </c>
      <c r="E330" s="1662">
        <v>7800.6</v>
      </c>
    </row>
    <row r="331" spans="1:5" x14ac:dyDescent="0.2">
      <c r="A331" s="135">
        <v>34472</v>
      </c>
      <c r="B331" s="1926" t="s">
        <v>9933</v>
      </c>
      <c r="C331" s="1926" t="s">
        <v>39</v>
      </c>
      <c r="D331" s="1926" t="s">
        <v>46</v>
      </c>
      <c r="E331" s="1662">
        <v>2400</v>
      </c>
    </row>
    <row r="332" spans="1:5" x14ac:dyDescent="0.2">
      <c r="A332" s="135">
        <v>34476</v>
      </c>
      <c r="B332" s="1926" t="s">
        <v>9934</v>
      </c>
      <c r="C332" s="1926" t="s">
        <v>39</v>
      </c>
      <c r="D332" s="1926" t="s">
        <v>46</v>
      </c>
      <c r="E332" s="1662">
        <v>4068.34</v>
      </c>
    </row>
    <row r="333" spans="1:5" x14ac:dyDescent="0.2">
      <c r="A333" s="135">
        <v>34477</v>
      </c>
      <c r="B333" s="1926" t="s">
        <v>9935</v>
      </c>
      <c r="C333" s="1926" t="s">
        <v>39</v>
      </c>
      <c r="D333" s="1926" t="s">
        <v>46</v>
      </c>
      <c r="E333" s="1662">
        <v>5399.47</v>
      </c>
    </row>
    <row r="334" spans="1:5" x14ac:dyDescent="0.2">
      <c r="A334" s="135">
        <v>42425</v>
      </c>
      <c r="B334" s="1926" t="s">
        <v>9936</v>
      </c>
      <c r="C334" s="1926" t="s">
        <v>39</v>
      </c>
      <c r="D334" s="1926" t="s">
        <v>40</v>
      </c>
      <c r="E334" s="1662">
        <v>1830.12</v>
      </c>
    </row>
    <row r="335" spans="1:5" x14ac:dyDescent="0.2">
      <c r="A335" s="135">
        <v>42422</v>
      </c>
      <c r="B335" s="1926" t="s">
        <v>9937</v>
      </c>
      <c r="C335" s="1926" t="s">
        <v>39</v>
      </c>
      <c r="D335" s="1926" t="s">
        <v>43</v>
      </c>
      <c r="E335" s="1662">
        <v>2716.87</v>
      </c>
    </row>
    <row r="336" spans="1:5" x14ac:dyDescent="0.2">
      <c r="A336" s="135">
        <v>43184</v>
      </c>
      <c r="B336" s="1926" t="s">
        <v>9938</v>
      </c>
      <c r="C336" s="1926" t="s">
        <v>39</v>
      </c>
      <c r="D336" s="1926" t="s">
        <v>40</v>
      </c>
      <c r="E336" s="1662">
        <v>3754.97</v>
      </c>
    </row>
    <row r="337" spans="1:5" x14ac:dyDescent="0.2">
      <c r="A337" s="135">
        <v>42424</v>
      </c>
      <c r="B337" s="1926" t="s">
        <v>9939</v>
      </c>
      <c r="C337" s="1926" t="s">
        <v>39</v>
      </c>
      <c r="D337" s="1926" t="s">
        <v>40</v>
      </c>
      <c r="E337" s="1662">
        <v>1634.45</v>
      </c>
    </row>
    <row r="338" spans="1:5" x14ac:dyDescent="0.2">
      <c r="A338" s="135">
        <v>42421</v>
      </c>
      <c r="B338" s="1926" t="s">
        <v>9940</v>
      </c>
      <c r="C338" s="1926" t="s">
        <v>39</v>
      </c>
      <c r="D338" s="1926" t="s">
        <v>40</v>
      </c>
      <c r="E338" s="1662">
        <v>14881.52</v>
      </c>
    </row>
    <row r="339" spans="1:5" x14ac:dyDescent="0.2">
      <c r="A339" s="135">
        <v>42416</v>
      </c>
      <c r="B339" s="1926" t="s">
        <v>9941</v>
      </c>
      <c r="C339" s="1926" t="s">
        <v>39</v>
      </c>
      <c r="D339" s="1926" t="s">
        <v>40</v>
      </c>
      <c r="E339" s="1662">
        <v>7045.94</v>
      </c>
    </row>
    <row r="340" spans="1:5" x14ac:dyDescent="0.2">
      <c r="A340" s="135">
        <v>42417</v>
      </c>
      <c r="B340" s="1926" t="s">
        <v>9942</v>
      </c>
      <c r="C340" s="1926" t="s">
        <v>39</v>
      </c>
      <c r="D340" s="1926" t="s">
        <v>40</v>
      </c>
      <c r="E340" s="1662">
        <v>7899.08</v>
      </c>
    </row>
    <row r="341" spans="1:5" x14ac:dyDescent="0.2">
      <c r="A341" s="135">
        <v>42419</v>
      </c>
      <c r="B341" s="1926" t="s">
        <v>9943</v>
      </c>
      <c r="C341" s="1926" t="s">
        <v>39</v>
      </c>
      <c r="D341" s="1926" t="s">
        <v>40</v>
      </c>
      <c r="E341" s="1662">
        <v>8924.2800000000007</v>
      </c>
    </row>
    <row r="342" spans="1:5" x14ac:dyDescent="0.2">
      <c r="A342" s="135">
        <v>42420</v>
      </c>
      <c r="B342" s="1926" t="s">
        <v>9944</v>
      </c>
      <c r="C342" s="1926" t="s">
        <v>39</v>
      </c>
      <c r="D342" s="1926" t="s">
        <v>40</v>
      </c>
      <c r="E342" s="1662">
        <v>12265.76</v>
      </c>
    </row>
    <row r="343" spans="1:5" x14ac:dyDescent="0.2">
      <c r="A343" s="135">
        <v>43195</v>
      </c>
      <c r="B343" s="1926" t="s">
        <v>9945</v>
      </c>
      <c r="C343" s="1926" t="s">
        <v>39</v>
      </c>
      <c r="D343" s="1926" t="s">
        <v>40</v>
      </c>
      <c r="E343" s="1662">
        <v>4318.95</v>
      </c>
    </row>
    <row r="344" spans="1:5" x14ac:dyDescent="0.2">
      <c r="A344" s="135">
        <v>43196</v>
      </c>
      <c r="B344" s="1926" t="s">
        <v>9946</v>
      </c>
      <c r="C344" s="1926" t="s">
        <v>39</v>
      </c>
      <c r="D344" s="1926" t="s">
        <v>40</v>
      </c>
      <c r="E344" s="1662">
        <v>5352.72</v>
      </c>
    </row>
    <row r="345" spans="1:5" x14ac:dyDescent="0.2">
      <c r="A345" s="135">
        <v>43198</v>
      </c>
      <c r="B345" s="1926" t="s">
        <v>9947</v>
      </c>
      <c r="C345" s="1926" t="s">
        <v>39</v>
      </c>
      <c r="D345" s="1926" t="s">
        <v>40</v>
      </c>
      <c r="E345" s="1662">
        <v>7954.01</v>
      </c>
    </row>
    <row r="346" spans="1:5" x14ac:dyDescent="0.2">
      <c r="A346" s="135">
        <v>43199</v>
      </c>
      <c r="B346" s="1926" t="s">
        <v>9948</v>
      </c>
      <c r="C346" s="1926" t="s">
        <v>39</v>
      </c>
      <c r="D346" s="1926" t="s">
        <v>40</v>
      </c>
      <c r="E346" s="1662">
        <v>8245.4699999999993</v>
      </c>
    </row>
    <row r="347" spans="1:5" x14ac:dyDescent="0.2">
      <c r="A347" s="135">
        <v>43200</v>
      </c>
      <c r="B347" s="1926" t="s">
        <v>9949</v>
      </c>
      <c r="C347" s="1926" t="s">
        <v>39</v>
      </c>
      <c r="D347" s="1926" t="s">
        <v>40</v>
      </c>
      <c r="E347" s="1662">
        <v>9462.2800000000007</v>
      </c>
    </row>
    <row r="348" spans="1:5" x14ac:dyDescent="0.2">
      <c r="A348" s="135">
        <v>39556</v>
      </c>
      <c r="B348" s="1926" t="s">
        <v>9950</v>
      </c>
      <c r="C348" s="1926" t="s">
        <v>39</v>
      </c>
      <c r="D348" s="1926" t="s">
        <v>40</v>
      </c>
      <c r="E348" s="1662">
        <v>5168.0200000000004</v>
      </c>
    </row>
    <row r="349" spans="1:5" x14ac:dyDescent="0.2">
      <c r="A349" s="135">
        <v>39557</v>
      </c>
      <c r="B349" s="1926" t="s">
        <v>9951</v>
      </c>
      <c r="C349" s="1926" t="s">
        <v>39</v>
      </c>
      <c r="D349" s="1926" t="s">
        <v>40</v>
      </c>
      <c r="E349" s="1662">
        <v>5564.83</v>
      </c>
    </row>
    <row r="350" spans="1:5" x14ac:dyDescent="0.2">
      <c r="A350" s="135">
        <v>39559</v>
      </c>
      <c r="B350" s="1926" t="s">
        <v>9952</v>
      </c>
      <c r="C350" s="1926" t="s">
        <v>39</v>
      </c>
      <c r="D350" s="1926" t="s">
        <v>40</v>
      </c>
      <c r="E350" s="1662">
        <v>8223.74</v>
      </c>
    </row>
    <row r="351" spans="1:5" x14ac:dyDescent="0.2">
      <c r="A351" s="135">
        <v>39560</v>
      </c>
      <c r="B351" s="1926" t="s">
        <v>9953</v>
      </c>
      <c r="C351" s="1926" t="s">
        <v>39</v>
      </c>
      <c r="D351" s="1926" t="s">
        <v>40</v>
      </c>
      <c r="E351" s="1662">
        <v>9514.07</v>
      </c>
    </row>
    <row r="352" spans="1:5" x14ac:dyDescent="0.2">
      <c r="A352" s="135">
        <v>39561</v>
      </c>
      <c r="B352" s="1926" t="s">
        <v>9954</v>
      </c>
      <c r="C352" s="1926" t="s">
        <v>39</v>
      </c>
      <c r="D352" s="1926" t="s">
        <v>40</v>
      </c>
      <c r="E352" s="1662">
        <v>9952.93</v>
      </c>
    </row>
    <row r="353" spans="1:5" x14ac:dyDescent="0.2">
      <c r="A353" s="135">
        <v>43190</v>
      </c>
      <c r="B353" s="1926" t="s">
        <v>9955</v>
      </c>
      <c r="C353" s="1926" t="s">
        <v>39</v>
      </c>
      <c r="D353" s="1926" t="s">
        <v>40</v>
      </c>
      <c r="E353" s="1662">
        <v>1468.79</v>
      </c>
    </row>
    <row r="354" spans="1:5" x14ac:dyDescent="0.2">
      <c r="A354" s="135">
        <v>39555</v>
      </c>
      <c r="B354" s="1926" t="s">
        <v>9956</v>
      </c>
      <c r="C354" s="1926" t="s">
        <v>39</v>
      </c>
      <c r="D354" s="1926" t="s">
        <v>40</v>
      </c>
      <c r="E354" s="1662">
        <v>1588.85</v>
      </c>
    </row>
    <row r="355" spans="1:5" x14ac:dyDescent="0.2">
      <c r="A355" s="135">
        <v>43191</v>
      </c>
      <c r="B355" s="1926" t="s">
        <v>9957</v>
      </c>
      <c r="C355" s="1926" t="s">
        <v>39</v>
      </c>
      <c r="D355" s="1926" t="s">
        <v>40</v>
      </c>
      <c r="E355" s="1662">
        <v>2113.39</v>
      </c>
    </row>
    <row r="356" spans="1:5" x14ac:dyDescent="0.2">
      <c r="A356" s="135">
        <v>39548</v>
      </c>
      <c r="B356" s="1926" t="s">
        <v>9958</v>
      </c>
      <c r="C356" s="1926" t="s">
        <v>39</v>
      </c>
      <c r="D356" s="1926" t="s">
        <v>40</v>
      </c>
      <c r="E356" s="1662">
        <v>2356.7600000000002</v>
      </c>
    </row>
    <row r="357" spans="1:5" x14ac:dyDescent="0.2">
      <c r="A357" s="135">
        <v>43192</v>
      </c>
      <c r="B357" s="1926" t="s">
        <v>9959</v>
      </c>
      <c r="C357" s="1926" t="s">
        <v>39</v>
      </c>
      <c r="D357" s="1926" t="s">
        <v>40</v>
      </c>
      <c r="E357" s="1662">
        <v>2768.35</v>
      </c>
    </row>
    <row r="358" spans="1:5" x14ac:dyDescent="0.2">
      <c r="A358" s="135">
        <v>39554</v>
      </c>
      <c r="B358" s="1926" t="s">
        <v>9960</v>
      </c>
      <c r="C358" s="1926" t="s">
        <v>39</v>
      </c>
      <c r="D358" s="1926" t="s">
        <v>40</v>
      </c>
      <c r="E358" s="1662">
        <v>3116.46</v>
      </c>
    </row>
    <row r="359" spans="1:5" x14ac:dyDescent="0.2">
      <c r="A359" s="135">
        <v>43194</v>
      </c>
      <c r="B359" s="1926" t="s">
        <v>9961</v>
      </c>
      <c r="C359" s="1926" t="s">
        <v>39</v>
      </c>
      <c r="D359" s="1926" t="s">
        <v>40</v>
      </c>
      <c r="E359" s="1662">
        <v>1258.27</v>
      </c>
    </row>
    <row r="360" spans="1:5" x14ac:dyDescent="0.2">
      <c r="A360" s="135">
        <v>39551</v>
      </c>
      <c r="B360" s="1926" t="s">
        <v>9962</v>
      </c>
      <c r="C360" s="1926" t="s">
        <v>39</v>
      </c>
      <c r="D360" s="1926" t="s">
        <v>40</v>
      </c>
      <c r="E360" s="1662">
        <v>1385.49</v>
      </c>
    </row>
    <row r="361" spans="1:5" x14ac:dyDescent="0.2">
      <c r="A361" s="135">
        <v>43185</v>
      </c>
      <c r="B361" s="1926" t="s">
        <v>9963</v>
      </c>
      <c r="C361" s="1926" t="s">
        <v>39</v>
      </c>
      <c r="D361" s="1926" t="s">
        <v>40</v>
      </c>
      <c r="E361" s="1662">
        <v>3937.31</v>
      </c>
    </row>
    <row r="362" spans="1:5" x14ac:dyDescent="0.2">
      <c r="A362" s="135">
        <v>43186</v>
      </c>
      <c r="B362" s="1926" t="s">
        <v>9964</v>
      </c>
      <c r="C362" s="1926" t="s">
        <v>39</v>
      </c>
      <c r="D362" s="1926" t="s">
        <v>40</v>
      </c>
      <c r="E362" s="1662">
        <v>4153.0600000000004</v>
      </c>
    </row>
    <row r="363" spans="1:5" x14ac:dyDescent="0.2">
      <c r="A363" s="135">
        <v>43187</v>
      </c>
      <c r="B363" s="1926" t="s">
        <v>9965</v>
      </c>
      <c r="C363" s="1926" t="s">
        <v>39</v>
      </c>
      <c r="D363" s="1926" t="s">
        <v>40</v>
      </c>
      <c r="E363" s="1662">
        <v>5511.16</v>
      </c>
    </row>
    <row r="364" spans="1:5" x14ac:dyDescent="0.2">
      <c r="A364" s="135">
        <v>43188</v>
      </c>
      <c r="B364" s="1926" t="s">
        <v>9966</v>
      </c>
      <c r="C364" s="1926" t="s">
        <v>39</v>
      </c>
      <c r="D364" s="1926" t="s">
        <v>40</v>
      </c>
      <c r="E364" s="1662">
        <v>6677.5</v>
      </c>
    </row>
    <row r="365" spans="1:5" x14ac:dyDescent="0.2">
      <c r="A365" s="135">
        <v>43189</v>
      </c>
      <c r="B365" s="1926" t="s">
        <v>9967</v>
      </c>
      <c r="C365" s="1926" t="s">
        <v>39</v>
      </c>
      <c r="D365" s="1926" t="s">
        <v>40</v>
      </c>
      <c r="E365" s="1662">
        <v>7511.07</v>
      </c>
    </row>
    <row r="366" spans="1:5" x14ac:dyDescent="0.2">
      <c r="A366" s="135">
        <v>39580</v>
      </c>
      <c r="B366" s="1926" t="s">
        <v>9968</v>
      </c>
      <c r="C366" s="1926" t="s">
        <v>39</v>
      </c>
      <c r="D366" s="1926" t="s">
        <v>40</v>
      </c>
      <c r="E366" s="1662">
        <v>59190.32</v>
      </c>
    </row>
    <row r="367" spans="1:5" x14ac:dyDescent="0.2">
      <c r="A367" s="135">
        <v>39577</v>
      </c>
      <c r="B367" s="1926" t="s">
        <v>9969</v>
      </c>
      <c r="C367" s="1926" t="s">
        <v>39</v>
      </c>
      <c r="D367" s="1926" t="s">
        <v>40</v>
      </c>
      <c r="E367" s="1662">
        <v>18526.439999999999</v>
      </c>
    </row>
    <row r="368" spans="1:5" x14ac:dyDescent="0.2">
      <c r="A368" s="135">
        <v>39578</v>
      </c>
      <c r="B368" s="1926" t="s">
        <v>9970</v>
      </c>
      <c r="C368" s="1926" t="s">
        <v>39</v>
      </c>
      <c r="D368" s="1926" t="s">
        <v>40</v>
      </c>
      <c r="E368" s="1662">
        <v>23908.74</v>
      </c>
    </row>
    <row r="369" spans="1:5" x14ac:dyDescent="0.2">
      <c r="A369" s="135">
        <v>39579</v>
      </c>
      <c r="B369" s="1926" t="s">
        <v>9971</v>
      </c>
      <c r="C369" s="1926" t="s">
        <v>39</v>
      </c>
      <c r="D369" s="1926" t="s">
        <v>40</v>
      </c>
      <c r="E369" s="1662">
        <v>34785.35</v>
      </c>
    </row>
    <row r="370" spans="1:5" x14ac:dyDescent="0.2">
      <c r="A370" s="135">
        <v>39826</v>
      </c>
      <c r="B370" s="1926" t="s">
        <v>9972</v>
      </c>
      <c r="C370" s="1926" t="s">
        <v>39</v>
      </c>
      <c r="D370" s="1926" t="s">
        <v>40</v>
      </c>
      <c r="E370" s="1662">
        <v>4272.2700000000004</v>
      </c>
    </row>
    <row r="371" spans="1:5" x14ac:dyDescent="0.2">
      <c r="A371" s="135">
        <v>10700</v>
      </c>
      <c r="B371" s="1926" t="s">
        <v>9973</v>
      </c>
      <c r="C371" s="1926" t="s">
        <v>39</v>
      </c>
      <c r="D371" s="1926" t="s">
        <v>46</v>
      </c>
      <c r="E371" s="1662">
        <v>12235.14</v>
      </c>
    </row>
    <row r="372" spans="1:5" x14ac:dyDescent="0.2">
      <c r="A372" s="135">
        <v>346</v>
      </c>
      <c r="B372" s="1926" t="s">
        <v>9974</v>
      </c>
      <c r="C372" s="1926" t="s">
        <v>48</v>
      </c>
      <c r="D372" s="1926" t="s">
        <v>40</v>
      </c>
      <c r="E372" s="1662">
        <v>15.93</v>
      </c>
    </row>
    <row r="373" spans="1:5" x14ac:dyDescent="0.2">
      <c r="A373" s="135">
        <v>3312</v>
      </c>
      <c r="B373" s="1926" t="s">
        <v>9975</v>
      </c>
      <c r="C373" s="1926" t="s">
        <v>48</v>
      </c>
      <c r="D373" s="1926" t="s">
        <v>46</v>
      </c>
      <c r="E373" s="1662">
        <v>21.12</v>
      </c>
    </row>
    <row r="374" spans="1:5" x14ac:dyDescent="0.2">
      <c r="A374" s="135">
        <v>339</v>
      </c>
      <c r="B374" s="1926" t="s">
        <v>9976</v>
      </c>
      <c r="C374" s="1926" t="s">
        <v>47</v>
      </c>
      <c r="D374" s="1926" t="s">
        <v>40</v>
      </c>
      <c r="E374" s="1662">
        <v>0.82</v>
      </c>
    </row>
    <row r="375" spans="1:5" x14ac:dyDescent="0.2">
      <c r="A375" s="135">
        <v>340</v>
      </c>
      <c r="B375" s="1926" t="s">
        <v>9977</v>
      </c>
      <c r="C375" s="1926" t="s">
        <v>47</v>
      </c>
      <c r="D375" s="1926" t="s">
        <v>40</v>
      </c>
      <c r="E375" s="1662">
        <v>0.74</v>
      </c>
    </row>
    <row r="376" spans="1:5" x14ac:dyDescent="0.2">
      <c r="A376" s="135">
        <v>43130</v>
      </c>
      <c r="B376" s="1926" t="s">
        <v>9978</v>
      </c>
      <c r="C376" s="1926" t="s">
        <v>48</v>
      </c>
      <c r="D376" s="1926" t="s">
        <v>43</v>
      </c>
      <c r="E376" s="1662">
        <v>13.45</v>
      </c>
    </row>
    <row r="377" spans="1:5" x14ac:dyDescent="0.2">
      <c r="A377" s="135">
        <v>333</v>
      </c>
      <c r="B377" s="1926" t="s">
        <v>9979</v>
      </c>
      <c r="C377" s="1926" t="s">
        <v>48</v>
      </c>
      <c r="D377" s="1926" t="s">
        <v>43</v>
      </c>
      <c r="E377" s="1662">
        <v>13.45</v>
      </c>
    </row>
    <row r="378" spans="1:5" x14ac:dyDescent="0.2">
      <c r="A378" s="135">
        <v>344</v>
      </c>
      <c r="B378" s="1926" t="s">
        <v>9980</v>
      </c>
      <c r="C378" s="1926" t="s">
        <v>48</v>
      </c>
      <c r="D378" s="1926" t="s">
        <v>40</v>
      </c>
      <c r="E378" s="1662">
        <v>17.68</v>
      </c>
    </row>
    <row r="379" spans="1:5" x14ac:dyDescent="0.2">
      <c r="A379" s="135">
        <v>345</v>
      </c>
      <c r="B379" s="1926" t="s">
        <v>9981</v>
      </c>
      <c r="C379" s="1926" t="s">
        <v>48</v>
      </c>
      <c r="D379" s="1926" t="s">
        <v>40</v>
      </c>
      <c r="E379" s="1662">
        <v>19.18</v>
      </c>
    </row>
    <row r="380" spans="1:5" x14ac:dyDescent="0.2">
      <c r="A380" s="135">
        <v>43131</v>
      </c>
      <c r="B380" s="1926" t="s">
        <v>9982</v>
      </c>
      <c r="C380" s="1926" t="s">
        <v>48</v>
      </c>
      <c r="D380" s="1926" t="s">
        <v>40</v>
      </c>
      <c r="E380" s="1662">
        <v>15.62</v>
      </c>
    </row>
    <row r="381" spans="1:5" x14ac:dyDescent="0.2">
      <c r="A381" s="135">
        <v>3313</v>
      </c>
      <c r="B381" s="1926" t="s">
        <v>9983</v>
      </c>
      <c r="C381" s="1926" t="s">
        <v>48</v>
      </c>
      <c r="D381" s="1926" t="s">
        <v>46</v>
      </c>
      <c r="E381" s="1662">
        <v>27.18</v>
      </c>
    </row>
    <row r="382" spans="1:5" x14ac:dyDescent="0.2">
      <c r="A382" s="135">
        <v>43132</v>
      </c>
      <c r="B382" s="1926" t="s">
        <v>9984</v>
      </c>
      <c r="C382" s="1926" t="s">
        <v>48</v>
      </c>
      <c r="D382" s="1926" t="s">
        <v>40</v>
      </c>
      <c r="E382" s="1662">
        <v>12.65</v>
      </c>
    </row>
    <row r="383" spans="1:5" x14ac:dyDescent="0.2">
      <c r="A383" s="135">
        <v>369</v>
      </c>
      <c r="B383" s="1926" t="s">
        <v>9985</v>
      </c>
      <c r="C383" s="1926" t="s">
        <v>44</v>
      </c>
      <c r="D383" s="1926" t="s">
        <v>40</v>
      </c>
      <c r="E383" s="1662">
        <v>68.010000000000005</v>
      </c>
    </row>
    <row r="384" spans="1:5" x14ac:dyDescent="0.2">
      <c r="A384" s="135">
        <v>366</v>
      </c>
      <c r="B384" s="1926" t="s">
        <v>9986</v>
      </c>
      <c r="C384" s="1926" t="s">
        <v>44</v>
      </c>
      <c r="D384" s="1926" t="s">
        <v>43</v>
      </c>
      <c r="E384" s="1662">
        <v>102.5</v>
      </c>
    </row>
    <row r="385" spans="1:5" x14ac:dyDescent="0.2">
      <c r="A385" s="135">
        <v>367</v>
      </c>
      <c r="B385" s="1926" t="s">
        <v>9987</v>
      </c>
      <c r="C385" s="1926" t="s">
        <v>44</v>
      </c>
      <c r="D385" s="1926" t="s">
        <v>43</v>
      </c>
      <c r="E385" s="1662">
        <v>116.35</v>
      </c>
    </row>
    <row r="386" spans="1:5" x14ac:dyDescent="0.2">
      <c r="A386" s="135">
        <v>370</v>
      </c>
      <c r="B386" s="1926" t="s">
        <v>9988</v>
      </c>
      <c r="C386" s="1926" t="s">
        <v>44</v>
      </c>
      <c r="D386" s="1926" t="s">
        <v>43</v>
      </c>
      <c r="E386" s="1662">
        <v>95</v>
      </c>
    </row>
    <row r="387" spans="1:5" x14ac:dyDescent="0.2">
      <c r="A387" s="135">
        <v>368</v>
      </c>
      <c r="B387" s="1926" t="s">
        <v>9989</v>
      </c>
      <c r="C387" s="1926" t="s">
        <v>44</v>
      </c>
      <c r="D387" s="1926" t="s">
        <v>40</v>
      </c>
      <c r="E387" s="1662">
        <v>87.26</v>
      </c>
    </row>
    <row r="388" spans="1:5" x14ac:dyDescent="0.2">
      <c r="A388" s="135">
        <v>11075</v>
      </c>
      <c r="B388" s="1926" t="s">
        <v>9990</v>
      </c>
      <c r="C388" s="1926" t="s">
        <v>44</v>
      </c>
      <c r="D388" s="1926" t="s">
        <v>40</v>
      </c>
      <c r="E388" s="1662">
        <v>1905.23</v>
      </c>
    </row>
    <row r="389" spans="1:5" x14ac:dyDescent="0.2">
      <c r="A389" s="135">
        <v>11076</v>
      </c>
      <c r="B389" s="1926" t="s">
        <v>9991</v>
      </c>
      <c r="C389" s="1926" t="s">
        <v>44</v>
      </c>
      <c r="D389" s="1926" t="s">
        <v>40</v>
      </c>
      <c r="E389" s="1662">
        <v>145.43</v>
      </c>
    </row>
    <row r="390" spans="1:5" x14ac:dyDescent="0.2">
      <c r="A390" s="135">
        <v>1381</v>
      </c>
      <c r="B390" s="1926" t="s">
        <v>9992</v>
      </c>
      <c r="C390" s="1926" t="s">
        <v>48</v>
      </c>
      <c r="D390" s="1926" t="s">
        <v>43</v>
      </c>
      <c r="E390" s="1662">
        <v>0.4</v>
      </c>
    </row>
    <row r="391" spans="1:5" x14ac:dyDescent="0.2">
      <c r="A391" s="135">
        <v>34353</v>
      </c>
      <c r="B391" s="1926" t="s">
        <v>9993</v>
      </c>
      <c r="C391" s="1926" t="s">
        <v>48</v>
      </c>
      <c r="D391" s="1926" t="s">
        <v>40</v>
      </c>
      <c r="E391" s="1662">
        <v>0.8</v>
      </c>
    </row>
    <row r="392" spans="1:5" x14ac:dyDescent="0.2">
      <c r="A392" s="135">
        <v>37595</v>
      </c>
      <c r="B392" s="1926" t="s">
        <v>9994</v>
      </c>
      <c r="C392" s="1926" t="s">
        <v>48</v>
      </c>
      <c r="D392" s="1926" t="s">
        <v>40</v>
      </c>
      <c r="E392" s="1662">
        <v>1.22</v>
      </c>
    </row>
    <row r="393" spans="1:5" x14ac:dyDescent="0.2">
      <c r="A393" s="135">
        <v>37596</v>
      </c>
      <c r="B393" s="1926" t="s">
        <v>9995</v>
      </c>
      <c r="C393" s="1926" t="s">
        <v>48</v>
      </c>
      <c r="D393" s="1926" t="s">
        <v>40</v>
      </c>
      <c r="E393" s="1662">
        <v>1.81</v>
      </c>
    </row>
    <row r="394" spans="1:5" x14ac:dyDescent="0.2">
      <c r="A394" s="135">
        <v>371</v>
      </c>
      <c r="B394" s="1926" t="s">
        <v>9996</v>
      </c>
      <c r="C394" s="1926" t="s">
        <v>48</v>
      </c>
      <c r="D394" s="1926" t="s">
        <v>40</v>
      </c>
      <c r="E394" s="1662">
        <v>0.36</v>
      </c>
    </row>
    <row r="395" spans="1:5" x14ac:dyDescent="0.2">
      <c r="A395" s="135">
        <v>37553</v>
      </c>
      <c r="B395" s="1926" t="s">
        <v>9997</v>
      </c>
      <c r="C395" s="1926" t="s">
        <v>48</v>
      </c>
      <c r="D395" s="1926" t="s">
        <v>40</v>
      </c>
      <c r="E395" s="1662">
        <v>1.35</v>
      </c>
    </row>
    <row r="396" spans="1:5" x14ac:dyDescent="0.2">
      <c r="A396" s="135">
        <v>37552</v>
      </c>
      <c r="B396" s="1926" t="s">
        <v>9998</v>
      </c>
      <c r="C396" s="1926" t="s">
        <v>48</v>
      </c>
      <c r="D396" s="1926" t="s">
        <v>40</v>
      </c>
      <c r="E396" s="1662">
        <v>1.73</v>
      </c>
    </row>
    <row r="397" spans="1:5" x14ac:dyDescent="0.2">
      <c r="A397" s="135">
        <v>36880</v>
      </c>
      <c r="B397" s="1926" t="s">
        <v>9999</v>
      </c>
      <c r="C397" s="1926" t="s">
        <v>48</v>
      </c>
      <c r="D397" s="1926" t="s">
        <v>40</v>
      </c>
      <c r="E397" s="1662">
        <v>1.35</v>
      </c>
    </row>
    <row r="398" spans="1:5" x14ac:dyDescent="0.2">
      <c r="A398" s="135">
        <v>34355</v>
      </c>
      <c r="B398" s="1926" t="s">
        <v>10000</v>
      </c>
      <c r="C398" s="1926" t="s">
        <v>48</v>
      </c>
      <c r="D398" s="1926" t="s">
        <v>40</v>
      </c>
      <c r="E398" s="1662">
        <v>1.1100000000000001</v>
      </c>
    </row>
    <row r="399" spans="1:5" x14ac:dyDescent="0.2">
      <c r="A399" s="135">
        <v>130</v>
      </c>
      <c r="B399" s="1926" t="s">
        <v>10001</v>
      </c>
      <c r="C399" s="1926" t="s">
        <v>48</v>
      </c>
      <c r="D399" s="1926" t="s">
        <v>40</v>
      </c>
      <c r="E399" s="1662">
        <v>2.71</v>
      </c>
    </row>
    <row r="400" spans="1:5" x14ac:dyDescent="0.2">
      <c r="A400" s="135">
        <v>135</v>
      </c>
      <c r="B400" s="1926" t="s">
        <v>10002</v>
      </c>
      <c r="C400" s="1926" t="s">
        <v>48</v>
      </c>
      <c r="D400" s="1926" t="s">
        <v>40</v>
      </c>
      <c r="E400" s="1662">
        <v>2.1800000000000002</v>
      </c>
    </row>
    <row r="401" spans="1:5" x14ac:dyDescent="0.2">
      <c r="A401" s="135">
        <v>36886</v>
      </c>
      <c r="B401" s="1926" t="s">
        <v>10003</v>
      </c>
      <c r="C401" s="1926" t="s">
        <v>48</v>
      </c>
      <c r="D401" s="1926" t="s">
        <v>40</v>
      </c>
      <c r="E401" s="1662">
        <v>0.42</v>
      </c>
    </row>
    <row r="402" spans="1:5" x14ac:dyDescent="0.2">
      <c r="A402" s="135">
        <v>374</v>
      </c>
      <c r="B402" s="1926" t="s">
        <v>10004</v>
      </c>
      <c r="C402" s="1926" t="s">
        <v>48</v>
      </c>
      <c r="D402" s="1926" t="s">
        <v>40</v>
      </c>
      <c r="E402" s="1662">
        <v>0.31</v>
      </c>
    </row>
    <row r="403" spans="1:5" x14ac:dyDescent="0.2">
      <c r="A403" s="135">
        <v>38546</v>
      </c>
      <c r="B403" s="1926" t="s">
        <v>10005</v>
      </c>
      <c r="C403" s="1926" t="s">
        <v>44</v>
      </c>
      <c r="D403" s="1926" t="s">
        <v>40</v>
      </c>
      <c r="E403" s="1662">
        <v>348.72</v>
      </c>
    </row>
    <row r="404" spans="1:5" x14ac:dyDescent="0.2">
      <c r="A404" s="135">
        <v>34549</v>
      </c>
      <c r="B404" s="1926" t="s">
        <v>10006</v>
      </c>
      <c r="C404" s="1926" t="s">
        <v>44</v>
      </c>
      <c r="D404" s="1926" t="s">
        <v>40</v>
      </c>
      <c r="E404" s="1662">
        <v>204.03</v>
      </c>
    </row>
    <row r="405" spans="1:5" x14ac:dyDescent="0.2">
      <c r="A405" s="135">
        <v>6081</v>
      </c>
      <c r="B405" s="1926" t="s">
        <v>10007</v>
      </c>
      <c r="C405" s="1926" t="s">
        <v>44</v>
      </c>
      <c r="D405" s="1926" t="s">
        <v>40</v>
      </c>
      <c r="E405" s="1662">
        <v>28.9</v>
      </c>
    </row>
    <row r="406" spans="1:5" x14ac:dyDescent="0.2">
      <c r="A406" s="135">
        <v>6077</v>
      </c>
      <c r="B406" s="1926" t="s">
        <v>10008</v>
      </c>
      <c r="C406" s="1926" t="s">
        <v>44</v>
      </c>
      <c r="D406" s="1926" t="s">
        <v>40</v>
      </c>
      <c r="E406" s="1662">
        <v>16.66</v>
      </c>
    </row>
    <row r="407" spans="1:5" x14ac:dyDescent="0.2">
      <c r="A407" s="135">
        <v>6079</v>
      </c>
      <c r="B407" s="1926" t="s">
        <v>10009</v>
      </c>
      <c r="C407" s="1926" t="s">
        <v>44</v>
      </c>
      <c r="D407" s="1926" t="s">
        <v>40</v>
      </c>
      <c r="E407" s="1662">
        <v>9.52</v>
      </c>
    </row>
    <row r="408" spans="1:5" x14ac:dyDescent="0.2">
      <c r="A408" s="135">
        <v>1091</v>
      </c>
      <c r="B408" s="1926" t="s">
        <v>10010</v>
      </c>
      <c r="C408" s="1926" t="s">
        <v>39</v>
      </c>
      <c r="D408" s="1926" t="s">
        <v>46</v>
      </c>
      <c r="E408" s="1662">
        <v>19.47</v>
      </c>
    </row>
    <row r="409" spans="1:5" x14ac:dyDescent="0.2">
      <c r="A409" s="135">
        <v>1094</v>
      </c>
      <c r="B409" s="1926" t="s">
        <v>10011</v>
      </c>
      <c r="C409" s="1926" t="s">
        <v>39</v>
      </c>
      <c r="D409" s="1926" t="s">
        <v>46</v>
      </c>
      <c r="E409" s="1662">
        <v>13.62</v>
      </c>
    </row>
    <row r="410" spans="1:5" x14ac:dyDescent="0.2">
      <c r="A410" s="135">
        <v>1095</v>
      </c>
      <c r="B410" s="1926" t="s">
        <v>10012</v>
      </c>
      <c r="C410" s="1926" t="s">
        <v>39</v>
      </c>
      <c r="D410" s="1926" t="s">
        <v>46</v>
      </c>
      <c r="E410" s="1662">
        <v>28.95</v>
      </c>
    </row>
    <row r="411" spans="1:5" x14ac:dyDescent="0.2">
      <c r="A411" s="135">
        <v>1092</v>
      </c>
      <c r="B411" s="1926" t="s">
        <v>10013</v>
      </c>
      <c r="C411" s="1926" t="s">
        <v>39</v>
      </c>
      <c r="D411" s="1926" t="s">
        <v>46</v>
      </c>
      <c r="E411" s="1662">
        <v>22.4</v>
      </c>
    </row>
    <row r="412" spans="1:5" x14ac:dyDescent="0.2">
      <c r="A412" s="135">
        <v>1093</v>
      </c>
      <c r="B412" s="1926" t="s">
        <v>10014</v>
      </c>
      <c r="C412" s="1926" t="s">
        <v>39</v>
      </c>
      <c r="D412" s="1926" t="s">
        <v>46</v>
      </c>
      <c r="E412" s="1662">
        <v>52.31</v>
      </c>
    </row>
    <row r="413" spans="1:5" x14ac:dyDescent="0.2">
      <c r="A413" s="135">
        <v>1090</v>
      </c>
      <c r="B413" s="1926" t="s">
        <v>10015</v>
      </c>
      <c r="C413" s="1926" t="s">
        <v>39</v>
      </c>
      <c r="D413" s="1926" t="s">
        <v>46</v>
      </c>
      <c r="E413" s="1662">
        <v>37.450000000000003</v>
      </c>
    </row>
    <row r="414" spans="1:5" x14ac:dyDescent="0.2">
      <c r="A414" s="135">
        <v>1096</v>
      </c>
      <c r="B414" s="1926" t="s">
        <v>10016</v>
      </c>
      <c r="C414" s="1926" t="s">
        <v>39</v>
      </c>
      <c r="D414" s="1926" t="s">
        <v>46</v>
      </c>
      <c r="E414" s="1662">
        <v>67.400000000000006</v>
      </c>
    </row>
    <row r="415" spans="1:5" x14ac:dyDescent="0.2">
      <c r="A415" s="135">
        <v>1097</v>
      </c>
      <c r="B415" s="1926" t="s">
        <v>10017</v>
      </c>
      <c r="C415" s="1926" t="s">
        <v>39</v>
      </c>
      <c r="D415" s="1926" t="s">
        <v>46</v>
      </c>
      <c r="E415" s="1662">
        <v>57.21</v>
      </c>
    </row>
    <row r="416" spans="1:5" x14ac:dyDescent="0.2">
      <c r="A416" s="135">
        <v>378</v>
      </c>
      <c r="B416" s="1926" t="s">
        <v>10018</v>
      </c>
      <c r="C416" s="1926" t="s">
        <v>42</v>
      </c>
      <c r="D416" s="1926" t="s">
        <v>40</v>
      </c>
      <c r="E416" s="1662">
        <v>14.14</v>
      </c>
    </row>
    <row r="417" spans="1:5" x14ac:dyDescent="0.2">
      <c r="A417" s="135">
        <v>40911</v>
      </c>
      <c r="B417" s="1926" t="s">
        <v>10019</v>
      </c>
      <c r="C417" s="1926" t="s">
        <v>51</v>
      </c>
      <c r="D417" s="1926" t="s">
        <v>40</v>
      </c>
      <c r="E417" s="1662">
        <v>2521.06</v>
      </c>
    </row>
    <row r="418" spans="1:5" x14ac:dyDescent="0.2">
      <c r="A418" s="135">
        <v>33939</v>
      </c>
      <c r="B418" s="1926" t="s">
        <v>10020</v>
      </c>
      <c r="C418" s="1926" t="s">
        <v>42</v>
      </c>
      <c r="D418" s="1926" t="s">
        <v>40</v>
      </c>
      <c r="E418" s="1662">
        <v>54.24</v>
      </c>
    </row>
    <row r="419" spans="1:5" x14ac:dyDescent="0.2">
      <c r="A419" s="135">
        <v>40815</v>
      </c>
      <c r="B419" s="1926" t="s">
        <v>10021</v>
      </c>
      <c r="C419" s="1926" t="s">
        <v>51</v>
      </c>
      <c r="D419" s="1926" t="s">
        <v>40</v>
      </c>
      <c r="E419" s="1662">
        <v>9674.59</v>
      </c>
    </row>
    <row r="420" spans="1:5" x14ac:dyDescent="0.2">
      <c r="A420" s="135">
        <v>34760</v>
      </c>
      <c r="B420" s="1926" t="s">
        <v>10022</v>
      </c>
      <c r="C420" s="1926" t="s">
        <v>42</v>
      </c>
      <c r="D420" s="1926" t="s">
        <v>40</v>
      </c>
      <c r="E420" s="1662">
        <v>60.1</v>
      </c>
    </row>
    <row r="421" spans="1:5" x14ac:dyDescent="0.2">
      <c r="A421" s="135">
        <v>40935</v>
      </c>
      <c r="B421" s="1926" t="s">
        <v>10023</v>
      </c>
      <c r="C421" s="1926" t="s">
        <v>51</v>
      </c>
      <c r="D421" s="1926" t="s">
        <v>40</v>
      </c>
      <c r="E421" s="1662">
        <v>10718.4</v>
      </c>
    </row>
    <row r="422" spans="1:5" x14ac:dyDescent="0.2">
      <c r="A422" s="135">
        <v>33952</v>
      </c>
      <c r="B422" s="1926" t="s">
        <v>10024</v>
      </c>
      <c r="C422" s="1926" t="s">
        <v>42</v>
      </c>
      <c r="D422" s="1926" t="s">
        <v>40</v>
      </c>
      <c r="E422" s="1662">
        <v>77.06</v>
      </c>
    </row>
    <row r="423" spans="1:5" x14ac:dyDescent="0.2">
      <c r="A423" s="135">
        <v>40816</v>
      </c>
      <c r="B423" s="1926" t="s">
        <v>10025</v>
      </c>
      <c r="C423" s="1926" t="s">
        <v>51</v>
      </c>
      <c r="D423" s="1926" t="s">
        <v>40</v>
      </c>
      <c r="E423" s="1662">
        <v>13741.97</v>
      </c>
    </row>
    <row r="424" spans="1:5" x14ac:dyDescent="0.2">
      <c r="A424" s="135">
        <v>33953</v>
      </c>
      <c r="B424" s="1926" t="s">
        <v>10026</v>
      </c>
      <c r="C424" s="1926" t="s">
        <v>42</v>
      </c>
      <c r="D424" s="1926" t="s">
        <v>40</v>
      </c>
      <c r="E424" s="1662">
        <v>101.89</v>
      </c>
    </row>
    <row r="425" spans="1:5" x14ac:dyDescent="0.2">
      <c r="A425" s="135">
        <v>40817</v>
      </c>
      <c r="B425" s="1926" t="s">
        <v>10027</v>
      </c>
      <c r="C425" s="1926" t="s">
        <v>51</v>
      </c>
      <c r="D425" s="1926" t="s">
        <v>40</v>
      </c>
      <c r="E425" s="1662">
        <v>18168.099999999999</v>
      </c>
    </row>
    <row r="426" spans="1:5" x14ac:dyDescent="0.2">
      <c r="A426" s="135">
        <v>13348</v>
      </c>
      <c r="B426" s="1926" t="s">
        <v>10028</v>
      </c>
      <c r="C426" s="1926" t="s">
        <v>39</v>
      </c>
      <c r="D426" s="1926" t="s">
        <v>46</v>
      </c>
      <c r="E426" s="1662">
        <v>0.84</v>
      </c>
    </row>
    <row r="427" spans="1:5" x14ac:dyDescent="0.2">
      <c r="A427" s="135">
        <v>39211</v>
      </c>
      <c r="B427" s="1926" t="s">
        <v>10029</v>
      </c>
      <c r="C427" s="1926" t="s">
        <v>39</v>
      </c>
      <c r="D427" s="1926" t="s">
        <v>40</v>
      </c>
      <c r="E427" s="1662">
        <v>0.94</v>
      </c>
    </row>
    <row r="428" spans="1:5" x14ac:dyDescent="0.2">
      <c r="A428" s="135">
        <v>39212</v>
      </c>
      <c r="B428" s="1926" t="s">
        <v>10030</v>
      </c>
      <c r="C428" s="1926" t="s">
        <v>39</v>
      </c>
      <c r="D428" s="1926" t="s">
        <v>40</v>
      </c>
      <c r="E428" s="1662">
        <v>1.05</v>
      </c>
    </row>
    <row r="429" spans="1:5" x14ac:dyDescent="0.2">
      <c r="A429" s="135">
        <v>39208</v>
      </c>
      <c r="B429" s="1926" t="s">
        <v>10031</v>
      </c>
      <c r="C429" s="1926" t="s">
        <v>39</v>
      </c>
      <c r="D429" s="1926" t="s">
        <v>40</v>
      </c>
      <c r="E429" s="1662">
        <v>0.28999999999999998</v>
      </c>
    </row>
    <row r="430" spans="1:5" x14ac:dyDescent="0.2">
      <c r="A430" s="135">
        <v>39210</v>
      </c>
      <c r="B430" s="1926" t="s">
        <v>10032</v>
      </c>
      <c r="C430" s="1926" t="s">
        <v>39</v>
      </c>
      <c r="D430" s="1926" t="s">
        <v>40</v>
      </c>
      <c r="E430" s="1662">
        <v>0.53</v>
      </c>
    </row>
    <row r="431" spans="1:5" x14ac:dyDescent="0.2">
      <c r="A431" s="135">
        <v>39214</v>
      </c>
      <c r="B431" s="1926" t="s">
        <v>10033</v>
      </c>
      <c r="C431" s="1926" t="s">
        <v>39</v>
      </c>
      <c r="D431" s="1926" t="s">
        <v>40</v>
      </c>
      <c r="E431" s="1662">
        <v>1.95</v>
      </c>
    </row>
    <row r="432" spans="1:5" x14ac:dyDescent="0.2">
      <c r="A432" s="135">
        <v>39213</v>
      </c>
      <c r="B432" s="1926" t="s">
        <v>10034</v>
      </c>
      <c r="C432" s="1926" t="s">
        <v>39</v>
      </c>
      <c r="D432" s="1926" t="s">
        <v>40</v>
      </c>
      <c r="E432" s="1662">
        <v>1.38</v>
      </c>
    </row>
    <row r="433" spans="1:5" x14ac:dyDescent="0.2">
      <c r="A433" s="135">
        <v>39209</v>
      </c>
      <c r="B433" s="1926" t="s">
        <v>10035</v>
      </c>
      <c r="C433" s="1926" t="s">
        <v>39</v>
      </c>
      <c r="D433" s="1926" t="s">
        <v>40</v>
      </c>
      <c r="E433" s="1662">
        <v>0.34</v>
      </c>
    </row>
    <row r="434" spans="1:5" x14ac:dyDescent="0.2">
      <c r="A434" s="135">
        <v>39207</v>
      </c>
      <c r="B434" s="1926" t="s">
        <v>10036</v>
      </c>
      <c r="C434" s="1926" t="s">
        <v>39</v>
      </c>
      <c r="D434" s="1926" t="s">
        <v>40</v>
      </c>
      <c r="E434" s="1662">
        <v>0.53</v>
      </c>
    </row>
    <row r="435" spans="1:5" x14ac:dyDescent="0.2">
      <c r="A435" s="135">
        <v>39215</v>
      </c>
      <c r="B435" s="1926" t="s">
        <v>10037</v>
      </c>
      <c r="C435" s="1926" t="s">
        <v>39</v>
      </c>
      <c r="D435" s="1926" t="s">
        <v>40</v>
      </c>
      <c r="E435" s="1662">
        <v>3.56</v>
      </c>
    </row>
    <row r="436" spans="1:5" x14ac:dyDescent="0.2">
      <c r="A436" s="135">
        <v>39216</v>
      </c>
      <c r="B436" s="1926" t="s">
        <v>10038</v>
      </c>
      <c r="C436" s="1926" t="s">
        <v>39</v>
      </c>
      <c r="D436" s="1926" t="s">
        <v>40</v>
      </c>
      <c r="E436" s="1662">
        <v>4.97</v>
      </c>
    </row>
    <row r="437" spans="1:5" x14ac:dyDescent="0.2">
      <c r="A437" s="135">
        <v>379</v>
      </c>
      <c r="B437" s="1926" t="s">
        <v>10039</v>
      </c>
      <c r="C437" s="1926" t="s">
        <v>39</v>
      </c>
      <c r="D437" s="1926" t="s">
        <v>46</v>
      </c>
      <c r="E437" s="1662">
        <v>0.74</v>
      </c>
    </row>
    <row r="438" spans="1:5" x14ac:dyDescent="0.2">
      <c r="A438" s="135">
        <v>11267</v>
      </c>
      <c r="B438" s="1926" t="s">
        <v>10040</v>
      </c>
      <c r="C438" s="1926" t="s">
        <v>39</v>
      </c>
      <c r="D438" s="1926" t="s">
        <v>46</v>
      </c>
      <c r="E438" s="1662">
        <v>7.36</v>
      </c>
    </row>
    <row r="439" spans="1:5" x14ac:dyDescent="0.2">
      <c r="A439" s="135">
        <v>41901</v>
      </c>
      <c r="B439" s="1926" t="s">
        <v>10041</v>
      </c>
      <c r="C439" s="1926" t="s">
        <v>48</v>
      </c>
      <c r="D439" s="1926" t="s">
        <v>46</v>
      </c>
      <c r="E439" s="1662">
        <v>4.84</v>
      </c>
    </row>
    <row r="440" spans="1:5" x14ac:dyDescent="0.2">
      <c r="A440" s="135">
        <v>510</v>
      </c>
      <c r="B440" s="1926" t="s">
        <v>10042</v>
      </c>
      <c r="C440" s="1926" t="s">
        <v>48</v>
      </c>
      <c r="D440" s="1926" t="s">
        <v>46</v>
      </c>
      <c r="E440" s="1662">
        <v>8.35</v>
      </c>
    </row>
    <row r="441" spans="1:5" x14ac:dyDescent="0.2">
      <c r="A441" s="135">
        <v>516</v>
      </c>
      <c r="B441" s="1926" t="s">
        <v>10043</v>
      </c>
      <c r="C441" s="1926" t="s">
        <v>48</v>
      </c>
      <c r="D441" s="1926" t="s">
        <v>46</v>
      </c>
      <c r="E441" s="1662">
        <v>8.9</v>
      </c>
    </row>
    <row r="442" spans="1:5" x14ac:dyDescent="0.2">
      <c r="A442" s="135">
        <v>509</v>
      </c>
      <c r="B442" s="1926" t="s">
        <v>10044</v>
      </c>
      <c r="C442" s="1926" t="s">
        <v>48</v>
      </c>
      <c r="D442" s="1926" t="s">
        <v>46</v>
      </c>
      <c r="E442" s="1662">
        <v>9.09</v>
      </c>
    </row>
    <row r="443" spans="1:5" x14ac:dyDescent="0.2">
      <c r="A443" s="135">
        <v>40331</v>
      </c>
      <c r="B443" s="1926" t="s">
        <v>10045</v>
      </c>
      <c r="C443" s="1926" t="s">
        <v>42</v>
      </c>
      <c r="D443" s="1926" t="s">
        <v>40</v>
      </c>
      <c r="E443" s="1662">
        <v>10.72</v>
      </c>
    </row>
    <row r="444" spans="1:5" x14ac:dyDescent="0.2">
      <c r="A444" s="135">
        <v>40930</v>
      </c>
      <c r="B444" s="1926" t="s">
        <v>10046</v>
      </c>
      <c r="C444" s="1926" t="s">
        <v>51</v>
      </c>
      <c r="D444" s="1926" t="s">
        <v>40</v>
      </c>
      <c r="E444" s="1662">
        <v>1913.47</v>
      </c>
    </row>
    <row r="445" spans="1:5" x14ac:dyDescent="0.2">
      <c r="A445" s="135">
        <v>11761</v>
      </c>
      <c r="B445" s="1926" t="s">
        <v>10047</v>
      </c>
      <c r="C445" s="1926" t="s">
        <v>39</v>
      </c>
      <c r="D445" s="1926" t="s">
        <v>40</v>
      </c>
      <c r="E445" s="1662">
        <v>50.94</v>
      </c>
    </row>
    <row r="446" spans="1:5" x14ac:dyDescent="0.2">
      <c r="A446" s="135">
        <v>377</v>
      </c>
      <c r="B446" s="1926" t="s">
        <v>10048</v>
      </c>
      <c r="C446" s="1926" t="s">
        <v>39</v>
      </c>
      <c r="D446" s="1926" t="s">
        <v>43</v>
      </c>
      <c r="E446" s="1662">
        <v>23.94</v>
      </c>
    </row>
    <row r="447" spans="1:5" x14ac:dyDescent="0.2">
      <c r="A447" s="135">
        <v>7588</v>
      </c>
      <c r="B447" s="1926" t="s">
        <v>10049</v>
      </c>
      <c r="C447" s="1926" t="s">
        <v>39</v>
      </c>
      <c r="D447" s="1926" t="s">
        <v>43</v>
      </c>
      <c r="E447" s="1662">
        <v>36.799999999999997</v>
      </c>
    </row>
    <row r="448" spans="1:5" x14ac:dyDescent="0.2">
      <c r="A448" s="135">
        <v>34392</v>
      </c>
      <c r="B448" s="1926" t="s">
        <v>10050</v>
      </c>
      <c r="C448" s="1926" t="s">
        <v>42</v>
      </c>
      <c r="D448" s="1926" t="s">
        <v>40</v>
      </c>
      <c r="E448" s="1662">
        <v>16.829999999999998</v>
      </c>
    </row>
    <row r="449" spans="1:5" x14ac:dyDescent="0.2">
      <c r="A449" s="135">
        <v>40908</v>
      </c>
      <c r="B449" s="1926" t="s">
        <v>10051</v>
      </c>
      <c r="C449" s="1926" t="s">
        <v>51</v>
      </c>
      <c r="D449" s="1926" t="s">
        <v>40</v>
      </c>
      <c r="E449" s="1662">
        <v>3004.12</v>
      </c>
    </row>
    <row r="450" spans="1:5" x14ac:dyDescent="0.2">
      <c r="A450" s="135">
        <v>34551</v>
      </c>
      <c r="B450" s="1926" t="s">
        <v>10052</v>
      </c>
      <c r="C450" s="1926" t="s">
        <v>42</v>
      </c>
      <c r="D450" s="1926" t="s">
        <v>40</v>
      </c>
      <c r="E450" s="1662">
        <v>10.3</v>
      </c>
    </row>
    <row r="451" spans="1:5" x14ac:dyDescent="0.2">
      <c r="A451" s="135">
        <v>41078</v>
      </c>
      <c r="B451" s="1926" t="s">
        <v>10053</v>
      </c>
      <c r="C451" s="1926" t="s">
        <v>51</v>
      </c>
      <c r="D451" s="1926" t="s">
        <v>40</v>
      </c>
      <c r="E451" s="1662">
        <v>1837.73</v>
      </c>
    </row>
    <row r="452" spans="1:5" x14ac:dyDescent="0.2">
      <c r="A452" s="135">
        <v>246</v>
      </c>
      <c r="B452" s="1926" t="s">
        <v>10054</v>
      </c>
      <c r="C452" s="1926" t="s">
        <v>42</v>
      </c>
      <c r="D452" s="1926" t="s">
        <v>40</v>
      </c>
      <c r="E452" s="1662">
        <v>10.01</v>
      </c>
    </row>
    <row r="453" spans="1:5" x14ac:dyDescent="0.2">
      <c r="A453" s="135">
        <v>40927</v>
      </c>
      <c r="B453" s="1926" t="s">
        <v>10055</v>
      </c>
      <c r="C453" s="1926" t="s">
        <v>51</v>
      </c>
      <c r="D453" s="1926" t="s">
        <v>40</v>
      </c>
      <c r="E453" s="1662">
        <v>1787.39</v>
      </c>
    </row>
    <row r="454" spans="1:5" x14ac:dyDescent="0.2">
      <c r="A454" s="135">
        <v>2350</v>
      </c>
      <c r="B454" s="1926" t="s">
        <v>10056</v>
      </c>
      <c r="C454" s="1926" t="s">
        <v>42</v>
      </c>
      <c r="D454" s="1926" t="s">
        <v>40</v>
      </c>
      <c r="E454" s="1662">
        <v>18.41</v>
      </c>
    </row>
    <row r="455" spans="1:5" x14ac:dyDescent="0.2">
      <c r="A455" s="135">
        <v>40812</v>
      </c>
      <c r="B455" s="1926" t="s">
        <v>10057</v>
      </c>
      <c r="C455" s="1926" t="s">
        <v>51</v>
      </c>
      <c r="D455" s="1926" t="s">
        <v>40</v>
      </c>
      <c r="E455" s="1662">
        <v>3283.68</v>
      </c>
    </row>
    <row r="456" spans="1:5" x14ac:dyDescent="0.2">
      <c r="A456" s="135">
        <v>245</v>
      </c>
      <c r="B456" s="1926" t="s">
        <v>10058</v>
      </c>
      <c r="C456" s="1926" t="s">
        <v>42</v>
      </c>
      <c r="D456" s="1926" t="s">
        <v>40</v>
      </c>
      <c r="E456" s="1662">
        <v>24.04</v>
      </c>
    </row>
    <row r="457" spans="1:5" x14ac:dyDescent="0.2">
      <c r="A457" s="135">
        <v>41090</v>
      </c>
      <c r="B457" s="1926" t="s">
        <v>10059</v>
      </c>
      <c r="C457" s="1926" t="s">
        <v>51</v>
      </c>
      <c r="D457" s="1926" t="s">
        <v>40</v>
      </c>
      <c r="E457" s="1662">
        <v>4289.1899999999996</v>
      </c>
    </row>
    <row r="458" spans="1:5" x14ac:dyDescent="0.2">
      <c r="A458" s="135">
        <v>251</v>
      </c>
      <c r="B458" s="1926" t="s">
        <v>10060</v>
      </c>
      <c r="C458" s="1926" t="s">
        <v>42</v>
      </c>
      <c r="D458" s="1926" t="s">
        <v>40</v>
      </c>
      <c r="E458" s="1662">
        <v>9.15</v>
      </c>
    </row>
    <row r="459" spans="1:5" x14ac:dyDescent="0.2">
      <c r="A459" s="135">
        <v>40975</v>
      </c>
      <c r="B459" s="1926" t="s">
        <v>10061</v>
      </c>
      <c r="C459" s="1926" t="s">
        <v>51</v>
      </c>
      <c r="D459" s="1926" t="s">
        <v>40</v>
      </c>
      <c r="E459" s="1662">
        <v>1634.49</v>
      </c>
    </row>
    <row r="460" spans="1:5" x14ac:dyDescent="0.2">
      <c r="A460" s="135">
        <v>6127</v>
      </c>
      <c r="B460" s="1926" t="s">
        <v>10062</v>
      </c>
      <c r="C460" s="1926" t="s">
        <v>42</v>
      </c>
      <c r="D460" s="1926" t="s">
        <v>40</v>
      </c>
      <c r="E460" s="1662">
        <v>9.17</v>
      </c>
    </row>
    <row r="461" spans="1:5" x14ac:dyDescent="0.2">
      <c r="A461" s="135">
        <v>41072</v>
      </c>
      <c r="B461" s="1926" t="s">
        <v>10063</v>
      </c>
      <c r="C461" s="1926" t="s">
        <v>51</v>
      </c>
      <c r="D461" s="1926" t="s">
        <v>40</v>
      </c>
      <c r="E461" s="1662">
        <v>1636.86</v>
      </c>
    </row>
    <row r="462" spans="1:5" x14ac:dyDescent="0.2">
      <c r="A462" s="135">
        <v>6121</v>
      </c>
      <c r="B462" s="1926" t="s">
        <v>10064</v>
      </c>
      <c r="C462" s="1926" t="s">
        <v>42</v>
      </c>
      <c r="D462" s="1926" t="s">
        <v>40</v>
      </c>
      <c r="E462" s="1662">
        <v>9.9</v>
      </c>
    </row>
    <row r="463" spans="1:5" x14ac:dyDescent="0.2">
      <c r="A463" s="135">
        <v>41071</v>
      </c>
      <c r="B463" s="1926" t="s">
        <v>10065</v>
      </c>
      <c r="C463" s="1926" t="s">
        <v>51</v>
      </c>
      <c r="D463" s="1926" t="s">
        <v>40</v>
      </c>
      <c r="E463" s="1662">
        <v>1767.19</v>
      </c>
    </row>
    <row r="464" spans="1:5" x14ac:dyDescent="0.2">
      <c r="A464" s="135">
        <v>244</v>
      </c>
      <c r="B464" s="1926" t="s">
        <v>10066</v>
      </c>
      <c r="C464" s="1926" t="s">
        <v>42</v>
      </c>
      <c r="D464" s="1926" t="s">
        <v>40</v>
      </c>
      <c r="E464" s="1662">
        <v>5.75</v>
      </c>
    </row>
    <row r="465" spans="1:5" x14ac:dyDescent="0.2">
      <c r="A465" s="135">
        <v>41093</v>
      </c>
      <c r="B465" s="1926" t="s">
        <v>10067</v>
      </c>
      <c r="C465" s="1926" t="s">
        <v>51</v>
      </c>
      <c r="D465" s="1926" t="s">
        <v>40</v>
      </c>
      <c r="E465" s="1662">
        <v>1029.81</v>
      </c>
    </row>
    <row r="466" spans="1:5" x14ac:dyDescent="0.2">
      <c r="A466" s="135">
        <v>532</v>
      </c>
      <c r="B466" s="1926" t="s">
        <v>10068</v>
      </c>
      <c r="C466" s="1926" t="s">
        <v>42</v>
      </c>
      <c r="D466" s="1926" t="s">
        <v>40</v>
      </c>
      <c r="E466" s="1662">
        <v>28.92</v>
      </c>
    </row>
    <row r="467" spans="1:5" x14ac:dyDescent="0.2">
      <c r="A467" s="135">
        <v>40931</v>
      </c>
      <c r="B467" s="1926" t="s">
        <v>10069</v>
      </c>
      <c r="C467" s="1926" t="s">
        <v>51</v>
      </c>
      <c r="D467" s="1926" t="s">
        <v>40</v>
      </c>
      <c r="E467" s="1662">
        <v>5158.91</v>
      </c>
    </row>
    <row r="468" spans="1:5" x14ac:dyDescent="0.2">
      <c r="A468" s="135">
        <v>36150</v>
      </c>
      <c r="B468" s="1926" t="s">
        <v>10070</v>
      </c>
      <c r="C468" s="1926" t="s">
        <v>39</v>
      </c>
      <c r="D468" s="1926" t="s">
        <v>40</v>
      </c>
      <c r="E468" s="1662">
        <v>34.39</v>
      </c>
    </row>
    <row r="469" spans="1:5" x14ac:dyDescent="0.2">
      <c r="A469" s="135">
        <v>4760</v>
      </c>
      <c r="B469" s="1926" t="s">
        <v>10071</v>
      </c>
      <c r="C469" s="1926" t="s">
        <v>42</v>
      </c>
      <c r="D469" s="1926" t="s">
        <v>40</v>
      </c>
      <c r="E469" s="1662">
        <v>14.14</v>
      </c>
    </row>
    <row r="470" spans="1:5" x14ac:dyDescent="0.2">
      <c r="A470" s="135">
        <v>41069</v>
      </c>
      <c r="B470" s="1926" t="s">
        <v>10072</v>
      </c>
      <c r="C470" s="1926" t="s">
        <v>51</v>
      </c>
      <c r="D470" s="1926" t="s">
        <v>40</v>
      </c>
      <c r="E470" s="1662">
        <v>2521.06</v>
      </c>
    </row>
    <row r="471" spans="1:5" x14ac:dyDescent="0.2">
      <c r="A471" s="135">
        <v>10422</v>
      </c>
      <c r="B471" s="1926" t="s">
        <v>10073</v>
      </c>
      <c r="C471" s="1926" t="s">
        <v>39</v>
      </c>
      <c r="D471" s="1926" t="s">
        <v>40</v>
      </c>
      <c r="E471" s="1662">
        <v>298.89</v>
      </c>
    </row>
    <row r="472" spans="1:5" x14ac:dyDescent="0.2">
      <c r="A472" s="135">
        <v>10420</v>
      </c>
      <c r="B472" s="1926" t="s">
        <v>10074</v>
      </c>
      <c r="C472" s="1926" t="s">
        <v>39</v>
      </c>
      <c r="D472" s="1926" t="s">
        <v>43</v>
      </c>
      <c r="E472" s="1662">
        <v>112.1</v>
      </c>
    </row>
    <row r="473" spans="1:5" x14ac:dyDescent="0.2">
      <c r="A473" s="135">
        <v>10421</v>
      </c>
      <c r="B473" s="1926" t="s">
        <v>10075</v>
      </c>
      <c r="C473" s="1926" t="s">
        <v>39</v>
      </c>
      <c r="D473" s="1926" t="s">
        <v>40</v>
      </c>
      <c r="E473" s="1662">
        <v>150.02000000000001</v>
      </c>
    </row>
    <row r="474" spans="1:5" x14ac:dyDescent="0.2">
      <c r="A474" s="135">
        <v>36520</v>
      </c>
      <c r="B474" s="1926" t="s">
        <v>10076</v>
      </c>
      <c r="C474" s="1926" t="s">
        <v>39</v>
      </c>
      <c r="D474" s="1926" t="s">
        <v>40</v>
      </c>
      <c r="E474" s="1662">
        <v>558.49</v>
      </c>
    </row>
    <row r="475" spans="1:5" x14ac:dyDescent="0.2">
      <c r="A475" s="135">
        <v>11784</v>
      </c>
      <c r="B475" s="1926" t="s">
        <v>10077</v>
      </c>
      <c r="C475" s="1926" t="s">
        <v>39</v>
      </c>
      <c r="D475" s="1926" t="s">
        <v>40</v>
      </c>
      <c r="E475" s="1662">
        <v>419.46</v>
      </c>
    </row>
    <row r="476" spans="1:5" x14ac:dyDescent="0.2">
      <c r="A476" s="135">
        <v>10</v>
      </c>
      <c r="B476" s="1926" t="s">
        <v>10078</v>
      </c>
      <c r="C476" s="1926" t="s">
        <v>39</v>
      </c>
      <c r="D476" s="1926" t="s">
        <v>40</v>
      </c>
      <c r="E476" s="1662">
        <v>9.69</v>
      </c>
    </row>
    <row r="477" spans="1:5" x14ac:dyDescent="0.2">
      <c r="A477" s="135">
        <v>4815</v>
      </c>
      <c r="B477" s="1926" t="s">
        <v>10079</v>
      </c>
      <c r="C477" s="1926" t="s">
        <v>39</v>
      </c>
      <c r="D477" s="1926" t="s">
        <v>40</v>
      </c>
      <c r="E477" s="1662">
        <v>4.8600000000000003</v>
      </c>
    </row>
    <row r="478" spans="1:5" x14ac:dyDescent="0.2">
      <c r="A478" s="135">
        <v>541</v>
      </c>
      <c r="B478" s="1926" t="s">
        <v>10080</v>
      </c>
      <c r="C478" s="1926" t="s">
        <v>39</v>
      </c>
      <c r="D478" s="1926" t="s">
        <v>43</v>
      </c>
      <c r="E478" s="1662">
        <v>135.91</v>
      </c>
    </row>
    <row r="479" spans="1:5" x14ac:dyDescent="0.2">
      <c r="A479" s="135">
        <v>542</v>
      </c>
      <c r="B479" s="1926" t="s">
        <v>10081</v>
      </c>
      <c r="C479" s="1926" t="s">
        <v>39</v>
      </c>
      <c r="D479" s="1926" t="s">
        <v>40</v>
      </c>
      <c r="E479" s="1662">
        <v>170.36</v>
      </c>
    </row>
    <row r="480" spans="1:5" x14ac:dyDescent="0.2">
      <c r="A480" s="135">
        <v>540</v>
      </c>
      <c r="B480" s="1926" t="s">
        <v>10082</v>
      </c>
      <c r="C480" s="1926" t="s">
        <v>39</v>
      </c>
      <c r="D480" s="1926" t="s">
        <v>40</v>
      </c>
      <c r="E480" s="1662">
        <v>383.91</v>
      </c>
    </row>
    <row r="481" spans="1:5" x14ac:dyDescent="0.2">
      <c r="A481" s="135">
        <v>38364</v>
      </c>
      <c r="B481" s="1926" t="s">
        <v>10083</v>
      </c>
      <c r="C481" s="1926" t="s">
        <v>39</v>
      </c>
      <c r="D481" s="1926" t="s">
        <v>40</v>
      </c>
      <c r="E481" s="1662">
        <v>691.82</v>
      </c>
    </row>
    <row r="482" spans="1:5" x14ac:dyDescent="0.2">
      <c r="A482" s="135">
        <v>11692</v>
      </c>
      <c r="B482" s="1926" t="s">
        <v>10084</v>
      </c>
      <c r="C482" s="1926" t="s">
        <v>45</v>
      </c>
      <c r="D482" s="1926" t="s">
        <v>40</v>
      </c>
      <c r="E482" s="1662">
        <v>252.59</v>
      </c>
    </row>
    <row r="483" spans="1:5" x14ac:dyDescent="0.2">
      <c r="A483" s="135">
        <v>1746</v>
      </c>
      <c r="B483" s="1926" t="s">
        <v>10085</v>
      </c>
      <c r="C483" s="1926" t="s">
        <v>39</v>
      </c>
      <c r="D483" s="1926" t="s">
        <v>43</v>
      </c>
      <c r="E483" s="1662">
        <v>169.9</v>
      </c>
    </row>
    <row r="484" spans="1:5" x14ac:dyDescent="0.2">
      <c r="A484" s="135">
        <v>1748</v>
      </c>
      <c r="B484" s="1926" t="s">
        <v>10086</v>
      </c>
      <c r="C484" s="1926" t="s">
        <v>39</v>
      </c>
      <c r="D484" s="1926" t="s">
        <v>40</v>
      </c>
      <c r="E484" s="1662">
        <v>225.92</v>
      </c>
    </row>
    <row r="485" spans="1:5" x14ac:dyDescent="0.2">
      <c r="A485" s="135">
        <v>1749</v>
      </c>
      <c r="B485" s="1926" t="s">
        <v>10087</v>
      </c>
      <c r="C485" s="1926" t="s">
        <v>39</v>
      </c>
      <c r="D485" s="1926" t="s">
        <v>40</v>
      </c>
      <c r="E485" s="1662">
        <v>327.32</v>
      </c>
    </row>
    <row r="486" spans="1:5" x14ac:dyDescent="0.2">
      <c r="A486" s="135">
        <v>37412</v>
      </c>
      <c r="B486" s="1926" t="s">
        <v>10088</v>
      </c>
      <c r="C486" s="1926" t="s">
        <v>39</v>
      </c>
      <c r="D486" s="1926" t="s">
        <v>40</v>
      </c>
      <c r="E486" s="1662">
        <v>166.07</v>
      </c>
    </row>
    <row r="487" spans="1:5" x14ac:dyDescent="0.2">
      <c r="A487" s="135">
        <v>1745</v>
      </c>
      <c r="B487" s="1926" t="s">
        <v>10089</v>
      </c>
      <c r="C487" s="1926" t="s">
        <v>39</v>
      </c>
      <c r="D487" s="1926" t="s">
        <v>40</v>
      </c>
      <c r="E487" s="1662">
        <v>197.48</v>
      </c>
    </row>
    <row r="488" spans="1:5" x14ac:dyDescent="0.2">
      <c r="A488" s="135">
        <v>1750</v>
      </c>
      <c r="B488" s="1926" t="s">
        <v>10090</v>
      </c>
      <c r="C488" s="1926" t="s">
        <v>39</v>
      </c>
      <c r="D488" s="1926" t="s">
        <v>40</v>
      </c>
      <c r="E488" s="1662">
        <v>461.5</v>
      </c>
    </row>
    <row r="489" spans="1:5" x14ac:dyDescent="0.2">
      <c r="A489" s="135">
        <v>11687</v>
      </c>
      <c r="B489" s="1926" t="s">
        <v>10091</v>
      </c>
      <c r="C489" s="1926" t="s">
        <v>47</v>
      </c>
      <c r="D489" s="1926" t="s">
        <v>40</v>
      </c>
      <c r="E489" s="1662">
        <v>735.31</v>
      </c>
    </row>
    <row r="490" spans="1:5" x14ac:dyDescent="0.2">
      <c r="A490" s="135">
        <v>11689</v>
      </c>
      <c r="B490" s="1926" t="s">
        <v>10092</v>
      </c>
      <c r="C490" s="1926" t="s">
        <v>47</v>
      </c>
      <c r="D490" s="1926" t="s">
        <v>40</v>
      </c>
      <c r="E490" s="1662">
        <v>921.3</v>
      </c>
    </row>
    <row r="491" spans="1:5" x14ac:dyDescent="0.2">
      <c r="A491" s="135">
        <v>11693</v>
      </c>
      <c r="B491" s="1926" t="s">
        <v>10093</v>
      </c>
      <c r="C491" s="1926" t="s">
        <v>45</v>
      </c>
      <c r="D491" s="1926" t="s">
        <v>40</v>
      </c>
      <c r="E491" s="1662">
        <v>150.69</v>
      </c>
    </row>
    <row r="492" spans="1:5" x14ac:dyDescent="0.2">
      <c r="A492" s="135">
        <v>36215</v>
      </c>
      <c r="B492" s="1926" t="s">
        <v>10094</v>
      </c>
      <c r="C492" s="1926" t="s">
        <v>39</v>
      </c>
      <c r="D492" s="1926" t="s">
        <v>40</v>
      </c>
      <c r="E492" s="1662">
        <v>623.62</v>
      </c>
    </row>
    <row r="493" spans="1:5" x14ac:dyDescent="0.2">
      <c r="A493" s="135">
        <v>42439</v>
      </c>
      <c r="B493" s="1926" t="s">
        <v>10095</v>
      </c>
      <c r="C493" s="1926" t="s">
        <v>39</v>
      </c>
      <c r="D493" s="1926" t="s">
        <v>46</v>
      </c>
      <c r="E493" s="1662">
        <v>691.41</v>
      </c>
    </row>
    <row r="494" spans="1:5" x14ac:dyDescent="0.2">
      <c r="A494" s="135">
        <v>38381</v>
      </c>
      <c r="B494" s="1926" t="s">
        <v>10096</v>
      </c>
      <c r="C494" s="1926" t="s">
        <v>39</v>
      </c>
      <c r="D494" s="1926" t="s">
        <v>40</v>
      </c>
      <c r="E494" s="1662">
        <v>7.72</v>
      </c>
    </row>
    <row r="495" spans="1:5" x14ac:dyDescent="0.2">
      <c r="A495" s="135">
        <v>39621</v>
      </c>
      <c r="B495" s="1926" t="s">
        <v>10097</v>
      </c>
      <c r="C495" s="1926" t="s">
        <v>41</v>
      </c>
      <c r="D495" s="1926" t="s">
        <v>40</v>
      </c>
      <c r="E495" s="1662">
        <v>1369.2</v>
      </c>
    </row>
    <row r="496" spans="1:5" x14ac:dyDescent="0.2">
      <c r="A496" s="135">
        <v>39624</v>
      </c>
      <c r="B496" s="1926" t="s">
        <v>10098</v>
      </c>
      <c r="C496" s="1926" t="s">
        <v>41</v>
      </c>
      <c r="D496" s="1926" t="s">
        <v>40</v>
      </c>
      <c r="E496" s="1662">
        <v>1385.55</v>
      </c>
    </row>
    <row r="497" spans="1:5" x14ac:dyDescent="0.2">
      <c r="A497" s="135">
        <v>39615</v>
      </c>
      <c r="B497" s="1926" t="s">
        <v>10099</v>
      </c>
      <c r="C497" s="1926" t="s">
        <v>39</v>
      </c>
      <c r="D497" s="1926" t="s">
        <v>40</v>
      </c>
      <c r="E497" s="1662">
        <v>477.68</v>
      </c>
    </row>
    <row r="498" spans="1:5" x14ac:dyDescent="0.2">
      <c r="A498" s="135">
        <v>39620</v>
      </c>
      <c r="B498" s="1926" t="s">
        <v>10100</v>
      </c>
      <c r="C498" s="1926" t="s">
        <v>39</v>
      </c>
      <c r="D498" s="1926" t="s">
        <v>40</v>
      </c>
      <c r="E498" s="1662">
        <v>730.24</v>
      </c>
    </row>
    <row r="499" spans="1:5" x14ac:dyDescent="0.2">
      <c r="A499" s="135">
        <v>39623</v>
      </c>
      <c r="B499" s="1926" t="s">
        <v>10101</v>
      </c>
      <c r="C499" s="1926" t="s">
        <v>39</v>
      </c>
      <c r="D499" s="1926" t="s">
        <v>40</v>
      </c>
      <c r="E499" s="1662">
        <v>707.11</v>
      </c>
    </row>
    <row r="500" spans="1:5" x14ac:dyDescent="0.2">
      <c r="A500" s="135">
        <v>36207</v>
      </c>
      <c r="B500" s="1926" t="s">
        <v>10102</v>
      </c>
      <c r="C500" s="1926" t="s">
        <v>39</v>
      </c>
      <c r="D500" s="1926" t="s">
        <v>40</v>
      </c>
      <c r="E500" s="1662">
        <v>276.22000000000003</v>
      </c>
    </row>
    <row r="501" spans="1:5" x14ac:dyDescent="0.2">
      <c r="A501" s="135">
        <v>36209</v>
      </c>
      <c r="B501" s="1926" t="s">
        <v>10103</v>
      </c>
      <c r="C501" s="1926" t="s">
        <v>39</v>
      </c>
      <c r="D501" s="1926" t="s">
        <v>40</v>
      </c>
      <c r="E501" s="1662">
        <v>317.01</v>
      </c>
    </row>
    <row r="502" spans="1:5" x14ac:dyDescent="0.2">
      <c r="A502" s="135">
        <v>36210</v>
      </c>
      <c r="B502" s="1926" t="s">
        <v>10104</v>
      </c>
      <c r="C502" s="1926" t="s">
        <v>39</v>
      </c>
      <c r="D502" s="1926" t="s">
        <v>40</v>
      </c>
      <c r="E502" s="1662">
        <v>342.99</v>
      </c>
    </row>
    <row r="503" spans="1:5" x14ac:dyDescent="0.2">
      <c r="A503" s="135">
        <v>36204</v>
      </c>
      <c r="B503" s="1926" t="s">
        <v>10105</v>
      </c>
      <c r="C503" s="1926" t="s">
        <v>39</v>
      </c>
      <c r="D503" s="1926" t="s">
        <v>40</v>
      </c>
      <c r="E503" s="1662">
        <v>121.61</v>
      </c>
    </row>
    <row r="504" spans="1:5" x14ac:dyDescent="0.2">
      <c r="A504" s="135">
        <v>36205</v>
      </c>
      <c r="B504" s="1926" t="s">
        <v>10106</v>
      </c>
      <c r="C504" s="1926" t="s">
        <v>39</v>
      </c>
      <c r="D504" s="1926" t="s">
        <v>40</v>
      </c>
      <c r="E504" s="1662">
        <v>135.06</v>
      </c>
    </row>
    <row r="505" spans="1:5" x14ac:dyDescent="0.2">
      <c r="A505" s="135">
        <v>36081</v>
      </c>
      <c r="B505" s="1926" t="s">
        <v>10107</v>
      </c>
      <c r="C505" s="1926" t="s">
        <v>39</v>
      </c>
      <c r="D505" s="1926" t="s">
        <v>43</v>
      </c>
      <c r="E505" s="1662">
        <v>144.01</v>
      </c>
    </row>
    <row r="506" spans="1:5" x14ac:dyDescent="0.2">
      <c r="A506" s="135">
        <v>36206</v>
      </c>
      <c r="B506" s="1926" t="s">
        <v>10108</v>
      </c>
      <c r="C506" s="1926" t="s">
        <v>39</v>
      </c>
      <c r="D506" s="1926" t="s">
        <v>40</v>
      </c>
      <c r="E506" s="1662">
        <v>150.87</v>
      </c>
    </row>
    <row r="507" spans="1:5" x14ac:dyDescent="0.2">
      <c r="A507" s="135">
        <v>36218</v>
      </c>
      <c r="B507" s="1926" t="s">
        <v>10109</v>
      </c>
      <c r="C507" s="1926" t="s">
        <v>39</v>
      </c>
      <c r="D507" s="1926" t="s">
        <v>46</v>
      </c>
      <c r="E507" s="1662">
        <v>95.46</v>
      </c>
    </row>
    <row r="508" spans="1:5" x14ac:dyDescent="0.2">
      <c r="A508" s="135">
        <v>36220</v>
      </c>
      <c r="B508" s="1926" t="s">
        <v>10110</v>
      </c>
      <c r="C508" s="1926" t="s">
        <v>39</v>
      </c>
      <c r="D508" s="1926" t="s">
        <v>46</v>
      </c>
      <c r="E508" s="1662">
        <v>109.46</v>
      </c>
    </row>
    <row r="509" spans="1:5" x14ac:dyDescent="0.2">
      <c r="A509" s="135">
        <v>36080</v>
      </c>
      <c r="B509" s="1926" t="s">
        <v>10111</v>
      </c>
      <c r="C509" s="1926" t="s">
        <v>39</v>
      </c>
      <c r="D509" s="1926" t="s">
        <v>46</v>
      </c>
      <c r="E509" s="1662">
        <v>118.4</v>
      </c>
    </row>
    <row r="510" spans="1:5" x14ac:dyDescent="0.2">
      <c r="A510" s="135">
        <v>36223</v>
      </c>
      <c r="B510" s="1926" t="s">
        <v>10112</v>
      </c>
      <c r="C510" s="1926" t="s">
        <v>39</v>
      </c>
      <c r="D510" s="1926" t="s">
        <v>46</v>
      </c>
      <c r="E510" s="1662">
        <v>123.98</v>
      </c>
    </row>
    <row r="511" spans="1:5" x14ac:dyDescent="0.2">
      <c r="A511" s="135">
        <v>546</v>
      </c>
      <c r="B511" s="1926" t="s">
        <v>10113</v>
      </c>
      <c r="C511" s="1926" t="s">
        <v>48</v>
      </c>
      <c r="D511" s="1926" t="s">
        <v>43</v>
      </c>
      <c r="E511" s="1662">
        <v>5.55</v>
      </c>
    </row>
    <row r="512" spans="1:5" x14ac:dyDescent="0.2">
      <c r="A512" s="135">
        <v>557</v>
      </c>
      <c r="B512" s="1926" t="s">
        <v>10114</v>
      </c>
      <c r="C512" s="1926" t="s">
        <v>47</v>
      </c>
      <c r="D512" s="1926" t="s">
        <v>40</v>
      </c>
      <c r="E512" s="1662">
        <v>21.3</v>
      </c>
    </row>
    <row r="513" spans="1:5" x14ac:dyDescent="0.2">
      <c r="A513" s="135">
        <v>552</v>
      </c>
      <c r="B513" s="1926" t="s">
        <v>10115</v>
      </c>
      <c r="C513" s="1926" t="s">
        <v>47</v>
      </c>
      <c r="D513" s="1926" t="s">
        <v>40</v>
      </c>
      <c r="E513" s="1662">
        <v>10.48</v>
      </c>
    </row>
    <row r="514" spans="1:5" x14ac:dyDescent="0.2">
      <c r="A514" s="135">
        <v>555</v>
      </c>
      <c r="B514" s="1926" t="s">
        <v>10116</v>
      </c>
      <c r="C514" s="1926" t="s">
        <v>47</v>
      </c>
      <c r="D514" s="1926" t="s">
        <v>40</v>
      </c>
      <c r="E514" s="1662">
        <v>6.43</v>
      </c>
    </row>
    <row r="515" spans="1:5" x14ac:dyDescent="0.2">
      <c r="A515" s="135">
        <v>565</v>
      </c>
      <c r="B515" s="1926" t="s">
        <v>10117</v>
      </c>
      <c r="C515" s="1926" t="s">
        <v>47</v>
      </c>
      <c r="D515" s="1926" t="s">
        <v>40</v>
      </c>
      <c r="E515" s="1662">
        <v>9.82</v>
      </c>
    </row>
    <row r="516" spans="1:5" x14ac:dyDescent="0.2">
      <c r="A516" s="135">
        <v>549</v>
      </c>
      <c r="B516" s="1926" t="s">
        <v>10118</v>
      </c>
      <c r="C516" s="1926" t="s">
        <v>47</v>
      </c>
      <c r="D516" s="1926" t="s">
        <v>40</v>
      </c>
      <c r="E516" s="1662">
        <v>28.08</v>
      </c>
    </row>
    <row r="517" spans="1:5" x14ac:dyDescent="0.2">
      <c r="A517" s="135">
        <v>559</v>
      </c>
      <c r="B517" s="1926" t="s">
        <v>10119</v>
      </c>
      <c r="C517" s="1926" t="s">
        <v>47</v>
      </c>
      <c r="D517" s="1926" t="s">
        <v>40</v>
      </c>
      <c r="E517" s="1662">
        <v>14.04</v>
      </c>
    </row>
    <row r="518" spans="1:5" x14ac:dyDescent="0.2">
      <c r="A518" s="135">
        <v>551</v>
      </c>
      <c r="B518" s="1926" t="s">
        <v>10120</v>
      </c>
      <c r="C518" s="1926" t="s">
        <v>47</v>
      </c>
      <c r="D518" s="1926" t="s">
        <v>40</v>
      </c>
      <c r="E518" s="1662">
        <v>54.86</v>
      </c>
    </row>
    <row r="519" spans="1:5" x14ac:dyDescent="0.2">
      <c r="A519" s="135">
        <v>547</v>
      </c>
      <c r="B519" s="1926" t="s">
        <v>10121</v>
      </c>
      <c r="C519" s="1926" t="s">
        <v>47</v>
      </c>
      <c r="D519" s="1926" t="s">
        <v>40</v>
      </c>
      <c r="E519" s="1662">
        <v>21.03</v>
      </c>
    </row>
    <row r="520" spans="1:5" x14ac:dyDescent="0.2">
      <c r="A520" s="135">
        <v>560</v>
      </c>
      <c r="B520" s="1926" t="s">
        <v>10122</v>
      </c>
      <c r="C520" s="1926" t="s">
        <v>47</v>
      </c>
      <c r="D520" s="1926" t="s">
        <v>40</v>
      </c>
      <c r="E520" s="1662">
        <v>17.77</v>
      </c>
    </row>
    <row r="521" spans="1:5" x14ac:dyDescent="0.2">
      <c r="A521" s="135">
        <v>566</v>
      </c>
      <c r="B521" s="1926" t="s">
        <v>10123</v>
      </c>
      <c r="C521" s="1926" t="s">
        <v>47</v>
      </c>
      <c r="D521" s="1926" t="s">
        <v>40</v>
      </c>
      <c r="E521" s="1662">
        <v>2.85</v>
      </c>
    </row>
    <row r="522" spans="1:5" x14ac:dyDescent="0.2">
      <c r="A522" s="135">
        <v>563</v>
      </c>
      <c r="B522" s="1926" t="s">
        <v>10124</v>
      </c>
      <c r="C522" s="1926" t="s">
        <v>47</v>
      </c>
      <c r="D522" s="1926" t="s">
        <v>40</v>
      </c>
      <c r="E522" s="1662">
        <v>15.96</v>
      </c>
    </row>
    <row r="523" spans="1:5" x14ac:dyDescent="0.2">
      <c r="A523" s="135">
        <v>38127</v>
      </c>
      <c r="B523" s="1926" t="s">
        <v>10125</v>
      </c>
      <c r="C523" s="1926" t="s">
        <v>39</v>
      </c>
      <c r="D523" s="1926" t="s">
        <v>40</v>
      </c>
      <c r="E523" s="1662">
        <v>355.15</v>
      </c>
    </row>
    <row r="524" spans="1:5" x14ac:dyDescent="0.2">
      <c r="A524" s="135">
        <v>38060</v>
      </c>
      <c r="B524" s="1926" t="s">
        <v>10126</v>
      </c>
      <c r="C524" s="1926" t="s">
        <v>39</v>
      </c>
      <c r="D524" s="1926" t="s">
        <v>40</v>
      </c>
      <c r="E524" s="1662">
        <v>76.02</v>
      </c>
    </row>
    <row r="525" spans="1:5" x14ac:dyDescent="0.2">
      <c r="A525" s="135">
        <v>10956</v>
      </c>
      <c r="B525" s="1926" t="s">
        <v>10127</v>
      </c>
      <c r="C525" s="1926" t="s">
        <v>39</v>
      </c>
      <c r="D525" s="1926" t="s">
        <v>40</v>
      </c>
      <c r="E525" s="1662">
        <v>78.97</v>
      </c>
    </row>
    <row r="526" spans="1:5" x14ac:dyDescent="0.2">
      <c r="A526" s="135">
        <v>39380</v>
      </c>
      <c r="B526" s="1926" t="s">
        <v>10128</v>
      </c>
      <c r="C526" s="1926" t="s">
        <v>39</v>
      </c>
      <c r="D526" s="1926" t="s">
        <v>46</v>
      </c>
      <c r="E526" s="1662">
        <v>9.82</v>
      </c>
    </row>
    <row r="527" spans="1:5" x14ac:dyDescent="0.2">
      <c r="A527" s="135">
        <v>13374</v>
      </c>
      <c r="B527" s="1926" t="s">
        <v>10129</v>
      </c>
      <c r="C527" s="1926" t="s">
        <v>39</v>
      </c>
      <c r="D527" s="1926" t="s">
        <v>46</v>
      </c>
      <c r="E527" s="1662">
        <v>89.96</v>
      </c>
    </row>
    <row r="528" spans="1:5" x14ac:dyDescent="0.2">
      <c r="A528" s="135">
        <v>37597</v>
      </c>
      <c r="B528" s="1926" t="s">
        <v>10130</v>
      </c>
      <c r="C528" s="1926" t="s">
        <v>39</v>
      </c>
      <c r="D528" s="1926" t="s">
        <v>46</v>
      </c>
      <c r="E528" s="1662">
        <v>332215.39</v>
      </c>
    </row>
    <row r="529" spans="1:5" x14ac:dyDescent="0.2">
      <c r="A529" s="135">
        <v>183</v>
      </c>
      <c r="B529" s="1926" t="s">
        <v>10131</v>
      </c>
      <c r="C529" s="1926" t="s">
        <v>53</v>
      </c>
      <c r="D529" s="1926" t="s">
        <v>43</v>
      </c>
      <c r="E529" s="1662">
        <v>173.5</v>
      </c>
    </row>
    <row r="530" spans="1:5" x14ac:dyDescent="0.2">
      <c r="A530" s="135">
        <v>184</v>
      </c>
      <c r="B530" s="1926" t="s">
        <v>10132</v>
      </c>
      <c r="C530" s="1926" t="s">
        <v>53</v>
      </c>
      <c r="D530" s="1926" t="s">
        <v>40</v>
      </c>
      <c r="E530" s="1662">
        <v>114.67</v>
      </c>
    </row>
    <row r="531" spans="1:5" x14ac:dyDescent="0.2">
      <c r="A531" s="135">
        <v>195</v>
      </c>
      <c r="B531" s="1926" t="s">
        <v>10133</v>
      </c>
      <c r="C531" s="1926" t="s">
        <v>53</v>
      </c>
      <c r="D531" s="1926" t="s">
        <v>40</v>
      </c>
      <c r="E531" s="1662">
        <v>140.94</v>
      </c>
    </row>
    <row r="532" spans="1:5" x14ac:dyDescent="0.2">
      <c r="A532" s="135">
        <v>194</v>
      </c>
      <c r="B532" s="1926" t="s">
        <v>10134</v>
      </c>
      <c r="C532" s="1926" t="s">
        <v>53</v>
      </c>
      <c r="D532" s="1926" t="s">
        <v>40</v>
      </c>
      <c r="E532" s="1662">
        <v>76.62</v>
      </c>
    </row>
    <row r="533" spans="1:5" x14ac:dyDescent="0.2">
      <c r="A533" s="135">
        <v>20001</v>
      </c>
      <c r="B533" s="1926" t="s">
        <v>10135</v>
      </c>
      <c r="C533" s="1926" t="s">
        <v>53</v>
      </c>
      <c r="D533" s="1926" t="s">
        <v>40</v>
      </c>
      <c r="E533" s="1662">
        <v>140.44999999999999</v>
      </c>
    </row>
    <row r="534" spans="1:5" x14ac:dyDescent="0.2">
      <c r="A534" s="135">
        <v>181</v>
      </c>
      <c r="B534" s="1926" t="s">
        <v>10136</v>
      </c>
      <c r="C534" s="1926" t="s">
        <v>53</v>
      </c>
      <c r="D534" s="1926" t="s">
        <v>40</v>
      </c>
      <c r="E534" s="1662">
        <v>190.02</v>
      </c>
    </row>
    <row r="535" spans="1:5" x14ac:dyDescent="0.2">
      <c r="A535" s="135">
        <v>39837</v>
      </c>
      <c r="B535" s="1926" t="s">
        <v>10137</v>
      </c>
      <c r="C535" s="1926" t="s">
        <v>53</v>
      </c>
      <c r="D535" s="1926" t="s">
        <v>40</v>
      </c>
      <c r="E535" s="1662">
        <v>187.07</v>
      </c>
    </row>
    <row r="536" spans="1:5" x14ac:dyDescent="0.2">
      <c r="A536" s="135">
        <v>10535</v>
      </c>
      <c r="B536" s="1926" t="s">
        <v>10138</v>
      </c>
      <c r="C536" s="1926" t="s">
        <v>39</v>
      </c>
      <c r="D536" s="1926" t="s">
        <v>43</v>
      </c>
      <c r="E536" s="1662">
        <v>3800</v>
      </c>
    </row>
    <row r="537" spans="1:5" x14ac:dyDescent="0.2">
      <c r="A537" s="135">
        <v>10537</v>
      </c>
      <c r="B537" s="1926" t="s">
        <v>10139</v>
      </c>
      <c r="C537" s="1926" t="s">
        <v>39</v>
      </c>
      <c r="D537" s="1926" t="s">
        <v>40</v>
      </c>
      <c r="E537" s="1662">
        <v>5182.16</v>
      </c>
    </row>
    <row r="538" spans="1:5" x14ac:dyDescent="0.2">
      <c r="A538" s="135">
        <v>13891</v>
      </c>
      <c r="B538" s="1926" t="s">
        <v>10140</v>
      </c>
      <c r="C538" s="1926" t="s">
        <v>39</v>
      </c>
      <c r="D538" s="1926" t="s">
        <v>40</v>
      </c>
      <c r="E538" s="1662">
        <v>4753.22</v>
      </c>
    </row>
    <row r="539" spans="1:5" x14ac:dyDescent="0.2">
      <c r="A539" s="135">
        <v>25975</v>
      </c>
      <c r="B539" s="1926" t="s">
        <v>10141</v>
      </c>
      <c r="C539" s="1926" t="s">
        <v>39</v>
      </c>
      <c r="D539" s="1926" t="s">
        <v>40</v>
      </c>
      <c r="E539" s="1662">
        <v>20674.57</v>
      </c>
    </row>
    <row r="540" spans="1:5" x14ac:dyDescent="0.2">
      <c r="A540" s="135">
        <v>36396</v>
      </c>
      <c r="B540" s="1926" t="s">
        <v>10142</v>
      </c>
      <c r="C540" s="1926" t="s">
        <v>39</v>
      </c>
      <c r="D540" s="1926" t="s">
        <v>40</v>
      </c>
      <c r="E540" s="1662">
        <v>4347.45</v>
      </c>
    </row>
    <row r="541" spans="1:5" x14ac:dyDescent="0.2">
      <c r="A541" s="135">
        <v>36397</v>
      </c>
      <c r="B541" s="1926" t="s">
        <v>10143</v>
      </c>
      <c r="C541" s="1926" t="s">
        <v>39</v>
      </c>
      <c r="D541" s="1926" t="s">
        <v>40</v>
      </c>
      <c r="E541" s="1662">
        <v>15457.62</v>
      </c>
    </row>
    <row r="542" spans="1:5" x14ac:dyDescent="0.2">
      <c r="A542" s="135">
        <v>36398</v>
      </c>
      <c r="B542" s="1926" t="s">
        <v>10144</v>
      </c>
      <c r="C542" s="1926" t="s">
        <v>39</v>
      </c>
      <c r="D542" s="1926" t="s">
        <v>40</v>
      </c>
      <c r="E542" s="1662">
        <v>18787.45</v>
      </c>
    </row>
    <row r="543" spans="1:5" x14ac:dyDescent="0.2">
      <c r="A543" s="135">
        <v>647</v>
      </c>
      <c r="B543" s="1926" t="s">
        <v>10145</v>
      </c>
      <c r="C543" s="1926" t="s">
        <v>42</v>
      </c>
      <c r="D543" s="1926" t="s">
        <v>40</v>
      </c>
      <c r="E543" s="1662">
        <v>9.92</v>
      </c>
    </row>
    <row r="544" spans="1:5" x14ac:dyDescent="0.2">
      <c r="A544" s="135">
        <v>40920</v>
      </c>
      <c r="B544" s="1926" t="s">
        <v>10146</v>
      </c>
      <c r="C544" s="1926" t="s">
        <v>51</v>
      </c>
      <c r="D544" s="1926" t="s">
        <v>40</v>
      </c>
      <c r="E544" s="1662">
        <v>1771.56</v>
      </c>
    </row>
    <row r="545" spans="1:5" x14ac:dyDescent="0.2">
      <c r="A545" s="135">
        <v>7266</v>
      </c>
      <c r="B545" s="1926" t="s">
        <v>10147</v>
      </c>
      <c r="C545" s="1926" t="s">
        <v>54</v>
      </c>
      <c r="D545" s="1926" t="s">
        <v>43</v>
      </c>
      <c r="E545" s="1662">
        <v>490</v>
      </c>
    </row>
    <row r="546" spans="1:5" x14ac:dyDescent="0.2">
      <c r="A546" s="135">
        <v>7270</v>
      </c>
      <c r="B546" s="1926" t="s">
        <v>10148</v>
      </c>
      <c r="C546" s="1926" t="s">
        <v>39</v>
      </c>
      <c r="D546" s="1926" t="s">
        <v>40</v>
      </c>
      <c r="E546" s="1662">
        <v>0.46</v>
      </c>
    </row>
    <row r="547" spans="1:5" x14ac:dyDescent="0.2">
      <c r="A547" s="135">
        <v>7269</v>
      </c>
      <c r="B547" s="1926" t="s">
        <v>10149</v>
      </c>
      <c r="C547" s="1926" t="s">
        <v>39</v>
      </c>
      <c r="D547" s="1926" t="s">
        <v>40</v>
      </c>
      <c r="E547" s="1662">
        <v>0.33</v>
      </c>
    </row>
    <row r="548" spans="1:5" x14ac:dyDescent="0.2">
      <c r="A548" s="135">
        <v>7271</v>
      </c>
      <c r="B548" s="1926" t="s">
        <v>10150</v>
      </c>
      <c r="C548" s="1926" t="s">
        <v>39</v>
      </c>
      <c r="D548" s="1926" t="s">
        <v>40</v>
      </c>
      <c r="E548" s="1662">
        <v>0.49</v>
      </c>
    </row>
    <row r="549" spans="1:5" x14ac:dyDescent="0.2">
      <c r="A549" s="135">
        <v>7268</v>
      </c>
      <c r="B549" s="1926" t="s">
        <v>10151</v>
      </c>
      <c r="C549" s="1926" t="s">
        <v>39</v>
      </c>
      <c r="D549" s="1926" t="s">
        <v>40</v>
      </c>
      <c r="E549" s="1662">
        <v>0.69</v>
      </c>
    </row>
    <row r="550" spans="1:5" x14ac:dyDescent="0.2">
      <c r="A550" s="135">
        <v>7267</v>
      </c>
      <c r="B550" s="1926" t="s">
        <v>10152</v>
      </c>
      <c r="C550" s="1926" t="s">
        <v>39</v>
      </c>
      <c r="D550" s="1926" t="s">
        <v>40</v>
      </c>
      <c r="E550" s="1662">
        <v>0.34</v>
      </c>
    </row>
    <row r="551" spans="1:5" x14ac:dyDescent="0.2">
      <c r="A551" s="135">
        <v>38783</v>
      </c>
      <c r="B551" s="1926" t="s">
        <v>10153</v>
      </c>
      <c r="C551" s="1926" t="s">
        <v>39</v>
      </c>
      <c r="D551" s="1926" t="s">
        <v>40</v>
      </c>
      <c r="E551" s="1662">
        <v>0.61</v>
      </c>
    </row>
    <row r="552" spans="1:5" x14ac:dyDescent="0.2">
      <c r="A552" s="135">
        <v>37593</v>
      </c>
      <c r="B552" s="1926" t="s">
        <v>10154</v>
      </c>
      <c r="C552" s="1926" t="s">
        <v>39</v>
      </c>
      <c r="D552" s="1926" t="s">
        <v>40</v>
      </c>
      <c r="E552" s="1662">
        <v>1.6</v>
      </c>
    </row>
    <row r="553" spans="1:5" x14ac:dyDescent="0.2">
      <c r="A553" s="135">
        <v>37594</v>
      </c>
      <c r="B553" s="1926" t="s">
        <v>10155</v>
      </c>
      <c r="C553" s="1926" t="s">
        <v>39</v>
      </c>
      <c r="D553" s="1926" t="s">
        <v>40</v>
      </c>
      <c r="E553" s="1662">
        <v>1.96</v>
      </c>
    </row>
    <row r="554" spans="1:5" x14ac:dyDescent="0.2">
      <c r="A554" s="135">
        <v>37592</v>
      </c>
      <c r="B554" s="1926" t="s">
        <v>10156</v>
      </c>
      <c r="C554" s="1926" t="s">
        <v>39</v>
      </c>
      <c r="D554" s="1926" t="s">
        <v>40</v>
      </c>
      <c r="E554" s="1662">
        <v>1.19</v>
      </c>
    </row>
    <row r="555" spans="1:5" x14ac:dyDescent="0.2">
      <c r="A555" s="135">
        <v>34556</v>
      </c>
      <c r="B555" s="1926" t="s">
        <v>10157</v>
      </c>
      <c r="C555" s="1926" t="s">
        <v>39</v>
      </c>
      <c r="D555" s="1926" t="s">
        <v>40</v>
      </c>
      <c r="E555" s="1662">
        <v>2.52</v>
      </c>
    </row>
    <row r="556" spans="1:5" x14ac:dyDescent="0.2">
      <c r="A556" s="135">
        <v>37873</v>
      </c>
      <c r="B556" s="1926" t="s">
        <v>10158</v>
      </c>
      <c r="C556" s="1926" t="s">
        <v>39</v>
      </c>
      <c r="D556" s="1926" t="s">
        <v>40</v>
      </c>
      <c r="E556" s="1662">
        <v>2.75</v>
      </c>
    </row>
    <row r="557" spans="1:5" x14ac:dyDescent="0.2">
      <c r="A557" s="135">
        <v>34564</v>
      </c>
      <c r="B557" s="1926" t="s">
        <v>10159</v>
      </c>
      <c r="C557" s="1926" t="s">
        <v>39</v>
      </c>
      <c r="D557" s="1926" t="s">
        <v>40</v>
      </c>
      <c r="E557" s="1662">
        <v>3.15</v>
      </c>
    </row>
    <row r="558" spans="1:5" x14ac:dyDescent="0.2">
      <c r="A558" s="135">
        <v>34565</v>
      </c>
      <c r="B558" s="1926" t="s">
        <v>10160</v>
      </c>
      <c r="C558" s="1926" t="s">
        <v>39</v>
      </c>
      <c r="D558" s="1926" t="s">
        <v>40</v>
      </c>
      <c r="E558" s="1662">
        <v>3.64</v>
      </c>
    </row>
    <row r="559" spans="1:5" x14ac:dyDescent="0.2">
      <c r="A559" s="135">
        <v>38590</v>
      </c>
      <c r="B559" s="1926" t="s">
        <v>10161</v>
      </c>
      <c r="C559" s="1926" t="s">
        <v>39</v>
      </c>
      <c r="D559" s="1926" t="s">
        <v>40</v>
      </c>
      <c r="E559" s="1662">
        <v>2.11</v>
      </c>
    </row>
    <row r="560" spans="1:5" x14ac:dyDescent="0.2">
      <c r="A560" s="135">
        <v>34566</v>
      </c>
      <c r="B560" s="1926" t="s">
        <v>10162</v>
      </c>
      <c r="C560" s="1926" t="s">
        <v>39</v>
      </c>
      <c r="D560" s="1926" t="s">
        <v>40</v>
      </c>
      <c r="E560" s="1662">
        <v>1.97</v>
      </c>
    </row>
    <row r="561" spans="1:5" x14ac:dyDescent="0.2">
      <c r="A561" s="135">
        <v>34567</v>
      </c>
      <c r="B561" s="1926" t="s">
        <v>10163</v>
      </c>
      <c r="C561" s="1926" t="s">
        <v>39</v>
      </c>
      <c r="D561" s="1926" t="s">
        <v>40</v>
      </c>
      <c r="E561" s="1662">
        <v>2.21</v>
      </c>
    </row>
    <row r="562" spans="1:5" x14ac:dyDescent="0.2">
      <c r="A562" s="135">
        <v>38591</v>
      </c>
      <c r="B562" s="1926" t="s">
        <v>10164</v>
      </c>
      <c r="C562" s="1926" t="s">
        <v>39</v>
      </c>
      <c r="D562" s="1926" t="s">
        <v>40</v>
      </c>
      <c r="E562" s="1662">
        <v>2.39</v>
      </c>
    </row>
    <row r="563" spans="1:5" x14ac:dyDescent="0.2">
      <c r="A563" s="135">
        <v>34568</v>
      </c>
      <c r="B563" s="1926" t="s">
        <v>10165</v>
      </c>
      <c r="C563" s="1926" t="s">
        <v>39</v>
      </c>
      <c r="D563" s="1926" t="s">
        <v>40</v>
      </c>
      <c r="E563" s="1662">
        <v>2.89</v>
      </c>
    </row>
    <row r="564" spans="1:5" x14ac:dyDescent="0.2">
      <c r="A564" s="135">
        <v>34569</v>
      </c>
      <c r="B564" s="1926" t="s">
        <v>10166</v>
      </c>
      <c r="C564" s="1926" t="s">
        <v>39</v>
      </c>
      <c r="D564" s="1926" t="s">
        <v>40</v>
      </c>
      <c r="E564" s="1662">
        <v>2.96</v>
      </c>
    </row>
    <row r="565" spans="1:5" x14ac:dyDescent="0.2">
      <c r="A565" s="135">
        <v>34570</v>
      </c>
      <c r="B565" s="1926" t="s">
        <v>10167</v>
      </c>
      <c r="C565" s="1926" t="s">
        <v>39</v>
      </c>
      <c r="D565" s="1926" t="s">
        <v>40</v>
      </c>
      <c r="E565" s="1662">
        <v>3.16</v>
      </c>
    </row>
    <row r="566" spans="1:5" x14ac:dyDescent="0.2">
      <c r="A566" s="135">
        <v>25070</v>
      </c>
      <c r="B566" s="1926" t="s">
        <v>10168</v>
      </c>
      <c r="C566" s="1926" t="s">
        <v>39</v>
      </c>
      <c r="D566" s="1926" t="s">
        <v>40</v>
      </c>
      <c r="E566" s="1662">
        <v>2.42</v>
      </c>
    </row>
    <row r="567" spans="1:5" x14ac:dyDescent="0.2">
      <c r="A567" s="135">
        <v>34571</v>
      </c>
      <c r="B567" s="1926" t="s">
        <v>10169</v>
      </c>
      <c r="C567" s="1926" t="s">
        <v>39</v>
      </c>
      <c r="D567" s="1926" t="s">
        <v>40</v>
      </c>
      <c r="E567" s="1662">
        <v>2.4700000000000002</v>
      </c>
    </row>
    <row r="568" spans="1:5" x14ac:dyDescent="0.2">
      <c r="A568" s="135">
        <v>34573</v>
      </c>
      <c r="B568" s="1926" t="s">
        <v>10170</v>
      </c>
      <c r="C568" s="1926" t="s">
        <v>39</v>
      </c>
      <c r="D568" s="1926" t="s">
        <v>40</v>
      </c>
      <c r="E568" s="1662">
        <v>2.6</v>
      </c>
    </row>
    <row r="569" spans="1:5" x14ac:dyDescent="0.2">
      <c r="A569" s="135">
        <v>37107</v>
      </c>
      <c r="B569" s="1926" t="s">
        <v>10171</v>
      </c>
      <c r="C569" s="1926" t="s">
        <v>39</v>
      </c>
      <c r="D569" s="1926" t="s">
        <v>40</v>
      </c>
      <c r="E569" s="1662">
        <v>3.84</v>
      </c>
    </row>
    <row r="570" spans="1:5" x14ac:dyDescent="0.2">
      <c r="A570" s="135">
        <v>34576</v>
      </c>
      <c r="B570" s="1926" t="s">
        <v>10172</v>
      </c>
      <c r="C570" s="1926" t="s">
        <v>39</v>
      </c>
      <c r="D570" s="1926" t="s">
        <v>40</v>
      </c>
      <c r="E570" s="1662">
        <v>3.6</v>
      </c>
    </row>
    <row r="571" spans="1:5" x14ac:dyDescent="0.2">
      <c r="A571" s="135">
        <v>34577</v>
      </c>
      <c r="B571" s="1926" t="s">
        <v>10173</v>
      </c>
      <c r="C571" s="1926" t="s">
        <v>39</v>
      </c>
      <c r="D571" s="1926" t="s">
        <v>40</v>
      </c>
      <c r="E571" s="1662">
        <v>3.84</v>
      </c>
    </row>
    <row r="572" spans="1:5" x14ac:dyDescent="0.2">
      <c r="A572" s="135">
        <v>34578</v>
      </c>
      <c r="B572" s="1926" t="s">
        <v>10174</v>
      </c>
      <c r="C572" s="1926" t="s">
        <v>39</v>
      </c>
      <c r="D572" s="1926" t="s">
        <v>40</v>
      </c>
      <c r="E572" s="1662">
        <v>4.26</v>
      </c>
    </row>
    <row r="573" spans="1:5" x14ac:dyDescent="0.2">
      <c r="A573" s="135">
        <v>34579</v>
      </c>
      <c r="B573" s="1926" t="s">
        <v>10175</v>
      </c>
      <c r="C573" s="1926" t="s">
        <v>39</v>
      </c>
      <c r="D573" s="1926" t="s">
        <v>40</v>
      </c>
      <c r="E573" s="1662">
        <v>5.46</v>
      </c>
    </row>
    <row r="574" spans="1:5" x14ac:dyDescent="0.2">
      <c r="A574" s="135">
        <v>25067</v>
      </c>
      <c r="B574" s="1926" t="s">
        <v>10176</v>
      </c>
      <c r="C574" s="1926" t="s">
        <v>39</v>
      </c>
      <c r="D574" s="1926" t="s">
        <v>40</v>
      </c>
      <c r="E574" s="1662">
        <v>3.15</v>
      </c>
    </row>
    <row r="575" spans="1:5" x14ac:dyDescent="0.2">
      <c r="A575" s="135">
        <v>34580</v>
      </c>
      <c r="B575" s="1926" t="s">
        <v>10177</v>
      </c>
      <c r="C575" s="1926" t="s">
        <v>39</v>
      </c>
      <c r="D575" s="1926" t="s">
        <v>40</v>
      </c>
      <c r="E575" s="1662">
        <v>3.43</v>
      </c>
    </row>
    <row r="576" spans="1:5" x14ac:dyDescent="0.2">
      <c r="A576" s="135">
        <v>25071</v>
      </c>
      <c r="B576" s="1926" t="s">
        <v>10178</v>
      </c>
      <c r="C576" s="1926" t="s">
        <v>39</v>
      </c>
      <c r="D576" s="1926" t="s">
        <v>40</v>
      </c>
      <c r="E576" s="1662">
        <v>1.65</v>
      </c>
    </row>
    <row r="577" spans="1:5" x14ac:dyDescent="0.2">
      <c r="A577" s="135">
        <v>38395</v>
      </c>
      <c r="B577" s="1926" t="s">
        <v>10179</v>
      </c>
      <c r="C577" s="1926" t="s">
        <v>39</v>
      </c>
      <c r="D577" s="1926" t="s">
        <v>40</v>
      </c>
      <c r="E577" s="1662">
        <v>6.45</v>
      </c>
    </row>
    <row r="578" spans="1:5" x14ac:dyDescent="0.2">
      <c r="A578" s="135">
        <v>34583</v>
      </c>
      <c r="B578" s="1926" t="s">
        <v>10180</v>
      </c>
      <c r="C578" s="1926" t="s">
        <v>45</v>
      </c>
      <c r="D578" s="1926" t="s">
        <v>40</v>
      </c>
      <c r="E578" s="1662">
        <v>68.92</v>
      </c>
    </row>
    <row r="579" spans="1:5" x14ac:dyDescent="0.2">
      <c r="A579" s="135">
        <v>34584</v>
      </c>
      <c r="B579" s="1926" t="s">
        <v>10181</v>
      </c>
      <c r="C579" s="1926" t="s">
        <v>45</v>
      </c>
      <c r="D579" s="1926" t="s">
        <v>40</v>
      </c>
      <c r="E579" s="1662">
        <v>38.58</v>
      </c>
    </row>
    <row r="580" spans="1:5" x14ac:dyDescent="0.2">
      <c r="A580" s="135">
        <v>709</v>
      </c>
      <c r="B580" s="1926" t="s">
        <v>10182</v>
      </c>
      <c r="C580" s="1926" t="s">
        <v>45</v>
      </c>
      <c r="D580" s="1926" t="s">
        <v>46</v>
      </c>
      <c r="E580" s="1662">
        <v>539.88</v>
      </c>
    </row>
    <row r="581" spans="1:5" x14ac:dyDescent="0.2">
      <c r="A581" s="135">
        <v>716</v>
      </c>
      <c r="B581" s="1926" t="s">
        <v>10183</v>
      </c>
      <c r="C581" s="1926" t="s">
        <v>39</v>
      </c>
      <c r="D581" s="1926" t="s">
        <v>40</v>
      </c>
      <c r="E581" s="1662">
        <v>11.21</v>
      </c>
    </row>
    <row r="582" spans="1:5" x14ac:dyDescent="0.2">
      <c r="A582" s="135">
        <v>715</v>
      </c>
      <c r="B582" s="1926" t="s">
        <v>10184</v>
      </c>
      <c r="C582" s="1926" t="s">
        <v>39</v>
      </c>
      <c r="D582" s="1926" t="s">
        <v>43</v>
      </c>
      <c r="E582" s="1662">
        <v>11.09</v>
      </c>
    </row>
    <row r="583" spans="1:5" x14ac:dyDescent="0.2">
      <c r="A583" s="135">
        <v>718</v>
      </c>
      <c r="B583" s="1926" t="s">
        <v>10185</v>
      </c>
      <c r="C583" s="1926" t="s">
        <v>39</v>
      </c>
      <c r="D583" s="1926" t="s">
        <v>40</v>
      </c>
      <c r="E583" s="1662">
        <v>16.52</v>
      </c>
    </row>
    <row r="584" spans="1:5" x14ac:dyDescent="0.2">
      <c r="A584" s="135">
        <v>11981</v>
      </c>
      <c r="B584" s="1926" t="s">
        <v>10186</v>
      </c>
      <c r="C584" s="1926" t="s">
        <v>39</v>
      </c>
      <c r="D584" s="1926" t="s">
        <v>40</v>
      </c>
      <c r="E584" s="1662">
        <v>11.33</v>
      </c>
    </row>
    <row r="585" spans="1:5" x14ac:dyDescent="0.2">
      <c r="A585" s="135">
        <v>10610</v>
      </c>
      <c r="B585" s="1926" t="s">
        <v>10187</v>
      </c>
      <c r="C585" s="1926" t="s">
        <v>39</v>
      </c>
      <c r="D585" s="1926" t="s">
        <v>40</v>
      </c>
      <c r="E585" s="1662">
        <v>1.32</v>
      </c>
    </row>
    <row r="586" spans="1:5" x14ac:dyDescent="0.2">
      <c r="A586" s="135">
        <v>34585</v>
      </c>
      <c r="B586" s="1926" t="s">
        <v>10188</v>
      </c>
      <c r="C586" s="1926" t="s">
        <v>39</v>
      </c>
      <c r="D586" s="1926" t="s">
        <v>40</v>
      </c>
      <c r="E586" s="1662">
        <v>1.34</v>
      </c>
    </row>
    <row r="587" spans="1:5" x14ac:dyDescent="0.2">
      <c r="A587" s="135">
        <v>34586</v>
      </c>
      <c r="B587" s="1926" t="s">
        <v>10189</v>
      </c>
      <c r="C587" s="1926" t="s">
        <v>39</v>
      </c>
      <c r="D587" s="1926" t="s">
        <v>40</v>
      </c>
      <c r="E587" s="1662">
        <v>1.36</v>
      </c>
    </row>
    <row r="588" spans="1:5" x14ac:dyDescent="0.2">
      <c r="A588" s="135">
        <v>38603</v>
      </c>
      <c r="B588" s="1926" t="s">
        <v>10190</v>
      </c>
      <c r="C588" s="1926" t="s">
        <v>39</v>
      </c>
      <c r="D588" s="1926" t="s">
        <v>40</v>
      </c>
      <c r="E588" s="1662">
        <v>1.57</v>
      </c>
    </row>
    <row r="589" spans="1:5" x14ac:dyDescent="0.2">
      <c r="A589" s="135">
        <v>34588</v>
      </c>
      <c r="B589" s="1926" t="s">
        <v>10191</v>
      </c>
      <c r="C589" s="1926" t="s">
        <v>39</v>
      </c>
      <c r="D589" s="1926" t="s">
        <v>40</v>
      </c>
      <c r="E589" s="1662">
        <v>1.75</v>
      </c>
    </row>
    <row r="590" spans="1:5" x14ac:dyDescent="0.2">
      <c r="A590" s="135">
        <v>34590</v>
      </c>
      <c r="B590" s="1926" t="s">
        <v>10192</v>
      </c>
      <c r="C590" s="1926" t="s">
        <v>39</v>
      </c>
      <c r="D590" s="1926" t="s">
        <v>40</v>
      </c>
      <c r="E590" s="1662">
        <v>1.89</v>
      </c>
    </row>
    <row r="591" spans="1:5" x14ac:dyDescent="0.2">
      <c r="A591" s="135">
        <v>34591</v>
      </c>
      <c r="B591" s="1926" t="s">
        <v>10193</v>
      </c>
      <c r="C591" s="1926" t="s">
        <v>39</v>
      </c>
      <c r="D591" s="1926" t="s">
        <v>40</v>
      </c>
      <c r="E591" s="1662">
        <v>2.36</v>
      </c>
    </row>
    <row r="592" spans="1:5" x14ac:dyDescent="0.2">
      <c r="A592" s="135">
        <v>37103</v>
      </c>
      <c r="B592" s="1926" t="s">
        <v>10194</v>
      </c>
      <c r="C592" s="1926" t="s">
        <v>39</v>
      </c>
      <c r="D592" s="1926" t="s">
        <v>40</v>
      </c>
      <c r="E592" s="1662">
        <v>2.06</v>
      </c>
    </row>
    <row r="593" spans="1:5" x14ac:dyDescent="0.2">
      <c r="A593" s="135">
        <v>34555</v>
      </c>
      <c r="B593" s="1926" t="s">
        <v>10195</v>
      </c>
      <c r="C593" s="1926" t="s">
        <v>39</v>
      </c>
      <c r="D593" s="1926" t="s">
        <v>40</v>
      </c>
      <c r="E593" s="1662">
        <v>2.58</v>
      </c>
    </row>
    <row r="594" spans="1:5" x14ac:dyDescent="0.2">
      <c r="A594" s="135">
        <v>34599</v>
      </c>
      <c r="B594" s="1926" t="s">
        <v>10196</v>
      </c>
      <c r="C594" s="1926" t="s">
        <v>39</v>
      </c>
      <c r="D594" s="1926" t="s">
        <v>40</v>
      </c>
      <c r="E594" s="1662">
        <v>1.85</v>
      </c>
    </row>
    <row r="595" spans="1:5" x14ac:dyDescent="0.2">
      <c r="A595" s="135">
        <v>674</v>
      </c>
      <c r="B595" s="1926" t="s">
        <v>10197</v>
      </c>
      <c r="C595" s="1926" t="s">
        <v>45</v>
      </c>
      <c r="D595" s="1926" t="s">
        <v>46</v>
      </c>
      <c r="E595" s="1662">
        <v>47.86</v>
      </c>
    </row>
    <row r="596" spans="1:5" x14ac:dyDescent="0.2">
      <c r="A596" s="135">
        <v>34600</v>
      </c>
      <c r="B596" s="1926" t="s">
        <v>10198</v>
      </c>
      <c r="C596" s="1926" t="s">
        <v>45</v>
      </c>
      <c r="D596" s="1926" t="s">
        <v>46</v>
      </c>
      <c r="E596" s="1662">
        <v>77.77</v>
      </c>
    </row>
    <row r="597" spans="1:5" x14ac:dyDescent="0.2">
      <c r="A597" s="135">
        <v>652</v>
      </c>
      <c r="B597" s="1926" t="s">
        <v>10199</v>
      </c>
      <c r="C597" s="1926" t="s">
        <v>45</v>
      </c>
      <c r="D597" s="1926" t="s">
        <v>46</v>
      </c>
      <c r="E597" s="1662">
        <v>99.05</v>
      </c>
    </row>
    <row r="598" spans="1:5" x14ac:dyDescent="0.2">
      <c r="A598" s="135">
        <v>34592</v>
      </c>
      <c r="B598" s="1926" t="s">
        <v>10200</v>
      </c>
      <c r="C598" s="1926" t="s">
        <v>39</v>
      </c>
      <c r="D598" s="1926" t="s">
        <v>40</v>
      </c>
      <c r="E598" s="1662">
        <v>1.76</v>
      </c>
    </row>
    <row r="599" spans="1:5" x14ac:dyDescent="0.2">
      <c r="A599" s="135">
        <v>651</v>
      </c>
      <c r="B599" s="1926" t="s">
        <v>10201</v>
      </c>
      <c r="C599" s="1926" t="s">
        <v>39</v>
      </c>
      <c r="D599" s="1926" t="s">
        <v>40</v>
      </c>
      <c r="E599" s="1662">
        <v>2.0099999999999998</v>
      </c>
    </row>
    <row r="600" spans="1:5" x14ac:dyDescent="0.2">
      <c r="A600" s="135">
        <v>654</v>
      </c>
      <c r="B600" s="1926" t="s">
        <v>10202</v>
      </c>
      <c r="C600" s="1926" t="s">
        <v>39</v>
      </c>
      <c r="D600" s="1926" t="s">
        <v>40</v>
      </c>
      <c r="E600" s="1662">
        <v>2.59</v>
      </c>
    </row>
    <row r="601" spans="1:5" x14ac:dyDescent="0.2">
      <c r="A601" s="135">
        <v>650</v>
      </c>
      <c r="B601" s="1926" t="s">
        <v>10203</v>
      </c>
      <c r="C601" s="1926" t="s">
        <v>39</v>
      </c>
      <c r="D601" s="1926" t="s">
        <v>43</v>
      </c>
      <c r="E601" s="1662">
        <v>1.71</v>
      </c>
    </row>
    <row r="602" spans="1:5" x14ac:dyDescent="0.2">
      <c r="A602" s="135">
        <v>40517</v>
      </c>
      <c r="B602" s="1926" t="s">
        <v>10204</v>
      </c>
      <c r="C602" s="1926" t="s">
        <v>45</v>
      </c>
      <c r="D602" s="1926" t="s">
        <v>40</v>
      </c>
      <c r="E602" s="1662">
        <v>47.38</v>
      </c>
    </row>
    <row r="603" spans="1:5" x14ac:dyDescent="0.2">
      <c r="A603" s="135">
        <v>40520</v>
      </c>
      <c r="B603" s="1926" t="s">
        <v>10205</v>
      </c>
      <c r="C603" s="1926" t="s">
        <v>45</v>
      </c>
      <c r="D603" s="1926" t="s">
        <v>40</v>
      </c>
      <c r="E603" s="1662">
        <v>49.63</v>
      </c>
    </row>
    <row r="604" spans="1:5" x14ac:dyDescent="0.2">
      <c r="A604" s="135">
        <v>40515</v>
      </c>
      <c r="B604" s="1926" t="s">
        <v>10206</v>
      </c>
      <c r="C604" s="1926" t="s">
        <v>45</v>
      </c>
      <c r="D604" s="1926" t="s">
        <v>40</v>
      </c>
      <c r="E604" s="1662">
        <v>59.92</v>
      </c>
    </row>
    <row r="605" spans="1:5" x14ac:dyDescent="0.2">
      <c r="A605" s="135">
        <v>40516</v>
      </c>
      <c r="B605" s="1926" t="s">
        <v>10207</v>
      </c>
      <c r="C605" s="1926" t="s">
        <v>45</v>
      </c>
      <c r="D605" s="1926" t="s">
        <v>40</v>
      </c>
      <c r="E605" s="1662">
        <v>71.36</v>
      </c>
    </row>
    <row r="606" spans="1:5" x14ac:dyDescent="0.2">
      <c r="A606" s="135">
        <v>40529</v>
      </c>
      <c r="B606" s="1926" t="s">
        <v>10208</v>
      </c>
      <c r="C606" s="1926" t="s">
        <v>45</v>
      </c>
      <c r="D606" s="1926" t="s">
        <v>40</v>
      </c>
      <c r="E606" s="1662">
        <v>55.72</v>
      </c>
    </row>
    <row r="607" spans="1:5" x14ac:dyDescent="0.2">
      <c r="A607" s="135">
        <v>36170</v>
      </c>
      <c r="B607" s="1926" t="s">
        <v>10209</v>
      </c>
      <c r="C607" s="1926" t="s">
        <v>45</v>
      </c>
      <c r="D607" s="1926" t="s">
        <v>43</v>
      </c>
      <c r="E607" s="1662">
        <v>41.74</v>
      </c>
    </row>
    <row r="608" spans="1:5" x14ac:dyDescent="0.2">
      <c r="A608" s="135">
        <v>40524</v>
      </c>
      <c r="B608" s="1926" t="s">
        <v>10210</v>
      </c>
      <c r="C608" s="1926" t="s">
        <v>45</v>
      </c>
      <c r="D608" s="1926" t="s">
        <v>40</v>
      </c>
      <c r="E608" s="1662">
        <v>50.76</v>
      </c>
    </row>
    <row r="609" spans="1:5" x14ac:dyDescent="0.2">
      <c r="A609" s="135">
        <v>36156</v>
      </c>
      <c r="B609" s="1926" t="s">
        <v>10211</v>
      </c>
      <c r="C609" s="1926" t="s">
        <v>45</v>
      </c>
      <c r="D609" s="1926" t="s">
        <v>40</v>
      </c>
      <c r="E609" s="1662">
        <v>43.99</v>
      </c>
    </row>
    <row r="610" spans="1:5" x14ac:dyDescent="0.2">
      <c r="A610" s="135">
        <v>36155</v>
      </c>
      <c r="B610" s="1926" t="s">
        <v>10212</v>
      </c>
      <c r="C610" s="1926" t="s">
        <v>45</v>
      </c>
      <c r="D610" s="1926" t="s">
        <v>40</v>
      </c>
      <c r="E610" s="1662">
        <v>38.97</v>
      </c>
    </row>
    <row r="611" spans="1:5" x14ac:dyDescent="0.2">
      <c r="A611" s="135">
        <v>36154</v>
      </c>
      <c r="B611" s="1926" t="s">
        <v>10213</v>
      </c>
      <c r="C611" s="1926" t="s">
        <v>45</v>
      </c>
      <c r="D611" s="1926" t="s">
        <v>40</v>
      </c>
      <c r="E611" s="1662">
        <v>51.78</v>
      </c>
    </row>
    <row r="612" spans="1:5" x14ac:dyDescent="0.2">
      <c r="A612" s="135">
        <v>695</v>
      </c>
      <c r="B612" s="1926" t="s">
        <v>10214</v>
      </c>
      <c r="C612" s="1926" t="s">
        <v>45</v>
      </c>
      <c r="D612" s="1926" t="s">
        <v>40</v>
      </c>
      <c r="E612" s="1662">
        <v>38.270000000000003</v>
      </c>
    </row>
    <row r="613" spans="1:5" x14ac:dyDescent="0.2">
      <c r="A613" s="135">
        <v>679</v>
      </c>
      <c r="B613" s="1926" t="s">
        <v>10215</v>
      </c>
      <c r="C613" s="1926" t="s">
        <v>45</v>
      </c>
      <c r="D613" s="1926" t="s">
        <v>40</v>
      </c>
      <c r="E613" s="1662">
        <v>52.45</v>
      </c>
    </row>
    <row r="614" spans="1:5" x14ac:dyDescent="0.2">
      <c r="A614" s="135">
        <v>711</v>
      </c>
      <c r="B614" s="1926" t="s">
        <v>10216</v>
      </c>
      <c r="C614" s="1926" t="s">
        <v>45</v>
      </c>
      <c r="D614" s="1926" t="s">
        <v>40</v>
      </c>
      <c r="E614" s="1662">
        <v>40.04</v>
      </c>
    </row>
    <row r="615" spans="1:5" x14ac:dyDescent="0.2">
      <c r="A615" s="135">
        <v>712</v>
      </c>
      <c r="B615" s="1926" t="s">
        <v>10217</v>
      </c>
      <c r="C615" s="1926" t="s">
        <v>45</v>
      </c>
      <c r="D615" s="1926" t="s">
        <v>40</v>
      </c>
      <c r="E615" s="1662">
        <v>41.74</v>
      </c>
    </row>
    <row r="616" spans="1:5" x14ac:dyDescent="0.2">
      <c r="A616" s="135">
        <v>12614</v>
      </c>
      <c r="B616" s="1926" t="s">
        <v>10218</v>
      </c>
      <c r="C616" s="1926" t="s">
        <v>39</v>
      </c>
      <c r="D616" s="1926" t="s">
        <v>46</v>
      </c>
      <c r="E616" s="1662">
        <v>14.23</v>
      </c>
    </row>
    <row r="617" spans="1:5" x14ac:dyDescent="0.2">
      <c r="A617" s="135">
        <v>6140</v>
      </c>
      <c r="B617" s="1926" t="s">
        <v>10219</v>
      </c>
      <c r="C617" s="1926" t="s">
        <v>39</v>
      </c>
      <c r="D617" s="1926" t="s">
        <v>40</v>
      </c>
      <c r="E617" s="1662">
        <v>2.41</v>
      </c>
    </row>
    <row r="618" spans="1:5" x14ac:dyDescent="0.2">
      <c r="A618" s="135">
        <v>38399</v>
      </c>
      <c r="B618" s="1926" t="s">
        <v>10220</v>
      </c>
      <c r="C618" s="1926" t="s">
        <v>39</v>
      </c>
      <c r="D618" s="1926" t="s">
        <v>40</v>
      </c>
      <c r="E618" s="1662">
        <v>168.55</v>
      </c>
    </row>
    <row r="619" spans="1:5" x14ac:dyDescent="0.2">
      <c r="A619" s="135">
        <v>735</v>
      </c>
      <c r="B619" s="1926" t="s">
        <v>10221</v>
      </c>
      <c r="C619" s="1926" t="s">
        <v>39</v>
      </c>
      <c r="D619" s="1926" t="s">
        <v>40</v>
      </c>
      <c r="E619" s="1662">
        <v>1564.31</v>
      </c>
    </row>
    <row r="620" spans="1:5" x14ac:dyDescent="0.2">
      <c r="A620" s="135">
        <v>736</v>
      </c>
      <c r="B620" s="1926" t="s">
        <v>10222</v>
      </c>
      <c r="C620" s="1926" t="s">
        <v>39</v>
      </c>
      <c r="D620" s="1926" t="s">
        <v>40</v>
      </c>
      <c r="E620" s="1662">
        <v>1315.3</v>
      </c>
    </row>
    <row r="621" spans="1:5" x14ac:dyDescent="0.2">
      <c r="A621" s="135">
        <v>729</v>
      </c>
      <c r="B621" s="1926" t="s">
        <v>10223</v>
      </c>
      <c r="C621" s="1926" t="s">
        <v>39</v>
      </c>
      <c r="D621" s="1926" t="s">
        <v>43</v>
      </c>
      <c r="E621" s="1662">
        <v>536</v>
      </c>
    </row>
    <row r="622" spans="1:5" x14ac:dyDescent="0.2">
      <c r="A622" s="135">
        <v>39925</v>
      </c>
      <c r="B622" s="1926" t="s">
        <v>10224</v>
      </c>
      <c r="C622" s="1926" t="s">
        <v>39</v>
      </c>
      <c r="D622" s="1926" t="s">
        <v>40</v>
      </c>
      <c r="E622" s="1662">
        <v>7745.15</v>
      </c>
    </row>
    <row r="623" spans="1:5" x14ac:dyDescent="0.2">
      <c r="A623" s="135">
        <v>731</v>
      </c>
      <c r="B623" s="1926" t="s">
        <v>10225</v>
      </c>
      <c r="C623" s="1926" t="s">
        <v>39</v>
      </c>
      <c r="D623" s="1926" t="s">
        <v>40</v>
      </c>
      <c r="E623" s="1662">
        <v>521.66</v>
      </c>
    </row>
    <row r="624" spans="1:5" x14ac:dyDescent="0.2">
      <c r="A624" s="135">
        <v>10575</v>
      </c>
      <c r="B624" s="1926" t="s">
        <v>10226</v>
      </c>
      <c r="C624" s="1926" t="s">
        <v>39</v>
      </c>
      <c r="D624" s="1926" t="s">
        <v>40</v>
      </c>
      <c r="E624" s="1662">
        <v>814.09</v>
      </c>
    </row>
    <row r="625" spans="1:5" x14ac:dyDescent="0.2">
      <c r="A625" s="135">
        <v>733</v>
      </c>
      <c r="B625" s="1926" t="s">
        <v>10227</v>
      </c>
      <c r="C625" s="1926" t="s">
        <v>39</v>
      </c>
      <c r="D625" s="1926" t="s">
        <v>40</v>
      </c>
      <c r="E625" s="1662">
        <v>891.33</v>
      </c>
    </row>
    <row r="626" spans="1:5" x14ac:dyDescent="0.2">
      <c r="A626" s="135">
        <v>732</v>
      </c>
      <c r="B626" s="1926" t="s">
        <v>10228</v>
      </c>
      <c r="C626" s="1926" t="s">
        <v>39</v>
      </c>
      <c r="D626" s="1926" t="s">
        <v>40</v>
      </c>
      <c r="E626" s="1662">
        <v>879.34</v>
      </c>
    </row>
    <row r="627" spans="1:5" x14ac:dyDescent="0.2">
      <c r="A627" s="135">
        <v>737</v>
      </c>
      <c r="B627" s="1926" t="s">
        <v>10229</v>
      </c>
      <c r="C627" s="1926" t="s">
        <v>39</v>
      </c>
      <c r="D627" s="1926" t="s">
        <v>40</v>
      </c>
      <c r="E627" s="1662">
        <v>4931.1099999999997</v>
      </c>
    </row>
    <row r="628" spans="1:5" x14ac:dyDescent="0.2">
      <c r="A628" s="135">
        <v>738</v>
      </c>
      <c r="B628" s="1926" t="s">
        <v>10230</v>
      </c>
      <c r="C628" s="1926" t="s">
        <v>39</v>
      </c>
      <c r="D628" s="1926" t="s">
        <v>40</v>
      </c>
      <c r="E628" s="1662">
        <v>2286.52</v>
      </c>
    </row>
    <row r="629" spans="1:5" x14ac:dyDescent="0.2">
      <c r="A629" s="135">
        <v>740</v>
      </c>
      <c r="B629" s="1926" t="s">
        <v>10231</v>
      </c>
      <c r="C629" s="1926" t="s">
        <v>39</v>
      </c>
      <c r="D629" s="1926" t="s">
        <v>40</v>
      </c>
      <c r="E629" s="1662">
        <v>4638.88</v>
      </c>
    </row>
    <row r="630" spans="1:5" x14ac:dyDescent="0.2">
      <c r="A630" s="135">
        <v>734</v>
      </c>
      <c r="B630" s="1926" t="s">
        <v>10232</v>
      </c>
      <c r="C630" s="1926" t="s">
        <v>39</v>
      </c>
      <c r="D630" s="1926" t="s">
        <v>40</v>
      </c>
      <c r="E630" s="1662">
        <v>942.65</v>
      </c>
    </row>
    <row r="631" spans="1:5" x14ac:dyDescent="0.2">
      <c r="A631" s="135">
        <v>39008</v>
      </c>
      <c r="B631" s="1926" t="s">
        <v>10233</v>
      </c>
      <c r="C631" s="1926" t="s">
        <v>39</v>
      </c>
      <c r="D631" s="1926" t="s">
        <v>40</v>
      </c>
      <c r="E631" s="1662">
        <v>46323.16</v>
      </c>
    </row>
    <row r="632" spans="1:5" x14ac:dyDescent="0.2">
      <c r="A632" s="135">
        <v>39009</v>
      </c>
      <c r="B632" s="1926" t="s">
        <v>10234</v>
      </c>
      <c r="C632" s="1926" t="s">
        <v>39</v>
      </c>
      <c r="D632" s="1926" t="s">
        <v>40</v>
      </c>
      <c r="E632" s="1662">
        <v>49629.52</v>
      </c>
    </row>
    <row r="633" spans="1:5" x14ac:dyDescent="0.2">
      <c r="A633" s="135">
        <v>10587</v>
      </c>
      <c r="B633" s="1926" t="s">
        <v>10235</v>
      </c>
      <c r="C633" s="1926" t="s">
        <v>39</v>
      </c>
      <c r="D633" s="1926" t="s">
        <v>40</v>
      </c>
      <c r="E633" s="1662">
        <v>2867.81</v>
      </c>
    </row>
    <row r="634" spans="1:5" x14ac:dyDescent="0.2">
      <c r="A634" s="135">
        <v>759</v>
      </c>
      <c r="B634" s="1926" t="s">
        <v>10236</v>
      </c>
      <c r="C634" s="1926" t="s">
        <v>39</v>
      </c>
      <c r="D634" s="1926" t="s">
        <v>40</v>
      </c>
      <c r="E634" s="1662">
        <v>4123.34</v>
      </c>
    </row>
    <row r="635" spans="1:5" x14ac:dyDescent="0.2">
      <c r="A635" s="135">
        <v>761</v>
      </c>
      <c r="B635" s="1926" t="s">
        <v>10237</v>
      </c>
      <c r="C635" s="1926" t="s">
        <v>39</v>
      </c>
      <c r="D635" s="1926" t="s">
        <v>40</v>
      </c>
      <c r="E635" s="1662">
        <v>6989.41</v>
      </c>
    </row>
    <row r="636" spans="1:5" x14ac:dyDescent="0.2">
      <c r="A636" s="135">
        <v>750</v>
      </c>
      <c r="B636" s="1926" t="s">
        <v>10238</v>
      </c>
      <c r="C636" s="1926" t="s">
        <v>39</v>
      </c>
      <c r="D636" s="1926" t="s">
        <v>40</v>
      </c>
      <c r="E636" s="1662">
        <v>6635.88</v>
      </c>
    </row>
    <row r="637" spans="1:5" x14ac:dyDescent="0.2">
      <c r="A637" s="135">
        <v>755</v>
      </c>
      <c r="B637" s="1926" t="s">
        <v>10239</v>
      </c>
      <c r="C637" s="1926" t="s">
        <v>39</v>
      </c>
      <c r="D637" s="1926" t="s">
        <v>40</v>
      </c>
      <c r="E637" s="1662">
        <v>27230.46</v>
      </c>
    </row>
    <row r="638" spans="1:5" x14ac:dyDescent="0.2">
      <c r="A638" s="135">
        <v>749</v>
      </c>
      <c r="B638" s="1926" t="s">
        <v>10240</v>
      </c>
      <c r="C638" s="1926" t="s">
        <v>39</v>
      </c>
      <c r="D638" s="1926" t="s">
        <v>40</v>
      </c>
      <c r="E638" s="1662">
        <v>10014.86</v>
      </c>
    </row>
    <row r="639" spans="1:5" x14ac:dyDescent="0.2">
      <c r="A639" s="135">
        <v>756</v>
      </c>
      <c r="B639" s="1926" t="s">
        <v>10241</v>
      </c>
      <c r="C639" s="1926" t="s">
        <v>39</v>
      </c>
      <c r="D639" s="1926" t="s">
        <v>40</v>
      </c>
      <c r="E639" s="1662">
        <v>29698.46</v>
      </c>
    </row>
    <row r="640" spans="1:5" x14ac:dyDescent="0.2">
      <c r="A640" s="135">
        <v>757</v>
      </c>
      <c r="B640" s="1926" t="s">
        <v>10242</v>
      </c>
      <c r="C640" s="1926" t="s">
        <v>39</v>
      </c>
      <c r="D640" s="1926" t="s">
        <v>40</v>
      </c>
      <c r="E640" s="1662">
        <v>13485</v>
      </c>
    </row>
    <row r="641" spans="1:5" x14ac:dyDescent="0.2">
      <c r="A641" s="135">
        <v>10588</v>
      </c>
      <c r="B641" s="1926" t="s">
        <v>10243</v>
      </c>
      <c r="C641" s="1926" t="s">
        <v>39</v>
      </c>
      <c r="D641" s="1926" t="s">
        <v>40</v>
      </c>
      <c r="E641" s="1662">
        <v>2977.15</v>
      </c>
    </row>
    <row r="642" spans="1:5" x14ac:dyDescent="0.2">
      <c r="A642" s="135">
        <v>10592</v>
      </c>
      <c r="B642" s="1926" t="s">
        <v>10244</v>
      </c>
      <c r="C642" s="1926" t="s">
        <v>39</v>
      </c>
      <c r="D642" s="1926" t="s">
        <v>43</v>
      </c>
      <c r="E642" s="1662">
        <v>3596</v>
      </c>
    </row>
    <row r="643" spans="1:5" x14ac:dyDescent="0.2">
      <c r="A643" s="135">
        <v>10589</v>
      </c>
      <c r="B643" s="1926" t="s">
        <v>10245</v>
      </c>
      <c r="C643" s="1926" t="s">
        <v>39</v>
      </c>
      <c r="D643" s="1926" t="s">
        <v>40</v>
      </c>
      <c r="E643" s="1662">
        <v>4831</v>
      </c>
    </row>
    <row r="644" spans="1:5" x14ac:dyDescent="0.2">
      <c r="A644" s="135">
        <v>760</v>
      </c>
      <c r="B644" s="1926" t="s">
        <v>10246</v>
      </c>
      <c r="C644" s="1926" t="s">
        <v>39</v>
      </c>
      <c r="D644" s="1926" t="s">
        <v>40</v>
      </c>
      <c r="E644" s="1662">
        <v>26970</v>
      </c>
    </row>
    <row r="645" spans="1:5" x14ac:dyDescent="0.2">
      <c r="A645" s="135">
        <v>751</v>
      </c>
      <c r="B645" s="1926" t="s">
        <v>10247</v>
      </c>
      <c r="C645" s="1926" t="s">
        <v>39</v>
      </c>
      <c r="D645" s="1926" t="s">
        <v>40</v>
      </c>
      <c r="E645" s="1662">
        <v>4247.7700000000004</v>
      </c>
    </row>
    <row r="646" spans="1:5" x14ac:dyDescent="0.2">
      <c r="A646" s="135">
        <v>754</v>
      </c>
      <c r="B646" s="1926" t="s">
        <v>10248</v>
      </c>
      <c r="C646" s="1926" t="s">
        <v>39</v>
      </c>
      <c r="D646" s="1926" t="s">
        <v>40</v>
      </c>
      <c r="E646" s="1662">
        <v>6742.5</v>
      </c>
    </row>
    <row r="647" spans="1:5" x14ac:dyDescent="0.2">
      <c r="A647" s="135">
        <v>14013</v>
      </c>
      <c r="B647" s="1926" t="s">
        <v>10249</v>
      </c>
      <c r="C647" s="1926" t="s">
        <v>39</v>
      </c>
      <c r="D647" s="1926" t="s">
        <v>40</v>
      </c>
      <c r="E647" s="1662">
        <v>133249.35999999999</v>
      </c>
    </row>
    <row r="648" spans="1:5" x14ac:dyDescent="0.2">
      <c r="A648" s="135">
        <v>39917</v>
      </c>
      <c r="B648" s="1926" t="s">
        <v>10250</v>
      </c>
      <c r="C648" s="1926" t="s">
        <v>39</v>
      </c>
      <c r="D648" s="1926" t="s">
        <v>40</v>
      </c>
      <c r="E648" s="1662">
        <v>71155.710000000006</v>
      </c>
    </row>
    <row r="649" spans="1:5" x14ac:dyDescent="0.2">
      <c r="A649" s="135">
        <v>5081</v>
      </c>
      <c r="B649" s="1926" t="s">
        <v>10251</v>
      </c>
      <c r="C649" s="1926" t="s">
        <v>41</v>
      </c>
      <c r="D649" s="1926" t="s">
        <v>40</v>
      </c>
      <c r="E649" s="1662">
        <v>18.350000000000001</v>
      </c>
    </row>
    <row r="650" spans="1:5" x14ac:dyDescent="0.2">
      <c r="A650" s="135">
        <v>38167</v>
      </c>
      <c r="B650" s="1926" t="s">
        <v>10252</v>
      </c>
      <c r="C650" s="1926" t="s">
        <v>41</v>
      </c>
      <c r="D650" s="1926" t="s">
        <v>40</v>
      </c>
      <c r="E650" s="1662">
        <v>15.82</v>
      </c>
    </row>
    <row r="651" spans="1:5" x14ac:dyDescent="0.2">
      <c r="A651" s="135">
        <v>36145</v>
      </c>
      <c r="B651" s="1926" t="s">
        <v>10253</v>
      </c>
      <c r="C651" s="1926" t="s">
        <v>41</v>
      </c>
      <c r="D651" s="1926" t="s">
        <v>40</v>
      </c>
      <c r="E651" s="1662">
        <v>33.35</v>
      </c>
    </row>
    <row r="652" spans="1:5" x14ac:dyDescent="0.2">
      <c r="A652" s="135">
        <v>12893</v>
      </c>
      <c r="B652" s="1926" t="s">
        <v>10254</v>
      </c>
      <c r="C652" s="1926" t="s">
        <v>41</v>
      </c>
      <c r="D652" s="1926" t="s">
        <v>40</v>
      </c>
      <c r="E652" s="1662">
        <v>55.58</v>
      </c>
    </row>
    <row r="653" spans="1:5" x14ac:dyDescent="0.2">
      <c r="A653" s="135">
        <v>11685</v>
      </c>
      <c r="B653" s="1926" t="s">
        <v>10255</v>
      </c>
      <c r="C653" s="1926" t="s">
        <v>39</v>
      </c>
      <c r="D653" s="1926" t="s">
        <v>40</v>
      </c>
      <c r="E653" s="1662">
        <v>18.059999999999999</v>
      </c>
    </row>
    <row r="654" spans="1:5" x14ac:dyDescent="0.2">
      <c r="A654" s="135">
        <v>11679</v>
      </c>
      <c r="B654" s="1926" t="s">
        <v>10256</v>
      </c>
      <c r="C654" s="1926" t="s">
        <v>39</v>
      </c>
      <c r="D654" s="1926" t="s">
        <v>40</v>
      </c>
      <c r="E654" s="1662">
        <v>6.77</v>
      </c>
    </row>
    <row r="655" spans="1:5" x14ac:dyDescent="0.2">
      <c r="A655" s="135">
        <v>11680</v>
      </c>
      <c r="B655" s="1926" t="s">
        <v>10257</v>
      </c>
      <c r="C655" s="1926" t="s">
        <v>39</v>
      </c>
      <c r="D655" s="1926" t="s">
        <v>40</v>
      </c>
      <c r="E655" s="1662">
        <v>5.58</v>
      </c>
    </row>
    <row r="656" spans="1:5" x14ac:dyDescent="0.2">
      <c r="A656" s="135">
        <v>2512</v>
      </c>
      <c r="B656" s="1926" t="s">
        <v>10258</v>
      </c>
      <c r="C656" s="1926" t="s">
        <v>39</v>
      </c>
      <c r="D656" s="1926" t="s">
        <v>46</v>
      </c>
      <c r="E656" s="1662">
        <v>18.88</v>
      </c>
    </row>
    <row r="657" spans="1:5" x14ac:dyDescent="0.2">
      <c r="A657" s="135">
        <v>4374</v>
      </c>
      <c r="B657" s="1926" t="s">
        <v>10259</v>
      </c>
      <c r="C657" s="1926" t="s">
        <v>39</v>
      </c>
      <c r="D657" s="1926" t="s">
        <v>40</v>
      </c>
      <c r="E657" s="1662">
        <v>0.37</v>
      </c>
    </row>
    <row r="658" spans="1:5" x14ac:dyDescent="0.2">
      <c r="A658" s="135">
        <v>7568</v>
      </c>
      <c r="B658" s="1926" t="s">
        <v>10260</v>
      </c>
      <c r="C658" s="1926" t="s">
        <v>39</v>
      </c>
      <c r="D658" s="1926" t="s">
        <v>40</v>
      </c>
      <c r="E658" s="1662">
        <v>0.61</v>
      </c>
    </row>
    <row r="659" spans="1:5" x14ac:dyDescent="0.2">
      <c r="A659" s="135">
        <v>7584</v>
      </c>
      <c r="B659" s="1926" t="s">
        <v>10261</v>
      </c>
      <c r="C659" s="1926" t="s">
        <v>39</v>
      </c>
      <c r="D659" s="1926" t="s">
        <v>40</v>
      </c>
      <c r="E659" s="1662">
        <v>0.93</v>
      </c>
    </row>
    <row r="660" spans="1:5" x14ac:dyDescent="0.2">
      <c r="A660" s="135">
        <v>11945</v>
      </c>
      <c r="B660" s="1926" t="s">
        <v>10262</v>
      </c>
      <c r="C660" s="1926" t="s">
        <v>39</v>
      </c>
      <c r="D660" s="1926" t="s">
        <v>40</v>
      </c>
      <c r="E660" s="1662">
        <v>0.06</v>
      </c>
    </row>
    <row r="661" spans="1:5" x14ac:dyDescent="0.2">
      <c r="A661" s="135">
        <v>11946</v>
      </c>
      <c r="B661" s="1926" t="s">
        <v>10263</v>
      </c>
      <c r="C661" s="1926" t="s">
        <v>39</v>
      </c>
      <c r="D661" s="1926" t="s">
        <v>40</v>
      </c>
      <c r="E661" s="1662">
        <v>0.06</v>
      </c>
    </row>
    <row r="662" spans="1:5" x14ac:dyDescent="0.2">
      <c r="A662" s="135">
        <v>4375</v>
      </c>
      <c r="B662" s="1926" t="s">
        <v>10264</v>
      </c>
      <c r="C662" s="1926" t="s">
        <v>39</v>
      </c>
      <c r="D662" s="1926" t="s">
        <v>43</v>
      </c>
      <c r="E662" s="1662">
        <v>0.1</v>
      </c>
    </row>
    <row r="663" spans="1:5" x14ac:dyDescent="0.2">
      <c r="A663" s="135">
        <v>11950</v>
      </c>
      <c r="B663" s="1926" t="s">
        <v>10265</v>
      </c>
      <c r="C663" s="1926" t="s">
        <v>39</v>
      </c>
      <c r="D663" s="1926" t="s">
        <v>40</v>
      </c>
      <c r="E663" s="1662">
        <v>0.2</v>
      </c>
    </row>
    <row r="664" spans="1:5" x14ac:dyDescent="0.2">
      <c r="A664" s="135">
        <v>4376</v>
      </c>
      <c r="B664" s="1926" t="s">
        <v>10266</v>
      </c>
      <c r="C664" s="1926" t="s">
        <v>39</v>
      </c>
      <c r="D664" s="1926" t="s">
        <v>40</v>
      </c>
      <c r="E664" s="1662">
        <v>0.19</v>
      </c>
    </row>
    <row r="665" spans="1:5" x14ac:dyDescent="0.2">
      <c r="A665" s="135">
        <v>7583</v>
      </c>
      <c r="B665" s="1926" t="s">
        <v>10267</v>
      </c>
      <c r="C665" s="1926" t="s">
        <v>39</v>
      </c>
      <c r="D665" s="1926" t="s">
        <v>40</v>
      </c>
      <c r="E665" s="1662">
        <v>0.41</v>
      </c>
    </row>
    <row r="666" spans="1:5" x14ac:dyDescent="0.2">
      <c r="A666" s="135">
        <v>4350</v>
      </c>
      <c r="B666" s="1926" t="s">
        <v>10268</v>
      </c>
      <c r="C666" s="1926" t="s">
        <v>39</v>
      </c>
      <c r="D666" s="1926" t="s">
        <v>40</v>
      </c>
      <c r="E666" s="1662">
        <v>0.47</v>
      </c>
    </row>
    <row r="667" spans="1:5" x14ac:dyDescent="0.2">
      <c r="A667" s="135">
        <v>39886</v>
      </c>
      <c r="B667" s="1926" t="s">
        <v>10269</v>
      </c>
      <c r="C667" s="1926" t="s">
        <v>39</v>
      </c>
      <c r="D667" s="1926" t="s">
        <v>46</v>
      </c>
      <c r="E667" s="1662">
        <v>3.74</v>
      </c>
    </row>
    <row r="668" spans="1:5" x14ac:dyDescent="0.2">
      <c r="A668" s="135">
        <v>39887</v>
      </c>
      <c r="B668" s="1926" t="s">
        <v>10270</v>
      </c>
      <c r="C668" s="1926" t="s">
        <v>39</v>
      </c>
      <c r="D668" s="1926" t="s">
        <v>46</v>
      </c>
      <c r="E668" s="1662">
        <v>5.62</v>
      </c>
    </row>
    <row r="669" spans="1:5" x14ac:dyDescent="0.2">
      <c r="A669" s="135">
        <v>39888</v>
      </c>
      <c r="B669" s="1926" t="s">
        <v>10271</v>
      </c>
      <c r="C669" s="1926" t="s">
        <v>39</v>
      </c>
      <c r="D669" s="1926" t="s">
        <v>46</v>
      </c>
      <c r="E669" s="1662">
        <v>12.85</v>
      </c>
    </row>
    <row r="670" spans="1:5" x14ac:dyDescent="0.2">
      <c r="A670" s="135">
        <v>39890</v>
      </c>
      <c r="B670" s="1926" t="s">
        <v>10272</v>
      </c>
      <c r="C670" s="1926" t="s">
        <v>39</v>
      </c>
      <c r="D670" s="1926" t="s">
        <v>46</v>
      </c>
      <c r="E670" s="1662">
        <v>21.93</v>
      </c>
    </row>
    <row r="671" spans="1:5" x14ac:dyDescent="0.2">
      <c r="A671" s="135">
        <v>39891</v>
      </c>
      <c r="B671" s="1926" t="s">
        <v>10273</v>
      </c>
      <c r="C671" s="1926" t="s">
        <v>39</v>
      </c>
      <c r="D671" s="1926" t="s">
        <v>46</v>
      </c>
      <c r="E671" s="1662">
        <v>30.93</v>
      </c>
    </row>
    <row r="672" spans="1:5" x14ac:dyDescent="0.2">
      <c r="A672" s="135">
        <v>39892</v>
      </c>
      <c r="B672" s="1926" t="s">
        <v>10274</v>
      </c>
      <c r="C672" s="1926" t="s">
        <v>39</v>
      </c>
      <c r="D672" s="1926" t="s">
        <v>46</v>
      </c>
      <c r="E672" s="1662">
        <v>96.41</v>
      </c>
    </row>
    <row r="673" spans="1:5" x14ac:dyDescent="0.2">
      <c r="A673" s="135">
        <v>790</v>
      </c>
      <c r="B673" s="1926" t="s">
        <v>10275</v>
      </c>
      <c r="C673" s="1926" t="s">
        <v>39</v>
      </c>
      <c r="D673" s="1926" t="s">
        <v>40</v>
      </c>
      <c r="E673" s="1662">
        <v>11.5</v>
      </c>
    </row>
    <row r="674" spans="1:5" x14ac:dyDescent="0.2">
      <c r="A674" s="135">
        <v>766</v>
      </c>
      <c r="B674" s="1926" t="s">
        <v>10276</v>
      </c>
      <c r="C674" s="1926" t="s">
        <v>39</v>
      </c>
      <c r="D674" s="1926" t="s">
        <v>40</v>
      </c>
      <c r="E674" s="1662">
        <v>11.5</v>
      </c>
    </row>
    <row r="675" spans="1:5" x14ac:dyDescent="0.2">
      <c r="A675" s="135">
        <v>791</v>
      </c>
      <c r="B675" s="1926" t="s">
        <v>10277</v>
      </c>
      <c r="C675" s="1926" t="s">
        <v>39</v>
      </c>
      <c r="D675" s="1926" t="s">
        <v>40</v>
      </c>
      <c r="E675" s="1662">
        <v>11.5</v>
      </c>
    </row>
    <row r="676" spans="1:5" x14ac:dyDescent="0.2">
      <c r="A676" s="135">
        <v>767</v>
      </c>
      <c r="B676" s="1926" t="s">
        <v>10278</v>
      </c>
      <c r="C676" s="1926" t="s">
        <v>39</v>
      </c>
      <c r="D676" s="1926" t="s">
        <v>40</v>
      </c>
      <c r="E676" s="1662">
        <v>11.5</v>
      </c>
    </row>
    <row r="677" spans="1:5" x14ac:dyDescent="0.2">
      <c r="A677" s="135">
        <v>768</v>
      </c>
      <c r="B677" s="1926" t="s">
        <v>10279</v>
      </c>
      <c r="C677" s="1926" t="s">
        <v>39</v>
      </c>
      <c r="D677" s="1926" t="s">
        <v>40</v>
      </c>
      <c r="E677" s="1662">
        <v>9.0299999999999994</v>
      </c>
    </row>
    <row r="678" spans="1:5" x14ac:dyDescent="0.2">
      <c r="A678" s="135">
        <v>789</v>
      </c>
      <c r="B678" s="1926" t="s">
        <v>10280</v>
      </c>
      <c r="C678" s="1926" t="s">
        <v>39</v>
      </c>
      <c r="D678" s="1926" t="s">
        <v>40</v>
      </c>
      <c r="E678" s="1662">
        <v>8.84</v>
      </c>
    </row>
    <row r="679" spans="1:5" x14ac:dyDescent="0.2">
      <c r="A679" s="135">
        <v>769</v>
      </c>
      <c r="B679" s="1926" t="s">
        <v>10281</v>
      </c>
      <c r="C679" s="1926" t="s">
        <v>39</v>
      </c>
      <c r="D679" s="1926" t="s">
        <v>40</v>
      </c>
      <c r="E679" s="1662">
        <v>9.0299999999999994</v>
      </c>
    </row>
    <row r="680" spans="1:5" x14ac:dyDescent="0.2">
      <c r="A680" s="135">
        <v>770</v>
      </c>
      <c r="B680" s="1926" t="s">
        <v>10282</v>
      </c>
      <c r="C680" s="1926" t="s">
        <v>39</v>
      </c>
      <c r="D680" s="1926" t="s">
        <v>40</v>
      </c>
      <c r="E680" s="1662">
        <v>3.19</v>
      </c>
    </row>
    <row r="681" spans="1:5" x14ac:dyDescent="0.2">
      <c r="A681" s="135">
        <v>12394</v>
      </c>
      <c r="B681" s="1926" t="s">
        <v>10283</v>
      </c>
      <c r="C681" s="1926" t="s">
        <v>39</v>
      </c>
      <c r="D681" s="1926" t="s">
        <v>40</v>
      </c>
      <c r="E681" s="1662">
        <v>3.19</v>
      </c>
    </row>
    <row r="682" spans="1:5" x14ac:dyDescent="0.2">
      <c r="A682" s="135">
        <v>764</v>
      </c>
      <c r="B682" s="1926" t="s">
        <v>10284</v>
      </c>
      <c r="C682" s="1926" t="s">
        <v>39</v>
      </c>
      <c r="D682" s="1926" t="s">
        <v>43</v>
      </c>
      <c r="E682" s="1662">
        <v>5.56</v>
      </c>
    </row>
    <row r="683" spans="1:5" x14ac:dyDescent="0.2">
      <c r="A683" s="135">
        <v>765</v>
      </c>
      <c r="B683" s="1926" t="s">
        <v>10285</v>
      </c>
      <c r="C683" s="1926" t="s">
        <v>39</v>
      </c>
      <c r="D683" s="1926" t="s">
        <v>40</v>
      </c>
      <c r="E683" s="1662">
        <v>5.56</v>
      </c>
    </row>
    <row r="684" spans="1:5" x14ac:dyDescent="0.2">
      <c r="A684" s="135">
        <v>787</v>
      </c>
      <c r="B684" s="1926" t="s">
        <v>10286</v>
      </c>
      <c r="C684" s="1926" t="s">
        <v>39</v>
      </c>
      <c r="D684" s="1926" t="s">
        <v>40</v>
      </c>
      <c r="E684" s="1662">
        <v>24.83</v>
      </c>
    </row>
    <row r="685" spans="1:5" x14ac:dyDescent="0.2">
      <c r="A685" s="135">
        <v>774</v>
      </c>
      <c r="B685" s="1926" t="s">
        <v>10287</v>
      </c>
      <c r="C685" s="1926" t="s">
        <v>39</v>
      </c>
      <c r="D685" s="1926" t="s">
        <v>40</v>
      </c>
      <c r="E685" s="1662">
        <v>24.83</v>
      </c>
    </row>
    <row r="686" spans="1:5" x14ac:dyDescent="0.2">
      <c r="A686" s="135">
        <v>773</v>
      </c>
      <c r="B686" s="1926" t="s">
        <v>10288</v>
      </c>
      <c r="C686" s="1926" t="s">
        <v>39</v>
      </c>
      <c r="D686" s="1926" t="s">
        <v>40</v>
      </c>
      <c r="E686" s="1662">
        <v>24.83</v>
      </c>
    </row>
    <row r="687" spans="1:5" x14ac:dyDescent="0.2">
      <c r="A687" s="135">
        <v>775</v>
      </c>
      <c r="B687" s="1926" t="s">
        <v>10289</v>
      </c>
      <c r="C687" s="1926" t="s">
        <v>39</v>
      </c>
      <c r="D687" s="1926" t="s">
        <v>40</v>
      </c>
      <c r="E687" s="1662">
        <v>24.83</v>
      </c>
    </row>
    <row r="688" spans="1:5" x14ac:dyDescent="0.2">
      <c r="A688" s="135">
        <v>788</v>
      </c>
      <c r="B688" s="1926" t="s">
        <v>10290</v>
      </c>
      <c r="C688" s="1926" t="s">
        <v>39</v>
      </c>
      <c r="D688" s="1926" t="s">
        <v>40</v>
      </c>
      <c r="E688" s="1662">
        <v>15.43</v>
      </c>
    </row>
    <row r="689" spans="1:5" x14ac:dyDescent="0.2">
      <c r="A689" s="135">
        <v>772</v>
      </c>
      <c r="B689" s="1926" t="s">
        <v>10291</v>
      </c>
      <c r="C689" s="1926" t="s">
        <v>39</v>
      </c>
      <c r="D689" s="1926" t="s">
        <v>40</v>
      </c>
      <c r="E689" s="1662">
        <v>15.43</v>
      </c>
    </row>
    <row r="690" spans="1:5" x14ac:dyDescent="0.2">
      <c r="A690" s="135">
        <v>771</v>
      </c>
      <c r="B690" s="1926" t="s">
        <v>10292</v>
      </c>
      <c r="C690" s="1926" t="s">
        <v>39</v>
      </c>
      <c r="D690" s="1926" t="s">
        <v>40</v>
      </c>
      <c r="E690" s="1662">
        <v>15.43</v>
      </c>
    </row>
    <row r="691" spans="1:5" x14ac:dyDescent="0.2">
      <c r="A691" s="135">
        <v>779</v>
      </c>
      <c r="B691" s="1926" t="s">
        <v>10293</v>
      </c>
      <c r="C691" s="1926" t="s">
        <v>39</v>
      </c>
      <c r="D691" s="1926" t="s">
        <v>40</v>
      </c>
      <c r="E691" s="1662">
        <v>3.83</v>
      </c>
    </row>
    <row r="692" spans="1:5" x14ac:dyDescent="0.2">
      <c r="A692" s="135">
        <v>776</v>
      </c>
      <c r="B692" s="1926" t="s">
        <v>10294</v>
      </c>
      <c r="C692" s="1926" t="s">
        <v>39</v>
      </c>
      <c r="D692" s="1926" t="s">
        <v>40</v>
      </c>
      <c r="E692" s="1662">
        <v>36.61</v>
      </c>
    </row>
    <row r="693" spans="1:5" x14ac:dyDescent="0.2">
      <c r="A693" s="135">
        <v>777</v>
      </c>
      <c r="B693" s="1926" t="s">
        <v>10295</v>
      </c>
      <c r="C693" s="1926" t="s">
        <v>39</v>
      </c>
      <c r="D693" s="1926" t="s">
        <v>40</v>
      </c>
      <c r="E693" s="1662">
        <v>35.590000000000003</v>
      </c>
    </row>
    <row r="694" spans="1:5" x14ac:dyDescent="0.2">
      <c r="A694" s="135">
        <v>780</v>
      </c>
      <c r="B694" s="1926" t="s">
        <v>10296</v>
      </c>
      <c r="C694" s="1926" t="s">
        <v>39</v>
      </c>
      <c r="D694" s="1926" t="s">
        <v>40</v>
      </c>
      <c r="E694" s="1662">
        <v>35.770000000000003</v>
      </c>
    </row>
    <row r="695" spans="1:5" x14ac:dyDescent="0.2">
      <c r="A695" s="135">
        <v>778</v>
      </c>
      <c r="B695" s="1926" t="s">
        <v>10297</v>
      </c>
      <c r="C695" s="1926" t="s">
        <v>39</v>
      </c>
      <c r="D695" s="1926" t="s">
        <v>40</v>
      </c>
      <c r="E695" s="1662">
        <v>36.61</v>
      </c>
    </row>
    <row r="696" spans="1:5" x14ac:dyDescent="0.2">
      <c r="A696" s="135">
        <v>781</v>
      </c>
      <c r="B696" s="1926" t="s">
        <v>10298</v>
      </c>
      <c r="C696" s="1926" t="s">
        <v>39</v>
      </c>
      <c r="D696" s="1926" t="s">
        <v>40</v>
      </c>
      <c r="E696" s="1662">
        <v>67.64</v>
      </c>
    </row>
    <row r="697" spans="1:5" x14ac:dyDescent="0.2">
      <c r="A697" s="135">
        <v>786</v>
      </c>
      <c r="B697" s="1926" t="s">
        <v>10299</v>
      </c>
      <c r="C697" s="1926" t="s">
        <v>39</v>
      </c>
      <c r="D697" s="1926" t="s">
        <v>40</v>
      </c>
      <c r="E697" s="1662">
        <v>67.64</v>
      </c>
    </row>
    <row r="698" spans="1:5" x14ac:dyDescent="0.2">
      <c r="A698" s="135">
        <v>782</v>
      </c>
      <c r="B698" s="1926" t="s">
        <v>10300</v>
      </c>
      <c r="C698" s="1926" t="s">
        <v>39</v>
      </c>
      <c r="D698" s="1926" t="s">
        <v>40</v>
      </c>
      <c r="E698" s="1662">
        <v>67.64</v>
      </c>
    </row>
    <row r="699" spans="1:5" x14ac:dyDescent="0.2">
      <c r="A699" s="135">
        <v>783</v>
      </c>
      <c r="B699" s="1926" t="s">
        <v>10301</v>
      </c>
      <c r="C699" s="1926" t="s">
        <v>39</v>
      </c>
      <c r="D699" s="1926" t="s">
        <v>40</v>
      </c>
      <c r="E699" s="1662">
        <v>185.14</v>
      </c>
    </row>
    <row r="700" spans="1:5" x14ac:dyDescent="0.2">
      <c r="A700" s="135">
        <v>785</v>
      </c>
      <c r="B700" s="1926" t="s">
        <v>10302</v>
      </c>
      <c r="C700" s="1926" t="s">
        <v>39</v>
      </c>
      <c r="D700" s="1926" t="s">
        <v>40</v>
      </c>
      <c r="E700" s="1662">
        <v>195.62</v>
      </c>
    </row>
    <row r="701" spans="1:5" x14ac:dyDescent="0.2">
      <c r="A701" s="135">
        <v>784</v>
      </c>
      <c r="B701" s="1926" t="s">
        <v>10303</v>
      </c>
      <c r="C701" s="1926" t="s">
        <v>39</v>
      </c>
      <c r="D701" s="1926" t="s">
        <v>40</v>
      </c>
      <c r="E701" s="1662">
        <v>209.85</v>
      </c>
    </row>
    <row r="702" spans="1:5" x14ac:dyDescent="0.2">
      <c r="A702" s="135">
        <v>831</v>
      </c>
      <c r="B702" s="1926" t="s">
        <v>10304</v>
      </c>
      <c r="C702" s="1926" t="s">
        <v>39</v>
      </c>
      <c r="D702" s="1926" t="s">
        <v>40</v>
      </c>
      <c r="E702" s="1662">
        <v>56.06</v>
      </c>
    </row>
    <row r="703" spans="1:5" x14ac:dyDescent="0.2">
      <c r="A703" s="135">
        <v>828</v>
      </c>
      <c r="B703" s="1926" t="s">
        <v>10305</v>
      </c>
      <c r="C703" s="1926" t="s">
        <v>39</v>
      </c>
      <c r="D703" s="1926" t="s">
        <v>40</v>
      </c>
      <c r="E703" s="1662">
        <v>0.32</v>
      </c>
    </row>
    <row r="704" spans="1:5" x14ac:dyDescent="0.2">
      <c r="A704" s="135">
        <v>829</v>
      </c>
      <c r="B704" s="1926" t="s">
        <v>10306</v>
      </c>
      <c r="C704" s="1926" t="s">
        <v>39</v>
      </c>
      <c r="D704" s="1926" t="s">
        <v>40</v>
      </c>
      <c r="E704" s="1662">
        <v>0.68</v>
      </c>
    </row>
    <row r="705" spans="1:5" x14ac:dyDescent="0.2">
      <c r="A705" s="135">
        <v>812</v>
      </c>
      <c r="B705" s="1926" t="s">
        <v>10307</v>
      </c>
      <c r="C705" s="1926" t="s">
        <v>39</v>
      </c>
      <c r="D705" s="1926" t="s">
        <v>40</v>
      </c>
      <c r="E705" s="1662">
        <v>1.47</v>
      </c>
    </row>
    <row r="706" spans="1:5" x14ac:dyDescent="0.2">
      <c r="A706" s="135">
        <v>819</v>
      </c>
      <c r="B706" s="1926" t="s">
        <v>10308</v>
      </c>
      <c r="C706" s="1926" t="s">
        <v>39</v>
      </c>
      <c r="D706" s="1926" t="s">
        <v>40</v>
      </c>
      <c r="E706" s="1662">
        <v>2.42</v>
      </c>
    </row>
    <row r="707" spans="1:5" x14ac:dyDescent="0.2">
      <c r="A707" s="135">
        <v>818</v>
      </c>
      <c r="B707" s="1926" t="s">
        <v>10309</v>
      </c>
      <c r="C707" s="1926" t="s">
        <v>39</v>
      </c>
      <c r="D707" s="1926" t="s">
        <v>40</v>
      </c>
      <c r="E707" s="1662">
        <v>4.07</v>
      </c>
    </row>
    <row r="708" spans="1:5" x14ac:dyDescent="0.2">
      <c r="A708" s="135">
        <v>823</v>
      </c>
      <c r="B708" s="1926" t="s">
        <v>10310</v>
      </c>
      <c r="C708" s="1926" t="s">
        <v>39</v>
      </c>
      <c r="D708" s="1926" t="s">
        <v>40</v>
      </c>
      <c r="E708" s="1662">
        <v>12.26</v>
      </c>
    </row>
    <row r="709" spans="1:5" x14ac:dyDescent="0.2">
      <c r="A709" s="135">
        <v>830</v>
      </c>
      <c r="B709" s="1926" t="s">
        <v>10311</v>
      </c>
      <c r="C709" s="1926" t="s">
        <v>39</v>
      </c>
      <c r="D709" s="1926" t="s">
        <v>40</v>
      </c>
      <c r="E709" s="1662">
        <v>10.1</v>
      </c>
    </row>
    <row r="710" spans="1:5" x14ac:dyDescent="0.2">
      <c r="A710" s="135">
        <v>826</v>
      </c>
      <c r="B710" s="1926" t="s">
        <v>10312</v>
      </c>
      <c r="C710" s="1926" t="s">
        <v>39</v>
      </c>
      <c r="D710" s="1926" t="s">
        <v>40</v>
      </c>
      <c r="E710" s="1662">
        <v>31.44</v>
      </c>
    </row>
    <row r="711" spans="1:5" x14ac:dyDescent="0.2">
      <c r="A711" s="135">
        <v>827</v>
      </c>
      <c r="B711" s="1926" t="s">
        <v>10313</v>
      </c>
      <c r="C711" s="1926" t="s">
        <v>39</v>
      </c>
      <c r="D711" s="1926" t="s">
        <v>40</v>
      </c>
      <c r="E711" s="1662">
        <v>26.56</v>
      </c>
    </row>
    <row r="712" spans="1:5" x14ac:dyDescent="0.2">
      <c r="A712" s="135">
        <v>832</v>
      </c>
      <c r="B712" s="1926" t="s">
        <v>10314</v>
      </c>
      <c r="C712" s="1926" t="s">
        <v>39</v>
      </c>
      <c r="D712" s="1926" t="s">
        <v>40</v>
      </c>
      <c r="E712" s="1662">
        <v>1.83</v>
      </c>
    </row>
    <row r="713" spans="1:5" x14ac:dyDescent="0.2">
      <c r="A713" s="135">
        <v>833</v>
      </c>
      <c r="B713" s="1926" t="s">
        <v>10315</v>
      </c>
      <c r="C713" s="1926" t="s">
        <v>39</v>
      </c>
      <c r="D713" s="1926" t="s">
        <v>40</v>
      </c>
      <c r="E713" s="1662">
        <v>2.6</v>
      </c>
    </row>
    <row r="714" spans="1:5" x14ac:dyDescent="0.2">
      <c r="A714" s="135">
        <v>834</v>
      </c>
      <c r="B714" s="1926" t="s">
        <v>10316</v>
      </c>
      <c r="C714" s="1926" t="s">
        <v>39</v>
      </c>
      <c r="D714" s="1926" t="s">
        <v>40</v>
      </c>
      <c r="E714" s="1662">
        <v>2.86</v>
      </c>
    </row>
    <row r="715" spans="1:5" x14ac:dyDescent="0.2">
      <c r="A715" s="135">
        <v>825</v>
      </c>
      <c r="B715" s="1926" t="s">
        <v>10317</v>
      </c>
      <c r="C715" s="1926" t="s">
        <v>39</v>
      </c>
      <c r="D715" s="1926" t="s">
        <v>40</v>
      </c>
      <c r="E715" s="1662">
        <v>3.19</v>
      </c>
    </row>
    <row r="716" spans="1:5" x14ac:dyDescent="0.2">
      <c r="A716" s="135">
        <v>813</v>
      </c>
      <c r="B716" s="1926" t="s">
        <v>10318</v>
      </c>
      <c r="C716" s="1926" t="s">
        <v>39</v>
      </c>
      <c r="D716" s="1926" t="s">
        <v>40</v>
      </c>
      <c r="E716" s="1662">
        <v>3.13</v>
      </c>
    </row>
    <row r="717" spans="1:5" x14ac:dyDescent="0.2">
      <c r="A717" s="135">
        <v>820</v>
      </c>
      <c r="B717" s="1926" t="s">
        <v>10319</v>
      </c>
      <c r="C717" s="1926" t="s">
        <v>39</v>
      </c>
      <c r="D717" s="1926" t="s">
        <v>40</v>
      </c>
      <c r="E717" s="1662">
        <v>3.97</v>
      </c>
    </row>
    <row r="718" spans="1:5" x14ac:dyDescent="0.2">
      <c r="A718" s="135">
        <v>816</v>
      </c>
      <c r="B718" s="1926" t="s">
        <v>10320</v>
      </c>
      <c r="C718" s="1926" t="s">
        <v>39</v>
      </c>
      <c r="D718" s="1926" t="s">
        <v>40</v>
      </c>
      <c r="E718" s="1662">
        <v>6.77</v>
      </c>
    </row>
    <row r="719" spans="1:5" x14ac:dyDescent="0.2">
      <c r="A719" s="135">
        <v>814</v>
      </c>
      <c r="B719" s="1926" t="s">
        <v>10321</v>
      </c>
      <c r="C719" s="1926" t="s">
        <v>39</v>
      </c>
      <c r="D719" s="1926" t="s">
        <v>40</v>
      </c>
      <c r="E719" s="1662">
        <v>8.17</v>
      </c>
    </row>
    <row r="720" spans="1:5" x14ac:dyDescent="0.2">
      <c r="A720" s="135">
        <v>815</v>
      </c>
      <c r="B720" s="1926" t="s">
        <v>10322</v>
      </c>
      <c r="C720" s="1926" t="s">
        <v>39</v>
      </c>
      <c r="D720" s="1926" t="s">
        <v>40</v>
      </c>
      <c r="E720" s="1662">
        <v>8.83</v>
      </c>
    </row>
    <row r="721" spans="1:5" x14ac:dyDescent="0.2">
      <c r="A721" s="135">
        <v>822</v>
      </c>
      <c r="B721" s="1926" t="s">
        <v>10323</v>
      </c>
      <c r="C721" s="1926" t="s">
        <v>39</v>
      </c>
      <c r="D721" s="1926" t="s">
        <v>40</v>
      </c>
      <c r="E721" s="1662">
        <v>10.76</v>
      </c>
    </row>
    <row r="722" spans="1:5" x14ac:dyDescent="0.2">
      <c r="A722" s="135">
        <v>821</v>
      </c>
      <c r="B722" s="1926" t="s">
        <v>10324</v>
      </c>
      <c r="C722" s="1926" t="s">
        <v>39</v>
      </c>
      <c r="D722" s="1926" t="s">
        <v>40</v>
      </c>
      <c r="E722" s="1662">
        <v>12.58</v>
      </c>
    </row>
    <row r="723" spans="1:5" x14ac:dyDescent="0.2">
      <c r="A723" s="135">
        <v>817</v>
      </c>
      <c r="B723" s="1926" t="s">
        <v>10325</v>
      </c>
      <c r="C723" s="1926" t="s">
        <v>39</v>
      </c>
      <c r="D723" s="1926" t="s">
        <v>40</v>
      </c>
      <c r="E723" s="1662">
        <v>14.96</v>
      </c>
    </row>
    <row r="724" spans="1:5" x14ac:dyDescent="0.2">
      <c r="A724" s="135">
        <v>20086</v>
      </c>
      <c r="B724" s="1926" t="s">
        <v>10326</v>
      </c>
      <c r="C724" s="1926" t="s">
        <v>39</v>
      </c>
      <c r="D724" s="1926" t="s">
        <v>40</v>
      </c>
      <c r="E724" s="1662">
        <v>1.51</v>
      </c>
    </row>
    <row r="725" spans="1:5" x14ac:dyDescent="0.2">
      <c r="A725" s="135">
        <v>39191</v>
      </c>
      <c r="B725" s="1926" t="s">
        <v>10327</v>
      </c>
      <c r="C725" s="1926" t="s">
        <v>39</v>
      </c>
      <c r="D725" s="1926" t="s">
        <v>40</v>
      </c>
      <c r="E725" s="1662">
        <v>11.1</v>
      </c>
    </row>
    <row r="726" spans="1:5" x14ac:dyDescent="0.2">
      <c r="A726" s="135">
        <v>39190</v>
      </c>
      <c r="B726" s="1926" t="s">
        <v>10328</v>
      </c>
      <c r="C726" s="1926" t="s">
        <v>39</v>
      </c>
      <c r="D726" s="1926" t="s">
        <v>40</v>
      </c>
      <c r="E726" s="1662">
        <v>11.6</v>
      </c>
    </row>
    <row r="727" spans="1:5" x14ac:dyDescent="0.2">
      <c r="A727" s="135">
        <v>39189</v>
      </c>
      <c r="B727" s="1926" t="s">
        <v>10329</v>
      </c>
      <c r="C727" s="1926" t="s">
        <v>39</v>
      </c>
      <c r="D727" s="1926" t="s">
        <v>40</v>
      </c>
      <c r="E727" s="1662">
        <v>12.27</v>
      </c>
    </row>
    <row r="728" spans="1:5" x14ac:dyDescent="0.2">
      <c r="A728" s="135">
        <v>39186</v>
      </c>
      <c r="B728" s="1926" t="s">
        <v>10330</v>
      </c>
      <c r="C728" s="1926" t="s">
        <v>39</v>
      </c>
      <c r="D728" s="1926" t="s">
        <v>40</v>
      </c>
      <c r="E728" s="1662">
        <v>10.98</v>
      </c>
    </row>
    <row r="729" spans="1:5" x14ac:dyDescent="0.2">
      <c r="A729" s="135">
        <v>39188</v>
      </c>
      <c r="B729" s="1926" t="s">
        <v>10331</v>
      </c>
      <c r="C729" s="1926" t="s">
        <v>39</v>
      </c>
      <c r="D729" s="1926" t="s">
        <v>40</v>
      </c>
      <c r="E729" s="1662">
        <v>9.0299999999999994</v>
      </c>
    </row>
    <row r="730" spans="1:5" x14ac:dyDescent="0.2">
      <c r="A730" s="135">
        <v>39187</v>
      </c>
      <c r="B730" s="1926" t="s">
        <v>10332</v>
      </c>
      <c r="C730" s="1926" t="s">
        <v>39</v>
      </c>
      <c r="D730" s="1926" t="s">
        <v>40</v>
      </c>
      <c r="E730" s="1662">
        <v>9.4700000000000006</v>
      </c>
    </row>
    <row r="731" spans="1:5" x14ac:dyDescent="0.2">
      <c r="A731" s="135">
        <v>39184</v>
      </c>
      <c r="B731" s="1926" t="s">
        <v>10333</v>
      </c>
      <c r="C731" s="1926" t="s">
        <v>39</v>
      </c>
      <c r="D731" s="1926" t="s">
        <v>40</v>
      </c>
      <c r="E731" s="1662">
        <v>3.56</v>
      </c>
    </row>
    <row r="732" spans="1:5" x14ac:dyDescent="0.2">
      <c r="A732" s="135">
        <v>39185</v>
      </c>
      <c r="B732" s="1926" t="s">
        <v>10334</v>
      </c>
      <c r="C732" s="1926" t="s">
        <v>39</v>
      </c>
      <c r="D732" s="1926" t="s">
        <v>40</v>
      </c>
      <c r="E732" s="1662">
        <v>3.25</v>
      </c>
    </row>
    <row r="733" spans="1:5" x14ac:dyDescent="0.2">
      <c r="A733" s="135">
        <v>39198</v>
      </c>
      <c r="B733" s="1926" t="s">
        <v>10335</v>
      </c>
      <c r="C733" s="1926" t="s">
        <v>39</v>
      </c>
      <c r="D733" s="1926" t="s">
        <v>40</v>
      </c>
      <c r="E733" s="1662">
        <v>36.43</v>
      </c>
    </row>
    <row r="734" spans="1:5" x14ac:dyDescent="0.2">
      <c r="A734" s="135">
        <v>39197</v>
      </c>
      <c r="B734" s="1926" t="s">
        <v>10336</v>
      </c>
      <c r="C734" s="1926" t="s">
        <v>39</v>
      </c>
      <c r="D734" s="1926" t="s">
        <v>40</v>
      </c>
      <c r="E734" s="1662">
        <v>38.049999999999997</v>
      </c>
    </row>
    <row r="735" spans="1:5" x14ac:dyDescent="0.2">
      <c r="A735" s="135">
        <v>39196</v>
      </c>
      <c r="B735" s="1926" t="s">
        <v>10337</v>
      </c>
      <c r="C735" s="1926" t="s">
        <v>39</v>
      </c>
      <c r="D735" s="1926" t="s">
        <v>40</v>
      </c>
      <c r="E735" s="1662">
        <v>39.24</v>
      </c>
    </row>
    <row r="736" spans="1:5" x14ac:dyDescent="0.2">
      <c r="A736" s="135">
        <v>39199</v>
      </c>
      <c r="B736" s="1926" t="s">
        <v>10338</v>
      </c>
      <c r="C736" s="1926" t="s">
        <v>39</v>
      </c>
      <c r="D736" s="1926" t="s">
        <v>40</v>
      </c>
      <c r="E736" s="1662">
        <v>35.049999999999997</v>
      </c>
    </row>
    <row r="737" spans="1:5" x14ac:dyDescent="0.2">
      <c r="A737" s="135">
        <v>39195</v>
      </c>
      <c r="B737" s="1926" t="s">
        <v>10339</v>
      </c>
      <c r="C737" s="1926" t="s">
        <v>39</v>
      </c>
      <c r="D737" s="1926" t="s">
        <v>40</v>
      </c>
      <c r="E737" s="1662">
        <v>20.23</v>
      </c>
    </row>
    <row r="738" spans="1:5" x14ac:dyDescent="0.2">
      <c r="A738" s="135">
        <v>39194</v>
      </c>
      <c r="B738" s="1926" t="s">
        <v>10340</v>
      </c>
      <c r="C738" s="1926" t="s">
        <v>39</v>
      </c>
      <c r="D738" s="1926" t="s">
        <v>40</v>
      </c>
      <c r="E738" s="1662">
        <v>21.65</v>
      </c>
    </row>
    <row r="739" spans="1:5" x14ac:dyDescent="0.2">
      <c r="A739" s="135">
        <v>39193</v>
      </c>
      <c r="B739" s="1926" t="s">
        <v>10341</v>
      </c>
      <c r="C739" s="1926" t="s">
        <v>39</v>
      </c>
      <c r="D739" s="1926" t="s">
        <v>40</v>
      </c>
      <c r="E739" s="1662">
        <v>23.73</v>
      </c>
    </row>
    <row r="740" spans="1:5" x14ac:dyDescent="0.2">
      <c r="A740" s="135">
        <v>39192</v>
      </c>
      <c r="B740" s="1926" t="s">
        <v>10342</v>
      </c>
      <c r="C740" s="1926" t="s">
        <v>39</v>
      </c>
      <c r="D740" s="1926" t="s">
        <v>40</v>
      </c>
      <c r="E740" s="1662">
        <v>24.69</v>
      </c>
    </row>
    <row r="741" spans="1:5" x14ac:dyDescent="0.2">
      <c r="A741" s="135">
        <v>39920</v>
      </c>
      <c r="B741" s="1926" t="s">
        <v>10343</v>
      </c>
      <c r="C741" s="1926" t="s">
        <v>39</v>
      </c>
      <c r="D741" s="1926" t="s">
        <v>40</v>
      </c>
      <c r="E741" s="1662">
        <v>2.99</v>
      </c>
    </row>
    <row r="742" spans="1:5" x14ac:dyDescent="0.2">
      <c r="A742" s="135">
        <v>39201</v>
      </c>
      <c r="B742" s="1926" t="s">
        <v>10344</v>
      </c>
      <c r="C742" s="1926" t="s">
        <v>39</v>
      </c>
      <c r="D742" s="1926" t="s">
        <v>40</v>
      </c>
      <c r="E742" s="1662">
        <v>43.55</v>
      </c>
    </row>
    <row r="743" spans="1:5" x14ac:dyDescent="0.2">
      <c r="A743" s="135">
        <v>39200</v>
      </c>
      <c r="B743" s="1926" t="s">
        <v>10345</v>
      </c>
      <c r="C743" s="1926" t="s">
        <v>39</v>
      </c>
      <c r="D743" s="1926" t="s">
        <v>40</v>
      </c>
      <c r="E743" s="1662">
        <v>43.9</v>
      </c>
    </row>
    <row r="744" spans="1:5" x14ac:dyDescent="0.2">
      <c r="A744" s="135">
        <v>39203</v>
      </c>
      <c r="B744" s="1926" t="s">
        <v>10346</v>
      </c>
      <c r="C744" s="1926" t="s">
        <v>39</v>
      </c>
      <c r="D744" s="1926" t="s">
        <v>40</v>
      </c>
      <c r="E744" s="1662">
        <v>35.450000000000003</v>
      </c>
    </row>
    <row r="745" spans="1:5" x14ac:dyDescent="0.2">
      <c r="A745" s="135">
        <v>39202</v>
      </c>
      <c r="B745" s="1926" t="s">
        <v>10347</v>
      </c>
      <c r="C745" s="1926" t="s">
        <v>39</v>
      </c>
      <c r="D745" s="1926" t="s">
        <v>40</v>
      </c>
      <c r="E745" s="1662">
        <v>41.64</v>
      </c>
    </row>
    <row r="746" spans="1:5" x14ac:dyDescent="0.2">
      <c r="A746" s="135">
        <v>39205</v>
      </c>
      <c r="B746" s="1926" t="s">
        <v>10348</v>
      </c>
      <c r="C746" s="1926" t="s">
        <v>39</v>
      </c>
      <c r="D746" s="1926" t="s">
        <v>40</v>
      </c>
      <c r="E746" s="1662">
        <v>69.47</v>
      </c>
    </row>
    <row r="747" spans="1:5" x14ac:dyDescent="0.2">
      <c r="A747" s="135">
        <v>39204</v>
      </c>
      <c r="B747" s="1926" t="s">
        <v>10349</v>
      </c>
      <c r="C747" s="1926" t="s">
        <v>39</v>
      </c>
      <c r="D747" s="1926" t="s">
        <v>40</v>
      </c>
      <c r="E747" s="1662">
        <v>71.150000000000006</v>
      </c>
    </row>
    <row r="748" spans="1:5" x14ac:dyDescent="0.2">
      <c r="A748" s="135">
        <v>39206</v>
      </c>
      <c r="B748" s="1926" t="s">
        <v>10350</v>
      </c>
      <c r="C748" s="1926" t="s">
        <v>39</v>
      </c>
      <c r="D748" s="1926" t="s">
        <v>40</v>
      </c>
      <c r="E748" s="1662">
        <v>67.5</v>
      </c>
    </row>
    <row r="749" spans="1:5" x14ac:dyDescent="0.2">
      <c r="A749" s="135">
        <v>797</v>
      </c>
      <c r="B749" s="1926" t="s">
        <v>10351</v>
      </c>
      <c r="C749" s="1926" t="s">
        <v>39</v>
      </c>
      <c r="D749" s="1926" t="s">
        <v>40</v>
      </c>
      <c r="E749" s="1662">
        <v>5.85</v>
      </c>
    </row>
    <row r="750" spans="1:5" x14ac:dyDescent="0.2">
      <c r="A750" s="135">
        <v>798</v>
      </c>
      <c r="B750" s="1926" t="s">
        <v>10352</v>
      </c>
      <c r="C750" s="1926" t="s">
        <v>39</v>
      </c>
      <c r="D750" s="1926" t="s">
        <v>40</v>
      </c>
      <c r="E750" s="1662">
        <v>0.8</v>
      </c>
    </row>
    <row r="751" spans="1:5" x14ac:dyDescent="0.2">
      <c r="A751" s="135">
        <v>796</v>
      </c>
      <c r="B751" s="1926" t="s">
        <v>10353</v>
      </c>
      <c r="C751" s="1926" t="s">
        <v>39</v>
      </c>
      <c r="D751" s="1926" t="s">
        <v>40</v>
      </c>
      <c r="E751" s="1662">
        <v>5.6</v>
      </c>
    </row>
    <row r="752" spans="1:5" x14ac:dyDescent="0.2">
      <c r="A752" s="135">
        <v>799</v>
      </c>
      <c r="B752" s="1926" t="s">
        <v>10354</v>
      </c>
      <c r="C752" s="1926" t="s">
        <v>39</v>
      </c>
      <c r="D752" s="1926" t="s">
        <v>40</v>
      </c>
      <c r="E752" s="1662">
        <v>2.63</v>
      </c>
    </row>
    <row r="753" spans="1:5" x14ac:dyDescent="0.2">
      <c r="A753" s="135">
        <v>792</v>
      </c>
      <c r="B753" s="1926" t="s">
        <v>10355</v>
      </c>
      <c r="C753" s="1926" t="s">
        <v>39</v>
      </c>
      <c r="D753" s="1926" t="s">
        <v>40</v>
      </c>
      <c r="E753" s="1662">
        <v>2.68</v>
      </c>
    </row>
    <row r="754" spans="1:5" x14ac:dyDescent="0.2">
      <c r="A754" s="135">
        <v>804</v>
      </c>
      <c r="B754" s="1926" t="s">
        <v>10356</v>
      </c>
      <c r="C754" s="1926" t="s">
        <v>39</v>
      </c>
      <c r="D754" s="1926" t="s">
        <v>40</v>
      </c>
      <c r="E754" s="1662">
        <v>13.29</v>
      </c>
    </row>
    <row r="755" spans="1:5" x14ac:dyDescent="0.2">
      <c r="A755" s="135">
        <v>793</v>
      </c>
      <c r="B755" s="1926" t="s">
        <v>10357</v>
      </c>
      <c r="C755" s="1926" t="s">
        <v>39</v>
      </c>
      <c r="D755" s="1926" t="s">
        <v>40</v>
      </c>
      <c r="E755" s="1662">
        <v>5.7</v>
      </c>
    </row>
    <row r="756" spans="1:5" x14ac:dyDescent="0.2">
      <c r="A756" s="135">
        <v>801</v>
      </c>
      <c r="B756" s="1926" t="s">
        <v>10358</v>
      </c>
      <c r="C756" s="1926" t="s">
        <v>39</v>
      </c>
      <c r="D756" s="1926" t="s">
        <v>40</v>
      </c>
      <c r="E756" s="1662">
        <v>4.07</v>
      </c>
    </row>
    <row r="757" spans="1:5" x14ac:dyDescent="0.2">
      <c r="A757" s="135">
        <v>794</v>
      </c>
      <c r="B757" s="1926" t="s">
        <v>10359</v>
      </c>
      <c r="C757" s="1926" t="s">
        <v>39</v>
      </c>
      <c r="D757" s="1926" t="s">
        <v>40</v>
      </c>
      <c r="E757" s="1662">
        <v>4.2</v>
      </c>
    </row>
    <row r="758" spans="1:5" x14ac:dyDescent="0.2">
      <c r="A758" s="135">
        <v>802</v>
      </c>
      <c r="B758" s="1926" t="s">
        <v>10360</v>
      </c>
      <c r="C758" s="1926" t="s">
        <v>39</v>
      </c>
      <c r="D758" s="1926" t="s">
        <v>40</v>
      </c>
      <c r="E758" s="1662">
        <v>11.72</v>
      </c>
    </row>
    <row r="759" spans="1:5" x14ac:dyDescent="0.2">
      <c r="A759" s="135">
        <v>803</v>
      </c>
      <c r="B759" s="1926" t="s">
        <v>10361</v>
      </c>
      <c r="C759" s="1926" t="s">
        <v>39</v>
      </c>
      <c r="D759" s="1926" t="s">
        <v>40</v>
      </c>
      <c r="E759" s="1662">
        <v>10.220000000000001</v>
      </c>
    </row>
    <row r="760" spans="1:5" x14ac:dyDescent="0.2">
      <c r="A760" s="135">
        <v>38001</v>
      </c>
      <c r="B760" s="1926" t="s">
        <v>10362</v>
      </c>
      <c r="C760" s="1926" t="s">
        <v>39</v>
      </c>
      <c r="D760" s="1926" t="s">
        <v>40</v>
      </c>
      <c r="E760" s="1662">
        <v>0.54</v>
      </c>
    </row>
    <row r="761" spans="1:5" x14ac:dyDescent="0.2">
      <c r="A761" s="135">
        <v>38002</v>
      </c>
      <c r="B761" s="1926" t="s">
        <v>10363</v>
      </c>
      <c r="C761" s="1926" t="s">
        <v>39</v>
      </c>
      <c r="D761" s="1926" t="s">
        <v>40</v>
      </c>
      <c r="E761" s="1662">
        <v>1.01</v>
      </c>
    </row>
    <row r="762" spans="1:5" x14ac:dyDescent="0.2">
      <c r="A762" s="135">
        <v>38003</v>
      </c>
      <c r="B762" s="1926" t="s">
        <v>10364</v>
      </c>
      <c r="C762" s="1926" t="s">
        <v>39</v>
      </c>
      <c r="D762" s="1926" t="s">
        <v>40</v>
      </c>
      <c r="E762" s="1662">
        <v>12.14</v>
      </c>
    </row>
    <row r="763" spans="1:5" x14ac:dyDescent="0.2">
      <c r="A763" s="135">
        <v>38004</v>
      </c>
      <c r="B763" s="1926" t="s">
        <v>10365</v>
      </c>
      <c r="C763" s="1926" t="s">
        <v>39</v>
      </c>
      <c r="D763" s="1926" t="s">
        <v>40</v>
      </c>
      <c r="E763" s="1662">
        <v>16.239999999999998</v>
      </c>
    </row>
    <row r="764" spans="1:5" x14ac:dyDescent="0.2">
      <c r="A764" s="135">
        <v>36327</v>
      </c>
      <c r="B764" s="1926" t="s">
        <v>10366</v>
      </c>
      <c r="C764" s="1926" t="s">
        <v>39</v>
      </c>
      <c r="D764" s="1926" t="s">
        <v>46</v>
      </c>
      <c r="E764" s="1662">
        <v>1.45</v>
      </c>
    </row>
    <row r="765" spans="1:5" x14ac:dyDescent="0.2">
      <c r="A765" s="135">
        <v>38992</v>
      </c>
      <c r="B765" s="1926" t="s">
        <v>10367</v>
      </c>
      <c r="C765" s="1926" t="s">
        <v>39</v>
      </c>
      <c r="D765" s="1926" t="s">
        <v>46</v>
      </c>
      <c r="E765" s="1662">
        <v>2.3199999999999998</v>
      </c>
    </row>
    <row r="766" spans="1:5" x14ac:dyDescent="0.2">
      <c r="A766" s="135">
        <v>38993</v>
      </c>
      <c r="B766" s="1926" t="s">
        <v>10368</v>
      </c>
      <c r="C766" s="1926" t="s">
        <v>39</v>
      </c>
      <c r="D766" s="1926" t="s">
        <v>46</v>
      </c>
      <c r="E766" s="1662">
        <v>6.63</v>
      </c>
    </row>
    <row r="767" spans="1:5" x14ac:dyDescent="0.2">
      <c r="A767" s="135">
        <v>38418</v>
      </c>
      <c r="B767" s="1926" t="s">
        <v>10369</v>
      </c>
      <c r="C767" s="1926" t="s">
        <v>39</v>
      </c>
      <c r="D767" s="1926" t="s">
        <v>40</v>
      </c>
      <c r="E767" s="1662">
        <v>4.38</v>
      </c>
    </row>
    <row r="768" spans="1:5" x14ac:dyDescent="0.2">
      <c r="A768" s="135">
        <v>39178</v>
      </c>
      <c r="B768" s="1926" t="s">
        <v>10370</v>
      </c>
      <c r="C768" s="1926" t="s">
        <v>39</v>
      </c>
      <c r="D768" s="1926" t="s">
        <v>40</v>
      </c>
      <c r="E768" s="1662">
        <v>1.2</v>
      </c>
    </row>
    <row r="769" spans="1:5" x14ac:dyDescent="0.2">
      <c r="A769" s="135">
        <v>39177</v>
      </c>
      <c r="B769" s="1926" t="s">
        <v>10371</v>
      </c>
      <c r="C769" s="1926" t="s">
        <v>39</v>
      </c>
      <c r="D769" s="1926" t="s">
        <v>40</v>
      </c>
      <c r="E769" s="1662">
        <v>1.08</v>
      </c>
    </row>
    <row r="770" spans="1:5" x14ac:dyDescent="0.2">
      <c r="A770" s="135">
        <v>39174</v>
      </c>
      <c r="B770" s="1926" t="s">
        <v>10372</v>
      </c>
      <c r="C770" s="1926" t="s">
        <v>39</v>
      </c>
      <c r="D770" s="1926" t="s">
        <v>40</v>
      </c>
      <c r="E770" s="1662">
        <v>0.54</v>
      </c>
    </row>
    <row r="771" spans="1:5" x14ac:dyDescent="0.2">
      <c r="A771" s="135">
        <v>39176</v>
      </c>
      <c r="B771" s="1926" t="s">
        <v>10373</v>
      </c>
      <c r="C771" s="1926" t="s">
        <v>39</v>
      </c>
      <c r="D771" s="1926" t="s">
        <v>40</v>
      </c>
      <c r="E771" s="1662">
        <v>0.71</v>
      </c>
    </row>
    <row r="772" spans="1:5" x14ac:dyDescent="0.2">
      <c r="A772" s="135">
        <v>39180</v>
      </c>
      <c r="B772" s="1926" t="s">
        <v>10374</v>
      </c>
      <c r="C772" s="1926" t="s">
        <v>39</v>
      </c>
      <c r="D772" s="1926" t="s">
        <v>40</v>
      </c>
      <c r="E772" s="1662">
        <v>3.26</v>
      </c>
    </row>
    <row r="773" spans="1:5" x14ac:dyDescent="0.2">
      <c r="A773" s="135">
        <v>39179</v>
      </c>
      <c r="B773" s="1926" t="s">
        <v>10375</v>
      </c>
      <c r="C773" s="1926" t="s">
        <v>39</v>
      </c>
      <c r="D773" s="1926" t="s">
        <v>40</v>
      </c>
      <c r="E773" s="1662">
        <v>2.88</v>
      </c>
    </row>
    <row r="774" spans="1:5" x14ac:dyDescent="0.2">
      <c r="A774" s="135">
        <v>39175</v>
      </c>
      <c r="B774" s="1926" t="s">
        <v>10376</v>
      </c>
      <c r="C774" s="1926" t="s">
        <v>39</v>
      </c>
      <c r="D774" s="1926" t="s">
        <v>40</v>
      </c>
      <c r="E774" s="1662">
        <v>0.66</v>
      </c>
    </row>
    <row r="775" spans="1:5" x14ac:dyDescent="0.2">
      <c r="A775" s="135">
        <v>39217</v>
      </c>
      <c r="B775" s="1926" t="s">
        <v>10377</v>
      </c>
      <c r="C775" s="1926" t="s">
        <v>39</v>
      </c>
      <c r="D775" s="1926" t="s">
        <v>40</v>
      </c>
      <c r="E775" s="1662">
        <v>0.51</v>
      </c>
    </row>
    <row r="776" spans="1:5" x14ac:dyDescent="0.2">
      <c r="A776" s="135">
        <v>39181</v>
      </c>
      <c r="B776" s="1926" t="s">
        <v>10378</v>
      </c>
      <c r="C776" s="1926" t="s">
        <v>39</v>
      </c>
      <c r="D776" s="1926" t="s">
        <v>40</v>
      </c>
      <c r="E776" s="1662">
        <v>4.37</v>
      </c>
    </row>
    <row r="777" spans="1:5" x14ac:dyDescent="0.2">
      <c r="A777" s="135">
        <v>39182</v>
      </c>
      <c r="B777" s="1926" t="s">
        <v>10379</v>
      </c>
      <c r="C777" s="1926" t="s">
        <v>39</v>
      </c>
      <c r="D777" s="1926" t="s">
        <v>40</v>
      </c>
      <c r="E777" s="1662">
        <v>6.15</v>
      </c>
    </row>
    <row r="778" spans="1:5" x14ac:dyDescent="0.2">
      <c r="A778" s="135">
        <v>12616</v>
      </c>
      <c r="B778" s="1926" t="s">
        <v>10380</v>
      </c>
      <c r="C778" s="1926" t="s">
        <v>39</v>
      </c>
      <c r="D778" s="1926" t="s">
        <v>46</v>
      </c>
      <c r="E778" s="1662">
        <v>4.22</v>
      </c>
    </row>
    <row r="779" spans="1:5" x14ac:dyDescent="0.2">
      <c r="A779" s="135">
        <v>1049</v>
      </c>
      <c r="B779" s="1926" t="s">
        <v>10381</v>
      </c>
      <c r="C779" s="1926" t="s">
        <v>39</v>
      </c>
      <c r="D779" s="1926" t="s">
        <v>40</v>
      </c>
      <c r="E779" s="1662">
        <v>5.14</v>
      </c>
    </row>
    <row r="780" spans="1:5" x14ac:dyDescent="0.2">
      <c r="A780" s="135">
        <v>1099</v>
      </c>
      <c r="B780" s="1926" t="s">
        <v>10382</v>
      </c>
      <c r="C780" s="1926" t="s">
        <v>39</v>
      </c>
      <c r="D780" s="1926" t="s">
        <v>40</v>
      </c>
      <c r="E780" s="1662">
        <v>3.93</v>
      </c>
    </row>
    <row r="781" spans="1:5" x14ac:dyDescent="0.2">
      <c r="A781" s="135">
        <v>39678</v>
      </c>
      <c r="B781" s="1926" t="s">
        <v>10383</v>
      </c>
      <c r="C781" s="1926" t="s">
        <v>39</v>
      </c>
      <c r="D781" s="1926" t="s">
        <v>40</v>
      </c>
      <c r="E781" s="1662">
        <v>1.58</v>
      </c>
    </row>
    <row r="782" spans="1:5" x14ac:dyDescent="0.2">
      <c r="A782" s="135">
        <v>1050</v>
      </c>
      <c r="B782" s="1926" t="s">
        <v>10384</v>
      </c>
      <c r="C782" s="1926" t="s">
        <v>39</v>
      </c>
      <c r="D782" s="1926" t="s">
        <v>40</v>
      </c>
      <c r="E782" s="1662">
        <v>2.69</v>
      </c>
    </row>
    <row r="783" spans="1:5" x14ac:dyDescent="0.2">
      <c r="A783" s="135">
        <v>1101</v>
      </c>
      <c r="B783" s="1926" t="s">
        <v>10385</v>
      </c>
      <c r="C783" s="1926" t="s">
        <v>39</v>
      </c>
      <c r="D783" s="1926" t="s">
        <v>40</v>
      </c>
      <c r="E783" s="1662">
        <v>16.97</v>
      </c>
    </row>
    <row r="784" spans="1:5" x14ac:dyDescent="0.2">
      <c r="A784" s="135">
        <v>1100</v>
      </c>
      <c r="B784" s="1926" t="s">
        <v>10386</v>
      </c>
      <c r="C784" s="1926" t="s">
        <v>39</v>
      </c>
      <c r="D784" s="1926" t="s">
        <v>40</v>
      </c>
      <c r="E784" s="1662">
        <v>8.76</v>
      </c>
    </row>
    <row r="785" spans="1:5" x14ac:dyDescent="0.2">
      <c r="A785" s="135">
        <v>39679</v>
      </c>
      <c r="B785" s="1926" t="s">
        <v>10387</v>
      </c>
      <c r="C785" s="1926" t="s">
        <v>39</v>
      </c>
      <c r="D785" s="1926" t="s">
        <v>40</v>
      </c>
      <c r="E785" s="1662">
        <v>33.83</v>
      </c>
    </row>
    <row r="786" spans="1:5" x14ac:dyDescent="0.2">
      <c r="A786" s="135">
        <v>1098</v>
      </c>
      <c r="B786" s="1926" t="s">
        <v>10388</v>
      </c>
      <c r="C786" s="1926" t="s">
        <v>39</v>
      </c>
      <c r="D786" s="1926" t="s">
        <v>40</v>
      </c>
      <c r="E786" s="1662">
        <v>2.1</v>
      </c>
    </row>
    <row r="787" spans="1:5" x14ac:dyDescent="0.2">
      <c r="A787" s="135">
        <v>1102</v>
      </c>
      <c r="B787" s="1926" t="s">
        <v>10389</v>
      </c>
      <c r="C787" s="1926" t="s">
        <v>39</v>
      </c>
      <c r="D787" s="1926" t="s">
        <v>40</v>
      </c>
      <c r="E787" s="1662">
        <v>25.31</v>
      </c>
    </row>
    <row r="788" spans="1:5" x14ac:dyDescent="0.2">
      <c r="A788" s="135">
        <v>1051</v>
      </c>
      <c r="B788" s="1926" t="s">
        <v>10390</v>
      </c>
      <c r="C788" s="1926" t="s">
        <v>39</v>
      </c>
      <c r="D788" s="1926" t="s">
        <v>40</v>
      </c>
      <c r="E788" s="1662">
        <v>36.79</v>
      </c>
    </row>
    <row r="789" spans="1:5" x14ac:dyDescent="0.2">
      <c r="A789" s="135">
        <v>37399</v>
      </c>
      <c r="B789" s="1926" t="s">
        <v>10391</v>
      </c>
      <c r="C789" s="1926" t="s">
        <v>39</v>
      </c>
      <c r="D789" s="1926" t="s">
        <v>40</v>
      </c>
      <c r="E789" s="1662">
        <v>16.23</v>
      </c>
    </row>
    <row r="790" spans="1:5" x14ac:dyDescent="0.2">
      <c r="A790" s="135">
        <v>41955</v>
      </c>
      <c r="B790" s="1926" t="s">
        <v>10392</v>
      </c>
      <c r="C790" s="1926" t="s">
        <v>48</v>
      </c>
      <c r="D790" s="1926" t="s">
        <v>40</v>
      </c>
      <c r="E790" s="1662">
        <v>45.01</v>
      </c>
    </row>
    <row r="791" spans="1:5" x14ac:dyDescent="0.2">
      <c r="A791" s="135">
        <v>41953</v>
      </c>
      <c r="B791" s="1926" t="s">
        <v>10393</v>
      </c>
      <c r="C791" s="1926" t="s">
        <v>48</v>
      </c>
      <c r="D791" s="1926" t="s">
        <v>40</v>
      </c>
      <c r="E791" s="1662">
        <v>42.96</v>
      </c>
    </row>
    <row r="792" spans="1:5" x14ac:dyDescent="0.2">
      <c r="A792" s="135">
        <v>41954</v>
      </c>
      <c r="B792" s="1926" t="s">
        <v>10394</v>
      </c>
      <c r="C792" s="1926" t="s">
        <v>48</v>
      </c>
      <c r="D792" s="1926" t="s">
        <v>40</v>
      </c>
      <c r="E792" s="1662">
        <v>40.04</v>
      </c>
    </row>
    <row r="793" spans="1:5" x14ac:dyDescent="0.2">
      <c r="A793" s="135">
        <v>42655</v>
      </c>
      <c r="B793" s="1926" t="s">
        <v>10395</v>
      </c>
      <c r="C793" s="1926" t="s">
        <v>48</v>
      </c>
      <c r="D793" s="1926" t="s">
        <v>40</v>
      </c>
      <c r="E793" s="1662">
        <v>10.039999999999999</v>
      </c>
    </row>
    <row r="794" spans="1:5" x14ac:dyDescent="0.2">
      <c r="A794" s="135">
        <v>25004</v>
      </c>
      <c r="B794" s="1926" t="s">
        <v>10396</v>
      </c>
      <c r="C794" s="1926" t="s">
        <v>48</v>
      </c>
      <c r="D794" s="1926" t="s">
        <v>46</v>
      </c>
      <c r="E794" s="1662">
        <v>16.100000000000001</v>
      </c>
    </row>
    <row r="795" spans="1:5" x14ac:dyDescent="0.2">
      <c r="A795" s="135">
        <v>25002</v>
      </c>
      <c r="B795" s="1926" t="s">
        <v>10397</v>
      </c>
      <c r="C795" s="1926" t="s">
        <v>48</v>
      </c>
      <c r="D795" s="1926" t="s">
        <v>46</v>
      </c>
      <c r="E795" s="1662">
        <v>16.239999999999998</v>
      </c>
    </row>
    <row r="796" spans="1:5" x14ac:dyDescent="0.2">
      <c r="A796" s="135">
        <v>37409</v>
      </c>
      <c r="B796" s="1926" t="s">
        <v>10398</v>
      </c>
      <c r="C796" s="1926" t="s">
        <v>48</v>
      </c>
      <c r="D796" s="1926" t="s">
        <v>46</v>
      </c>
      <c r="E796" s="1662">
        <v>15.97</v>
      </c>
    </row>
    <row r="797" spans="1:5" x14ac:dyDescent="0.2">
      <c r="A797" s="135">
        <v>841</v>
      </c>
      <c r="B797" s="1926" t="s">
        <v>10399</v>
      </c>
      <c r="C797" s="1926" t="s">
        <v>48</v>
      </c>
      <c r="D797" s="1926" t="s">
        <v>46</v>
      </c>
      <c r="E797" s="1662">
        <v>16.5</v>
      </c>
    </row>
    <row r="798" spans="1:5" x14ac:dyDescent="0.2">
      <c r="A798" s="135">
        <v>25005</v>
      </c>
      <c r="B798" s="1926" t="s">
        <v>10400</v>
      </c>
      <c r="C798" s="1926" t="s">
        <v>48</v>
      </c>
      <c r="D798" s="1926" t="s">
        <v>46</v>
      </c>
      <c r="E798" s="1662">
        <v>18.09</v>
      </c>
    </row>
    <row r="799" spans="1:5" x14ac:dyDescent="0.2">
      <c r="A799" s="135">
        <v>25003</v>
      </c>
      <c r="B799" s="1926" t="s">
        <v>10401</v>
      </c>
      <c r="C799" s="1926" t="s">
        <v>48</v>
      </c>
      <c r="D799" s="1926" t="s">
        <v>46</v>
      </c>
      <c r="E799" s="1662">
        <v>19.32</v>
      </c>
    </row>
    <row r="800" spans="1:5" x14ac:dyDescent="0.2">
      <c r="A800" s="135">
        <v>37410</v>
      </c>
      <c r="B800" s="1926" t="s">
        <v>10402</v>
      </c>
      <c r="C800" s="1926" t="s">
        <v>48</v>
      </c>
      <c r="D800" s="1926" t="s">
        <v>46</v>
      </c>
      <c r="E800" s="1662">
        <v>18.09</v>
      </c>
    </row>
    <row r="801" spans="1:5" x14ac:dyDescent="0.2">
      <c r="A801" s="135">
        <v>842</v>
      </c>
      <c r="B801" s="1926" t="s">
        <v>10403</v>
      </c>
      <c r="C801" s="1926" t="s">
        <v>48</v>
      </c>
      <c r="D801" s="1926" t="s">
        <v>46</v>
      </c>
      <c r="E801" s="1662">
        <v>20.350000000000001</v>
      </c>
    </row>
    <row r="802" spans="1:5" x14ac:dyDescent="0.2">
      <c r="A802" s="135">
        <v>862</v>
      </c>
      <c r="B802" s="1926" t="s">
        <v>10404</v>
      </c>
      <c r="C802" s="1926" t="s">
        <v>47</v>
      </c>
      <c r="D802" s="1926" t="s">
        <v>40</v>
      </c>
      <c r="E802" s="1662">
        <v>5.18</v>
      </c>
    </row>
    <row r="803" spans="1:5" x14ac:dyDescent="0.2">
      <c r="A803" s="135">
        <v>866</v>
      </c>
      <c r="B803" s="1926" t="s">
        <v>10405</v>
      </c>
      <c r="C803" s="1926" t="s">
        <v>47</v>
      </c>
      <c r="D803" s="1926" t="s">
        <v>40</v>
      </c>
      <c r="E803" s="1662">
        <v>63.72</v>
      </c>
    </row>
    <row r="804" spans="1:5" x14ac:dyDescent="0.2">
      <c r="A804" s="135">
        <v>892</v>
      </c>
      <c r="B804" s="1926" t="s">
        <v>10406</v>
      </c>
      <c r="C804" s="1926" t="s">
        <v>47</v>
      </c>
      <c r="D804" s="1926" t="s">
        <v>40</v>
      </c>
      <c r="E804" s="1662">
        <v>81.040000000000006</v>
      </c>
    </row>
    <row r="805" spans="1:5" x14ac:dyDescent="0.2">
      <c r="A805" s="135">
        <v>857</v>
      </c>
      <c r="B805" s="1926" t="s">
        <v>10407</v>
      </c>
      <c r="C805" s="1926" t="s">
        <v>47</v>
      </c>
      <c r="D805" s="1926" t="s">
        <v>43</v>
      </c>
      <c r="E805" s="1662">
        <v>8.25</v>
      </c>
    </row>
    <row r="806" spans="1:5" x14ac:dyDescent="0.2">
      <c r="A806" s="135">
        <v>37404</v>
      </c>
      <c r="B806" s="1926" t="s">
        <v>10408</v>
      </c>
      <c r="C806" s="1926" t="s">
        <v>47</v>
      </c>
      <c r="D806" s="1926" t="s">
        <v>40</v>
      </c>
      <c r="E806" s="1662">
        <v>97.45</v>
      </c>
    </row>
    <row r="807" spans="1:5" x14ac:dyDescent="0.2">
      <c r="A807" s="135">
        <v>868</v>
      </c>
      <c r="B807" s="1926" t="s">
        <v>10409</v>
      </c>
      <c r="C807" s="1926" t="s">
        <v>47</v>
      </c>
      <c r="D807" s="1926" t="s">
        <v>40</v>
      </c>
      <c r="E807" s="1662">
        <v>12.74</v>
      </c>
    </row>
    <row r="808" spans="1:5" x14ac:dyDescent="0.2">
      <c r="A808" s="135">
        <v>870</v>
      </c>
      <c r="B808" s="1926" t="s">
        <v>10410</v>
      </c>
      <c r="C808" s="1926" t="s">
        <v>47</v>
      </c>
      <c r="D808" s="1926" t="s">
        <v>40</v>
      </c>
      <c r="E808" s="1662">
        <v>167.92</v>
      </c>
    </row>
    <row r="809" spans="1:5" x14ac:dyDescent="0.2">
      <c r="A809" s="135">
        <v>863</v>
      </c>
      <c r="B809" s="1926" t="s">
        <v>10411</v>
      </c>
      <c r="C809" s="1926" t="s">
        <v>47</v>
      </c>
      <c r="D809" s="1926" t="s">
        <v>40</v>
      </c>
      <c r="E809" s="1662">
        <v>17.600000000000001</v>
      </c>
    </row>
    <row r="810" spans="1:5" x14ac:dyDescent="0.2">
      <c r="A810" s="135">
        <v>867</v>
      </c>
      <c r="B810" s="1926" t="s">
        <v>10412</v>
      </c>
      <c r="C810" s="1926" t="s">
        <v>47</v>
      </c>
      <c r="D810" s="1926" t="s">
        <v>40</v>
      </c>
      <c r="E810" s="1662">
        <v>24.51</v>
      </c>
    </row>
    <row r="811" spans="1:5" x14ac:dyDescent="0.2">
      <c r="A811" s="135">
        <v>891</v>
      </c>
      <c r="B811" s="1926" t="s">
        <v>10413</v>
      </c>
      <c r="C811" s="1926" t="s">
        <v>47</v>
      </c>
      <c r="D811" s="1926" t="s">
        <v>40</v>
      </c>
      <c r="E811" s="1662">
        <v>282.01</v>
      </c>
    </row>
    <row r="812" spans="1:5" x14ac:dyDescent="0.2">
      <c r="A812" s="135">
        <v>864</v>
      </c>
      <c r="B812" s="1926" t="s">
        <v>10414</v>
      </c>
      <c r="C812" s="1926" t="s">
        <v>47</v>
      </c>
      <c r="D812" s="1926" t="s">
        <v>40</v>
      </c>
      <c r="E812" s="1662">
        <v>34.54</v>
      </c>
    </row>
    <row r="813" spans="1:5" x14ac:dyDescent="0.2">
      <c r="A813" s="135">
        <v>865</v>
      </c>
      <c r="B813" s="1926" t="s">
        <v>10415</v>
      </c>
      <c r="C813" s="1926" t="s">
        <v>47</v>
      </c>
      <c r="D813" s="1926" t="s">
        <v>40</v>
      </c>
      <c r="E813" s="1662">
        <v>48.64</v>
      </c>
    </row>
    <row r="814" spans="1:5" x14ac:dyDescent="0.2">
      <c r="A814" s="135">
        <v>1006</v>
      </c>
      <c r="B814" s="1926" t="s">
        <v>10416</v>
      </c>
      <c r="C814" s="1926" t="s">
        <v>47</v>
      </c>
      <c r="D814" s="1926" t="s">
        <v>40</v>
      </c>
      <c r="E814" s="1662">
        <v>80.75</v>
      </c>
    </row>
    <row r="815" spans="1:5" x14ac:dyDescent="0.2">
      <c r="A815" s="135">
        <v>948</v>
      </c>
      <c r="B815" s="1926" t="s">
        <v>10417</v>
      </c>
      <c r="C815" s="1926" t="s">
        <v>47</v>
      </c>
      <c r="D815" s="1926" t="s">
        <v>46</v>
      </c>
      <c r="E815" s="1662">
        <v>22.69</v>
      </c>
    </row>
    <row r="816" spans="1:5" x14ac:dyDescent="0.2">
      <c r="A816" s="135">
        <v>947</v>
      </c>
      <c r="B816" s="1926" t="s">
        <v>10418</v>
      </c>
      <c r="C816" s="1926" t="s">
        <v>47</v>
      </c>
      <c r="D816" s="1926" t="s">
        <v>46</v>
      </c>
      <c r="E816" s="1662">
        <v>23.08</v>
      </c>
    </row>
    <row r="817" spans="1:5" x14ac:dyDescent="0.2">
      <c r="A817" s="135">
        <v>911</v>
      </c>
      <c r="B817" s="1926" t="s">
        <v>10419</v>
      </c>
      <c r="C817" s="1926" t="s">
        <v>47</v>
      </c>
      <c r="D817" s="1926" t="s">
        <v>46</v>
      </c>
      <c r="E817" s="1662">
        <v>33.56</v>
      </c>
    </row>
    <row r="818" spans="1:5" x14ac:dyDescent="0.2">
      <c r="A818" s="135">
        <v>925</v>
      </c>
      <c r="B818" s="1926" t="s">
        <v>10420</v>
      </c>
      <c r="C818" s="1926" t="s">
        <v>47</v>
      </c>
      <c r="D818" s="1926" t="s">
        <v>46</v>
      </c>
      <c r="E818" s="1662">
        <v>31.02</v>
      </c>
    </row>
    <row r="819" spans="1:5" x14ac:dyDescent="0.2">
      <c r="A819" s="135">
        <v>954</v>
      </c>
      <c r="B819" s="1926" t="s">
        <v>10421</v>
      </c>
      <c r="C819" s="1926" t="s">
        <v>47</v>
      </c>
      <c r="D819" s="1926" t="s">
        <v>46</v>
      </c>
      <c r="E819" s="1662">
        <v>34.270000000000003</v>
      </c>
    </row>
    <row r="820" spans="1:5" x14ac:dyDescent="0.2">
      <c r="A820" s="135">
        <v>901</v>
      </c>
      <c r="B820" s="1926" t="s">
        <v>10422</v>
      </c>
      <c r="C820" s="1926" t="s">
        <v>47</v>
      </c>
      <c r="D820" s="1926" t="s">
        <v>46</v>
      </c>
      <c r="E820" s="1662">
        <v>36.68</v>
      </c>
    </row>
    <row r="821" spans="1:5" x14ac:dyDescent="0.2">
      <c r="A821" s="135">
        <v>926</v>
      </c>
      <c r="B821" s="1926" t="s">
        <v>10423</v>
      </c>
      <c r="C821" s="1926" t="s">
        <v>47</v>
      </c>
      <c r="D821" s="1926" t="s">
        <v>46</v>
      </c>
      <c r="E821" s="1662">
        <v>38.76</v>
      </c>
    </row>
    <row r="822" spans="1:5" x14ac:dyDescent="0.2">
      <c r="A822" s="135">
        <v>912</v>
      </c>
      <c r="B822" s="1926" t="s">
        <v>10424</v>
      </c>
      <c r="C822" s="1926" t="s">
        <v>47</v>
      </c>
      <c r="D822" s="1926" t="s">
        <v>46</v>
      </c>
      <c r="E822" s="1662">
        <v>39</v>
      </c>
    </row>
    <row r="823" spans="1:5" x14ac:dyDescent="0.2">
      <c r="A823" s="135">
        <v>955</v>
      </c>
      <c r="B823" s="1926" t="s">
        <v>10425</v>
      </c>
      <c r="C823" s="1926" t="s">
        <v>47</v>
      </c>
      <c r="D823" s="1926" t="s">
        <v>46</v>
      </c>
      <c r="E823" s="1662">
        <v>46.55</v>
      </c>
    </row>
    <row r="824" spans="1:5" x14ac:dyDescent="0.2">
      <c r="A824" s="135">
        <v>946</v>
      </c>
      <c r="B824" s="1926" t="s">
        <v>10426</v>
      </c>
      <c r="C824" s="1926" t="s">
        <v>47</v>
      </c>
      <c r="D824" s="1926" t="s">
        <v>46</v>
      </c>
      <c r="E824" s="1662">
        <v>52.34</v>
      </c>
    </row>
    <row r="825" spans="1:5" x14ac:dyDescent="0.2">
      <c r="A825" s="135">
        <v>953</v>
      </c>
      <c r="B825" s="1926" t="s">
        <v>10427</v>
      </c>
      <c r="C825" s="1926" t="s">
        <v>47</v>
      </c>
      <c r="D825" s="1926" t="s">
        <v>46</v>
      </c>
      <c r="E825" s="1662">
        <v>47.63</v>
      </c>
    </row>
    <row r="826" spans="1:5" x14ac:dyDescent="0.2">
      <c r="A826" s="135">
        <v>902</v>
      </c>
      <c r="B826" s="1926" t="s">
        <v>10428</v>
      </c>
      <c r="C826" s="1926" t="s">
        <v>47</v>
      </c>
      <c r="D826" s="1926" t="s">
        <v>46</v>
      </c>
      <c r="E826" s="1662">
        <v>57.9</v>
      </c>
    </row>
    <row r="827" spans="1:5" x14ac:dyDescent="0.2">
      <c r="A827" s="135">
        <v>927</v>
      </c>
      <c r="B827" s="1926" t="s">
        <v>10429</v>
      </c>
      <c r="C827" s="1926" t="s">
        <v>47</v>
      </c>
      <c r="D827" s="1926" t="s">
        <v>46</v>
      </c>
      <c r="E827" s="1662">
        <v>56.12</v>
      </c>
    </row>
    <row r="828" spans="1:5" x14ac:dyDescent="0.2">
      <c r="A828" s="135">
        <v>913</v>
      </c>
      <c r="B828" s="1926" t="s">
        <v>10430</v>
      </c>
      <c r="C828" s="1926" t="s">
        <v>47</v>
      </c>
      <c r="D828" s="1926" t="s">
        <v>46</v>
      </c>
      <c r="E828" s="1662">
        <v>62.64</v>
      </c>
    </row>
    <row r="829" spans="1:5" x14ac:dyDescent="0.2">
      <c r="A829" s="135">
        <v>903</v>
      </c>
      <c r="B829" s="1926" t="s">
        <v>10431</v>
      </c>
      <c r="C829" s="1926" t="s">
        <v>47</v>
      </c>
      <c r="D829" s="1926" t="s">
        <v>46</v>
      </c>
      <c r="E829" s="1662">
        <v>70.88</v>
      </c>
    </row>
    <row r="830" spans="1:5" x14ac:dyDescent="0.2">
      <c r="A830" s="135">
        <v>945</v>
      </c>
      <c r="B830" s="1926" t="s">
        <v>10432</v>
      </c>
      <c r="C830" s="1926" t="s">
        <v>47</v>
      </c>
      <c r="D830" s="1926" t="s">
        <v>46</v>
      </c>
      <c r="E830" s="1662">
        <v>74.989999999999995</v>
      </c>
    </row>
    <row r="831" spans="1:5" x14ac:dyDescent="0.2">
      <c r="A831" s="135">
        <v>914</v>
      </c>
      <c r="B831" s="1926" t="s">
        <v>10433</v>
      </c>
      <c r="C831" s="1926" t="s">
        <v>47</v>
      </c>
      <c r="D831" s="1926" t="s">
        <v>46</v>
      </c>
      <c r="E831" s="1662">
        <v>76.819999999999993</v>
      </c>
    </row>
    <row r="832" spans="1:5" x14ac:dyDescent="0.2">
      <c r="A832" s="135">
        <v>993</v>
      </c>
      <c r="B832" s="1926" t="s">
        <v>10434</v>
      </c>
      <c r="C832" s="1926" t="s">
        <v>47</v>
      </c>
      <c r="D832" s="1926" t="s">
        <v>40</v>
      </c>
      <c r="E832" s="1662">
        <v>1.74</v>
      </c>
    </row>
    <row r="833" spans="1:5" x14ac:dyDescent="0.2">
      <c r="A833" s="135">
        <v>1020</v>
      </c>
      <c r="B833" s="1926" t="s">
        <v>10435</v>
      </c>
      <c r="C833" s="1926" t="s">
        <v>47</v>
      </c>
      <c r="D833" s="1926" t="s">
        <v>40</v>
      </c>
      <c r="E833" s="1662">
        <v>7.57</v>
      </c>
    </row>
    <row r="834" spans="1:5" x14ac:dyDescent="0.2">
      <c r="A834" s="135">
        <v>1017</v>
      </c>
      <c r="B834" s="1926" t="s">
        <v>10436</v>
      </c>
      <c r="C834" s="1926" t="s">
        <v>47</v>
      </c>
      <c r="D834" s="1926" t="s">
        <v>40</v>
      </c>
      <c r="E834" s="1662">
        <v>83.19</v>
      </c>
    </row>
    <row r="835" spans="1:5" x14ac:dyDescent="0.2">
      <c r="A835" s="135">
        <v>999</v>
      </c>
      <c r="B835" s="1926" t="s">
        <v>10437</v>
      </c>
      <c r="C835" s="1926" t="s">
        <v>47</v>
      </c>
      <c r="D835" s="1926" t="s">
        <v>40</v>
      </c>
      <c r="E835" s="1662">
        <v>103.08</v>
      </c>
    </row>
    <row r="836" spans="1:5" x14ac:dyDescent="0.2">
      <c r="A836" s="135">
        <v>995</v>
      </c>
      <c r="B836" s="1926" t="s">
        <v>10438</v>
      </c>
      <c r="C836" s="1926" t="s">
        <v>47</v>
      </c>
      <c r="D836" s="1926" t="s">
        <v>40</v>
      </c>
      <c r="E836" s="1662">
        <v>11.61</v>
      </c>
    </row>
    <row r="837" spans="1:5" x14ac:dyDescent="0.2">
      <c r="A837" s="135">
        <v>1000</v>
      </c>
      <c r="B837" s="1926" t="s">
        <v>10439</v>
      </c>
      <c r="C837" s="1926" t="s">
        <v>47</v>
      </c>
      <c r="D837" s="1926" t="s">
        <v>40</v>
      </c>
      <c r="E837" s="1662">
        <v>126.36</v>
      </c>
    </row>
    <row r="838" spans="1:5" x14ac:dyDescent="0.2">
      <c r="A838" s="135">
        <v>1022</v>
      </c>
      <c r="B838" s="1926" t="s">
        <v>10440</v>
      </c>
      <c r="C838" s="1926" t="s">
        <v>47</v>
      </c>
      <c r="D838" s="1926" t="s">
        <v>40</v>
      </c>
      <c r="E838" s="1662">
        <v>2.41</v>
      </c>
    </row>
    <row r="839" spans="1:5" x14ac:dyDescent="0.2">
      <c r="A839" s="135">
        <v>1015</v>
      </c>
      <c r="B839" s="1926" t="s">
        <v>10441</v>
      </c>
      <c r="C839" s="1926" t="s">
        <v>47</v>
      </c>
      <c r="D839" s="1926" t="s">
        <v>40</v>
      </c>
      <c r="E839" s="1662">
        <v>166.38</v>
      </c>
    </row>
    <row r="840" spans="1:5" x14ac:dyDescent="0.2">
      <c r="A840" s="135">
        <v>996</v>
      </c>
      <c r="B840" s="1926" t="s">
        <v>10442</v>
      </c>
      <c r="C840" s="1926" t="s">
        <v>47</v>
      </c>
      <c r="D840" s="1926" t="s">
        <v>40</v>
      </c>
      <c r="E840" s="1662">
        <v>17.670000000000002</v>
      </c>
    </row>
    <row r="841" spans="1:5" x14ac:dyDescent="0.2">
      <c r="A841" s="135">
        <v>1001</v>
      </c>
      <c r="B841" s="1926" t="s">
        <v>10443</v>
      </c>
      <c r="C841" s="1926" t="s">
        <v>47</v>
      </c>
      <c r="D841" s="1926" t="s">
        <v>40</v>
      </c>
      <c r="E841" s="1662">
        <v>208.22</v>
      </c>
    </row>
    <row r="842" spans="1:5" x14ac:dyDescent="0.2">
      <c r="A842" s="135">
        <v>1019</v>
      </c>
      <c r="B842" s="1926" t="s">
        <v>10444</v>
      </c>
      <c r="C842" s="1926" t="s">
        <v>47</v>
      </c>
      <c r="D842" s="1926" t="s">
        <v>40</v>
      </c>
      <c r="E842" s="1662">
        <v>24.37</v>
      </c>
    </row>
    <row r="843" spans="1:5" x14ac:dyDescent="0.2">
      <c r="A843" s="135">
        <v>1021</v>
      </c>
      <c r="B843" s="1926" t="s">
        <v>10445</v>
      </c>
      <c r="C843" s="1926" t="s">
        <v>47</v>
      </c>
      <c r="D843" s="1926" t="s">
        <v>40</v>
      </c>
      <c r="E843" s="1662">
        <v>3.46</v>
      </c>
    </row>
    <row r="844" spans="1:5" x14ac:dyDescent="0.2">
      <c r="A844" s="135">
        <v>39249</v>
      </c>
      <c r="B844" s="1926" t="s">
        <v>10446</v>
      </c>
      <c r="C844" s="1926" t="s">
        <v>47</v>
      </c>
      <c r="D844" s="1926" t="s">
        <v>40</v>
      </c>
      <c r="E844" s="1662">
        <v>271.63</v>
      </c>
    </row>
    <row r="845" spans="1:5" x14ac:dyDescent="0.2">
      <c r="A845" s="135">
        <v>1018</v>
      </c>
      <c r="B845" s="1926" t="s">
        <v>10447</v>
      </c>
      <c r="C845" s="1926" t="s">
        <v>47</v>
      </c>
      <c r="D845" s="1926" t="s">
        <v>40</v>
      </c>
      <c r="E845" s="1662">
        <v>34.729999999999997</v>
      </c>
    </row>
    <row r="846" spans="1:5" x14ac:dyDescent="0.2">
      <c r="A846" s="135">
        <v>39250</v>
      </c>
      <c r="B846" s="1926" t="s">
        <v>10448</v>
      </c>
      <c r="C846" s="1926" t="s">
        <v>47</v>
      </c>
      <c r="D846" s="1926" t="s">
        <v>40</v>
      </c>
      <c r="E846" s="1662">
        <v>348.93</v>
      </c>
    </row>
    <row r="847" spans="1:5" x14ac:dyDescent="0.2">
      <c r="A847" s="135">
        <v>994</v>
      </c>
      <c r="B847" s="1926" t="s">
        <v>10449</v>
      </c>
      <c r="C847" s="1926" t="s">
        <v>47</v>
      </c>
      <c r="D847" s="1926" t="s">
        <v>40</v>
      </c>
      <c r="E847" s="1662">
        <v>4.72</v>
      </c>
    </row>
    <row r="848" spans="1:5" x14ac:dyDescent="0.2">
      <c r="A848" s="135">
        <v>977</v>
      </c>
      <c r="B848" s="1926" t="s">
        <v>10450</v>
      </c>
      <c r="C848" s="1926" t="s">
        <v>47</v>
      </c>
      <c r="D848" s="1926" t="s">
        <v>40</v>
      </c>
      <c r="E848" s="1662">
        <v>48.11</v>
      </c>
    </row>
    <row r="849" spans="1:5" x14ac:dyDescent="0.2">
      <c r="A849" s="135">
        <v>998</v>
      </c>
      <c r="B849" s="1926" t="s">
        <v>10451</v>
      </c>
      <c r="C849" s="1926" t="s">
        <v>47</v>
      </c>
      <c r="D849" s="1926" t="s">
        <v>40</v>
      </c>
      <c r="E849" s="1662">
        <v>63.91</v>
      </c>
    </row>
    <row r="850" spans="1:5" x14ac:dyDescent="0.2">
      <c r="A850" s="135">
        <v>39251</v>
      </c>
      <c r="B850" s="1926" t="s">
        <v>10452</v>
      </c>
      <c r="C850" s="1926" t="s">
        <v>47</v>
      </c>
      <c r="D850" s="1926" t="s">
        <v>40</v>
      </c>
      <c r="E850" s="1662">
        <v>0.46</v>
      </c>
    </row>
    <row r="851" spans="1:5" x14ac:dyDescent="0.2">
      <c r="A851" s="135">
        <v>1011</v>
      </c>
      <c r="B851" s="1926" t="s">
        <v>10453</v>
      </c>
      <c r="C851" s="1926" t="s">
        <v>47</v>
      </c>
      <c r="D851" s="1926" t="s">
        <v>40</v>
      </c>
      <c r="E851" s="1662">
        <v>0.64</v>
      </c>
    </row>
    <row r="852" spans="1:5" x14ac:dyDescent="0.2">
      <c r="A852" s="135">
        <v>39252</v>
      </c>
      <c r="B852" s="1926" t="s">
        <v>10454</v>
      </c>
      <c r="C852" s="1926" t="s">
        <v>47</v>
      </c>
      <c r="D852" s="1926" t="s">
        <v>40</v>
      </c>
      <c r="E852" s="1662">
        <v>0.77</v>
      </c>
    </row>
    <row r="853" spans="1:5" x14ac:dyDescent="0.2">
      <c r="A853" s="135">
        <v>1013</v>
      </c>
      <c r="B853" s="1926" t="s">
        <v>10455</v>
      </c>
      <c r="C853" s="1926" t="s">
        <v>47</v>
      </c>
      <c r="D853" s="1926" t="s">
        <v>40</v>
      </c>
      <c r="E853" s="1662">
        <v>1.02</v>
      </c>
    </row>
    <row r="854" spans="1:5" x14ac:dyDescent="0.2">
      <c r="A854" s="135">
        <v>980</v>
      </c>
      <c r="B854" s="1926" t="s">
        <v>10456</v>
      </c>
      <c r="C854" s="1926" t="s">
        <v>47</v>
      </c>
      <c r="D854" s="1926" t="s">
        <v>40</v>
      </c>
      <c r="E854" s="1662">
        <v>6.94</v>
      </c>
    </row>
    <row r="855" spans="1:5" x14ac:dyDescent="0.2">
      <c r="A855" s="135">
        <v>39237</v>
      </c>
      <c r="B855" s="1926" t="s">
        <v>10457</v>
      </c>
      <c r="C855" s="1926" t="s">
        <v>47</v>
      </c>
      <c r="D855" s="1926" t="s">
        <v>40</v>
      </c>
      <c r="E855" s="1662">
        <v>82.32</v>
      </c>
    </row>
    <row r="856" spans="1:5" x14ac:dyDescent="0.2">
      <c r="A856" s="135">
        <v>39238</v>
      </c>
      <c r="B856" s="1926" t="s">
        <v>10458</v>
      </c>
      <c r="C856" s="1926" t="s">
        <v>47</v>
      </c>
      <c r="D856" s="1926" t="s">
        <v>40</v>
      </c>
      <c r="E856" s="1662">
        <v>102.77</v>
      </c>
    </row>
    <row r="857" spans="1:5" x14ac:dyDescent="0.2">
      <c r="A857" s="135">
        <v>979</v>
      </c>
      <c r="B857" s="1926" t="s">
        <v>10459</v>
      </c>
      <c r="C857" s="1926" t="s">
        <v>47</v>
      </c>
      <c r="D857" s="1926" t="s">
        <v>43</v>
      </c>
      <c r="E857" s="1662">
        <v>10.7</v>
      </c>
    </row>
    <row r="858" spans="1:5" x14ac:dyDescent="0.2">
      <c r="A858" s="135">
        <v>39239</v>
      </c>
      <c r="B858" s="1926" t="s">
        <v>10460</v>
      </c>
      <c r="C858" s="1926" t="s">
        <v>47</v>
      </c>
      <c r="D858" s="1926" t="s">
        <v>40</v>
      </c>
      <c r="E858" s="1662">
        <v>125.08</v>
      </c>
    </row>
    <row r="859" spans="1:5" x14ac:dyDescent="0.2">
      <c r="A859" s="135">
        <v>1014</v>
      </c>
      <c r="B859" s="1926" t="s">
        <v>10461</v>
      </c>
      <c r="C859" s="1926" t="s">
        <v>47</v>
      </c>
      <c r="D859" s="1926" t="s">
        <v>40</v>
      </c>
      <c r="E859" s="1662">
        <v>1.62</v>
      </c>
    </row>
    <row r="860" spans="1:5" x14ac:dyDescent="0.2">
      <c r="A860" s="135">
        <v>39240</v>
      </c>
      <c r="B860" s="1926" t="s">
        <v>10462</v>
      </c>
      <c r="C860" s="1926" t="s">
        <v>47</v>
      </c>
      <c r="D860" s="1926" t="s">
        <v>40</v>
      </c>
      <c r="E860" s="1662">
        <v>165.32</v>
      </c>
    </row>
    <row r="861" spans="1:5" x14ac:dyDescent="0.2">
      <c r="A861" s="135">
        <v>39232</v>
      </c>
      <c r="B861" s="1926" t="s">
        <v>10463</v>
      </c>
      <c r="C861" s="1926" t="s">
        <v>47</v>
      </c>
      <c r="D861" s="1926" t="s">
        <v>40</v>
      </c>
      <c r="E861" s="1662">
        <v>17.16</v>
      </c>
    </row>
    <row r="862" spans="1:5" x14ac:dyDescent="0.2">
      <c r="A862" s="135">
        <v>39233</v>
      </c>
      <c r="B862" s="1926" t="s">
        <v>10464</v>
      </c>
      <c r="C862" s="1926" t="s">
        <v>47</v>
      </c>
      <c r="D862" s="1926" t="s">
        <v>40</v>
      </c>
      <c r="E862" s="1662">
        <v>23.6</v>
      </c>
    </row>
    <row r="863" spans="1:5" x14ac:dyDescent="0.2">
      <c r="A863" s="135">
        <v>981</v>
      </c>
      <c r="B863" s="1926" t="s">
        <v>10465</v>
      </c>
      <c r="C863" s="1926" t="s">
        <v>47</v>
      </c>
      <c r="D863" s="1926" t="s">
        <v>40</v>
      </c>
      <c r="E863" s="1662">
        <v>2.9</v>
      </c>
    </row>
    <row r="864" spans="1:5" x14ac:dyDescent="0.2">
      <c r="A864" s="135">
        <v>39234</v>
      </c>
      <c r="B864" s="1926" t="s">
        <v>10466</v>
      </c>
      <c r="C864" s="1926" t="s">
        <v>47</v>
      </c>
      <c r="D864" s="1926" t="s">
        <v>40</v>
      </c>
      <c r="E864" s="1662">
        <v>34.630000000000003</v>
      </c>
    </row>
    <row r="865" spans="1:5" x14ac:dyDescent="0.2">
      <c r="A865" s="135">
        <v>982</v>
      </c>
      <c r="B865" s="1926" t="s">
        <v>10467</v>
      </c>
      <c r="C865" s="1926" t="s">
        <v>47</v>
      </c>
      <c r="D865" s="1926" t="s">
        <v>40</v>
      </c>
      <c r="E865" s="1662">
        <v>4.0599999999999996</v>
      </c>
    </row>
    <row r="866" spans="1:5" x14ac:dyDescent="0.2">
      <c r="A866" s="135">
        <v>39235</v>
      </c>
      <c r="B866" s="1926" t="s">
        <v>10468</v>
      </c>
      <c r="C866" s="1926" t="s">
        <v>47</v>
      </c>
      <c r="D866" s="1926" t="s">
        <v>40</v>
      </c>
      <c r="E866" s="1662">
        <v>48.71</v>
      </c>
    </row>
    <row r="867" spans="1:5" x14ac:dyDescent="0.2">
      <c r="A867" s="135">
        <v>39236</v>
      </c>
      <c r="B867" s="1926" t="s">
        <v>10469</v>
      </c>
      <c r="C867" s="1926" t="s">
        <v>47</v>
      </c>
      <c r="D867" s="1926" t="s">
        <v>40</v>
      </c>
      <c r="E867" s="1662">
        <v>63.86</v>
      </c>
    </row>
    <row r="868" spans="1:5" x14ac:dyDescent="0.2">
      <c r="A868" s="135">
        <v>876</v>
      </c>
      <c r="B868" s="1926" t="s">
        <v>10470</v>
      </c>
      <c r="C868" s="1926" t="s">
        <v>47</v>
      </c>
      <c r="D868" s="1926" t="s">
        <v>40</v>
      </c>
      <c r="E868" s="1662">
        <v>164.85</v>
      </c>
    </row>
    <row r="869" spans="1:5" x14ac:dyDescent="0.2">
      <c r="A869" s="135">
        <v>877</v>
      </c>
      <c r="B869" s="1926" t="s">
        <v>10471</v>
      </c>
      <c r="C869" s="1926" t="s">
        <v>47</v>
      </c>
      <c r="D869" s="1926" t="s">
        <v>40</v>
      </c>
      <c r="E869" s="1662">
        <v>193.8</v>
      </c>
    </row>
    <row r="870" spans="1:5" x14ac:dyDescent="0.2">
      <c r="A870" s="135">
        <v>882</v>
      </c>
      <c r="B870" s="1926" t="s">
        <v>10472</v>
      </c>
      <c r="C870" s="1926" t="s">
        <v>47</v>
      </c>
      <c r="D870" s="1926" t="s">
        <v>40</v>
      </c>
      <c r="E870" s="1662">
        <v>211.18</v>
      </c>
    </row>
    <row r="871" spans="1:5" x14ac:dyDescent="0.2">
      <c r="A871" s="135">
        <v>878</v>
      </c>
      <c r="B871" s="1926" t="s">
        <v>10473</v>
      </c>
      <c r="C871" s="1926" t="s">
        <v>47</v>
      </c>
      <c r="D871" s="1926" t="s">
        <v>40</v>
      </c>
      <c r="E871" s="1662">
        <v>262.54000000000002</v>
      </c>
    </row>
    <row r="872" spans="1:5" x14ac:dyDescent="0.2">
      <c r="A872" s="135">
        <v>879</v>
      </c>
      <c r="B872" s="1926" t="s">
        <v>10474</v>
      </c>
      <c r="C872" s="1926" t="s">
        <v>47</v>
      </c>
      <c r="D872" s="1926" t="s">
        <v>40</v>
      </c>
      <c r="E872" s="1662">
        <v>309.45</v>
      </c>
    </row>
    <row r="873" spans="1:5" x14ac:dyDescent="0.2">
      <c r="A873" s="135">
        <v>880</v>
      </c>
      <c r="B873" s="1926" t="s">
        <v>10475</v>
      </c>
      <c r="C873" s="1926" t="s">
        <v>47</v>
      </c>
      <c r="D873" s="1926" t="s">
        <v>40</v>
      </c>
      <c r="E873" s="1662">
        <v>364.1</v>
      </c>
    </row>
    <row r="874" spans="1:5" x14ac:dyDescent="0.2">
      <c r="A874" s="135">
        <v>873</v>
      </c>
      <c r="B874" s="1926" t="s">
        <v>10476</v>
      </c>
      <c r="C874" s="1926" t="s">
        <v>47</v>
      </c>
      <c r="D874" s="1926" t="s">
        <v>40</v>
      </c>
      <c r="E874" s="1662">
        <v>110.71</v>
      </c>
    </row>
    <row r="875" spans="1:5" x14ac:dyDescent="0.2">
      <c r="A875" s="135">
        <v>881</v>
      </c>
      <c r="B875" s="1926" t="s">
        <v>10477</v>
      </c>
      <c r="C875" s="1926" t="s">
        <v>47</v>
      </c>
      <c r="D875" s="1926" t="s">
        <v>40</v>
      </c>
      <c r="E875" s="1662">
        <v>497.67</v>
      </c>
    </row>
    <row r="876" spans="1:5" x14ac:dyDescent="0.2">
      <c r="A876" s="135">
        <v>874</v>
      </c>
      <c r="B876" s="1926" t="s">
        <v>10478</v>
      </c>
      <c r="C876" s="1926" t="s">
        <v>47</v>
      </c>
      <c r="D876" s="1926" t="s">
        <v>40</v>
      </c>
      <c r="E876" s="1662">
        <v>131.38999999999999</v>
      </c>
    </row>
    <row r="877" spans="1:5" x14ac:dyDescent="0.2">
      <c r="A877" s="135">
        <v>875</v>
      </c>
      <c r="B877" s="1926" t="s">
        <v>10479</v>
      </c>
      <c r="C877" s="1926" t="s">
        <v>47</v>
      </c>
      <c r="D877" s="1926" t="s">
        <v>40</v>
      </c>
      <c r="E877" s="1662">
        <v>156.76</v>
      </c>
    </row>
    <row r="878" spans="1:5" x14ac:dyDescent="0.2">
      <c r="A878" s="135">
        <v>983</v>
      </c>
      <c r="B878" s="1926" t="s">
        <v>10480</v>
      </c>
      <c r="C878" s="1926" t="s">
        <v>47</v>
      </c>
      <c r="D878" s="1926" t="s">
        <v>40</v>
      </c>
      <c r="E878" s="1662">
        <v>0.98</v>
      </c>
    </row>
    <row r="879" spans="1:5" x14ac:dyDescent="0.2">
      <c r="A879" s="135">
        <v>985</v>
      </c>
      <c r="B879" s="1926" t="s">
        <v>10481</v>
      </c>
      <c r="C879" s="1926" t="s">
        <v>47</v>
      </c>
      <c r="D879" s="1926" t="s">
        <v>40</v>
      </c>
      <c r="E879" s="1662">
        <v>7.36</v>
      </c>
    </row>
    <row r="880" spans="1:5" x14ac:dyDescent="0.2">
      <c r="A880" s="135">
        <v>990</v>
      </c>
      <c r="B880" s="1926" t="s">
        <v>10482</v>
      </c>
      <c r="C880" s="1926" t="s">
        <v>47</v>
      </c>
      <c r="D880" s="1926" t="s">
        <v>40</v>
      </c>
      <c r="E880" s="1662">
        <v>100.77</v>
      </c>
    </row>
    <row r="881" spans="1:5" x14ac:dyDescent="0.2">
      <c r="A881" s="135">
        <v>39241</v>
      </c>
      <c r="B881" s="1926" t="s">
        <v>10483</v>
      </c>
      <c r="C881" s="1926" t="s">
        <v>47</v>
      </c>
      <c r="D881" s="1926" t="s">
        <v>40</v>
      </c>
      <c r="E881" s="1662">
        <v>11.52</v>
      </c>
    </row>
    <row r="882" spans="1:5" x14ac:dyDescent="0.2">
      <c r="A882" s="135">
        <v>1005</v>
      </c>
      <c r="B882" s="1926" t="s">
        <v>10484</v>
      </c>
      <c r="C882" s="1926" t="s">
        <v>47</v>
      </c>
      <c r="D882" s="1926" t="s">
        <v>40</v>
      </c>
      <c r="E882" s="1662">
        <v>123.68</v>
      </c>
    </row>
    <row r="883" spans="1:5" x14ac:dyDescent="0.2">
      <c r="A883" s="135">
        <v>984</v>
      </c>
      <c r="B883" s="1926" t="s">
        <v>10485</v>
      </c>
      <c r="C883" s="1926" t="s">
        <v>47</v>
      </c>
      <c r="D883" s="1926" t="s">
        <v>40</v>
      </c>
      <c r="E883" s="1662">
        <v>2.54</v>
      </c>
    </row>
    <row r="884" spans="1:5" x14ac:dyDescent="0.2">
      <c r="A884" s="135">
        <v>991</v>
      </c>
      <c r="B884" s="1926" t="s">
        <v>10486</v>
      </c>
      <c r="C884" s="1926" t="s">
        <v>47</v>
      </c>
      <c r="D884" s="1926" t="s">
        <v>40</v>
      </c>
      <c r="E884" s="1662">
        <v>163.43</v>
      </c>
    </row>
    <row r="885" spans="1:5" x14ac:dyDescent="0.2">
      <c r="A885" s="135">
        <v>986</v>
      </c>
      <c r="B885" s="1926" t="s">
        <v>10487</v>
      </c>
      <c r="C885" s="1926" t="s">
        <v>47</v>
      </c>
      <c r="D885" s="1926" t="s">
        <v>40</v>
      </c>
      <c r="E885" s="1662">
        <v>17.61</v>
      </c>
    </row>
    <row r="886" spans="1:5" x14ac:dyDescent="0.2">
      <c r="A886" s="135">
        <v>1024</v>
      </c>
      <c r="B886" s="1926" t="s">
        <v>10488</v>
      </c>
      <c r="C886" s="1926" t="s">
        <v>47</v>
      </c>
      <c r="D886" s="1926" t="s">
        <v>40</v>
      </c>
      <c r="E886" s="1662">
        <v>202.28</v>
      </c>
    </row>
    <row r="887" spans="1:5" x14ac:dyDescent="0.2">
      <c r="A887" s="135">
        <v>987</v>
      </c>
      <c r="B887" s="1926" t="s">
        <v>10489</v>
      </c>
      <c r="C887" s="1926" t="s">
        <v>47</v>
      </c>
      <c r="D887" s="1926" t="s">
        <v>40</v>
      </c>
      <c r="E887" s="1662">
        <v>23.92</v>
      </c>
    </row>
    <row r="888" spans="1:5" x14ac:dyDescent="0.2">
      <c r="A888" s="135">
        <v>1003</v>
      </c>
      <c r="B888" s="1926" t="s">
        <v>10490</v>
      </c>
      <c r="C888" s="1926" t="s">
        <v>47</v>
      </c>
      <c r="D888" s="1926" t="s">
        <v>40</v>
      </c>
      <c r="E888" s="1662">
        <v>3.72</v>
      </c>
    </row>
    <row r="889" spans="1:5" x14ac:dyDescent="0.2">
      <c r="A889" s="135">
        <v>992</v>
      </c>
      <c r="B889" s="1926" t="s">
        <v>10491</v>
      </c>
      <c r="C889" s="1926" t="s">
        <v>47</v>
      </c>
      <c r="D889" s="1926" t="s">
        <v>40</v>
      </c>
      <c r="E889" s="1662">
        <v>261.7</v>
      </c>
    </row>
    <row r="890" spans="1:5" x14ac:dyDescent="0.2">
      <c r="A890" s="135">
        <v>1007</v>
      </c>
      <c r="B890" s="1926" t="s">
        <v>10492</v>
      </c>
      <c r="C890" s="1926" t="s">
        <v>47</v>
      </c>
      <c r="D890" s="1926" t="s">
        <v>40</v>
      </c>
      <c r="E890" s="1662">
        <v>33.94</v>
      </c>
    </row>
    <row r="891" spans="1:5" x14ac:dyDescent="0.2">
      <c r="A891" s="135">
        <v>39242</v>
      </c>
      <c r="B891" s="1926" t="s">
        <v>10493</v>
      </c>
      <c r="C891" s="1926" t="s">
        <v>47</v>
      </c>
      <c r="D891" s="1926" t="s">
        <v>40</v>
      </c>
      <c r="E891" s="1662">
        <v>324.26</v>
      </c>
    </row>
    <row r="892" spans="1:5" x14ac:dyDescent="0.2">
      <c r="A892" s="135">
        <v>1008</v>
      </c>
      <c r="B892" s="1926" t="s">
        <v>10494</v>
      </c>
      <c r="C892" s="1926" t="s">
        <v>47</v>
      </c>
      <c r="D892" s="1926" t="s">
        <v>40</v>
      </c>
      <c r="E892" s="1662">
        <v>4.22</v>
      </c>
    </row>
    <row r="893" spans="1:5" x14ac:dyDescent="0.2">
      <c r="A893" s="135">
        <v>988</v>
      </c>
      <c r="B893" s="1926" t="s">
        <v>10495</v>
      </c>
      <c r="C893" s="1926" t="s">
        <v>47</v>
      </c>
      <c r="D893" s="1926" t="s">
        <v>40</v>
      </c>
      <c r="E893" s="1662">
        <v>46.88</v>
      </c>
    </row>
    <row r="894" spans="1:5" x14ac:dyDescent="0.2">
      <c r="A894" s="135">
        <v>989</v>
      </c>
      <c r="B894" s="1926" t="s">
        <v>10496</v>
      </c>
      <c r="C894" s="1926" t="s">
        <v>47</v>
      </c>
      <c r="D894" s="1926" t="s">
        <v>40</v>
      </c>
      <c r="E894" s="1662">
        <v>63.5</v>
      </c>
    </row>
    <row r="895" spans="1:5" x14ac:dyDescent="0.2">
      <c r="A895" s="135">
        <v>39598</v>
      </c>
      <c r="B895" s="1926" t="s">
        <v>10497</v>
      </c>
      <c r="C895" s="1926" t="s">
        <v>47</v>
      </c>
      <c r="D895" s="1926" t="s">
        <v>40</v>
      </c>
      <c r="E895" s="1662">
        <v>1.19</v>
      </c>
    </row>
    <row r="896" spans="1:5" x14ac:dyDescent="0.2">
      <c r="A896" s="135">
        <v>39599</v>
      </c>
      <c r="B896" s="1926" t="s">
        <v>10498</v>
      </c>
      <c r="C896" s="1926" t="s">
        <v>47</v>
      </c>
      <c r="D896" s="1926" t="s">
        <v>40</v>
      </c>
      <c r="E896" s="1662">
        <v>1.79</v>
      </c>
    </row>
    <row r="897" spans="1:5" x14ac:dyDescent="0.2">
      <c r="A897" s="135">
        <v>34602</v>
      </c>
      <c r="B897" s="1926" t="s">
        <v>10499</v>
      </c>
      <c r="C897" s="1926" t="s">
        <v>47</v>
      </c>
      <c r="D897" s="1926" t="s">
        <v>46</v>
      </c>
      <c r="E897" s="1662">
        <v>2.13</v>
      </c>
    </row>
    <row r="898" spans="1:5" x14ac:dyDescent="0.2">
      <c r="A898" s="135">
        <v>34603</v>
      </c>
      <c r="B898" s="1926" t="s">
        <v>10500</v>
      </c>
      <c r="C898" s="1926" t="s">
        <v>47</v>
      </c>
      <c r="D898" s="1926" t="s">
        <v>46</v>
      </c>
      <c r="E898" s="1662">
        <v>10.28</v>
      </c>
    </row>
    <row r="899" spans="1:5" x14ac:dyDescent="0.2">
      <c r="A899" s="135">
        <v>34607</v>
      </c>
      <c r="B899" s="1926" t="s">
        <v>10501</v>
      </c>
      <c r="C899" s="1926" t="s">
        <v>47</v>
      </c>
      <c r="D899" s="1926" t="s">
        <v>46</v>
      </c>
      <c r="E899" s="1662">
        <v>4.58</v>
      </c>
    </row>
    <row r="900" spans="1:5" x14ac:dyDescent="0.2">
      <c r="A900" s="135">
        <v>34609</v>
      </c>
      <c r="B900" s="1926" t="s">
        <v>10502</v>
      </c>
      <c r="C900" s="1926" t="s">
        <v>47</v>
      </c>
      <c r="D900" s="1926" t="s">
        <v>46</v>
      </c>
      <c r="E900" s="1662">
        <v>6.87</v>
      </c>
    </row>
    <row r="901" spans="1:5" x14ac:dyDescent="0.2">
      <c r="A901" s="135">
        <v>34618</v>
      </c>
      <c r="B901" s="1926" t="s">
        <v>10503</v>
      </c>
      <c r="C901" s="1926" t="s">
        <v>47</v>
      </c>
      <c r="D901" s="1926" t="s">
        <v>46</v>
      </c>
      <c r="E901" s="1662">
        <v>2.83</v>
      </c>
    </row>
    <row r="902" spans="1:5" x14ac:dyDescent="0.2">
      <c r="A902" s="135">
        <v>34620</v>
      </c>
      <c r="B902" s="1926" t="s">
        <v>10504</v>
      </c>
      <c r="C902" s="1926" t="s">
        <v>47</v>
      </c>
      <c r="D902" s="1926" t="s">
        <v>46</v>
      </c>
      <c r="E902" s="1662">
        <v>14.18</v>
      </c>
    </row>
    <row r="903" spans="1:5" x14ac:dyDescent="0.2">
      <c r="A903" s="135">
        <v>34621</v>
      </c>
      <c r="B903" s="1926" t="s">
        <v>10505</v>
      </c>
      <c r="C903" s="1926" t="s">
        <v>47</v>
      </c>
      <c r="D903" s="1926" t="s">
        <v>46</v>
      </c>
      <c r="E903" s="1662">
        <v>6.58</v>
      </c>
    </row>
    <row r="904" spans="1:5" x14ac:dyDescent="0.2">
      <c r="A904" s="135">
        <v>34622</v>
      </c>
      <c r="B904" s="1926" t="s">
        <v>10506</v>
      </c>
      <c r="C904" s="1926" t="s">
        <v>47</v>
      </c>
      <c r="D904" s="1926" t="s">
        <v>46</v>
      </c>
      <c r="E904" s="1662">
        <v>9.32</v>
      </c>
    </row>
    <row r="905" spans="1:5" x14ac:dyDescent="0.2">
      <c r="A905" s="135">
        <v>34624</v>
      </c>
      <c r="B905" s="1926" t="s">
        <v>10507</v>
      </c>
      <c r="C905" s="1926" t="s">
        <v>47</v>
      </c>
      <c r="D905" s="1926" t="s">
        <v>46</v>
      </c>
      <c r="E905" s="1662">
        <v>3.62</v>
      </c>
    </row>
    <row r="906" spans="1:5" x14ac:dyDescent="0.2">
      <c r="A906" s="135">
        <v>34626</v>
      </c>
      <c r="B906" s="1926" t="s">
        <v>10508</v>
      </c>
      <c r="C906" s="1926" t="s">
        <v>47</v>
      </c>
      <c r="D906" s="1926" t="s">
        <v>46</v>
      </c>
      <c r="E906" s="1662">
        <v>19.5</v>
      </c>
    </row>
    <row r="907" spans="1:5" x14ac:dyDescent="0.2">
      <c r="A907" s="135">
        <v>34627</v>
      </c>
      <c r="B907" s="1926" t="s">
        <v>10509</v>
      </c>
      <c r="C907" s="1926" t="s">
        <v>47</v>
      </c>
      <c r="D907" s="1926" t="s">
        <v>46</v>
      </c>
      <c r="E907" s="1662">
        <v>8.4</v>
      </c>
    </row>
    <row r="908" spans="1:5" x14ac:dyDescent="0.2">
      <c r="A908" s="135">
        <v>34629</v>
      </c>
      <c r="B908" s="1926" t="s">
        <v>10510</v>
      </c>
      <c r="C908" s="1926" t="s">
        <v>47</v>
      </c>
      <c r="D908" s="1926" t="s">
        <v>46</v>
      </c>
      <c r="E908" s="1662">
        <v>12.3</v>
      </c>
    </row>
    <row r="909" spans="1:5" x14ac:dyDescent="0.2">
      <c r="A909" s="135">
        <v>39257</v>
      </c>
      <c r="B909" s="1926" t="s">
        <v>10511</v>
      </c>
      <c r="C909" s="1926" t="s">
        <v>47</v>
      </c>
      <c r="D909" s="1926" t="s">
        <v>40</v>
      </c>
      <c r="E909" s="1662">
        <v>4.43</v>
      </c>
    </row>
    <row r="910" spans="1:5" x14ac:dyDescent="0.2">
      <c r="A910" s="135">
        <v>39261</v>
      </c>
      <c r="B910" s="1926" t="s">
        <v>10512</v>
      </c>
      <c r="C910" s="1926" t="s">
        <v>47</v>
      </c>
      <c r="D910" s="1926" t="s">
        <v>40</v>
      </c>
      <c r="E910" s="1662">
        <v>23.62</v>
      </c>
    </row>
    <row r="911" spans="1:5" x14ac:dyDescent="0.2">
      <c r="A911" s="135">
        <v>39268</v>
      </c>
      <c r="B911" s="1926" t="s">
        <v>10513</v>
      </c>
      <c r="C911" s="1926" t="s">
        <v>47</v>
      </c>
      <c r="D911" s="1926" t="s">
        <v>40</v>
      </c>
      <c r="E911" s="1662">
        <v>272.56</v>
      </c>
    </row>
    <row r="912" spans="1:5" x14ac:dyDescent="0.2">
      <c r="A912" s="135">
        <v>39262</v>
      </c>
      <c r="B912" s="1926" t="s">
        <v>10514</v>
      </c>
      <c r="C912" s="1926" t="s">
        <v>47</v>
      </c>
      <c r="D912" s="1926" t="s">
        <v>40</v>
      </c>
      <c r="E912" s="1662">
        <v>36.93</v>
      </c>
    </row>
    <row r="913" spans="1:5" x14ac:dyDescent="0.2">
      <c r="A913" s="135">
        <v>39258</v>
      </c>
      <c r="B913" s="1926" t="s">
        <v>10515</v>
      </c>
      <c r="C913" s="1926" t="s">
        <v>47</v>
      </c>
      <c r="D913" s="1926" t="s">
        <v>40</v>
      </c>
      <c r="E913" s="1662">
        <v>6.57</v>
      </c>
    </row>
    <row r="914" spans="1:5" x14ac:dyDescent="0.2">
      <c r="A914" s="135">
        <v>39263</v>
      </c>
      <c r="B914" s="1926" t="s">
        <v>10516</v>
      </c>
      <c r="C914" s="1926" t="s">
        <v>47</v>
      </c>
      <c r="D914" s="1926" t="s">
        <v>40</v>
      </c>
      <c r="E914" s="1662">
        <v>57.15</v>
      </c>
    </row>
    <row r="915" spans="1:5" x14ac:dyDescent="0.2">
      <c r="A915" s="135">
        <v>39264</v>
      </c>
      <c r="B915" s="1926" t="s">
        <v>10517</v>
      </c>
      <c r="C915" s="1926" t="s">
        <v>47</v>
      </c>
      <c r="D915" s="1926" t="s">
        <v>40</v>
      </c>
      <c r="E915" s="1662">
        <v>77.38</v>
      </c>
    </row>
    <row r="916" spans="1:5" x14ac:dyDescent="0.2">
      <c r="A916" s="135">
        <v>39259</v>
      </c>
      <c r="B916" s="1926" t="s">
        <v>10518</v>
      </c>
      <c r="C916" s="1926" t="s">
        <v>47</v>
      </c>
      <c r="D916" s="1926" t="s">
        <v>40</v>
      </c>
      <c r="E916" s="1662">
        <v>10.01</v>
      </c>
    </row>
    <row r="917" spans="1:5" x14ac:dyDescent="0.2">
      <c r="A917" s="135">
        <v>39265</v>
      </c>
      <c r="B917" s="1926" t="s">
        <v>10519</v>
      </c>
      <c r="C917" s="1926" t="s">
        <v>47</v>
      </c>
      <c r="D917" s="1926" t="s">
        <v>40</v>
      </c>
      <c r="E917" s="1662">
        <v>113.99</v>
      </c>
    </row>
    <row r="918" spans="1:5" x14ac:dyDescent="0.2">
      <c r="A918" s="135">
        <v>39260</v>
      </c>
      <c r="B918" s="1926" t="s">
        <v>10520</v>
      </c>
      <c r="C918" s="1926" t="s">
        <v>47</v>
      </c>
      <c r="D918" s="1926" t="s">
        <v>40</v>
      </c>
      <c r="E918" s="1662">
        <v>14.25</v>
      </c>
    </row>
    <row r="919" spans="1:5" x14ac:dyDescent="0.2">
      <c r="A919" s="135">
        <v>39266</v>
      </c>
      <c r="B919" s="1926" t="s">
        <v>10521</v>
      </c>
      <c r="C919" s="1926" t="s">
        <v>47</v>
      </c>
      <c r="D919" s="1926" t="s">
        <v>40</v>
      </c>
      <c r="E919" s="1662">
        <v>159.94999999999999</v>
      </c>
    </row>
    <row r="920" spans="1:5" x14ac:dyDescent="0.2">
      <c r="A920" s="135">
        <v>39267</v>
      </c>
      <c r="B920" s="1926" t="s">
        <v>10522</v>
      </c>
      <c r="C920" s="1926" t="s">
        <v>47</v>
      </c>
      <c r="D920" s="1926" t="s">
        <v>40</v>
      </c>
      <c r="E920" s="1662">
        <v>209.67</v>
      </c>
    </row>
    <row r="921" spans="1:5" x14ac:dyDescent="0.2">
      <c r="A921" s="135">
        <v>11901</v>
      </c>
      <c r="B921" s="1926" t="s">
        <v>10523</v>
      </c>
      <c r="C921" s="1926" t="s">
        <v>47</v>
      </c>
      <c r="D921" s="1926" t="s">
        <v>43</v>
      </c>
      <c r="E921" s="1662">
        <v>0.6</v>
      </c>
    </row>
    <row r="922" spans="1:5" x14ac:dyDescent="0.2">
      <c r="A922" s="135">
        <v>11902</v>
      </c>
      <c r="B922" s="1926" t="s">
        <v>10524</v>
      </c>
      <c r="C922" s="1926" t="s">
        <v>47</v>
      </c>
      <c r="D922" s="1926" t="s">
        <v>40</v>
      </c>
      <c r="E922" s="1662">
        <v>1.04</v>
      </c>
    </row>
    <row r="923" spans="1:5" x14ac:dyDescent="0.2">
      <c r="A923" s="135">
        <v>11903</v>
      </c>
      <c r="B923" s="1926" t="s">
        <v>10525</v>
      </c>
      <c r="C923" s="1926" t="s">
        <v>47</v>
      </c>
      <c r="D923" s="1926" t="s">
        <v>40</v>
      </c>
      <c r="E923" s="1662">
        <v>1.61</v>
      </c>
    </row>
    <row r="924" spans="1:5" x14ac:dyDescent="0.2">
      <c r="A924" s="135">
        <v>11904</v>
      </c>
      <c r="B924" s="1926" t="s">
        <v>10526</v>
      </c>
      <c r="C924" s="1926" t="s">
        <v>47</v>
      </c>
      <c r="D924" s="1926" t="s">
        <v>40</v>
      </c>
      <c r="E924" s="1662">
        <v>2.0499999999999998</v>
      </c>
    </row>
    <row r="925" spans="1:5" x14ac:dyDescent="0.2">
      <c r="A925" s="135">
        <v>11905</v>
      </c>
      <c r="B925" s="1926" t="s">
        <v>10527</v>
      </c>
      <c r="C925" s="1926" t="s">
        <v>47</v>
      </c>
      <c r="D925" s="1926" t="s">
        <v>40</v>
      </c>
      <c r="E925" s="1662">
        <v>2.77</v>
      </c>
    </row>
    <row r="926" spans="1:5" x14ac:dyDescent="0.2">
      <c r="A926" s="135">
        <v>11906</v>
      </c>
      <c r="B926" s="1926" t="s">
        <v>10528</v>
      </c>
      <c r="C926" s="1926" t="s">
        <v>47</v>
      </c>
      <c r="D926" s="1926" t="s">
        <v>40</v>
      </c>
      <c r="E926" s="1662">
        <v>3.18</v>
      </c>
    </row>
    <row r="927" spans="1:5" x14ac:dyDescent="0.2">
      <c r="A927" s="135">
        <v>11919</v>
      </c>
      <c r="B927" s="1926" t="s">
        <v>10529</v>
      </c>
      <c r="C927" s="1926" t="s">
        <v>47</v>
      </c>
      <c r="D927" s="1926" t="s">
        <v>40</v>
      </c>
      <c r="E927" s="1662">
        <v>6.25</v>
      </c>
    </row>
    <row r="928" spans="1:5" x14ac:dyDescent="0.2">
      <c r="A928" s="135">
        <v>11920</v>
      </c>
      <c r="B928" s="1926" t="s">
        <v>10530</v>
      </c>
      <c r="C928" s="1926" t="s">
        <v>47</v>
      </c>
      <c r="D928" s="1926" t="s">
        <v>40</v>
      </c>
      <c r="E928" s="1662">
        <v>12.11</v>
      </c>
    </row>
    <row r="929" spans="1:5" x14ac:dyDescent="0.2">
      <c r="A929" s="135">
        <v>11924</v>
      </c>
      <c r="B929" s="1926" t="s">
        <v>10531</v>
      </c>
      <c r="C929" s="1926" t="s">
        <v>47</v>
      </c>
      <c r="D929" s="1926" t="s">
        <v>40</v>
      </c>
      <c r="E929" s="1662">
        <v>117.74</v>
      </c>
    </row>
    <row r="930" spans="1:5" x14ac:dyDescent="0.2">
      <c r="A930" s="135">
        <v>11921</v>
      </c>
      <c r="B930" s="1926" t="s">
        <v>10532</v>
      </c>
      <c r="C930" s="1926" t="s">
        <v>47</v>
      </c>
      <c r="D930" s="1926" t="s">
        <v>40</v>
      </c>
      <c r="E930" s="1662">
        <v>16.48</v>
      </c>
    </row>
    <row r="931" spans="1:5" x14ac:dyDescent="0.2">
      <c r="A931" s="135">
        <v>11922</v>
      </c>
      <c r="B931" s="1926" t="s">
        <v>10533</v>
      </c>
      <c r="C931" s="1926" t="s">
        <v>47</v>
      </c>
      <c r="D931" s="1926" t="s">
        <v>40</v>
      </c>
      <c r="E931" s="1662">
        <v>29.26</v>
      </c>
    </row>
    <row r="932" spans="1:5" x14ac:dyDescent="0.2">
      <c r="A932" s="135">
        <v>11923</v>
      </c>
      <c r="B932" s="1926" t="s">
        <v>10534</v>
      </c>
      <c r="C932" s="1926" t="s">
        <v>47</v>
      </c>
      <c r="D932" s="1926" t="s">
        <v>40</v>
      </c>
      <c r="E932" s="1662">
        <v>47.8</v>
      </c>
    </row>
    <row r="933" spans="1:5" x14ac:dyDescent="0.2">
      <c r="A933" s="135">
        <v>11916</v>
      </c>
      <c r="B933" s="1926" t="s">
        <v>10535</v>
      </c>
      <c r="C933" s="1926" t="s">
        <v>47</v>
      </c>
      <c r="D933" s="1926" t="s">
        <v>40</v>
      </c>
      <c r="E933" s="1662">
        <v>8.11</v>
      </c>
    </row>
    <row r="934" spans="1:5" x14ac:dyDescent="0.2">
      <c r="A934" s="135">
        <v>11914</v>
      </c>
      <c r="B934" s="1926" t="s">
        <v>10536</v>
      </c>
      <c r="C934" s="1926" t="s">
        <v>47</v>
      </c>
      <c r="D934" s="1926" t="s">
        <v>40</v>
      </c>
      <c r="E934" s="1662">
        <v>58.89</v>
      </c>
    </row>
    <row r="935" spans="1:5" x14ac:dyDescent="0.2">
      <c r="A935" s="135">
        <v>11917</v>
      </c>
      <c r="B935" s="1926" t="s">
        <v>10537</v>
      </c>
      <c r="C935" s="1926" t="s">
        <v>47</v>
      </c>
      <c r="D935" s="1926" t="s">
        <v>40</v>
      </c>
      <c r="E935" s="1662">
        <v>14.11</v>
      </c>
    </row>
    <row r="936" spans="1:5" x14ac:dyDescent="0.2">
      <c r="A936" s="135">
        <v>11918</v>
      </c>
      <c r="B936" s="1926" t="s">
        <v>10538</v>
      </c>
      <c r="C936" s="1926" t="s">
        <v>47</v>
      </c>
      <c r="D936" s="1926" t="s">
        <v>40</v>
      </c>
      <c r="E936" s="1662">
        <v>19.149999999999999</v>
      </c>
    </row>
    <row r="937" spans="1:5" x14ac:dyDescent="0.2">
      <c r="A937" s="135">
        <v>37734</v>
      </c>
      <c r="B937" s="1926" t="s">
        <v>10539</v>
      </c>
      <c r="C937" s="1926" t="s">
        <v>39</v>
      </c>
      <c r="D937" s="1926" t="s">
        <v>46</v>
      </c>
      <c r="E937" s="1662">
        <v>45253.13</v>
      </c>
    </row>
    <row r="938" spans="1:5" x14ac:dyDescent="0.2">
      <c r="A938" s="135">
        <v>42251</v>
      </c>
      <c r="B938" s="1926" t="s">
        <v>10540</v>
      </c>
      <c r="C938" s="1926" t="s">
        <v>39</v>
      </c>
      <c r="D938" s="1926" t="s">
        <v>46</v>
      </c>
      <c r="E938" s="1662">
        <v>51387.69</v>
      </c>
    </row>
    <row r="939" spans="1:5" x14ac:dyDescent="0.2">
      <c r="A939" s="135">
        <v>37733</v>
      </c>
      <c r="B939" s="1926" t="s">
        <v>10541</v>
      </c>
      <c r="C939" s="1926" t="s">
        <v>39</v>
      </c>
      <c r="D939" s="1926" t="s">
        <v>46</v>
      </c>
      <c r="E939" s="1662">
        <v>33930.620000000003</v>
      </c>
    </row>
    <row r="940" spans="1:5" x14ac:dyDescent="0.2">
      <c r="A940" s="135">
        <v>37735</v>
      </c>
      <c r="B940" s="1926" t="s">
        <v>10542</v>
      </c>
      <c r="C940" s="1926" t="s">
        <v>39</v>
      </c>
      <c r="D940" s="1926" t="s">
        <v>46</v>
      </c>
      <c r="E940" s="1662">
        <v>40886.400000000001</v>
      </c>
    </row>
    <row r="941" spans="1:5" x14ac:dyDescent="0.2">
      <c r="A941" s="135">
        <v>5090</v>
      </c>
      <c r="B941" s="1926" t="s">
        <v>10543</v>
      </c>
      <c r="C941" s="1926" t="s">
        <v>39</v>
      </c>
      <c r="D941" s="1926" t="s">
        <v>43</v>
      </c>
      <c r="E941" s="1662">
        <v>14.6</v>
      </c>
    </row>
    <row r="942" spans="1:5" x14ac:dyDescent="0.2">
      <c r="A942" s="135">
        <v>5085</v>
      </c>
      <c r="B942" s="1926" t="s">
        <v>10544</v>
      </c>
      <c r="C942" s="1926" t="s">
        <v>39</v>
      </c>
      <c r="D942" s="1926" t="s">
        <v>40</v>
      </c>
      <c r="E942" s="1662">
        <v>16.28</v>
      </c>
    </row>
    <row r="943" spans="1:5" x14ac:dyDescent="0.2">
      <c r="A943" s="135">
        <v>38374</v>
      </c>
      <c r="B943" s="1926" t="s">
        <v>10545</v>
      </c>
      <c r="C943" s="1926" t="s">
        <v>39</v>
      </c>
      <c r="D943" s="1926" t="s">
        <v>40</v>
      </c>
      <c r="E943" s="1662">
        <v>836.01</v>
      </c>
    </row>
    <row r="944" spans="1:5" x14ac:dyDescent="0.2">
      <c r="A944" s="135">
        <v>20212</v>
      </c>
      <c r="B944" s="1926" t="s">
        <v>10546</v>
      </c>
      <c r="C944" s="1926" t="s">
        <v>47</v>
      </c>
      <c r="D944" s="1926" t="s">
        <v>40</v>
      </c>
      <c r="E944" s="1662">
        <v>15.85</v>
      </c>
    </row>
    <row r="945" spans="1:5" x14ac:dyDescent="0.2">
      <c r="A945" s="135">
        <v>4430</v>
      </c>
      <c r="B945" s="1926" t="s">
        <v>10547</v>
      </c>
      <c r="C945" s="1926" t="s">
        <v>47</v>
      </c>
      <c r="D945" s="1926" t="s">
        <v>43</v>
      </c>
      <c r="E945" s="1662">
        <v>10.06</v>
      </c>
    </row>
    <row r="946" spans="1:5" x14ac:dyDescent="0.2">
      <c r="A946" s="135">
        <v>4400</v>
      </c>
      <c r="B946" s="1926" t="s">
        <v>10548</v>
      </c>
      <c r="C946" s="1926" t="s">
        <v>47</v>
      </c>
      <c r="D946" s="1926" t="s">
        <v>40</v>
      </c>
      <c r="E946" s="1662">
        <v>12.7</v>
      </c>
    </row>
    <row r="947" spans="1:5" x14ac:dyDescent="0.2">
      <c r="A947" s="135">
        <v>4500</v>
      </c>
      <c r="B947" s="1926" t="s">
        <v>10549</v>
      </c>
      <c r="C947" s="1926" t="s">
        <v>47</v>
      </c>
      <c r="D947" s="1926" t="s">
        <v>40</v>
      </c>
      <c r="E947" s="1662">
        <v>11.59</v>
      </c>
    </row>
    <row r="948" spans="1:5" x14ac:dyDescent="0.2">
      <c r="A948" s="135">
        <v>4513</v>
      </c>
      <c r="B948" s="1926" t="s">
        <v>10550</v>
      </c>
      <c r="C948" s="1926" t="s">
        <v>47</v>
      </c>
      <c r="D948" s="1926" t="s">
        <v>40</v>
      </c>
      <c r="E948" s="1662">
        <v>3.11</v>
      </c>
    </row>
    <row r="949" spans="1:5" x14ac:dyDescent="0.2">
      <c r="A949" s="135">
        <v>4496</v>
      </c>
      <c r="B949" s="1926" t="s">
        <v>10551</v>
      </c>
      <c r="C949" s="1926" t="s">
        <v>47</v>
      </c>
      <c r="D949" s="1926" t="s">
        <v>40</v>
      </c>
      <c r="E949" s="1662">
        <v>6.81</v>
      </c>
    </row>
    <row r="950" spans="1:5" x14ac:dyDescent="0.2">
      <c r="A950" s="135">
        <v>11871</v>
      </c>
      <c r="B950" s="1926" t="s">
        <v>10552</v>
      </c>
      <c r="C950" s="1926" t="s">
        <v>39</v>
      </c>
      <c r="D950" s="1926" t="s">
        <v>46</v>
      </c>
      <c r="E950" s="1662">
        <v>264</v>
      </c>
    </row>
    <row r="951" spans="1:5" x14ac:dyDescent="0.2">
      <c r="A951" s="135">
        <v>34636</v>
      </c>
      <c r="B951" s="1926" t="s">
        <v>10553</v>
      </c>
      <c r="C951" s="1926" t="s">
        <v>39</v>
      </c>
      <c r="D951" s="1926" t="s">
        <v>43</v>
      </c>
      <c r="E951" s="1662">
        <v>331.95</v>
      </c>
    </row>
    <row r="952" spans="1:5" x14ac:dyDescent="0.2">
      <c r="A952" s="135">
        <v>34639</v>
      </c>
      <c r="B952" s="1926" t="s">
        <v>10554</v>
      </c>
      <c r="C952" s="1926" t="s">
        <v>39</v>
      </c>
      <c r="D952" s="1926" t="s">
        <v>40</v>
      </c>
      <c r="E952" s="1662">
        <v>674.19</v>
      </c>
    </row>
    <row r="953" spans="1:5" x14ac:dyDescent="0.2">
      <c r="A953" s="135">
        <v>34640</v>
      </c>
      <c r="B953" s="1926" t="s">
        <v>10555</v>
      </c>
      <c r="C953" s="1926" t="s">
        <v>39</v>
      </c>
      <c r="D953" s="1926" t="s">
        <v>40</v>
      </c>
      <c r="E953" s="1662">
        <v>757.28</v>
      </c>
    </row>
    <row r="954" spans="1:5" x14ac:dyDescent="0.2">
      <c r="A954" s="135">
        <v>34637</v>
      </c>
      <c r="B954" s="1926" t="s">
        <v>10556</v>
      </c>
      <c r="C954" s="1926" t="s">
        <v>39</v>
      </c>
      <c r="D954" s="1926" t="s">
        <v>40</v>
      </c>
      <c r="E954" s="1662">
        <v>190.58</v>
      </c>
    </row>
    <row r="955" spans="1:5" x14ac:dyDescent="0.2">
      <c r="A955" s="135">
        <v>34638</v>
      </c>
      <c r="B955" s="1926" t="s">
        <v>10557</v>
      </c>
      <c r="C955" s="1926" t="s">
        <v>39</v>
      </c>
      <c r="D955" s="1926" t="s">
        <v>40</v>
      </c>
      <c r="E955" s="1662">
        <v>326.83</v>
      </c>
    </row>
    <row r="956" spans="1:5" x14ac:dyDescent="0.2">
      <c r="A956" s="135">
        <v>11868</v>
      </c>
      <c r="B956" s="1926" t="s">
        <v>10558</v>
      </c>
      <c r="C956" s="1926" t="s">
        <v>39</v>
      </c>
      <c r="D956" s="1926" t="s">
        <v>46</v>
      </c>
      <c r="E956" s="1662">
        <v>362.83</v>
      </c>
    </row>
    <row r="957" spans="1:5" x14ac:dyDescent="0.2">
      <c r="A957" s="135">
        <v>37106</v>
      </c>
      <c r="B957" s="1926" t="s">
        <v>10559</v>
      </c>
      <c r="C957" s="1926" t="s">
        <v>39</v>
      </c>
      <c r="D957" s="1926" t="s">
        <v>46</v>
      </c>
      <c r="E957" s="1662">
        <v>3504.54</v>
      </c>
    </row>
    <row r="958" spans="1:5" x14ac:dyDescent="0.2">
      <c r="A958" s="135">
        <v>11869</v>
      </c>
      <c r="B958" s="1926" t="s">
        <v>10560</v>
      </c>
      <c r="C958" s="1926" t="s">
        <v>39</v>
      </c>
      <c r="D958" s="1926" t="s">
        <v>46</v>
      </c>
      <c r="E958" s="1662">
        <v>588.69000000000005</v>
      </c>
    </row>
    <row r="959" spans="1:5" x14ac:dyDescent="0.2">
      <c r="A959" s="135">
        <v>37104</v>
      </c>
      <c r="B959" s="1926" t="s">
        <v>10561</v>
      </c>
      <c r="C959" s="1926" t="s">
        <v>39</v>
      </c>
      <c r="D959" s="1926" t="s">
        <v>46</v>
      </c>
      <c r="E959" s="1662">
        <v>758.85</v>
      </c>
    </row>
    <row r="960" spans="1:5" x14ac:dyDescent="0.2">
      <c r="A960" s="135">
        <v>37105</v>
      </c>
      <c r="B960" s="1926" t="s">
        <v>10562</v>
      </c>
      <c r="C960" s="1926" t="s">
        <v>39</v>
      </c>
      <c r="D960" s="1926" t="s">
        <v>46</v>
      </c>
      <c r="E960" s="1662">
        <v>1690.09</v>
      </c>
    </row>
    <row r="961" spans="1:5" x14ac:dyDescent="0.2">
      <c r="A961" s="135">
        <v>43094</v>
      </c>
      <c r="B961" s="1926" t="s">
        <v>10563</v>
      </c>
      <c r="C961" s="1926" t="s">
        <v>39</v>
      </c>
      <c r="D961" s="1926" t="s">
        <v>40</v>
      </c>
      <c r="E961" s="1662">
        <v>191.99</v>
      </c>
    </row>
    <row r="962" spans="1:5" x14ac:dyDescent="0.2">
      <c r="A962" s="135">
        <v>43093</v>
      </c>
      <c r="B962" s="1926" t="s">
        <v>10564</v>
      </c>
      <c r="C962" s="1926" t="s">
        <v>39</v>
      </c>
      <c r="D962" s="1926" t="s">
        <v>40</v>
      </c>
      <c r="E962" s="1662">
        <v>204.03</v>
      </c>
    </row>
    <row r="963" spans="1:5" x14ac:dyDescent="0.2">
      <c r="A963" s="135">
        <v>1030</v>
      </c>
      <c r="B963" s="1926" t="s">
        <v>10565</v>
      </c>
      <c r="C963" s="1926" t="s">
        <v>39</v>
      </c>
      <c r="D963" s="1926" t="s">
        <v>43</v>
      </c>
      <c r="E963" s="1662">
        <v>27.7</v>
      </c>
    </row>
    <row r="964" spans="1:5" x14ac:dyDescent="0.2">
      <c r="A964" s="135">
        <v>11694</v>
      </c>
      <c r="B964" s="1926" t="s">
        <v>10566</v>
      </c>
      <c r="C964" s="1926" t="s">
        <v>39</v>
      </c>
      <c r="D964" s="1926" t="s">
        <v>40</v>
      </c>
      <c r="E964" s="1662">
        <v>612.30999999999995</v>
      </c>
    </row>
    <row r="965" spans="1:5" x14ac:dyDescent="0.2">
      <c r="A965" s="135">
        <v>35277</v>
      </c>
      <c r="B965" s="1926" t="s">
        <v>10567</v>
      </c>
      <c r="C965" s="1926" t="s">
        <v>39</v>
      </c>
      <c r="D965" s="1926" t="s">
        <v>40</v>
      </c>
      <c r="E965" s="1662">
        <v>393.88</v>
      </c>
    </row>
    <row r="966" spans="1:5" x14ac:dyDescent="0.2">
      <c r="A966" s="135">
        <v>10521</v>
      </c>
      <c r="B966" s="1926" t="s">
        <v>10568</v>
      </c>
      <c r="C966" s="1926" t="s">
        <v>39</v>
      </c>
      <c r="D966" s="1926" t="s">
        <v>40</v>
      </c>
      <c r="E966" s="1662">
        <v>190.9</v>
      </c>
    </row>
    <row r="967" spans="1:5" x14ac:dyDescent="0.2">
      <c r="A967" s="135">
        <v>10885</v>
      </c>
      <c r="B967" s="1926" t="s">
        <v>10569</v>
      </c>
      <c r="C967" s="1926" t="s">
        <v>39</v>
      </c>
      <c r="D967" s="1926" t="s">
        <v>40</v>
      </c>
      <c r="E967" s="1662">
        <v>241.47</v>
      </c>
    </row>
    <row r="968" spans="1:5" x14ac:dyDescent="0.2">
      <c r="A968" s="135">
        <v>20962</v>
      </c>
      <c r="B968" s="1926" t="s">
        <v>10570</v>
      </c>
      <c r="C968" s="1926" t="s">
        <v>39</v>
      </c>
      <c r="D968" s="1926" t="s">
        <v>43</v>
      </c>
      <c r="E968" s="1662">
        <v>200</v>
      </c>
    </row>
    <row r="969" spans="1:5" x14ac:dyDescent="0.2">
      <c r="A969" s="135">
        <v>20963</v>
      </c>
      <c r="B969" s="1926" t="s">
        <v>10571</v>
      </c>
      <c r="C969" s="1926" t="s">
        <v>39</v>
      </c>
      <c r="D969" s="1926" t="s">
        <v>40</v>
      </c>
      <c r="E969" s="1662">
        <v>244.31</v>
      </c>
    </row>
    <row r="970" spans="1:5" x14ac:dyDescent="0.2">
      <c r="A970" s="135">
        <v>2555</v>
      </c>
      <c r="B970" s="1926" t="s">
        <v>10572</v>
      </c>
      <c r="C970" s="1926" t="s">
        <v>39</v>
      </c>
      <c r="D970" s="1926" t="s">
        <v>40</v>
      </c>
      <c r="E970" s="1662">
        <v>0.88</v>
      </c>
    </row>
    <row r="971" spans="1:5" x14ac:dyDescent="0.2">
      <c r="A971" s="135">
        <v>2556</v>
      </c>
      <c r="B971" s="1926" t="s">
        <v>10573</v>
      </c>
      <c r="C971" s="1926" t="s">
        <v>39</v>
      </c>
      <c r="D971" s="1926" t="s">
        <v>40</v>
      </c>
      <c r="E971" s="1662">
        <v>0.91</v>
      </c>
    </row>
    <row r="972" spans="1:5" x14ac:dyDescent="0.2">
      <c r="A972" s="135">
        <v>2557</v>
      </c>
      <c r="B972" s="1926" t="s">
        <v>10574</v>
      </c>
      <c r="C972" s="1926" t="s">
        <v>39</v>
      </c>
      <c r="D972" s="1926" t="s">
        <v>40</v>
      </c>
      <c r="E972" s="1662">
        <v>1.92</v>
      </c>
    </row>
    <row r="973" spans="1:5" x14ac:dyDescent="0.2">
      <c r="A973" s="135">
        <v>10569</v>
      </c>
      <c r="B973" s="1926" t="s">
        <v>10575</v>
      </c>
      <c r="C973" s="1926" t="s">
        <v>39</v>
      </c>
      <c r="D973" s="1926" t="s">
        <v>40</v>
      </c>
      <c r="E973" s="1662">
        <v>1.92</v>
      </c>
    </row>
    <row r="974" spans="1:5" x14ac:dyDescent="0.2">
      <c r="A974" s="135">
        <v>39810</v>
      </c>
      <c r="B974" s="1926" t="s">
        <v>10576</v>
      </c>
      <c r="C974" s="1926" t="s">
        <v>39</v>
      </c>
      <c r="D974" s="1926" t="s">
        <v>40</v>
      </c>
      <c r="E974" s="1662">
        <v>25.91</v>
      </c>
    </row>
    <row r="975" spans="1:5" x14ac:dyDescent="0.2">
      <c r="A975" s="135">
        <v>39811</v>
      </c>
      <c r="B975" s="1926" t="s">
        <v>10577</v>
      </c>
      <c r="C975" s="1926" t="s">
        <v>39</v>
      </c>
      <c r="D975" s="1926" t="s">
        <v>40</v>
      </c>
      <c r="E975" s="1662">
        <v>31.69</v>
      </c>
    </row>
    <row r="976" spans="1:5" x14ac:dyDescent="0.2">
      <c r="A976" s="135">
        <v>39812</v>
      </c>
      <c r="B976" s="1926" t="s">
        <v>10578</v>
      </c>
      <c r="C976" s="1926" t="s">
        <v>39</v>
      </c>
      <c r="D976" s="1926" t="s">
        <v>40</v>
      </c>
      <c r="E976" s="1662">
        <v>52.11</v>
      </c>
    </row>
    <row r="977" spans="1:5" x14ac:dyDescent="0.2">
      <c r="A977" s="135">
        <v>43096</v>
      </c>
      <c r="B977" s="1926" t="s">
        <v>10579</v>
      </c>
      <c r="C977" s="1926" t="s">
        <v>39</v>
      </c>
      <c r="D977" s="1926" t="s">
        <v>40</v>
      </c>
      <c r="E977" s="1662">
        <v>172.73</v>
      </c>
    </row>
    <row r="978" spans="1:5" x14ac:dyDescent="0.2">
      <c r="A978" s="135">
        <v>43102</v>
      </c>
      <c r="B978" s="1926" t="s">
        <v>10580</v>
      </c>
      <c r="C978" s="1926" t="s">
        <v>39</v>
      </c>
      <c r="D978" s="1926" t="s">
        <v>40</v>
      </c>
      <c r="E978" s="1662">
        <v>105.03</v>
      </c>
    </row>
    <row r="979" spans="1:5" x14ac:dyDescent="0.2">
      <c r="A979" s="135">
        <v>43103</v>
      </c>
      <c r="B979" s="1926" t="s">
        <v>10581</v>
      </c>
      <c r="C979" s="1926" t="s">
        <v>39</v>
      </c>
      <c r="D979" s="1926" t="s">
        <v>40</v>
      </c>
      <c r="E979" s="1662">
        <v>154.66</v>
      </c>
    </row>
    <row r="980" spans="1:5" x14ac:dyDescent="0.2">
      <c r="A980" s="135">
        <v>43098</v>
      </c>
      <c r="B980" s="1926" t="s">
        <v>10582</v>
      </c>
      <c r="C980" s="1926" t="s">
        <v>39</v>
      </c>
      <c r="D980" s="1926" t="s">
        <v>40</v>
      </c>
      <c r="E980" s="1662">
        <v>58.51</v>
      </c>
    </row>
    <row r="981" spans="1:5" x14ac:dyDescent="0.2">
      <c r="A981" s="135">
        <v>43097</v>
      </c>
      <c r="B981" s="1926" t="s">
        <v>10583</v>
      </c>
      <c r="C981" s="1926" t="s">
        <v>39</v>
      </c>
      <c r="D981" s="1926" t="s">
        <v>40</v>
      </c>
      <c r="E981" s="1662">
        <v>34.659999999999997</v>
      </c>
    </row>
    <row r="982" spans="1:5" x14ac:dyDescent="0.2">
      <c r="A982" s="135">
        <v>43104</v>
      </c>
      <c r="B982" s="1926" t="s">
        <v>10584</v>
      </c>
      <c r="C982" s="1926" t="s">
        <v>39</v>
      </c>
      <c r="D982" s="1926" t="s">
        <v>40</v>
      </c>
      <c r="E982" s="1662">
        <v>410.05</v>
      </c>
    </row>
    <row r="983" spans="1:5" x14ac:dyDescent="0.2">
      <c r="A983" s="135">
        <v>39771</v>
      </c>
      <c r="B983" s="1926" t="s">
        <v>10585</v>
      </c>
      <c r="C983" s="1926" t="s">
        <v>39</v>
      </c>
      <c r="D983" s="1926" t="s">
        <v>40</v>
      </c>
      <c r="E983" s="1662">
        <v>18.5</v>
      </c>
    </row>
    <row r="984" spans="1:5" x14ac:dyDescent="0.2">
      <c r="A984" s="135">
        <v>39772</v>
      </c>
      <c r="B984" s="1926" t="s">
        <v>10586</v>
      </c>
      <c r="C984" s="1926" t="s">
        <v>39</v>
      </c>
      <c r="D984" s="1926" t="s">
        <v>40</v>
      </c>
      <c r="E984" s="1662">
        <v>36.36</v>
      </c>
    </row>
    <row r="985" spans="1:5" x14ac:dyDescent="0.2">
      <c r="A985" s="135">
        <v>39773</v>
      </c>
      <c r="B985" s="1926" t="s">
        <v>10587</v>
      </c>
      <c r="C985" s="1926" t="s">
        <v>39</v>
      </c>
      <c r="D985" s="1926" t="s">
        <v>40</v>
      </c>
      <c r="E985" s="1662">
        <v>58.44</v>
      </c>
    </row>
    <row r="986" spans="1:5" x14ac:dyDescent="0.2">
      <c r="A986" s="135">
        <v>39774</v>
      </c>
      <c r="B986" s="1926" t="s">
        <v>10588</v>
      </c>
      <c r="C986" s="1926" t="s">
        <v>39</v>
      </c>
      <c r="D986" s="1926" t="s">
        <v>40</v>
      </c>
      <c r="E986" s="1662">
        <v>87.41</v>
      </c>
    </row>
    <row r="987" spans="1:5" x14ac:dyDescent="0.2">
      <c r="A987" s="135">
        <v>39775</v>
      </c>
      <c r="B987" s="1926" t="s">
        <v>10589</v>
      </c>
      <c r="C987" s="1926" t="s">
        <v>39</v>
      </c>
      <c r="D987" s="1926" t="s">
        <v>40</v>
      </c>
      <c r="E987" s="1662">
        <v>116.66</v>
      </c>
    </row>
    <row r="988" spans="1:5" x14ac:dyDescent="0.2">
      <c r="A988" s="135">
        <v>39776</v>
      </c>
      <c r="B988" s="1926" t="s">
        <v>10590</v>
      </c>
      <c r="C988" s="1926" t="s">
        <v>39</v>
      </c>
      <c r="D988" s="1926" t="s">
        <v>40</v>
      </c>
      <c r="E988" s="1662">
        <v>140.99</v>
      </c>
    </row>
    <row r="989" spans="1:5" x14ac:dyDescent="0.2">
      <c r="A989" s="135">
        <v>39777</v>
      </c>
      <c r="B989" s="1926" t="s">
        <v>10591</v>
      </c>
      <c r="C989" s="1926" t="s">
        <v>39</v>
      </c>
      <c r="D989" s="1926" t="s">
        <v>40</v>
      </c>
      <c r="E989" s="1662">
        <v>178.7</v>
      </c>
    </row>
    <row r="990" spans="1:5" x14ac:dyDescent="0.2">
      <c r="A990" s="135">
        <v>20254</v>
      </c>
      <c r="B990" s="1926" t="s">
        <v>10592</v>
      </c>
      <c r="C990" s="1926" t="s">
        <v>39</v>
      </c>
      <c r="D990" s="1926" t="s">
        <v>40</v>
      </c>
      <c r="E990" s="1662">
        <v>12.97</v>
      </c>
    </row>
    <row r="991" spans="1:5" x14ac:dyDescent="0.2">
      <c r="A991" s="135">
        <v>20253</v>
      </c>
      <c r="B991" s="1926" t="s">
        <v>10593</v>
      </c>
      <c r="C991" s="1926" t="s">
        <v>39</v>
      </c>
      <c r="D991" s="1926" t="s">
        <v>40</v>
      </c>
      <c r="E991" s="1662">
        <v>42.59</v>
      </c>
    </row>
    <row r="992" spans="1:5" x14ac:dyDescent="0.2">
      <c r="A992" s="135">
        <v>11247</v>
      </c>
      <c r="B992" s="1926" t="s">
        <v>10594</v>
      </c>
      <c r="C992" s="1926" t="s">
        <v>39</v>
      </c>
      <c r="D992" s="1926" t="s">
        <v>40</v>
      </c>
      <c r="E992" s="1662">
        <v>819</v>
      </c>
    </row>
    <row r="993" spans="1:5" x14ac:dyDescent="0.2">
      <c r="A993" s="135">
        <v>11250</v>
      </c>
      <c r="B993" s="1926" t="s">
        <v>10595</v>
      </c>
      <c r="C993" s="1926" t="s">
        <v>39</v>
      </c>
      <c r="D993" s="1926" t="s">
        <v>40</v>
      </c>
      <c r="E993" s="1662">
        <v>35.26</v>
      </c>
    </row>
    <row r="994" spans="1:5" x14ac:dyDescent="0.2">
      <c r="A994" s="135">
        <v>11249</v>
      </c>
      <c r="B994" s="1926" t="s">
        <v>10596</v>
      </c>
      <c r="C994" s="1926" t="s">
        <v>39</v>
      </c>
      <c r="D994" s="1926" t="s">
        <v>40</v>
      </c>
      <c r="E994" s="1662">
        <v>1599.8</v>
      </c>
    </row>
    <row r="995" spans="1:5" x14ac:dyDescent="0.2">
      <c r="A995" s="135">
        <v>11251</v>
      </c>
      <c r="B995" s="1926" t="s">
        <v>10597</v>
      </c>
      <c r="C995" s="1926" t="s">
        <v>39</v>
      </c>
      <c r="D995" s="1926" t="s">
        <v>40</v>
      </c>
      <c r="E995" s="1662">
        <v>78.099999999999994</v>
      </c>
    </row>
    <row r="996" spans="1:5" x14ac:dyDescent="0.2">
      <c r="A996" s="135">
        <v>11253</v>
      </c>
      <c r="B996" s="1926" t="s">
        <v>10598</v>
      </c>
      <c r="C996" s="1926" t="s">
        <v>39</v>
      </c>
      <c r="D996" s="1926" t="s">
        <v>40</v>
      </c>
      <c r="E996" s="1662">
        <v>129.41999999999999</v>
      </c>
    </row>
    <row r="997" spans="1:5" x14ac:dyDescent="0.2">
      <c r="A997" s="135">
        <v>11255</v>
      </c>
      <c r="B997" s="1926" t="s">
        <v>10599</v>
      </c>
      <c r="C997" s="1926" t="s">
        <v>39</v>
      </c>
      <c r="D997" s="1926" t="s">
        <v>40</v>
      </c>
      <c r="E997" s="1662">
        <v>193.48</v>
      </c>
    </row>
    <row r="998" spans="1:5" x14ac:dyDescent="0.2">
      <c r="A998" s="135">
        <v>14055</v>
      </c>
      <c r="B998" s="1926" t="s">
        <v>10600</v>
      </c>
      <c r="C998" s="1926" t="s">
        <v>39</v>
      </c>
      <c r="D998" s="1926" t="s">
        <v>40</v>
      </c>
      <c r="E998" s="1662">
        <v>389.22</v>
      </c>
    </row>
    <row r="999" spans="1:5" x14ac:dyDescent="0.2">
      <c r="A999" s="135">
        <v>11256</v>
      </c>
      <c r="B999" s="1926" t="s">
        <v>10601</v>
      </c>
      <c r="C999" s="1926" t="s">
        <v>39</v>
      </c>
      <c r="D999" s="1926" t="s">
        <v>40</v>
      </c>
      <c r="E999" s="1662">
        <v>242.35</v>
      </c>
    </row>
    <row r="1000" spans="1:5" x14ac:dyDescent="0.2">
      <c r="A1000" s="135">
        <v>1872</v>
      </c>
      <c r="B1000" s="1926" t="s">
        <v>10602</v>
      </c>
      <c r="C1000" s="1926" t="s">
        <v>39</v>
      </c>
      <c r="D1000" s="1926" t="s">
        <v>40</v>
      </c>
      <c r="E1000" s="1662">
        <v>1.5</v>
      </c>
    </row>
    <row r="1001" spans="1:5" x14ac:dyDescent="0.2">
      <c r="A1001" s="135">
        <v>1873</v>
      </c>
      <c r="B1001" s="1926" t="s">
        <v>10603</v>
      </c>
      <c r="C1001" s="1926" t="s">
        <v>39</v>
      </c>
      <c r="D1001" s="1926" t="s">
        <v>40</v>
      </c>
      <c r="E1001" s="1662">
        <v>2.99</v>
      </c>
    </row>
    <row r="1002" spans="1:5" x14ac:dyDescent="0.2">
      <c r="A1002" s="135">
        <v>39693</v>
      </c>
      <c r="B1002" s="1926" t="s">
        <v>10604</v>
      </c>
      <c r="C1002" s="1926" t="s">
        <v>39</v>
      </c>
      <c r="D1002" s="1926" t="s">
        <v>40</v>
      </c>
      <c r="E1002" s="1662">
        <v>1522.11</v>
      </c>
    </row>
    <row r="1003" spans="1:5" x14ac:dyDescent="0.2">
      <c r="A1003" s="135">
        <v>39692</v>
      </c>
      <c r="B1003" s="1926" t="s">
        <v>10605</v>
      </c>
      <c r="C1003" s="1926" t="s">
        <v>39</v>
      </c>
      <c r="D1003" s="1926" t="s">
        <v>40</v>
      </c>
      <c r="E1003" s="1662">
        <v>487.04</v>
      </c>
    </row>
    <row r="1004" spans="1:5" x14ac:dyDescent="0.2">
      <c r="A1004" s="135">
        <v>3280</v>
      </c>
      <c r="B1004" s="1926" t="s">
        <v>10606</v>
      </c>
      <c r="C1004" s="1926" t="s">
        <v>39</v>
      </c>
      <c r="D1004" s="1926" t="s">
        <v>40</v>
      </c>
      <c r="E1004" s="1662">
        <v>168.12</v>
      </c>
    </row>
    <row r="1005" spans="1:5" x14ac:dyDescent="0.2">
      <c r="A1005" s="135">
        <v>11881</v>
      </c>
      <c r="B1005" s="1926" t="s">
        <v>10607</v>
      </c>
      <c r="C1005" s="1926" t="s">
        <v>39</v>
      </c>
      <c r="D1005" s="1926" t="s">
        <v>40</v>
      </c>
      <c r="E1005" s="1662">
        <v>78.08</v>
      </c>
    </row>
    <row r="1006" spans="1:5" x14ac:dyDescent="0.2">
      <c r="A1006" s="135">
        <v>34641</v>
      </c>
      <c r="B1006" s="1926" t="s">
        <v>10608</v>
      </c>
      <c r="C1006" s="1926" t="s">
        <v>39</v>
      </c>
      <c r="D1006" s="1926" t="s">
        <v>40</v>
      </c>
      <c r="E1006" s="1662">
        <v>62.96</v>
      </c>
    </row>
    <row r="1007" spans="1:5" x14ac:dyDescent="0.2">
      <c r="A1007" s="135">
        <v>34643</v>
      </c>
      <c r="B1007" s="1926" t="s">
        <v>10609</v>
      </c>
      <c r="C1007" s="1926" t="s">
        <v>39</v>
      </c>
      <c r="D1007" s="1926" t="s">
        <v>40</v>
      </c>
      <c r="E1007" s="1662">
        <v>12.75</v>
      </c>
    </row>
    <row r="1008" spans="1:5" x14ac:dyDescent="0.2">
      <c r="A1008" s="135">
        <v>3278</v>
      </c>
      <c r="B1008" s="1926" t="s">
        <v>10610</v>
      </c>
      <c r="C1008" s="1926" t="s">
        <v>39</v>
      </c>
      <c r="D1008" s="1926" t="s">
        <v>40</v>
      </c>
      <c r="E1008" s="1662">
        <v>88.15</v>
      </c>
    </row>
    <row r="1009" spans="1:5" x14ac:dyDescent="0.2">
      <c r="A1009" s="135">
        <v>3279</v>
      </c>
      <c r="B1009" s="1926" t="s">
        <v>10611</v>
      </c>
      <c r="C1009" s="1926" t="s">
        <v>39</v>
      </c>
      <c r="D1009" s="1926" t="s">
        <v>40</v>
      </c>
      <c r="E1009" s="1662">
        <v>145.44999999999999</v>
      </c>
    </row>
    <row r="1010" spans="1:5" x14ac:dyDescent="0.2">
      <c r="A1010" s="135">
        <v>1062</v>
      </c>
      <c r="B1010" s="1926" t="s">
        <v>10612</v>
      </c>
      <c r="C1010" s="1926" t="s">
        <v>39</v>
      </c>
      <c r="D1010" s="1926" t="s">
        <v>40</v>
      </c>
      <c r="E1010" s="1662">
        <v>154.35</v>
      </c>
    </row>
    <row r="1011" spans="1:5" x14ac:dyDescent="0.2">
      <c r="A1011" s="135">
        <v>39686</v>
      </c>
      <c r="B1011" s="1926" t="s">
        <v>10613</v>
      </c>
      <c r="C1011" s="1926" t="s">
        <v>39</v>
      </c>
      <c r="D1011" s="1926" t="s">
        <v>40</v>
      </c>
      <c r="E1011" s="1662">
        <v>249.93</v>
      </c>
    </row>
    <row r="1012" spans="1:5" x14ac:dyDescent="0.2">
      <c r="A1012" s="135">
        <v>43095</v>
      </c>
      <c r="B1012" s="1926" t="s">
        <v>10614</v>
      </c>
      <c r="C1012" s="1926" t="s">
        <v>39</v>
      </c>
      <c r="D1012" s="1926" t="s">
        <v>40</v>
      </c>
      <c r="E1012" s="1662">
        <v>113.82</v>
      </c>
    </row>
    <row r="1013" spans="1:5" x14ac:dyDescent="0.2">
      <c r="A1013" s="135">
        <v>1871</v>
      </c>
      <c r="B1013" s="1926" t="s">
        <v>10615</v>
      </c>
      <c r="C1013" s="1926" t="s">
        <v>39</v>
      </c>
      <c r="D1013" s="1926" t="s">
        <v>40</v>
      </c>
      <c r="E1013" s="1662">
        <v>2.69</v>
      </c>
    </row>
    <row r="1014" spans="1:5" x14ac:dyDescent="0.2">
      <c r="A1014" s="135">
        <v>12001</v>
      </c>
      <c r="B1014" s="1926" t="s">
        <v>10616</v>
      </c>
      <c r="C1014" s="1926" t="s">
        <v>39</v>
      </c>
      <c r="D1014" s="1926" t="s">
        <v>40</v>
      </c>
      <c r="E1014" s="1662">
        <v>3.88</v>
      </c>
    </row>
    <row r="1015" spans="1:5" x14ac:dyDescent="0.2">
      <c r="A1015" s="135">
        <v>11882</v>
      </c>
      <c r="B1015" s="1926" t="s">
        <v>10617</v>
      </c>
      <c r="C1015" s="1926" t="s">
        <v>39</v>
      </c>
      <c r="D1015" s="1926" t="s">
        <v>40</v>
      </c>
      <c r="E1015" s="1662">
        <v>88.15</v>
      </c>
    </row>
    <row r="1016" spans="1:5" x14ac:dyDescent="0.2">
      <c r="A1016" s="135">
        <v>1068</v>
      </c>
      <c r="B1016" s="1926" t="s">
        <v>10618</v>
      </c>
      <c r="C1016" s="1926" t="s">
        <v>39</v>
      </c>
      <c r="D1016" s="1926" t="s">
        <v>40</v>
      </c>
      <c r="E1016" s="1662">
        <v>1018.11</v>
      </c>
    </row>
    <row r="1017" spans="1:5" x14ac:dyDescent="0.2">
      <c r="A1017" s="135">
        <v>39690</v>
      </c>
      <c r="B1017" s="1926" t="s">
        <v>10619</v>
      </c>
      <c r="C1017" s="1926" t="s">
        <v>39</v>
      </c>
      <c r="D1017" s="1926" t="s">
        <v>40</v>
      </c>
      <c r="E1017" s="1662">
        <v>1708.05</v>
      </c>
    </row>
    <row r="1018" spans="1:5" x14ac:dyDescent="0.2">
      <c r="A1018" s="135">
        <v>39691</v>
      </c>
      <c r="B1018" s="1926" t="s">
        <v>10620</v>
      </c>
      <c r="C1018" s="1926" t="s">
        <v>39</v>
      </c>
      <c r="D1018" s="1926" t="s">
        <v>40</v>
      </c>
      <c r="E1018" s="1662">
        <v>2148.25</v>
      </c>
    </row>
    <row r="1019" spans="1:5" x14ac:dyDescent="0.2">
      <c r="A1019" s="135">
        <v>39808</v>
      </c>
      <c r="B1019" s="1926" t="s">
        <v>10621</v>
      </c>
      <c r="C1019" s="1926" t="s">
        <v>39</v>
      </c>
      <c r="D1019" s="1926" t="s">
        <v>40</v>
      </c>
      <c r="E1019" s="1662">
        <v>59.42</v>
      </c>
    </row>
    <row r="1020" spans="1:5" x14ac:dyDescent="0.2">
      <c r="A1020" s="135">
        <v>39809</v>
      </c>
      <c r="B1020" s="1926" t="s">
        <v>10622</v>
      </c>
      <c r="C1020" s="1926" t="s">
        <v>39</v>
      </c>
      <c r="D1020" s="1926" t="s">
        <v>40</v>
      </c>
      <c r="E1020" s="1662">
        <v>140.94999999999999</v>
      </c>
    </row>
    <row r="1021" spans="1:5" x14ac:dyDescent="0.2">
      <c r="A1021" s="135">
        <v>11713</v>
      </c>
      <c r="B1021" s="1926" t="s">
        <v>10623</v>
      </c>
      <c r="C1021" s="1926" t="s">
        <v>39</v>
      </c>
      <c r="D1021" s="1926" t="s">
        <v>40</v>
      </c>
      <c r="E1021" s="1662">
        <v>27.67</v>
      </c>
    </row>
    <row r="1022" spans="1:5" x14ac:dyDescent="0.2">
      <c r="A1022" s="135">
        <v>11716</v>
      </c>
      <c r="B1022" s="1926" t="s">
        <v>10624</v>
      </c>
      <c r="C1022" s="1926" t="s">
        <v>39</v>
      </c>
      <c r="D1022" s="1926" t="s">
        <v>40</v>
      </c>
      <c r="E1022" s="1662">
        <v>11.81</v>
      </c>
    </row>
    <row r="1023" spans="1:5" x14ac:dyDescent="0.2">
      <c r="A1023" s="135">
        <v>5103</v>
      </c>
      <c r="B1023" s="1926" t="s">
        <v>10625</v>
      </c>
      <c r="C1023" s="1926" t="s">
        <v>39</v>
      </c>
      <c r="D1023" s="1926" t="s">
        <v>40</v>
      </c>
      <c r="E1023" s="1662">
        <v>11.98</v>
      </c>
    </row>
    <row r="1024" spans="1:5" x14ac:dyDescent="0.2">
      <c r="A1024" s="135">
        <v>11712</v>
      </c>
      <c r="B1024" s="1926" t="s">
        <v>10626</v>
      </c>
      <c r="C1024" s="1926" t="s">
        <v>39</v>
      </c>
      <c r="D1024" s="1926" t="s">
        <v>43</v>
      </c>
      <c r="E1024" s="1662">
        <v>27.9</v>
      </c>
    </row>
    <row r="1025" spans="1:5" x14ac:dyDescent="0.2">
      <c r="A1025" s="135">
        <v>11717</v>
      </c>
      <c r="B1025" s="1926" t="s">
        <v>10627</v>
      </c>
      <c r="C1025" s="1926" t="s">
        <v>39</v>
      </c>
      <c r="D1025" s="1926" t="s">
        <v>40</v>
      </c>
      <c r="E1025" s="1662">
        <v>30.31</v>
      </c>
    </row>
    <row r="1026" spans="1:5" x14ac:dyDescent="0.2">
      <c r="A1026" s="135">
        <v>11714</v>
      </c>
      <c r="B1026" s="1926" t="s">
        <v>10628</v>
      </c>
      <c r="C1026" s="1926" t="s">
        <v>39</v>
      </c>
      <c r="D1026" s="1926" t="s">
        <v>40</v>
      </c>
      <c r="E1026" s="1662">
        <v>37.72</v>
      </c>
    </row>
    <row r="1027" spans="1:5" x14ac:dyDescent="0.2">
      <c r="A1027" s="135">
        <v>11715</v>
      </c>
      <c r="B1027" s="1926" t="s">
        <v>10629</v>
      </c>
      <c r="C1027" s="1926" t="s">
        <v>39</v>
      </c>
      <c r="D1027" s="1926" t="s">
        <v>40</v>
      </c>
      <c r="E1027" s="1662">
        <v>43.4</v>
      </c>
    </row>
    <row r="1028" spans="1:5" x14ac:dyDescent="0.2">
      <c r="A1028" s="135">
        <v>11880</v>
      </c>
      <c r="B1028" s="1926" t="s">
        <v>10630</v>
      </c>
      <c r="C1028" s="1926" t="s">
        <v>39</v>
      </c>
      <c r="D1028" s="1926" t="s">
        <v>40</v>
      </c>
      <c r="E1028" s="1662">
        <v>78.010000000000005</v>
      </c>
    </row>
    <row r="1029" spans="1:5" x14ac:dyDescent="0.2">
      <c r="A1029" s="135">
        <v>1106</v>
      </c>
      <c r="B1029" s="1926" t="s">
        <v>10631</v>
      </c>
      <c r="C1029" s="1926" t="s">
        <v>48</v>
      </c>
      <c r="D1029" s="1926" t="s">
        <v>43</v>
      </c>
      <c r="E1029" s="1662">
        <v>0.75</v>
      </c>
    </row>
    <row r="1030" spans="1:5" x14ac:dyDescent="0.2">
      <c r="A1030" s="135">
        <v>11161</v>
      </c>
      <c r="B1030" s="1926" t="s">
        <v>10632</v>
      </c>
      <c r="C1030" s="1926" t="s">
        <v>48</v>
      </c>
      <c r="D1030" s="1926" t="s">
        <v>40</v>
      </c>
      <c r="E1030" s="1662">
        <v>1.25</v>
      </c>
    </row>
    <row r="1031" spans="1:5" x14ac:dyDescent="0.2">
      <c r="A1031" s="135">
        <v>1107</v>
      </c>
      <c r="B1031" s="1926" t="s">
        <v>10633</v>
      </c>
      <c r="C1031" s="1926" t="s">
        <v>48</v>
      </c>
      <c r="D1031" s="1926" t="s">
        <v>40</v>
      </c>
      <c r="E1031" s="1662">
        <v>0.86</v>
      </c>
    </row>
    <row r="1032" spans="1:5" x14ac:dyDescent="0.2">
      <c r="A1032" s="135">
        <v>4758</v>
      </c>
      <c r="B1032" s="1926" t="s">
        <v>10634</v>
      </c>
      <c r="C1032" s="1926" t="s">
        <v>42</v>
      </c>
      <c r="D1032" s="1926" t="s">
        <v>40</v>
      </c>
      <c r="E1032" s="1662">
        <v>17.22</v>
      </c>
    </row>
    <row r="1033" spans="1:5" x14ac:dyDescent="0.2">
      <c r="A1033" s="135">
        <v>41080</v>
      </c>
      <c r="B1033" s="1926" t="s">
        <v>10635</v>
      </c>
      <c r="C1033" s="1926" t="s">
        <v>51</v>
      </c>
      <c r="D1033" s="1926" t="s">
        <v>40</v>
      </c>
      <c r="E1033" s="1662">
        <v>3071.3</v>
      </c>
    </row>
    <row r="1034" spans="1:5" x14ac:dyDescent="0.2">
      <c r="A1034" s="135">
        <v>25963</v>
      </c>
      <c r="B1034" s="1926" t="s">
        <v>10636</v>
      </c>
      <c r="C1034" s="1926" t="s">
        <v>48</v>
      </c>
      <c r="D1034" s="1926" t="s">
        <v>40</v>
      </c>
      <c r="E1034" s="1662">
        <v>0.11</v>
      </c>
    </row>
    <row r="1035" spans="1:5" x14ac:dyDescent="0.2">
      <c r="A1035" s="135">
        <v>4759</v>
      </c>
      <c r="B1035" s="1926" t="s">
        <v>10637</v>
      </c>
      <c r="C1035" s="1926" t="s">
        <v>42</v>
      </c>
      <c r="D1035" s="1926" t="s">
        <v>40</v>
      </c>
      <c r="E1035" s="1662">
        <v>13.07</v>
      </c>
    </row>
    <row r="1036" spans="1:5" x14ac:dyDescent="0.2">
      <c r="A1036" s="135">
        <v>41068</v>
      </c>
      <c r="B1036" s="1926" t="s">
        <v>10638</v>
      </c>
      <c r="C1036" s="1926" t="s">
        <v>51</v>
      </c>
      <c r="D1036" s="1926" t="s">
        <v>40</v>
      </c>
      <c r="E1036" s="1662">
        <v>2334.11</v>
      </c>
    </row>
    <row r="1037" spans="1:5" x14ac:dyDescent="0.2">
      <c r="A1037" s="135">
        <v>1108</v>
      </c>
      <c r="B1037" s="1926" t="s">
        <v>10639</v>
      </c>
      <c r="C1037" s="1926" t="s">
        <v>47</v>
      </c>
      <c r="D1037" s="1926" t="s">
        <v>40</v>
      </c>
      <c r="E1037" s="1662">
        <v>16.600000000000001</v>
      </c>
    </row>
    <row r="1038" spans="1:5" x14ac:dyDescent="0.2">
      <c r="A1038" s="135">
        <v>1117</v>
      </c>
      <c r="B1038" s="1926" t="s">
        <v>10640</v>
      </c>
      <c r="C1038" s="1926" t="s">
        <v>47</v>
      </c>
      <c r="D1038" s="1926" t="s">
        <v>40</v>
      </c>
      <c r="E1038" s="1662">
        <v>16.73</v>
      </c>
    </row>
    <row r="1039" spans="1:5" x14ac:dyDescent="0.2">
      <c r="A1039" s="135">
        <v>1118</v>
      </c>
      <c r="B1039" s="1926" t="s">
        <v>10641</v>
      </c>
      <c r="C1039" s="1926" t="s">
        <v>47</v>
      </c>
      <c r="D1039" s="1926" t="s">
        <v>40</v>
      </c>
      <c r="E1039" s="1662">
        <v>19.77</v>
      </c>
    </row>
    <row r="1040" spans="1:5" x14ac:dyDescent="0.2">
      <c r="A1040" s="135">
        <v>1110</v>
      </c>
      <c r="B1040" s="1926" t="s">
        <v>10642</v>
      </c>
      <c r="C1040" s="1926" t="s">
        <v>47</v>
      </c>
      <c r="D1040" s="1926" t="s">
        <v>40</v>
      </c>
      <c r="E1040" s="1662">
        <v>19.77</v>
      </c>
    </row>
    <row r="1041" spans="1:5" x14ac:dyDescent="0.2">
      <c r="A1041" s="135">
        <v>12618</v>
      </c>
      <c r="B1041" s="1926" t="s">
        <v>10643</v>
      </c>
      <c r="C1041" s="1926" t="s">
        <v>39</v>
      </c>
      <c r="D1041" s="1926" t="s">
        <v>46</v>
      </c>
      <c r="E1041" s="1662">
        <v>33.93</v>
      </c>
    </row>
    <row r="1042" spans="1:5" x14ac:dyDescent="0.2">
      <c r="A1042" s="135">
        <v>40784</v>
      </c>
      <c r="B1042" s="1926" t="s">
        <v>10644</v>
      </c>
      <c r="C1042" s="1926" t="s">
        <v>47</v>
      </c>
      <c r="D1042" s="1926" t="s">
        <v>40</v>
      </c>
      <c r="E1042" s="1662">
        <v>54.55</v>
      </c>
    </row>
    <row r="1043" spans="1:5" x14ac:dyDescent="0.2">
      <c r="A1043" s="135">
        <v>40782</v>
      </c>
      <c r="B1043" s="1926" t="s">
        <v>10645</v>
      </c>
      <c r="C1043" s="1926" t="s">
        <v>47</v>
      </c>
      <c r="D1043" s="1926" t="s">
        <v>40</v>
      </c>
      <c r="E1043" s="1662">
        <v>21.4</v>
      </c>
    </row>
    <row r="1044" spans="1:5" x14ac:dyDescent="0.2">
      <c r="A1044" s="135">
        <v>40783</v>
      </c>
      <c r="B1044" s="1926" t="s">
        <v>10646</v>
      </c>
      <c r="C1044" s="1926" t="s">
        <v>47</v>
      </c>
      <c r="D1044" s="1926" t="s">
        <v>40</v>
      </c>
      <c r="E1044" s="1662">
        <v>27.88</v>
      </c>
    </row>
    <row r="1045" spans="1:5" x14ac:dyDescent="0.2">
      <c r="A1045" s="135">
        <v>1109</v>
      </c>
      <c r="B1045" s="1926" t="s">
        <v>10647</v>
      </c>
      <c r="C1045" s="1926" t="s">
        <v>47</v>
      </c>
      <c r="D1045" s="1926" t="s">
        <v>40</v>
      </c>
      <c r="E1045" s="1662">
        <v>16.600000000000001</v>
      </c>
    </row>
    <row r="1046" spans="1:5" x14ac:dyDescent="0.2">
      <c r="A1046" s="135">
        <v>1119</v>
      </c>
      <c r="B1046" s="1926" t="s">
        <v>10648</v>
      </c>
      <c r="C1046" s="1926" t="s">
        <v>47</v>
      </c>
      <c r="D1046" s="1926" t="s">
        <v>40</v>
      </c>
      <c r="E1046" s="1662">
        <v>10.7</v>
      </c>
    </row>
    <row r="1047" spans="1:5" x14ac:dyDescent="0.2">
      <c r="A1047" s="135">
        <v>13115</v>
      </c>
      <c r="B1047" s="1926" t="s">
        <v>10649</v>
      </c>
      <c r="C1047" s="1926" t="s">
        <v>47</v>
      </c>
      <c r="D1047" s="1926" t="s">
        <v>40</v>
      </c>
      <c r="E1047" s="1662">
        <v>18.43</v>
      </c>
    </row>
    <row r="1048" spans="1:5" x14ac:dyDescent="0.2">
      <c r="A1048" s="135">
        <v>10541</v>
      </c>
      <c r="B1048" s="1926" t="s">
        <v>10650</v>
      </c>
      <c r="C1048" s="1926" t="s">
        <v>47</v>
      </c>
      <c r="D1048" s="1926" t="s">
        <v>40</v>
      </c>
      <c r="E1048" s="1662">
        <v>21.4</v>
      </c>
    </row>
    <row r="1049" spans="1:5" x14ac:dyDescent="0.2">
      <c r="A1049" s="135">
        <v>10543</v>
      </c>
      <c r="B1049" s="1926" t="s">
        <v>10651</v>
      </c>
      <c r="C1049" s="1926" t="s">
        <v>47</v>
      </c>
      <c r="D1049" s="1926" t="s">
        <v>40</v>
      </c>
      <c r="E1049" s="1662">
        <v>41.53</v>
      </c>
    </row>
    <row r="1050" spans="1:5" x14ac:dyDescent="0.2">
      <c r="A1050" s="135">
        <v>10544</v>
      </c>
      <c r="B1050" s="1926" t="s">
        <v>10652</v>
      </c>
      <c r="C1050" s="1926" t="s">
        <v>47</v>
      </c>
      <c r="D1050" s="1926" t="s">
        <v>40</v>
      </c>
      <c r="E1050" s="1662">
        <v>49.94</v>
      </c>
    </row>
    <row r="1051" spans="1:5" x14ac:dyDescent="0.2">
      <c r="A1051" s="135">
        <v>10545</v>
      </c>
      <c r="B1051" s="1926" t="s">
        <v>10653</v>
      </c>
      <c r="C1051" s="1926" t="s">
        <v>47</v>
      </c>
      <c r="D1051" s="1926" t="s">
        <v>40</v>
      </c>
      <c r="E1051" s="1662">
        <v>76.599999999999994</v>
      </c>
    </row>
    <row r="1052" spans="1:5" x14ac:dyDescent="0.2">
      <c r="A1052" s="135">
        <v>10542</v>
      </c>
      <c r="B1052" s="1926" t="s">
        <v>10654</v>
      </c>
      <c r="C1052" s="1926" t="s">
        <v>47</v>
      </c>
      <c r="D1052" s="1926" t="s">
        <v>40</v>
      </c>
      <c r="E1052" s="1662">
        <v>29.49</v>
      </c>
    </row>
    <row r="1053" spans="1:5" x14ac:dyDescent="0.2">
      <c r="A1053" s="135">
        <v>38365</v>
      </c>
      <c r="B1053" s="1926" t="s">
        <v>10655</v>
      </c>
      <c r="C1053" s="1926" t="s">
        <v>45</v>
      </c>
      <c r="D1053" s="1926" t="s">
        <v>40</v>
      </c>
      <c r="E1053" s="1662">
        <v>1.57</v>
      </c>
    </row>
    <row r="1054" spans="1:5" x14ac:dyDescent="0.2">
      <c r="A1054" s="135">
        <v>37745</v>
      </c>
      <c r="B1054" s="1926" t="s">
        <v>10656</v>
      </c>
      <c r="C1054" s="1926" t="s">
        <v>39</v>
      </c>
      <c r="D1054" s="1926" t="s">
        <v>46</v>
      </c>
      <c r="E1054" s="1662">
        <v>247700</v>
      </c>
    </row>
    <row r="1055" spans="1:5" x14ac:dyDescent="0.2">
      <c r="A1055" s="135">
        <v>37754</v>
      </c>
      <c r="B1055" s="1926" t="s">
        <v>10657</v>
      </c>
      <c r="C1055" s="1926" t="s">
        <v>39</v>
      </c>
      <c r="D1055" s="1926" t="s">
        <v>46</v>
      </c>
      <c r="E1055" s="1662">
        <v>258674.05</v>
      </c>
    </row>
    <row r="1056" spans="1:5" x14ac:dyDescent="0.2">
      <c r="A1056" s="135">
        <v>37748</v>
      </c>
      <c r="B1056" s="1926" t="s">
        <v>10658</v>
      </c>
      <c r="C1056" s="1926" t="s">
        <v>39</v>
      </c>
      <c r="D1056" s="1926" t="s">
        <v>46</v>
      </c>
      <c r="E1056" s="1662">
        <v>263338.01</v>
      </c>
    </row>
    <row r="1057" spans="1:5" x14ac:dyDescent="0.2">
      <c r="A1057" s="135">
        <v>37761</v>
      </c>
      <c r="B1057" s="1926" t="s">
        <v>10659</v>
      </c>
      <c r="C1057" s="1926" t="s">
        <v>39</v>
      </c>
      <c r="D1057" s="1926" t="s">
        <v>46</v>
      </c>
      <c r="E1057" s="1662">
        <v>217913.28</v>
      </c>
    </row>
    <row r="1058" spans="1:5" x14ac:dyDescent="0.2">
      <c r="A1058" s="135">
        <v>37757</v>
      </c>
      <c r="B1058" s="1926" t="s">
        <v>10660</v>
      </c>
      <c r="C1058" s="1926" t="s">
        <v>39</v>
      </c>
      <c r="D1058" s="1926" t="s">
        <v>46</v>
      </c>
      <c r="E1058" s="1662">
        <v>303354.09999999998</v>
      </c>
    </row>
    <row r="1059" spans="1:5" x14ac:dyDescent="0.2">
      <c r="A1059" s="135">
        <v>37759</v>
      </c>
      <c r="B1059" s="1926" t="s">
        <v>10661</v>
      </c>
      <c r="C1059" s="1926" t="s">
        <v>39</v>
      </c>
      <c r="D1059" s="1926" t="s">
        <v>46</v>
      </c>
      <c r="E1059" s="1662">
        <v>304529.90999999997</v>
      </c>
    </row>
    <row r="1060" spans="1:5" x14ac:dyDescent="0.2">
      <c r="A1060" s="135">
        <v>37766</v>
      </c>
      <c r="B1060" s="1926" t="s">
        <v>10662</v>
      </c>
      <c r="C1060" s="1926" t="s">
        <v>39</v>
      </c>
      <c r="D1060" s="1926" t="s">
        <v>46</v>
      </c>
      <c r="E1060" s="1662">
        <v>304529.88</v>
      </c>
    </row>
    <row r="1061" spans="1:5" x14ac:dyDescent="0.2">
      <c r="A1061" s="135">
        <v>37752</v>
      </c>
      <c r="B1061" s="1926" t="s">
        <v>10663</v>
      </c>
      <c r="C1061" s="1926" t="s">
        <v>39</v>
      </c>
      <c r="D1061" s="1926" t="s">
        <v>46</v>
      </c>
      <c r="E1061" s="1662">
        <v>276154.14</v>
      </c>
    </row>
    <row r="1062" spans="1:5" x14ac:dyDescent="0.2">
      <c r="A1062" s="135">
        <v>37760</v>
      </c>
      <c r="B1062" s="1926" t="s">
        <v>10664</v>
      </c>
      <c r="C1062" s="1926" t="s">
        <v>39</v>
      </c>
      <c r="D1062" s="1926" t="s">
        <v>46</v>
      </c>
      <c r="E1062" s="1662">
        <v>290812.33</v>
      </c>
    </row>
    <row r="1063" spans="1:5" x14ac:dyDescent="0.2">
      <c r="A1063" s="135">
        <v>37765</v>
      </c>
      <c r="B1063" s="1926" t="s">
        <v>10665</v>
      </c>
      <c r="C1063" s="1926" t="s">
        <v>39</v>
      </c>
      <c r="D1063" s="1926" t="s">
        <v>46</v>
      </c>
      <c r="E1063" s="1662">
        <v>203019.94</v>
      </c>
    </row>
    <row r="1064" spans="1:5" x14ac:dyDescent="0.2">
      <c r="A1064" s="135">
        <v>37746</v>
      </c>
      <c r="B1064" s="1926" t="s">
        <v>10666</v>
      </c>
      <c r="C1064" s="1926" t="s">
        <v>39</v>
      </c>
      <c r="D1064" s="1926" t="s">
        <v>46</v>
      </c>
      <c r="E1064" s="1662">
        <v>222577.25</v>
      </c>
    </row>
    <row r="1065" spans="1:5" x14ac:dyDescent="0.2">
      <c r="A1065" s="135">
        <v>37750</v>
      </c>
      <c r="B1065" s="1926" t="s">
        <v>10667</v>
      </c>
      <c r="C1065" s="1926" t="s">
        <v>39</v>
      </c>
      <c r="D1065" s="1926" t="s">
        <v>46</v>
      </c>
      <c r="E1065" s="1662">
        <v>221793.4</v>
      </c>
    </row>
    <row r="1066" spans="1:5" x14ac:dyDescent="0.2">
      <c r="A1066" s="135">
        <v>37753</v>
      </c>
      <c r="B1066" s="1926" t="s">
        <v>10668</v>
      </c>
      <c r="C1066" s="1926" t="s">
        <v>39</v>
      </c>
      <c r="D1066" s="1926" t="s">
        <v>46</v>
      </c>
      <c r="E1066" s="1662">
        <v>221009.53</v>
      </c>
    </row>
    <row r="1067" spans="1:5" x14ac:dyDescent="0.2">
      <c r="A1067" s="135">
        <v>37756</v>
      </c>
      <c r="B1067" s="1926" t="s">
        <v>10669</v>
      </c>
      <c r="C1067" s="1926" t="s">
        <v>39</v>
      </c>
      <c r="D1067" s="1926" t="s">
        <v>46</v>
      </c>
      <c r="E1067" s="1662">
        <v>217913.28</v>
      </c>
    </row>
    <row r="1068" spans="1:5" x14ac:dyDescent="0.2">
      <c r="A1068" s="135">
        <v>37755</v>
      </c>
      <c r="B1068" s="1926" t="s">
        <v>10670</v>
      </c>
      <c r="C1068" s="1926" t="s">
        <v>39</v>
      </c>
      <c r="D1068" s="1926" t="s">
        <v>46</v>
      </c>
      <c r="E1068" s="1662">
        <v>316679.74</v>
      </c>
    </row>
    <row r="1069" spans="1:5" x14ac:dyDescent="0.2">
      <c r="A1069" s="135">
        <v>37758</v>
      </c>
      <c r="B1069" s="1926" t="s">
        <v>10671</v>
      </c>
      <c r="C1069" s="1926" t="s">
        <v>39</v>
      </c>
      <c r="D1069" s="1926" t="s">
        <v>46</v>
      </c>
      <c r="E1069" s="1662">
        <v>357440.51</v>
      </c>
    </row>
    <row r="1070" spans="1:5" x14ac:dyDescent="0.2">
      <c r="A1070" s="135">
        <v>37747</v>
      </c>
      <c r="B1070" s="1926" t="s">
        <v>10672</v>
      </c>
      <c r="C1070" s="1926" t="s">
        <v>39</v>
      </c>
      <c r="D1070" s="1926" t="s">
        <v>46</v>
      </c>
      <c r="E1070" s="1662">
        <v>321618.06</v>
      </c>
    </row>
    <row r="1071" spans="1:5" x14ac:dyDescent="0.2">
      <c r="A1071" s="135">
        <v>37767</v>
      </c>
      <c r="B1071" s="1926" t="s">
        <v>10673</v>
      </c>
      <c r="C1071" s="1926" t="s">
        <v>39</v>
      </c>
      <c r="D1071" s="1926" t="s">
        <v>46</v>
      </c>
      <c r="E1071" s="1662">
        <v>339411.71</v>
      </c>
    </row>
    <row r="1072" spans="1:5" x14ac:dyDescent="0.2">
      <c r="A1072" s="135">
        <v>37751</v>
      </c>
      <c r="B1072" s="1926" t="s">
        <v>10674</v>
      </c>
      <c r="C1072" s="1926" t="s">
        <v>39</v>
      </c>
      <c r="D1072" s="1926" t="s">
        <v>46</v>
      </c>
      <c r="E1072" s="1662">
        <v>339411.71</v>
      </c>
    </row>
    <row r="1073" spans="1:5" x14ac:dyDescent="0.2">
      <c r="A1073" s="135">
        <v>37749</v>
      </c>
      <c r="B1073" s="1926" t="s">
        <v>10675</v>
      </c>
      <c r="C1073" s="1926" t="s">
        <v>39</v>
      </c>
      <c r="D1073" s="1926" t="s">
        <v>46</v>
      </c>
      <c r="E1073" s="1662">
        <v>335492.40999999997</v>
      </c>
    </row>
    <row r="1074" spans="1:5" x14ac:dyDescent="0.2">
      <c r="A1074" s="135">
        <v>1159</v>
      </c>
      <c r="B1074" s="1926" t="s">
        <v>10676</v>
      </c>
      <c r="C1074" s="1926" t="s">
        <v>39</v>
      </c>
      <c r="D1074" s="1926" t="s">
        <v>43</v>
      </c>
      <c r="E1074" s="1662">
        <v>162548</v>
      </c>
    </row>
    <row r="1075" spans="1:5" x14ac:dyDescent="0.2">
      <c r="A1075" s="135">
        <v>12114</v>
      </c>
      <c r="B1075" s="1926" t="s">
        <v>10677</v>
      </c>
      <c r="C1075" s="1926" t="s">
        <v>39</v>
      </c>
      <c r="D1075" s="1926" t="s">
        <v>40</v>
      </c>
      <c r="E1075" s="1662">
        <v>125.34</v>
      </c>
    </row>
    <row r="1076" spans="1:5" x14ac:dyDescent="0.2">
      <c r="A1076" s="135">
        <v>38106</v>
      </c>
      <c r="B1076" s="1926" t="s">
        <v>10678</v>
      </c>
      <c r="C1076" s="1926" t="s">
        <v>39</v>
      </c>
      <c r="D1076" s="1926" t="s">
        <v>40</v>
      </c>
      <c r="E1076" s="1662">
        <v>17.03</v>
      </c>
    </row>
    <row r="1077" spans="1:5" x14ac:dyDescent="0.2">
      <c r="A1077" s="135">
        <v>38085</v>
      </c>
      <c r="B1077" s="1926" t="s">
        <v>10679</v>
      </c>
      <c r="C1077" s="1926" t="s">
        <v>39</v>
      </c>
      <c r="D1077" s="1926" t="s">
        <v>40</v>
      </c>
      <c r="E1077" s="1662">
        <v>20.12</v>
      </c>
    </row>
    <row r="1078" spans="1:5" x14ac:dyDescent="0.2">
      <c r="A1078" s="135">
        <v>38599</v>
      </c>
      <c r="B1078" s="1926" t="s">
        <v>10680</v>
      </c>
      <c r="C1078" s="1926" t="s">
        <v>39</v>
      </c>
      <c r="D1078" s="1926" t="s">
        <v>40</v>
      </c>
      <c r="E1078" s="1662">
        <v>3.24</v>
      </c>
    </row>
    <row r="1079" spans="1:5" x14ac:dyDescent="0.2">
      <c r="A1079" s="135">
        <v>38596</v>
      </c>
      <c r="B1079" s="1926" t="s">
        <v>10681</v>
      </c>
      <c r="C1079" s="1926" t="s">
        <v>39</v>
      </c>
      <c r="D1079" s="1926" t="s">
        <v>40</v>
      </c>
      <c r="E1079" s="1662">
        <v>2.21</v>
      </c>
    </row>
    <row r="1080" spans="1:5" x14ac:dyDescent="0.2">
      <c r="A1080" s="135">
        <v>38600</v>
      </c>
      <c r="B1080" s="1926" t="s">
        <v>10682</v>
      </c>
      <c r="C1080" s="1926" t="s">
        <v>39</v>
      </c>
      <c r="D1080" s="1926" t="s">
        <v>40</v>
      </c>
      <c r="E1080" s="1662">
        <v>3.82</v>
      </c>
    </row>
    <row r="1081" spans="1:5" x14ac:dyDescent="0.2">
      <c r="A1081" s="135">
        <v>38597</v>
      </c>
      <c r="B1081" s="1926" t="s">
        <v>10683</v>
      </c>
      <c r="C1081" s="1926" t="s">
        <v>39</v>
      </c>
      <c r="D1081" s="1926" t="s">
        <v>40</v>
      </c>
      <c r="E1081" s="1662">
        <v>2.71</v>
      </c>
    </row>
    <row r="1082" spans="1:5" x14ac:dyDescent="0.2">
      <c r="A1082" s="135">
        <v>659</v>
      </c>
      <c r="B1082" s="1926" t="s">
        <v>10684</v>
      </c>
      <c r="C1082" s="1926" t="s">
        <v>39</v>
      </c>
      <c r="D1082" s="1926" t="s">
        <v>40</v>
      </c>
      <c r="E1082" s="1662">
        <v>1.32</v>
      </c>
    </row>
    <row r="1083" spans="1:5" x14ac:dyDescent="0.2">
      <c r="A1083" s="135">
        <v>660</v>
      </c>
      <c r="B1083" s="1926" t="s">
        <v>10685</v>
      </c>
      <c r="C1083" s="1926" t="s">
        <v>39</v>
      </c>
      <c r="D1083" s="1926" t="s">
        <v>40</v>
      </c>
      <c r="E1083" s="1662">
        <v>1.93</v>
      </c>
    </row>
    <row r="1084" spans="1:5" x14ac:dyDescent="0.2">
      <c r="A1084" s="135">
        <v>658</v>
      </c>
      <c r="B1084" s="1926" t="s">
        <v>10686</v>
      </c>
      <c r="C1084" s="1926" t="s">
        <v>39</v>
      </c>
      <c r="D1084" s="1926" t="s">
        <v>40</v>
      </c>
      <c r="E1084" s="1662">
        <v>1.06</v>
      </c>
    </row>
    <row r="1085" spans="1:5" x14ac:dyDescent="0.2">
      <c r="A1085" s="135">
        <v>38548</v>
      </c>
      <c r="B1085" s="1926" t="s">
        <v>10687</v>
      </c>
      <c r="C1085" s="1926" t="s">
        <v>39</v>
      </c>
      <c r="D1085" s="1926" t="s">
        <v>40</v>
      </c>
      <c r="E1085" s="1662">
        <v>1.03</v>
      </c>
    </row>
    <row r="1086" spans="1:5" x14ac:dyDescent="0.2">
      <c r="A1086" s="135">
        <v>34647</v>
      </c>
      <c r="B1086" s="1926" t="s">
        <v>10688</v>
      </c>
      <c r="C1086" s="1926" t="s">
        <v>39</v>
      </c>
      <c r="D1086" s="1926" t="s">
        <v>40</v>
      </c>
      <c r="E1086" s="1662">
        <v>1.78</v>
      </c>
    </row>
    <row r="1087" spans="1:5" x14ac:dyDescent="0.2">
      <c r="A1087" s="135">
        <v>34649</v>
      </c>
      <c r="B1087" s="1926" t="s">
        <v>10689</v>
      </c>
      <c r="C1087" s="1926" t="s">
        <v>39</v>
      </c>
      <c r="D1087" s="1926" t="s">
        <v>40</v>
      </c>
      <c r="E1087" s="1662">
        <v>1.83</v>
      </c>
    </row>
    <row r="1088" spans="1:5" x14ac:dyDescent="0.2">
      <c r="A1088" s="135">
        <v>34652</v>
      </c>
      <c r="B1088" s="1926" t="s">
        <v>10690</v>
      </c>
      <c r="C1088" s="1926" t="s">
        <v>39</v>
      </c>
      <c r="D1088" s="1926" t="s">
        <v>40</v>
      </c>
      <c r="E1088" s="1662">
        <v>2.5</v>
      </c>
    </row>
    <row r="1089" spans="1:5" x14ac:dyDescent="0.2">
      <c r="A1089" s="135">
        <v>34655</v>
      </c>
      <c r="B1089" s="1926" t="s">
        <v>10691</v>
      </c>
      <c r="C1089" s="1926" t="s">
        <v>39</v>
      </c>
      <c r="D1089" s="1926" t="s">
        <v>40</v>
      </c>
      <c r="E1089" s="1662">
        <v>2.42</v>
      </c>
    </row>
    <row r="1090" spans="1:5" x14ac:dyDescent="0.2">
      <c r="A1090" s="135">
        <v>40607</v>
      </c>
      <c r="B1090" s="1926" t="s">
        <v>10692</v>
      </c>
      <c r="C1090" s="1926" t="s">
        <v>39</v>
      </c>
      <c r="D1090" s="1926" t="s">
        <v>40</v>
      </c>
      <c r="E1090" s="1662">
        <v>4.08</v>
      </c>
    </row>
    <row r="1091" spans="1:5" x14ac:dyDescent="0.2">
      <c r="A1091" s="135">
        <v>585</v>
      </c>
      <c r="B1091" s="1926" t="s">
        <v>10693</v>
      </c>
      <c r="C1091" s="1926" t="s">
        <v>48</v>
      </c>
      <c r="D1091" s="1926" t="s">
        <v>46</v>
      </c>
      <c r="E1091" s="1662">
        <v>20.81</v>
      </c>
    </row>
    <row r="1092" spans="1:5" x14ac:dyDescent="0.2">
      <c r="A1092" s="135">
        <v>4777</v>
      </c>
      <c r="B1092" s="1926" t="s">
        <v>10694</v>
      </c>
      <c r="C1092" s="1926" t="s">
        <v>48</v>
      </c>
      <c r="D1092" s="1926" t="s">
        <v>46</v>
      </c>
      <c r="E1092" s="1662">
        <v>4.57</v>
      </c>
    </row>
    <row r="1093" spans="1:5" x14ac:dyDescent="0.2">
      <c r="A1093" s="135">
        <v>587</v>
      </c>
      <c r="B1093" s="1926" t="s">
        <v>10695</v>
      </c>
      <c r="C1093" s="1926" t="s">
        <v>48</v>
      </c>
      <c r="D1093" s="1926" t="s">
        <v>46</v>
      </c>
      <c r="E1093" s="1662">
        <v>22.3</v>
      </c>
    </row>
    <row r="1094" spans="1:5" x14ac:dyDescent="0.2">
      <c r="A1094" s="135">
        <v>590</v>
      </c>
      <c r="B1094" s="1926" t="s">
        <v>10696</v>
      </c>
      <c r="C1094" s="1926" t="s">
        <v>48</v>
      </c>
      <c r="D1094" s="1926" t="s">
        <v>46</v>
      </c>
      <c r="E1094" s="1662">
        <v>21.55</v>
      </c>
    </row>
    <row r="1095" spans="1:5" x14ac:dyDescent="0.2">
      <c r="A1095" s="135">
        <v>592</v>
      </c>
      <c r="B1095" s="1926" t="s">
        <v>10697</v>
      </c>
      <c r="C1095" s="1926" t="s">
        <v>48</v>
      </c>
      <c r="D1095" s="1926" t="s">
        <v>46</v>
      </c>
      <c r="E1095" s="1662">
        <v>22.3</v>
      </c>
    </row>
    <row r="1096" spans="1:5" x14ac:dyDescent="0.2">
      <c r="A1096" s="135">
        <v>586</v>
      </c>
      <c r="B1096" s="1926" t="s">
        <v>10698</v>
      </c>
      <c r="C1096" s="1926" t="s">
        <v>47</v>
      </c>
      <c r="D1096" s="1926" t="s">
        <v>46</v>
      </c>
      <c r="E1096" s="1662">
        <v>13.11</v>
      </c>
    </row>
    <row r="1097" spans="1:5" x14ac:dyDescent="0.2">
      <c r="A1097" s="135">
        <v>591</v>
      </c>
      <c r="B1097" s="1926" t="s">
        <v>10699</v>
      </c>
      <c r="C1097" s="1926" t="s">
        <v>48</v>
      </c>
      <c r="D1097" s="1926" t="s">
        <v>46</v>
      </c>
      <c r="E1097" s="1662">
        <v>20.81</v>
      </c>
    </row>
    <row r="1098" spans="1:5" x14ac:dyDescent="0.2">
      <c r="A1098" s="135">
        <v>588</v>
      </c>
      <c r="B1098" s="1926" t="s">
        <v>10700</v>
      </c>
      <c r="C1098" s="1926" t="s">
        <v>47</v>
      </c>
      <c r="D1098" s="1926" t="s">
        <v>46</v>
      </c>
      <c r="E1098" s="1662">
        <v>20.73</v>
      </c>
    </row>
    <row r="1099" spans="1:5" x14ac:dyDescent="0.2">
      <c r="A1099" s="135">
        <v>589</v>
      </c>
      <c r="B1099" s="1926" t="s">
        <v>10701</v>
      </c>
      <c r="C1099" s="1926" t="s">
        <v>47</v>
      </c>
      <c r="D1099" s="1926" t="s">
        <v>46</v>
      </c>
      <c r="E1099" s="1662">
        <v>35.049999999999997</v>
      </c>
    </row>
    <row r="1100" spans="1:5" x14ac:dyDescent="0.2">
      <c r="A1100" s="135">
        <v>584</v>
      </c>
      <c r="B1100" s="1926" t="s">
        <v>10702</v>
      </c>
      <c r="C1100" s="1926" t="s">
        <v>47</v>
      </c>
      <c r="D1100" s="1926" t="s">
        <v>46</v>
      </c>
      <c r="E1100" s="1662">
        <v>22.15</v>
      </c>
    </row>
    <row r="1101" spans="1:5" x14ac:dyDescent="0.2">
      <c r="A1101" s="135">
        <v>574</v>
      </c>
      <c r="B1101" s="1926" t="s">
        <v>10703</v>
      </c>
      <c r="C1101" s="1926" t="s">
        <v>47</v>
      </c>
      <c r="D1101" s="1926" t="s">
        <v>40</v>
      </c>
      <c r="E1101" s="1662">
        <v>19.739999999999998</v>
      </c>
    </row>
    <row r="1102" spans="1:5" x14ac:dyDescent="0.2">
      <c r="A1102" s="135">
        <v>567</v>
      </c>
      <c r="B1102" s="1926" t="s">
        <v>10704</v>
      </c>
      <c r="C1102" s="1926" t="s">
        <v>47</v>
      </c>
      <c r="D1102" s="1926" t="s">
        <v>40</v>
      </c>
      <c r="E1102" s="1662">
        <v>7.31</v>
      </c>
    </row>
    <row r="1103" spans="1:5" x14ac:dyDescent="0.2">
      <c r="A1103" s="135">
        <v>568</v>
      </c>
      <c r="B1103" s="1926" t="s">
        <v>10705</v>
      </c>
      <c r="C1103" s="1926" t="s">
        <v>47</v>
      </c>
      <c r="D1103" s="1926" t="s">
        <v>40</v>
      </c>
      <c r="E1103" s="1662">
        <v>44.28</v>
      </c>
    </row>
    <row r="1104" spans="1:5" x14ac:dyDescent="0.2">
      <c r="A1104" s="135">
        <v>569</v>
      </c>
      <c r="B1104" s="1926" t="s">
        <v>10706</v>
      </c>
      <c r="C1104" s="1926" t="s">
        <v>48</v>
      </c>
      <c r="D1104" s="1926" t="s">
        <v>40</v>
      </c>
      <c r="E1104" s="1662">
        <v>6.16</v>
      </c>
    </row>
    <row r="1105" spans="1:5" x14ac:dyDescent="0.2">
      <c r="A1105" s="135">
        <v>1165</v>
      </c>
      <c r="B1105" s="1926" t="s">
        <v>10707</v>
      </c>
      <c r="C1105" s="1926" t="s">
        <v>39</v>
      </c>
      <c r="D1105" s="1926" t="s">
        <v>40</v>
      </c>
      <c r="E1105" s="1662">
        <v>10.66</v>
      </c>
    </row>
    <row r="1106" spans="1:5" x14ac:dyDescent="0.2">
      <c r="A1106" s="135">
        <v>1164</v>
      </c>
      <c r="B1106" s="1926" t="s">
        <v>10708</v>
      </c>
      <c r="C1106" s="1926" t="s">
        <v>39</v>
      </c>
      <c r="D1106" s="1926" t="s">
        <v>40</v>
      </c>
      <c r="E1106" s="1662">
        <v>8.6300000000000008</v>
      </c>
    </row>
    <row r="1107" spans="1:5" x14ac:dyDescent="0.2">
      <c r="A1107" s="135">
        <v>1162</v>
      </c>
      <c r="B1107" s="1926" t="s">
        <v>10709</v>
      </c>
      <c r="C1107" s="1926" t="s">
        <v>39</v>
      </c>
      <c r="D1107" s="1926" t="s">
        <v>40</v>
      </c>
      <c r="E1107" s="1662">
        <v>3</v>
      </c>
    </row>
    <row r="1108" spans="1:5" x14ac:dyDescent="0.2">
      <c r="A1108" s="135">
        <v>12395</v>
      </c>
      <c r="B1108" s="1926" t="s">
        <v>10710</v>
      </c>
      <c r="C1108" s="1926" t="s">
        <v>39</v>
      </c>
      <c r="D1108" s="1926" t="s">
        <v>40</v>
      </c>
      <c r="E1108" s="1662">
        <v>2.91</v>
      </c>
    </row>
    <row r="1109" spans="1:5" x14ac:dyDescent="0.2">
      <c r="A1109" s="135">
        <v>1170</v>
      </c>
      <c r="B1109" s="1926" t="s">
        <v>10711</v>
      </c>
      <c r="C1109" s="1926" t="s">
        <v>39</v>
      </c>
      <c r="D1109" s="1926" t="s">
        <v>40</v>
      </c>
      <c r="E1109" s="1662">
        <v>5.65</v>
      </c>
    </row>
    <row r="1110" spans="1:5" x14ac:dyDescent="0.2">
      <c r="A1110" s="135">
        <v>1169</v>
      </c>
      <c r="B1110" s="1926" t="s">
        <v>10712</v>
      </c>
      <c r="C1110" s="1926" t="s">
        <v>39</v>
      </c>
      <c r="D1110" s="1926" t="s">
        <v>40</v>
      </c>
      <c r="E1110" s="1662">
        <v>27.77</v>
      </c>
    </row>
    <row r="1111" spans="1:5" x14ac:dyDescent="0.2">
      <c r="A1111" s="135">
        <v>1166</v>
      </c>
      <c r="B1111" s="1926" t="s">
        <v>10713</v>
      </c>
      <c r="C1111" s="1926" t="s">
        <v>39</v>
      </c>
      <c r="D1111" s="1926" t="s">
        <v>40</v>
      </c>
      <c r="E1111" s="1662">
        <v>15.4</v>
      </c>
    </row>
    <row r="1112" spans="1:5" x14ac:dyDescent="0.2">
      <c r="A1112" s="135">
        <v>1163</v>
      </c>
      <c r="B1112" s="1926" t="s">
        <v>10714</v>
      </c>
      <c r="C1112" s="1926" t="s">
        <v>39</v>
      </c>
      <c r="D1112" s="1926" t="s">
        <v>40</v>
      </c>
      <c r="E1112" s="1662">
        <v>3.88</v>
      </c>
    </row>
    <row r="1113" spans="1:5" x14ac:dyDescent="0.2">
      <c r="A1113" s="135">
        <v>12396</v>
      </c>
      <c r="B1113" s="1926" t="s">
        <v>10715</v>
      </c>
      <c r="C1113" s="1926" t="s">
        <v>39</v>
      </c>
      <c r="D1113" s="1926" t="s">
        <v>40</v>
      </c>
      <c r="E1113" s="1662">
        <v>2.91</v>
      </c>
    </row>
    <row r="1114" spans="1:5" x14ac:dyDescent="0.2">
      <c r="A1114" s="135">
        <v>1168</v>
      </c>
      <c r="B1114" s="1926" t="s">
        <v>10716</v>
      </c>
      <c r="C1114" s="1926" t="s">
        <v>39</v>
      </c>
      <c r="D1114" s="1926" t="s">
        <v>40</v>
      </c>
      <c r="E1114" s="1662">
        <v>39.590000000000003</v>
      </c>
    </row>
    <row r="1115" spans="1:5" x14ac:dyDescent="0.2">
      <c r="A1115" s="135">
        <v>1167</v>
      </c>
      <c r="B1115" s="1926" t="s">
        <v>10717</v>
      </c>
      <c r="C1115" s="1926" t="s">
        <v>39</v>
      </c>
      <c r="D1115" s="1926" t="s">
        <v>40</v>
      </c>
      <c r="E1115" s="1662">
        <v>66.23</v>
      </c>
    </row>
    <row r="1116" spans="1:5" x14ac:dyDescent="0.2">
      <c r="A1116" s="135">
        <v>36331</v>
      </c>
      <c r="B1116" s="1926" t="s">
        <v>10718</v>
      </c>
      <c r="C1116" s="1926" t="s">
        <v>39</v>
      </c>
      <c r="D1116" s="1926" t="s">
        <v>46</v>
      </c>
      <c r="E1116" s="1662">
        <v>1.1200000000000001</v>
      </c>
    </row>
    <row r="1117" spans="1:5" x14ac:dyDescent="0.2">
      <c r="A1117" s="135">
        <v>36346</v>
      </c>
      <c r="B1117" s="1926" t="s">
        <v>10719</v>
      </c>
      <c r="C1117" s="1926" t="s">
        <v>39</v>
      </c>
      <c r="D1117" s="1926" t="s">
        <v>46</v>
      </c>
      <c r="E1117" s="1662">
        <v>1.93</v>
      </c>
    </row>
    <row r="1118" spans="1:5" x14ac:dyDescent="0.2">
      <c r="A1118" s="135">
        <v>1210</v>
      </c>
      <c r="B1118" s="1926" t="s">
        <v>10720</v>
      </c>
      <c r="C1118" s="1926" t="s">
        <v>39</v>
      </c>
      <c r="D1118" s="1926" t="s">
        <v>40</v>
      </c>
      <c r="E1118" s="1662">
        <v>9.0500000000000007</v>
      </c>
    </row>
    <row r="1119" spans="1:5" x14ac:dyDescent="0.2">
      <c r="A1119" s="135">
        <v>1203</v>
      </c>
      <c r="B1119" s="1926" t="s">
        <v>10721</v>
      </c>
      <c r="C1119" s="1926" t="s">
        <v>39</v>
      </c>
      <c r="D1119" s="1926" t="s">
        <v>40</v>
      </c>
      <c r="E1119" s="1662">
        <v>8.77</v>
      </c>
    </row>
    <row r="1120" spans="1:5" x14ac:dyDescent="0.2">
      <c r="A1120" s="135">
        <v>1197</v>
      </c>
      <c r="B1120" s="1926" t="s">
        <v>10722</v>
      </c>
      <c r="C1120" s="1926" t="s">
        <v>39</v>
      </c>
      <c r="D1120" s="1926" t="s">
        <v>40</v>
      </c>
      <c r="E1120" s="1662">
        <v>1.1200000000000001</v>
      </c>
    </row>
    <row r="1121" spans="1:5" x14ac:dyDescent="0.2">
      <c r="A1121" s="135">
        <v>1202</v>
      </c>
      <c r="B1121" s="1926" t="s">
        <v>10723</v>
      </c>
      <c r="C1121" s="1926" t="s">
        <v>39</v>
      </c>
      <c r="D1121" s="1926" t="s">
        <v>40</v>
      </c>
      <c r="E1121" s="1662">
        <v>3.02</v>
      </c>
    </row>
    <row r="1122" spans="1:5" x14ac:dyDescent="0.2">
      <c r="A1122" s="135">
        <v>1188</v>
      </c>
      <c r="B1122" s="1926" t="s">
        <v>10724</v>
      </c>
      <c r="C1122" s="1926" t="s">
        <v>39</v>
      </c>
      <c r="D1122" s="1926" t="s">
        <v>40</v>
      </c>
      <c r="E1122" s="1662">
        <v>17.84</v>
      </c>
    </row>
    <row r="1123" spans="1:5" x14ac:dyDescent="0.2">
      <c r="A1123" s="135">
        <v>1211</v>
      </c>
      <c r="B1123" s="1926" t="s">
        <v>10725</v>
      </c>
      <c r="C1123" s="1926" t="s">
        <v>39</v>
      </c>
      <c r="D1123" s="1926" t="s">
        <v>40</v>
      </c>
      <c r="E1123" s="1662">
        <v>9.2100000000000009</v>
      </c>
    </row>
    <row r="1124" spans="1:5" x14ac:dyDescent="0.2">
      <c r="A1124" s="135">
        <v>1198</v>
      </c>
      <c r="B1124" s="1926" t="s">
        <v>10726</v>
      </c>
      <c r="C1124" s="1926" t="s">
        <v>39</v>
      </c>
      <c r="D1124" s="1926" t="s">
        <v>40</v>
      </c>
      <c r="E1124" s="1662">
        <v>1.66</v>
      </c>
    </row>
    <row r="1125" spans="1:5" x14ac:dyDescent="0.2">
      <c r="A1125" s="135">
        <v>1199</v>
      </c>
      <c r="B1125" s="1926" t="s">
        <v>10727</v>
      </c>
      <c r="C1125" s="1926" t="s">
        <v>39</v>
      </c>
      <c r="D1125" s="1926" t="s">
        <v>40</v>
      </c>
      <c r="E1125" s="1662">
        <v>23.3</v>
      </c>
    </row>
    <row r="1126" spans="1:5" x14ac:dyDescent="0.2">
      <c r="A1126" s="135">
        <v>20088</v>
      </c>
      <c r="B1126" s="1926" t="s">
        <v>10728</v>
      </c>
      <c r="C1126" s="1926" t="s">
        <v>39</v>
      </c>
      <c r="D1126" s="1926" t="s">
        <v>40</v>
      </c>
      <c r="E1126" s="1662">
        <v>10.1</v>
      </c>
    </row>
    <row r="1127" spans="1:5" x14ac:dyDescent="0.2">
      <c r="A1127" s="135">
        <v>20089</v>
      </c>
      <c r="B1127" s="1926" t="s">
        <v>10729</v>
      </c>
      <c r="C1127" s="1926" t="s">
        <v>39</v>
      </c>
      <c r="D1127" s="1926" t="s">
        <v>40</v>
      </c>
      <c r="E1127" s="1662">
        <v>48.16</v>
      </c>
    </row>
    <row r="1128" spans="1:5" x14ac:dyDescent="0.2">
      <c r="A1128" s="135">
        <v>20087</v>
      </c>
      <c r="B1128" s="1926" t="s">
        <v>10730</v>
      </c>
      <c r="C1128" s="1926" t="s">
        <v>39</v>
      </c>
      <c r="D1128" s="1926" t="s">
        <v>40</v>
      </c>
      <c r="E1128" s="1662">
        <v>7.27</v>
      </c>
    </row>
    <row r="1129" spans="1:5" x14ac:dyDescent="0.2">
      <c r="A1129" s="135">
        <v>1200</v>
      </c>
      <c r="B1129" s="1926" t="s">
        <v>10731</v>
      </c>
      <c r="C1129" s="1926" t="s">
        <v>39</v>
      </c>
      <c r="D1129" s="1926" t="s">
        <v>40</v>
      </c>
      <c r="E1129" s="1662">
        <v>5.91</v>
      </c>
    </row>
    <row r="1130" spans="1:5" x14ac:dyDescent="0.2">
      <c r="A1130" s="135">
        <v>12909</v>
      </c>
      <c r="B1130" s="1926" t="s">
        <v>10732</v>
      </c>
      <c r="C1130" s="1926" t="s">
        <v>39</v>
      </c>
      <c r="D1130" s="1926" t="s">
        <v>40</v>
      </c>
      <c r="E1130" s="1662">
        <v>2.68</v>
      </c>
    </row>
    <row r="1131" spans="1:5" x14ac:dyDescent="0.2">
      <c r="A1131" s="135">
        <v>12910</v>
      </c>
      <c r="B1131" s="1926" t="s">
        <v>10733</v>
      </c>
      <c r="C1131" s="1926" t="s">
        <v>39</v>
      </c>
      <c r="D1131" s="1926" t="s">
        <v>40</v>
      </c>
      <c r="E1131" s="1662">
        <v>4.47</v>
      </c>
    </row>
    <row r="1132" spans="1:5" x14ac:dyDescent="0.2">
      <c r="A1132" s="135">
        <v>1184</v>
      </c>
      <c r="B1132" s="1926" t="s">
        <v>10734</v>
      </c>
      <c r="C1132" s="1926" t="s">
        <v>39</v>
      </c>
      <c r="D1132" s="1926" t="s">
        <v>40</v>
      </c>
      <c r="E1132" s="1662">
        <v>57.3</v>
      </c>
    </row>
    <row r="1133" spans="1:5" x14ac:dyDescent="0.2">
      <c r="A1133" s="135">
        <v>1191</v>
      </c>
      <c r="B1133" s="1926" t="s">
        <v>10735</v>
      </c>
      <c r="C1133" s="1926" t="s">
        <v>39</v>
      </c>
      <c r="D1133" s="1926" t="s">
        <v>40</v>
      </c>
      <c r="E1133" s="1662">
        <v>0.81</v>
      </c>
    </row>
    <row r="1134" spans="1:5" x14ac:dyDescent="0.2">
      <c r="A1134" s="135">
        <v>1185</v>
      </c>
      <c r="B1134" s="1926" t="s">
        <v>10736</v>
      </c>
      <c r="C1134" s="1926" t="s">
        <v>39</v>
      </c>
      <c r="D1134" s="1926" t="s">
        <v>40</v>
      </c>
      <c r="E1134" s="1662">
        <v>0.93</v>
      </c>
    </row>
    <row r="1135" spans="1:5" x14ac:dyDescent="0.2">
      <c r="A1135" s="135">
        <v>1189</v>
      </c>
      <c r="B1135" s="1926" t="s">
        <v>10737</v>
      </c>
      <c r="C1135" s="1926" t="s">
        <v>39</v>
      </c>
      <c r="D1135" s="1926" t="s">
        <v>40</v>
      </c>
      <c r="E1135" s="1662">
        <v>1.61</v>
      </c>
    </row>
    <row r="1136" spans="1:5" x14ac:dyDescent="0.2">
      <c r="A1136" s="135">
        <v>1193</v>
      </c>
      <c r="B1136" s="1926" t="s">
        <v>10738</v>
      </c>
      <c r="C1136" s="1926" t="s">
        <v>39</v>
      </c>
      <c r="D1136" s="1926" t="s">
        <v>40</v>
      </c>
      <c r="E1136" s="1662">
        <v>3.1</v>
      </c>
    </row>
    <row r="1137" spans="1:5" x14ac:dyDescent="0.2">
      <c r="A1137" s="135">
        <v>1194</v>
      </c>
      <c r="B1137" s="1926" t="s">
        <v>10739</v>
      </c>
      <c r="C1137" s="1926" t="s">
        <v>39</v>
      </c>
      <c r="D1137" s="1926" t="s">
        <v>40</v>
      </c>
      <c r="E1137" s="1662">
        <v>5.87</v>
      </c>
    </row>
    <row r="1138" spans="1:5" x14ac:dyDescent="0.2">
      <c r="A1138" s="135">
        <v>1195</v>
      </c>
      <c r="B1138" s="1926" t="s">
        <v>10740</v>
      </c>
      <c r="C1138" s="1926" t="s">
        <v>39</v>
      </c>
      <c r="D1138" s="1926" t="s">
        <v>40</v>
      </c>
      <c r="E1138" s="1662">
        <v>8.84</v>
      </c>
    </row>
    <row r="1139" spans="1:5" x14ac:dyDescent="0.2">
      <c r="A1139" s="135">
        <v>1204</v>
      </c>
      <c r="B1139" s="1926" t="s">
        <v>10741</v>
      </c>
      <c r="C1139" s="1926" t="s">
        <v>39</v>
      </c>
      <c r="D1139" s="1926" t="s">
        <v>40</v>
      </c>
      <c r="E1139" s="1662">
        <v>16.07</v>
      </c>
    </row>
    <row r="1140" spans="1:5" x14ac:dyDescent="0.2">
      <c r="A1140" s="135">
        <v>1205</v>
      </c>
      <c r="B1140" s="1926" t="s">
        <v>10742</v>
      </c>
      <c r="C1140" s="1926" t="s">
        <v>39</v>
      </c>
      <c r="D1140" s="1926" t="s">
        <v>40</v>
      </c>
      <c r="E1140" s="1662">
        <v>38.119999999999997</v>
      </c>
    </row>
    <row r="1141" spans="1:5" x14ac:dyDescent="0.2">
      <c r="A1141" s="135">
        <v>1207</v>
      </c>
      <c r="B1141" s="1926" t="s">
        <v>10743</v>
      </c>
      <c r="C1141" s="1926" t="s">
        <v>39</v>
      </c>
      <c r="D1141" s="1926" t="s">
        <v>46</v>
      </c>
      <c r="E1141" s="1662">
        <v>23.92</v>
      </c>
    </row>
    <row r="1142" spans="1:5" x14ac:dyDescent="0.2">
      <c r="A1142" s="135">
        <v>1206</v>
      </c>
      <c r="B1142" s="1926" t="s">
        <v>10744</v>
      </c>
      <c r="C1142" s="1926" t="s">
        <v>39</v>
      </c>
      <c r="D1142" s="1926" t="s">
        <v>46</v>
      </c>
      <c r="E1142" s="1662">
        <v>6</v>
      </c>
    </row>
    <row r="1143" spans="1:5" x14ac:dyDescent="0.2">
      <c r="A1143" s="135">
        <v>1183</v>
      </c>
      <c r="B1143" s="1926" t="s">
        <v>10745</v>
      </c>
      <c r="C1143" s="1926" t="s">
        <v>39</v>
      </c>
      <c r="D1143" s="1926" t="s">
        <v>46</v>
      </c>
      <c r="E1143" s="1662">
        <v>15.62</v>
      </c>
    </row>
    <row r="1144" spans="1:5" x14ac:dyDescent="0.2">
      <c r="A1144" s="135">
        <v>42685</v>
      </c>
      <c r="B1144" s="1926" t="s">
        <v>10746</v>
      </c>
      <c r="C1144" s="1926" t="s">
        <v>39</v>
      </c>
      <c r="D1144" s="1926" t="s">
        <v>46</v>
      </c>
      <c r="E1144" s="1662">
        <v>48.53</v>
      </c>
    </row>
    <row r="1145" spans="1:5" x14ac:dyDescent="0.2">
      <c r="A1145" s="135">
        <v>42686</v>
      </c>
      <c r="B1145" s="1926" t="s">
        <v>10747</v>
      </c>
      <c r="C1145" s="1926" t="s">
        <v>39</v>
      </c>
      <c r="D1145" s="1926" t="s">
        <v>46</v>
      </c>
      <c r="E1145" s="1662">
        <v>75.55</v>
      </c>
    </row>
    <row r="1146" spans="1:5" x14ac:dyDescent="0.2">
      <c r="A1146" s="135">
        <v>12894</v>
      </c>
      <c r="B1146" s="1926" t="s">
        <v>10748</v>
      </c>
      <c r="C1146" s="1926" t="s">
        <v>39</v>
      </c>
      <c r="D1146" s="1926" t="s">
        <v>40</v>
      </c>
      <c r="E1146" s="1662">
        <v>15.05</v>
      </c>
    </row>
    <row r="1147" spans="1:5" x14ac:dyDescent="0.2">
      <c r="A1147" s="135">
        <v>12895</v>
      </c>
      <c r="B1147" s="1926" t="s">
        <v>10749</v>
      </c>
      <c r="C1147" s="1926" t="s">
        <v>39</v>
      </c>
      <c r="D1147" s="1926" t="s">
        <v>43</v>
      </c>
      <c r="E1147" s="1662">
        <v>11.58</v>
      </c>
    </row>
    <row r="1148" spans="1:5" x14ac:dyDescent="0.2">
      <c r="A1148" s="135">
        <v>1631</v>
      </c>
      <c r="B1148" s="1926" t="s">
        <v>10750</v>
      </c>
      <c r="C1148" s="1926" t="s">
        <v>39</v>
      </c>
      <c r="D1148" s="1926" t="s">
        <v>46</v>
      </c>
      <c r="E1148" s="1662">
        <v>125.61</v>
      </c>
    </row>
    <row r="1149" spans="1:5" x14ac:dyDescent="0.2">
      <c r="A1149" s="135">
        <v>1633</v>
      </c>
      <c r="B1149" s="1926" t="s">
        <v>10751</v>
      </c>
      <c r="C1149" s="1926" t="s">
        <v>39</v>
      </c>
      <c r="D1149" s="1926" t="s">
        <v>46</v>
      </c>
      <c r="E1149" s="1662">
        <v>213.43</v>
      </c>
    </row>
    <row r="1150" spans="1:5" x14ac:dyDescent="0.2">
      <c r="A1150" s="135">
        <v>10818</v>
      </c>
      <c r="B1150" s="1926" t="s">
        <v>10752</v>
      </c>
      <c r="C1150" s="1926" t="s">
        <v>48</v>
      </c>
      <c r="D1150" s="1926" t="s">
        <v>40</v>
      </c>
      <c r="E1150" s="1662">
        <v>23</v>
      </c>
    </row>
    <row r="1151" spans="1:5" x14ac:dyDescent="0.2">
      <c r="A1151" s="135">
        <v>39359</v>
      </c>
      <c r="B1151" s="1926" t="s">
        <v>10753</v>
      </c>
      <c r="C1151" s="1926" t="s">
        <v>39</v>
      </c>
      <c r="D1151" s="1926" t="s">
        <v>46</v>
      </c>
      <c r="E1151" s="1662">
        <v>21.49</v>
      </c>
    </row>
    <row r="1152" spans="1:5" x14ac:dyDescent="0.2">
      <c r="A1152" s="135">
        <v>39360</v>
      </c>
      <c r="B1152" s="1926" t="s">
        <v>10754</v>
      </c>
      <c r="C1152" s="1926" t="s">
        <v>39</v>
      </c>
      <c r="D1152" s="1926" t="s">
        <v>46</v>
      </c>
      <c r="E1152" s="1662">
        <v>19.53</v>
      </c>
    </row>
    <row r="1153" spans="1:5" x14ac:dyDescent="0.2">
      <c r="A1153" s="135">
        <v>10710</v>
      </c>
      <c r="B1153" s="1926" t="s">
        <v>10755</v>
      </c>
      <c r="C1153" s="1926" t="s">
        <v>45</v>
      </c>
      <c r="D1153" s="1926" t="s">
        <v>43</v>
      </c>
      <c r="E1153" s="1662">
        <v>93.5</v>
      </c>
    </row>
    <row r="1154" spans="1:5" x14ac:dyDescent="0.2">
      <c r="A1154" s="135">
        <v>10709</v>
      </c>
      <c r="B1154" s="1926" t="s">
        <v>10756</v>
      </c>
      <c r="C1154" s="1926" t="s">
        <v>45</v>
      </c>
      <c r="D1154" s="1926" t="s">
        <v>40</v>
      </c>
      <c r="E1154" s="1662">
        <v>114.87</v>
      </c>
    </row>
    <row r="1155" spans="1:5" x14ac:dyDescent="0.2">
      <c r="A1155" s="135">
        <v>39636</v>
      </c>
      <c r="B1155" s="1926" t="s">
        <v>10757</v>
      </c>
      <c r="C1155" s="1926" t="s">
        <v>45</v>
      </c>
      <c r="D1155" s="1926" t="s">
        <v>40</v>
      </c>
      <c r="E1155" s="1662">
        <v>117.3</v>
      </c>
    </row>
    <row r="1156" spans="1:5" x14ac:dyDescent="0.2">
      <c r="A1156" s="135">
        <v>10708</v>
      </c>
      <c r="B1156" s="1926" t="s">
        <v>10758</v>
      </c>
      <c r="C1156" s="1926" t="s">
        <v>45</v>
      </c>
      <c r="D1156" s="1926" t="s">
        <v>40</v>
      </c>
      <c r="E1156" s="1662">
        <v>36.19</v>
      </c>
    </row>
    <row r="1157" spans="1:5" x14ac:dyDescent="0.2">
      <c r="A1157" s="135">
        <v>39635</v>
      </c>
      <c r="B1157" s="1926" t="s">
        <v>10759</v>
      </c>
      <c r="C1157" s="1926" t="s">
        <v>45</v>
      </c>
      <c r="D1157" s="1926" t="s">
        <v>40</v>
      </c>
      <c r="E1157" s="1662">
        <v>61.62</v>
      </c>
    </row>
    <row r="1158" spans="1:5" x14ac:dyDescent="0.2">
      <c r="A1158" s="135">
        <v>6117</v>
      </c>
      <c r="B1158" s="1926" t="s">
        <v>10760</v>
      </c>
      <c r="C1158" s="1926" t="s">
        <v>42</v>
      </c>
      <c r="D1158" s="1926" t="s">
        <v>40</v>
      </c>
      <c r="E1158" s="1662">
        <v>11.13</v>
      </c>
    </row>
    <row r="1159" spans="1:5" x14ac:dyDescent="0.2">
      <c r="A1159" s="135">
        <v>40913</v>
      </c>
      <c r="B1159" s="1926" t="s">
        <v>10761</v>
      </c>
      <c r="C1159" s="1926" t="s">
        <v>51</v>
      </c>
      <c r="D1159" s="1926" t="s">
        <v>40</v>
      </c>
      <c r="E1159" s="1662">
        <v>1986.23</v>
      </c>
    </row>
    <row r="1160" spans="1:5" x14ac:dyDescent="0.2">
      <c r="A1160" s="135">
        <v>1214</v>
      </c>
      <c r="B1160" s="1926" t="s">
        <v>10762</v>
      </c>
      <c r="C1160" s="1926" t="s">
        <v>42</v>
      </c>
      <c r="D1160" s="1926" t="s">
        <v>40</v>
      </c>
      <c r="E1160" s="1662">
        <v>14.14</v>
      </c>
    </row>
    <row r="1161" spans="1:5" x14ac:dyDescent="0.2">
      <c r="A1161" s="135">
        <v>40915</v>
      </c>
      <c r="B1161" s="1926" t="s">
        <v>10763</v>
      </c>
      <c r="C1161" s="1926" t="s">
        <v>51</v>
      </c>
      <c r="D1161" s="1926" t="s">
        <v>40</v>
      </c>
      <c r="E1161" s="1662">
        <v>2521.06</v>
      </c>
    </row>
    <row r="1162" spans="1:5" x14ac:dyDescent="0.2">
      <c r="A1162" s="135">
        <v>1213</v>
      </c>
      <c r="B1162" s="1926" t="s">
        <v>10764</v>
      </c>
      <c r="C1162" s="1926" t="s">
        <v>42</v>
      </c>
      <c r="D1162" s="1926" t="s">
        <v>43</v>
      </c>
      <c r="E1162" s="1662">
        <v>14.14</v>
      </c>
    </row>
    <row r="1163" spans="1:5" x14ac:dyDescent="0.2">
      <c r="A1163" s="135">
        <v>40914</v>
      </c>
      <c r="B1163" s="1926" t="s">
        <v>10765</v>
      </c>
      <c r="C1163" s="1926" t="s">
        <v>51</v>
      </c>
      <c r="D1163" s="1926" t="s">
        <v>40</v>
      </c>
      <c r="E1163" s="1662">
        <v>2521.06</v>
      </c>
    </row>
    <row r="1164" spans="1:5" x14ac:dyDescent="0.2">
      <c r="A1164" s="135">
        <v>5091</v>
      </c>
      <c r="B1164" s="1926" t="s">
        <v>10766</v>
      </c>
      <c r="C1164" s="1926" t="s">
        <v>39</v>
      </c>
      <c r="D1164" s="1926" t="s">
        <v>40</v>
      </c>
      <c r="E1164" s="1662">
        <v>14.25</v>
      </c>
    </row>
    <row r="1165" spans="1:5" x14ac:dyDescent="0.2">
      <c r="A1165" s="135">
        <v>14615</v>
      </c>
      <c r="B1165" s="1926" t="s">
        <v>10767</v>
      </c>
      <c r="C1165" s="1926" t="s">
        <v>39</v>
      </c>
      <c r="D1165" s="1926" t="s">
        <v>46</v>
      </c>
      <c r="E1165" s="1662">
        <v>3215.2</v>
      </c>
    </row>
    <row r="1166" spans="1:5" x14ac:dyDescent="0.2">
      <c r="A1166" s="135">
        <v>2711</v>
      </c>
      <c r="B1166" s="1926" t="s">
        <v>10768</v>
      </c>
      <c r="C1166" s="1926" t="s">
        <v>39</v>
      </c>
      <c r="D1166" s="1926" t="s">
        <v>43</v>
      </c>
      <c r="E1166" s="1662">
        <v>136.4</v>
      </c>
    </row>
    <row r="1167" spans="1:5" x14ac:dyDescent="0.2">
      <c r="A1167" s="135">
        <v>37727</v>
      </c>
      <c r="B1167" s="1926" t="s">
        <v>10769</v>
      </c>
      <c r="C1167" s="1926" t="s">
        <v>39</v>
      </c>
      <c r="D1167" s="1926" t="s">
        <v>46</v>
      </c>
      <c r="E1167" s="1662">
        <v>10548</v>
      </c>
    </row>
    <row r="1168" spans="1:5" x14ac:dyDescent="0.2">
      <c r="A1168" s="135">
        <v>37728</v>
      </c>
      <c r="B1168" s="1926" t="s">
        <v>10770</v>
      </c>
      <c r="C1168" s="1926" t="s">
        <v>39</v>
      </c>
      <c r="D1168" s="1926" t="s">
        <v>46</v>
      </c>
      <c r="E1168" s="1662">
        <v>14309.87</v>
      </c>
    </row>
    <row r="1169" spans="1:5" x14ac:dyDescent="0.2">
      <c r="A1169" s="135">
        <v>37729</v>
      </c>
      <c r="B1169" s="1926" t="s">
        <v>10771</v>
      </c>
      <c r="C1169" s="1926" t="s">
        <v>39</v>
      </c>
      <c r="D1169" s="1926" t="s">
        <v>46</v>
      </c>
      <c r="E1169" s="1662">
        <v>15490.07</v>
      </c>
    </row>
    <row r="1170" spans="1:5" x14ac:dyDescent="0.2">
      <c r="A1170" s="135">
        <v>37730</v>
      </c>
      <c r="B1170" s="1926" t="s">
        <v>10772</v>
      </c>
      <c r="C1170" s="1926" t="s">
        <v>39</v>
      </c>
      <c r="D1170" s="1926" t="s">
        <v>46</v>
      </c>
      <c r="E1170" s="1662">
        <v>16670.259999999998</v>
      </c>
    </row>
    <row r="1171" spans="1:5" x14ac:dyDescent="0.2">
      <c r="A1171" s="135">
        <v>37731</v>
      </c>
      <c r="B1171" s="1926" t="s">
        <v>10773</v>
      </c>
      <c r="C1171" s="1926" t="s">
        <v>39</v>
      </c>
      <c r="D1171" s="1926" t="s">
        <v>46</v>
      </c>
      <c r="E1171" s="1662">
        <v>17850.46</v>
      </c>
    </row>
    <row r="1172" spans="1:5" x14ac:dyDescent="0.2">
      <c r="A1172" s="135">
        <v>37732</v>
      </c>
      <c r="B1172" s="1926" t="s">
        <v>10774</v>
      </c>
      <c r="C1172" s="1926" t="s">
        <v>39</v>
      </c>
      <c r="D1172" s="1926" t="s">
        <v>46</v>
      </c>
      <c r="E1172" s="1662">
        <v>20358.37</v>
      </c>
    </row>
    <row r="1173" spans="1:5" x14ac:dyDescent="0.2">
      <c r="A1173" s="135">
        <v>42250</v>
      </c>
      <c r="B1173" s="1926" t="s">
        <v>10775</v>
      </c>
      <c r="C1173" s="1926" t="s">
        <v>55</v>
      </c>
      <c r="D1173" s="1926" t="s">
        <v>40</v>
      </c>
      <c r="E1173" s="1662">
        <v>2163.1</v>
      </c>
    </row>
    <row r="1174" spans="1:5" x14ac:dyDescent="0.2">
      <c r="A1174" s="135">
        <v>42256</v>
      </c>
      <c r="B1174" s="1926" t="s">
        <v>10776</v>
      </c>
      <c r="C1174" s="1926" t="s">
        <v>48</v>
      </c>
      <c r="D1174" s="1926" t="s">
        <v>40</v>
      </c>
      <c r="E1174" s="1662">
        <v>4.54</v>
      </c>
    </row>
    <row r="1175" spans="1:5" x14ac:dyDescent="0.2">
      <c r="A1175" s="135">
        <v>4743</v>
      </c>
      <c r="B1175" s="1926" t="s">
        <v>10777</v>
      </c>
      <c r="C1175" s="1926" t="s">
        <v>44</v>
      </c>
      <c r="D1175" s="1926" t="s">
        <v>40</v>
      </c>
      <c r="E1175" s="1662">
        <v>37.51</v>
      </c>
    </row>
    <row r="1176" spans="1:5" x14ac:dyDescent="0.2">
      <c r="A1176" s="135">
        <v>4744</v>
      </c>
      <c r="B1176" s="1926" t="s">
        <v>10778</v>
      </c>
      <c r="C1176" s="1926" t="s">
        <v>44</v>
      </c>
      <c r="D1176" s="1926" t="s">
        <v>40</v>
      </c>
      <c r="E1176" s="1662">
        <v>49.04</v>
      </c>
    </row>
    <row r="1177" spans="1:5" x14ac:dyDescent="0.2">
      <c r="A1177" s="135">
        <v>4745</v>
      </c>
      <c r="B1177" s="1926" t="s">
        <v>10779</v>
      </c>
      <c r="C1177" s="1926" t="s">
        <v>44</v>
      </c>
      <c r="D1177" s="1926" t="s">
        <v>40</v>
      </c>
      <c r="E1177" s="1662">
        <v>65.69</v>
      </c>
    </row>
    <row r="1178" spans="1:5" x14ac:dyDescent="0.2">
      <c r="A1178" s="135">
        <v>36496</v>
      </c>
      <c r="B1178" s="1926" t="s">
        <v>10780</v>
      </c>
      <c r="C1178" s="1926" t="s">
        <v>39</v>
      </c>
      <c r="D1178" s="1926" t="s">
        <v>46</v>
      </c>
      <c r="E1178" s="1662">
        <v>8163.33</v>
      </c>
    </row>
    <row r="1179" spans="1:5" x14ac:dyDescent="0.2">
      <c r="A1179" s="135">
        <v>10630</v>
      </c>
      <c r="B1179" s="1926" t="s">
        <v>10781</v>
      </c>
      <c r="C1179" s="1926" t="s">
        <v>39</v>
      </c>
      <c r="D1179" s="1926" t="s">
        <v>46</v>
      </c>
      <c r="E1179" s="1662">
        <v>436679.46</v>
      </c>
    </row>
    <row r="1180" spans="1:5" x14ac:dyDescent="0.2">
      <c r="A1180" s="135">
        <v>37762</v>
      </c>
      <c r="B1180" s="1926" t="s">
        <v>10782</v>
      </c>
      <c r="C1180" s="1926" t="s">
        <v>39</v>
      </c>
      <c r="D1180" s="1926" t="s">
        <v>46</v>
      </c>
      <c r="E1180" s="1662">
        <v>374513.36</v>
      </c>
    </row>
    <row r="1181" spans="1:5" x14ac:dyDescent="0.2">
      <c r="A1181" s="135">
        <v>37763</v>
      </c>
      <c r="B1181" s="1926" t="s">
        <v>10783</v>
      </c>
      <c r="C1181" s="1926" t="s">
        <v>39</v>
      </c>
      <c r="D1181" s="1926" t="s">
        <v>46</v>
      </c>
      <c r="E1181" s="1662">
        <v>379062.04</v>
      </c>
    </row>
    <row r="1182" spans="1:5" x14ac:dyDescent="0.2">
      <c r="A1182" s="135">
        <v>41992</v>
      </c>
      <c r="B1182" s="1926" t="s">
        <v>10784</v>
      </c>
      <c r="C1182" s="1926" t="s">
        <v>39</v>
      </c>
      <c r="D1182" s="1926" t="s">
        <v>46</v>
      </c>
      <c r="E1182" s="1662">
        <v>430917.79</v>
      </c>
    </row>
    <row r="1183" spans="1:5" x14ac:dyDescent="0.2">
      <c r="A1183" s="135">
        <v>13215</v>
      </c>
      <c r="B1183" s="1926" t="s">
        <v>10785</v>
      </c>
      <c r="C1183" s="1926" t="s">
        <v>39</v>
      </c>
      <c r="D1183" s="1926" t="s">
        <v>46</v>
      </c>
      <c r="E1183" s="1662">
        <v>528412.5</v>
      </c>
    </row>
    <row r="1184" spans="1:5" x14ac:dyDescent="0.2">
      <c r="A1184" s="135">
        <v>4235</v>
      </c>
      <c r="B1184" s="1926" t="s">
        <v>10786</v>
      </c>
      <c r="C1184" s="1926" t="s">
        <v>42</v>
      </c>
      <c r="D1184" s="1926" t="s">
        <v>40</v>
      </c>
      <c r="E1184" s="1662">
        <v>8.58</v>
      </c>
    </row>
    <row r="1185" spans="1:5" x14ac:dyDescent="0.2">
      <c r="A1185" s="135">
        <v>40976</v>
      </c>
      <c r="B1185" s="1926" t="s">
        <v>10787</v>
      </c>
      <c r="C1185" s="1926" t="s">
        <v>51</v>
      </c>
      <c r="D1185" s="1926" t="s">
        <v>40</v>
      </c>
      <c r="E1185" s="1662">
        <v>1532.77</v>
      </c>
    </row>
    <row r="1186" spans="1:5" x14ac:dyDescent="0.2">
      <c r="A1186" s="135">
        <v>39013</v>
      </c>
      <c r="B1186" s="1926" t="s">
        <v>10788</v>
      </c>
      <c r="C1186" s="1926" t="s">
        <v>39</v>
      </c>
      <c r="D1186" s="1926" t="s">
        <v>46</v>
      </c>
      <c r="E1186" s="1662">
        <v>0.91</v>
      </c>
    </row>
    <row r="1187" spans="1:5" x14ac:dyDescent="0.2">
      <c r="A1187" s="135">
        <v>43091</v>
      </c>
      <c r="B1187" s="1926" t="s">
        <v>10789</v>
      </c>
      <c r="C1187" s="1926" t="s">
        <v>39</v>
      </c>
      <c r="D1187" s="1926" t="s">
        <v>40</v>
      </c>
      <c r="E1187" s="1662">
        <v>4754.24</v>
      </c>
    </row>
    <row r="1188" spans="1:5" x14ac:dyDescent="0.2">
      <c r="A1188" s="135">
        <v>43092</v>
      </c>
      <c r="B1188" s="1926" t="s">
        <v>10790</v>
      </c>
      <c r="C1188" s="1926" t="s">
        <v>39</v>
      </c>
      <c r="D1188" s="1926" t="s">
        <v>40</v>
      </c>
      <c r="E1188" s="1662">
        <v>6338.98</v>
      </c>
    </row>
    <row r="1189" spans="1:5" x14ac:dyDescent="0.2">
      <c r="A1189" s="135">
        <v>43089</v>
      </c>
      <c r="B1189" s="1926" t="s">
        <v>10791</v>
      </c>
      <c r="C1189" s="1926" t="s">
        <v>39</v>
      </c>
      <c r="D1189" s="1926" t="s">
        <v>40</v>
      </c>
      <c r="E1189" s="1662">
        <v>1104.75</v>
      </c>
    </row>
    <row r="1190" spans="1:5" x14ac:dyDescent="0.2">
      <c r="A1190" s="135">
        <v>43090</v>
      </c>
      <c r="B1190" s="1926" t="s">
        <v>10792</v>
      </c>
      <c r="C1190" s="1926" t="s">
        <v>39</v>
      </c>
      <c r="D1190" s="1926" t="s">
        <v>40</v>
      </c>
      <c r="E1190" s="1662">
        <v>2438.0700000000002</v>
      </c>
    </row>
    <row r="1191" spans="1:5" x14ac:dyDescent="0.2">
      <c r="A1191" s="135">
        <v>41967</v>
      </c>
      <c r="B1191" s="1926" t="s">
        <v>10793</v>
      </c>
      <c r="C1191" s="1926" t="s">
        <v>49</v>
      </c>
      <c r="D1191" s="1926" t="s">
        <v>40</v>
      </c>
      <c r="E1191" s="1662">
        <v>6.73</v>
      </c>
    </row>
    <row r="1192" spans="1:5" x14ac:dyDescent="0.2">
      <c r="A1192" s="135">
        <v>12760</v>
      </c>
      <c r="B1192" s="1926" t="s">
        <v>10794</v>
      </c>
      <c r="C1192" s="1926" t="s">
        <v>45</v>
      </c>
      <c r="D1192" s="1926" t="s">
        <v>40</v>
      </c>
      <c r="E1192" s="1662">
        <v>987.96</v>
      </c>
    </row>
    <row r="1193" spans="1:5" x14ac:dyDescent="0.2">
      <c r="A1193" s="135">
        <v>12759</v>
      </c>
      <c r="B1193" s="1926" t="s">
        <v>10795</v>
      </c>
      <c r="C1193" s="1926" t="s">
        <v>45</v>
      </c>
      <c r="D1193" s="1926" t="s">
        <v>40</v>
      </c>
      <c r="E1193" s="1662">
        <v>658.63</v>
      </c>
    </row>
    <row r="1194" spans="1:5" x14ac:dyDescent="0.2">
      <c r="A1194" s="135">
        <v>43105</v>
      </c>
      <c r="B1194" s="1926" t="s">
        <v>10796</v>
      </c>
      <c r="C1194" s="1926" t="s">
        <v>48</v>
      </c>
      <c r="D1194" s="1926" t="s">
        <v>40</v>
      </c>
      <c r="E1194" s="1662">
        <v>21.59</v>
      </c>
    </row>
    <row r="1195" spans="1:5" x14ac:dyDescent="0.2">
      <c r="A1195" s="135">
        <v>40424</v>
      </c>
      <c r="B1195" s="1926" t="s">
        <v>10797</v>
      </c>
      <c r="C1195" s="1926" t="s">
        <v>48</v>
      </c>
      <c r="D1195" s="1926" t="s">
        <v>40</v>
      </c>
      <c r="E1195" s="1662">
        <v>5.48</v>
      </c>
    </row>
    <row r="1196" spans="1:5" x14ac:dyDescent="0.2">
      <c r="A1196" s="135">
        <v>1325</v>
      </c>
      <c r="B1196" s="1926" t="s">
        <v>10798</v>
      </c>
      <c r="C1196" s="1926" t="s">
        <v>48</v>
      </c>
      <c r="D1196" s="1926" t="s">
        <v>40</v>
      </c>
      <c r="E1196" s="1662">
        <v>6</v>
      </c>
    </row>
    <row r="1197" spans="1:5" x14ac:dyDescent="0.2">
      <c r="A1197" s="135">
        <v>1327</v>
      </c>
      <c r="B1197" s="1926" t="s">
        <v>10799</v>
      </c>
      <c r="C1197" s="1926" t="s">
        <v>48</v>
      </c>
      <c r="D1197" s="1926" t="s">
        <v>40</v>
      </c>
      <c r="E1197" s="1662">
        <v>6.4</v>
      </c>
    </row>
    <row r="1198" spans="1:5" x14ac:dyDescent="0.2">
      <c r="A1198" s="135">
        <v>1328</v>
      </c>
      <c r="B1198" s="1926" t="s">
        <v>10800</v>
      </c>
      <c r="C1198" s="1926" t="s">
        <v>48</v>
      </c>
      <c r="D1198" s="1926" t="s">
        <v>40</v>
      </c>
      <c r="E1198" s="1662">
        <v>6.02</v>
      </c>
    </row>
    <row r="1199" spans="1:5" x14ac:dyDescent="0.2">
      <c r="A1199" s="135">
        <v>1321</v>
      </c>
      <c r="B1199" s="1926" t="s">
        <v>10801</v>
      </c>
      <c r="C1199" s="1926" t="s">
        <v>48</v>
      </c>
      <c r="D1199" s="1926" t="s">
        <v>40</v>
      </c>
      <c r="E1199" s="1662">
        <v>5.57</v>
      </c>
    </row>
    <row r="1200" spans="1:5" x14ac:dyDescent="0.2">
      <c r="A1200" s="135">
        <v>1318</v>
      </c>
      <c r="B1200" s="1926" t="s">
        <v>10802</v>
      </c>
      <c r="C1200" s="1926" t="s">
        <v>48</v>
      </c>
      <c r="D1200" s="1926" t="s">
        <v>40</v>
      </c>
      <c r="E1200" s="1662">
        <v>5.58</v>
      </c>
    </row>
    <row r="1201" spans="1:5" x14ac:dyDescent="0.2">
      <c r="A1201" s="135">
        <v>1322</v>
      </c>
      <c r="B1201" s="1926" t="s">
        <v>10803</v>
      </c>
      <c r="C1201" s="1926" t="s">
        <v>48</v>
      </c>
      <c r="D1201" s="1926" t="s">
        <v>40</v>
      </c>
      <c r="E1201" s="1662">
        <v>5.89</v>
      </c>
    </row>
    <row r="1202" spans="1:5" x14ac:dyDescent="0.2">
      <c r="A1202" s="135">
        <v>1323</v>
      </c>
      <c r="B1202" s="1926" t="s">
        <v>10804</v>
      </c>
      <c r="C1202" s="1926" t="s">
        <v>48</v>
      </c>
      <c r="D1202" s="1926" t="s">
        <v>40</v>
      </c>
      <c r="E1202" s="1662">
        <v>5.89</v>
      </c>
    </row>
    <row r="1203" spans="1:5" x14ac:dyDescent="0.2">
      <c r="A1203" s="135">
        <v>1319</v>
      </c>
      <c r="B1203" s="1926" t="s">
        <v>10805</v>
      </c>
      <c r="C1203" s="1926" t="s">
        <v>48</v>
      </c>
      <c r="D1203" s="1926" t="s">
        <v>40</v>
      </c>
      <c r="E1203" s="1662">
        <v>4.97</v>
      </c>
    </row>
    <row r="1204" spans="1:5" x14ac:dyDescent="0.2">
      <c r="A1204" s="135">
        <v>11026</v>
      </c>
      <c r="B1204" s="1926" t="s">
        <v>10806</v>
      </c>
      <c r="C1204" s="1926" t="s">
        <v>48</v>
      </c>
      <c r="D1204" s="1926" t="s">
        <v>40</v>
      </c>
      <c r="E1204" s="1662">
        <v>6.83</v>
      </c>
    </row>
    <row r="1205" spans="1:5" x14ac:dyDescent="0.2">
      <c r="A1205" s="135">
        <v>11027</v>
      </c>
      <c r="B1205" s="1926" t="s">
        <v>10807</v>
      </c>
      <c r="C1205" s="1926" t="s">
        <v>48</v>
      </c>
      <c r="D1205" s="1926" t="s">
        <v>40</v>
      </c>
      <c r="E1205" s="1662">
        <v>7.11</v>
      </c>
    </row>
    <row r="1206" spans="1:5" x14ac:dyDescent="0.2">
      <c r="A1206" s="135">
        <v>11046</v>
      </c>
      <c r="B1206" s="1926" t="s">
        <v>10808</v>
      </c>
      <c r="C1206" s="1926" t="s">
        <v>48</v>
      </c>
      <c r="D1206" s="1926" t="s">
        <v>40</v>
      </c>
      <c r="E1206" s="1662">
        <v>6.81</v>
      </c>
    </row>
    <row r="1207" spans="1:5" x14ac:dyDescent="0.2">
      <c r="A1207" s="135">
        <v>11047</v>
      </c>
      <c r="B1207" s="1926" t="s">
        <v>10809</v>
      </c>
      <c r="C1207" s="1926" t="s">
        <v>48</v>
      </c>
      <c r="D1207" s="1926" t="s">
        <v>40</v>
      </c>
      <c r="E1207" s="1662">
        <v>7.42</v>
      </c>
    </row>
    <row r="1208" spans="1:5" x14ac:dyDescent="0.2">
      <c r="A1208" s="135">
        <v>43668</v>
      </c>
      <c r="B1208" s="1926" t="s">
        <v>10810</v>
      </c>
      <c r="C1208" s="1926" t="s">
        <v>48</v>
      </c>
      <c r="D1208" s="1926" t="s">
        <v>40</v>
      </c>
      <c r="E1208" s="1662">
        <v>6.55</v>
      </c>
    </row>
    <row r="1209" spans="1:5" x14ac:dyDescent="0.2">
      <c r="A1209" s="135">
        <v>11049</v>
      </c>
      <c r="B1209" s="1926" t="s">
        <v>10811</v>
      </c>
      <c r="C1209" s="1926" t="s">
        <v>48</v>
      </c>
      <c r="D1209" s="1926" t="s">
        <v>43</v>
      </c>
      <c r="E1209" s="1662">
        <v>7.1</v>
      </c>
    </row>
    <row r="1210" spans="1:5" x14ac:dyDescent="0.2">
      <c r="A1210" s="135">
        <v>43106</v>
      </c>
      <c r="B1210" s="1926" t="s">
        <v>10812</v>
      </c>
      <c r="C1210" s="1926" t="s">
        <v>48</v>
      </c>
      <c r="D1210" s="1926" t="s">
        <v>40</v>
      </c>
      <c r="E1210" s="1662">
        <v>7.14</v>
      </c>
    </row>
    <row r="1211" spans="1:5" x14ac:dyDescent="0.2">
      <c r="A1211" s="135">
        <v>11051</v>
      </c>
      <c r="B1211" s="1926" t="s">
        <v>10813</v>
      </c>
      <c r="C1211" s="1926" t="s">
        <v>48</v>
      </c>
      <c r="D1211" s="1926" t="s">
        <v>40</v>
      </c>
      <c r="E1211" s="1662">
        <v>7.45</v>
      </c>
    </row>
    <row r="1212" spans="1:5" x14ac:dyDescent="0.2">
      <c r="A1212" s="135">
        <v>11061</v>
      </c>
      <c r="B1212" s="1926" t="s">
        <v>10814</v>
      </c>
      <c r="C1212" s="1926" t="s">
        <v>48</v>
      </c>
      <c r="D1212" s="1926" t="s">
        <v>40</v>
      </c>
      <c r="E1212" s="1662">
        <v>8.94</v>
      </c>
    </row>
    <row r="1213" spans="1:5" x14ac:dyDescent="0.2">
      <c r="A1213" s="135">
        <v>43667</v>
      </c>
      <c r="B1213" s="1926" t="s">
        <v>10815</v>
      </c>
      <c r="C1213" s="1926" t="s">
        <v>48</v>
      </c>
      <c r="D1213" s="1926" t="s">
        <v>40</v>
      </c>
      <c r="E1213" s="1662">
        <v>6.5</v>
      </c>
    </row>
    <row r="1214" spans="1:5" x14ac:dyDescent="0.2">
      <c r="A1214" s="135">
        <v>1333</v>
      </c>
      <c r="B1214" s="1926" t="s">
        <v>10816</v>
      </c>
      <c r="C1214" s="1926" t="s">
        <v>48</v>
      </c>
      <c r="D1214" s="1926" t="s">
        <v>40</v>
      </c>
      <c r="E1214" s="1662">
        <v>5.41</v>
      </c>
    </row>
    <row r="1215" spans="1:5" x14ac:dyDescent="0.2">
      <c r="A1215" s="135">
        <v>1330</v>
      </c>
      <c r="B1215" s="1926" t="s">
        <v>10817</v>
      </c>
      <c r="C1215" s="1926" t="s">
        <v>48</v>
      </c>
      <c r="D1215" s="1926" t="s">
        <v>40</v>
      </c>
      <c r="E1215" s="1662">
        <v>5.36</v>
      </c>
    </row>
    <row r="1216" spans="1:5" x14ac:dyDescent="0.2">
      <c r="A1216" s="135">
        <v>10957</v>
      </c>
      <c r="B1216" s="1926" t="s">
        <v>10818</v>
      </c>
      <c r="C1216" s="1926" t="s">
        <v>48</v>
      </c>
      <c r="D1216" s="1926" t="s">
        <v>40</v>
      </c>
      <c r="E1216" s="1662">
        <v>6.18</v>
      </c>
    </row>
    <row r="1217" spans="1:5" x14ac:dyDescent="0.2">
      <c r="A1217" s="135">
        <v>1332</v>
      </c>
      <c r="B1217" s="1926" t="s">
        <v>10819</v>
      </c>
      <c r="C1217" s="1926" t="s">
        <v>48</v>
      </c>
      <c r="D1217" s="1926" t="s">
        <v>40</v>
      </c>
      <c r="E1217" s="1662">
        <v>5.5</v>
      </c>
    </row>
    <row r="1218" spans="1:5" x14ac:dyDescent="0.2">
      <c r="A1218" s="135">
        <v>1334</v>
      </c>
      <c r="B1218" s="1926" t="s">
        <v>10820</v>
      </c>
      <c r="C1218" s="1926" t="s">
        <v>48</v>
      </c>
      <c r="D1218" s="1926" t="s">
        <v>40</v>
      </c>
      <c r="E1218" s="1662">
        <v>6.1</v>
      </c>
    </row>
    <row r="1219" spans="1:5" x14ac:dyDescent="0.2">
      <c r="A1219" s="135">
        <v>1335</v>
      </c>
      <c r="B1219" s="1926" t="s">
        <v>10821</v>
      </c>
      <c r="C1219" s="1926" t="s">
        <v>48</v>
      </c>
      <c r="D1219" s="1926" t="s">
        <v>40</v>
      </c>
      <c r="E1219" s="1662">
        <v>6.3</v>
      </c>
    </row>
    <row r="1220" spans="1:5" x14ac:dyDescent="0.2">
      <c r="A1220" s="135">
        <v>40425</v>
      </c>
      <c r="B1220" s="1926" t="s">
        <v>10822</v>
      </c>
      <c r="C1220" s="1926" t="s">
        <v>48</v>
      </c>
      <c r="D1220" s="1926" t="s">
        <v>40</v>
      </c>
      <c r="E1220" s="1662">
        <v>5.39</v>
      </c>
    </row>
    <row r="1221" spans="1:5" x14ac:dyDescent="0.2">
      <c r="A1221" s="135">
        <v>1337</v>
      </c>
      <c r="B1221" s="1926" t="s">
        <v>10823</v>
      </c>
      <c r="C1221" s="1926" t="s">
        <v>48</v>
      </c>
      <c r="D1221" s="1926" t="s">
        <v>40</v>
      </c>
      <c r="E1221" s="1662">
        <v>6.18</v>
      </c>
    </row>
    <row r="1222" spans="1:5" x14ac:dyDescent="0.2">
      <c r="A1222" s="135">
        <v>39416</v>
      </c>
      <c r="B1222" s="1926" t="s">
        <v>10824</v>
      </c>
      <c r="C1222" s="1926" t="s">
        <v>45</v>
      </c>
      <c r="D1222" s="1926" t="s">
        <v>40</v>
      </c>
      <c r="E1222" s="1662">
        <v>30.33</v>
      </c>
    </row>
    <row r="1223" spans="1:5" x14ac:dyDescent="0.2">
      <c r="A1223" s="135">
        <v>39417</v>
      </c>
      <c r="B1223" s="1926" t="s">
        <v>10825</v>
      </c>
      <c r="C1223" s="1926" t="s">
        <v>45</v>
      </c>
      <c r="D1223" s="1926" t="s">
        <v>40</v>
      </c>
      <c r="E1223" s="1662">
        <v>31.8</v>
      </c>
    </row>
    <row r="1224" spans="1:5" x14ac:dyDescent="0.2">
      <c r="A1224" s="135">
        <v>39414</v>
      </c>
      <c r="B1224" s="1926" t="s">
        <v>10826</v>
      </c>
      <c r="C1224" s="1926" t="s">
        <v>45</v>
      </c>
      <c r="D1224" s="1926" t="s">
        <v>40</v>
      </c>
      <c r="E1224" s="1662">
        <v>28.48</v>
      </c>
    </row>
    <row r="1225" spans="1:5" x14ac:dyDescent="0.2">
      <c r="A1225" s="135">
        <v>39415</v>
      </c>
      <c r="B1225" s="1926" t="s">
        <v>10827</v>
      </c>
      <c r="C1225" s="1926" t="s">
        <v>45</v>
      </c>
      <c r="D1225" s="1926" t="s">
        <v>40</v>
      </c>
      <c r="E1225" s="1662">
        <v>30.18</v>
      </c>
    </row>
    <row r="1226" spans="1:5" x14ac:dyDescent="0.2">
      <c r="A1226" s="135">
        <v>39412</v>
      </c>
      <c r="B1226" s="1926" t="s">
        <v>10828</v>
      </c>
      <c r="C1226" s="1926" t="s">
        <v>45</v>
      </c>
      <c r="D1226" s="1926" t="s">
        <v>40</v>
      </c>
      <c r="E1226" s="1662">
        <v>21.44</v>
      </c>
    </row>
    <row r="1227" spans="1:5" x14ac:dyDescent="0.2">
      <c r="A1227" s="135">
        <v>39413</v>
      </c>
      <c r="B1227" s="1926" t="s">
        <v>10829</v>
      </c>
      <c r="C1227" s="1926" t="s">
        <v>45</v>
      </c>
      <c r="D1227" s="1926" t="s">
        <v>40</v>
      </c>
      <c r="E1227" s="1662">
        <v>21.24</v>
      </c>
    </row>
    <row r="1228" spans="1:5" x14ac:dyDescent="0.2">
      <c r="A1228" s="135">
        <v>1338</v>
      </c>
      <c r="B1228" s="1926" t="s">
        <v>10830</v>
      </c>
      <c r="C1228" s="1926" t="s">
        <v>45</v>
      </c>
      <c r="D1228" s="1926" t="s">
        <v>43</v>
      </c>
      <c r="E1228" s="1662">
        <v>30.57</v>
      </c>
    </row>
    <row r="1229" spans="1:5" x14ac:dyDescent="0.2">
      <c r="A1229" s="135">
        <v>1340</v>
      </c>
      <c r="B1229" s="1926" t="s">
        <v>10831</v>
      </c>
      <c r="C1229" s="1926" t="s">
        <v>45</v>
      </c>
      <c r="D1229" s="1926" t="s">
        <v>40</v>
      </c>
      <c r="E1229" s="1662">
        <v>35.340000000000003</v>
      </c>
    </row>
    <row r="1230" spans="1:5" x14ac:dyDescent="0.2">
      <c r="A1230" s="135">
        <v>1341</v>
      </c>
      <c r="B1230" s="1926" t="s">
        <v>10832</v>
      </c>
      <c r="C1230" s="1926" t="s">
        <v>45</v>
      </c>
      <c r="D1230" s="1926" t="s">
        <v>40</v>
      </c>
      <c r="E1230" s="1662">
        <v>34.04</v>
      </c>
    </row>
    <row r="1231" spans="1:5" x14ac:dyDescent="0.2">
      <c r="A1231" s="135">
        <v>11134</v>
      </c>
      <c r="B1231" s="1926" t="s">
        <v>10833</v>
      </c>
      <c r="C1231" s="1926" t="s">
        <v>45</v>
      </c>
      <c r="D1231" s="1926" t="s">
        <v>43</v>
      </c>
      <c r="E1231" s="1662">
        <v>40.17</v>
      </c>
    </row>
    <row r="1232" spans="1:5" x14ac:dyDescent="0.2">
      <c r="A1232" s="135">
        <v>11135</v>
      </c>
      <c r="B1232" s="1926" t="s">
        <v>10834</v>
      </c>
      <c r="C1232" s="1926" t="s">
        <v>45</v>
      </c>
      <c r="D1232" s="1926" t="s">
        <v>40</v>
      </c>
      <c r="E1232" s="1662">
        <v>48.96</v>
      </c>
    </row>
    <row r="1233" spans="1:5" x14ac:dyDescent="0.2">
      <c r="A1233" s="135">
        <v>11136</v>
      </c>
      <c r="B1233" s="1926" t="s">
        <v>10835</v>
      </c>
      <c r="C1233" s="1926" t="s">
        <v>45</v>
      </c>
      <c r="D1233" s="1926" t="s">
        <v>40</v>
      </c>
      <c r="E1233" s="1662">
        <v>52.97</v>
      </c>
    </row>
    <row r="1234" spans="1:5" x14ac:dyDescent="0.2">
      <c r="A1234" s="135">
        <v>34743</v>
      </c>
      <c r="B1234" s="1926" t="s">
        <v>10836</v>
      </c>
      <c r="C1234" s="1926" t="s">
        <v>45</v>
      </c>
      <c r="D1234" s="1926" t="s">
        <v>40</v>
      </c>
      <c r="E1234" s="1662">
        <v>67.430000000000007</v>
      </c>
    </row>
    <row r="1235" spans="1:5" x14ac:dyDescent="0.2">
      <c r="A1235" s="135">
        <v>11137</v>
      </c>
      <c r="B1235" s="1926" t="s">
        <v>10837</v>
      </c>
      <c r="C1235" s="1926" t="s">
        <v>45</v>
      </c>
      <c r="D1235" s="1926" t="s">
        <v>40</v>
      </c>
      <c r="E1235" s="1662">
        <v>75.19</v>
      </c>
    </row>
    <row r="1236" spans="1:5" x14ac:dyDescent="0.2">
      <c r="A1236" s="135">
        <v>34745</v>
      </c>
      <c r="B1236" s="1926" t="s">
        <v>10838</v>
      </c>
      <c r="C1236" s="1926" t="s">
        <v>45</v>
      </c>
      <c r="D1236" s="1926" t="s">
        <v>40</v>
      </c>
      <c r="E1236" s="1662">
        <v>85.69</v>
      </c>
    </row>
    <row r="1237" spans="1:5" x14ac:dyDescent="0.2">
      <c r="A1237" s="135">
        <v>34746</v>
      </c>
      <c r="B1237" s="1926" t="s">
        <v>10839</v>
      </c>
      <c r="C1237" s="1926" t="s">
        <v>45</v>
      </c>
      <c r="D1237" s="1926" t="s">
        <v>40</v>
      </c>
      <c r="E1237" s="1662">
        <v>22.07</v>
      </c>
    </row>
    <row r="1238" spans="1:5" x14ac:dyDescent="0.2">
      <c r="A1238" s="135">
        <v>1360</v>
      </c>
      <c r="B1238" s="1926" t="s">
        <v>10840</v>
      </c>
      <c r="C1238" s="1926" t="s">
        <v>45</v>
      </c>
      <c r="D1238" s="1926" t="s">
        <v>40</v>
      </c>
      <c r="E1238" s="1662">
        <v>27.26</v>
      </c>
    </row>
    <row r="1239" spans="1:5" x14ac:dyDescent="0.2">
      <c r="A1239" s="135">
        <v>1346</v>
      </c>
      <c r="B1239" s="1926" t="s">
        <v>10841</v>
      </c>
      <c r="C1239" s="1926" t="s">
        <v>45</v>
      </c>
      <c r="D1239" s="1926" t="s">
        <v>40</v>
      </c>
      <c r="E1239" s="1662">
        <v>22.82</v>
      </c>
    </row>
    <row r="1240" spans="1:5" x14ac:dyDescent="0.2">
      <c r="A1240" s="135">
        <v>1345</v>
      </c>
      <c r="B1240" s="1926" t="s">
        <v>10842</v>
      </c>
      <c r="C1240" s="1926" t="s">
        <v>45</v>
      </c>
      <c r="D1240" s="1926" t="s">
        <v>40</v>
      </c>
      <c r="E1240" s="1662">
        <v>36.979999999999997</v>
      </c>
    </row>
    <row r="1241" spans="1:5" x14ac:dyDescent="0.2">
      <c r="A1241" s="135">
        <v>1347</v>
      </c>
      <c r="B1241" s="1926" t="s">
        <v>10843</v>
      </c>
      <c r="C1241" s="1926" t="s">
        <v>45</v>
      </c>
      <c r="D1241" s="1926" t="s">
        <v>43</v>
      </c>
      <c r="E1241" s="1662">
        <v>27.27</v>
      </c>
    </row>
    <row r="1242" spans="1:5" x14ac:dyDescent="0.2">
      <c r="A1242" s="135">
        <v>1355</v>
      </c>
      <c r="B1242" s="1926" t="s">
        <v>10844</v>
      </c>
      <c r="C1242" s="1926" t="s">
        <v>45</v>
      </c>
      <c r="D1242" s="1926" t="s">
        <v>40</v>
      </c>
      <c r="E1242" s="1662">
        <v>24.23</v>
      </c>
    </row>
    <row r="1243" spans="1:5" x14ac:dyDescent="0.2">
      <c r="A1243" s="135">
        <v>1358</v>
      </c>
      <c r="B1243" s="1926" t="s">
        <v>10845</v>
      </c>
      <c r="C1243" s="1926" t="s">
        <v>45</v>
      </c>
      <c r="D1243" s="1926" t="s">
        <v>40</v>
      </c>
      <c r="E1243" s="1662">
        <v>28.07</v>
      </c>
    </row>
    <row r="1244" spans="1:5" x14ac:dyDescent="0.2">
      <c r="A1244" s="135">
        <v>34659</v>
      </c>
      <c r="B1244" s="1926" t="s">
        <v>10846</v>
      </c>
      <c r="C1244" s="1926" t="s">
        <v>45</v>
      </c>
      <c r="D1244" s="1926" t="s">
        <v>40</v>
      </c>
      <c r="E1244" s="1662">
        <v>25.83</v>
      </c>
    </row>
    <row r="1245" spans="1:5" x14ac:dyDescent="0.2">
      <c r="A1245" s="135">
        <v>34514</v>
      </c>
      <c r="B1245" s="1926" t="s">
        <v>10847</v>
      </c>
      <c r="C1245" s="1926" t="s">
        <v>45</v>
      </c>
      <c r="D1245" s="1926" t="s">
        <v>43</v>
      </c>
      <c r="E1245" s="1662">
        <v>28.61</v>
      </c>
    </row>
    <row r="1246" spans="1:5" x14ac:dyDescent="0.2">
      <c r="A1246" s="135">
        <v>34660</v>
      </c>
      <c r="B1246" s="1926" t="s">
        <v>10848</v>
      </c>
      <c r="C1246" s="1926" t="s">
        <v>45</v>
      </c>
      <c r="D1246" s="1926" t="s">
        <v>40</v>
      </c>
      <c r="E1246" s="1662">
        <v>36.31</v>
      </c>
    </row>
    <row r="1247" spans="1:5" x14ac:dyDescent="0.2">
      <c r="A1247" s="135">
        <v>34661</v>
      </c>
      <c r="B1247" s="1926" t="s">
        <v>10849</v>
      </c>
      <c r="C1247" s="1926" t="s">
        <v>45</v>
      </c>
      <c r="D1247" s="1926" t="s">
        <v>40</v>
      </c>
      <c r="E1247" s="1662">
        <v>52.15</v>
      </c>
    </row>
    <row r="1248" spans="1:5" x14ac:dyDescent="0.2">
      <c r="A1248" s="135">
        <v>34667</v>
      </c>
      <c r="B1248" s="1926" t="s">
        <v>10850</v>
      </c>
      <c r="C1248" s="1926" t="s">
        <v>45</v>
      </c>
      <c r="D1248" s="1926" t="s">
        <v>40</v>
      </c>
      <c r="E1248" s="1662">
        <v>18.88</v>
      </c>
    </row>
    <row r="1249" spans="1:5" x14ac:dyDescent="0.2">
      <c r="A1249" s="135">
        <v>34668</v>
      </c>
      <c r="B1249" s="1926" t="s">
        <v>10851</v>
      </c>
      <c r="C1249" s="1926" t="s">
        <v>45</v>
      </c>
      <c r="D1249" s="1926" t="s">
        <v>40</v>
      </c>
      <c r="E1249" s="1662">
        <v>24.68</v>
      </c>
    </row>
    <row r="1250" spans="1:5" x14ac:dyDescent="0.2">
      <c r="A1250" s="135">
        <v>34741</v>
      </c>
      <c r="B1250" s="1926" t="s">
        <v>10852</v>
      </c>
      <c r="C1250" s="1926" t="s">
        <v>45</v>
      </c>
      <c r="D1250" s="1926" t="s">
        <v>40</v>
      </c>
      <c r="E1250" s="1662">
        <v>27.15</v>
      </c>
    </row>
    <row r="1251" spans="1:5" x14ac:dyDescent="0.2">
      <c r="A1251" s="135">
        <v>34664</v>
      </c>
      <c r="B1251" s="1926" t="s">
        <v>10853</v>
      </c>
      <c r="C1251" s="1926" t="s">
        <v>45</v>
      </c>
      <c r="D1251" s="1926" t="s">
        <v>40</v>
      </c>
      <c r="E1251" s="1662">
        <v>29.63</v>
      </c>
    </row>
    <row r="1252" spans="1:5" x14ac:dyDescent="0.2">
      <c r="A1252" s="135">
        <v>34665</v>
      </c>
      <c r="B1252" s="1926" t="s">
        <v>10854</v>
      </c>
      <c r="C1252" s="1926" t="s">
        <v>45</v>
      </c>
      <c r="D1252" s="1926" t="s">
        <v>40</v>
      </c>
      <c r="E1252" s="1662">
        <v>36.78</v>
      </c>
    </row>
    <row r="1253" spans="1:5" x14ac:dyDescent="0.2">
      <c r="A1253" s="135">
        <v>34666</v>
      </c>
      <c r="B1253" s="1926" t="s">
        <v>10855</v>
      </c>
      <c r="C1253" s="1926" t="s">
        <v>45</v>
      </c>
      <c r="D1253" s="1926" t="s">
        <v>40</v>
      </c>
      <c r="E1253" s="1662">
        <v>55.56</v>
      </c>
    </row>
    <row r="1254" spans="1:5" x14ac:dyDescent="0.2">
      <c r="A1254" s="135">
        <v>34669</v>
      </c>
      <c r="B1254" s="1926" t="s">
        <v>10856</v>
      </c>
      <c r="C1254" s="1926" t="s">
        <v>45</v>
      </c>
      <c r="D1254" s="1926" t="s">
        <v>40</v>
      </c>
      <c r="E1254" s="1662">
        <v>20.37</v>
      </c>
    </row>
    <row r="1255" spans="1:5" x14ac:dyDescent="0.2">
      <c r="A1255" s="135">
        <v>34670</v>
      </c>
      <c r="B1255" s="1926" t="s">
        <v>10857</v>
      </c>
      <c r="C1255" s="1926" t="s">
        <v>45</v>
      </c>
      <c r="D1255" s="1926" t="s">
        <v>40</v>
      </c>
      <c r="E1255" s="1662">
        <v>24.91</v>
      </c>
    </row>
    <row r="1256" spans="1:5" x14ac:dyDescent="0.2">
      <c r="A1256" s="135">
        <v>34671</v>
      </c>
      <c r="B1256" s="1926" t="s">
        <v>10858</v>
      </c>
      <c r="C1256" s="1926" t="s">
        <v>45</v>
      </c>
      <c r="D1256" s="1926" t="s">
        <v>40</v>
      </c>
      <c r="E1256" s="1662">
        <v>20.79</v>
      </c>
    </row>
    <row r="1257" spans="1:5" x14ac:dyDescent="0.2">
      <c r="A1257" s="135">
        <v>34672</v>
      </c>
      <c r="B1257" s="1926" t="s">
        <v>10859</v>
      </c>
      <c r="C1257" s="1926" t="s">
        <v>45</v>
      </c>
      <c r="D1257" s="1926" t="s">
        <v>40</v>
      </c>
      <c r="E1257" s="1662">
        <v>21.93</v>
      </c>
    </row>
    <row r="1258" spans="1:5" x14ac:dyDescent="0.2">
      <c r="A1258" s="135">
        <v>34673</v>
      </c>
      <c r="B1258" s="1926" t="s">
        <v>10860</v>
      </c>
      <c r="C1258" s="1926" t="s">
        <v>45</v>
      </c>
      <c r="D1258" s="1926" t="s">
        <v>40</v>
      </c>
      <c r="E1258" s="1662">
        <v>26.76</v>
      </c>
    </row>
    <row r="1259" spans="1:5" x14ac:dyDescent="0.2">
      <c r="A1259" s="135">
        <v>34674</v>
      </c>
      <c r="B1259" s="1926" t="s">
        <v>10861</v>
      </c>
      <c r="C1259" s="1926" t="s">
        <v>45</v>
      </c>
      <c r="D1259" s="1926" t="s">
        <v>40</v>
      </c>
      <c r="E1259" s="1662">
        <v>35.57</v>
      </c>
    </row>
    <row r="1260" spans="1:5" x14ac:dyDescent="0.2">
      <c r="A1260" s="135">
        <v>34675</v>
      </c>
      <c r="B1260" s="1926" t="s">
        <v>10862</v>
      </c>
      <c r="C1260" s="1926" t="s">
        <v>45</v>
      </c>
      <c r="D1260" s="1926" t="s">
        <v>40</v>
      </c>
      <c r="E1260" s="1662">
        <v>43.37</v>
      </c>
    </row>
    <row r="1261" spans="1:5" x14ac:dyDescent="0.2">
      <c r="A1261" s="135">
        <v>34676</v>
      </c>
      <c r="B1261" s="1926" t="s">
        <v>10863</v>
      </c>
      <c r="C1261" s="1926" t="s">
        <v>45</v>
      </c>
      <c r="D1261" s="1926" t="s">
        <v>40</v>
      </c>
      <c r="E1261" s="1662">
        <v>12.48</v>
      </c>
    </row>
    <row r="1262" spans="1:5" x14ac:dyDescent="0.2">
      <c r="A1262" s="135">
        <v>34677</v>
      </c>
      <c r="B1262" s="1926" t="s">
        <v>10864</v>
      </c>
      <c r="C1262" s="1926" t="s">
        <v>45</v>
      </c>
      <c r="D1262" s="1926" t="s">
        <v>40</v>
      </c>
      <c r="E1262" s="1662">
        <v>16.79</v>
      </c>
    </row>
    <row r="1263" spans="1:5" x14ac:dyDescent="0.2">
      <c r="A1263" s="135">
        <v>43126</v>
      </c>
      <c r="B1263" s="1926" t="s">
        <v>10865</v>
      </c>
      <c r="C1263" s="1926" t="s">
        <v>45</v>
      </c>
      <c r="D1263" s="1926" t="s">
        <v>46</v>
      </c>
      <c r="E1263" s="1662">
        <v>67.260000000000005</v>
      </c>
    </row>
    <row r="1264" spans="1:5" x14ac:dyDescent="0.2">
      <c r="A1264" s="135">
        <v>43124</v>
      </c>
      <c r="B1264" s="1926" t="s">
        <v>10866</v>
      </c>
      <c r="C1264" s="1926" t="s">
        <v>45</v>
      </c>
      <c r="D1264" s="1926" t="s">
        <v>46</v>
      </c>
      <c r="E1264" s="1662">
        <v>78.53</v>
      </c>
    </row>
    <row r="1265" spans="1:5" x14ac:dyDescent="0.2">
      <c r="A1265" s="135">
        <v>43125</v>
      </c>
      <c r="B1265" s="1926" t="s">
        <v>10867</v>
      </c>
      <c r="C1265" s="1926" t="s">
        <v>45</v>
      </c>
      <c r="D1265" s="1926" t="s">
        <v>46</v>
      </c>
      <c r="E1265" s="1662">
        <v>101.85</v>
      </c>
    </row>
    <row r="1266" spans="1:5" x14ac:dyDescent="0.2">
      <c r="A1266" s="135">
        <v>40623</v>
      </c>
      <c r="B1266" s="1926" t="s">
        <v>10868</v>
      </c>
      <c r="C1266" s="1926" t="s">
        <v>41</v>
      </c>
      <c r="D1266" s="1926" t="s">
        <v>40</v>
      </c>
      <c r="E1266" s="1662">
        <v>60.22</v>
      </c>
    </row>
    <row r="1267" spans="1:5" x14ac:dyDescent="0.2">
      <c r="A1267" s="135">
        <v>11112</v>
      </c>
      <c r="B1267" s="1926" t="s">
        <v>10869</v>
      </c>
      <c r="C1267" s="1926" t="s">
        <v>48</v>
      </c>
      <c r="D1267" s="1926" t="s">
        <v>46</v>
      </c>
      <c r="E1267" s="1662">
        <v>24.48</v>
      </c>
    </row>
    <row r="1268" spans="1:5" x14ac:dyDescent="0.2">
      <c r="A1268" s="135">
        <v>11115</v>
      </c>
      <c r="B1268" s="1926" t="s">
        <v>10870</v>
      </c>
      <c r="C1268" s="1926" t="s">
        <v>47</v>
      </c>
      <c r="D1268" s="1926" t="s">
        <v>46</v>
      </c>
      <c r="E1268" s="1662">
        <v>204.6</v>
      </c>
    </row>
    <row r="1269" spans="1:5" x14ac:dyDescent="0.2">
      <c r="A1269" s="135">
        <v>11113</v>
      </c>
      <c r="B1269" s="1926" t="s">
        <v>10871</v>
      </c>
      <c r="C1269" s="1926" t="s">
        <v>48</v>
      </c>
      <c r="D1269" s="1926" t="s">
        <v>46</v>
      </c>
      <c r="E1269" s="1662">
        <v>69.41</v>
      </c>
    </row>
    <row r="1270" spans="1:5" x14ac:dyDescent="0.2">
      <c r="A1270" s="135">
        <v>11114</v>
      </c>
      <c r="B1270" s="1926" t="s">
        <v>10872</v>
      </c>
      <c r="C1270" s="1926" t="s">
        <v>47</v>
      </c>
      <c r="D1270" s="1926" t="s">
        <v>46</v>
      </c>
      <c r="E1270" s="1662">
        <v>89.83</v>
      </c>
    </row>
    <row r="1271" spans="1:5" x14ac:dyDescent="0.2">
      <c r="A1271" s="135">
        <v>11122</v>
      </c>
      <c r="B1271" s="1926" t="s">
        <v>10873</v>
      </c>
      <c r="C1271" s="1926" t="s">
        <v>48</v>
      </c>
      <c r="D1271" s="1926" t="s">
        <v>46</v>
      </c>
      <c r="E1271" s="1662">
        <v>508.78</v>
      </c>
    </row>
    <row r="1272" spans="1:5" x14ac:dyDescent="0.2">
      <c r="A1272" s="135">
        <v>11123</v>
      </c>
      <c r="B1272" s="1926" t="s">
        <v>10874</v>
      </c>
      <c r="C1272" s="1926" t="s">
        <v>48</v>
      </c>
      <c r="D1272" s="1926" t="s">
        <v>46</v>
      </c>
      <c r="E1272" s="1662">
        <v>24.48</v>
      </c>
    </row>
    <row r="1273" spans="1:5" x14ac:dyDescent="0.2">
      <c r="A1273" s="135">
        <v>11125</v>
      </c>
      <c r="B1273" s="1926" t="s">
        <v>10875</v>
      </c>
      <c r="C1273" s="1926" t="s">
        <v>48</v>
      </c>
      <c r="D1273" s="1926" t="s">
        <v>46</v>
      </c>
      <c r="E1273" s="1662">
        <v>941.99</v>
      </c>
    </row>
    <row r="1274" spans="1:5" x14ac:dyDescent="0.2">
      <c r="A1274" s="135">
        <v>12083</v>
      </c>
      <c r="B1274" s="1926" t="s">
        <v>10876</v>
      </c>
      <c r="C1274" s="1926" t="s">
        <v>39</v>
      </c>
      <c r="D1274" s="1926" t="s">
        <v>46</v>
      </c>
      <c r="E1274" s="1662">
        <v>635.83000000000004</v>
      </c>
    </row>
    <row r="1275" spans="1:5" x14ac:dyDescent="0.2">
      <c r="A1275" s="135">
        <v>12081</v>
      </c>
      <c r="B1275" s="1926" t="s">
        <v>10877</v>
      </c>
      <c r="C1275" s="1926" t="s">
        <v>39</v>
      </c>
      <c r="D1275" s="1926" t="s">
        <v>46</v>
      </c>
      <c r="E1275" s="1662">
        <v>215.02</v>
      </c>
    </row>
    <row r="1276" spans="1:5" x14ac:dyDescent="0.2">
      <c r="A1276" s="135">
        <v>12082</v>
      </c>
      <c r="B1276" s="1926" t="s">
        <v>10878</v>
      </c>
      <c r="C1276" s="1926" t="s">
        <v>39</v>
      </c>
      <c r="D1276" s="1926" t="s">
        <v>46</v>
      </c>
      <c r="E1276" s="1662">
        <v>337.93</v>
      </c>
    </row>
    <row r="1277" spans="1:5" x14ac:dyDescent="0.2">
      <c r="A1277" s="135">
        <v>13354</v>
      </c>
      <c r="B1277" s="1926" t="s">
        <v>10879</v>
      </c>
      <c r="C1277" s="1926" t="s">
        <v>39</v>
      </c>
      <c r="D1277" s="1926" t="s">
        <v>46</v>
      </c>
      <c r="E1277" s="1662">
        <v>504.7</v>
      </c>
    </row>
    <row r="1278" spans="1:5" x14ac:dyDescent="0.2">
      <c r="A1278" s="135">
        <v>14057</v>
      </c>
      <c r="B1278" s="1926" t="s">
        <v>10880</v>
      </c>
      <c r="C1278" s="1926" t="s">
        <v>39</v>
      </c>
      <c r="D1278" s="1926" t="s">
        <v>46</v>
      </c>
      <c r="E1278" s="1662">
        <v>281.77999999999997</v>
      </c>
    </row>
    <row r="1279" spans="1:5" x14ac:dyDescent="0.2">
      <c r="A1279" s="135">
        <v>14058</v>
      </c>
      <c r="B1279" s="1926" t="s">
        <v>10881</v>
      </c>
      <c r="C1279" s="1926" t="s">
        <v>39</v>
      </c>
      <c r="D1279" s="1926" t="s">
        <v>46</v>
      </c>
      <c r="E1279" s="1662">
        <v>444.51</v>
      </c>
    </row>
    <row r="1280" spans="1:5" x14ac:dyDescent="0.2">
      <c r="A1280" s="135">
        <v>20971</v>
      </c>
      <c r="B1280" s="1926" t="s">
        <v>10882</v>
      </c>
      <c r="C1280" s="1926" t="s">
        <v>39</v>
      </c>
      <c r="D1280" s="1926" t="s">
        <v>40</v>
      </c>
      <c r="E1280" s="1662">
        <v>10.64</v>
      </c>
    </row>
    <row r="1281" spans="1:5" x14ac:dyDescent="0.2">
      <c r="A1281" s="135">
        <v>5047</v>
      </c>
      <c r="B1281" s="1926" t="s">
        <v>10883</v>
      </c>
      <c r="C1281" s="1926" t="s">
        <v>39</v>
      </c>
      <c r="D1281" s="1926" t="s">
        <v>46</v>
      </c>
      <c r="E1281" s="1662">
        <v>302.85000000000002</v>
      </c>
    </row>
    <row r="1282" spans="1:5" x14ac:dyDescent="0.2">
      <c r="A1282" s="135">
        <v>13369</v>
      </c>
      <c r="B1282" s="1926" t="s">
        <v>10884</v>
      </c>
      <c r="C1282" s="1926" t="s">
        <v>39</v>
      </c>
      <c r="D1282" s="1926" t="s">
        <v>46</v>
      </c>
      <c r="E1282" s="1662">
        <v>328.51</v>
      </c>
    </row>
    <row r="1283" spans="1:5" x14ac:dyDescent="0.2">
      <c r="A1283" s="135">
        <v>13370</v>
      </c>
      <c r="B1283" s="1926" t="s">
        <v>10885</v>
      </c>
      <c r="C1283" s="1926" t="s">
        <v>39</v>
      </c>
      <c r="D1283" s="1926" t="s">
        <v>46</v>
      </c>
      <c r="E1283" s="1662">
        <v>455.39</v>
      </c>
    </row>
    <row r="1284" spans="1:5" x14ac:dyDescent="0.2">
      <c r="A1284" s="135">
        <v>13279</v>
      </c>
      <c r="B1284" s="1926" t="s">
        <v>10886</v>
      </c>
      <c r="C1284" s="1926" t="s">
        <v>48</v>
      </c>
      <c r="D1284" s="1926" t="s">
        <v>40</v>
      </c>
      <c r="E1284" s="1662">
        <v>15.3</v>
      </c>
    </row>
    <row r="1285" spans="1:5" x14ac:dyDescent="0.2">
      <c r="A1285" s="135">
        <v>11977</v>
      </c>
      <c r="B1285" s="1926" t="s">
        <v>10887</v>
      </c>
      <c r="C1285" s="1926" t="s">
        <v>39</v>
      </c>
      <c r="D1285" s="1926" t="s">
        <v>40</v>
      </c>
      <c r="E1285" s="1662">
        <v>7.93</v>
      </c>
    </row>
    <row r="1286" spans="1:5" x14ac:dyDescent="0.2">
      <c r="A1286" s="135">
        <v>11975</v>
      </c>
      <c r="B1286" s="1926" t="s">
        <v>10888</v>
      </c>
      <c r="C1286" s="1926" t="s">
        <v>39</v>
      </c>
      <c r="D1286" s="1926" t="s">
        <v>40</v>
      </c>
      <c r="E1286" s="1662">
        <v>17.37</v>
      </c>
    </row>
    <row r="1287" spans="1:5" x14ac:dyDescent="0.2">
      <c r="A1287" s="135">
        <v>39746</v>
      </c>
      <c r="B1287" s="1926" t="s">
        <v>10889</v>
      </c>
      <c r="C1287" s="1926" t="s">
        <v>39</v>
      </c>
      <c r="D1287" s="1926" t="s">
        <v>40</v>
      </c>
      <c r="E1287" s="1662">
        <v>193.35</v>
      </c>
    </row>
    <row r="1288" spans="1:5" x14ac:dyDescent="0.2">
      <c r="A1288" s="135">
        <v>11976</v>
      </c>
      <c r="B1288" s="1926" t="s">
        <v>10890</v>
      </c>
      <c r="C1288" s="1926" t="s">
        <v>39</v>
      </c>
      <c r="D1288" s="1926" t="s">
        <v>40</v>
      </c>
      <c r="E1288" s="1662">
        <v>0.89</v>
      </c>
    </row>
    <row r="1289" spans="1:5" x14ac:dyDescent="0.2">
      <c r="A1289" s="135">
        <v>1368</v>
      </c>
      <c r="B1289" s="1926" t="s">
        <v>10891</v>
      </c>
      <c r="C1289" s="1926" t="s">
        <v>39</v>
      </c>
      <c r="D1289" s="1926" t="s">
        <v>43</v>
      </c>
      <c r="E1289" s="1662">
        <v>52.4</v>
      </c>
    </row>
    <row r="1290" spans="1:5" x14ac:dyDescent="0.2">
      <c r="A1290" s="135">
        <v>1367</v>
      </c>
      <c r="B1290" s="1926" t="s">
        <v>10892</v>
      </c>
      <c r="C1290" s="1926" t="s">
        <v>39</v>
      </c>
      <c r="D1290" s="1926" t="s">
        <v>40</v>
      </c>
      <c r="E1290" s="1662">
        <v>169.5</v>
      </c>
    </row>
    <row r="1291" spans="1:5" x14ac:dyDescent="0.2">
      <c r="A1291" s="135">
        <v>7608</v>
      </c>
      <c r="B1291" s="1926" t="s">
        <v>10893</v>
      </c>
      <c r="C1291" s="1926" t="s">
        <v>39</v>
      </c>
      <c r="D1291" s="1926" t="s">
        <v>40</v>
      </c>
      <c r="E1291" s="1662">
        <v>4.79</v>
      </c>
    </row>
    <row r="1292" spans="1:5" x14ac:dyDescent="0.2">
      <c r="A1292" s="135">
        <v>41900</v>
      </c>
      <c r="B1292" s="1926" t="s">
        <v>10894</v>
      </c>
      <c r="C1292" s="1926" t="s">
        <v>48</v>
      </c>
      <c r="D1292" s="1926" t="s">
        <v>46</v>
      </c>
      <c r="E1292" s="1662">
        <v>2.88</v>
      </c>
    </row>
    <row r="1293" spans="1:5" x14ac:dyDescent="0.2">
      <c r="A1293" s="135">
        <v>41899</v>
      </c>
      <c r="B1293" s="1926" t="s">
        <v>10895</v>
      </c>
      <c r="C1293" s="1926" t="s">
        <v>55</v>
      </c>
      <c r="D1293" s="1926" t="s">
        <v>46</v>
      </c>
      <c r="E1293" s="1662">
        <v>2934.17</v>
      </c>
    </row>
    <row r="1294" spans="1:5" x14ac:dyDescent="0.2">
      <c r="A1294" s="135">
        <v>1380</v>
      </c>
      <c r="B1294" s="1926" t="s">
        <v>10896</v>
      </c>
      <c r="C1294" s="1926" t="s">
        <v>48</v>
      </c>
      <c r="D1294" s="1926" t="s">
        <v>40</v>
      </c>
      <c r="E1294" s="1662">
        <v>2.4</v>
      </c>
    </row>
    <row r="1295" spans="1:5" x14ac:dyDescent="0.2">
      <c r="A1295" s="135">
        <v>1375</v>
      </c>
      <c r="B1295" s="1926" t="s">
        <v>10897</v>
      </c>
      <c r="C1295" s="1926" t="s">
        <v>48</v>
      </c>
      <c r="D1295" s="1926" t="s">
        <v>40</v>
      </c>
      <c r="E1295" s="1662">
        <v>11.21</v>
      </c>
    </row>
    <row r="1296" spans="1:5" x14ac:dyDescent="0.2">
      <c r="A1296" s="135">
        <v>1379</v>
      </c>
      <c r="B1296" s="1926" t="s">
        <v>10898</v>
      </c>
      <c r="C1296" s="1926" t="s">
        <v>48</v>
      </c>
      <c r="D1296" s="1926" t="s">
        <v>40</v>
      </c>
      <c r="E1296" s="1662">
        <v>0.4</v>
      </c>
    </row>
    <row r="1297" spans="1:5" x14ac:dyDescent="0.2">
      <c r="A1297" s="135">
        <v>10511</v>
      </c>
      <c r="B1297" s="1926" t="s">
        <v>10899</v>
      </c>
      <c r="C1297" s="1926" t="s">
        <v>56</v>
      </c>
      <c r="D1297" s="1926" t="s">
        <v>43</v>
      </c>
      <c r="E1297" s="1662">
        <v>20.45</v>
      </c>
    </row>
    <row r="1298" spans="1:5" x14ac:dyDescent="0.2">
      <c r="A1298" s="135">
        <v>13284</v>
      </c>
      <c r="B1298" s="1926" t="s">
        <v>10900</v>
      </c>
      <c r="C1298" s="1926" t="s">
        <v>48</v>
      </c>
      <c r="D1298" s="1926" t="s">
        <v>40</v>
      </c>
      <c r="E1298" s="1662">
        <v>0.34</v>
      </c>
    </row>
    <row r="1299" spans="1:5" x14ac:dyDescent="0.2">
      <c r="A1299" s="135">
        <v>25974</v>
      </c>
      <c r="B1299" s="1926" t="s">
        <v>10901</v>
      </c>
      <c r="C1299" s="1926" t="s">
        <v>48</v>
      </c>
      <c r="D1299" s="1926" t="s">
        <v>40</v>
      </c>
      <c r="E1299" s="1662">
        <v>1.37</v>
      </c>
    </row>
    <row r="1300" spans="1:5" x14ac:dyDescent="0.2">
      <c r="A1300" s="135">
        <v>1382</v>
      </c>
      <c r="B1300" s="1926" t="s">
        <v>10902</v>
      </c>
      <c r="C1300" s="1926" t="s">
        <v>56</v>
      </c>
      <c r="D1300" s="1926" t="s">
        <v>40</v>
      </c>
      <c r="E1300" s="1662">
        <v>19.7</v>
      </c>
    </row>
    <row r="1301" spans="1:5" x14ac:dyDescent="0.2">
      <c r="A1301" s="135">
        <v>34753</v>
      </c>
      <c r="B1301" s="1926" t="s">
        <v>10903</v>
      </c>
      <c r="C1301" s="1926" t="s">
        <v>48</v>
      </c>
      <c r="D1301" s="1926" t="s">
        <v>40</v>
      </c>
      <c r="E1301" s="1662">
        <v>0.39</v>
      </c>
    </row>
    <row r="1302" spans="1:5" x14ac:dyDescent="0.2">
      <c r="A1302" s="135">
        <v>420</v>
      </c>
      <c r="B1302" s="1926" t="s">
        <v>10904</v>
      </c>
      <c r="C1302" s="1926" t="s">
        <v>39</v>
      </c>
      <c r="D1302" s="1926" t="s">
        <v>46</v>
      </c>
      <c r="E1302" s="1662">
        <v>20.309999999999999</v>
      </c>
    </row>
    <row r="1303" spans="1:5" x14ac:dyDescent="0.2">
      <c r="A1303" s="135">
        <v>12327</v>
      </c>
      <c r="B1303" s="1926" t="s">
        <v>10905</v>
      </c>
      <c r="C1303" s="1926" t="s">
        <v>39</v>
      </c>
      <c r="D1303" s="1926" t="s">
        <v>46</v>
      </c>
      <c r="E1303" s="1662">
        <v>24.19</v>
      </c>
    </row>
    <row r="1304" spans="1:5" x14ac:dyDescent="0.2">
      <c r="A1304" s="135">
        <v>36148</v>
      </c>
      <c r="B1304" s="1926" t="s">
        <v>10906</v>
      </c>
      <c r="C1304" s="1926" t="s">
        <v>39</v>
      </c>
      <c r="D1304" s="1926" t="s">
        <v>40</v>
      </c>
      <c r="E1304" s="1662">
        <v>55.58</v>
      </c>
    </row>
    <row r="1305" spans="1:5" x14ac:dyDescent="0.2">
      <c r="A1305" s="135">
        <v>12329</v>
      </c>
      <c r="B1305" s="1926" t="s">
        <v>10907</v>
      </c>
      <c r="C1305" s="1926" t="s">
        <v>48</v>
      </c>
      <c r="D1305" s="1926" t="s">
        <v>40</v>
      </c>
      <c r="E1305" s="1662">
        <v>75.67</v>
      </c>
    </row>
    <row r="1306" spans="1:5" x14ac:dyDescent="0.2">
      <c r="A1306" s="135">
        <v>1339</v>
      </c>
      <c r="B1306" s="1926" t="s">
        <v>10908</v>
      </c>
      <c r="C1306" s="1926" t="s">
        <v>48</v>
      </c>
      <c r="D1306" s="1926" t="s">
        <v>40</v>
      </c>
      <c r="E1306" s="1662">
        <v>30.65</v>
      </c>
    </row>
    <row r="1307" spans="1:5" x14ac:dyDescent="0.2">
      <c r="A1307" s="135">
        <v>11849</v>
      </c>
      <c r="B1307" s="1926" t="s">
        <v>10909</v>
      </c>
      <c r="C1307" s="1926" t="s">
        <v>49</v>
      </c>
      <c r="D1307" s="1926" t="s">
        <v>40</v>
      </c>
      <c r="E1307" s="1662">
        <v>17.14</v>
      </c>
    </row>
    <row r="1308" spans="1:5" x14ac:dyDescent="0.2">
      <c r="A1308" s="135">
        <v>37418</v>
      </c>
      <c r="B1308" s="1926" t="s">
        <v>10910</v>
      </c>
      <c r="C1308" s="1926" t="s">
        <v>39</v>
      </c>
      <c r="D1308" s="1926" t="s">
        <v>46</v>
      </c>
      <c r="E1308" s="1662">
        <v>13.93</v>
      </c>
    </row>
    <row r="1309" spans="1:5" x14ac:dyDescent="0.2">
      <c r="A1309" s="135">
        <v>37419</v>
      </c>
      <c r="B1309" s="1926" t="s">
        <v>10911</v>
      </c>
      <c r="C1309" s="1926" t="s">
        <v>39</v>
      </c>
      <c r="D1309" s="1926" t="s">
        <v>46</v>
      </c>
      <c r="E1309" s="1662">
        <v>14.3</v>
      </c>
    </row>
    <row r="1310" spans="1:5" x14ac:dyDescent="0.2">
      <c r="A1310" s="135">
        <v>1427</v>
      </c>
      <c r="B1310" s="1926" t="s">
        <v>10912</v>
      </c>
      <c r="C1310" s="1926" t="s">
        <v>39</v>
      </c>
      <c r="D1310" s="1926" t="s">
        <v>46</v>
      </c>
      <c r="E1310" s="1662">
        <v>14.07</v>
      </c>
    </row>
    <row r="1311" spans="1:5" x14ac:dyDescent="0.2">
      <c r="A1311" s="135">
        <v>1402</v>
      </c>
      <c r="B1311" s="1926" t="s">
        <v>10913</v>
      </c>
      <c r="C1311" s="1926" t="s">
        <v>39</v>
      </c>
      <c r="D1311" s="1926" t="s">
        <v>46</v>
      </c>
      <c r="E1311" s="1662">
        <v>4.87</v>
      </c>
    </row>
    <row r="1312" spans="1:5" x14ac:dyDescent="0.2">
      <c r="A1312" s="135">
        <v>1420</v>
      </c>
      <c r="B1312" s="1926" t="s">
        <v>10914</v>
      </c>
      <c r="C1312" s="1926" t="s">
        <v>39</v>
      </c>
      <c r="D1312" s="1926" t="s">
        <v>46</v>
      </c>
      <c r="E1312" s="1662">
        <v>6.26</v>
      </c>
    </row>
    <row r="1313" spans="1:5" x14ac:dyDescent="0.2">
      <c r="A1313" s="135">
        <v>1419</v>
      </c>
      <c r="B1313" s="1926" t="s">
        <v>10915</v>
      </c>
      <c r="C1313" s="1926" t="s">
        <v>39</v>
      </c>
      <c r="D1313" s="1926" t="s">
        <v>46</v>
      </c>
      <c r="E1313" s="1662">
        <v>7.56</v>
      </c>
    </row>
    <row r="1314" spans="1:5" x14ac:dyDescent="0.2">
      <c r="A1314" s="135">
        <v>1414</v>
      </c>
      <c r="B1314" s="1926" t="s">
        <v>10916</v>
      </c>
      <c r="C1314" s="1926" t="s">
        <v>39</v>
      </c>
      <c r="D1314" s="1926" t="s">
        <v>46</v>
      </c>
      <c r="E1314" s="1662">
        <v>7.4</v>
      </c>
    </row>
    <row r="1315" spans="1:5" x14ac:dyDescent="0.2">
      <c r="A1315" s="135">
        <v>1413</v>
      </c>
      <c r="B1315" s="1926" t="s">
        <v>10917</v>
      </c>
      <c r="C1315" s="1926" t="s">
        <v>39</v>
      </c>
      <c r="D1315" s="1926" t="s">
        <v>46</v>
      </c>
      <c r="E1315" s="1662">
        <v>10.93</v>
      </c>
    </row>
    <row r="1316" spans="1:5" x14ac:dyDescent="0.2">
      <c r="A1316" s="135">
        <v>1412</v>
      </c>
      <c r="B1316" s="1926" t="s">
        <v>10918</v>
      </c>
      <c r="C1316" s="1926" t="s">
        <v>39</v>
      </c>
      <c r="D1316" s="1926" t="s">
        <v>46</v>
      </c>
      <c r="E1316" s="1662">
        <v>9.26</v>
      </c>
    </row>
    <row r="1317" spans="1:5" x14ac:dyDescent="0.2">
      <c r="A1317" s="135">
        <v>1411</v>
      </c>
      <c r="B1317" s="1926" t="s">
        <v>10919</v>
      </c>
      <c r="C1317" s="1926" t="s">
        <v>39</v>
      </c>
      <c r="D1317" s="1926" t="s">
        <v>46</v>
      </c>
      <c r="E1317" s="1662">
        <v>16.84</v>
      </c>
    </row>
    <row r="1318" spans="1:5" x14ac:dyDescent="0.2">
      <c r="A1318" s="135">
        <v>1406</v>
      </c>
      <c r="B1318" s="1926" t="s">
        <v>10920</v>
      </c>
      <c r="C1318" s="1926" t="s">
        <v>39</v>
      </c>
      <c r="D1318" s="1926" t="s">
        <v>46</v>
      </c>
      <c r="E1318" s="1662">
        <v>11.17</v>
      </c>
    </row>
    <row r="1319" spans="1:5" x14ac:dyDescent="0.2">
      <c r="A1319" s="135">
        <v>1407</v>
      </c>
      <c r="B1319" s="1926" t="s">
        <v>10921</v>
      </c>
      <c r="C1319" s="1926" t="s">
        <v>39</v>
      </c>
      <c r="D1319" s="1926" t="s">
        <v>46</v>
      </c>
      <c r="E1319" s="1662">
        <v>13.93</v>
      </c>
    </row>
    <row r="1320" spans="1:5" x14ac:dyDescent="0.2">
      <c r="A1320" s="135">
        <v>1404</v>
      </c>
      <c r="B1320" s="1926" t="s">
        <v>10922</v>
      </c>
      <c r="C1320" s="1926" t="s">
        <v>39</v>
      </c>
      <c r="D1320" s="1926" t="s">
        <v>46</v>
      </c>
      <c r="E1320" s="1662">
        <v>14.81</v>
      </c>
    </row>
    <row r="1321" spans="1:5" x14ac:dyDescent="0.2">
      <c r="A1321" s="135">
        <v>11281</v>
      </c>
      <c r="B1321" s="1926" t="s">
        <v>10923</v>
      </c>
      <c r="C1321" s="1926" t="s">
        <v>39</v>
      </c>
      <c r="D1321" s="1926" t="s">
        <v>43</v>
      </c>
      <c r="E1321" s="1662">
        <v>11700</v>
      </c>
    </row>
    <row r="1322" spans="1:5" x14ac:dyDescent="0.2">
      <c r="A1322" s="135">
        <v>1442</v>
      </c>
      <c r="B1322" s="1926" t="s">
        <v>10924</v>
      </c>
      <c r="C1322" s="1926" t="s">
        <v>39</v>
      </c>
      <c r="D1322" s="1926" t="s">
        <v>40</v>
      </c>
      <c r="E1322" s="1662">
        <v>9822.06</v>
      </c>
    </row>
    <row r="1323" spans="1:5" x14ac:dyDescent="0.2">
      <c r="A1323" s="135">
        <v>13457</v>
      </c>
      <c r="B1323" s="1926" t="s">
        <v>10925</v>
      </c>
      <c r="C1323" s="1926" t="s">
        <v>39</v>
      </c>
      <c r="D1323" s="1926" t="s">
        <v>40</v>
      </c>
      <c r="E1323" s="1662">
        <v>8478.25</v>
      </c>
    </row>
    <row r="1324" spans="1:5" x14ac:dyDescent="0.2">
      <c r="A1324" s="135">
        <v>40699</v>
      </c>
      <c r="B1324" s="1926" t="s">
        <v>10926</v>
      </c>
      <c r="C1324" s="1926" t="s">
        <v>39</v>
      </c>
      <c r="D1324" s="1926" t="s">
        <v>40</v>
      </c>
      <c r="E1324" s="1662">
        <v>6554.01</v>
      </c>
    </row>
    <row r="1325" spans="1:5" x14ac:dyDescent="0.2">
      <c r="A1325" s="135">
        <v>40701</v>
      </c>
      <c r="B1325" s="1926" t="s">
        <v>10927</v>
      </c>
      <c r="C1325" s="1926" t="s">
        <v>39</v>
      </c>
      <c r="D1325" s="1926" t="s">
        <v>40</v>
      </c>
      <c r="E1325" s="1662">
        <v>115884</v>
      </c>
    </row>
    <row r="1326" spans="1:5" x14ac:dyDescent="0.2">
      <c r="A1326" s="135">
        <v>40700</v>
      </c>
      <c r="B1326" s="1926" t="s">
        <v>10928</v>
      </c>
      <c r="C1326" s="1926" t="s">
        <v>39</v>
      </c>
      <c r="D1326" s="1926" t="s">
        <v>40</v>
      </c>
      <c r="E1326" s="1662">
        <v>15256.89</v>
      </c>
    </row>
    <row r="1327" spans="1:5" x14ac:dyDescent="0.2">
      <c r="A1327" s="135">
        <v>13458</v>
      </c>
      <c r="B1327" s="1926" t="s">
        <v>10929</v>
      </c>
      <c r="C1327" s="1926" t="s">
        <v>39</v>
      </c>
      <c r="D1327" s="1926" t="s">
        <v>40</v>
      </c>
      <c r="E1327" s="1662">
        <v>14497.82</v>
      </c>
    </row>
    <row r="1328" spans="1:5" x14ac:dyDescent="0.2">
      <c r="A1328" s="135">
        <v>36524</v>
      </c>
      <c r="B1328" s="1926" t="s">
        <v>10930</v>
      </c>
      <c r="C1328" s="1926" t="s">
        <v>39</v>
      </c>
      <c r="D1328" s="1926" t="s">
        <v>46</v>
      </c>
      <c r="E1328" s="1662">
        <v>86280.46</v>
      </c>
    </row>
    <row r="1329" spans="1:5" x14ac:dyDescent="0.2">
      <c r="A1329" s="135">
        <v>36526</v>
      </c>
      <c r="B1329" s="1926" t="s">
        <v>10931</v>
      </c>
      <c r="C1329" s="1926" t="s">
        <v>39</v>
      </c>
      <c r="D1329" s="1926" t="s">
        <v>46</v>
      </c>
      <c r="E1329" s="1662">
        <v>69528.3</v>
      </c>
    </row>
    <row r="1330" spans="1:5" x14ac:dyDescent="0.2">
      <c r="A1330" s="135">
        <v>36523</v>
      </c>
      <c r="B1330" s="1926" t="s">
        <v>10932</v>
      </c>
      <c r="C1330" s="1926" t="s">
        <v>39</v>
      </c>
      <c r="D1330" s="1926" t="s">
        <v>46</v>
      </c>
      <c r="E1330" s="1662">
        <v>148850.72</v>
      </c>
    </row>
    <row r="1331" spans="1:5" x14ac:dyDescent="0.2">
      <c r="A1331" s="135">
        <v>36527</v>
      </c>
      <c r="B1331" s="1926" t="s">
        <v>10933</v>
      </c>
      <c r="C1331" s="1926" t="s">
        <v>39</v>
      </c>
      <c r="D1331" s="1926" t="s">
        <v>46</v>
      </c>
      <c r="E1331" s="1662">
        <v>161682.54</v>
      </c>
    </row>
    <row r="1332" spans="1:5" x14ac:dyDescent="0.2">
      <c r="A1332" s="135">
        <v>13803</v>
      </c>
      <c r="B1332" s="1926" t="s">
        <v>10934</v>
      </c>
      <c r="C1332" s="1926" t="s">
        <v>39</v>
      </c>
      <c r="D1332" s="1926" t="s">
        <v>46</v>
      </c>
      <c r="E1332" s="1662">
        <v>58463</v>
      </c>
    </row>
    <row r="1333" spans="1:5" x14ac:dyDescent="0.2">
      <c r="A1333" s="135">
        <v>38642</v>
      </c>
      <c r="B1333" s="1926" t="s">
        <v>10935</v>
      </c>
      <c r="C1333" s="1926" t="s">
        <v>39</v>
      </c>
      <c r="D1333" s="1926" t="s">
        <v>46</v>
      </c>
      <c r="E1333" s="1662">
        <v>37643.839999999997</v>
      </c>
    </row>
    <row r="1334" spans="1:5" x14ac:dyDescent="0.2">
      <c r="A1334" s="135">
        <v>36522</v>
      </c>
      <c r="B1334" s="1926" t="s">
        <v>10936</v>
      </c>
      <c r="C1334" s="1926" t="s">
        <v>39</v>
      </c>
      <c r="D1334" s="1926" t="s">
        <v>46</v>
      </c>
      <c r="E1334" s="1662">
        <v>43779.34</v>
      </c>
    </row>
    <row r="1335" spans="1:5" x14ac:dyDescent="0.2">
      <c r="A1335" s="135">
        <v>36525</v>
      </c>
      <c r="B1335" s="1926" t="s">
        <v>10937</v>
      </c>
      <c r="C1335" s="1926" t="s">
        <v>39</v>
      </c>
      <c r="D1335" s="1926" t="s">
        <v>46</v>
      </c>
      <c r="E1335" s="1662">
        <v>58630.76</v>
      </c>
    </row>
    <row r="1336" spans="1:5" x14ac:dyDescent="0.2">
      <c r="A1336" s="135">
        <v>41991</v>
      </c>
      <c r="B1336" s="1926" t="s">
        <v>10938</v>
      </c>
      <c r="C1336" s="1926" t="s">
        <v>39</v>
      </c>
      <c r="D1336" s="1926" t="s">
        <v>46</v>
      </c>
      <c r="E1336" s="1662">
        <v>2166.4899999999998</v>
      </c>
    </row>
    <row r="1337" spans="1:5" x14ac:dyDescent="0.2">
      <c r="A1337" s="135">
        <v>34348</v>
      </c>
      <c r="B1337" s="1926" t="s">
        <v>10939</v>
      </c>
      <c r="C1337" s="1926" t="s">
        <v>47</v>
      </c>
      <c r="D1337" s="1926" t="s">
        <v>40</v>
      </c>
      <c r="E1337" s="1662">
        <v>13.26</v>
      </c>
    </row>
    <row r="1338" spans="1:5" x14ac:dyDescent="0.2">
      <c r="A1338" s="135">
        <v>34347</v>
      </c>
      <c r="B1338" s="1926" t="s">
        <v>10940</v>
      </c>
      <c r="C1338" s="1926" t="s">
        <v>47</v>
      </c>
      <c r="D1338" s="1926" t="s">
        <v>40</v>
      </c>
      <c r="E1338" s="1662">
        <v>10.07</v>
      </c>
    </row>
    <row r="1339" spans="1:5" x14ac:dyDescent="0.2">
      <c r="A1339" s="135">
        <v>11146</v>
      </c>
      <c r="B1339" s="1926" t="s">
        <v>10941</v>
      </c>
      <c r="C1339" s="1926" t="s">
        <v>44</v>
      </c>
      <c r="D1339" s="1926" t="s">
        <v>40</v>
      </c>
      <c r="E1339" s="1662">
        <v>279.47000000000003</v>
      </c>
    </row>
    <row r="1340" spans="1:5" x14ac:dyDescent="0.2">
      <c r="A1340" s="135">
        <v>11147</v>
      </c>
      <c r="B1340" s="1926" t="s">
        <v>10942</v>
      </c>
      <c r="C1340" s="1926" t="s">
        <v>44</v>
      </c>
      <c r="D1340" s="1926" t="s">
        <v>40</v>
      </c>
      <c r="E1340" s="1662">
        <v>289.82</v>
      </c>
    </row>
    <row r="1341" spans="1:5" x14ac:dyDescent="0.2">
      <c r="A1341" s="135">
        <v>34872</v>
      </c>
      <c r="B1341" s="1926" t="s">
        <v>10943</v>
      </c>
      <c r="C1341" s="1926" t="s">
        <v>44</v>
      </c>
      <c r="D1341" s="1926" t="s">
        <v>40</v>
      </c>
      <c r="E1341" s="1662">
        <v>300.17</v>
      </c>
    </row>
    <row r="1342" spans="1:5" x14ac:dyDescent="0.2">
      <c r="A1342" s="135">
        <v>34491</v>
      </c>
      <c r="B1342" s="1926" t="s">
        <v>10944</v>
      </c>
      <c r="C1342" s="1926" t="s">
        <v>44</v>
      </c>
      <c r="D1342" s="1926" t="s">
        <v>40</v>
      </c>
      <c r="E1342" s="1662">
        <v>306.25</v>
      </c>
    </row>
    <row r="1343" spans="1:5" x14ac:dyDescent="0.2">
      <c r="A1343" s="135">
        <v>34770</v>
      </c>
      <c r="B1343" s="1926" t="s">
        <v>10945</v>
      </c>
      <c r="C1343" s="1926" t="s">
        <v>55</v>
      </c>
      <c r="D1343" s="1926" t="s">
        <v>46</v>
      </c>
      <c r="E1343" s="1662">
        <v>302.55</v>
      </c>
    </row>
    <row r="1344" spans="1:5" x14ac:dyDescent="0.2">
      <c r="A1344" s="135">
        <v>1518</v>
      </c>
      <c r="B1344" s="1926" t="s">
        <v>10946</v>
      </c>
      <c r="C1344" s="1926" t="s">
        <v>55</v>
      </c>
      <c r="D1344" s="1926" t="s">
        <v>46</v>
      </c>
      <c r="E1344" s="1662">
        <v>326.52</v>
      </c>
    </row>
    <row r="1345" spans="1:5" x14ac:dyDescent="0.2">
      <c r="A1345" s="135">
        <v>41965</v>
      </c>
      <c r="B1345" s="1926" t="s">
        <v>10947</v>
      </c>
      <c r="C1345" s="1926" t="s">
        <v>55</v>
      </c>
      <c r="D1345" s="1926" t="s">
        <v>46</v>
      </c>
      <c r="E1345" s="1662">
        <v>316.33</v>
      </c>
    </row>
    <row r="1346" spans="1:5" x14ac:dyDescent="0.2">
      <c r="A1346" s="135">
        <v>34492</v>
      </c>
      <c r="B1346" s="1926" t="s">
        <v>10948</v>
      </c>
      <c r="C1346" s="1926" t="s">
        <v>44</v>
      </c>
      <c r="D1346" s="1926" t="s">
        <v>40</v>
      </c>
      <c r="E1346" s="1662">
        <v>253.59</v>
      </c>
    </row>
    <row r="1347" spans="1:5" x14ac:dyDescent="0.2">
      <c r="A1347" s="135">
        <v>1524</v>
      </c>
      <c r="B1347" s="1926" t="s">
        <v>10949</v>
      </c>
      <c r="C1347" s="1926" t="s">
        <v>44</v>
      </c>
      <c r="D1347" s="1926" t="s">
        <v>43</v>
      </c>
      <c r="E1347" s="1662">
        <v>295</v>
      </c>
    </row>
    <row r="1348" spans="1:5" x14ac:dyDescent="0.2">
      <c r="A1348" s="135">
        <v>38404</v>
      </c>
      <c r="B1348" s="1926" t="s">
        <v>10950</v>
      </c>
      <c r="C1348" s="1926" t="s">
        <v>44</v>
      </c>
      <c r="D1348" s="1926" t="s">
        <v>40</v>
      </c>
      <c r="E1348" s="1662">
        <v>311.36</v>
      </c>
    </row>
    <row r="1349" spans="1:5" x14ac:dyDescent="0.2">
      <c r="A1349" s="135">
        <v>39849</v>
      </c>
      <c r="B1349" s="1926" t="s">
        <v>10951</v>
      </c>
      <c r="C1349" s="1926" t="s">
        <v>44</v>
      </c>
      <c r="D1349" s="1926" t="s">
        <v>40</v>
      </c>
      <c r="E1349" s="1662">
        <v>310.69</v>
      </c>
    </row>
    <row r="1350" spans="1:5" x14ac:dyDescent="0.2">
      <c r="A1350" s="135">
        <v>38464</v>
      </c>
      <c r="B1350" s="1926" t="s">
        <v>10952</v>
      </c>
      <c r="C1350" s="1926" t="s">
        <v>44</v>
      </c>
      <c r="D1350" s="1926" t="s">
        <v>40</v>
      </c>
      <c r="E1350" s="1662">
        <v>376.12</v>
      </c>
    </row>
    <row r="1351" spans="1:5" x14ac:dyDescent="0.2">
      <c r="A1351" s="135">
        <v>34493</v>
      </c>
      <c r="B1351" s="1926" t="s">
        <v>10953</v>
      </c>
      <c r="C1351" s="1926" t="s">
        <v>44</v>
      </c>
      <c r="D1351" s="1926" t="s">
        <v>40</v>
      </c>
      <c r="E1351" s="1662">
        <v>263.42</v>
      </c>
    </row>
    <row r="1352" spans="1:5" x14ac:dyDescent="0.2">
      <c r="A1352" s="135">
        <v>1527</v>
      </c>
      <c r="B1352" s="1926" t="s">
        <v>10954</v>
      </c>
      <c r="C1352" s="1926" t="s">
        <v>44</v>
      </c>
      <c r="D1352" s="1926" t="s">
        <v>40</v>
      </c>
      <c r="E1352" s="1662">
        <v>307.42</v>
      </c>
    </row>
    <row r="1353" spans="1:5" x14ac:dyDescent="0.2">
      <c r="A1353" s="135">
        <v>38405</v>
      </c>
      <c r="B1353" s="1926" t="s">
        <v>10955</v>
      </c>
      <c r="C1353" s="1926" t="s">
        <v>44</v>
      </c>
      <c r="D1353" s="1926" t="s">
        <v>40</v>
      </c>
      <c r="E1353" s="1662">
        <v>330.04</v>
      </c>
    </row>
    <row r="1354" spans="1:5" x14ac:dyDescent="0.2">
      <c r="A1354" s="135">
        <v>38408</v>
      </c>
      <c r="B1354" s="1926" t="s">
        <v>10956</v>
      </c>
      <c r="C1354" s="1926" t="s">
        <v>44</v>
      </c>
      <c r="D1354" s="1926" t="s">
        <v>40</v>
      </c>
      <c r="E1354" s="1662">
        <v>343.19</v>
      </c>
    </row>
    <row r="1355" spans="1:5" x14ac:dyDescent="0.2">
      <c r="A1355" s="135">
        <v>34494</v>
      </c>
      <c r="B1355" s="1926" t="s">
        <v>10957</v>
      </c>
      <c r="C1355" s="1926" t="s">
        <v>44</v>
      </c>
      <c r="D1355" s="1926" t="s">
        <v>40</v>
      </c>
      <c r="E1355" s="1662">
        <v>275.12</v>
      </c>
    </row>
    <row r="1356" spans="1:5" x14ac:dyDescent="0.2">
      <c r="A1356" s="135">
        <v>1525</v>
      </c>
      <c r="B1356" s="1926" t="s">
        <v>10958</v>
      </c>
      <c r="C1356" s="1926" t="s">
        <v>44</v>
      </c>
      <c r="D1356" s="1926" t="s">
        <v>40</v>
      </c>
      <c r="E1356" s="1662">
        <v>317.77</v>
      </c>
    </row>
    <row r="1357" spans="1:5" x14ac:dyDescent="0.2">
      <c r="A1357" s="135">
        <v>38406</v>
      </c>
      <c r="B1357" s="1926" t="s">
        <v>10959</v>
      </c>
      <c r="C1357" s="1926" t="s">
        <v>44</v>
      </c>
      <c r="D1357" s="1926" t="s">
        <v>40</v>
      </c>
      <c r="E1357" s="1662">
        <v>346.77</v>
      </c>
    </row>
    <row r="1358" spans="1:5" x14ac:dyDescent="0.2">
      <c r="A1358" s="135">
        <v>38409</v>
      </c>
      <c r="B1358" s="1926" t="s">
        <v>10960</v>
      </c>
      <c r="C1358" s="1926" t="s">
        <v>44</v>
      </c>
      <c r="D1358" s="1926" t="s">
        <v>40</v>
      </c>
      <c r="E1358" s="1662">
        <v>369.93</v>
      </c>
    </row>
    <row r="1359" spans="1:5" x14ac:dyDescent="0.2">
      <c r="A1359" s="135">
        <v>34495</v>
      </c>
      <c r="B1359" s="1926" t="s">
        <v>10961</v>
      </c>
      <c r="C1359" s="1926" t="s">
        <v>44</v>
      </c>
      <c r="D1359" s="1926" t="s">
        <v>40</v>
      </c>
      <c r="E1359" s="1662">
        <v>286.87</v>
      </c>
    </row>
    <row r="1360" spans="1:5" x14ac:dyDescent="0.2">
      <c r="A1360" s="135">
        <v>11145</v>
      </c>
      <c r="B1360" s="1926" t="s">
        <v>10962</v>
      </c>
      <c r="C1360" s="1926" t="s">
        <v>44</v>
      </c>
      <c r="D1360" s="1926" t="s">
        <v>40</v>
      </c>
      <c r="E1360" s="1662">
        <v>329.15</v>
      </c>
    </row>
    <row r="1361" spans="1:5" x14ac:dyDescent="0.2">
      <c r="A1361" s="135">
        <v>34496</v>
      </c>
      <c r="B1361" s="1926" t="s">
        <v>10963</v>
      </c>
      <c r="C1361" s="1926" t="s">
        <v>44</v>
      </c>
      <c r="D1361" s="1926" t="s">
        <v>40</v>
      </c>
      <c r="E1361" s="1662">
        <v>299.64999999999998</v>
      </c>
    </row>
    <row r="1362" spans="1:5" x14ac:dyDescent="0.2">
      <c r="A1362" s="135">
        <v>34479</v>
      </c>
      <c r="B1362" s="1926" t="s">
        <v>10964</v>
      </c>
      <c r="C1362" s="1926" t="s">
        <v>44</v>
      </c>
      <c r="D1362" s="1926" t="s">
        <v>40</v>
      </c>
      <c r="E1362" s="1662">
        <v>341.57</v>
      </c>
    </row>
    <row r="1363" spans="1:5" x14ac:dyDescent="0.2">
      <c r="A1363" s="135">
        <v>34481</v>
      </c>
      <c r="B1363" s="1926" t="s">
        <v>10965</v>
      </c>
      <c r="C1363" s="1926" t="s">
        <v>44</v>
      </c>
      <c r="D1363" s="1926" t="s">
        <v>40</v>
      </c>
      <c r="E1363" s="1662">
        <v>384.01</v>
      </c>
    </row>
    <row r="1364" spans="1:5" x14ac:dyDescent="0.2">
      <c r="A1364" s="135">
        <v>34483</v>
      </c>
      <c r="B1364" s="1926" t="s">
        <v>10966</v>
      </c>
      <c r="C1364" s="1926" t="s">
        <v>44</v>
      </c>
      <c r="D1364" s="1926" t="s">
        <v>40</v>
      </c>
      <c r="E1364" s="1662">
        <v>455.43</v>
      </c>
    </row>
    <row r="1365" spans="1:5" x14ac:dyDescent="0.2">
      <c r="A1365" s="135">
        <v>34485</v>
      </c>
      <c r="B1365" s="1926" t="s">
        <v>10967</v>
      </c>
      <c r="C1365" s="1926" t="s">
        <v>44</v>
      </c>
      <c r="D1365" s="1926" t="s">
        <v>40</v>
      </c>
      <c r="E1365" s="1662">
        <v>584.82000000000005</v>
      </c>
    </row>
    <row r="1366" spans="1:5" x14ac:dyDescent="0.2">
      <c r="A1366" s="135">
        <v>34497</v>
      </c>
      <c r="B1366" s="1926" t="s">
        <v>10968</v>
      </c>
      <c r="C1366" s="1926" t="s">
        <v>44</v>
      </c>
      <c r="D1366" s="1926" t="s">
        <v>40</v>
      </c>
      <c r="E1366" s="1662">
        <v>807.36</v>
      </c>
    </row>
    <row r="1367" spans="1:5" x14ac:dyDescent="0.2">
      <c r="A1367" s="135">
        <v>14041</v>
      </c>
      <c r="B1367" s="1926" t="s">
        <v>10969</v>
      </c>
      <c r="C1367" s="1926" t="s">
        <v>44</v>
      </c>
      <c r="D1367" s="1926" t="s">
        <v>40</v>
      </c>
      <c r="E1367" s="1662">
        <v>253.03</v>
      </c>
    </row>
    <row r="1368" spans="1:5" x14ac:dyDescent="0.2">
      <c r="A1368" s="135">
        <v>1523</v>
      </c>
      <c r="B1368" s="1926" t="s">
        <v>10970</v>
      </c>
      <c r="C1368" s="1926" t="s">
        <v>44</v>
      </c>
      <c r="D1368" s="1926" t="s">
        <v>40</v>
      </c>
      <c r="E1368" s="1662">
        <v>255.45</v>
      </c>
    </row>
    <row r="1369" spans="1:5" x14ac:dyDescent="0.2">
      <c r="A1369" s="135">
        <v>14052</v>
      </c>
      <c r="B1369" s="1926" t="s">
        <v>10971</v>
      </c>
      <c r="C1369" s="1926" t="s">
        <v>39</v>
      </c>
      <c r="D1369" s="1926" t="s">
        <v>40</v>
      </c>
      <c r="E1369" s="1662">
        <v>7.11</v>
      </c>
    </row>
    <row r="1370" spans="1:5" x14ac:dyDescent="0.2">
      <c r="A1370" s="135">
        <v>14054</v>
      </c>
      <c r="B1370" s="1926" t="s">
        <v>10972</v>
      </c>
      <c r="C1370" s="1926" t="s">
        <v>39</v>
      </c>
      <c r="D1370" s="1926" t="s">
        <v>40</v>
      </c>
      <c r="E1370" s="1662">
        <v>9.24</v>
      </c>
    </row>
    <row r="1371" spans="1:5" x14ac:dyDescent="0.2">
      <c r="A1371" s="135">
        <v>14053</v>
      </c>
      <c r="B1371" s="1926" t="s">
        <v>10973</v>
      </c>
      <c r="C1371" s="1926" t="s">
        <v>39</v>
      </c>
      <c r="D1371" s="1926" t="s">
        <v>40</v>
      </c>
      <c r="E1371" s="1662">
        <v>7.22</v>
      </c>
    </row>
    <row r="1372" spans="1:5" x14ac:dyDescent="0.2">
      <c r="A1372" s="135">
        <v>2558</v>
      </c>
      <c r="B1372" s="1926" t="s">
        <v>10974</v>
      </c>
      <c r="C1372" s="1926" t="s">
        <v>39</v>
      </c>
      <c r="D1372" s="1926" t="s">
        <v>40</v>
      </c>
      <c r="E1372" s="1662">
        <v>5.43</v>
      </c>
    </row>
    <row r="1373" spans="1:5" x14ac:dyDescent="0.2">
      <c r="A1373" s="135">
        <v>2560</v>
      </c>
      <c r="B1373" s="1926" t="s">
        <v>10975</v>
      </c>
      <c r="C1373" s="1926" t="s">
        <v>39</v>
      </c>
      <c r="D1373" s="1926" t="s">
        <v>40</v>
      </c>
      <c r="E1373" s="1662">
        <v>9.56</v>
      </c>
    </row>
    <row r="1374" spans="1:5" x14ac:dyDescent="0.2">
      <c r="A1374" s="135">
        <v>2559</v>
      </c>
      <c r="B1374" s="1926" t="s">
        <v>10976</v>
      </c>
      <c r="C1374" s="1926" t="s">
        <v>39</v>
      </c>
      <c r="D1374" s="1926" t="s">
        <v>43</v>
      </c>
      <c r="E1374" s="1662">
        <v>7.65</v>
      </c>
    </row>
    <row r="1375" spans="1:5" x14ac:dyDescent="0.2">
      <c r="A1375" s="135">
        <v>2592</v>
      </c>
      <c r="B1375" s="1926" t="s">
        <v>10977</v>
      </c>
      <c r="C1375" s="1926" t="s">
        <v>39</v>
      </c>
      <c r="D1375" s="1926" t="s">
        <v>40</v>
      </c>
      <c r="E1375" s="1662">
        <v>126.82</v>
      </c>
    </row>
    <row r="1376" spans="1:5" x14ac:dyDescent="0.2">
      <c r="A1376" s="135">
        <v>2566</v>
      </c>
      <c r="B1376" s="1926" t="s">
        <v>10978</v>
      </c>
      <c r="C1376" s="1926" t="s">
        <v>39</v>
      </c>
      <c r="D1376" s="1926" t="s">
        <v>40</v>
      </c>
      <c r="E1376" s="1662">
        <v>12.76</v>
      </c>
    </row>
    <row r="1377" spans="1:5" x14ac:dyDescent="0.2">
      <c r="A1377" s="135">
        <v>2589</v>
      </c>
      <c r="B1377" s="1926" t="s">
        <v>10979</v>
      </c>
      <c r="C1377" s="1926" t="s">
        <v>39</v>
      </c>
      <c r="D1377" s="1926" t="s">
        <v>40</v>
      </c>
      <c r="E1377" s="1662">
        <v>16.96</v>
      </c>
    </row>
    <row r="1378" spans="1:5" x14ac:dyDescent="0.2">
      <c r="A1378" s="135">
        <v>2591</v>
      </c>
      <c r="B1378" s="1926" t="s">
        <v>10980</v>
      </c>
      <c r="C1378" s="1926" t="s">
        <v>39</v>
      </c>
      <c r="D1378" s="1926" t="s">
        <v>40</v>
      </c>
      <c r="E1378" s="1662">
        <v>6.18</v>
      </c>
    </row>
    <row r="1379" spans="1:5" x14ac:dyDescent="0.2">
      <c r="A1379" s="135">
        <v>2590</v>
      </c>
      <c r="B1379" s="1926" t="s">
        <v>10981</v>
      </c>
      <c r="C1379" s="1926" t="s">
        <v>39</v>
      </c>
      <c r="D1379" s="1926" t="s">
        <v>40</v>
      </c>
      <c r="E1379" s="1662">
        <v>10.41</v>
      </c>
    </row>
    <row r="1380" spans="1:5" x14ac:dyDescent="0.2">
      <c r="A1380" s="135">
        <v>2567</v>
      </c>
      <c r="B1380" s="1926" t="s">
        <v>10982</v>
      </c>
      <c r="C1380" s="1926" t="s">
        <v>39</v>
      </c>
      <c r="D1380" s="1926" t="s">
        <v>40</v>
      </c>
      <c r="E1380" s="1662">
        <v>24.88</v>
      </c>
    </row>
    <row r="1381" spans="1:5" x14ac:dyDescent="0.2">
      <c r="A1381" s="135">
        <v>2565</v>
      </c>
      <c r="B1381" s="1926" t="s">
        <v>10983</v>
      </c>
      <c r="C1381" s="1926" t="s">
        <v>39</v>
      </c>
      <c r="D1381" s="1926" t="s">
        <v>40</v>
      </c>
      <c r="E1381" s="1662">
        <v>6.19</v>
      </c>
    </row>
    <row r="1382" spans="1:5" x14ac:dyDescent="0.2">
      <c r="A1382" s="135">
        <v>2568</v>
      </c>
      <c r="B1382" s="1926" t="s">
        <v>10984</v>
      </c>
      <c r="C1382" s="1926" t="s">
        <v>39</v>
      </c>
      <c r="D1382" s="1926" t="s">
        <v>40</v>
      </c>
      <c r="E1382" s="1662">
        <v>69.09</v>
      </c>
    </row>
    <row r="1383" spans="1:5" x14ac:dyDescent="0.2">
      <c r="A1383" s="135">
        <v>2594</v>
      </c>
      <c r="B1383" s="1926" t="s">
        <v>10985</v>
      </c>
      <c r="C1383" s="1926" t="s">
        <v>39</v>
      </c>
      <c r="D1383" s="1926" t="s">
        <v>40</v>
      </c>
      <c r="E1383" s="1662">
        <v>115.1</v>
      </c>
    </row>
    <row r="1384" spans="1:5" x14ac:dyDescent="0.2">
      <c r="A1384" s="135">
        <v>2587</v>
      </c>
      <c r="B1384" s="1926" t="s">
        <v>10986</v>
      </c>
      <c r="C1384" s="1926" t="s">
        <v>39</v>
      </c>
      <c r="D1384" s="1926" t="s">
        <v>40</v>
      </c>
      <c r="E1384" s="1662">
        <v>19.61</v>
      </c>
    </row>
    <row r="1385" spans="1:5" x14ac:dyDescent="0.2">
      <c r="A1385" s="135">
        <v>2588</v>
      </c>
      <c r="B1385" s="1926" t="s">
        <v>10987</v>
      </c>
      <c r="C1385" s="1926" t="s">
        <v>39</v>
      </c>
      <c r="D1385" s="1926" t="s">
        <v>40</v>
      </c>
      <c r="E1385" s="1662">
        <v>15.58</v>
      </c>
    </row>
    <row r="1386" spans="1:5" x14ac:dyDescent="0.2">
      <c r="A1386" s="135">
        <v>2569</v>
      </c>
      <c r="B1386" s="1926" t="s">
        <v>10988</v>
      </c>
      <c r="C1386" s="1926" t="s">
        <v>39</v>
      </c>
      <c r="D1386" s="1926" t="s">
        <v>40</v>
      </c>
      <c r="E1386" s="1662">
        <v>6</v>
      </c>
    </row>
    <row r="1387" spans="1:5" x14ac:dyDescent="0.2">
      <c r="A1387" s="135">
        <v>2570</v>
      </c>
      <c r="B1387" s="1926" t="s">
        <v>10989</v>
      </c>
      <c r="C1387" s="1926" t="s">
        <v>39</v>
      </c>
      <c r="D1387" s="1926" t="s">
        <v>40</v>
      </c>
      <c r="E1387" s="1662">
        <v>10.06</v>
      </c>
    </row>
    <row r="1388" spans="1:5" x14ac:dyDescent="0.2">
      <c r="A1388" s="135">
        <v>2571</v>
      </c>
      <c r="B1388" s="1926" t="s">
        <v>10990</v>
      </c>
      <c r="C1388" s="1926" t="s">
        <v>39</v>
      </c>
      <c r="D1388" s="1926" t="s">
        <v>40</v>
      </c>
      <c r="E1388" s="1662">
        <v>29.88</v>
      </c>
    </row>
    <row r="1389" spans="1:5" x14ac:dyDescent="0.2">
      <c r="A1389" s="135">
        <v>2593</v>
      </c>
      <c r="B1389" s="1926" t="s">
        <v>10991</v>
      </c>
      <c r="C1389" s="1926" t="s">
        <v>39</v>
      </c>
      <c r="D1389" s="1926" t="s">
        <v>40</v>
      </c>
      <c r="E1389" s="1662">
        <v>6.4</v>
      </c>
    </row>
    <row r="1390" spans="1:5" x14ac:dyDescent="0.2">
      <c r="A1390" s="135">
        <v>2572</v>
      </c>
      <c r="B1390" s="1926" t="s">
        <v>10992</v>
      </c>
      <c r="C1390" s="1926" t="s">
        <v>39</v>
      </c>
      <c r="D1390" s="1926" t="s">
        <v>40</v>
      </c>
      <c r="E1390" s="1662">
        <v>88.36</v>
      </c>
    </row>
    <row r="1391" spans="1:5" x14ac:dyDescent="0.2">
      <c r="A1391" s="135">
        <v>2595</v>
      </c>
      <c r="B1391" s="1926" t="s">
        <v>10993</v>
      </c>
      <c r="C1391" s="1926" t="s">
        <v>39</v>
      </c>
      <c r="D1391" s="1926" t="s">
        <v>40</v>
      </c>
      <c r="E1391" s="1662">
        <v>137.86000000000001</v>
      </c>
    </row>
    <row r="1392" spans="1:5" x14ac:dyDescent="0.2">
      <c r="A1392" s="135">
        <v>2576</v>
      </c>
      <c r="B1392" s="1926" t="s">
        <v>10994</v>
      </c>
      <c r="C1392" s="1926" t="s">
        <v>39</v>
      </c>
      <c r="D1392" s="1926" t="s">
        <v>40</v>
      </c>
      <c r="E1392" s="1662">
        <v>23.5</v>
      </c>
    </row>
    <row r="1393" spans="1:5" x14ac:dyDescent="0.2">
      <c r="A1393" s="135">
        <v>2575</v>
      </c>
      <c r="B1393" s="1926" t="s">
        <v>10995</v>
      </c>
      <c r="C1393" s="1926" t="s">
        <v>39</v>
      </c>
      <c r="D1393" s="1926" t="s">
        <v>40</v>
      </c>
      <c r="E1393" s="1662">
        <v>17.66</v>
      </c>
    </row>
    <row r="1394" spans="1:5" x14ac:dyDescent="0.2">
      <c r="A1394" s="135">
        <v>2573</v>
      </c>
      <c r="B1394" s="1926" t="s">
        <v>10996</v>
      </c>
      <c r="C1394" s="1926" t="s">
        <v>39</v>
      </c>
      <c r="D1394" s="1926" t="s">
        <v>40</v>
      </c>
      <c r="E1394" s="1662">
        <v>7.33</v>
      </c>
    </row>
    <row r="1395" spans="1:5" x14ac:dyDescent="0.2">
      <c r="A1395" s="135">
        <v>2586</v>
      </c>
      <c r="B1395" s="1926" t="s">
        <v>10997</v>
      </c>
      <c r="C1395" s="1926" t="s">
        <v>39</v>
      </c>
      <c r="D1395" s="1926" t="s">
        <v>40</v>
      </c>
      <c r="E1395" s="1662">
        <v>11.89</v>
      </c>
    </row>
    <row r="1396" spans="1:5" x14ac:dyDescent="0.2">
      <c r="A1396" s="135">
        <v>2577</v>
      </c>
      <c r="B1396" s="1926" t="s">
        <v>10998</v>
      </c>
      <c r="C1396" s="1926" t="s">
        <v>39</v>
      </c>
      <c r="D1396" s="1926" t="s">
        <v>40</v>
      </c>
      <c r="E1396" s="1662">
        <v>31.84</v>
      </c>
    </row>
    <row r="1397" spans="1:5" x14ac:dyDescent="0.2">
      <c r="A1397" s="135">
        <v>2574</v>
      </c>
      <c r="B1397" s="1926" t="s">
        <v>10999</v>
      </c>
      <c r="C1397" s="1926" t="s">
        <v>39</v>
      </c>
      <c r="D1397" s="1926" t="s">
        <v>40</v>
      </c>
      <c r="E1397" s="1662">
        <v>7.38</v>
      </c>
    </row>
    <row r="1398" spans="1:5" x14ac:dyDescent="0.2">
      <c r="A1398" s="135">
        <v>2578</v>
      </c>
      <c r="B1398" s="1926" t="s">
        <v>11000</v>
      </c>
      <c r="C1398" s="1926" t="s">
        <v>39</v>
      </c>
      <c r="D1398" s="1926" t="s">
        <v>40</v>
      </c>
      <c r="E1398" s="1662">
        <v>99.42</v>
      </c>
    </row>
    <row r="1399" spans="1:5" x14ac:dyDescent="0.2">
      <c r="A1399" s="135">
        <v>2585</v>
      </c>
      <c r="B1399" s="1926" t="s">
        <v>11001</v>
      </c>
      <c r="C1399" s="1926" t="s">
        <v>39</v>
      </c>
      <c r="D1399" s="1926" t="s">
        <v>40</v>
      </c>
      <c r="E1399" s="1662">
        <v>136.43</v>
      </c>
    </row>
    <row r="1400" spans="1:5" x14ac:dyDescent="0.2">
      <c r="A1400" s="135">
        <v>12008</v>
      </c>
      <c r="B1400" s="1926" t="s">
        <v>11002</v>
      </c>
      <c r="C1400" s="1926" t="s">
        <v>39</v>
      </c>
      <c r="D1400" s="1926" t="s">
        <v>40</v>
      </c>
      <c r="E1400" s="1662">
        <v>73.2</v>
      </c>
    </row>
    <row r="1401" spans="1:5" x14ac:dyDescent="0.2">
      <c r="A1401" s="135">
        <v>2582</v>
      </c>
      <c r="B1401" s="1926" t="s">
        <v>11003</v>
      </c>
      <c r="C1401" s="1926" t="s">
        <v>39</v>
      </c>
      <c r="D1401" s="1926" t="s">
        <v>40</v>
      </c>
      <c r="E1401" s="1662">
        <v>21.8</v>
      </c>
    </row>
    <row r="1402" spans="1:5" x14ac:dyDescent="0.2">
      <c r="A1402" s="135">
        <v>2597</v>
      </c>
      <c r="B1402" s="1926" t="s">
        <v>11004</v>
      </c>
      <c r="C1402" s="1926" t="s">
        <v>39</v>
      </c>
      <c r="D1402" s="1926" t="s">
        <v>40</v>
      </c>
      <c r="E1402" s="1662">
        <v>18.68</v>
      </c>
    </row>
    <row r="1403" spans="1:5" x14ac:dyDescent="0.2">
      <c r="A1403" s="135">
        <v>2579</v>
      </c>
      <c r="B1403" s="1926" t="s">
        <v>11005</v>
      </c>
      <c r="C1403" s="1926" t="s">
        <v>39</v>
      </c>
      <c r="D1403" s="1926" t="s">
        <v>40</v>
      </c>
      <c r="E1403" s="1662">
        <v>8.89</v>
      </c>
    </row>
    <row r="1404" spans="1:5" x14ac:dyDescent="0.2">
      <c r="A1404" s="135">
        <v>2581</v>
      </c>
      <c r="B1404" s="1926" t="s">
        <v>11006</v>
      </c>
      <c r="C1404" s="1926" t="s">
        <v>39</v>
      </c>
      <c r="D1404" s="1926" t="s">
        <v>40</v>
      </c>
      <c r="E1404" s="1662">
        <v>11.38</v>
      </c>
    </row>
    <row r="1405" spans="1:5" x14ac:dyDescent="0.2">
      <c r="A1405" s="135">
        <v>2596</v>
      </c>
      <c r="B1405" s="1926" t="s">
        <v>11007</v>
      </c>
      <c r="C1405" s="1926" t="s">
        <v>39</v>
      </c>
      <c r="D1405" s="1926" t="s">
        <v>40</v>
      </c>
      <c r="E1405" s="1662">
        <v>33.659999999999997</v>
      </c>
    </row>
    <row r="1406" spans="1:5" x14ac:dyDescent="0.2">
      <c r="A1406" s="135">
        <v>2580</v>
      </c>
      <c r="B1406" s="1926" t="s">
        <v>11008</v>
      </c>
      <c r="C1406" s="1926" t="s">
        <v>39</v>
      </c>
      <c r="D1406" s="1926" t="s">
        <v>40</v>
      </c>
      <c r="E1406" s="1662">
        <v>9.75</v>
      </c>
    </row>
    <row r="1407" spans="1:5" x14ac:dyDescent="0.2">
      <c r="A1407" s="135">
        <v>2583</v>
      </c>
      <c r="B1407" s="1926" t="s">
        <v>11009</v>
      </c>
      <c r="C1407" s="1926" t="s">
        <v>39</v>
      </c>
      <c r="D1407" s="1926" t="s">
        <v>40</v>
      </c>
      <c r="E1407" s="1662">
        <v>81.87</v>
      </c>
    </row>
    <row r="1408" spans="1:5" x14ac:dyDescent="0.2">
      <c r="A1408" s="135">
        <v>2584</v>
      </c>
      <c r="B1408" s="1926" t="s">
        <v>11010</v>
      </c>
      <c r="C1408" s="1926" t="s">
        <v>39</v>
      </c>
      <c r="D1408" s="1926" t="s">
        <v>40</v>
      </c>
      <c r="E1408" s="1662">
        <v>136.29</v>
      </c>
    </row>
    <row r="1409" spans="1:5" x14ac:dyDescent="0.2">
      <c r="A1409" s="135">
        <v>12010</v>
      </c>
      <c r="B1409" s="1926" t="s">
        <v>11011</v>
      </c>
      <c r="C1409" s="1926" t="s">
        <v>39</v>
      </c>
      <c r="D1409" s="1926" t="s">
        <v>40</v>
      </c>
      <c r="E1409" s="1662">
        <v>6.32</v>
      </c>
    </row>
    <row r="1410" spans="1:5" x14ac:dyDescent="0.2">
      <c r="A1410" s="135">
        <v>39329</v>
      </c>
      <c r="B1410" s="1926" t="s">
        <v>11012</v>
      </c>
      <c r="C1410" s="1926" t="s">
        <v>39</v>
      </c>
      <c r="D1410" s="1926" t="s">
        <v>40</v>
      </c>
      <c r="E1410" s="1662">
        <v>6.61</v>
      </c>
    </row>
    <row r="1411" spans="1:5" x14ac:dyDescent="0.2">
      <c r="A1411" s="135">
        <v>39330</v>
      </c>
      <c r="B1411" s="1926" t="s">
        <v>11013</v>
      </c>
      <c r="C1411" s="1926" t="s">
        <v>39</v>
      </c>
      <c r="D1411" s="1926" t="s">
        <v>40</v>
      </c>
      <c r="E1411" s="1662">
        <v>6.95</v>
      </c>
    </row>
    <row r="1412" spans="1:5" x14ac:dyDescent="0.2">
      <c r="A1412" s="135">
        <v>39332</v>
      </c>
      <c r="B1412" s="1926" t="s">
        <v>11014</v>
      </c>
      <c r="C1412" s="1926" t="s">
        <v>39</v>
      </c>
      <c r="D1412" s="1926" t="s">
        <v>40</v>
      </c>
      <c r="E1412" s="1662">
        <v>7.77</v>
      </c>
    </row>
    <row r="1413" spans="1:5" x14ac:dyDescent="0.2">
      <c r="A1413" s="135">
        <v>39331</v>
      </c>
      <c r="B1413" s="1926" t="s">
        <v>11015</v>
      </c>
      <c r="C1413" s="1926" t="s">
        <v>39</v>
      </c>
      <c r="D1413" s="1926" t="s">
        <v>40</v>
      </c>
      <c r="E1413" s="1662">
        <v>6.18</v>
      </c>
    </row>
    <row r="1414" spans="1:5" x14ac:dyDescent="0.2">
      <c r="A1414" s="135">
        <v>39333</v>
      </c>
      <c r="B1414" s="1926" t="s">
        <v>11016</v>
      </c>
      <c r="C1414" s="1926" t="s">
        <v>39</v>
      </c>
      <c r="D1414" s="1926" t="s">
        <v>40</v>
      </c>
      <c r="E1414" s="1662">
        <v>6.03</v>
      </c>
    </row>
    <row r="1415" spans="1:5" x14ac:dyDescent="0.2">
      <c r="A1415" s="135">
        <v>39335</v>
      </c>
      <c r="B1415" s="1926" t="s">
        <v>11017</v>
      </c>
      <c r="C1415" s="1926" t="s">
        <v>39</v>
      </c>
      <c r="D1415" s="1926" t="s">
        <v>40</v>
      </c>
      <c r="E1415" s="1662">
        <v>6.97</v>
      </c>
    </row>
    <row r="1416" spans="1:5" x14ac:dyDescent="0.2">
      <c r="A1416" s="135">
        <v>39334</v>
      </c>
      <c r="B1416" s="1926" t="s">
        <v>11018</v>
      </c>
      <c r="C1416" s="1926" t="s">
        <v>39</v>
      </c>
      <c r="D1416" s="1926" t="s">
        <v>40</v>
      </c>
      <c r="E1416" s="1662">
        <v>5.54</v>
      </c>
    </row>
    <row r="1417" spans="1:5" x14ac:dyDescent="0.2">
      <c r="A1417" s="135">
        <v>12016</v>
      </c>
      <c r="B1417" s="1926" t="s">
        <v>11019</v>
      </c>
      <c r="C1417" s="1926" t="s">
        <v>39</v>
      </c>
      <c r="D1417" s="1926" t="s">
        <v>40</v>
      </c>
      <c r="E1417" s="1662">
        <v>6.96</v>
      </c>
    </row>
    <row r="1418" spans="1:5" x14ac:dyDescent="0.2">
      <c r="A1418" s="135">
        <v>12015</v>
      </c>
      <c r="B1418" s="1926" t="s">
        <v>11020</v>
      </c>
      <c r="C1418" s="1926" t="s">
        <v>39</v>
      </c>
      <c r="D1418" s="1926" t="s">
        <v>40</v>
      </c>
      <c r="E1418" s="1662">
        <v>8.1</v>
      </c>
    </row>
    <row r="1419" spans="1:5" x14ac:dyDescent="0.2">
      <c r="A1419" s="135">
        <v>12020</v>
      </c>
      <c r="B1419" s="1926" t="s">
        <v>11021</v>
      </c>
      <c r="C1419" s="1926" t="s">
        <v>39</v>
      </c>
      <c r="D1419" s="1926" t="s">
        <v>40</v>
      </c>
      <c r="E1419" s="1662">
        <v>6.96</v>
      </c>
    </row>
    <row r="1420" spans="1:5" x14ac:dyDescent="0.2">
      <c r="A1420" s="135">
        <v>12019</v>
      </c>
      <c r="B1420" s="1926" t="s">
        <v>11022</v>
      </c>
      <c r="C1420" s="1926" t="s">
        <v>39</v>
      </c>
      <c r="D1420" s="1926" t="s">
        <v>40</v>
      </c>
      <c r="E1420" s="1662">
        <v>8.1</v>
      </c>
    </row>
    <row r="1421" spans="1:5" x14ac:dyDescent="0.2">
      <c r="A1421" s="135">
        <v>39336</v>
      </c>
      <c r="B1421" s="1926" t="s">
        <v>11023</v>
      </c>
      <c r="C1421" s="1926" t="s">
        <v>39</v>
      </c>
      <c r="D1421" s="1926" t="s">
        <v>40</v>
      </c>
      <c r="E1421" s="1662">
        <v>6.95</v>
      </c>
    </row>
    <row r="1422" spans="1:5" x14ac:dyDescent="0.2">
      <c r="A1422" s="135">
        <v>39338</v>
      </c>
      <c r="B1422" s="1926" t="s">
        <v>11024</v>
      </c>
      <c r="C1422" s="1926" t="s">
        <v>39</v>
      </c>
      <c r="D1422" s="1926" t="s">
        <v>40</v>
      </c>
      <c r="E1422" s="1662">
        <v>7.77</v>
      </c>
    </row>
    <row r="1423" spans="1:5" x14ac:dyDescent="0.2">
      <c r="A1423" s="135">
        <v>39337</v>
      </c>
      <c r="B1423" s="1926" t="s">
        <v>11025</v>
      </c>
      <c r="C1423" s="1926" t="s">
        <v>39</v>
      </c>
      <c r="D1423" s="1926" t="s">
        <v>40</v>
      </c>
      <c r="E1423" s="1662">
        <v>6.18</v>
      </c>
    </row>
    <row r="1424" spans="1:5" x14ac:dyDescent="0.2">
      <c r="A1424" s="135">
        <v>39341</v>
      </c>
      <c r="B1424" s="1926" t="s">
        <v>11026</v>
      </c>
      <c r="C1424" s="1926" t="s">
        <v>39</v>
      </c>
      <c r="D1424" s="1926" t="s">
        <v>40</v>
      </c>
      <c r="E1424" s="1662">
        <v>10.130000000000001</v>
      </c>
    </row>
    <row r="1425" spans="1:5" x14ac:dyDescent="0.2">
      <c r="A1425" s="135">
        <v>39340</v>
      </c>
      <c r="B1425" s="1926" t="s">
        <v>11027</v>
      </c>
      <c r="C1425" s="1926" t="s">
        <v>39</v>
      </c>
      <c r="D1425" s="1926" t="s">
        <v>40</v>
      </c>
      <c r="E1425" s="1662">
        <v>7.43</v>
      </c>
    </row>
    <row r="1426" spans="1:5" x14ac:dyDescent="0.2">
      <c r="A1426" s="135">
        <v>12025</v>
      </c>
      <c r="B1426" s="1926" t="s">
        <v>11028</v>
      </c>
      <c r="C1426" s="1926" t="s">
        <v>39</v>
      </c>
      <c r="D1426" s="1926" t="s">
        <v>40</v>
      </c>
      <c r="E1426" s="1662">
        <v>7.68</v>
      </c>
    </row>
    <row r="1427" spans="1:5" x14ac:dyDescent="0.2">
      <c r="A1427" s="135">
        <v>39342</v>
      </c>
      <c r="B1427" s="1926" t="s">
        <v>11029</v>
      </c>
      <c r="C1427" s="1926" t="s">
        <v>39</v>
      </c>
      <c r="D1427" s="1926" t="s">
        <v>40</v>
      </c>
      <c r="E1427" s="1662">
        <v>10.130000000000001</v>
      </c>
    </row>
    <row r="1428" spans="1:5" x14ac:dyDescent="0.2">
      <c r="A1428" s="135">
        <v>39343</v>
      </c>
      <c r="B1428" s="1926" t="s">
        <v>11030</v>
      </c>
      <c r="C1428" s="1926" t="s">
        <v>39</v>
      </c>
      <c r="D1428" s="1926" t="s">
        <v>40</v>
      </c>
      <c r="E1428" s="1662">
        <v>8.5500000000000007</v>
      </c>
    </row>
    <row r="1429" spans="1:5" x14ac:dyDescent="0.2">
      <c r="A1429" s="135">
        <v>39345</v>
      </c>
      <c r="B1429" s="1926" t="s">
        <v>11031</v>
      </c>
      <c r="C1429" s="1926" t="s">
        <v>39</v>
      </c>
      <c r="D1429" s="1926" t="s">
        <v>40</v>
      </c>
      <c r="E1429" s="1662">
        <v>11.57</v>
      </c>
    </row>
    <row r="1430" spans="1:5" x14ac:dyDescent="0.2">
      <c r="A1430" s="135">
        <v>39344</v>
      </c>
      <c r="B1430" s="1926" t="s">
        <v>11032</v>
      </c>
      <c r="C1430" s="1926" t="s">
        <v>39</v>
      </c>
      <c r="D1430" s="1926" t="s">
        <v>40</v>
      </c>
      <c r="E1430" s="1662">
        <v>8.27</v>
      </c>
    </row>
    <row r="1431" spans="1:5" x14ac:dyDescent="0.2">
      <c r="A1431" s="135">
        <v>12623</v>
      </c>
      <c r="B1431" s="1926" t="s">
        <v>11033</v>
      </c>
      <c r="C1431" s="1926" t="s">
        <v>47</v>
      </c>
      <c r="D1431" s="1926" t="s">
        <v>46</v>
      </c>
      <c r="E1431" s="1662">
        <v>8.84</v>
      </c>
    </row>
    <row r="1432" spans="1:5" x14ac:dyDescent="0.2">
      <c r="A1432" s="135">
        <v>34498</v>
      </c>
      <c r="B1432" s="1926" t="s">
        <v>11034</v>
      </c>
      <c r="C1432" s="1926" t="s">
        <v>39</v>
      </c>
      <c r="D1432" s="1926" t="s">
        <v>40</v>
      </c>
      <c r="E1432" s="1662">
        <v>100.8</v>
      </c>
    </row>
    <row r="1433" spans="1:5" x14ac:dyDescent="0.2">
      <c r="A1433" s="135">
        <v>13244</v>
      </c>
      <c r="B1433" s="1926" t="s">
        <v>11035</v>
      </c>
      <c r="C1433" s="1926" t="s">
        <v>39</v>
      </c>
      <c r="D1433" s="1926" t="s">
        <v>43</v>
      </c>
      <c r="E1433" s="1662">
        <v>42.43</v>
      </c>
    </row>
    <row r="1434" spans="1:5" x14ac:dyDescent="0.2">
      <c r="A1434" s="135">
        <v>38998</v>
      </c>
      <c r="B1434" s="1926" t="s">
        <v>11036</v>
      </c>
      <c r="C1434" s="1926" t="s">
        <v>39</v>
      </c>
      <c r="D1434" s="1926" t="s">
        <v>46</v>
      </c>
      <c r="E1434" s="1662">
        <v>8.15</v>
      </c>
    </row>
    <row r="1435" spans="1:5" x14ac:dyDescent="0.2">
      <c r="A1435" s="135">
        <v>38999</v>
      </c>
      <c r="B1435" s="1926" t="s">
        <v>11037</v>
      </c>
      <c r="C1435" s="1926" t="s">
        <v>39</v>
      </c>
      <c r="D1435" s="1926" t="s">
        <v>46</v>
      </c>
      <c r="E1435" s="1662">
        <v>13.49</v>
      </c>
    </row>
    <row r="1436" spans="1:5" x14ac:dyDescent="0.2">
      <c r="A1436" s="135">
        <v>38996</v>
      </c>
      <c r="B1436" s="1926" t="s">
        <v>11038</v>
      </c>
      <c r="C1436" s="1926" t="s">
        <v>39</v>
      </c>
      <c r="D1436" s="1926" t="s">
        <v>46</v>
      </c>
      <c r="E1436" s="1662">
        <v>11.78</v>
      </c>
    </row>
    <row r="1437" spans="1:5" x14ac:dyDescent="0.2">
      <c r="A1437" s="135">
        <v>38997</v>
      </c>
      <c r="B1437" s="1926" t="s">
        <v>11039</v>
      </c>
      <c r="C1437" s="1926" t="s">
        <v>39</v>
      </c>
      <c r="D1437" s="1926" t="s">
        <v>46</v>
      </c>
      <c r="E1437" s="1662">
        <v>19.07</v>
      </c>
    </row>
    <row r="1438" spans="1:5" x14ac:dyDescent="0.2">
      <c r="A1438" s="135">
        <v>39862</v>
      </c>
      <c r="B1438" s="1926" t="s">
        <v>11040</v>
      </c>
      <c r="C1438" s="1926" t="s">
        <v>39</v>
      </c>
      <c r="D1438" s="1926" t="s">
        <v>46</v>
      </c>
      <c r="E1438" s="1662">
        <v>8.75</v>
      </c>
    </row>
    <row r="1439" spans="1:5" x14ac:dyDescent="0.2">
      <c r="A1439" s="135">
        <v>39863</v>
      </c>
      <c r="B1439" s="1926" t="s">
        <v>11041</v>
      </c>
      <c r="C1439" s="1926" t="s">
        <v>39</v>
      </c>
      <c r="D1439" s="1926" t="s">
        <v>46</v>
      </c>
      <c r="E1439" s="1662">
        <v>8.8800000000000008</v>
      </c>
    </row>
    <row r="1440" spans="1:5" x14ac:dyDescent="0.2">
      <c r="A1440" s="135">
        <v>39864</v>
      </c>
      <c r="B1440" s="1926" t="s">
        <v>11042</v>
      </c>
      <c r="C1440" s="1926" t="s">
        <v>39</v>
      </c>
      <c r="D1440" s="1926" t="s">
        <v>46</v>
      </c>
      <c r="E1440" s="1662">
        <v>11.02</v>
      </c>
    </row>
    <row r="1441" spans="1:5" x14ac:dyDescent="0.2">
      <c r="A1441" s="135">
        <v>39865</v>
      </c>
      <c r="B1441" s="1926" t="s">
        <v>11043</v>
      </c>
      <c r="C1441" s="1926" t="s">
        <v>39</v>
      </c>
      <c r="D1441" s="1926" t="s">
        <v>46</v>
      </c>
      <c r="E1441" s="1662">
        <v>15.53</v>
      </c>
    </row>
    <row r="1442" spans="1:5" x14ac:dyDescent="0.2">
      <c r="A1442" s="135">
        <v>2517</v>
      </c>
      <c r="B1442" s="1926" t="s">
        <v>11044</v>
      </c>
      <c r="C1442" s="1926" t="s">
        <v>39</v>
      </c>
      <c r="D1442" s="1926" t="s">
        <v>40</v>
      </c>
      <c r="E1442" s="1662">
        <v>13.58</v>
      </c>
    </row>
    <row r="1443" spans="1:5" x14ac:dyDescent="0.2">
      <c r="A1443" s="135">
        <v>2522</v>
      </c>
      <c r="B1443" s="1926" t="s">
        <v>11045</v>
      </c>
      <c r="C1443" s="1926" t="s">
        <v>39</v>
      </c>
      <c r="D1443" s="1926" t="s">
        <v>40</v>
      </c>
      <c r="E1443" s="1662">
        <v>8.77</v>
      </c>
    </row>
    <row r="1444" spans="1:5" x14ac:dyDescent="0.2">
      <c r="A1444" s="135">
        <v>2548</v>
      </c>
      <c r="B1444" s="1926" t="s">
        <v>11046</v>
      </c>
      <c r="C1444" s="1926" t="s">
        <v>39</v>
      </c>
      <c r="D1444" s="1926" t="s">
        <v>40</v>
      </c>
      <c r="E1444" s="1662">
        <v>5.39</v>
      </c>
    </row>
    <row r="1445" spans="1:5" x14ac:dyDescent="0.2">
      <c r="A1445" s="135">
        <v>2516</v>
      </c>
      <c r="B1445" s="1926" t="s">
        <v>11047</v>
      </c>
      <c r="C1445" s="1926" t="s">
        <v>39</v>
      </c>
      <c r="D1445" s="1926" t="s">
        <v>40</v>
      </c>
      <c r="E1445" s="1662">
        <v>7.04</v>
      </c>
    </row>
    <row r="1446" spans="1:5" x14ac:dyDescent="0.2">
      <c r="A1446" s="135">
        <v>2518</v>
      </c>
      <c r="B1446" s="1926" t="s">
        <v>11048</v>
      </c>
      <c r="C1446" s="1926" t="s">
        <v>39</v>
      </c>
      <c r="D1446" s="1926" t="s">
        <v>40</v>
      </c>
      <c r="E1446" s="1662">
        <v>64.63</v>
      </c>
    </row>
    <row r="1447" spans="1:5" x14ac:dyDescent="0.2">
      <c r="A1447" s="135">
        <v>2521</v>
      </c>
      <c r="B1447" s="1926" t="s">
        <v>11049</v>
      </c>
      <c r="C1447" s="1926" t="s">
        <v>39</v>
      </c>
      <c r="D1447" s="1926" t="s">
        <v>40</v>
      </c>
      <c r="E1447" s="1662">
        <v>27.51</v>
      </c>
    </row>
    <row r="1448" spans="1:5" x14ac:dyDescent="0.2">
      <c r="A1448" s="135">
        <v>2515</v>
      </c>
      <c r="B1448" s="1926" t="s">
        <v>11050</v>
      </c>
      <c r="C1448" s="1926" t="s">
        <v>39</v>
      </c>
      <c r="D1448" s="1926" t="s">
        <v>40</v>
      </c>
      <c r="E1448" s="1662">
        <v>5.86</v>
      </c>
    </row>
    <row r="1449" spans="1:5" x14ac:dyDescent="0.2">
      <c r="A1449" s="135">
        <v>2519</v>
      </c>
      <c r="B1449" s="1926" t="s">
        <v>11051</v>
      </c>
      <c r="C1449" s="1926" t="s">
        <v>39</v>
      </c>
      <c r="D1449" s="1926" t="s">
        <v>40</v>
      </c>
      <c r="E1449" s="1662">
        <v>77.930000000000007</v>
      </c>
    </row>
    <row r="1450" spans="1:5" x14ac:dyDescent="0.2">
      <c r="A1450" s="135">
        <v>2520</v>
      </c>
      <c r="B1450" s="1926" t="s">
        <v>11052</v>
      </c>
      <c r="C1450" s="1926" t="s">
        <v>39</v>
      </c>
      <c r="D1450" s="1926" t="s">
        <v>40</v>
      </c>
      <c r="E1450" s="1662">
        <v>143.44</v>
      </c>
    </row>
    <row r="1451" spans="1:5" x14ac:dyDescent="0.2">
      <c r="A1451" s="135">
        <v>1602</v>
      </c>
      <c r="B1451" s="1926" t="s">
        <v>11053</v>
      </c>
      <c r="C1451" s="1926" t="s">
        <v>39</v>
      </c>
      <c r="D1451" s="1926" t="s">
        <v>40</v>
      </c>
      <c r="E1451" s="1662">
        <v>30.27</v>
      </c>
    </row>
    <row r="1452" spans="1:5" x14ac:dyDescent="0.2">
      <c r="A1452" s="135">
        <v>1601</v>
      </c>
      <c r="B1452" s="1926" t="s">
        <v>11054</v>
      </c>
      <c r="C1452" s="1926" t="s">
        <v>39</v>
      </c>
      <c r="D1452" s="1926" t="s">
        <v>40</v>
      </c>
      <c r="E1452" s="1662">
        <v>26.98</v>
      </c>
    </row>
    <row r="1453" spans="1:5" x14ac:dyDescent="0.2">
      <c r="A1453" s="135">
        <v>1598</v>
      </c>
      <c r="B1453" s="1926" t="s">
        <v>11055</v>
      </c>
      <c r="C1453" s="1926" t="s">
        <v>39</v>
      </c>
      <c r="D1453" s="1926" t="s">
        <v>40</v>
      </c>
      <c r="E1453" s="1662">
        <v>7.98</v>
      </c>
    </row>
    <row r="1454" spans="1:5" x14ac:dyDescent="0.2">
      <c r="A1454" s="135">
        <v>1600</v>
      </c>
      <c r="B1454" s="1926" t="s">
        <v>11056</v>
      </c>
      <c r="C1454" s="1926" t="s">
        <v>39</v>
      </c>
      <c r="D1454" s="1926" t="s">
        <v>40</v>
      </c>
      <c r="E1454" s="1662">
        <v>11.78</v>
      </c>
    </row>
    <row r="1455" spans="1:5" x14ac:dyDescent="0.2">
      <c r="A1455" s="135">
        <v>1603</v>
      </c>
      <c r="B1455" s="1926" t="s">
        <v>11057</v>
      </c>
      <c r="C1455" s="1926" t="s">
        <v>39</v>
      </c>
      <c r="D1455" s="1926" t="s">
        <v>40</v>
      </c>
      <c r="E1455" s="1662">
        <v>45.71</v>
      </c>
    </row>
    <row r="1456" spans="1:5" x14ac:dyDescent="0.2">
      <c r="A1456" s="135">
        <v>1599</v>
      </c>
      <c r="B1456" s="1926" t="s">
        <v>11058</v>
      </c>
      <c r="C1456" s="1926" t="s">
        <v>39</v>
      </c>
      <c r="D1456" s="1926" t="s">
        <v>40</v>
      </c>
      <c r="E1456" s="1662">
        <v>9.26</v>
      </c>
    </row>
    <row r="1457" spans="1:5" x14ac:dyDescent="0.2">
      <c r="A1457" s="135">
        <v>1597</v>
      </c>
      <c r="B1457" s="1926" t="s">
        <v>11059</v>
      </c>
      <c r="C1457" s="1926" t="s">
        <v>39</v>
      </c>
      <c r="D1457" s="1926" t="s">
        <v>40</v>
      </c>
      <c r="E1457" s="1662">
        <v>7.5</v>
      </c>
    </row>
    <row r="1458" spans="1:5" x14ac:dyDescent="0.2">
      <c r="A1458" s="135">
        <v>39600</v>
      </c>
      <c r="B1458" s="1926" t="s">
        <v>11060</v>
      </c>
      <c r="C1458" s="1926" t="s">
        <v>39</v>
      </c>
      <c r="D1458" s="1926" t="s">
        <v>40</v>
      </c>
      <c r="E1458" s="1662">
        <v>10.15</v>
      </c>
    </row>
    <row r="1459" spans="1:5" x14ac:dyDescent="0.2">
      <c r="A1459" s="135">
        <v>39601</v>
      </c>
      <c r="B1459" s="1926" t="s">
        <v>11061</v>
      </c>
      <c r="C1459" s="1926" t="s">
        <v>39</v>
      </c>
      <c r="D1459" s="1926" t="s">
        <v>40</v>
      </c>
      <c r="E1459" s="1662">
        <v>17.649999999999999</v>
      </c>
    </row>
    <row r="1460" spans="1:5" x14ac:dyDescent="0.2">
      <c r="A1460" s="135">
        <v>39602</v>
      </c>
      <c r="B1460" s="1926" t="s">
        <v>11062</v>
      </c>
      <c r="C1460" s="1926" t="s">
        <v>39</v>
      </c>
      <c r="D1460" s="1926" t="s">
        <v>40</v>
      </c>
      <c r="E1460" s="1662">
        <v>1.1599999999999999</v>
      </c>
    </row>
    <row r="1461" spans="1:5" x14ac:dyDescent="0.2">
      <c r="A1461" s="135">
        <v>39603</v>
      </c>
      <c r="B1461" s="1926" t="s">
        <v>11063</v>
      </c>
      <c r="C1461" s="1926" t="s">
        <v>39</v>
      </c>
      <c r="D1461" s="1926" t="s">
        <v>40</v>
      </c>
      <c r="E1461" s="1662">
        <v>1.99</v>
      </c>
    </row>
    <row r="1462" spans="1:5" x14ac:dyDescent="0.2">
      <c r="A1462" s="135">
        <v>11821</v>
      </c>
      <c r="B1462" s="1926" t="s">
        <v>11064</v>
      </c>
      <c r="C1462" s="1926" t="s">
        <v>39</v>
      </c>
      <c r="D1462" s="1926" t="s">
        <v>40</v>
      </c>
      <c r="E1462" s="1662">
        <v>6.16</v>
      </c>
    </row>
    <row r="1463" spans="1:5" x14ac:dyDescent="0.2">
      <c r="A1463" s="135">
        <v>1562</v>
      </c>
      <c r="B1463" s="1926" t="s">
        <v>11065</v>
      </c>
      <c r="C1463" s="1926" t="s">
        <v>39</v>
      </c>
      <c r="D1463" s="1926" t="s">
        <v>40</v>
      </c>
      <c r="E1463" s="1662">
        <v>10.1</v>
      </c>
    </row>
    <row r="1464" spans="1:5" x14ac:dyDescent="0.2">
      <c r="A1464" s="135">
        <v>1563</v>
      </c>
      <c r="B1464" s="1926" t="s">
        <v>11066</v>
      </c>
      <c r="C1464" s="1926" t="s">
        <v>39</v>
      </c>
      <c r="D1464" s="1926" t="s">
        <v>40</v>
      </c>
      <c r="E1464" s="1662">
        <v>13.55</v>
      </c>
    </row>
    <row r="1465" spans="1:5" x14ac:dyDescent="0.2">
      <c r="A1465" s="135">
        <v>11856</v>
      </c>
      <c r="B1465" s="1926" t="s">
        <v>11067</v>
      </c>
      <c r="C1465" s="1926" t="s">
        <v>39</v>
      </c>
      <c r="D1465" s="1926" t="s">
        <v>43</v>
      </c>
      <c r="E1465" s="1662">
        <v>4.04</v>
      </c>
    </row>
    <row r="1466" spans="1:5" x14ac:dyDescent="0.2">
      <c r="A1466" s="135">
        <v>11857</v>
      </c>
      <c r="B1466" s="1926" t="s">
        <v>11068</v>
      </c>
      <c r="C1466" s="1926" t="s">
        <v>39</v>
      </c>
      <c r="D1466" s="1926" t="s">
        <v>40</v>
      </c>
      <c r="E1466" s="1662">
        <v>21.26</v>
      </c>
    </row>
    <row r="1467" spans="1:5" x14ac:dyDescent="0.2">
      <c r="A1467" s="135">
        <v>11858</v>
      </c>
      <c r="B1467" s="1926" t="s">
        <v>11069</v>
      </c>
      <c r="C1467" s="1926" t="s">
        <v>39</v>
      </c>
      <c r="D1467" s="1926" t="s">
        <v>40</v>
      </c>
      <c r="E1467" s="1662">
        <v>26.39</v>
      </c>
    </row>
    <row r="1468" spans="1:5" x14ac:dyDescent="0.2">
      <c r="A1468" s="135">
        <v>1539</v>
      </c>
      <c r="B1468" s="1926" t="s">
        <v>11070</v>
      </c>
      <c r="C1468" s="1926" t="s">
        <v>39</v>
      </c>
      <c r="D1468" s="1926" t="s">
        <v>40</v>
      </c>
      <c r="E1468" s="1662">
        <v>4.74</v>
      </c>
    </row>
    <row r="1469" spans="1:5" x14ac:dyDescent="0.2">
      <c r="A1469" s="135">
        <v>11859</v>
      </c>
      <c r="B1469" s="1926" t="s">
        <v>11071</v>
      </c>
      <c r="C1469" s="1926" t="s">
        <v>39</v>
      </c>
      <c r="D1469" s="1926" t="s">
        <v>40</v>
      </c>
      <c r="E1469" s="1662">
        <v>35.9</v>
      </c>
    </row>
    <row r="1470" spans="1:5" x14ac:dyDescent="0.2">
      <c r="A1470" s="135">
        <v>1550</v>
      </c>
      <c r="B1470" s="1926" t="s">
        <v>11072</v>
      </c>
      <c r="C1470" s="1926" t="s">
        <v>39</v>
      </c>
      <c r="D1470" s="1926" t="s">
        <v>40</v>
      </c>
      <c r="E1470" s="1662">
        <v>5.01</v>
      </c>
    </row>
    <row r="1471" spans="1:5" x14ac:dyDescent="0.2">
      <c r="A1471" s="135">
        <v>11854</v>
      </c>
      <c r="B1471" s="1926" t="s">
        <v>11073</v>
      </c>
      <c r="C1471" s="1926" t="s">
        <v>39</v>
      </c>
      <c r="D1471" s="1926" t="s">
        <v>40</v>
      </c>
      <c r="E1471" s="1662">
        <v>6.26</v>
      </c>
    </row>
    <row r="1472" spans="1:5" x14ac:dyDescent="0.2">
      <c r="A1472" s="135">
        <v>11862</v>
      </c>
      <c r="B1472" s="1926" t="s">
        <v>11074</v>
      </c>
      <c r="C1472" s="1926" t="s">
        <v>39</v>
      </c>
      <c r="D1472" s="1926" t="s">
        <v>40</v>
      </c>
      <c r="E1472" s="1662">
        <v>8.7799999999999994</v>
      </c>
    </row>
    <row r="1473" spans="1:5" x14ac:dyDescent="0.2">
      <c r="A1473" s="135">
        <v>11863</v>
      </c>
      <c r="B1473" s="1926" t="s">
        <v>11075</v>
      </c>
      <c r="C1473" s="1926" t="s">
        <v>39</v>
      </c>
      <c r="D1473" s="1926" t="s">
        <v>40</v>
      </c>
      <c r="E1473" s="1662">
        <v>3.54</v>
      </c>
    </row>
    <row r="1474" spans="1:5" x14ac:dyDescent="0.2">
      <c r="A1474" s="135">
        <v>11855</v>
      </c>
      <c r="B1474" s="1926" t="s">
        <v>11076</v>
      </c>
      <c r="C1474" s="1926" t="s">
        <v>39</v>
      </c>
      <c r="D1474" s="1926" t="s">
        <v>40</v>
      </c>
      <c r="E1474" s="1662">
        <v>13.1</v>
      </c>
    </row>
    <row r="1475" spans="1:5" x14ac:dyDescent="0.2">
      <c r="A1475" s="135">
        <v>11864</v>
      </c>
      <c r="B1475" s="1926" t="s">
        <v>11077</v>
      </c>
      <c r="C1475" s="1926" t="s">
        <v>39</v>
      </c>
      <c r="D1475" s="1926" t="s">
        <v>40</v>
      </c>
      <c r="E1475" s="1662">
        <v>19.809999999999999</v>
      </c>
    </row>
    <row r="1476" spans="1:5" x14ac:dyDescent="0.2">
      <c r="A1476" s="135">
        <v>2527</v>
      </c>
      <c r="B1476" s="1926" t="s">
        <v>11078</v>
      </c>
      <c r="C1476" s="1926" t="s">
        <v>39</v>
      </c>
      <c r="D1476" s="1926" t="s">
        <v>40</v>
      </c>
      <c r="E1476" s="1662">
        <v>4.8600000000000003</v>
      </c>
    </row>
    <row r="1477" spans="1:5" x14ac:dyDescent="0.2">
      <c r="A1477" s="135">
        <v>2526</v>
      </c>
      <c r="B1477" s="1926" t="s">
        <v>11079</v>
      </c>
      <c r="C1477" s="1926" t="s">
        <v>39</v>
      </c>
      <c r="D1477" s="1926" t="s">
        <v>40</v>
      </c>
      <c r="E1477" s="1662">
        <v>3.11</v>
      </c>
    </row>
    <row r="1478" spans="1:5" x14ac:dyDescent="0.2">
      <c r="A1478" s="135">
        <v>2487</v>
      </c>
      <c r="B1478" s="1926" t="s">
        <v>11080</v>
      </c>
      <c r="C1478" s="1926" t="s">
        <v>39</v>
      </c>
      <c r="D1478" s="1926" t="s">
        <v>40</v>
      </c>
      <c r="E1478" s="1662">
        <v>1.06</v>
      </c>
    </row>
    <row r="1479" spans="1:5" x14ac:dyDescent="0.2">
      <c r="A1479" s="135">
        <v>2483</v>
      </c>
      <c r="B1479" s="1926" t="s">
        <v>11081</v>
      </c>
      <c r="C1479" s="1926" t="s">
        <v>39</v>
      </c>
      <c r="D1479" s="1926" t="s">
        <v>40</v>
      </c>
      <c r="E1479" s="1662">
        <v>2.21</v>
      </c>
    </row>
    <row r="1480" spans="1:5" x14ac:dyDescent="0.2">
      <c r="A1480" s="135">
        <v>2528</v>
      </c>
      <c r="B1480" s="1926" t="s">
        <v>11082</v>
      </c>
      <c r="C1480" s="1926" t="s">
        <v>39</v>
      </c>
      <c r="D1480" s="1926" t="s">
        <v>40</v>
      </c>
      <c r="E1480" s="1662">
        <v>12.23</v>
      </c>
    </row>
    <row r="1481" spans="1:5" x14ac:dyDescent="0.2">
      <c r="A1481" s="135">
        <v>2489</v>
      </c>
      <c r="B1481" s="1926" t="s">
        <v>11083</v>
      </c>
      <c r="C1481" s="1926" t="s">
        <v>39</v>
      </c>
      <c r="D1481" s="1926" t="s">
        <v>40</v>
      </c>
      <c r="E1481" s="1662">
        <v>5.38</v>
      </c>
    </row>
    <row r="1482" spans="1:5" x14ac:dyDescent="0.2">
      <c r="A1482" s="135">
        <v>2488</v>
      </c>
      <c r="B1482" s="1926" t="s">
        <v>11084</v>
      </c>
      <c r="C1482" s="1926" t="s">
        <v>39</v>
      </c>
      <c r="D1482" s="1926" t="s">
        <v>40</v>
      </c>
      <c r="E1482" s="1662">
        <v>1.24</v>
      </c>
    </row>
    <row r="1483" spans="1:5" x14ac:dyDescent="0.2">
      <c r="A1483" s="135">
        <v>2484</v>
      </c>
      <c r="B1483" s="1926" t="s">
        <v>11085</v>
      </c>
      <c r="C1483" s="1926" t="s">
        <v>39</v>
      </c>
      <c r="D1483" s="1926" t="s">
        <v>40</v>
      </c>
      <c r="E1483" s="1662">
        <v>17.760000000000002</v>
      </c>
    </row>
    <row r="1484" spans="1:5" x14ac:dyDescent="0.2">
      <c r="A1484" s="135">
        <v>2485</v>
      </c>
      <c r="B1484" s="1926" t="s">
        <v>11086</v>
      </c>
      <c r="C1484" s="1926" t="s">
        <v>39</v>
      </c>
      <c r="D1484" s="1926" t="s">
        <v>40</v>
      </c>
      <c r="E1484" s="1662">
        <v>27.84</v>
      </c>
    </row>
    <row r="1485" spans="1:5" x14ac:dyDescent="0.2">
      <c r="A1485" s="135">
        <v>38005</v>
      </c>
      <c r="B1485" s="1926" t="s">
        <v>11087</v>
      </c>
      <c r="C1485" s="1926" t="s">
        <v>39</v>
      </c>
      <c r="D1485" s="1926" t="s">
        <v>40</v>
      </c>
      <c r="E1485" s="1662">
        <v>9.9700000000000006</v>
      </c>
    </row>
    <row r="1486" spans="1:5" x14ac:dyDescent="0.2">
      <c r="A1486" s="135">
        <v>38006</v>
      </c>
      <c r="B1486" s="1926" t="s">
        <v>11088</v>
      </c>
      <c r="C1486" s="1926" t="s">
        <v>39</v>
      </c>
      <c r="D1486" s="1926" t="s">
        <v>40</v>
      </c>
      <c r="E1486" s="1662">
        <v>12.24</v>
      </c>
    </row>
    <row r="1487" spans="1:5" x14ac:dyDescent="0.2">
      <c r="A1487" s="135">
        <v>38428</v>
      </c>
      <c r="B1487" s="1926" t="s">
        <v>11089</v>
      </c>
      <c r="C1487" s="1926" t="s">
        <v>39</v>
      </c>
      <c r="D1487" s="1926" t="s">
        <v>40</v>
      </c>
      <c r="E1487" s="1662">
        <v>11.46</v>
      </c>
    </row>
    <row r="1488" spans="1:5" x14ac:dyDescent="0.2">
      <c r="A1488" s="135">
        <v>38007</v>
      </c>
      <c r="B1488" s="1926" t="s">
        <v>11090</v>
      </c>
      <c r="C1488" s="1926" t="s">
        <v>39</v>
      </c>
      <c r="D1488" s="1926" t="s">
        <v>40</v>
      </c>
      <c r="E1488" s="1662">
        <v>18.73</v>
      </c>
    </row>
    <row r="1489" spans="1:5" x14ac:dyDescent="0.2">
      <c r="A1489" s="135">
        <v>38008</v>
      </c>
      <c r="B1489" s="1926" t="s">
        <v>11091</v>
      </c>
      <c r="C1489" s="1926" t="s">
        <v>39</v>
      </c>
      <c r="D1489" s="1926" t="s">
        <v>40</v>
      </c>
      <c r="E1489" s="1662">
        <v>75.44</v>
      </c>
    </row>
    <row r="1490" spans="1:5" x14ac:dyDescent="0.2">
      <c r="A1490" s="135">
        <v>38009</v>
      </c>
      <c r="B1490" s="1926" t="s">
        <v>11092</v>
      </c>
      <c r="C1490" s="1926" t="s">
        <v>39</v>
      </c>
      <c r="D1490" s="1926" t="s">
        <v>40</v>
      </c>
      <c r="E1490" s="1662">
        <v>92.2</v>
      </c>
    </row>
    <row r="1491" spans="1:5" x14ac:dyDescent="0.2">
      <c r="A1491" s="135">
        <v>39279</v>
      </c>
      <c r="B1491" s="1926" t="s">
        <v>11093</v>
      </c>
      <c r="C1491" s="1926" t="s">
        <v>39</v>
      </c>
      <c r="D1491" s="1926" t="s">
        <v>46</v>
      </c>
      <c r="E1491" s="1662">
        <v>9.5500000000000007</v>
      </c>
    </row>
    <row r="1492" spans="1:5" x14ac:dyDescent="0.2">
      <c r="A1492" s="135">
        <v>38845</v>
      </c>
      <c r="B1492" s="1926" t="s">
        <v>11094</v>
      </c>
      <c r="C1492" s="1926" t="s">
        <v>39</v>
      </c>
      <c r="D1492" s="1926" t="s">
        <v>46</v>
      </c>
      <c r="E1492" s="1662">
        <v>13.82</v>
      </c>
    </row>
    <row r="1493" spans="1:5" x14ac:dyDescent="0.2">
      <c r="A1493" s="135">
        <v>39280</v>
      </c>
      <c r="B1493" s="1926" t="s">
        <v>11095</v>
      </c>
      <c r="C1493" s="1926" t="s">
        <v>39</v>
      </c>
      <c r="D1493" s="1926" t="s">
        <v>46</v>
      </c>
      <c r="E1493" s="1662">
        <v>12.38</v>
      </c>
    </row>
    <row r="1494" spans="1:5" x14ac:dyDescent="0.2">
      <c r="A1494" s="135">
        <v>39281</v>
      </c>
      <c r="B1494" s="1926" t="s">
        <v>11096</v>
      </c>
      <c r="C1494" s="1926" t="s">
        <v>39</v>
      </c>
      <c r="D1494" s="1926" t="s">
        <v>46</v>
      </c>
      <c r="E1494" s="1662">
        <v>16.3</v>
      </c>
    </row>
    <row r="1495" spans="1:5" x14ac:dyDescent="0.2">
      <c r="A1495" s="135">
        <v>38849</v>
      </c>
      <c r="B1495" s="1926" t="s">
        <v>11097</v>
      </c>
      <c r="C1495" s="1926" t="s">
        <v>39</v>
      </c>
      <c r="D1495" s="1926" t="s">
        <v>46</v>
      </c>
      <c r="E1495" s="1662">
        <v>13.97</v>
      </c>
    </row>
    <row r="1496" spans="1:5" x14ac:dyDescent="0.2">
      <c r="A1496" s="135">
        <v>39282</v>
      </c>
      <c r="B1496" s="1926" t="s">
        <v>11098</v>
      </c>
      <c r="C1496" s="1926" t="s">
        <v>39</v>
      </c>
      <c r="D1496" s="1926" t="s">
        <v>46</v>
      </c>
      <c r="E1496" s="1662">
        <v>16.690000000000001</v>
      </c>
    </row>
    <row r="1497" spans="1:5" x14ac:dyDescent="0.2">
      <c r="A1497" s="135">
        <v>38852</v>
      </c>
      <c r="B1497" s="1926" t="s">
        <v>11099</v>
      </c>
      <c r="C1497" s="1926" t="s">
        <v>39</v>
      </c>
      <c r="D1497" s="1926" t="s">
        <v>46</v>
      </c>
      <c r="E1497" s="1662">
        <v>22.71</v>
      </c>
    </row>
    <row r="1498" spans="1:5" x14ac:dyDescent="0.2">
      <c r="A1498" s="135">
        <v>38844</v>
      </c>
      <c r="B1498" s="1926" t="s">
        <v>11100</v>
      </c>
      <c r="C1498" s="1926" t="s">
        <v>39</v>
      </c>
      <c r="D1498" s="1926" t="s">
        <v>46</v>
      </c>
      <c r="E1498" s="1662">
        <v>6.98</v>
      </c>
    </row>
    <row r="1499" spans="1:5" x14ac:dyDescent="0.2">
      <c r="A1499" s="135">
        <v>38846</v>
      </c>
      <c r="B1499" s="1926" t="s">
        <v>11101</v>
      </c>
      <c r="C1499" s="1926" t="s">
        <v>39</v>
      </c>
      <c r="D1499" s="1926" t="s">
        <v>46</v>
      </c>
      <c r="E1499" s="1662">
        <v>7.63</v>
      </c>
    </row>
    <row r="1500" spans="1:5" x14ac:dyDescent="0.2">
      <c r="A1500" s="135">
        <v>38847</v>
      </c>
      <c r="B1500" s="1926" t="s">
        <v>11102</v>
      </c>
      <c r="C1500" s="1926" t="s">
        <v>39</v>
      </c>
      <c r="D1500" s="1926" t="s">
        <v>46</v>
      </c>
      <c r="E1500" s="1662">
        <v>9.39</v>
      </c>
    </row>
    <row r="1501" spans="1:5" x14ac:dyDescent="0.2">
      <c r="A1501" s="135">
        <v>38850</v>
      </c>
      <c r="B1501" s="1926" t="s">
        <v>11103</v>
      </c>
      <c r="C1501" s="1926" t="s">
        <v>39</v>
      </c>
      <c r="D1501" s="1926" t="s">
        <v>46</v>
      </c>
      <c r="E1501" s="1662">
        <v>13.05</v>
      </c>
    </row>
    <row r="1502" spans="1:5" x14ac:dyDescent="0.2">
      <c r="A1502" s="135">
        <v>38848</v>
      </c>
      <c r="B1502" s="1926" t="s">
        <v>11104</v>
      </c>
      <c r="C1502" s="1926" t="s">
        <v>39</v>
      </c>
      <c r="D1502" s="1926" t="s">
        <v>46</v>
      </c>
      <c r="E1502" s="1662">
        <v>10.92</v>
      </c>
    </row>
    <row r="1503" spans="1:5" x14ac:dyDescent="0.2">
      <c r="A1503" s="135">
        <v>38851</v>
      </c>
      <c r="B1503" s="1926" t="s">
        <v>11105</v>
      </c>
      <c r="C1503" s="1926" t="s">
        <v>39</v>
      </c>
      <c r="D1503" s="1926" t="s">
        <v>46</v>
      </c>
      <c r="E1503" s="1662">
        <v>19.850000000000001</v>
      </c>
    </row>
    <row r="1504" spans="1:5" x14ac:dyDescent="0.2">
      <c r="A1504" s="135">
        <v>38860</v>
      </c>
      <c r="B1504" s="1926" t="s">
        <v>11106</v>
      </c>
      <c r="C1504" s="1926" t="s">
        <v>39</v>
      </c>
      <c r="D1504" s="1926" t="s">
        <v>46</v>
      </c>
      <c r="E1504" s="1662">
        <v>5.61</v>
      </c>
    </row>
    <row r="1505" spans="1:5" x14ac:dyDescent="0.2">
      <c r="A1505" s="135">
        <v>38861</v>
      </c>
      <c r="B1505" s="1926" t="s">
        <v>11107</v>
      </c>
      <c r="C1505" s="1926" t="s">
        <v>39</v>
      </c>
      <c r="D1505" s="1926" t="s">
        <v>46</v>
      </c>
      <c r="E1505" s="1662">
        <v>7.55</v>
      </c>
    </row>
    <row r="1506" spans="1:5" x14ac:dyDescent="0.2">
      <c r="A1506" s="135">
        <v>38862</v>
      </c>
      <c r="B1506" s="1926" t="s">
        <v>11108</v>
      </c>
      <c r="C1506" s="1926" t="s">
        <v>39</v>
      </c>
      <c r="D1506" s="1926" t="s">
        <v>46</v>
      </c>
      <c r="E1506" s="1662">
        <v>6.36</v>
      </c>
    </row>
    <row r="1507" spans="1:5" x14ac:dyDescent="0.2">
      <c r="A1507" s="135">
        <v>38863</v>
      </c>
      <c r="B1507" s="1926" t="s">
        <v>11109</v>
      </c>
      <c r="C1507" s="1926" t="s">
        <v>39</v>
      </c>
      <c r="D1507" s="1926" t="s">
        <v>46</v>
      </c>
      <c r="E1507" s="1662">
        <v>7.31</v>
      </c>
    </row>
    <row r="1508" spans="1:5" x14ac:dyDescent="0.2">
      <c r="A1508" s="135">
        <v>38865</v>
      </c>
      <c r="B1508" s="1926" t="s">
        <v>11110</v>
      </c>
      <c r="C1508" s="1926" t="s">
        <v>39</v>
      </c>
      <c r="D1508" s="1926" t="s">
        <v>46</v>
      </c>
      <c r="E1508" s="1662">
        <v>9.93</v>
      </c>
    </row>
    <row r="1509" spans="1:5" x14ac:dyDescent="0.2">
      <c r="A1509" s="135">
        <v>38864</v>
      </c>
      <c r="B1509" s="1926" t="s">
        <v>11111</v>
      </c>
      <c r="C1509" s="1926" t="s">
        <v>39</v>
      </c>
      <c r="D1509" s="1926" t="s">
        <v>46</v>
      </c>
      <c r="E1509" s="1662">
        <v>15.17</v>
      </c>
    </row>
    <row r="1510" spans="1:5" x14ac:dyDescent="0.2">
      <c r="A1510" s="135">
        <v>38866</v>
      </c>
      <c r="B1510" s="1926" t="s">
        <v>11112</v>
      </c>
      <c r="C1510" s="1926" t="s">
        <v>39</v>
      </c>
      <c r="D1510" s="1926" t="s">
        <v>46</v>
      </c>
      <c r="E1510" s="1662">
        <v>10.68</v>
      </c>
    </row>
    <row r="1511" spans="1:5" x14ac:dyDescent="0.2">
      <c r="A1511" s="135">
        <v>38868</v>
      </c>
      <c r="B1511" s="1926" t="s">
        <v>11113</v>
      </c>
      <c r="C1511" s="1926" t="s">
        <v>39</v>
      </c>
      <c r="D1511" s="1926" t="s">
        <v>46</v>
      </c>
      <c r="E1511" s="1662">
        <v>17.809999999999999</v>
      </c>
    </row>
    <row r="1512" spans="1:5" x14ac:dyDescent="0.2">
      <c r="A1512" s="135">
        <v>38853</v>
      </c>
      <c r="B1512" s="1926" t="s">
        <v>11114</v>
      </c>
      <c r="C1512" s="1926" t="s">
        <v>39</v>
      </c>
      <c r="D1512" s="1926" t="s">
        <v>46</v>
      </c>
      <c r="E1512" s="1662">
        <v>5.75</v>
      </c>
    </row>
    <row r="1513" spans="1:5" x14ac:dyDescent="0.2">
      <c r="A1513" s="135">
        <v>38854</v>
      </c>
      <c r="B1513" s="1926" t="s">
        <v>11115</v>
      </c>
      <c r="C1513" s="1926" t="s">
        <v>39</v>
      </c>
      <c r="D1513" s="1926" t="s">
        <v>46</v>
      </c>
      <c r="E1513" s="1662">
        <v>7.86</v>
      </c>
    </row>
    <row r="1514" spans="1:5" x14ac:dyDescent="0.2">
      <c r="A1514" s="135">
        <v>38855</v>
      </c>
      <c r="B1514" s="1926" t="s">
        <v>11116</v>
      </c>
      <c r="C1514" s="1926" t="s">
        <v>39</v>
      </c>
      <c r="D1514" s="1926" t="s">
        <v>46</v>
      </c>
      <c r="E1514" s="1662">
        <v>5.83</v>
      </c>
    </row>
    <row r="1515" spans="1:5" x14ac:dyDescent="0.2">
      <c r="A1515" s="135">
        <v>38856</v>
      </c>
      <c r="B1515" s="1926" t="s">
        <v>11117</v>
      </c>
      <c r="C1515" s="1926" t="s">
        <v>39</v>
      </c>
      <c r="D1515" s="1926" t="s">
        <v>46</v>
      </c>
      <c r="E1515" s="1662">
        <v>9.3699999999999992</v>
      </c>
    </row>
    <row r="1516" spans="1:5" x14ac:dyDescent="0.2">
      <c r="A1516" s="135">
        <v>38857</v>
      </c>
      <c r="B1516" s="1926" t="s">
        <v>11118</v>
      </c>
      <c r="C1516" s="1926" t="s">
        <v>39</v>
      </c>
      <c r="D1516" s="1926" t="s">
        <v>46</v>
      </c>
      <c r="E1516" s="1662">
        <v>12.39</v>
      </c>
    </row>
    <row r="1517" spans="1:5" x14ac:dyDescent="0.2">
      <c r="A1517" s="135">
        <v>38858</v>
      </c>
      <c r="B1517" s="1926" t="s">
        <v>11119</v>
      </c>
      <c r="C1517" s="1926" t="s">
        <v>39</v>
      </c>
      <c r="D1517" s="1926" t="s">
        <v>46</v>
      </c>
      <c r="E1517" s="1662">
        <v>11.27</v>
      </c>
    </row>
    <row r="1518" spans="1:5" x14ac:dyDescent="0.2">
      <c r="A1518" s="135">
        <v>38859</v>
      </c>
      <c r="B1518" s="1926" t="s">
        <v>11120</v>
      </c>
      <c r="C1518" s="1926" t="s">
        <v>39</v>
      </c>
      <c r="D1518" s="1926" t="s">
        <v>46</v>
      </c>
      <c r="E1518" s="1662">
        <v>18.25</v>
      </c>
    </row>
    <row r="1519" spans="1:5" x14ac:dyDescent="0.2">
      <c r="A1519" s="135">
        <v>1607</v>
      </c>
      <c r="B1519" s="1926" t="s">
        <v>11121</v>
      </c>
      <c r="C1519" s="1926" t="s">
        <v>57</v>
      </c>
      <c r="D1519" s="1926" t="s">
        <v>40</v>
      </c>
      <c r="E1519" s="1662">
        <v>0.15</v>
      </c>
    </row>
    <row r="1520" spans="1:5" x14ac:dyDescent="0.2">
      <c r="A1520" s="135">
        <v>11467</v>
      </c>
      <c r="B1520" s="1926" t="s">
        <v>11122</v>
      </c>
      <c r="C1520" s="1926" t="s">
        <v>39</v>
      </c>
      <c r="D1520" s="1926" t="s">
        <v>40</v>
      </c>
      <c r="E1520" s="1662">
        <v>16.27</v>
      </c>
    </row>
    <row r="1521" spans="1:5" x14ac:dyDescent="0.2">
      <c r="A1521" s="135">
        <v>38169</v>
      </c>
      <c r="B1521" s="1926" t="s">
        <v>11123</v>
      </c>
      <c r="C1521" s="1926" t="s">
        <v>57</v>
      </c>
      <c r="D1521" s="1926" t="s">
        <v>40</v>
      </c>
      <c r="E1521" s="1662">
        <v>57.7</v>
      </c>
    </row>
    <row r="1522" spans="1:5" x14ac:dyDescent="0.2">
      <c r="A1522" s="135">
        <v>6142</v>
      </c>
      <c r="B1522" s="1926" t="s">
        <v>11124</v>
      </c>
      <c r="C1522" s="1926" t="s">
        <v>39</v>
      </c>
      <c r="D1522" s="1926" t="s">
        <v>40</v>
      </c>
      <c r="E1522" s="1662">
        <v>5.24</v>
      </c>
    </row>
    <row r="1523" spans="1:5" x14ac:dyDescent="0.2">
      <c r="A1523" s="135">
        <v>11686</v>
      </c>
      <c r="B1523" s="1926" t="s">
        <v>11125</v>
      </c>
      <c r="C1523" s="1926" t="s">
        <v>39</v>
      </c>
      <c r="D1523" s="1926" t="s">
        <v>40</v>
      </c>
      <c r="E1523" s="1662">
        <v>7.27</v>
      </c>
    </row>
    <row r="1524" spans="1:5" x14ac:dyDescent="0.2">
      <c r="A1524" s="135">
        <v>37598</v>
      </c>
      <c r="B1524" s="1926" t="s">
        <v>11126</v>
      </c>
      <c r="C1524" s="1926" t="s">
        <v>39</v>
      </c>
      <c r="D1524" s="1926" t="s">
        <v>46</v>
      </c>
      <c r="E1524" s="1662">
        <v>22.05</v>
      </c>
    </row>
    <row r="1525" spans="1:5" x14ac:dyDescent="0.2">
      <c r="A1525" s="135">
        <v>25398</v>
      </c>
      <c r="B1525" s="1926" t="s">
        <v>11127</v>
      </c>
      <c r="C1525" s="1926" t="s">
        <v>39</v>
      </c>
      <c r="D1525" s="1926" t="s">
        <v>46</v>
      </c>
      <c r="E1525" s="1662">
        <v>2464.9499999999998</v>
      </c>
    </row>
    <row r="1526" spans="1:5" x14ac:dyDescent="0.2">
      <c r="A1526" s="135">
        <v>25399</v>
      </c>
      <c r="B1526" s="1926" t="s">
        <v>11128</v>
      </c>
      <c r="C1526" s="1926" t="s">
        <v>39</v>
      </c>
      <c r="D1526" s="1926" t="s">
        <v>46</v>
      </c>
      <c r="E1526" s="1662">
        <v>1496.44</v>
      </c>
    </row>
    <row r="1527" spans="1:5" x14ac:dyDescent="0.2">
      <c r="A1527" s="135">
        <v>10667</v>
      </c>
      <c r="B1527" s="1926" t="s">
        <v>11129</v>
      </c>
      <c r="C1527" s="1926" t="s">
        <v>39</v>
      </c>
      <c r="D1527" s="1926" t="s">
        <v>46</v>
      </c>
      <c r="E1527" s="1662">
        <v>11837.5</v>
      </c>
    </row>
    <row r="1528" spans="1:5" x14ac:dyDescent="0.2">
      <c r="A1528" s="135">
        <v>1613</v>
      </c>
      <c r="B1528" s="1926" t="s">
        <v>11130</v>
      </c>
      <c r="C1528" s="1926" t="s">
        <v>39</v>
      </c>
      <c r="D1528" s="1926" t="s">
        <v>46</v>
      </c>
      <c r="E1528" s="1662">
        <v>1260.76</v>
      </c>
    </row>
    <row r="1529" spans="1:5" x14ac:dyDescent="0.2">
      <c r="A1529" s="135">
        <v>1626</v>
      </c>
      <c r="B1529" s="1926" t="s">
        <v>11131</v>
      </c>
      <c r="C1529" s="1926" t="s">
        <v>39</v>
      </c>
      <c r="D1529" s="1926" t="s">
        <v>46</v>
      </c>
      <c r="E1529" s="1662">
        <v>1885.62</v>
      </c>
    </row>
    <row r="1530" spans="1:5" x14ac:dyDescent="0.2">
      <c r="A1530" s="135">
        <v>1625</v>
      </c>
      <c r="B1530" s="1926" t="s">
        <v>11132</v>
      </c>
      <c r="C1530" s="1926" t="s">
        <v>39</v>
      </c>
      <c r="D1530" s="1926" t="s">
        <v>46</v>
      </c>
      <c r="E1530" s="1662">
        <v>131.69999999999999</v>
      </c>
    </row>
    <row r="1531" spans="1:5" x14ac:dyDescent="0.2">
      <c r="A1531" s="135">
        <v>1622</v>
      </c>
      <c r="B1531" s="1926" t="s">
        <v>11133</v>
      </c>
      <c r="C1531" s="1926" t="s">
        <v>39</v>
      </c>
      <c r="D1531" s="1926" t="s">
        <v>46</v>
      </c>
      <c r="E1531" s="1662">
        <v>4255.07</v>
      </c>
    </row>
    <row r="1532" spans="1:5" x14ac:dyDescent="0.2">
      <c r="A1532" s="135">
        <v>1620</v>
      </c>
      <c r="B1532" s="1926" t="s">
        <v>11134</v>
      </c>
      <c r="C1532" s="1926" t="s">
        <v>39</v>
      </c>
      <c r="D1532" s="1926" t="s">
        <v>46</v>
      </c>
      <c r="E1532" s="1662">
        <v>277.43</v>
      </c>
    </row>
    <row r="1533" spans="1:5" x14ac:dyDescent="0.2">
      <c r="A1533" s="135">
        <v>1629</v>
      </c>
      <c r="B1533" s="1926" t="s">
        <v>11135</v>
      </c>
      <c r="C1533" s="1926" t="s">
        <v>39</v>
      </c>
      <c r="D1533" s="1926" t="s">
        <v>46</v>
      </c>
      <c r="E1533" s="1662">
        <v>10355.83</v>
      </c>
    </row>
    <row r="1534" spans="1:5" x14ac:dyDescent="0.2">
      <c r="A1534" s="135">
        <v>1627</v>
      </c>
      <c r="B1534" s="1926" t="s">
        <v>11136</v>
      </c>
      <c r="C1534" s="1926" t="s">
        <v>39</v>
      </c>
      <c r="D1534" s="1926" t="s">
        <v>46</v>
      </c>
      <c r="E1534" s="1662">
        <v>530.30999999999995</v>
      </c>
    </row>
    <row r="1535" spans="1:5" x14ac:dyDescent="0.2">
      <c r="A1535" s="135">
        <v>1623</v>
      </c>
      <c r="B1535" s="1926" t="s">
        <v>11137</v>
      </c>
      <c r="C1535" s="1926" t="s">
        <v>39</v>
      </c>
      <c r="D1535" s="1926" t="s">
        <v>46</v>
      </c>
      <c r="E1535" s="1662">
        <v>107.41</v>
      </c>
    </row>
    <row r="1536" spans="1:5" x14ac:dyDescent="0.2">
      <c r="A1536" s="135">
        <v>1619</v>
      </c>
      <c r="B1536" s="1926" t="s">
        <v>11138</v>
      </c>
      <c r="C1536" s="1926" t="s">
        <v>39</v>
      </c>
      <c r="D1536" s="1926" t="s">
        <v>46</v>
      </c>
      <c r="E1536" s="1662">
        <v>147.75</v>
      </c>
    </row>
    <row r="1537" spans="1:5" x14ac:dyDescent="0.2">
      <c r="A1537" s="135">
        <v>1630</v>
      </c>
      <c r="B1537" s="1926" t="s">
        <v>11139</v>
      </c>
      <c r="C1537" s="1926" t="s">
        <v>39</v>
      </c>
      <c r="D1537" s="1926" t="s">
        <v>46</v>
      </c>
      <c r="E1537" s="1662">
        <v>3253.09</v>
      </c>
    </row>
    <row r="1538" spans="1:5" x14ac:dyDescent="0.2">
      <c r="A1538" s="135">
        <v>1616</v>
      </c>
      <c r="B1538" s="1926" t="s">
        <v>11140</v>
      </c>
      <c r="C1538" s="1926" t="s">
        <v>39</v>
      </c>
      <c r="D1538" s="1926" t="s">
        <v>46</v>
      </c>
      <c r="E1538" s="1662">
        <v>5003.3100000000004</v>
      </c>
    </row>
    <row r="1539" spans="1:5" x14ac:dyDescent="0.2">
      <c r="A1539" s="135">
        <v>1614</v>
      </c>
      <c r="B1539" s="1926" t="s">
        <v>11141</v>
      </c>
      <c r="C1539" s="1926" t="s">
        <v>39</v>
      </c>
      <c r="D1539" s="1926" t="s">
        <v>46</v>
      </c>
      <c r="E1539" s="1662">
        <v>228.67</v>
      </c>
    </row>
    <row r="1540" spans="1:5" x14ac:dyDescent="0.2">
      <c r="A1540" s="135">
        <v>1617</v>
      </c>
      <c r="B1540" s="1926" t="s">
        <v>11142</v>
      </c>
      <c r="C1540" s="1926" t="s">
        <v>39</v>
      </c>
      <c r="D1540" s="1926" t="s">
        <v>46</v>
      </c>
      <c r="E1540" s="1662">
        <v>5972.87</v>
      </c>
    </row>
    <row r="1541" spans="1:5" x14ac:dyDescent="0.2">
      <c r="A1541" s="135">
        <v>1621</v>
      </c>
      <c r="B1541" s="1926" t="s">
        <v>11143</v>
      </c>
      <c r="C1541" s="1926" t="s">
        <v>39</v>
      </c>
      <c r="D1541" s="1926" t="s">
        <v>46</v>
      </c>
      <c r="E1541" s="1662">
        <v>408.97</v>
      </c>
    </row>
    <row r="1542" spans="1:5" x14ac:dyDescent="0.2">
      <c r="A1542" s="135">
        <v>1624</v>
      </c>
      <c r="B1542" s="1926" t="s">
        <v>11144</v>
      </c>
      <c r="C1542" s="1926" t="s">
        <v>39</v>
      </c>
      <c r="D1542" s="1926" t="s">
        <v>46</v>
      </c>
      <c r="E1542" s="1662">
        <v>14681.6</v>
      </c>
    </row>
    <row r="1543" spans="1:5" x14ac:dyDescent="0.2">
      <c r="A1543" s="135">
        <v>1615</v>
      </c>
      <c r="B1543" s="1926" t="s">
        <v>11145</v>
      </c>
      <c r="C1543" s="1926" t="s">
        <v>39</v>
      </c>
      <c r="D1543" s="1926" t="s">
        <v>46</v>
      </c>
      <c r="E1543" s="1662">
        <v>767.98</v>
      </c>
    </row>
    <row r="1544" spans="1:5" x14ac:dyDescent="0.2">
      <c r="A1544" s="135">
        <v>1612</v>
      </c>
      <c r="B1544" s="1926" t="s">
        <v>11146</v>
      </c>
      <c r="C1544" s="1926" t="s">
        <v>39</v>
      </c>
      <c r="D1544" s="1926" t="s">
        <v>46</v>
      </c>
      <c r="E1544" s="1662">
        <v>101.15</v>
      </c>
    </row>
    <row r="1545" spans="1:5" x14ac:dyDescent="0.2">
      <c r="A1545" s="135">
        <v>1618</v>
      </c>
      <c r="B1545" s="1926" t="s">
        <v>11147</v>
      </c>
      <c r="C1545" s="1926" t="s">
        <v>39</v>
      </c>
      <c r="D1545" s="1926" t="s">
        <v>46</v>
      </c>
      <c r="E1545" s="1662">
        <v>1055.31</v>
      </c>
    </row>
    <row r="1546" spans="1:5" x14ac:dyDescent="0.2">
      <c r="A1546" s="135">
        <v>14211</v>
      </c>
      <c r="B1546" s="1926" t="s">
        <v>11148</v>
      </c>
      <c r="C1546" s="1926" t="s">
        <v>39</v>
      </c>
      <c r="D1546" s="1926" t="s">
        <v>40</v>
      </c>
      <c r="E1546" s="1662">
        <v>33.11</v>
      </c>
    </row>
    <row r="1547" spans="1:5" x14ac:dyDescent="0.2">
      <c r="A1547" s="135">
        <v>34500</v>
      </c>
      <c r="B1547" s="1926" t="s">
        <v>11149</v>
      </c>
      <c r="C1547" s="1926" t="s">
        <v>42</v>
      </c>
      <c r="D1547" s="1926" t="s">
        <v>40</v>
      </c>
      <c r="E1547" s="1662">
        <v>107.91</v>
      </c>
    </row>
    <row r="1548" spans="1:5" x14ac:dyDescent="0.2">
      <c r="A1548" s="135">
        <v>40934</v>
      </c>
      <c r="B1548" s="1926" t="s">
        <v>11150</v>
      </c>
      <c r="C1548" s="1926" t="s">
        <v>51</v>
      </c>
      <c r="D1548" s="1926" t="s">
        <v>40</v>
      </c>
      <c r="E1548" s="1662">
        <v>19240.37</v>
      </c>
    </row>
    <row r="1549" spans="1:5" x14ac:dyDescent="0.2">
      <c r="A1549" s="135">
        <v>5328</v>
      </c>
      <c r="B1549" s="1926" t="s">
        <v>11151</v>
      </c>
      <c r="C1549" s="1926" t="s">
        <v>39</v>
      </c>
      <c r="D1549" s="1926" t="s">
        <v>40</v>
      </c>
      <c r="E1549" s="1662">
        <v>4.0199999999999996</v>
      </c>
    </row>
    <row r="1550" spans="1:5" x14ac:dyDescent="0.2">
      <c r="A1550" s="135">
        <v>38200</v>
      </c>
      <c r="B1550" s="1926" t="s">
        <v>11152</v>
      </c>
      <c r="C1550" s="1926" t="s">
        <v>58</v>
      </c>
      <c r="D1550" s="1926" t="s">
        <v>40</v>
      </c>
      <c r="E1550" s="1662">
        <v>494.26</v>
      </c>
    </row>
    <row r="1551" spans="1:5" x14ac:dyDescent="0.2">
      <c r="A1551" s="135">
        <v>39269</v>
      </c>
      <c r="B1551" s="1926" t="s">
        <v>11153</v>
      </c>
      <c r="C1551" s="1926" t="s">
        <v>47</v>
      </c>
      <c r="D1551" s="1926" t="s">
        <v>40</v>
      </c>
      <c r="E1551" s="1662">
        <v>0.98</v>
      </c>
    </row>
    <row r="1552" spans="1:5" x14ac:dyDescent="0.2">
      <c r="A1552" s="135">
        <v>11889</v>
      </c>
      <c r="B1552" s="1926" t="s">
        <v>11154</v>
      </c>
      <c r="C1552" s="1926" t="s">
        <v>47</v>
      </c>
      <c r="D1552" s="1926" t="s">
        <v>40</v>
      </c>
      <c r="E1552" s="1662">
        <v>1.36</v>
      </c>
    </row>
    <row r="1553" spans="1:5" x14ac:dyDescent="0.2">
      <c r="A1553" s="135">
        <v>39270</v>
      </c>
      <c r="B1553" s="1926" t="s">
        <v>11155</v>
      </c>
      <c r="C1553" s="1926" t="s">
        <v>47</v>
      </c>
      <c r="D1553" s="1926" t="s">
        <v>40</v>
      </c>
      <c r="E1553" s="1662">
        <v>1.62</v>
      </c>
    </row>
    <row r="1554" spans="1:5" x14ac:dyDescent="0.2">
      <c r="A1554" s="135">
        <v>11890</v>
      </c>
      <c r="B1554" s="1926" t="s">
        <v>11156</v>
      </c>
      <c r="C1554" s="1926" t="s">
        <v>47</v>
      </c>
      <c r="D1554" s="1926" t="s">
        <v>40</v>
      </c>
      <c r="E1554" s="1662">
        <v>2.11</v>
      </c>
    </row>
    <row r="1555" spans="1:5" x14ac:dyDescent="0.2">
      <c r="A1555" s="135">
        <v>11891</v>
      </c>
      <c r="B1555" s="1926" t="s">
        <v>11157</v>
      </c>
      <c r="C1555" s="1926" t="s">
        <v>47</v>
      </c>
      <c r="D1555" s="1926" t="s">
        <v>40</v>
      </c>
      <c r="E1555" s="1662">
        <v>3.48</v>
      </c>
    </row>
    <row r="1556" spans="1:5" x14ac:dyDescent="0.2">
      <c r="A1556" s="135">
        <v>11892</v>
      </c>
      <c r="B1556" s="1926" t="s">
        <v>11158</v>
      </c>
      <c r="C1556" s="1926" t="s">
        <v>47</v>
      </c>
      <c r="D1556" s="1926" t="s">
        <v>40</v>
      </c>
      <c r="E1556" s="1662">
        <v>5.36</v>
      </c>
    </row>
    <row r="1557" spans="1:5" x14ac:dyDescent="0.2">
      <c r="A1557" s="135">
        <v>37601</v>
      </c>
      <c r="B1557" s="1926" t="s">
        <v>11159</v>
      </c>
      <c r="C1557" s="1926" t="s">
        <v>47</v>
      </c>
      <c r="D1557" s="1926" t="s">
        <v>46</v>
      </c>
      <c r="E1557" s="1662">
        <v>4.9000000000000004</v>
      </c>
    </row>
    <row r="1558" spans="1:5" x14ac:dyDescent="0.2">
      <c r="A1558" s="135">
        <v>1634</v>
      </c>
      <c r="B1558" s="1926" t="s">
        <v>11160</v>
      </c>
      <c r="C1558" s="1926" t="s">
        <v>47</v>
      </c>
      <c r="D1558" s="1926" t="s">
        <v>46</v>
      </c>
      <c r="E1558" s="1662">
        <v>5.0599999999999996</v>
      </c>
    </row>
    <row r="1559" spans="1:5" x14ac:dyDescent="0.2">
      <c r="A1559" s="135">
        <v>5086</v>
      </c>
      <c r="B1559" s="1926" t="s">
        <v>11161</v>
      </c>
      <c r="C1559" s="1926" t="s">
        <v>48</v>
      </c>
      <c r="D1559" s="1926" t="s">
        <v>40</v>
      </c>
      <c r="E1559" s="1662">
        <v>23.89</v>
      </c>
    </row>
    <row r="1560" spans="1:5" x14ac:dyDescent="0.2">
      <c r="A1560" s="135">
        <v>11280</v>
      </c>
      <c r="B1560" s="1926" t="s">
        <v>11162</v>
      </c>
      <c r="C1560" s="1926" t="s">
        <v>39</v>
      </c>
      <c r="D1560" s="1926" t="s">
        <v>40</v>
      </c>
      <c r="E1560" s="1662">
        <v>8184.33</v>
      </c>
    </row>
    <row r="1561" spans="1:5" x14ac:dyDescent="0.2">
      <c r="A1561" s="135">
        <v>40519</v>
      </c>
      <c r="B1561" s="1926" t="s">
        <v>11163</v>
      </c>
      <c r="C1561" s="1926" t="s">
        <v>39</v>
      </c>
      <c r="D1561" s="1926" t="s">
        <v>40</v>
      </c>
      <c r="E1561" s="1662">
        <v>67468.88</v>
      </c>
    </row>
    <row r="1562" spans="1:5" x14ac:dyDescent="0.2">
      <c r="A1562" s="135">
        <v>39869</v>
      </c>
      <c r="B1562" s="1926" t="s">
        <v>11164</v>
      </c>
      <c r="C1562" s="1926" t="s">
        <v>39</v>
      </c>
      <c r="D1562" s="1926" t="s">
        <v>46</v>
      </c>
      <c r="E1562" s="1662">
        <v>8.69</v>
      </c>
    </row>
    <row r="1563" spans="1:5" x14ac:dyDescent="0.2">
      <c r="A1563" s="135">
        <v>39870</v>
      </c>
      <c r="B1563" s="1926" t="s">
        <v>11165</v>
      </c>
      <c r="C1563" s="1926" t="s">
        <v>39</v>
      </c>
      <c r="D1563" s="1926" t="s">
        <v>46</v>
      </c>
      <c r="E1563" s="1662">
        <v>13.3</v>
      </c>
    </row>
    <row r="1564" spans="1:5" x14ac:dyDescent="0.2">
      <c r="A1564" s="135">
        <v>39871</v>
      </c>
      <c r="B1564" s="1926" t="s">
        <v>11166</v>
      </c>
      <c r="C1564" s="1926" t="s">
        <v>39</v>
      </c>
      <c r="D1564" s="1926" t="s">
        <v>46</v>
      </c>
      <c r="E1564" s="1662">
        <v>14.91</v>
      </c>
    </row>
    <row r="1565" spans="1:5" x14ac:dyDescent="0.2">
      <c r="A1565" s="135">
        <v>12722</v>
      </c>
      <c r="B1565" s="1926" t="s">
        <v>11167</v>
      </c>
      <c r="C1565" s="1926" t="s">
        <v>39</v>
      </c>
      <c r="D1565" s="1926" t="s">
        <v>46</v>
      </c>
      <c r="E1565" s="1662">
        <v>498.87</v>
      </c>
    </row>
    <row r="1566" spans="1:5" x14ac:dyDescent="0.2">
      <c r="A1566" s="135">
        <v>12714</v>
      </c>
      <c r="B1566" s="1926" t="s">
        <v>11168</v>
      </c>
      <c r="C1566" s="1926" t="s">
        <v>39</v>
      </c>
      <c r="D1566" s="1926" t="s">
        <v>46</v>
      </c>
      <c r="E1566" s="1662">
        <v>3.25</v>
      </c>
    </row>
    <row r="1567" spans="1:5" x14ac:dyDescent="0.2">
      <c r="A1567" s="135">
        <v>12715</v>
      </c>
      <c r="B1567" s="1926" t="s">
        <v>11169</v>
      </c>
      <c r="C1567" s="1926" t="s">
        <v>39</v>
      </c>
      <c r="D1567" s="1926" t="s">
        <v>46</v>
      </c>
      <c r="E1567" s="1662">
        <v>7.35</v>
      </c>
    </row>
    <row r="1568" spans="1:5" x14ac:dyDescent="0.2">
      <c r="A1568" s="135">
        <v>12716</v>
      </c>
      <c r="B1568" s="1926" t="s">
        <v>11170</v>
      </c>
      <c r="C1568" s="1926" t="s">
        <v>39</v>
      </c>
      <c r="D1568" s="1926" t="s">
        <v>46</v>
      </c>
      <c r="E1568" s="1662">
        <v>12.62</v>
      </c>
    </row>
    <row r="1569" spans="1:5" x14ac:dyDescent="0.2">
      <c r="A1569" s="135">
        <v>12717</v>
      </c>
      <c r="B1569" s="1926" t="s">
        <v>11171</v>
      </c>
      <c r="C1569" s="1926" t="s">
        <v>39</v>
      </c>
      <c r="D1569" s="1926" t="s">
        <v>46</v>
      </c>
      <c r="E1569" s="1662">
        <v>24.82</v>
      </c>
    </row>
    <row r="1570" spans="1:5" x14ac:dyDescent="0.2">
      <c r="A1570" s="135">
        <v>12718</v>
      </c>
      <c r="B1570" s="1926" t="s">
        <v>11172</v>
      </c>
      <c r="C1570" s="1926" t="s">
        <v>39</v>
      </c>
      <c r="D1570" s="1926" t="s">
        <v>46</v>
      </c>
      <c r="E1570" s="1662">
        <v>38.090000000000003</v>
      </c>
    </row>
    <row r="1571" spans="1:5" x14ac:dyDescent="0.2">
      <c r="A1571" s="135">
        <v>12719</v>
      </c>
      <c r="B1571" s="1926" t="s">
        <v>11173</v>
      </c>
      <c r="C1571" s="1926" t="s">
        <v>39</v>
      </c>
      <c r="D1571" s="1926" t="s">
        <v>46</v>
      </c>
      <c r="E1571" s="1662">
        <v>60.46</v>
      </c>
    </row>
    <row r="1572" spans="1:5" x14ac:dyDescent="0.2">
      <c r="A1572" s="135">
        <v>12720</v>
      </c>
      <c r="B1572" s="1926" t="s">
        <v>11174</v>
      </c>
      <c r="C1572" s="1926" t="s">
        <v>39</v>
      </c>
      <c r="D1572" s="1926" t="s">
        <v>46</v>
      </c>
      <c r="E1572" s="1662">
        <v>210.54</v>
      </c>
    </row>
    <row r="1573" spans="1:5" x14ac:dyDescent="0.2">
      <c r="A1573" s="135">
        <v>12721</v>
      </c>
      <c r="B1573" s="1926" t="s">
        <v>11175</v>
      </c>
      <c r="C1573" s="1926" t="s">
        <v>39</v>
      </c>
      <c r="D1573" s="1926" t="s">
        <v>46</v>
      </c>
      <c r="E1573" s="1662">
        <v>201.89</v>
      </c>
    </row>
    <row r="1574" spans="1:5" x14ac:dyDescent="0.2">
      <c r="A1574" s="135">
        <v>3468</v>
      </c>
      <c r="B1574" s="1926" t="s">
        <v>11176</v>
      </c>
      <c r="C1574" s="1926" t="s">
        <v>39</v>
      </c>
      <c r="D1574" s="1926" t="s">
        <v>40</v>
      </c>
      <c r="E1574" s="1662">
        <v>23.58</v>
      </c>
    </row>
    <row r="1575" spans="1:5" x14ac:dyDescent="0.2">
      <c r="A1575" s="135">
        <v>3465</v>
      </c>
      <c r="B1575" s="1926" t="s">
        <v>11177</v>
      </c>
      <c r="C1575" s="1926" t="s">
        <v>39</v>
      </c>
      <c r="D1575" s="1926" t="s">
        <v>40</v>
      </c>
      <c r="E1575" s="1662">
        <v>23.58</v>
      </c>
    </row>
    <row r="1576" spans="1:5" x14ac:dyDescent="0.2">
      <c r="A1576" s="135">
        <v>12403</v>
      </c>
      <c r="B1576" s="1926" t="s">
        <v>11178</v>
      </c>
      <c r="C1576" s="1926" t="s">
        <v>39</v>
      </c>
      <c r="D1576" s="1926" t="s">
        <v>40</v>
      </c>
      <c r="E1576" s="1662">
        <v>16.8</v>
      </c>
    </row>
    <row r="1577" spans="1:5" x14ac:dyDescent="0.2">
      <c r="A1577" s="135">
        <v>3463</v>
      </c>
      <c r="B1577" s="1926" t="s">
        <v>11179</v>
      </c>
      <c r="C1577" s="1926" t="s">
        <v>39</v>
      </c>
      <c r="D1577" s="1926" t="s">
        <v>40</v>
      </c>
      <c r="E1577" s="1662">
        <v>9.82</v>
      </c>
    </row>
    <row r="1578" spans="1:5" x14ac:dyDescent="0.2">
      <c r="A1578" s="135">
        <v>3464</v>
      </c>
      <c r="B1578" s="1926" t="s">
        <v>11180</v>
      </c>
      <c r="C1578" s="1926" t="s">
        <v>39</v>
      </c>
      <c r="D1578" s="1926" t="s">
        <v>40</v>
      </c>
      <c r="E1578" s="1662">
        <v>9.82</v>
      </c>
    </row>
    <row r="1579" spans="1:5" x14ac:dyDescent="0.2">
      <c r="A1579" s="135">
        <v>3466</v>
      </c>
      <c r="B1579" s="1926" t="s">
        <v>11181</v>
      </c>
      <c r="C1579" s="1926" t="s">
        <v>39</v>
      </c>
      <c r="D1579" s="1926" t="s">
        <v>40</v>
      </c>
      <c r="E1579" s="1662">
        <v>59.88</v>
      </c>
    </row>
    <row r="1580" spans="1:5" x14ac:dyDescent="0.2">
      <c r="A1580" s="135">
        <v>3467</v>
      </c>
      <c r="B1580" s="1926" t="s">
        <v>11182</v>
      </c>
      <c r="C1580" s="1926" t="s">
        <v>39</v>
      </c>
      <c r="D1580" s="1926" t="s">
        <v>40</v>
      </c>
      <c r="E1580" s="1662">
        <v>33.82</v>
      </c>
    </row>
    <row r="1581" spans="1:5" x14ac:dyDescent="0.2">
      <c r="A1581" s="135">
        <v>3462</v>
      </c>
      <c r="B1581" s="1926" t="s">
        <v>11183</v>
      </c>
      <c r="C1581" s="1926" t="s">
        <v>39</v>
      </c>
      <c r="D1581" s="1926" t="s">
        <v>40</v>
      </c>
      <c r="E1581" s="1662">
        <v>6.48</v>
      </c>
    </row>
    <row r="1582" spans="1:5" x14ac:dyDescent="0.2">
      <c r="A1582" s="135">
        <v>3446</v>
      </c>
      <c r="B1582" s="1926" t="s">
        <v>11184</v>
      </c>
      <c r="C1582" s="1926" t="s">
        <v>39</v>
      </c>
      <c r="D1582" s="1926" t="s">
        <v>40</v>
      </c>
      <c r="E1582" s="1662">
        <v>19.940000000000001</v>
      </c>
    </row>
    <row r="1583" spans="1:5" x14ac:dyDescent="0.2">
      <c r="A1583" s="135">
        <v>3445</v>
      </c>
      <c r="B1583" s="1926" t="s">
        <v>11185</v>
      </c>
      <c r="C1583" s="1926" t="s">
        <v>39</v>
      </c>
      <c r="D1583" s="1926" t="s">
        <v>40</v>
      </c>
      <c r="E1583" s="1662">
        <v>16.28</v>
      </c>
    </row>
    <row r="1584" spans="1:5" x14ac:dyDescent="0.2">
      <c r="A1584" s="135">
        <v>3441</v>
      </c>
      <c r="B1584" s="1926" t="s">
        <v>11186</v>
      </c>
      <c r="C1584" s="1926" t="s">
        <v>39</v>
      </c>
      <c r="D1584" s="1926" t="s">
        <v>40</v>
      </c>
      <c r="E1584" s="1662">
        <v>4.59</v>
      </c>
    </row>
    <row r="1585" spans="1:5" x14ac:dyDescent="0.2">
      <c r="A1585" s="135">
        <v>3444</v>
      </c>
      <c r="B1585" s="1926" t="s">
        <v>11187</v>
      </c>
      <c r="C1585" s="1926" t="s">
        <v>39</v>
      </c>
      <c r="D1585" s="1926" t="s">
        <v>40</v>
      </c>
      <c r="E1585" s="1662">
        <v>10.02</v>
      </c>
    </row>
    <row r="1586" spans="1:5" x14ac:dyDescent="0.2">
      <c r="A1586" s="135">
        <v>12402</v>
      </c>
      <c r="B1586" s="1926" t="s">
        <v>11188</v>
      </c>
      <c r="C1586" s="1926" t="s">
        <v>39</v>
      </c>
      <c r="D1586" s="1926" t="s">
        <v>40</v>
      </c>
      <c r="E1586" s="1662">
        <v>56.04</v>
      </c>
    </row>
    <row r="1587" spans="1:5" x14ac:dyDescent="0.2">
      <c r="A1587" s="135">
        <v>3447</v>
      </c>
      <c r="B1587" s="1926" t="s">
        <v>11189</v>
      </c>
      <c r="C1587" s="1926" t="s">
        <v>39</v>
      </c>
      <c r="D1587" s="1926" t="s">
        <v>40</v>
      </c>
      <c r="E1587" s="1662">
        <v>28.99</v>
      </c>
    </row>
    <row r="1588" spans="1:5" x14ac:dyDescent="0.2">
      <c r="A1588" s="135">
        <v>3442</v>
      </c>
      <c r="B1588" s="1926" t="s">
        <v>11190</v>
      </c>
      <c r="C1588" s="1926" t="s">
        <v>39</v>
      </c>
      <c r="D1588" s="1926" t="s">
        <v>40</v>
      </c>
      <c r="E1588" s="1662">
        <v>6.87</v>
      </c>
    </row>
    <row r="1589" spans="1:5" x14ac:dyDescent="0.2">
      <c r="A1589" s="135">
        <v>3448</v>
      </c>
      <c r="B1589" s="1926" t="s">
        <v>11191</v>
      </c>
      <c r="C1589" s="1926" t="s">
        <v>39</v>
      </c>
      <c r="D1589" s="1926" t="s">
        <v>40</v>
      </c>
      <c r="E1589" s="1662">
        <v>81.94</v>
      </c>
    </row>
    <row r="1590" spans="1:5" x14ac:dyDescent="0.2">
      <c r="A1590" s="135">
        <v>3449</v>
      </c>
      <c r="B1590" s="1926" t="s">
        <v>11192</v>
      </c>
      <c r="C1590" s="1926" t="s">
        <v>39</v>
      </c>
      <c r="D1590" s="1926" t="s">
        <v>40</v>
      </c>
      <c r="E1590" s="1662">
        <v>143.58000000000001</v>
      </c>
    </row>
    <row r="1591" spans="1:5" x14ac:dyDescent="0.2">
      <c r="A1591" s="135">
        <v>37438</v>
      </c>
      <c r="B1591" s="1926" t="s">
        <v>11193</v>
      </c>
      <c r="C1591" s="1926" t="s">
        <v>39</v>
      </c>
      <c r="D1591" s="1926" t="s">
        <v>46</v>
      </c>
      <c r="E1591" s="1662">
        <v>169.26</v>
      </c>
    </row>
    <row r="1592" spans="1:5" x14ac:dyDescent="0.2">
      <c r="A1592" s="135">
        <v>37439</v>
      </c>
      <c r="B1592" s="1926" t="s">
        <v>11194</v>
      </c>
      <c r="C1592" s="1926" t="s">
        <v>39</v>
      </c>
      <c r="D1592" s="1926" t="s">
        <v>46</v>
      </c>
      <c r="E1592" s="1662">
        <v>1106.6199999999999</v>
      </c>
    </row>
    <row r="1593" spans="1:5" x14ac:dyDescent="0.2">
      <c r="A1593" s="135">
        <v>37435</v>
      </c>
      <c r="B1593" s="1926" t="s">
        <v>11195</v>
      </c>
      <c r="C1593" s="1926" t="s">
        <v>39</v>
      </c>
      <c r="D1593" s="1926" t="s">
        <v>46</v>
      </c>
      <c r="E1593" s="1662">
        <v>19.89</v>
      </c>
    </row>
    <row r="1594" spans="1:5" x14ac:dyDescent="0.2">
      <c r="A1594" s="135">
        <v>37436</v>
      </c>
      <c r="B1594" s="1926" t="s">
        <v>11196</v>
      </c>
      <c r="C1594" s="1926" t="s">
        <v>39</v>
      </c>
      <c r="D1594" s="1926" t="s">
        <v>46</v>
      </c>
      <c r="E1594" s="1662">
        <v>23.47</v>
      </c>
    </row>
    <row r="1595" spans="1:5" x14ac:dyDescent="0.2">
      <c r="A1595" s="135">
        <v>37437</v>
      </c>
      <c r="B1595" s="1926" t="s">
        <v>11197</v>
      </c>
      <c r="C1595" s="1926" t="s">
        <v>39</v>
      </c>
      <c r="D1595" s="1926" t="s">
        <v>46</v>
      </c>
      <c r="E1595" s="1662">
        <v>33.950000000000003</v>
      </c>
    </row>
    <row r="1596" spans="1:5" x14ac:dyDescent="0.2">
      <c r="A1596" s="135">
        <v>3473</v>
      </c>
      <c r="B1596" s="1926" t="s">
        <v>11198</v>
      </c>
      <c r="C1596" s="1926" t="s">
        <v>39</v>
      </c>
      <c r="D1596" s="1926" t="s">
        <v>40</v>
      </c>
      <c r="E1596" s="1662">
        <v>22.54</v>
      </c>
    </row>
    <row r="1597" spans="1:5" x14ac:dyDescent="0.2">
      <c r="A1597" s="135">
        <v>3474</v>
      </c>
      <c r="B1597" s="1926" t="s">
        <v>11199</v>
      </c>
      <c r="C1597" s="1926" t="s">
        <v>39</v>
      </c>
      <c r="D1597" s="1926" t="s">
        <v>40</v>
      </c>
      <c r="E1597" s="1662">
        <v>18.579999999999998</v>
      </c>
    </row>
    <row r="1598" spans="1:5" x14ac:dyDescent="0.2">
      <c r="A1598" s="135">
        <v>3450</v>
      </c>
      <c r="B1598" s="1926" t="s">
        <v>11200</v>
      </c>
      <c r="C1598" s="1926" t="s">
        <v>39</v>
      </c>
      <c r="D1598" s="1926" t="s">
        <v>40</v>
      </c>
      <c r="E1598" s="1662">
        <v>5.38</v>
      </c>
    </row>
    <row r="1599" spans="1:5" x14ac:dyDescent="0.2">
      <c r="A1599" s="135">
        <v>3443</v>
      </c>
      <c r="B1599" s="1926" t="s">
        <v>11201</v>
      </c>
      <c r="C1599" s="1926" t="s">
        <v>39</v>
      </c>
      <c r="D1599" s="1926" t="s">
        <v>40</v>
      </c>
      <c r="E1599" s="1662">
        <v>11.56</v>
      </c>
    </row>
    <row r="1600" spans="1:5" x14ac:dyDescent="0.2">
      <c r="A1600" s="135">
        <v>3453</v>
      </c>
      <c r="B1600" s="1926" t="s">
        <v>11202</v>
      </c>
      <c r="C1600" s="1926" t="s">
        <v>39</v>
      </c>
      <c r="D1600" s="1926" t="s">
        <v>40</v>
      </c>
      <c r="E1600" s="1662">
        <v>65.8</v>
      </c>
    </row>
    <row r="1601" spans="1:5" x14ac:dyDescent="0.2">
      <c r="A1601" s="135">
        <v>3452</v>
      </c>
      <c r="B1601" s="1926" t="s">
        <v>11203</v>
      </c>
      <c r="C1601" s="1926" t="s">
        <v>39</v>
      </c>
      <c r="D1601" s="1926" t="s">
        <v>40</v>
      </c>
      <c r="E1601" s="1662">
        <v>32.479999999999997</v>
      </c>
    </row>
    <row r="1602" spans="1:5" x14ac:dyDescent="0.2">
      <c r="A1602" s="135">
        <v>3451</v>
      </c>
      <c r="B1602" s="1926" t="s">
        <v>11204</v>
      </c>
      <c r="C1602" s="1926" t="s">
        <v>39</v>
      </c>
      <c r="D1602" s="1926" t="s">
        <v>40</v>
      </c>
      <c r="E1602" s="1662">
        <v>6.44</v>
      </c>
    </row>
    <row r="1603" spans="1:5" x14ac:dyDescent="0.2">
      <c r="A1603" s="135">
        <v>3454</v>
      </c>
      <c r="B1603" s="1926" t="s">
        <v>11205</v>
      </c>
      <c r="C1603" s="1926" t="s">
        <v>39</v>
      </c>
      <c r="D1603" s="1926" t="s">
        <v>40</v>
      </c>
      <c r="E1603" s="1662">
        <v>100.08</v>
      </c>
    </row>
    <row r="1604" spans="1:5" x14ac:dyDescent="0.2">
      <c r="A1604" s="135">
        <v>3458</v>
      </c>
      <c r="B1604" s="1926" t="s">
        <v>11206</v>
      </c>
      <c r="C1604" s="1926" t="s">
        <v>39</v>
      </c>
      <c r="D1604" s="1926" t="s">
        <v>40</v>
      </c>
      <c r="E1604" s="1662">
        <v>18.07</v>
      </c>
    </row>
    <row r="1605" spans="1:5" x14ac:dyDescent="0.2">
      <c r="A1605" s="135">
        <v>3457</v>
      </c>
      <c r="B1605" s="1926" t="s">
        <v>11207</v>
      </c>
      <c r="C1605" s="1926" t="s">
        <v>39</v>
      </c>
      <c r="D1605" s="1926" t="s">
        <v>40</v>
      </c>
      <c r="E1605" s="1662">
        <v>13.56</v>
      </c>
    </row>
    <row r="1606" spans="1:5" x14ac:dyDescent="0.2">
      <c r="A1606" s="135">
        <v>3455</v>
      </c>
      <c r="B1606" s="1926" t="s">
        <v>11208</v>
      </c>
      <c r="C1606" s="1926" t="s">
        <v>39</v>
      </c>
      <c r="D1606" s="1926" t="s">
        <v>40</v>
      </c>
      <c r="E1606" s="1662">
        <v>3.85</v>
      </c>
    </row>
    <row r="1607" spans="1:5" x14ac:dyDescent="0.2">
      <c r="A1607" s="135">
        <v>3472</v>
      </c>
      <c r="B1607" s="1926" t="s">
        <v>11209</v>
      </c>
      <c r="C1607" s="1926" t="s">
        <v>39</v>
      </c>
      <c r="D1607" s="1926" t="s">
        <v>40</v>
      </c>
      <c r="E1607" s="1662">
        <v>8.65</v>
      </c>
    </row>
    <row r="1608" spans="1:5" x14ac:dyDescent="0.2">
      <c r="A1608" s="135">
        <v>3470</v>
      </c>
      <c r="B1608" s="1926" t="s">
        <v>11210</v>
      </c>
      <c r="C1608" s="1926" t="s">
        <v>39</v>
      </c>
      <c r="D1608" s="1926" t="s">
        <v>40</v>
      </c>
      <c r="E1608" s="1662">
        <v>50.46</v>
      </c>
    </row>
    <row r="1609" spans="1:5" x14ac:dyDescent="0.2">
      <c r="A1609" s="135">
        <v>3471</v>
      </c>
      <c r="B1609" s="1926" t="s">
        <v>11211</v>
      </c>
      <c r="C1609" s="1926" t="s">
        <v>39</v>
      </c>
      <c r="D1609" s="1926" t="s">
        <v>40</v>
      </c>
      <c r="E1609" s="1662">
        <v>27.72</v>
      </c>
    </row>
    <row r="1610" spans="1:5" x14ac:dyDescent="0.2">
      <c r="A1610" s="135">
        <v>3456</v>
      </c>
      <c r="B1610" s="1926" t="s">
        <v>11212</v>
      </c>
      <c r="C1610" s="1926" t="s">
        <v>39</v>
      </c>
      <c r="D1610" s="1926" t="s">
        <v>40</v>
      </c>
      <c r="E1610" s="1662">
        <v>5.76</v>
      </c>
    </row>
    <row r="1611" spans="1:5" x14ac:dyDescent="0.2">
      <c r="A1611" s="135">
        <v>3459</v>
      </c>
      <c r="B1611" s="1926" t="s">
        <v>11213</v>
      </c>
      <c r="C1611" s="1926" t="s">
        <v>39</v>
      </c>
      <c r="D1611" s="1926" t="s">
        <v>40</v>
      </c>
      <c r="E1611" s="1662">
        <v>71.17</v>
      </c>
    </row>
    <row r="1612" spans="1:5" x14ac:dyDescent="0.2">
      <c r="A1612" s="135">
        <v>3469</v>
      </c>
      <c r="B1612" s="1926" t="s">
        <v>11214</v>
      </c>
      <c r="C1612" s="1926" t="s">
        <v>39</v>
      </c>
      <c r="D1612" s="1926" t="s">
        <v>40</v>
      </c>
      <c r="E1612" s="1662">
        <v>135.35</v>
      </c>
    </row>
    <row r="1613" spans="1:5" x14ac:dyDescent="0.2">
      <c r="A1613" s="135">
        <v>3460</v>
      </c>
      <c r="B1613" s="1926" t="s">
        <v>11215</v>
      </c>
      <c r="C1613" s="1926" t="s">
        <v>39</v>
      </c>
      <c r="D1613" s="1926" t="s">
        <v>40</v>
      </c>
      <c r="E1613" s="1662">
        <v>197.49</v>
      </c>
    </row>
    <row r="1614" spans="1:5" x14ac:dyDescent="0.2">
      <c r="A1614" s="135">
        <v>3461</v>
      </c>
      <c r="B1614" s="1926" t="s">
        <v>11216</v>
      </c>
      <c r="C1614" s="1926" t="s">
        <v>39</v>
      </c>
      <c r="D1614" s="1926" t="s">
        <v>40</v>
      </c>
      <c r="E1614" s="1662">
        <v>504.78</v>
      </c>
    </row>
    <row r="1615" spans="1:5" x14ac:dyDescent="0.2">
      <c r="A1615" s="135">
        <v>37433</v>
      </c>
      <c r="B1615" s="1926" t="s">
        <v>11217</v>
      </c>
      <c r="C1615" s="1926" t="s">
        <v>39</v>
      </c>
      <c r="D1615" s="1926" t="s">
        <v>46</v>
      </c>
      <c r="E1615" s="1662">
        <v>169.26</v>
      </c>
    </row>
    <row r="1616" spans="1:5" x14ac:dyDescent="0.2">
      <c r="A1616" s="135">
        <v>37430</v>
      </c>
      <c r="B1616" s="1926" t="s">
        <v>11218</v>
      </c>
      <c r="C1616" s="1926" t="s">
        <v>39</v>
      </c>
      <c r="D1616" s="1926" t="s">
        <v>46</v>
      </c>
      <c r="E1616" s="1662">
        <v>21.21</v>
      </c>
    </row>
    <row r="1617" spans="1:5" x14ac:dyDescent="0.2">
      <c r="A1617" s="135">
        <v>37434</v>
      </c>
      <c r="B1617" s="1926" t="s">
        <v>11219</v>
      </c>
      <c r="C1617" s="1926" t="s">
        <v>39</v>
      </c>
      <c r="D1617" s="1926" t="s">
        <v>46</v>
      </c>
      <c r="E1617" s="1662">
        <v>1578.2</v>
      </c>
    </row>
    <row r="1618" spans="1:5" x14ac:dyDescent="0.2">
      <c r="A1618" s="135">
        <v>37431</v>
      </c>
      <c r="B1618" s="1926" t="s">
        <v>11220</v>
      </c>
      <c r="C1618" s="1926" t="s">
        <v>39</v>
      </c>
      <c r="D1618" s="1926" t="s">
        <v>46</v>
      </c>
      <c r="E1618" s="1662">
        <v>28.77</v>
      </c>
    </row>
    <row r="1619" spans="1:5" x14ac:dyDescent="0.2">
      <c r="A1619" s="135">
        <v>37432</v>
      </c>
      <c r="B1619" s="1926" t="s">
        <v>11221</v>
      </c>
      <c r="C1619" s="1926" t="s">
        <v>39</v>
      </c>
      <c r="D1619" s="1926" t="s">
        <v>46</v>
      </c>
      <c r="E1619" s="1662">
        <v>53.07</v>
      </c>
    </row>
    <row r="1620" spans="1:5" x14ac:dyDescent="0.2">
      <c r="A1620" s="135">
        <v>37413</v>
      </c>
      <c r="B1620" s="1926" t="s">
        <v>11222</v>
      </c>
      <c r="C1620" s="1926" t="s">
        <v>39</v>
      </c>
      <c r="D1620" s="1926" t="s">
        <v>46</v>
      </c>
      <c r="E1620" s="1662">
        <v>3.19</v>
      </c>
    </row>
    <row r="1621" spans="1:5" x14ac:dyDescent="0.2">
      <c r="A1621" s="135">
        <v>37414</v>
      </c>
      <c r="B1621" s="1926" t="s">
        <v>11223</v>
      </c>
      <c r="C1621" s="1926" t="s">
        <v>39</v>
      </c>
      <c r="D1621" s="1926" t="s">
        <v>46</v>
      </c>
      <c r="E1621" s="1662">
        <v>3.62</v>
      </c>
    </row>
    <row r="1622" spans="1:5" x14ac:dyDescent="0.2">
      <c r="A1622" s="135">
        <v>37415</v>
      </c>
      <c r="B1622" s="1926" t="s">
        <v>11224</v>
      </c>
      <c r="C1622" s="1926" t="s">
        <v>39</v>
      </c>
      <c r="D1622" s="1926" t="s">
        <v>46</v>
      </c>
      <c r="E1622" s="1662">
        <v>6.58</v>
      </c>
    </row>
    <row r="1623" spans="1:5" x14ac:dyDescent="0.2">
      <c r="A1623" s="135">
        <v>37416</v>
      </c>
      <c r="B1623" s="1926" t="s">
        <v>11225</v>
      </c>
      <c r="C1623" s="1926" t="s">
        <v>39</v>
      </c>
      <c r="D1623" s="1926" t="s">
        <v>46</v>
      </c>
      <c r="E1623" s="1662">
        <v>2.98</v>
      </c>
    </row>
    <row r="1624" spans="1:5" x14ac:dyDescent="0.2">
      <c r="A1624" s="135">
        <v>37417</v>
      </c>
      <c r="B1624" s="1926" t="s">
        <v>11226</v>
      </c>
      <c r="C1624" s="1926" t="s">
        <v>39</v>
      </c>
      <c r="D1624" s="1926" t="s">
        <v>46</v>
      </c>
      <c r="E1624" s="1662">
        <v>4.29</v>
      </c>
    </row>
    <row r="1625" spans="1:5" x14ac:dyDescent="0.2">
      <c r="A1625" s="135">
        <v>34519</v>
      </c>
      <c r="B1625" s="1926" t="s">
        <v>11227</v>
      </c>
      <c r="C1625" s="1926" t="s">
        <v>39</v>
      </c>
      <c r="D1625" s="1926" t="s">
        <v>46</v>
      </c>
      <c r="E1625" s="1662">
        <v>71.819999999999993</v>
      </c>
    </row>
    <row r="1626" spans="1:5" x14ac:dyDescent="0.2">
      <c r="A1626" s="135">
        <v>10510</v>
      </c>
      <c r="B1626" s="1926" t="s">
        <v>11228</v>
      </c>
      <c r="C1626" s="1926" t="s">
        <v>39</v>
      </c>
      <c r="D1626" s="1926" t="s">
        <v>46</v>
      </c>
      <c r="E1626" s="1662">
        <v>73.33</v>
      </c>
    </row>
    <row r="1627" spans="1:5" x14ac:dyDescent="0.2">
      <c r="A1627" s="135">
        <v>1649</v>
      </c>
      <c r="B1627" s="1926" t="s">
        <v>11229</v>
      </c>
      <c r="C1627" s="1926" t="s">
        <v>39</v>
      </c>
      <c r="D1627" s="1926" t="s">
        <v>40</v>
      </c>
      <c r="E1627" s="1662">
        <v>42.61</v>
      </c>
    </row>
    <row r="1628" spans="1:5" x14ac:dyDescent="0.2">
      <c r="A1628" s="135">
        <v>1653</v>
      </c>
      <c r="B1628" s="1926" t="s">
        <v>11230</v>
      </c>
      <c r="C1628" s="1926" t="s">
        <v>39</v>
      </c>
      <c r="D1628" s="1926" t="s">
        <v>40</v>
      </c>
      <c r="E1628" s="1662">
        <v>33.380000000000003</v>
      </c>
    </row>
    <row r="1629" spans="1:5" x14ac:dyDescent="0.2">
      <c r="A1629" s="135">
        <v>1647</v>
      </c>
      <c r="B1629" s="1926" t="s">
        <v>11231</v>
      </c>
      <c r="C1629" s="1926" t="s">
        <v>39</v>
      </c>
      <c r="D1629" s="1926" t="s">
        <v>40</v>
      </c>
      <c r="E1629" s="1662">
        <v>11.95</v>
      </c>
    </row>
    <row r="1630" spans="1:5" x14ac:dyDescent="0.2">
      <c r="A1630" s="135">
        <v>1648</v>
      </c>
      <c r="B1630" s="1926" t="s">
        <v>11232</v>
      </c>
      <c r="C1630" s="1926" t="s">
        <v>39</v>
      </c>
      <c r="D1630" s="1926" t="s">
        <v>40</v>
      </c>
      <c r="E1630" s="1662">
        <v>22.95</v>
      </c>
    </row>
    <row r="1631" spans="1:5" x14ac:dyDescent="0.2">
      <c r="A1631" s="135">
        <v>1651</v>
      </c>
      <c r="B1631" s="1926" t="s">
        <v>11233</v>
      </c>
      <c r="C1631" s="1926" t="s">
        <v>39</v>
      </c>
      <c r="D1631" s="1926" t="s">
        <v>40</v>
      </c>
      <c r="E1631" s="1662">
        <v>106.47</v>
      </c>
    </row>
    <row r="1632" spans="1:5" x14ac:dyDescent="0.2">
      <c r="A1632" s="135">
        <v>1650</v>
      </c>
      <c r="B1632" s="1926" t="s">
        <v>11234</v>
      </c>
      <c r="C1632" s="1926" t="s">
        <v>39</v>
      </c>
      <c r="D1632" s="1926" t="s">
        <v>40</v>
      </c>
      <c r="E1632" s="1662">
        <v>58.85</v>
      </c>
    </row>
    <row r="1633" spans="1:5" x14ac:dyDescent="0.2">
      <c r="A1633" s="135">
        <v>1654</v>
      </c>
      <c r="B1633" s="1926" t="s">
        <v>11235</v>
      </c>
      <c r="C1633" s="1926" t="s">
        <v>39</v>
      </c>
      <c r="D1633" s="1926" t="s">
        <v>40</v>
      </c>
      <c r="E1633" s="1662">
        <v>16.399999999999999</v>
      </c>
    </row>
    <row r="1634" spans="1:5" x14ac:dyDescent="0.2">
      <c r="A1634" s="135">
        <v>1652</v>
      </c>
      <c r="B1634" s="1926" t="s">
        <v>11236</v>
      </c>
      <c r="C1634" s="1926" t="s">
        <v>39</v>
      </c>
      <c r="D1634" s="1926" t="s">
        <v>40</v>
      </c>
      <c r="E1634" s="1662">
        <v>152.81</v>
      </c>
    </row>
    <row r="1635" spans="1:5" x14ac:dyDescent="0.2">
      <c r="A1635" s="135">
        <v>1747</v>
      </c>
      <c r="B1635" s="1926" t="s">
        <v>11237</v>
      </c>
      <c r="C1635" s="1926" t="s">
        <v>39</v>
      </c>
      <c r="D1635" s="1926" t="s">
        <v>40</v>
      </c>
      <c r="E1635" s="1662">
        <v>135.52000000000001</v>
      </c>
    </row>
    <row r="1636" spans="1:5" x14ac:dyDescent="0.2">
      <c r="A1636" s="135">
        <v>1744</v>
      </c>
      <c r="B1636" s="1926" t="s">
        <v>11238</v>
      </c>
      <c r="C1636" s="1926" t="s">
        <v>39</v>
      </c>
      <c r="D1636" s="1926" t="s">
        <v>40</v>
      </c>
      <c r="E1636" s="1662">
        <v>93.87</v>
      </c>
    </row>
    <row r="1637" spans="1:5" x14ac:dyDescent="0.2">
      <c r="A1637" s="135">
        <v>1743</v>
      </c>
      <c r="B1637" s="1926" t="s">
        <v>11239</v>
      </c>
      <c r="C1637" s="1926" t="s">
        <v>39</v>
      </c>
      <c r="D1637" s="1926" t="s">
        <v>40</v>
      </c>
      <c r="E1637" s="1662">
        <v>123.27</v>
      </c>
    </row>
    <row r="1638" spans="1:5" x14ac:dyDescent="0.2">
      <c r="A1638" s="135">
        <v>39640</v>
      </c>
      <c r="B1638" s="1926" t="s">
        <v>11240</v>
      </c>
      <c r="C1638" s="1926" t="s">
        <v>39</v>
      </c>
      <c r="D1638" s="1926" t="s">
        <v>40</v>
      </c>
      <c r="E1638" s="1662">
        <v>4.58</v>
      </c>
    </row>
    <row r="1639" spans="1:5" x14ac:dyDescent="0.2">
      <c r="A1639" s="135">
        <v>11013</v>
      </c>
      <c r="B1639" s="1926" t="s">
        <v>11241</v>
      </c>
      <c r="C1639" s="1926" t="s">
        <v>39</v>
      </c>
      <c r="D1639" s="1926" t="s">
        <v>40</v>
      </c>
      <c r="E1639" s="1662">
        <v>9.42</v>
      </c>
    </row>
    <row r="1640" spans="1:5" x14ac:dyDescent="0.2">
      <c r="A1640" s="135">
        <v>11017</v>
      </c>
      <c r="B1640" s="1926" t="s">
        <v>11242</v>
      </c>
      <c r="C1640" s="1926" t="s">
        <v>39</v>
      </c>
      <c r="D1640" s="1926" t="s">
        <v>40</v>
      </c>
      <c r="E1640" s="1662">
        <v>4.0199999999999996</v>
      </c>
    </row>
    <row r="1641" spans="1:5" x14ac:dyDescent="0.2">
      <c r="A1641" s="135">
        <v>20236</v>
      </c>
      <c r="B1641" s="1926" t="s">
        <v>11243</v>
      </c>
      <c r="C1641" s="1926" t="s">
        <v>39</v>
      </c>
      <c r="D1641" s="1926" t="s">
        <v>40</v>
      </c>
      <c r="E1641" s="1662">
        <v>17.71</v>
      </c>
    </row>
    <row r="1642" spans="1:5" x14ac:dyDescent="0.2">
      <c r="A1642" s="135">
        <v>7215</v>
      </c>
      <c r="B1642" s="1926" t="s">
        <v>11244</v>
      </c>
      <c r="C1642" s="1926" t="s">
        <v>39</v>
      </c>
      <c r="D1642" s="1926" t="s">
        <v>40</v>
      </c>
      <c r="E1642" s="1662">
        <v>15.16</v>
      </c>
    </row>
    <row r="1643" spans="1:5" x14ac:dyDescent="0.2">
      <c r="A1643" s="135">
        <v>7216</v>
      </c>
      <c r="B1643" s="1926" t="s">
        <v>11245</v>
      </c>
      <c r="C1643" s="1926" t="s">
        <v>39</v>
      </c>
      <c r="D1643" s="1926" t="s">
        <v>40</v>
      </c>
      <c r="E1643" s="1662">
        <v>63.37</v>
      </c>
    </row>
    <row r="1644" spans="1:5" x14ac:dyDescent="0.2">
      <c r="A1644" s="135">
        <v>20235</v>
      </c>
      <c r="B1644" s="1926" t="s">
        <v>11246</v>
      </c>
      <c r="C1644" s="1926" t="s">
        <v>39</v>
      </c>
      <c r="D1644" s="1926" t="s">
        <v>40</v>
      </c>
      <c r="E1644" s="1662">
        <v>32.04</v>
      </c>
    </row>
    <row r="1645" spans="1:5" x14ac:dyDescent="0.2">
      <c r="A1645" s="135">
        <v>7181</v>
      </c>
      <c r="B1645" s="1926" t="s">
        <v>11247</v>
      </c>
      <c r="C1645" s="1926" t="s">
        <v>39</v>
      </c>
      <c r="D1645" s="1926" t="s">
        <v>40</v>
      </c>
      <c r="E1645" s="1662">
        <v>2.29</v>
      </c>
    </row>
    <row r="1646" spans="1:5" x14ac:dyDescent="0.2">
      <c r="A1646" s="135">
        <v>40866</v>
      </c>
      <c r="B1646" s="1926" t="s">
        <v>11248</v>
      </c>
      <c r="C1646" s="1926" t="s">
        <v>39</v>
      </c>
      <c r="D1646" s="1926" t="s">
        <v>40</v>
      </c>
      <c r="E1646" s="1662">
        <v>6.76</v>
      </c>
    </row>
    <row r="1647" spans="1:5" x14ac:dyDescent="0.2">
      <c r="A1647" s="135">
        <v>7214</v>
      </c>
      <c r="B1647" s="1926" t="s">
        <v>11249</v>
      </c>
      <c r="C1647" s="1926" t="s">
        <v>39</v>
      </c>
      <c r="D1647" s="1926" t="s">
        <v>40</v>
      </c>
      <c r="E1647" s="1662">
        <v>21.71</v>
      </c>
    </row>
    <row r="1648" spans="1:5" x14ac:dyDescent="0.2">
      <c r="A1648" s="135">
        <v>7219</v>
      </c>
      <c r="B1648" s="1926" t="s">
        <v>11250</v>
      </c>
      <c r="C1648" s="1926" t="s">
        <v>39</v>
      </c>
      <c r="D1648" s="1926" t="s">
        <v>40</v>
      </c>
      <c r="E1648" s="1662">
        <v>22.47</v>
      </c>
    </row>
    <row r="1649" spans="1:5" x14ac:dyDescent="0.2">
      <c r="A1649" s="135">
        <v>37972</v>
      </c>
      <c r="B1649" s="1926" t="s">
        <v>11251</v>
      </c>
      <c r="C1649" s="1926" t="s">
        <v>39</v>
      </c>
      <c r="D1649" s="1926" t="s">
        <v>40</v>
      </c>
      <c r="E1649" s="1662">
        <v>3.57</v>
      </c>
    </row>
    <row r="1650" spans="1:5" x14ac:dyDescent="0.2">
      <c r="A1650" s="135">
        <v>37973</v>
      </c>
      <c r="B1650" s="1926" t="s">
        <v>11252</v>
      </c>
      <c r="C1650" s="1926" t="s">
        <v>39</v>
      </c>
      <c r="D1650" s="1926" t="s">
        <v>40</v>
      </c>
      <c r="E1650" s="1662">
        <v>5.72</v>
      </c>
    </row>
    <row r="1651" spans="1:5" x14ac:dyDescent="0.2">
      <c r="A1651" s="135">
        <v>37971</v>
      </c>
      <c r="B1651" s="1926" t="s">
        <v>11253</v>
      </c>
      <c r="C1651" s="1926" t="s">
        <v>39</v>
      </c>
      <c r="D1651" s="1926" t="s">
        <v>40</v>
      </c>
      <c r="E1651" s="1662">
        <v>2.14</v>
      </c>
    </row>
    <row r="1652" spans="1:5" x14ac:dyDescent="0.2">
      <c r="A1652" s="135">
        <v>20094</v>
      </c>
      <c r="B1652" s="1926" t="s">
        <v>11254</v>
      </c>
      <c r="C1652" s="1926" t="s">
        <v>39</v>
      </c>
      <c r="D1652" s="1926" t="s">
        <v>46</v>
      </c>
      <c r="E1652" s="1662">
        <v>15.68</v>
      </c>
    </row>
    <row r="1653" spans="1:5" x14ac:dyDescent="0.2">
      <c r="A1653" s="135">
        <v>20095</v>
      </c>
      <c r="B1653" s="1926" t="s">
        <v>11255</v>
      </c>
      <c r="C1653" s="1926" t="s">
        <v>39</v>
      </c>
      <c r="D1653" s="1926" t="s">
        <v>46</v>
      </c>
      <c r="E1653" s="1662">
        <v>19.97</v>
      </c>
    </row>
    <row r="1654" spans="1:5" x14ac:dyDescent="0.2">
      <c r="A1654" s="135">
        <v>1954</v>
      </c>
      <c r="B1654" s="1926" t="s">
        <v>11256</v>
      </c>
      <c r="C1654" s="1926" t="s">
        <v>39</v>
      </c>
      <c r="D1654" s="1926" t="s">
        <v>40</v>
      </c>
      <c r="E1654" s="1662">
        <v>102.2</v>
      </c>
    </row>
    <row r="1655" spans="1:5" x14ac:dyDescent="0.2">
      <c r="A1655" s="135">
        <v>1926</v>
      </c>
      <c r="B1655" s="1926" t="s">
        <v>11257</v>
      </c>
      <c r="C1655" s="1926" t="s">
        <v>39</v>
      </c>
      <c r="D1655" s="1926" t="s">
        <v>40</v>
      </c>
      <c r="E1655" s="1662">
        <v>1.35</v>
      </c>
    </row>
    <row r="1656" spans="1:5" x14ac:dyDescent="0.2">
      <c r="A1656" s="135">
        <v>1927</v>
      </c>
      <c r="B1656" s="1926" t="s">
        <v>11258</v>
      </c>
      <c r="C1656" s="1926" t="s">
        <v>39</v>
      </c>
      <c r="D1656" s="1926" t="s">
        <v>40</v>
      </c>
      <c r="E1656" s="1662">
        <v>1.78</v>
      </c>
    </row>
    <row r="1657" spans="1:5" x14ac:dyDescent="0.2">
      <c r="A1657" s="135">
        <v>1923</v>
      </c>
      <c r="B1657" s="1926" t="s">
        <v>11259</v>
      </c>
      <c r="C1657" s="1926" t="s">
        <v>39</v>
      </c>
      <c r="D1657" s="1926" t="s">
        <v>40</v>
      </c>
      <c r="E1657" s="1662">
        <v>2.91</v>
      </c>
    </row>
    <row r="1658" spans="1:5" x14ac:dyDescent="0.2">
      <c r="A1658" s="135">
        <v>1929</v>
      </c>
      <c r="B1658" s="1926" t="s">
        <v>11260</v>
      </c>
      <c r="C1658" s="1926" t="s">
        <v>39</v>
      </c>
      <c r="D1658" s="1926" t="s">
        <v>40</v>
      </c>
      <c r="E1658" s="1662">
        <v>4.7699999999999996</v>
      </c>
    </row>
    <row r="1659" spans="1:5" x14ac:dyDescent="0.2">
      <c r="A1659" s="135">
        <v>1930</v>
      </c>
      <c r="B1659" s="1926" t="s">
        <v>11261</v>
      </c>
      <c r="C1659" s="1926" t="s">
        <v>39</v>
      </c>
      <c r="D1659" s="1926" t="s">
        <v>40</v>
      </c>
      <c r="E1659" s="1662">
        <v>9.25</v>
      </c>
    </row>
    <row r="1660" spans="1:5" x14ac:dyDescent="0.2">
      <c r="A1660" s="135">
        <v>1924</v>
      </c>
      <c r="B1660" s="1926" t="s">
        <v>11262</v>
      </c>
      <c r="C1660" s="1926" t="s">
        <v>39</v>
      </c>
      <c r="D1660" s="1926" t="s">
        <v>40</v>
      </c>
      <c r="E1660" s="1662">
        <v>15.95</v>
      </c>
    </row>
    <row r="1661" spans="1:5" x14ac:dyDescent="0.2">
      <c r="A1661" s="135">
        <v>1922</v>
      </c>
      <c r="B1661" s="1926" t="s">
        <v>11263</v>
      </c>
      <c r="C1661" s="1926" t="s">
        <v>39</v>
      </c>
      <c r="D1661" s="1926" t="s">
        <v>40</v>
      </c>
      <c r="E1661" s="1662">
        <v>23.69</v>
      </c>
    </row>
    <row r="1662" spans="1:5" x14ac:dyDescent="0.2">
      <c r="A1662" s="135">
        <v>1953</v>
      </c>
      <c r="B1662" s="1926" t="s">
        <v>11264</v>
      </c>
      <c r="C1662" s="1926" t="s">
        <v>39</v>
      </c>
      <c r="D1662" s="1926" t="s">
        <v>40</v>
      </c>
      <c r="E1662" s="1662">
        <v>41.4</v>
      </c>
    </row>
    <row r="1663" spans="1:5" x14ac:dyDescent="0.2">
      <c r="A1663" s="135">
        <v>1962</v>
      </c>
      <c r="B1663" s="1926" t="s">
        <v>11265</v>
      </c>
      <c r="C1663" s="1926" t="s">
        <v>39</v>
      </c>
      <c r="D1663" s="1926" t="s">
        <v>40</v>
      </c>
      <c r="E1663" s="1662">
        <v>135.47</v>
      </c>
    </row>
    <row r="1664" spans="1:5" x14ac:dyDescent="0.2">
      <c r="A1664" s="135">
        <v>1955</v>
      </c>
      <c r="B1664" s="1926" t="s">
        <v>11266</v>
      </c>
      <c r="C1664" s="1926" t="s">
        <v>39</v>
      </c>
      <c r="D1664" s="1926" t="s">
        <v>40</v>
      </c>
      <c r="E1664" s="1662">
        <v>1.79</v>
      </c>
    </row>
    <row r="1665" spans="1:5" x14ac:dyDescent="0.2">
      <c r="A1665" s="135">
        <v>1956</v>
      </c>
      <c r="B1665" s="1926" t="s">
        <v>11267</v>
      </c>
      <c r="C1665" s="1926" t="s">
        <v>39</v>
      </c>
      <c r="D1665" s="1926" t="s">
        <v>40</v>
      </c>
      <c r="E1665" s="1662">
        <v>2.31</v>
      </c>
    </row>
    <row r="1666" spans="1:5" x14ac:dyDescent="0.2">
      <c r="A1666" s="135">
        <v>1957</v>
      </c>
      <c r="B1666" s="1926" t="s">
        <v>11268</v>
      </c>
      <c r="C1666" s="1926" t="s">
        <v>39</v>
      </c>
      <c r="D1666" s="1926" t="s">
        <v>40</v>
      </c>
      <c r="E1666" s="1662">
        <v>5.25</v>
      </c>
    </row>
    <row r="1667" spans="1:5" x14ac:dyDescent="0.2">
      <c r="A1667" s="135">
        <v>1958</v>
      </c>
      <c r="B1667" s="1926" t="s">
        <v>11269</v>
      </c>
      <c r="C1667" s="1926" t="s">
        <v>39</v>
      </c>
      <c r="D1667" s="1926" t="s">
        <v>40</v>
      </c>
      <c r="E1667" s="1662">
        <v>9.32</v>
      </c>
    </row>
    <row r="1668" spans="1:5" x14ac:dyDescent="0.2">
      <c r="A1668" s="135">
        <v>1959</v>
      </c>
      <c r="B1668" s="1926" t="s">
        <v>11270</v>
      </c>
      <c r="C1668" s="1926" t="s">
        <v>39</v>
      </c>
      <c r="D1668" s="1926" t="s">
        <v>40</v>
      </c>
      <c r="E1668" s="1662">
        <v>11.36</v>
      </c>
    </row>
    <row r="1669" spans="1:5" x14ac:dyDescent="0.2">
      <c r="A1669" s="135">
        <v>1925</v>
      </c>
      <c r="B1669" s="1926" t="s">
        <v>11271</v>
      </c>
      <c r="C1669" s="1926" t="s">
        <v>39</v>
      </c>
      <c r="D1669" s="1926" t="s">
        <v>40</v>
      </c>
      <c r="E1669" s="1662">
        <v>28.09</v>
      </c>
    </row>
    <row r="1670" spans="1:5" x14ac:dyDescent="0.2">
      <c r="A1670" s="135">
        <v>1960</v>
      </c>
      <c r="B1670" s="1926" t="s">
        <v>11272</v>
      </c>
      <c r="C1670" s="1926" t="s">
        <v>39</v>
      </c>
      <c r="D1670" s="1926" t="s">
        <v>40</v>
      </c>
      <c r="E1670" s="1662">
        <v>39.93</v>
      </c>
    </row>
    <row r="1671" spans="1:5" x14ac:dyDescent="0.2">
      <c r="A1671" s="135">
        <v>1961</v>
      </c>
      <c r="B1671" s="1926" t="s">
        <v>11273</v>
      </c>
      <c r="C1671" s="1926" t="s">
        <v>39</v>
      </c>
      <c r="D1671" s="1926" t="s">
        <v>40</v>
      </c>
      <c r="E1671" s="1662">
        <v>57.39</v>
      </c>
    </row>
    <row r="1672" spans="1:5" x14ac:dyDescent="0.2">
      <c r="A1672" s="135">
        <v>38426</v>
      </c>
      <c r="B1672" s="1926" t="s">
        <v>11274</v>
      </c>
      <c r="C1672" s="1926" t="s">
        <v>39</v>
      </c>
      <c r="D1672" s="1926" t="s">
        <v>40</v>
      </c>
      <c r="E1672" s="1662">
        <v>16.54</v>
      </c>
    </row>
    <row r="1673" spans="1:5" x14ac:dyDescent="0.2">
      <c r="A1673" s="135">
        <v>38423</v>
      </c>
      <c r="B1673" s="1926" t="s">
        <v>11275</v>
      </c>
      <c r="C1673" s="1926" t="s">
        <v>39</v>
      </c>
      <c r="D1673" s="1926" t="s">
        <v>40</v>
      </c>
      <c r="E1673" s="1662">
        <v>37.53</v>
      </c>
    </row>
    <row r="1674" spans="1:5" x14ac:dyDescent="0.2">
      <c r="A1674" s="135">
        <v>38421</v>
      </c>
      <c r="B1674" s="1926" t="s">
        <v>11276</v>
      </c>
      <c r="C1674" s="1926" t="s">
        <v>39</v>
      </c>
      <c r="D1674" s="1926" t="s">
        <v>40</v>
      </c>
      <c r="E1674" s="1662">
        <v>17.71</v>
      </c>
    </row>
    <row r="1675" spans="1:5" x14ac:dyDescent="0.2">
      <c r="A1675" s="135">
        <v>38422</v>
      </c>
      <c r="B1675" s="1926" t="s">
        <v>11277</v>
      </c>
      <c r="C1675" s="1926" t="s">
        <v>39</v>
      </c>
      <c r="D1675" s="1926" t="s">
        <v>40</v>
      </c>
      <c r="E1675" s="1662">
        <v>25.9</v>
      </c>
    </row>
    <row r="1676" spans="1:5" x14ac:dyDescent="0.2">
      <c r="A1676" s="135">
        <v>39866</v>
      </c>
      <c r="B1676" s="1926" t="s">
        <v>11278</v>
      </c>
      <c r="C1676" s="1926" t="s">
        <v>39</v>
      </c>
      <c r="D1676" s="1926" t="s">
        <v>46</v>
      </c>
      <c r="E1676" s="1662">
        <v>11.51</v>
      </c>
    </row>
    <row r="1677" spans="1:5" x14ac:dyDescent="0.2">
      <c r="A1677" s="135">
        <v>39867</v>
      </c>
      <c r="B1677" s="1926" t="s">
        <v>11279</v>
      </c>
      <c r="C1677" s="1926" t="s">
        <v>39</v>
      </c>
      <c r="D1677" s="1926" t="s">
        <v>46</v>
      </c>
      <c r="E1677" s="1662">
        <v>25.6</v>
      </c>
    </row>
    <row r="1678" spans="1:5" x14ac:dyDescent="0.2">
      <c r="A1678" s="135">
        <v>39868</v>
      </c>
      <c r="B1678" s="1926" t="s">
        <v>11280</v>
      </c>
      <c r="C1678" s="1926" t="s">
        <v>39</v>
      </c>
      <c r="D1678" s="1926" t="s">
        <v>46</v>
      </c>
      <c r="E1678" s="1662">
        <v>46.12</v>
      </c>
    </row>
    <row r="1679" spans="1:5" x14ac:dyDescent="0.2">
      <c r="A1679" s="135">
        <v>37999</v>
      </c>
      <c r="B1679" s="1926" t="s">
        <v>11281</v>
      </c>
      <c r="C1679" s="1926" t="s">
        <v>39</v>
      </c>
      <c r="D1679" s="1926" t="s">
        <v>40</v>
      </c>
      <c r="E1679" s="1662">
        <v>3.42</v>
      </c>
    </row>
    <row r="1680" spans="1:5" x14ac:dyDescent="0.2">
      <c r="A1680" s="135">
        <v>38000</v>
      </c>
      <c r="B1680" s="1926" t="s">
        <v>11282</v>
      </c>
      <c r="C1680" s="1926" t="s">
        <v>39</v>
      </c>
      <c r="D1680" s="1926" t="s">
        <v>40</v>
      </c>
      <c r="E1680" s="1662">
        <v>4.53</v>
      </c>
    </row>
    <row r="1681" spans="1:5" x14ac:dyDescent="0.2">
      <c r="A1681" s="135">
        <v>38129</v>
      </c>
      <c r="B1681" s="1926" t="s">
        <v>11283</v>
      </c>
      <c r="C1681" s="1926" t="s">
        <v>39</v>
      </c>
      <c r="D1681" s="1926" t="s">
        <v>40</v>
      </c>
      <c r="E1681" s="1662">
        <v>3.1</v>
      </c>
    </row>
    <row r="1682" spans="1:5" x14ac:dyDescent="0.2">
      <c r="A1682" s="135">
        <v>38025</v>
      </c>
      <c r="B1682" s="1926" t="s">
        <v>11284</v>
      </c>
      <c r="C1682" s="1926" t="s">
        <v>39</v>
      </c>
      <c r="D1682" s="1926" t="s">
        <v>40</v>
      </c>
      <c r="E1682" s="1662">
        <v>5.18</v>
      </c>
    </row>
    <row r="1683" spans="1:5" x14ac:dyDescent="0.2">
      <c r="A1683" s="135">
        <v>38026</v>
      </c>
      <c r="B1683" s="1926" t="s">
        <v>11285</v>
      </c>
      <c r="C1683" s="1926" t="s">
        <v>39</v>
      </c>
      <c r="D1683" s="1926" t="s">
        <v>40</v>
      </c>
      <c r="E1683" s="1662">
        <v>13.89</v>
      </c>
    </row>
    <row r="1684" spans="1:5" x14ac:dyDescent="0.2">
      <c r="A1684" s="135">
        <v>1858</v>
      </c>
      <c r="B1684" s="1926" t="s">
        <v>11286</v>
      </c>
      <c r="C1684" s="1926" t="s">
        <v>39</v>
      </c>
      <c r="D1684" s="1926" t="s">
        <v>46</v>
      </c>
      <c r="E1684" s="1662">
        <v>21.96</v>
      </c>
    </row>
    <row r="1685" spans="1:5" x14ac:dyDescent="0.2">
      <c r="A1685" s="135">
        <v>1844</v>
      </c>
      <c r="B1685" s="1926" t="s">
        <v>11287</v>
      </c>
      <c r="C1685" s="1926" t="s">
        <v>39</v>
      </c>
      <c r="D1685" s="1926" t="s">
        <v>46</v>
      </c>
      <c r="E1685" s="1662">
        <v>80.97</v>
      </c>
    </row>
    <row r="1686" spans="1:5" x14ac:dyDescent="0.2">
      <c r="A1686" s="135">
        <v>1863</v>
      </c>
      <c r="B1686" s="1926" t="s">
        <v>11288</v>
      </c>
      <c r="C1686" s="1926" t="s">
        <v>39</v>
      </c>
      <c r="D1686" s="1926" t="s">
        <v>46</v>
      </c>
      <c r="E1686" s="1662">
        <v>31.87</v>
      </c>
    </row>
    <row r="1687" spans="1:5" x14ac:dyDescent="0.2">
      <c r="A1687" s="135">
        <v>1865</v>
      </c>
      <c r="B1687" s="1926" t="s">
        <v>11289</v>
      </c>
      <c r="C1687" s="1926" t="s">
        <v>39</v>
      </c>
      <c r="D1687" s="1926" t="s">
        <v>46</v>
      </c>
      <c r="E1687" s="1662">
        <v>116.27</v>
      </c>
    </row>
    <row r="1688" spans="1:5" x14ac:dyDescent="0.2">
      <c r="A1688" s="135">
        <v>36355</v>
      </c>
      <c r="B1688" s="1926" t="s">
        <v>11290</v>
      </c>
      <c r="C1688" s="1926" t="s">
        <v>39</v>
      </c>
      <c r="D1688" s="1926" t="s">
        <v>46</v>
      </c>
      <c r="E1688" s="1662">
        <v>4.51</v>
      </c>
    </row>
    <row r="1689" spans="1:5" x14ac:dyDescent="0.2">
      <c r="A1689" s="135">
        <v>36356</v>
      </c>
      <c r="B1689" s="1926" t="s">
        <v>11291</v>
      </c>
      <c r="C1689" s="1926" t="s">
        <v>39</v>
      </c>
      <c r="D1689" s="1926" t="s">
        <v>46</v>
      </c>
      <c r="E1689" s="1662">
        <v>7.58</v>
      </c>
    </row>
    <row r="1690" spans="1:5" x14ac:dyDescent="0.2">
      <c r="A1690" s="135">
        <v>1932</v>
      </c>
      <c r="B1690" s="1926" t="s">
        <v>11292</v>
      </c>
      <c r="C1690" s="1926" t="s">
        <v>39</v>
      </c>
      <c r="D1690" s="1926" t="s">
        <v>40</v>
      </c>
      <c r="E1690" s="1662">
        <v>6.39</v>
      </c>
    </row>
    <row r="1691" spans="1:5" x14ac:dyDescent="0.2">
      <c r="A1691" s="135">
        <v>1933</v>
      </c>
      <c r="B1691" s="1926" t="s">
        <v>11293</v>
      </c>
      <c r="C1691" s="1926" t="s">
        <v>39</v>
      </c>
      <c r="D1691" s="1926" t="s">
        <v>40</v>
      </c>
      <c r="E1691" s="1662">
        <v>2.81</v>
      </c>
    </row>
    <row r="1692" spans="1:5" x14ac:dyDescent="0.2">
      <c r="A1692" s="135">
        <v>1951</v>
      </c>
      <c r="B1692" s="1926" t="s">
        <v>11294</v>
      </c>
      <c r="C1692" s="1926" t="s">
        <v>39</v>
      </c>
      <c r="D1692" s="1926" t="s">
        <v>40</v>
      </c>
      <c r="E1692" s="1662">
        <v>12.5</v>
      </c>
    </row>
    <row r="1693" spans="1:5" x14ac:dyDescent="0.2">
      <c r="A1693" s="135">
        <v>1966</v>
      </c>
      <c r="B1693" s="1926" t="s">
        <v>11295</v>
      </c>
      <c r="C1693" s="1926" t="s">
        <v>39</v>
      </c>
      <c r="D1693" s="1926" t="s">
        <v>40</v>
      </c>
      <c r="E1693" s="1662">
        <v>14.39</v>
      </c>
    </row>
    <row r="1694" spans="1:5" x14ac:dyDescent="0.2">
      <c r="A1694" s="135">
        <v>1952</v>
      </c>
      <c r="B1694" s="1926" t="s">
        <v>11296</v>
      </c>
      <c r="C1694" s="1926" t="s">
        <v>39</v>
      </c>
      <c r="D1694" s="1926" t="s">
        <v>40</v>
      </c>
      <c r="E1694" s="1662">
        <v>54.03</v>
      </c>
    </row>
    <row r="1695" spans="1:5" x14ac:dyDescent="0.2">
      <c r="A1695" s="135">
        <v>20104</v>
      </c>
      <c r="B1695" s="1926" t="s">
        <v>11297</v>
      </c>
      <c r="C1695" s="1926" t="s">
        <v>39</v>
      </c>
      <c r="D1695" s="1926" t="s">
        <v>40</v>
      </c>
      <c r="E1695" s="1662">
        <v>399.26</v>
      </c>
    </row>
    <row r="1696" spans="1:5" x14ac:dyDescent="0.2">
      <c r="A1696" s="135">
        <v>20105</v>
      </c>
      <c r="B1696" s="1926" t="s">
        <v>11298</v>
      </c>
      <c r="C1696" s="1926" t="s">
        <v>39</v>
      </c>
      <c r="D1696" s="1926" t="s">
        <v>40</v>
      </c>
      <c r="E1696" s="1662">
        <v>621.89</v>
      </c>
    </row>
    <row r="1697" spans="1:5" x14ac:dyDescent="0.2">
      <c r="A1697" s="135">
        <v>1965</v>
      </c>
      <c r="B1697" s="1926" t="s">
        <v>11299</v>
      </c>
      <c r="C1697" s="1926" t="s">
        <v>39</v>
      </c>
      <c r="D1697" s="1926" t="s">
        <v>40</v>
      </c>
      <c r="E1697" s="1662">
        <v>29.17</v>
      </c>
    </row>
    <row r="1698" spans="1:5" x14ac:dyDescent="0.2">
      <c r="A1698" s="135">
        <v>10765</v>
      </c>
      <c r="B1698" s="1926" t="s">
        <v>11300</v>
      </c>
      <c r="C1698" s="1926" t="s">
        <v>39</v>
      </c>
      <c r="D1698" s="1926" t="s">
        <v>40</v>
      </c>
      <c r="E1698" s="1662">
        <v>7.37</v>
      </c>
    </row>
    <row r="1699" spans="1:5" x14ac:dyDescent="0.2">
      <c r="A1699" s="135">
        <v>10767</v>
      </c>
      <c r="B1699" s="1926" t="s">
        <v>11301</v>
      </c>
      <c r="C1699" s="1926" t="s">
        <v>39</v>
      </c>
      <c r="D1699" s="1926" t="s">
        <v>40</v>
      </c>
      <c r="E1699" s="1662">
        <v>24.16</v>
      </c>
    </row>
    <row r="1700" spans="1:5" x14ac:dyDescent="0.2">
      <c r="A1700" s="135">
        <v>1970</v>
      </c>
      <c r="B1700" s="1926" t="s">
        <v>11302</v>
      </c>
      <c r="C1700" s="1926" t="s">
        <v>39</v>
      </c>
      <c r="D1700" s="1926" t="s">
        <v>40</v>
      </c>
      <c r="E1700" s="1662">
        <v>30.27</v>
      </c>
    </row>
    <row r="1701" spans="1:5" x14ac:dyDescent="0.2">
      <c r="A1701" s="135">
        <v>1967</v>
      </c>
      <c r="B1701" s="1926" t="s">
        <v>11303</v>
      </c>
      <c r="C1701" s="1926" t="s">
        <v>39</v>
      </c>
      <c r="D1701" s="1926" t="s">
        <v>40</v>
      </c>
      <c r="E1701" s="1662">
        <v>3.37</v>
      </c>
    </row>
    <row r="1702" spans="1:5" x14ac:dyDescent="0.2">
      <c r="A1702" s="135">
        <v>1968</v>
      </c>
      <c r="B1702" s="1926" t="s">
        <v>11304</v>
      </c>
      <c r="C1702" s="1926" t="s">
        <v>39</v>
      </c>
      <c r="D1702" s="1926" t="s">
        <v>40</v>
      </c>
      <c r="E1702" s="1662">
        <v>7.06</v>
      </c>
    </row>
    <row r="1703" spans="1:5" x14ac:dyDescent="0.2">
      <c r="A1703" s="135">
        <v>1969</v>
      </c>
      <c r="B1703" s="1926" t="s">
        <v>11305</v>
      </c>
      <c r="C1703" s="1926" t="s">
        <v>39</v>
      </c>
      <c r="D1703" s="1926" t="s">
        <v>40</v>
      </c>
      <c r="E1703" s="1662">
        <v>20.76</v>
      </c>
    </row>
    <row r="1704" spans="1:5" x14ac:dyDescent="0.2">
      <c r="A1704" s="135">
        <v>1839</v>
      </c>
      <c r="B1704" s="1926" t="s">
        <v>11306</v>
      </c>
      <c r="C1704" s="1926" t="s">
        <v>39</v>
      </c>
      <c r="D1704" s="1926" t="s">
        <v>46</v>
      </c>
      <c r="E1704" s="1662">
        <v>100.81</v>
      </c>
    </row>
    <row r="1705" spans="1:5" x14ac:dyDescent="0.2">
      <c r="A1705" s="135">
        <v>1835</v>
      </c>
      <c r="B1705" s="1926" t="s">
        <v>11307</v>
      </c>
      <c r="C1705" s="1926" t="s">
        <v>39</v>
      </c>
      <c r="D1705" s="1926" t="s">
        <v>46</v>
      </c>
      <c r="E1705" s="1662">
        <v>21.43</v>
      </c>
    </row>
    <row r="1706" spans="1:5" x14ac:dyDescent="0.2">
      <c r="A1706" s="135">
        <v>1823</v>
      </c>
      <c r="B1706" s="1926" t="s">
        <v>11308</v>
      </c>
      <c r="C1706" s="1926" t="s">
        <v>39</v>
      </c>
      <c r="D1706" s="1926" t="s">
        <v>46</v>
      </c>
      <c r="E1706" s="1662">
        <v>41.44</v>
      </c>
    </row>
    <row r="1707" spans="1:5" x14ac:dyDescent="0.2">
      <c r="A1707" s="135">
        <v>1827</v>
      </c>
      <c r="B1707" s="1926" t="s">
        <v>11309</v>
      </c>
      <c r="C1707" s="1926" t="s">
        <v>39</v>
      </c>
      <c r="D1707" s="1926" t="s">
        <v>46</v>
      </c>
      <c r="E1707" s="1662">
        <v>99.83</v>
      </c>
    </row>
    <row r="1708" spans="1:5" x14ac:dyDescent="0.2">
      <c r="A1708" s="135">
        <v>1831</v>
      </c>
      <c r="B1708" s="1926" t="s">
        <v>11310</v>
      </c>
      <c r="C1708" s="1926" t="s">
        <v>39</v>
      </c>
      <c r="D1708" s="1926" t="s">
        <v>46</v>
      </c>
      <c r="E1708" s="1662">
        <v>21.79</v>
      </c>
    </row>
    <row r="1709" spans="1:5" x14ac:dyDescent="0.2">
      <c r="A1709" s="135">
        <v>1825</v>
      </c>
      <c r="B1709" s="1926" t="s">
        <v>11311</v>
      </c>
      <c r="C1709" s="1926" t="s">
        <v>39</v>
      </c>
      <c r="D1709" s="1926" t="s">
        <v>46</v>
      </c>
      <c r="E1709" s="1662">
        <v>53.78</v>
      </c>
    </row>
    <row r="1710" spans="1:5" x14ac:dyDescent="0.2">
      <c r="A1710" s="135">
        <v>1828</v>
      </c>
      <c r="B1710" s="1926" t="s">
        <v>11312</v>
      </c>
      <c r="C1710" s="1926" t="s">
        <v>39</v>
      </c>
      <c r="D1710" s="1926" t="s">
        <v>46</v>
      </c>
      <c r="E1710" s="1662">
        <v>121.83</v>
      </c>
    </row>
    <row r="1711" spans="1:5" x14ac:dyDescent="0.2">
      <c r="A1711" s="135">
        <v>1845</v>
      </c>
      <c r="B1711" s="1926" t="s">
        <v>11313</v>
      </c>
      <c r="C1711" s="1926" t="s">
        <v>39</v>
      </c>
      <c r="D1711" s="1926" t="s">
        <v>46</v>
      </c>
      <c r="E1711" s="1662">
        <v>27.31</v>
      </c>
    </row>
    <row r="1712" spans="1:5" x14ac:dyDescent="0.2">
      <c r="A1712" s="135">
        <v>1824</v>
      </c>
      <c r="B1712" s="1926" t="s">
        <v>11314</v>
      </c>
      <c r="C1712" s="1926" t="s">
        <v>39</v>
      </c>
      <c r="D1712" s="1926" t="s">
        <v>46</v>
      </c>
      <c r="E1712" s="1662">
        <v>64.48</v>
      </c>
    </row>
    <row r="1713" spans="1:5" x14ac:dyDescent="0.2">
      <c r="A1713" s="135">
        <v>1941</v>
      </c>
      <c r="B1713" s="1926" t="s">
        <v>11315</v>
      </c>
      <c r="C1713" s="1926" t="s">
        <v>39</v>
      </c>
      <c r="D1713" s="1926" t="s">
        <v>40</v>
      </c>
      <c r="E1713" s="1662">
        <v>20.02</v>
      </c>
    </row>
    <row r="1714" spans="1:5" x14ac:dyDescent="0.2">
      <c r="A1714" s="135">
        <v>1940</v>
      </c>
      <c r="B1714" s="1926" t="s">
        <v>11316</v>
      </c>
      <c r="C1714" s="1926" t="s">
        <v>39</v>
      </c>
      <c r="D1714" s="1926" t="s">
        <v>40</v>
      </c>
      <c r="E1714" s="1662">
        <v>15.13</v>
      </c>
    </row>
    <row r="1715" spans="1:5" x14ac:dyDescent="0.2">
      <c r="A1715" s="135">
        <v>1937</v>
      </c>
      <c r="B1715" s="1926" t="s">
        <v>11317</v>
      </c>
      <c r="C1715" s="1926" t="s">
        <v>39</v>
      </c>
      <c r="D1715" s="1926" t="s">
        <v>40</v>
      </c>
      <c r="E1715" s="1662">
        <v>3.14</v>
      </c>
    </row>
    <row r="1716" spans="1:5" x14ac:dyDescent="0.2">
      <c r="A1716" s="135">
        <v>1939</v>
      </c>
      <c r="B1716" s="1926" t="s">
        <v>11318</v>
      </c>
      <c r="C1716" s="1926" t="s">
        <v>39</v>
      </c>
      <c r="D1716" s="1926" t="s">
        <v>40</v>
      </c>
      <c r="E1716" s="1662">
        <v>6.22</v>
      </c>
    </row>
    <row r="1717" spans="1:5" x14ac:dyDescent="0.2">
      <c r="A1717" s="135">
        <v>1942</v>
      </c>
      <c r="B1717" s="1926" t="s">
        <v>11319</v>
      </c>
      <c r="C1717" s="1926" t="s">
        <v>39</v>
      </c>
      <c r="D1717" s="1926" t="s">
        <v>40</v>
      </c>
      <c r="E1717" s="1662">
        <v>28.57</v>
      </c>
    </row>
    <row r="1718" spans="1:5" x14ac:dyDescent="0.2">
      <c r="A1718" s="135">
        <v>1938</v>
      </c>
      <c r="B1718" s="1926" t="s">
        <v>11320</v>
      </c>
      <c r="C1718" s="1926" t="s">
        <v>39</v>
      </c>
      <c r="D1718" s="1926" t="s">
        <v>40</v>
      </c>
      <c r="E1718" s="1662">
        <v>3.98</v>
      </c>
    </row>
    <row r="1719" spans="1:5" x14ac:dyDescent="0.2">
      <c r="A1719" s="135">
        <v>42692</v>
      </c>
      <c r="B1719" s="1926" t="s">
        <v>11321</v>
      </c>
      <c r="C1719" s="1926" t="s">
        <v>39</v>
      </c>
      <c r="D1719" s="1926" t="s">
        <v>46</v>
      </c>
      <c r="E1719" s="1662">
        <v>257.95999999999998</v>
      </c>
    </row>
    <row r="1720" spans="1:5" x14ac:dyDescent="0.2">
      <c r="A1720" s="135">
        <v>42693</v>
      </c>
      <c r="B1720" s="1926" t="s">
        <v>11322</v>
      </c>
      <c r="C1720" s="1926" t="s">
        <v>39</v>
      </c>
      <c r="D1720" s="1926" t="s">
        <v>46</v>
      </c>
      <c r="E1720" s="1662">
        <v>424.33</v>
      </c>
    </row>
    <row r="1721" spans="1:5" x14ac:dyDescent="0.2">
      <c r="A1721" s="135">
        <v>42695</v>
      </c>
      <c r="B1721" s="1926" t="s">
        <v>11323</v>
      </c>
      <c r="C1721" s="1926" t="s">
        <v>39</v>
      </c>
      <c r="D1721" s="1926" t="s">
        <v>46</v>
      </c>
      <c r="E1721" s="1662">
        <v>322.64</v>
      </c>
    </row>
    <row r="1722" spans="1:5" x14ac:dyDescent="0.2">
      <c r="A1722" s="135">
        <v>42694</v>
      </c>
      <c r="B1722" s="1926" t="s">
        <v>11324</v>
      </c>
      <c r="C1722" s="1926" t="s">
        <v>39</v>
      </c>
      <c r="D1722" s="1926" t="s">
        <v>46</v>
      </c>
      <c r="E1722" s="1662">
        <v>476.98</v>
      </c>
    </row>
    <row r="1723" spans="1:5" x14ac:dyDescent="0.2">
      <c r="A1723" s="135">
        <v>20097</v>
      </c>
      <c r="B1723" s="1926" t="s">
        <v>11325</v>
      </c>
      <c r="C1723" s="1926" t="s">
        <v>39</v>
      </c>
      <c r="D1723" s="1926" t="s">
        <v>40</v>
      </c>
      <c r="E1723" s="1662">
        <v>28.6</v>
      </c>
    </row>
    <row r="1724" spans="1:5" x14ac:dyDescent="0.2">
      <c r="A1724" s="135">
        <v>20098</v>
      </c>
      <c r="B1724" s="1926" t="s">
        <v>11326</v>
      </c>
      <c r="C1724" s="1926" t="s">
        <v>39</v>
      </c>
      <c r="D1724" s="1926" t="s">
        <v>40</v>
      </c>
      <c r="E1724" s="1662">
        <v>96.44</v>
      </c>
    </row>
    <row r="1725" spans="1:5" x14ac:dyDescent="0.2">
      <c r="A1725" s="135">
        <v>20096</v>
      </c>
      <c r="B1725" s="1926" t="s">
        <v>11327</v>
      </c>
      <c r="C1725" s="1926" t="s">
        <v>39</v>
      </c>
      <c r="D1725" s="1926" t="s">
        <v>40</v>
      </c>
      <c r="E1725" s="1662">
        <v>18.71</v>
      </c>
    </row>
    <row r="1726" spans="1:5" x14ac:dyDescent="0.2">
      <c r="A1726" s="135">
        <v>1964</v>
      </c>
      <c r="B1726" s="1926" t="s">
        <v>11328</v>
      </c>
      <c r="C1726" s="1926" t="s">
        <v>39</v>
      </c>
      <c r="D1726" s="1926" t="s">
        <v>40</v>
      </c>
      <c r="E1726" s="1662">
        <v>17.3</v>
      </c>
    </row>
    <row r="1727" spans="1:5" x14ac:dyDescent="0.2">
      <c r="A1727" s="135">
        <v>1880</v>
      </c>
      <c r="B1727" s="1926" t="s">
        <v>11329</v>
      </c>
      <c r="C1727" s="1926" t="s">
        <v>39</v>
      </c>
      <c r="D1727" s="1926" t="s">
        <v>40</v>
      </c>
      <c r="E1727" s="1662">
        <v>2.06</v>
      </c>
    </row>
    <row r="1728" spans="1:5" x14ac:dyDescent="0.2">
      <c r="A1728" s="135">
        <v>39274</v>
      </c>
      <c r="B1728" s="1926" t="s">
        <v>11330</v>
      </c>
      <c r="C1728" s="1926" t="s">
        <v>39</v>
      </c>
      <c r="D1728" s="1926" t="s">
        <v>40</v>
      </c>
      <c r="E1728" s="1662">
        <v>1.6</v>
      </c>
    </row>
    <row r="1729" spans="1:5" x14ac:dyDescent="0.2">
      <c r="A1729" s="135">
        <v>2628</v>
      </c>
      <c r="B1729" s="1926" t="s">
        <v>11331</v>
      </c>
      <c r="C1729" s="1926" t="s">
        <v>39</v>
      </c>
      <c r="D1729" s="1926" t="s">
        <v>46</v>
      </c>
      <c r="E1729" s="1662">
        <v>199.84</v>
      </c>
    </row>
    <row r="1730" spans="1:5" x14ac:dyDescent="0.2">
      <c r="A1730" s="135">
        <v>2622</v>
      </c>
      <c r="B1730" s="1926" t="s">
        <v>11332</v>
      </c>
      <c r="C1730" s="1926" t="s">
        <v>39</v>
      </c>
      <c r="D1730" s="1926" t="s">
        <v>46</v>
      </c>
      <c r="E1730" s="1662">
        <v>4.74</v>
      </c>
    </row>
    <row r="1731" spans="1:5" x14ac:dyDescent="0.2">
      <c r="A1731" s="135">
        <v>2623</v>
      </c>
      <c r="B1731" s="1926" t="s">
        <v>11333</v>
      </c>
      <c r="C1731" s="1926" t="s">
        <v>39</v>
      </c>
      <c r="D1731" s="1926" t="s">
        <v>46</v>
      </c>
      <c r="E1731" s="1662">
        <v>5.71</v>
      </c>
    </row>
    <row r="1732" spans="1:5" x14ac:dyDescent="0.2">
      <c r="A1732" s="135">
        <v>2624</v>
      </c>
      <c r="B1732" s="1926" t="s">
        <v>11334</v>
      </c>
      <c r="C1732" s="1926" t="s">
        <v>39</v>
      </c>
      <c r="D1732" s="1926" t="s">
        <v>46</v>
      </c>
      <c r="E1732" s="1662">
        <v>9.08</v>
      </c>
    </row>
    <row r="1733" spans="1:5" x14ac:dyDescent="0.2">
      <c r="A1733" s="135">
        <v>2625</v>
      </c>
      <c r="B1733" s="1926" t="s">
        <v>11335</v>
      </c>
      <c r="C1733" s="1926" t="s">
        <v>39</v>
      </c>
      <c r="D1733" s="1926" t="s">
        <v>46</v>
      </c>
      <c r="E1733" s="1662">
        <v>19.170000000000002</v>
      </c>
    </row>
    <row r="1734" spans="1:5" x14ac:dyDescent="0.2">
      <c r="A1734" s="135">
        <v>2626</v>
      </c>
      <c r="B1734" s="1926" t="s">
        <v>11336</v>
      </c>
      <c r="C1734" s="1926" t="s">
        <v>39</v>
      </c>
      <c r="D1734" s="1926" t="s">
        <v>46</v>
      </c>
      <c r="E1734" s="1662">
        <v>28.09</v>
      </c>
    </row>
    <row r="1735" spans="1:5" x14ac:dyDescent="0.2">
      <c r="A1735" s="135">
        <v>2630</v>
      </c>
      <c r="B1735" s="1926" t="s">
        <v>11337</v>
      </c>
      <c r="C1735" s="1926" t="s">
        <v>39</v>
      </c>
      <c r="D1735" s="1926" t="s">
        <v>46</v>
      </c>
      <c r="E1735" s="1662">
        <v>42.73</v>
      </c>
    </row>
    <row r="1736" spans="1:5" x14ac:dyDescent="0.2">
      <c r="A1736" s="135">
        <v>2627</v>
      </c>
      <c r="B1736" s="1926" t="s">
        <v>11338</v>
      </c>
      <c r="C1736" s="1926" t="s">
        <v>39</v>
      </c>
      <c r="D1736" s="1926" t="s">
        <v>46</v>
      </c>
      <c r="E1736" s="1662">
        <v>75.27</v>
      </c>
    </row>
    <row r="1737" spans="1:5" x14ac:dyDescent="0.2">
      <c r="A1737" s="135">
        <v>2629</v>
      </c>
      <c r="B1737" s="1926" t="s">
        <v>11339</v>
      </c>
      <c r="C1737" s="1926" t="s">
        <v>39</v>
      </c>
      <c r="D1737" s="1926" t="s">
        <v>46</v>
      </c>
      <c r="E1737" s="1662">
        <v>101.81</v>
      </c>
    </row>
    <row r="1738" spans="1:5" x14ac:dyDescent="0.2">
      <c r="A1738" s="135">
        <v>12033</v>
      </c>
      <c r="B1738" s="1926" t="s">
        <v>11340</v>
      </c>
      <c r="C1738" s="1926" t="s">
        <v>39</v>
      </c>
      <c r="D1738" s="1926" t="s">
        <v>40</v>
      </c>
      <c r="E1738" s="1662">
        <v>6.6</v>
      </c>
    </row>
    <row r="1739" spans="1:5" x14ac:dyDescent="0.2">
      <c r="A1739" s="135">
        <v>40408</v>
      </c>
      <c r="B1739" s="1926" t="s">
        <v>11341</v>
      </c>
      <c r="C1739" s="1926" t="s">
        <v>39</v>
      </c>
      <c r="D1739" s="1926" t="s">
        <v>40</v>
      </c>
      <c r="E1739" s="1662">
        <v>4.33</v>
      </c>
    </row>
    <row r="1740" spans="1:5" x14ac:dyDescent="0.2">
      <c r="A1740" s="135">
        <v>40409</v>
      </c>
      <c r="B1740" s="1926" t="s">
        <v>11342</v>
      </c>
      <c r="C1740" s="1926" t="s">
        <v>39</v>
      </c>
      <c r="D1740" s="1926" t="s">
        <v>40</v>
      </c>
      <c r="E1740" s="1662">
        <v>1.53</v>
      </c>
    </row>
    <row r="1741" spans="1:5" x14ac:dyDescent="0.2">
      <c r="A1741" s="135">
        <v>39276</v>
      </c>
      <c r="B1741" s="1926" t="s">
        <v>11343</v>
      </c>
      <c r="C1741" s="1926" t="s">
        <v>39</v>
      </c>
      <c r="D1741" s="1926" t="s">
        <v>40</v>
      </c>
      <c r="E1741" s="1662">
        <v>3.9</v>
      </c>
    </row>
    <row r="1742" spans="1:5" x14ac:dyDescent="0.2">
      <c r="A1742" s="135">
        <v>39277</v>
      </c>
      <c r="B1742" s="1926" t="s">
        <v>11344</v>
      </c>
      <c r="C1742" s="1926" t="s">
        <v>39</v>
      </c>
      <c r="D1742" s="1926" t="s">
        <v>40</v>
      </c>
      <c r="E1742" s="1662">
        <v>10.54</v>
      </c>
    </row>
    <row r="1743" spans="1:5" x14ac:dyDescent="0.2">
      <c r="A1743" s="135">
        <v>12034</v>
      </c>
      <c r="B1743" s="1926" t="s">
        <v>11345</v>
      </c>
      <c r="C1743" s="1926" t="s">
        <v>39</v>
      </c>
      <c r="D1743" s="1926" t="s">
        <v>40</v>
      </c>
      <c r="E1743" s="1662">
        <v>2.99</v>
      </c>
    </row>
    <row r="1744" spans="1:5" x14ac:dyDescent="0.2">
      <c r="A1744" s="135">
        <v>39879</v>
      </c>
      <c r="B1744" s="1926" t="s">
        <v>11346</v>
      </c>
      <c r="C1744" s="1926" t="s">
        <v>39</v>
      </c>
      <c r="D1744" s="1926" t="s">
        <v>46</v>
      </c>
      <c r="E1744" s="1662">
        <v>3.23</v>
      </c>
    </row>
    <row r="1745" spans="1:5" x14ac:dyDescent="0.2">
      <c r="A1745" s="135">
        <v>39880</v>
      </c>
      <c r="B1745" s="1926" t="s">
        <v>11347</v>
      </c>
      <c r="C1745" s="1926" t="s">
        <v>39</v>
      </c>
      <c r="D1745" s="1926" t="s">
        <v>46</v>
      </c>
      <c r="E1745" s="1662">
        <v>7.17</v>
      </c>
    </row>
    <row r="1746" spans="1:5" x14ac:dyDescent="0.2">
      <c r="A1746" s="135">
        <v>39881</v>
      </c>
      <c r="B1746" s="1926" t="s">
        <v>11348</v>
      </c>
      <c r="C1746" s="1926" t="s">
        <v>39</v>
      </c>
      <c r="D1746" s="1926" t="s">
        <v>46</v>
      </c>
      <c r="E1746" s="1662">
        <v>11.5</v>
      </c>
    </row>
    <row r="1747" spans="1:5" x14ac:dyDescent="0.2">
      <c r="A1747" s="135">
        <v>39882</v>
      </c>
      <c r="B1747" s="1926" t="s">
        <v>11349</v>
      </c>
      <c r="C1747" s="1926" t="s">
        <v>39</v>
      </c>
      <c r="D1747" s="1926" t="s">
        <v>46</v>
      </c>
      <c r="E1747" s="1662">
        <v>30.31</v>
      </c>
    </row>
    <row r="1748" spans="1:5" x14ac:dyDescent="0.2">
      <c r="A1748" s="135">
        <v>39883</v>
      </c>
      <c r="B1748" s="1926" t="s">
        <v>11350</v>
      </c>
      <c r="C1748" s="1926" t="s">
        <v>39</v>
      </c>
      <c r="D1748" s="1926" t="s">
        <v>46</v>
      </c>
      <c r="E1748" s="1662">
        <v>48.39</v>
      </c>
    </row>
    <row r="1749" spans="1:5" x14ac:dyDescent="0.2">
      <c r="A1749" s="135">
        <v>39884</v>
      </c>
      <c r="B1749" s="1926" t="s">
        <v>11351</v>
      </c>
      <c r="C1749" s="1926" t="s">
        <v>39</v>
      </c>
      <c r="D1749" s="1926" t="s">
        <v>46</v>
      </c>
      <c r="E1749" s="1662">
        <v>71.88</v>
      </c>
    </row>
    <row r="1750" spans="1:5" x14ac:dyDescent="0.2">
      <c r="A1750" s="135">
        <v>39885</v>
      </c>
      <c r="B1750" s="1926" t="s">
        <v>11352</v>
      </c>
      <c r="C1750" s="1926" t="s">
        <v>39</v>
      </c>
      <c r="D1750" s="1926" t="s">
        <v>46</v>
      </c>
      <c r="E1750" s="1662">
        <v>170.84</v>
      </c>
    </row>
    <row r="1751" spans="1:5" x14ac:dyDescent="0.2">
      <c r="A1751" s="135">
        <v>1777</v>
      </c>
      <c r="B1751" s="1926" t="s">
        <v>11353</v>
      </c>
      <c r="C1751" s="1926" t="s">
        <v>39</v>
      </c>
      <c r="D1751" s="1926" t="s">
        <v>40</v>
      </c>
      <c r="E1751" s="1662">
        <v>45.95</v>
      </c>
    </row>
    <row r="1752" spans="1:5" x14ac:dyDescent="0.2">
      <c r="A1752" s="135">
        <v>1819</v>
      </c>
      <c r="B1752" s="1926" t="s">
        <v>11354</v>
      </c>
      <c r="C1752" s="1926" t="s">
        <v>39</v>
      </c>
      <c r="D1752" s="1926" t="s">
        <v>40</v>
      </c>
      <c r="E1752" s="1662">
        <v>33.43</v>
      </c>
    </row>
    <row r="1753" spans="1:5" x14ac:dyDescent="0.2">
      <c r="A1753" s="135">
        <v>1775</v>
      </c>
      <c r="B1753" s="1926" t="s">
        <v>11355</v>
      </c>
      <c r="C1753" s="1926" t="s">
        <v>39</v>
      </c>
      <c r="D1753" s="1926" t="s">
        <v>40</v>
      </c>
      <c r="E1753" s="1662">
        <v>9.99</v>
      </c>
    </row>
    <row r="1754" spans="1:5" x14ac:dyDescent="0.2">
      <c r="A1754" s="135">
        <v>1776</v>
      </c>
      <c r="B1754" s="1926" t="s">
        <v>11356</v>
      </c>
      <c r="C1754" s="1926" t="s">
        <v>39</v>
      </c>
      <c r="D1754" s="1926" t="s">
        <v>40</v>
      </c>
      <c r="E1754" s="1662">
        <v>27.2</v>
      </c>
    </row>
    <row r="1755" spans="1:5" x14ac:dyDescent="0.2">
      <c r="A1755" s="135">
        <v>1778</v>
      </c>
      <c r="B1755" s="1926" t="s">
        <v>11357</v>
      </c>
      <c r="C1755" s="1926" t="s">
        <v>39</v>
      </c>
      <c r="D1755" s="1926" t="s">
        <v>40</v>
      </c>
      <c r="E1755" s="1662">
        <v>111.22</v>
      </c>
    </row>
    <row r="1756" spans="1:5" x14ac:dyDescent="0.2">
      <c r="A1756" s="135">
        <v>1818</v>
      </c>
      <c r="B1756" s="1926" t="s">
        <v>11358</v>
      </c>
      <c r="C1756" s="1926" t="s">
        <v>39</v>
      </c>
      <c r="D1756" s="1926" t="s">
        <v>40</v>
      </c>
      <c r="E1756" s="1662">
        <v>73.819999999999993</v>
      </c>
    </row>
    <row r="1757" spans="1:5" x14ac:dyDescent="0.2">
      <c r="A1757" s="135">
        <v>1820</v>
      </c>
      <c r="B1757" s="1926" t="s">
        <v>11359</v>
      </c>
      <c r="C1757" s="1926" t="s">
        <v>39</v>
      </c>
      <c r="D1757" s="1926" t="s">
        <v>40</v>
      </c>
      <c r="E1757" s="1662">
        <v>14.43</v>
      </c>
    </row>
    <row r="1758" spans="1:5" x14ac:dyDescent="0.2">
      <c r="A1758" s="135">
        <v>1779</v>
      </c>
      <c r="B1758" s="1926" t="s">
        <v>11360</v>
      </c>
      <c r="C1758" s="1926" t="s">
        <v>39</v>
      </c>
      <c r="D1758" s="1926" t="s">
        <v>40</v>
      </c>
      <c r="E1758" s="1662">
        <v>161.75</v>
      </c>
    </row>
    <row r="1759" spans="1:5" x14ac:dyDescent="0.2">
      <c r="A1759" s="135">
        <v>1780</v>
      </c>
      <c r="B1759" s="1926" t="s">
        <v>11361</v>
      </c>
      <c r="C1759" s="1926" t="s">
        <v>39</v>
      </c>
      <c r="D1759" s="1926" t="s">
        <v>40</v>
      </c>
      <c r="E1759" s="1662">
        <v>333.45</v>
      </c>
    </row>
    <row r="1760" spans="1:5" x14ac:dyDescent="0.2">
      <c r="A1760" s="135">
        <v>1783</v>
      </c>
      <c r="B1760" s="1926" t="s">
        <v>11362</v>
      </c>
      <c r="C1760" s="1926" t="s">
        <v>39</v>
      </c>
      <c r="D1760" s="1926" t="s">
        <v>40</v>
      </c>
      <c r="E1760" s="1662">
        <v>35.25</v>
      </c>
    </row>
    <row r="1761" spans="1:5" x14ac:dyDescent="0.2">
      <c r="A1761" s="135">
        <v>1782</v>
      </c>
      <c r="B1761" s="1926" t="s">
        <v>11363</v>
      </c>
      <c r="C1761" s="1926" t="s">
        <v>39</v>
      </c>
      <c r="D1761" s="1926" t="s">
        <v>40</v>
      </c>
      <c r="E1761" s="1662">
        <v>27.87</v>
      </c>
    </row>
    <row r="1762" spans="1:5" x14ac:dyDescent="0.2">
      <c r="A1762" s="135">
        <v>1817</v>
      </c>
      <c r="B1762" s="1926" t="s">
        <v>11364</v>
      </c>
      <c r="C1762" s="1926" t="s">
        <v>39</v>
      </c>
      <c r="D1762" s="1926" t="s">
        <v>40</v>
      </c>
      <c r="E1762" s="1662">
        <v>8.3000000000000007</v>
      </c>
    </row>
    <row r="1763" spans="1:5" x14ac:dyDescent="0.2">
      <c r="A1763" s="135">
        <v>1781</v>
      </c>
      <c r="B1763" s="1926" t="s">
        <v>11365</v>
      </c>
      <c r="C1763" s="1926" t="s">
        <v>39</v>
      </c>
      <c r="D1763" s="1926" t="s">
        <v>40</v>
      </c>
      <c r="E1763" s="1662">
        <v>18.16</v>
      </c>
    </row>
    <row r="1764" spans="1:5" x14ac:dyDescent="0.2">
      <c r="A1764" s="135">
        <v>1784</v>
      </c>
      <c r="B1764" s="1926" t="s">
        <v>11366</v>
      </c>
      <c r="C1764" s="1926" t="s">
        <v>39</v>
      </c>
      <c r="D1764" s="1926" t="s">
        <v>40</v>
      </c>
      <c r="E1764" s="1662">
        <v>99.55</v>
      </c>
    </row>
    <row r="1765" spans="1:5" x14ac:dyDescent="0.2">
      <c r="A1765" s="135">
        <v>1810</v>
      </c>
      <c r="B1765" s="1926" t="s">
        <v>11367</v>
      </c>
      <c r="C1765" s="1926" t="s">
        <v>39</v>
      </c>
      <c r="D1765" s="1926" t="s">
        <v>40</v>
      </c>
      <c r="E1765" s="1662">
        <v>55.22</v>
      </c>
    </row>
    <row r="1766" spans="1:5" x14ac:dyDescent="0.2">
      <c r="A1766" s="135">
        <v>1811</v>
      </c>
      <c r="B1766" s="1926" t="s">
        <v>11368</v>
      </c>
      <c r="C1766" s="1926" t="s">
        <v>39</v>
      </c>
      <c r="D1766" s="1926" t="s">
        <v>40</v>
      </c>
      <c r="E1766" s="1662">
        <v>11.94</v>
      </c>
    </row>
    <row r="1767" spans="1:5" x14ac:dyDescent="0.2">
      <c r="A1767" s="135">
        <v>1812</v>
      </c>
      <c r="B1767" s="1926" t="s">
        <v>11369</v>
      </c>
      <c r="C1767" s="1926" t="s">
        <v>39</v>
      </c>
      <c r="D1767" s="1926" t="s">
        <v>40</v>
      </c>
      <c r="E1767" s="1662">
        <v>139.38999999999999</v>
      </c>
    </row>
    <row r="1768" spans="1:5" x14ac:dyDescent="0.2">
      <c r="A1768" s="135">
        <v>40386</v>
      </c>
      <c r="B1768" s="1926" t="s">
        <v>11370</v>
      </c>
      <c r="C1768" s="1926" t="s">
        <v>39</v>
      </c>
      <c r="D1768" s="1926" t="s">
        <v>46</v>
      </c>
      <c r="E1768" s="1662">
        <v>55.15</v>
      </c>
    </row>
    <row r="1769" spans="1:5" x14ac:dyDescent="0.2">
      <c r="A1769" s="135">
        <v>40384</v>
      </c>
      <c r="B1769" s="1926" t="s">
        <v>11371</v>
      </c>
      <c r="C1769" s="1926" t="s">
        <v>39</v>
      </c>
      <c r="D1769" s="1926" t="s">
        <v>46</v>
      </c>
      <c r="E1769" s="1662">
        <v>37.76</v>
      </c>
    </row>
    <row r="1770" spans="1:5" x14ac:dyDescent="0.2">
      <c r="A1770" s="135">
        <v>40379</v>
      </c>
      <c r="B1770" s="1926" t="s">
        <v>11372</v>
      </c>
      <c r="C1770" s="1926" t="s">
        <v>39</v>
      </c>
      <c r="D1770" s="1926" t="s">
        <v>46</v>
      </c>
      <c r="E1770" s="1662">
        <v>13.05</v>
      </c>
    </row>
    <row r="1771" spans="1:5" x14ac:dyDescent="0.2">
      <c r="A1771" s="135">
        <v>40423</v>
      </c>
      <c r="B1771" s="1926" t="s">
        <v>11373</v>
      </c>
      <c r="C1771" s="1926" t="s">
        <v>39</v>
      </c>
      <c r="D1771" s="1926" t="s">
        <v>46</v>
      </c>
      <c r="E1771" s="1662">
        <v>24.7</v>
      </c>
    </row>
    <row r="1772" spans="1:5" x14ac:dyDescent="0.2">
      <c r="A1772" s="135">
        <v>40389</v>
      </c>
      <c r="B1772" s="1926" t="s">
        <v>11374</v>
      </c>
      <c r="C1772" s="1926" t="s">
        <v>39</v>
      </c>
      <c r="D1772" s="1926" t="s">
        <v>46</v>
      </c>
      <c r="E1772" s="1662">
        <v>156.66</v>
      </c>
    </row>
    <row r="1773" spans="1:5" x14ac:dyDescent="0.2">
      <c r="A1773" s="135">
        <v>40388</v>
      </c>
      <c r="B1773" s="1926" t="s">
        <v>11375</v>
      </c>
      <c r="C1773" s="1926" t="s">
        <v>39</v>
      </c>
      <c r="D1773" s="1926" t="s">
        <v>46</v>
      </c>
      <c r="E1773" s="1662">
        <v>78.41</v>
      </c>
    </row>
    <row r="1774" spans="1:5" x14ac:dyDescent="0.2">
      <c r="A1774" s="135">
        <v>40381</v>
      </c>
      <c r="B1774" s="1926" t="s">
        <v>11376</v>
      </c>
      <c r="C1774" s="1926" t="s">
        <v>39</v>
      </c>
      <c r="D1774" s="1926" t="s">
        <v>46</v>
      </c>
      <c r="E1774" s="1662">
        <v>17.399999999999999</v>
      </c>
    </row>
    <row r="1775" spans="1:5" x14ac:dyDescent="0.2">
      <c r="A1775" s="135">
        <v>40391</v>
      </c>
      <c r="B1775" s="1926" t="s">
        <v>11377</v>
      </c>
      <c r="C1775" s="1926" t="s">
        <v>39</v>
      </c>
      <c r="D1775" s="1926" t="s">
        <v>46</v>
      </c>
      <c r="E1775" s="1662">
        <v>406.62</v>
      </c>
    </row>
    <row r="1776" spans="1:5" x14ac:dyDescent="0.2">
      <c r="A1776" s="135">
        <v>40414</v>
      </c>
      <c r="B1776" s="1926" t="s">
        <v>11378</v>
      </c>
      <c r="C1776" s="1926" t="s">
        <v>39</v>
      </c>
      <c r="D1776" s="1926" t="s">
        <v>46</v>
      </c>
      <c r="E1776" s="1662">
        <v>13.57</v>
      </c>
    </row>
    <row r="1777" spans="1:5" x14ac:dyDescent="0.2">
      <c r="A1777" s="135">
        <v>40416</v>
      </c>
      <c r="B1777" s="1926" t="s">
        <v>11379</v>
      </c>
      <c r="C1777" s="1926" t="s">
        <v>39</v>
      </c>
      <c r="D1777" s="1926" t="s">
        <v>46</v>
      </c>
      <c r="E1777" s="1662">
        <v>18.75</v>
      </c>
    </row>
    <row r="1778" spans="1:5" x14ac:dyDescent="0.2">
      <c r="A1778" s="135">
        <v>40418</v>
      </c>
      <c r="B1778" s="1926" t="s">
        <v>11380</v>
      </c>
      <c r="C1778" s="1926" t="s">
        <v>39</v>
      </c>
      <c r="D1778" s="1926" t="s">
        <v>46</v>
      </c>
      <c r="E1778" s="1662">
        <v>22.37</v>
      </c>
    </row>
    <row r="1779" spans="1:5" x14ac:dyDescent="0.2">
      <c r="A1779" s="135">
        <v>2609</v>
      </c>
      <c r="B1779" s="1926" t="s">
        <v>11381</v>
      </c>
      <c r="C1779" s="1926" t="s">
        <v>39</v>
      </c>
      <c r="D1779" s="1926" t="s">
        <v>46</v>
      </c>
      <c r="E1779" s="1662">
        <v>4.46</v>
      </c>
    </row>
    <row r="1780" spans="1:5" x14ac:dyDescent="0.2">
      <c r="A1780" s="135">
        <v>2634</v>
      </c>
      <c r="B1780" s="1926" t="s">
        <v>11382</v>
      </c>
      <c r="C1780" s="1926" t="s">
        <v>39</v>
      </c>
      <c r="D1780" s="1926" t="s">
        <v>46</v>
      </c>
      <c r="E1780" s="1662">
        <v>5.85</v>
      </c>
    </row>
    <row r="1781" spans="1:5" x14ac:dyDescent="0.2">
      <c r="A1781" s="135">
        <v>2611</v>
      </c>
      <c r="B1781" s="1926" t="s">
        <v>11383</v>
      </c>
      <c r="C1781" s="1926" t="s">
        <v>39</v>
      </c>
      <c r="D1781" s="1926" t="s">
        <v>46</v>
      </c>
      <c r="E1781" s="1662">
        <v>16.5</v>
      </c>
    </row>
    <row r="1782" spans="1:5" x14ac:dyDescent="0.2">
      <c r="A1782" s="135">
        <v>34359</v>
      </c>
      <c r="B1782" s="1926" t="s">
        <v>11384</v>
      </c>
      <c r="C1782" s="1926" t="s">
        <v>39</v>
      </c>
      <c r="D1782" s="1926" t="s">
        <v>46</v>
      </c>
      <c r="E1782" s="1662">
        <v>6.61</v>
      </c>
    </row>
    <row r="1783" spans="1:5" x14ac:dyDescent="0.2">
      <c r="A1783" s="135">
        <v>1789</v>
      </c>
      <c r="B1783" s="1926" t="s">
        <v>11385</v>
      </c>
      <c r="C1783" s="1926" t="s">
        <v>39</v>
      </c>
      <c r="D1783" s="1926" t="s">
        <v>40</v>
      </c>
      <c r="E1783" s="1662">
        <v>44.1</v>
      </c>
    </row>
    <row r="1784" spans="1:5" x14ac:dyDescent="0.2">
      <c r="A1784" s="135">
        <v>1788</v>
      </c>
      <c r="B1784" s="1926" t="s">
        <v>11386</v>
      </c>
      <c r="C1784" s="1926" t="s">
        <v>39</v>
      </c>
      <c r="D1784" s="1926" t="s">
        <v>40</v>
      </c>
      <c r="E1784" s="1662">
        <v>35.35</v>
      </c>
    </row>
    <row r="1785" spans="1:5" x14ac:dyDescent="0.2">
      <c r="A1785" s="135">
        <v>1786</v>
      </c>
      <c r="B1785" s="1926" t="s">
        <v>11387</v>
      </c>
      <c r="C1785" s="1926" t="s">
        <v>39</v>
      </c>
      <c r="D1785" s="1926" t="s">
        <v>40</v>
      </c>
      <c r="E1785" s="1662">
        <v>8.77</v>
      </c>
    </row>
    <row r="1786" spans="1:5" x14ac:dyDescent="0.2">
      <c r="A1786" s="135">
        <v>1787</v>
      </c>
      <c r="B1786" s="1926" t="s">
        <v>11388</v>
      </c>
      <c r="C1786" s="1926" t="s">
        <v>39</v>
      </c>
      <c r="D1786" s="1926" t="s">
        <v>40</v>
      </c>
      <c r="E1786" s="1662">
        <v>21.01</v>
      </c>
    </row>
    <row r="1787" spans="1:5" x14ac:dyDescent="0.2">
      <c r="A1787" s="135">
        <v>1791</v>
      </c>
      <c r="B1787" s="1926" t="s">
        <v>11389</v>
      </c>
      <c r="C1787" s="1926" t="s">
        <v>39</v>
      </c>
      <c r="D1787" s="1926" t="s">
        <v>40</v>
      </c>
      <c r="E1787" s="1662">
        <v>127.45</v>
      </c>
    </row>
    <row r="1788" spans="1:5" x14ac:dyDescent="0.2">
      <c r="A1788" s="135">
        <v>1790</v>
      </c>
      <c r="B1788" s="1926" t="s">
        <v>11390</v>
      </c>
      <c r="C1788" s="1926" t="s">
        <v>39</v>
      </c>
      <c r="D1788" s="1926" t="s">
        <v>40</v>
      </c>
      <c r="E1788" s="1662">
        <v>73.44</v>
      </c>
    </row>
    <row r="1789" spans="1:5" x14ac:dyDescent="0.2">
      <c r="A1789" s="135">
        <v>1813</v>
      </c>
      <c r="B1789" s="1926" t="s">
        <v>11391</v>
      </c>
      <c r="C1789" s="1926" t="s">
        <v>39</v>
      </c>
      <c r="D1789" s="1926" t="s">
        <v>40</v>
      </c>
      <c r="E1789" s="1662">
        <v>13.93</v>
      </c>
    </row>
    <row r="1790" spans="1:5" x14ac:dyDescent="0.2">
      <c r="A1790" s="135">
        <v>1792</v>
      </c>
      <c r="B1790" s="1926" t="s">
        <v>11392</v>
      </c>
      <c r="C1790" s="1926" t="s">
        <v>39</v>
      </c>
      <c r="D1790" s="1926" t="s">
        <v>40</v>
      </c>
      <c r="E1790" s="1662">
        <v>172.03</v>
      </c>
    </row>
    <row r="1791" spans="1:5" x14ac:dyDescent="0.2">
      <c r="A1791" s="135">
        <v>1793</v>
      </c>
      <c r="B1791" s="1926" t="s">
        <v>11393</v>
      </c>
      <c r="C1791" s="1926" t="s">
        <v>39</v>
      </c>
      <c r="D1791" s="1926" t="s">
        <v>40</v>
      </c>
      <c r="E1791" s="1662">
        <v>347.63</v>
      </c>
    </row>
    <row r="1792" spans="1:5" x14ac:dyDescent="0.2">
      <c r="A1792" s="135">
        <v>1809</v>
      </c>
      <c r="B1792" s="1926" t="s">
        <v>11394</v>
      </c>
      <c r="C1792" s="1926" t="s">
        <v>39</v>
      </c>
      <c r="D1792" s="1926" t="s">
        <v>40</v>
      </c>
      <c r="E1792" s="1662">
        <v>41.34</v>
      </c>
    </row>
    <row r="1793" spans="1:5" x14ac:dyDescent="0.2">
      <c r="A1793" s="135">
        <v>1814</v>
      </c>
      <c r="B1793" s="1926" t="s">
        <v>11395</v>
      </c>
      <c r="C1793" s="1926" t="s">
        <v>39</v>
      </c>
      <c r="D1793" s="1926" t="s">
        <v>40</v>
      </c>
      <c r="E1793" s="1662">
        <v>33.96</v>
      </c>
    </row>
    <row r="1794" spans="1:5" x14ac:dyDescent="0.2">
      <c r="A1794" s="135">
        <v>1803</v>
      </c>
      <c r="B1794" s="1926" t="s">
        <v>11396</v>
      </c>
      <c r="C1794" s="1926" t="s">
        <v>39</v>
      </c>
      <c r="D1794" s="1926" t="s">
        <v>40</v>
      </c>
      <c r="E1794" s="1662">
        <v>8.58</v>
      </c>
    </row>
    <row r="1795" spans="1:5" x14ac:dyDescent="0.2">
      <c r="A1795" s="135">
        <v>1805</v>
      </c>
      <c r="B1795" s="1926" t="s">
        <v>11397</v>
      </c>
      <c r="C1795" s="1926" t="s">
        <v>39</v>
      </c>
      <c r="D1795" s="1926" t="s">
        <v>40</v>
      </c>
      <c r="E1795" s="1662">
        <v>19.71</v>
      </c>
    </row>
    <row r="1796" spans="1:5" x14ac:dyDescent="0.2">
      <c r="A1796" s="135">
        <v>1821</v>
      </c>
      <c r="B1796" s="1926" t="s">
        <v>11398</v>
      </c>
      <c r="C1796" s="1926" t="s">
        <v>39</v>
      </c>
      <c r="D1796" s="1926" t="s">
        <v>40</v>
      </c>
      <c r="E1796" s="1662">
        <v>116.44</v>
      </c>
    </row>
    <row r="1797" spans="1:5" x14ac:dyDescent="0.2">
      <c r="A1797" s="135">
        <v>1806</v>
      </c>
      <c r="B1797" s="1926" t="s">
        <v>11399</v>
      </c>
      <c r="C1797" s="1926" t="s">
        <v>39</v>
      </c>
      <c r="D1797" s="1926" t="s">
        <v>40</v>
      </c>
      <c r="E1797" s="1662">
        <v>69.31</v>
      </c>
    </row>
    <row r="1798" spans="1:5" x14ac:dyDescent="0.2">
      <c r="A1798" s="135">
        <v>1804</v>
      </c>
      <c r="B1798" s="1926" t="s">
        <v>11400</v>
      </c>
      <c r="C1798" s="1926" t="s">
        <v>39</v>
      </c>
      <c r="D1798" s="1926" t="s">
        <v>40</v>
      </c>
      <c r="E1798" s="1662">
        <v>12.21</v>
      </c>
    </row>
    <row r="1799" spans="1:5" x14ac:dyDescent="0.2">
      <c r="A1799" s="135">
        <v>1807</v>
      </c>
      <c r="B1799" s="1926" t="s">
        <v>11401</v>
      </c>
      <c r="C1799" s="1926" t="s">
        <v>39</v>
      </c>
      <c r="D1799" s="1926" t="s">
        <v>40</v>
      </c>
      <c r="E1799" s="1662">
        <v>166.53</v>
      </c>
    </row>
    <row r="1800" spans="1:5" x14ac:dyDescent="0.2">
      <c r="A1800" s="135">
        <v>1808</v>
      </c>
      <c r="B1800" s="1926" t="s">
        <v>11402</v>
      </c>
      <c r="C1800" s="1926" t="s">
        <v>39</v>
      </c>
      <c r="D1800" s="1926" t="s">
        <v>40</v>
      </c>
      <c r="E1800" s="1662">
        <v>333.87</v>
      </c>
    </row>
    <row r="1801" spans="1:5" x14ac:dyDescent="0.2">
      <c r="A1801" s="135">
        <v>1797</v>
      </c>
      <c r="B1801" s="1926" t="s">
        <v>11403</v>
      </c>
      <c r="C1801" s="1926" t="s">
        <v>39</v>
      </c>
      <c r="D1801" s="1926" t="s">
        <v>40</v>
      </c>
      <c r="E1801" s="1662">
        <v>50.07</v>
      </c>
    </row>
    <row r="1802" spans="1:5" x14ac:dyDescent="0.2">
      <c r="A1802" s="135">
        <v>1796</v>
      </c>
      <c r="B1802" s="1926" t="s">
        <v>11404</v>
      </c>
      <c r="C1802" s="1926" t="s">
        <v>39</v>
      </c>
      <c r="D1802" s="1926" t="s">
        <v>40</v>
      </c>
      <c r="E1802" s="1662">
        <v>38.409999999999997</v>
      </c>
    </row>
    <row r="1803" spans="1:5" x14ac:dyDescent="0.2">
      <c r="A1803" s="135">
        <v>1794</v>
      </c>
      <c r="B1803" s="1926" t="s">
        <v>11405</v>
      </c>
      <c r="C1803" s="1926" t="s">
        <v>39</v>
      </c>
      <c r="D1803" s="1926" t="s">
        <v>40</v>
      </c>
      <c r="E1803" s="1662">
        <v>9.17</v>
      </c>
    </row>
    <row r="1804" spans="1:5" x14ac:dyDescent="0.2">
      <c r="A1804" s="135">
        <v>1816</v>
      </c>
      <c r="B1804" s="1926" t="s">
        <v>11406</v>
      </c>
      <c r="C1804" s="1926" t="s">
        <v>39</v>
      </c>
      <c r="D1804" s="1926" t="s">
        <v>40</v>
      </c>
      <c r="E1804" s="1662">
        <v>20.67</v>
      </c>
    </row>
    <row r="1805" spans="1:5" x14ac:dyDescent="0.2">
      <c r="A1805" s="135">
        <v>1815</v>
      </c>
      <c r="B1805" s="1926" t="s">
        <v>11407</v>
      </c>
      <c r="C1805" s="1926" t="s">
        <v>39</v>
      </c>
      <c r="D1805" s="1926" t="s">
        <v>40</v>
      </c>
      <c r="E1805" s="1662">
        <v>158.77000000000001</v>
      </c>
    </row>
    <row r="1806" spans="1:5" x14ac:dyDescent="0.2">
      <c r="A1806" s="135">
        <v>1798</v>
      </c>
      <c r="B1806" s="1926" t="s">
        <v>11408</v>
      </c>
      <c r="C1806" s="1926" t="s">
        <v>39</v>
      </c>
      <c r="D1806" s="1926" t="s">
        <v>40</v>
      </c>
      <c r="E1806" s="1662">
        <v>71.040000000000006</v>
      </c>
    </row>
    <row r="1807" spans="1:5" x14ac:dyDescent="0.2">
      <c r="A1807" s="135">
        <v>1795</v>
      </c>
      <c r="B1807" s="1926" t="s">
        <v>11409</v>
      </c>
      <c r="C1807" s="1926" t="s">
        <v>39</v>
      </c>
      <c r="D1807" s="1926" t="s">
        <v>40</v>
      </c>
      <c r="E1807" s="1662">
        <v>12.7</v>
      </c>
    </row>
    <row r="1808" spans="1:5" x14ac:dyDescent="0.2">
      <c r="A1808" s="135">
        <v>1799</v>
      </c>
      <c r="B1808" s="1926" t="s">
        <v>11410</v>
      </c>
      <c r="C1808" s="1926" t="s">
        <v>39</v>
      </c>
      <c r="D1808" s="1926" t="s">
        <v>40</v>
      </c>
      <c r="E1808" s="1662">
        <v>206.78</v>
      </c>
    </row>
    <row r="1809" spans="1:5" x14ac:dyDescent="0.2">
      <c r="A1809" s="135">
        <v>1800</v>
      </c>
      <c r="B1809" s="1926" t="s">
        <v>11411</v>
      </c>
      <c r="C1809" s="1926" t="s">
        <v>39</v>
      </c>
      <c r="D1809" s="1926" t="s">
        <v>40</v>
      </c>
      <c r="E1809" s="1662">
        <v>394.78</v>
      </c>
    </row>
    <row r="1810" spans="1:5" x14ac:dyDescent="0.2">
      <c r="A1810" s="135">
        <v>1802</v>
      </c>
      <c r="B1810" s="1926" t="s">
        <v>11412</v>
      </c>
      <c r="C1810" s="1926" t="s">
        <v>39</v>
      </c>
      <c r="D1810" s="1926" t="s">
        <v>40</v>
      </c>
      <c r="E1810" s="1662">
        <v>987.5</v>
      </c>
    </row>
    <row r="1811" spans="1:5" x14ac:dyDescent="0.2">
      <c r="A1811" s="135">
        <v>40385</v>
      </c>
      <c r="B1811" s="1926" t="s">
        <v>11413</v>
      </c>
      <c r="C1811" s="1926" t="s">
        <v>39</v>
      </c>
      <c r="D1811" s="1926" t="s">
        <v>46</v>
      </c>
      <c r="E1811" s="1662">
        <v>55.15</v>
      </c>
    </row>
    <row r="1812" spans="1:5" x14ac:dyDescent="0.2">
      <c r="A1812" s="135">
        <v>40383</v>
      </c>
      <c r="B1812" s="1926" t="s">
        <v>11414</v>
      </c>
      <c r="C1812" s="1926" t="s">
        <v>39</v>
      </c>
      <c r="D1812" s="1926" t="s">
        <v>46</v>
      </c>
      <c r="E1812" s="1662">
        <v>37.76</v>
      </c>
    </row>
    <row r="1813" spans="1:5" x14ac:dyDescent="0.2">
      <c r="A1813" s="135">
        <v>40378</v>
      </c>
      <c r="B1813" s="1926" t="s">
        <v>11415</v>
      </c>
      <c r="C1813" s="1926" t="s">
        <v>39</v>
      </c>
      <c r="D1813" s="1926" t="s">
        <v>46</v>
      </c>
      <c r="E1813" s="1662">
        <v>13.05</v>
      </c>
    </row>
    <row r="1814" spans="1:5" x14ac:dyDescent="0.2">
      <c r="A1814" s="135">
        <v>40382</v>
      </c>
      <c r="B1814" s="1926" t="s">
        <v>11416</v>
      </c>
      <c r="C1814" s="1926" t="s">
        <v>39</v>
      </c>
      <c r="D1814" s="1926" t="s">
        <v>46</v>
      </c>
      <c r="E1814" s="1662">
        <v>24.7</v>
      </c>
    </row>
    <row r="1815" spans="1:5" x14ac:dyDescent="0.2">
      <c r="A1815" s="135">
        <v>40422</v>
      </c>
      <c r="B1815" s="1926" t="s">
        <v>11417</v>
      </c>
      <c r="C1815" s="1926" t="s">
        <v>39</v>
      </c>
      <c r="D1815" s="1926" t="s">
        <v>46</v>
      </c>
      <c r="E1815" s="1662">
        <v>168.29</v>
      </c>
    </row>
    <row r="1816" spans="1:5" x14ac:dyDescent="0.2">
      <c r="A1816" s="135">
        <v>40387</v>
      </c>
      <c r="B1816" s="1926" t="s">
        <v>11418</v>
      </c>
      <c r="C1816" s="1926" t="s">
        <v>39</v>
      </c>
      <c r="D1816" s="1926" t="s">
        <v>46</v>
      </c>
      <c r="E1816" s="1662">
        <v>85.69</v>
      </c>
    </row>
    <row r="1817" spans="1:5" x14ac:dyDescent="0.2">
      <c r="A1817" s="135">
        <v>40380</v>
      </c>
      <c r="B1817" s="1926" t="s">
        <v>11419</v>
      </c>
      <c r="C1817" s="1926" t="s">
        <v>39</v>
      </c>
      <c r="D1817" s="1926" t="s">
        <v>46</v>
      </c>
      <c r="E1817" s="1662">
        <v>17.399999999999999</v>
      </c>
    </row>
    <row r="1818" spans="1:5" x14ac:dyDescent="0.2">
      <c r="A1818" s="135">
        <v>40390</v>
      </c>
      <c r="B1818" s="1926" t="s">
        <v>11420</v>
      </c>
      <c r="C1818" s="1926" t="s">
        <v>39</v>
      </c>
      <c r="D1818" s="1926" t="s">
        <v>46</v>
      </c>
      <c r="E1818" s="1662">
        <v>354.44</v>
      </c>
    </row>
    <row r="1819" spans="1:5" x14ac:dyDescent="0.2">
      <c r="A1819" s="135">
        <v>40413</v>
      </c>
      <c r="B1819" s="1926" t="s">
        <v>11421</v>
      </c>
      <c r="C1819" s="1926" t="s">
        <v>39</v>
      </c>
      <c r="D1819" s="1926" t="s">
        <v>46</v>
      </c>
      <c r="E1819" s="1662">
        <v>14.74</v>
      </c>
    </row>
    <row r="1820" spans="1:5" x14ac:dyDescent="0.2">
      <c r="A1820" s="135">
        <v>40415</v>
      </c>
      <c r="B1820" s="1926" t="s">
        <v>11422</v>
      </c>
      <c r="C1820" s="1926" t="s">
        <v>39</v>
      </c>
      <c r="D1820" s="1926" t="s">
        <v>46</v>
      </c>
      <c r="E1820" s="1662">
        <v>21</v>
      </c>
    </row>
    <row r="1821" spans="1:5" x14ac:dyDescent="0.2">
      <c r="A1821" s="135">
        <v>40417</v>
      </c>
      <c r="B1821" s="1926" t="s">
        <v>11423</v>
      </c>
      <c r="C1821" s="1926" t="s">
        <v>39</v>
      </c>
      <c r="D1821" s="1926" t="s">
        <v>46</v>
      </c>
      <c r="E1821" s="1662">
        <v>24.78</v>
      </c>
    </row>
    <row r="1822" spans="1:5" x14ac:dyDescent="0.2">
      <c r="A1822" s="135">
        <v>39271</v>
      </c>
      <c r="B1822" s="1926" t="s">
        <v>11424</v>
      </c>
      <c r="C1822" s="1926" t="s">
        <v>39</v>
      </c>
      <c r="D1822" s="1926" t="s">
        <v>40</v>
      </c>
      <c r="E1822" s="1662">
        <v>1.33</v>
      </c>
    </row>
    <row r="1823" spans="1:5" x14ac:dyDescent="0.2">
      <c r="A1823" s="135">
        <v>39273</v>
      </c>
      <c r="B1823" s="1926" t="s">
        <v>11425</v>
      </c>
      <c r="C1823" s="1926" t="s">
        <v>39</v>
      </c>
      <c r="D1823" s="1926" t="s">
        <v>40</v>
      </c>
      <c r="E1823" s="1662">
        <v>2.25</v>
      </c>
    </row>
    <row r="1824" spans="1:5" x14ac:dyDescent="0.2">
      <c r="A1824" s="135">
        <v>39272</v>
      </c>
      <c r="B1824" s="1926" t="s">
        <v>11426</v>
      </c>
      <c r="C1824" s="1926" t="s">
        <v>39</v>
      </c>
      <c r="D1824" s="1926" t="s">
        <v>40</v>
      </c>
      <c r="E1824" s="1662">
        <v>1.63</v>
      </c>
    </row>
    <row r="1825" spans="1:5" x14ac:dyDescent="0.2">
      <c r="A1825" s="135">
        <v>1875</v>
      </c>
      <c r="B1825" s="1926" t="s">
        <v>11427</v>
      </c>
      <c r="C1825" s="1926" t="s">
        <v>39</v>
      </c>
      <c r="D1825" s="1926" t="s">
        <v>40</v>
      </c>
      <c r="E1825" s="1662">
        <v>3.6</v>
      </c>
    </row>
    <row r="1826" spans="1:5" x14ac:dyDescent="0.2">
      <c r="A1826" s="135">
        <v>1874</v>
      </c>
      <c r="B1826" s="1926" t="s">
        <v>11428</v>
      </c>
      <c r="C1826" s="1926" t="s">
        <v>39</v>
      </c>
      <c r="D1826" s="1926" t="s">
        <v>40</v>
      </c>
      <c r="E1826" s="1662">
        <v>2.98</v>
      </c>
    </row>
    <row r="1827" spans="1:5" x14ac:dyDescent="0.2">
      <c r="A1827" s="135">
        <v>1870</v>
      </c>
      <c r="B1827" s="1926" t="s">
        <v>11429</v>
      </c>
      <c r="C1827" s="1926" t="s">
        <v>39</v>
      </c>
      <c r="D1827" s="1926" t="s">
        <v>43</v>
      </c>
      <c r="E1827" s="1662">
        <v>1.72</v>
      </c>
    </row>
    <row r="1828" spans="1:5" x14ac:dyDescent="0.2">
      <c r="A1828" s="135">
        <v>1884</v>
      </c>
      <c r="B1828" s="1926" t="s">
        <v>11430</v>
      </c>
      <c r="C1828" s="1926" t="s">
        <v>39</v>
      </c>
      <c r="D1828" s="1926" t="s">
        <v>40</v>
      </c>
      <c r="E1828" s="1662">
        <v>2.64</v>
      </c>
    </row>
    <row r="1829" spans="1:5" x14ac:dyDescent="0.2">
      <c r="A1829" s="135">
        <v>1887</v>
      </c>
      <c r="B1829" s="1926" t="s">
        <v>11431</v>
      </c>
      <c r="C1829" s="1926" t="s">
        <v>39</v>
      </c>
      <c r="D1829" s="1926" t="s">
        <v>40</v>
      </c>
      <c r="E1829" s="1662">
        <v>14.95</v>
      </c>
    </row>
    <row r="1830" spans="1:5" x14ac:dyDescent="0.2">
      <c r="A1830" s="135">
        <v>1876</v>
      </c>
      <c r="B1830" s="1926" t="s">
        <v>11432</v>
      </c>
      <c r="C1830" s="1926" t="s">
        <v>39</v>
      </c>
      <c r="D1830" s="1926" t="s">
        <v>40</v>
      </c>
      <c r="E1830" s="1662">
        <v>5.86</v>
      </c>
    </row>
    <row r="1831" spans="1:5" x14ac:dyDescent="0.2">
      <c r="A1831" s="135">
        <v>1879</v>
      </c>
      <c r="B1831" s="1926" t="s">
        <v>11433</v>
      </c>
      <c r="C1831" s="1926" t="s">
        <v>39</v>
      </c>
      <c r="D1831" s="1926" t="s">
        <v>40</v>
      </c>
      <c r="E1831" s="1662">
        <v>1.74</v>
      </c>
    </row>
    <row r="1832" spans="1:5" x14ac:dyDescent="0.2">
      <c r="A1832" s="135">
        <v>1877</v>
      </c>
      <c r="B1832" s="1926" t="s">
        <v>11434</v>
      </c>
      <c r="C1832" s="1926" t="s">
        <v>39</v>
      </c>
      <c r="D1832" s="1926" t="s">
        <v>40</v>
      </c>
      <c r="E1832" s="1662">
        <v>14.97</v>
      </c>
    </row>
    <row r="1833" spans="1:5" x14ac:dyDescent="0.2">
      <c r="A1833" s="135">
        <v>1878</v>
      </c>
      <c r="B1833" s="1926" t="s">
        <v>11435</v>
      </c>
      <c r="C1833" s="1926" t="s">
        <v>39</v>
      </c>
      <c r="D1833" s="1926" t="s">
        <v>40</v>
      </c>
      <c r="E1833" s="1662">
        <v>30.08</v>
      </c>
    </row>
    <row r="1834" spans="1:5" x14ac:dyDescent="0.2">
      <c r="A1834" s="135">
        <v>2621</v>
      </c>
      <c r="B1834" s="1926" t="s">
        <v>11436</v>
      </c>
      <c r="C1834" s="1926" t="s">
        <v>39</v>
      </c>
      <c r="D1834" s="1926" t="s">
        <v>46</v>
      </c>
      <c r="E1834" s="1662">
        <v>141.19</v>
      </c>
    </row>
    <row r="1835" spans="1:5" x14ac:dyDescent="0.2">
      <c r="A1835" s="135">
        <v>2616</v>
      </c>
      <c r="B1835" s="1926" t="s">
        <v>11437</v>
      </c>
      <c r="C1835" s="1926" t="s">
        <v>39</v>
      </c>
      <c r="D1835" s="1926" t="s">
        <v>46</v>
      </c>
      <c r="E1835" s="1662">
        <v>3.99</v>
      </c>
    </row>
    <row r="1836" spans="1:5" x14ac:dyDescent="0.2">
      <c r="A1836" s="135">
        <v>2633</v>
      </c>
      <c r="B1836" s="1926" t="s">
        <v>11438</v>
      </c>
      <c r="C1836" s="1926" t="s">
        <v>39</v>
      </c>
      <c r="D1836" s="1926" t="s">
        <v>46</v>
      </c>
      <c r="E1836" s="1662">
        <v>4.5199999999999996</v>
      </c>
    </row>
    <row r="1837" spans="1:5" x14ac:dyDescent="0.2">
      <c r="A1837" s="135">
        <v>2617</v>
      </c>
      <c r="B1837" s="1926" t="s">
        <v>11439</v>
      </c>
      <c r="C1837" s="1926" t="s">
        <v>39</v>
      </c>
      <c r="D1837" s="1926" t="s">
        <v>46</v>
      </c>
      <c r="E1837" s="1662">
        <v>6.14</v>
      </c>
    </row>
    <row r="1838" spans="1:5" x14ac:dyDescent="0.2">
      <c r="A1838" s="135">
        <v>2618</v>
      </c>
      <c r="B1838" s="1926" t="s">
        <v>11440</v>
      </c>
      <c r="C1838" s="1926" t="s">
        <v>39</v>
      </c>
      <c r="D1838" s="1926" t="s">
        <v>46</v>
      </c>
      <c r="E1838" s="1662">
        <v>13.98</v>
      </c>
    </row>
    <row r="1839" spans="1:5" x14ac:dyDescent="0.2">
      <c r="A1839" s="135">
        <v>2632</v>
      </c>
      <c r="B1839" s="1926" t="s">
        <v>11441</v>
      </c>
      <c r="C1839" s="1926" t="s">
        <v>39</v>
      </c>
      <c r="D1839" s="1926" t="s">
        <v>46</v>
      </c>
      <c r="E1839" s="1662">
        <v>17.059999999999999</v>
      </c>
    </row>
    <row r="1840" spans="1:5" x14ac:dyDescent="0.2">
      <c r="A1840" s="135">
        <v>2631</v>
      </c>
      <c r="B1840" s="1926" t="s">
        <v>11442</v>
      </c>
      <c r="C1840" s="1926" t="s">
        <v>39</v>
      </c>
      <c r="D1840" s="1926" t="s">
        <v>46</v>
      </c>
      <c r="E1840" s="1662">
        <v>25.04</v>
      </c>
    </row>
    <row r="1841" spans="1:5" x14ac:dyDescent="0.2">
      <c r="A1841" s="135">
        <v>2619</v>
      </c>
      <c r="B1841" s="1926" t="s">
        <v>11443</v>
      </c>
      <c r="C1841" s="1926" t="s">
        <v>39</v>
      </c>
      <c r="D1841" s="1926" t="s">
        <v>46</v>
      </c>
      <c r="E1841" s="1662">
        <v>63.41</v>
      </c>
    </row>
    <row r="1842" spans="1:5" x14ac:dyDescent="0.2">
      <c r="A1842" s="135">
        <v>2620</v>
      </c>
      <c r="B1842" s="1926" t="s">
        <v>11444</v>
      </c>
      <c r="C1842" s="1926" t="s">
        <v>39</v>
      </c>
      <c r="D1842" s="1926" t="s">
        <v>46</v>
      </c>
      <c r="E1842" s="1662">
        <v>83.25</v>
      </c>
    </row>
    <row r="1843" spans="1:5" x14ac:dyDescent="0.2">
      <c r="A1843" s="135">
        <v>25968</v>
      </c>
      <c r="B1843" s="1926" t="s">
        <v>11445</v>
      </c>
      <c r="C1843" s="1926" t="s">
        <v>39</v>
      </c>
      <c r="D1843" s="1926" t="s">
        <v>46</v>
      </c>
      <c r="E1843" s="1662">
        <v>39.36</v>
      </c>
    </row>
    <row r="1844" spans="1:5" x14ac:dyDescent="0.2">
      <c r="A1844" s="135">
        <v>38369</v>
      </c>
      <c r="B1844" s="1926" t="s">
        <v>11446</v>
      </c>
      <c r="C1844" s="1926" t="s">
        <v>39</v>
      </c>
      <c r="D1844" s="1926" t="s">
        <v>40</v>
      </c>
      <c r="E1844" s="1662">
        <v>13.65</v>
      </c>
    </row>
    <row r="1845" spans="1:5" x14ac:dyDescent="0.2">
      <c r="A1845" s="135">
        <v>38370</v>
      </c>
      <c r="B1845" s="1926" t="s">
        <v>11447</v>
      </c>
      <c r="C1845" s="1926" t="s">
        <v>39</v>
      </c>
      <c r="D1845" s="1926" t="s">
        <v>40</v>
      </c>
      <c r="E1845" s="1662">
        <v>13.65</v>
      </c>
    </row>
    <row r="1846" spans="1:5" x14ac:dyDescent="0.2">
      <c r="A1846" s="135">
        <v>38372</v>
      </c>
      <c r="B1846" s="1926" t="s">
        <v>11448</v>
      </c>
      <c r="C1846" s="1926" t="s">
        <v>39</v>
      </c>
      <c r="D1846" s="1926" t="s">
        <v>40</v>
      </c>
      <c r="E1846" s="1662">
        <v>15.64</v>
      </c>
    </row>
    <row r="1847" spans="1:5" x14ac:dyDescent="0.2">
      <c r="A1847" s="135">
        <v>2357</v>
      </c>
      <c r="B1847" s="1926" t="s">
        <v>11449</v>
      </c>
      <c r="C1847" s="1926" t="s">
        <v>42</v>
      </c>
      <c r="D1847" s="1926" t="s">
        <v>40</v>
      </c>
      <c r="E1847" s="1662">
        <v>10.52</v>
      </c>
    </row>
    <row r="1848" spans="1:5" x14ac:dyDescent="0.2">
      <c r="A1848" s="135">
        <v>40806</v>
      </c>
      <c r="B1848" s="1926" t="s">
        <v>11450</v>
      </c>
      <c r="C1848" s="1926" t="s">
        <v>51</v>
      </c>
      <c r="D1848" s="1926" t="s">
        <v>40</v>
      </c>
      <c r="E1848" s="1662">
        <v>1877.7</v>
      </c>
    </row>
    <row r="1849" spans="1:5" x14ac:dyDescent="0.2">
      <c r="A1849" s="135">
        <v>2355</v>
      </c>
      <c r="B1849" s="1926" t="s">
        <v>11451</v>
      </c>
      <c r="C1849" s="1926" t="s">
        <v>42</v>
      </c>
      <c r="D1849" s="1926" t="s">
        <v>40</v>
      </c>
      <c r="E1849" s="1662">
        <v>22.48</v>
      </c>
    </row>
    <row r="1850" spans="1:5" x14ac:dyDescent="0.2">
      <c r="A1850" s="135">
        <v>40805</v>
      </c>
      <c r="B1850" s="1926" t="s">
        <v>11452</v>
      </c>
      <c r="C1850" s="1926" t="s">
        <v>51</v>
      </c>
      <c r="D1850" s="1926" t="s">
        <v>40</v>
      </c>
      <c r="E1850" s="1662">
        <v>4011.01</v>
      </c>
    </row>
    <row r="1851" spans="1:5" x14ac:dyDescent="0.2">
      <c r="A1851" s="135">
        <v>2358</v>
      </c>
      <c r="B1851" s="1926" t="s">
        <v>11453</v>
      </c>
      <c r="C1851" s="1926" t="s">
        <v>42</v>
      </c>
      <c r="D1851" s="1926" t="s">
        <v>40</v>
      </c>
      <c r="E1851" s="1662">
        <v>20.100000000000001</v>
      </c>
    </row>
    <row r="1852" spans="1:5" x14ac:dyDescent="0.2">
      <c r="A1852" s="135">
        <v>40807</v>
      </c>
      <c r="B1852" s="1926" t="s">
        <v>11454</v>
      </c>
      <c r="C1852" s="1926" t="s">
        <v>51</v>
      </c>
      <c r="D1852" s="1926" t="s">
        <v>40</v>
      </c>
      <c r="E1852" s="1662">
        <v>3585.1</v>
      </c>
    </row>
    <row r="1853" spans="1:5" x14ac:dyDescent="0.2">
      <c r="A1853" s="135">
        <v>2359</v>
      </c>
      <c r="B1853" s="1926" t="s">
        <v>11455</v>
      </c>
      <c r="C1853" s="1926" t="s">
        <v>42</v>
      </c>
      <c r="D1853" s="1926" t="s">
        <v>40</v>
      </c>
      <c r="E1853" s="1662">
        <v>24.02</v>
      </c>
    </row>
    <row r="1854" spans="1:5" x14ac:dyDescent="0.2">
      <c r="A1854" s="135">
        <v>40808</v>
      </c>
      <c r="B1854" s="1926" t="s">
        <v>11456</v>
      </c>
      <c r="C1854" s="1926" t="s">
        <v>51</v>
      </c>
      <c r="D1854" s="1926" t="s">
        <v>40</v>
      </c>
      <c r="E1854" s="1662">
        <v>4283.93</v>
      </c>
    </row>
    <row r="1855" spans="1:5" x14ac:dyDescent="0.2">
      <c r="A1855" s="135">
        <v>43144</v>
      </c>
      <c r="B1855" s="1926" t="s">
        <v>11457</v>
      </c>
      <c r="C1855" s="1926" t="s">
        <v>48</v>
      </c>
      <c r="D1855" s="1926" t="s">
        <v>40</v>
      </c>
      <c r="E1855" s="1662">
        <v>24.87</v>
      </c>
    </row>
    <row r="1856" spans="1:5" x14ac:dyDescent="0.2">
      <c r="A1856" s="135">
        <v>39397</v>
      </c>
      <c r="B1856" s="1926" t="s">
        <v>11458</v>
      </c>
      <c r="C1856" s="1926" t="s">
        <v>49</v>
      </c>
      <c r="D1856" s="1926" t="s">
        <v>40</v>
      </c>
      <c r="E1856" s="1662">
        <v>11.33</v>
      </c>
    </row>
    <row r="1857" spans="1:5" x14ac:dyDescent="0.2">
      <c r="A1857" s="135">
        <v>2692</v>
      </c>
      <c r="B1857" s="1926" t="s">
        <v>11459</v>
      </c>
      <c r="C1857" s="1926" t="s">
        <v>49</v>
      </c>
      <c r="D1857" s="1926" t="s">
        <v>40</v>
      </c>
      <c r="E1857" s="1662">
        <v>4.57</v>
      </c>
    </row>
    <row r="1858" spans="1:5" x14ac:dyDescent="0.2">
      <c r="A1858" s="135">
        <v>6</v>
      </c>
      <c r="B1858" s="1926" t="s">
        <v>11460</v>
      </c>
      <c r="C1858" s="1926" t="s">
        <v>49</v>
      </c>
      <c r="D1858" s="1926" t="s">
        <v>40</v>
      </c>
      <c r="E1858" s="1662">
        <v>3.24</v>
      </c>
    </row>
    <row r="1859" spans="1:5" x14ac:dyDescent="0.2">
      <c r="A1859" s="135">
        <v>5330</v>
      </c>
      <c r="B1859" s="1926" t="s">
        <v>11461</v>
      </c>
      <c r="C1859" s="1926" t="s">
        <v>49</v>
      </c>
      <c r="D1859" s="1926" t="s">
        <v>40</v>
      </c>
      <c r="E1859" s="1662">
        <v>34.01</v>
      </c>
    </row>
    <row r="1860" spans="1:5" x14ac:dyDescent="0.2">
      <c r="A1860" s="135">
        <v>26017</v>
      </c>
      <c r="B1860" s="1926" t="s">
        <v>11462</v>
      </c>
      <c r="C1860" s="1926" t="s">
        <v>39</v>
      </c>
      <c r="D1860" s="1926" t="s">
        <v>40</v>
      </c>
      <c r="E1860" s="1662">
        <v>35.68</v>
      </c>
    </row>
    <row r="1861" spans="1:5" x14ac:dyDescent="0.2">
      <c r="A1861" s="135">
        <v>25931</v>
      </c>
      <c r="B1861" s="1926" t="s">
        <v>11463</v>
      </c>
      <c r="C1861" s="1926" t="s">
        <v>39</v>
      </c>
      <c r="D1861" s="1926" t="s">
        <v>40</v>
      </c>
      <c r="E1861" s="1662">
        <v>113.4</v>
      </c>
    </row>
    <row r="1862" spans="1:5" x14ac:dyDescent="0.2">
      <c r="A1862" s="135">
        <v>38140</v>
      </c>
      <c r="B1862" s="1926" t="s">
        <v>11464</v>
      </c>
      <c r="C1862" s="1926" t="s">
        <v>39</v>
      </c>
      <c r="D1862" s="1926" t="s">
        <v>43</v>
      </c>
      <c r="E1862" s="1662">
        <v>27.5</v>
      </c>
    </row>
    <row r="1863" spans="1:5" x14ac:dyDescent="0.2">
      <c r="A1863" s="135">
        <v>13887</v>
      </c>
      <c r="B1863" s="1926" t="s">
        <v>11465</v>
      </c>
      <c r="C1863" s="1926" t="s">
        <v>39</v>
      </c>
      <c r="D1863" s="1926" t="s">
        <v>40</v>
      </c>
      <c r="E1863" s="1662">
        <v>651.08000000000004</v>
      </c>
    </row>
    <row r="1864" spans="1:5" x14ac:dyDescent="0.2">
      <c r="A1864" s="135">
        <v>26018</v>
      </c>
      <c r="B1864" s="1926" t="s">
        <v>11466</v>
      </c>
      <c r="C1864" s="1926" t="s">
        <v>39</v>
      </c>
      <c r="D1864" s="1926" t="s">
        <v>40</v>
      </c>
      <c r="E1864" s="1662">
        <v>28.98</v>
      </c>
    </row>
    <row r="1865" spans="1:5" x14ac:dyDescent="0.2">
      <c r="A1865" s="135">
        <v>26019</v>
      </c>
      <c r="B1865" s="1926" t="s">
        <v>11467</v>
      </c>
      <c r="C1865" s="1926" t="s">
        <v>39</v>
      </c>
      <c r="D1865" s="1926" t="s">
        <v>40</v>
      </c>
      <c r="E1865" s="1662">
        <v>27.37</v>
      </c>
    </row>
    <row r="1866" spans="1:5" x14ac:dyDescent="0.2">
      <c r="A1866" s="135">
        <v>26020</v>
      </c>
      <c r="B1866" s="1926" t="s">
        <v>11468</v>
      </c>
      <c r="C1866" s="1926" t="s">
        <v>39</v>
      </c>
      <c r="D1866" s="1926" t="s">
        <v>40</v>
      </c>
      <c r="E1866" s="1662">
        <v>7.13</v>
      </c>
    </row>
    <row r="1867" spans="1:5" x14ac:dyDescent="0.2">
      <c r="A1867" s="135">
        <v>34544</v>
      </c>
      <c r="B1867" s="1926" t="s">
        <v>11469</v>
      </c>
      <c r="C1867" s="1926" t="s">
        <v>39</v>
      </c>
      <c r="D1867" s="1926" t="s">
        <v>40</v>
      </c>
      <c r="E1867" s="1662">
        <v>1343.15</v>
      </c>
    </row>
    <row r="1868" spans="1:5" x14ac:dyDescent="0.2">
      <c r="A1868" s="135">
        <v>34729</v>
      </c>
      <c r="B1868" s="1926" t="s">
        <v>11470</v>
      </c>
      <c r="C1868" s="1926" t="s">
        <v>39</v>
      </c>
      <c r="D1868" s="1926" t="s">
        <v>40</v>
      </c>
      <c r="E1868" s="1662">
        <v>1056.5899999999999</v>
      </c>
    </row>
    <row r="1869" spans="1:5" x14ac:dyDescent="0.2">
      <c r="A1869" s="135">
        <v>34734</v>
      </c>
      <c r="B1869" s="1926" t="s">
        <v>11471</v>
      </c>
      <c r="C1869" s="1926" t="s">
        <v>39</v>
      </c>
      <c r="D1869" s="1926" t="s">
        <v>40</v>
      </c>
      <c r="E1869" s="1662">
        <v>1635.94</v>
      </c>
    </row>
    <row r="1870" spans="1:5" x14ac:dyDescent="0.2">
      <c r="A1870" s="135">
        <v>34738</v>
      </c>
      <c r="B1870" s="1926" t="s">
        <v>11472</v>
      </c>
      <c r="C1870" s="1926" t="s">
        <v>39</v>
      </c>
      <c r="D1870" s="1926" t="s">
        <v>40</v>
      </c>
      <c r="E1870" s="1662">
        <v>3822.08</v>
      </c>
    </row>
    <row r="1871" spans="1:5" x14ac:dyDescent="0.2">
      <c r="A1871" s="135">
        <v>2391</v>
      </c>
      <c r="B1871" s="1926" t="s">
        <v>11473</v>
      </c>
      <c r="C1871" s="1926" t="s">
        <v>39</v>
      </c>
      <c r="D1871" s="1926" t="s">
        <v>40</v>
      </c>
      <c r="E1871" s="1662">
        <v>310.86</v>
      </c>
    </row>
    <row r="1872" spans="1:5" x14ac:dyDescent="0.2">
      <c r="A1872" s="135">
        <v>2374</v>
      </c>
      <c r="B1872" s="1926" t="s">
        <v>11474</v>
      </c>
      <c r="C1872" s="1926" t="s">
        <v>39</v>
      </c>
      <c r="D1872" s="1926" t="s">
        <v>40</v>
      </c>
      <c r="E1872" s="1662">
        <v>352.66</v>
      </c>
    </row>
    <row r="1873" spans="1:5" x14ac:dyDescent="0.2">
      <c r="A1873" s="135">
        <v>2377</v>
      </c>
      <c r="B1873" s="1926" t="s">
        <v>11475</v>
      </c>
      <c r="C1873" s="1926" t="s">
        <v>39</v>
      </c>
      <c r="D1873" s="1926" t="s">
        <v>40</v>
      </c>
      <c r="E1873" s="1662">
        <v>494.92</v>
      </c>
    </row>
    <row r="1874" spans="1:5" x14ac:dyDescent="0.2">
      <c r="A1874" s="135">
        <v>2393</v>
      </c>
      <c r="B1874" s="1926" t="s">
        <v>11476</v>
      </c>
      <c r="C1874" s="1926" t="s">
        <v>39</v>
      </c>
      <c r="D1874" s="1926" t="s">
        <v>40</v>
      </c>
      <c r="E1874" s="1662">
        <v>828.82</v>
      </c>
    </row>
    <row r="1875" spans="1:5" x14ac:dyDescent="0.2">
      <c r="A1875" s="135">
        <v>34705</v>
      </c>
      <c r="B1875" s="1926" t="s">
        <v>11477</v>
      </c>
      <c r="C1875" s="1926" t="s">
        <v>39</v>
      </c>
      <c r="D1875" s="1926" t="s">
        <v>40</v>
      </c>
      <c r="E1875" s="1662">
        <v>724.92</v>
      </c>
    </row>
    <row r="1876" spans="1:5" x14ac:dyDescent="0.2">
      <c r="A1876" s="135">
        <v>34707</v>
      </c>
      <c r="B1876" s="1926" t="s">
        <v>11478</v>
      </c>
      <c r="C1876" s="1926" t="s">
        <v>39</v>
      </c>
      <c r="D1876" s="1926" t="s">
        <v>40</v>
      </c>
      <c r="E1876" s="1662">
        <v>1343.29</v>
      </c>
    </row>
    <row r="1877" spans="1:5" x14ac:dyDescent="0.2">
      <c r="A1877" s="135">
        <v>2378</v>
      </c>
      <c r="B1877" s="1926" t="s">
        <v>11479</v>
      </c>
      <c r="C1877" s="1926" t="s">
        <v>39</v>
      </c>
      <c r="D1877" s="1926" t="s">
        <v>40</v>
      </c>
      <c r="E1877" s="1662">
        <v>1138.49</v>
      </c>
    </row>
    <row r="1878" spans="1:5" x14ac:dyDescent="0.2">
      <c r="A1878" s="135">
        <v>2379</v>
      </c>
      <c r="B1878" s="1926" t="s">
        <v>11480</v>
      </c>
      <c r="C1878" s="1926" t="s">
        <v>39</v>
      </c>
      <c r="D1878" s="1926" t="s">
        <v>40</v>
      </c>
      <c r="E1878" s="1662">
        <v>1138.49</v>
      </c>
    </row>
    <row r="1879" spans="1:5" x14ac:dyDescent="0.2">
      <c r="A1879" s="135">
        <v>2376</v>
      </c>
      <c r="B1879" s="1926" t="s">
        <v>11481</v>
      </c>
      <c r="C1879" s="1926" t="s">
        <v>39</v>
      </c>
      <c r="D1879" s="1926" t="s">
        <v>40</v>
      </c>
      <c r="E1879" s="1662">
        <v>1875.09</v>
      </c>
    </row>
    <row r="1880" spans="1:5" x14ac:dyDescent="0.2">
      <c r="A1880" s="135">
        <v>2394</v>
      </c>
      <c r="B1880" s="1926" t="s">
        <v>11482</v>
      </c>
      <c r="C1880" s="1926" t="s">
        <v>39</v>
      </c>
      <c r="D1880" s="1926" t="s">
        <v>40</v>
      </c>
      <c r="E1880" s="1662">
        <v>4008.59</v>
      </c>
    </row>
    <row r="1881" spans="1:5" x14ac:dyDescent="0.2">
      <c r="A1881" s="135">
        <v>34686</v>
      </c>
      <c r="B1881" s="1926" t="s">
        <v>11483</v>
      </c>
      <c r="C1881" s="1926" t="s">
        <v>39</v>
      </c>
      <c r="D1881" s="1926" t="s">
        <v>40</v>
      </c>
      <c r="E1881" s="1662">
        <v>12.03</v>
      </c>
    </row>
    <row r="1882" spans="1:5" x14ac:dyDescent="0.2">
      <c r="A1882" s="135">
        <v>34616</v>
      </c>
      <c r="B1882" s="1926" t="s">
        <v>11484</v>
      </c>
      <c r="C1882" s="1926" t="s">
        <v>39</v>
      </c>
      <c r="D1882" s="1926" t="s">
        <v>40</v>
      </c>
      <c r="E1882" s="1662">
        <v>46.51</v>
      </c>
    </row>
    <row r="1883" spans="1:5" x14ac:dyDescent="0.2">
      <c r="A1883" s="135">
        <v>34623</v>
      </c>
      <c r="B1883" s="1926" t="s">
        <v>11485</v>
      </c>
      <c r="C1883" s="1926" t="s">
        <v>39</v>
      </c>
      <c r="D1883" s="1926" t="s">
        <v>40</v>
      </c>
      <c r="E1883" s="1662">
        <v>45.8</v>
      </c>
    </row>
    <row r="1884" spans="1:5" x14ac:dyDescent="0.2">
      <c r="A1884" s="135">
        <v>34628</v>
      </c>
      <c r="B1884" s="1926" t="s">
        <v>11486</v>
      </c>
      <c r="C1884" s="1926" t="s">
        <v>39</v>
      </c>
      <c r="D1884" s="1926" t="s">
        <v>40</v>
      </c>
      <c r="E1884" s="1662">
        <v>65.599999999999994</v>
      </c>
    </row>
    <row r="1885" spans="1:5" x14ac:dyDescent="0.2">
      <c r="A1885" s="135">
        <v>34653</v>
      </c>
      <c r="B1885" s="1926" t="s">
        <v>11487</v>
      </c>
      <c r="C1885" s="1926" t="s">
        <v>39</v>
      </c>
      <c r="D1885" s="1926" t="s">
        <v>40</v>
      </c>
      <c r="E1885" s="1662">
        <v>8.11</v>
      </c>
    </row>
    <row r="1886" spans="1:5" x14ac:dyDescent="0.2">
      <c r="A1886" s="135">
        <v>34688</v>
      </c>
      <c r="B1886" s="1926" t="s">
        <v>11488</v>
      </c>
      <c r="C1886" s="1926" t="s">
        <v>39</v>
      </c>
      <c r="D1886" s="1926" t="s">
        <v>40</v>
      </c>
      <c r="E1886" s="1662">
        <v>14.7</v>
      </c>
    </row>
    <row r="1887" spans="1:5" x14ac:dyDescent="0.2">
      <c r="A1887" s="135">
        <v>34709</v>
      </c>
      <c r="B1887" s="1926" t="s">
        <v>11489</v>
      </c>
      <c r="C1887" s="1926" t="s">
        <v>39</v>
      </c>
      <c r="D1887" s="1926" t="s">
        <v>40</v>
      </c>
      <c r="E1887" s="1662">
        <v>56.99</v>
      </c>
    </row>
    <row r="1888" spans="1:5" x14ac:dyDescent="0.2">
      <c r="A1888" s="135">
        <v>34714</v>
      </c>
      <c r="B1888" s="1926" t="s">
        <v>11490</v>
      </c>
      <c r="C1888" s="1926" t="s">
        <v>39</v>
      </c>
      <c r="D1888" s="1926" t="s">
        <v>40</v>
      </c>
      <c r="E1888" s="1662">
        <v>68.069999999999993</v>
      </c>
    </row>
    <row r="1889" spans="1:5" x14ac:dyDescent="0.2">
      <c r="A1889" s="135">
        <v>2388</v>
      </c>
      <c r="B1889" s="1926" t="s">
        <v>11491</v>
      </c>
      <c r="C1889" s="1926" t="s">
        <v>39</v>
      </c>
      <c r="D1889" s="1926" t="s">
        <v>40</v>
      </c>
      <c r="E1889" s="1662">
        <v>56.56</v>
      </c>
    </row>
    <row r="1890" spans="1:5" x14ac:dyDescent="0.2">
      <c r="A1890" s="135">
        <v>34606</v>
      </c>
      <c r="B1890" s="1926" t="s">
        <v>11492</v>
      </c>
      <c r="C1890" s="1926" t="s">
        <v>39</v>
      </c>
      <c r="D1890" s="1926" t="s">
        <v>40</v>
      </c>
      <c r="E1890" s="1662">
        <v>86.76</v>
      </c>
    </row>
    <row r="1891" spans="1:5" x14ac:dyDescent="0.2">
      <c r="A1891" s="135">
        <v>34689</v>
      </c>
      <c r="B1891" s="1926" t="s">
        <v>11493</v>
      </c>
      <c r="C1891" s="1926" t="s">
        <v>39</v>
      </c>
      <c r="D1891" s="1926" t="s">
        <v>40</v>
      </c>
      <c r="E1891" s="1662">
        <v>27.62</v>
      </c>
    </row>
    <row r="1892" spans="1:5" x14ac:dyDescent="0.2">
      <c r="A1892" s="135">
        <v>2370</v>
      </c>
      <c r="B1892" s="1926" t="s">
        <v>11494</v>
      </c>
      <c r="C1892" s="1926" t="s">
        <v>39</v>
      </c>
      <c r="D1892" s="1926" t="s">
        <v>43</v>
      </c>
      <c r="E1892" s="1662">
        <v>10.51</v>
      </c>
    </row>
    <row r="1893" spans="1:5" x14ac:dyDescent="0.2">
      <c r="A1893" s="135">
        <v>2386</v>
      </c>
      <c r="B1893" s="1926" t="s">
        <v>11495</v>
      </c>
      <c r="C1893" s="1926" t="s">
        <v>39</v>
      </c>
      <c r="D1893" s="1926" t="s">
        <v>40</v>
      </c>
      <c r="E1893" s="1662">
        <v>17.63</v>
      </c>
    </row>
    <row r="1894" spans="1:5" x14ac:dyDescent="0.2">
      <c r="A1894" s="135">
        <v>2392</v>
      </c>
      <c r="B1894" s="1926" t="s">
        <v>11496</v>
      </c>
      <c r="C1894" s="1926" t="s">
        <v>39</v>
      </c>
      <c r="D1894" s="1926" t="s">
        <v>40</v>
      </c>
      <c r="E1894" s="1662">
        <v>70.55</v>
      </c>
    </row>
    <row r="1895" spans="1:5" x14ac:dyDescent="0.2">
      <c r="A1895" s="135">
        <v>2373</v>
      </c>
      <c r="B1895" s="1926" t="s">
        <v>11497</v>
      </c>
      <c r="C1895" s="1926" t="s">
        <v>39</v>
      </c>
      <c r="D1895" s="1926" t="s">
        <v>40</v>
      </c>
      <c r="E1895" s="1662">
        <v>99.4</v>
      </c>
    </row>
    <row r="1896" spans="1:5" x14ac:dyDescent="0.2">
      <c r="A1896" s="135">
        <v>39465</v>
      </c>
      <c r="B1896" s="1926" t="s">
        <v>11498</v>
      </c>
      <c r="C1896" s="1926" t="s">
        <v>39</v>
      </c>
      <c r="D1896" s="1926" t="s">
        <v>40</v>
      </c>
      <c r="E1896" s="1662">
        <v>60.72</v>
      </c>
    </row>
    <row r="1897" spans="1:5" x14ac:dyDescent="0.2">
      <c r="A1897" s="135">
        <v>39466</v>
      </c>
      <c r="B1897" s="1926" t="s">
        <v>11499</v>
      </c>
      <c r="C1897" s="1926" t="s">
        <v>39</v>
      </c>
      <c r="D1897" s="1926" t="s">
        <v>40</v>
      </c>
      <c r="E1897" s="1662">
        <v>68.31</v>
      </c>
    </row>
    <row r="1898" spans="1:5" x14ac:dyDescent="0.2">
      <c r="A1898" s="135">
        <v>39467</v>
      </c>
      <c r="B1898" s="1926" t="s">
        <v>11500</v>
      </c>
      <c r="C1898" s="1926" t="s">
        <v>39</v>
      </c>
      <c r="D1898" s="1926" t="s">
        <v>40</v>
      </c>
      <c r="E1898" s="1662">
        <v>87.38</v>
      </c>
    </row>
    <row r="1899" spans="1:5" x14ac:dyDescent="0.2">
      <c r="A1899" s="135">
        <v>39468</v>
      </c>
      <c r="B1899" s="1926" t="s">
        <v>11501</v>
      </c>
      <c r="C1899" s="1926" t="s">
        <v>39</v>
      </c>
      <c r="D1899" s="1926" t="s">
        <v>40</v>
      </c>
      <c r="E1899" s="1662">
        <v>155.32</v>
      </c>
    </row>
    <row r="1900" spans="1:5" x14ac:dyDescent="0.2">
      <c r="A1900" s="135">
        <v>39469</v>
      </c>
      <c r="B1900" s="1926" t="s">
        <v>11502</v>
      </c>
      <c r="C1900" s="1926" t="s">
        <v>39</v>
      </c>
      <c r="D1900" s="1926" t="s">
        <v>40</v>
      </c>
      <c r="E1900" s="1662">
        <v>63.27</v>
      </c>
    </row>
    <row r="1901" spans="1:5" x14ac:dyDescent="0.2">
      <c r="A1901" s="135">
        <v>39470</v>
      </c>
      <c r="B1901" s="1926" t="s">
        <v>11503</v>
      </c>
      <c r="C1901" s="1926" t="s">
        <v>39</v>
      </c>
      <c r="D1901" s="1926" t="s">
        <v>40</v>
      </c>
      <c r="E1901" s="1662">
        <v>77.73</v>
      </c>
    </row>
    <row r="1902" spans="1:5" x14ac:dyDescent="0.2">
      <c r="A1902" s="135">
        <v>39471</v>
      </c>
      <c r="B1902" s="1926" t="s">
        <v>11504</v>
      </c>
      <c r="C1902" s="1926" t="s">
        <v>39</v>
      </c>
      <c r="D1902" s="1926" t="s">
        <v>40</v>
      </c>
      <c r="E1902" s="1662">
        <v>93.42</v>
      </c>
    </row>
    <row r="1903" spans="1:5" x14ac:dyDescent="0.2">
      <c r="A1903" s="135">
        <v>39472</v>
      </c>
      <c r="B1903" s="1926" t="s">
        <v>11505</v>
      </c>
      <c r="C1903" s="1926" t="s">
        <v>39</v>
      </c>
      <c r="D1903" s="1926" t="s">
        <v>40</v>
      </c>
      <c r="E1903" s="1662">
        <v>162.32</v>
      </c>
    </row>
    <row r="1904" spans="1:5" x14ac:dyDescent="0.2">
      <c r="A1904" s="135">
        <v>39473</v>
      </c>
      <c r="B1904" s="1926" t="s">
        <v>11506</v>
      </c>
      <c r="C1904" s="1926" t="s">
        <v>39</v>
      </c>
      <c r="D1904" s="1926" t="s">
        <v>40</v>
      </c>
      <c r="E1904" s="1662">
        <v>104.86</v>
      </c>
    </row>
    <row r="1905" spans="1:5" x14ac:dyDescent="0.2">
      <c r="A1905" s="135">
        <v>39474</v>
      </c>
      <c r="B1905" s="1926" t="s">
        <v>11507</v>
      </c>
      <c r="C1905" s="1926" t="s">
        <v>39</v>
      </c>
      <c r="D1905" s="1926" t="s">
        <v>40</v>
      </c>
      <c r="E1905" s="1662">
        <v>111.78</v>
      </c>
    </row>
    <row r="1906" spans="1:5" x14ac:dyDescent="0.2">
      <c r="A1906" s="135">
        <v>39475</v>
      </c>
      <c r="B1906" s="1926" t="s">
        <v>11508</v>
      </c>
      <c r="C1906" s="1926" t="s">
        <v>39</v>
      </c>
      <c r="D1906" s="1926" t="s">
        <v>40</v>
      </c>
      <c r="E1906" s="1662">
        <v>126.83</v>
      </c>
    </row>
    <row r="1907" spans="1:5" x14ac:dyDescent="0.2">
      <c r="A1907" s="135">
        <v>39476</v>
      </c>
      <c r="B1907" s="1926" t="s">
        <v>11509</v>
      </c>
      <c r="C1907" s="1926" t="s">
        <v>39</v>
      </c>
      <c r="D1907" s="1926" t="s">
        <v>40</v>
      </c>
      <c r="E1907" s="1662">
        <v>238.75</v>
      </c>
    </row>
    <row r="1908" spans="1:5" x14ac:dyDescent="0.2">
      <c r="A1908" s="135">
        <v>39477</v>
      </c>
      <c r="B1908" s="1926" t="s">
        <v>11510</v>
      </c>
      <c r="C1908" s="1926" t="s">
        <v>39</v>
      </c>
      <c r="D1908" s="1926" t="s">
        <v>40</v>
      </c>
      <c r="E1908" s="1662">
        <v>116.98</v>
      </c>
    </row>
    <row r="1909" spans="1:5" x14ac:dyDescent="0.2">
      <c r="A1909" s="135">
        <v>39478</v>
      </c>
      <c r="B1909" s="1926" t="s">
        <v>11511</v>
      </c>
      <c r="C1909" s="1926" t="s">
        <v>39</v>
      </c>
      <c r="D1909" s="1926" t="s">
        <v>40</v>
      </c>
      <c r="E1909" s="1662">
        <v>120.6</v>
      </c>
    </row>
    <row r="1910" spans="1:5" x14ac:dyDescent="0.2">
      <c r="A1910" s="135">
        <v>39479</v>
      </c>
      <c r="B1910" s="1926" t="s">
        <v>11512</v>
      </c>
      <c r="C1910" s="1926" t="s">
        <v>39</v>
      </c>
      <c r="D1910" s="1926" t="s">
        <v>40</v>
      </c>
      <c r="E1910" s="1662">
        <v>142.09</v>
      </c>
    </row>
    <row r="1911" spans="1:5" x14ac:dyDescent="0.2">
      <c r="A1911" s="135">
        <v>39480</v>
      </c>
      <c r="B1911" s="1926" t="s">
        <v>11513</v>
      </c>
      <c r="C1911" s="1926" t="s">
        <v>39</v>
      </c>
      <c r="D1911" s="1926" t="s">
        <v>40</v>
      </c>
      <c r="E1911" s="1662">
        <v>293.2</v>
      </c>
    </row>
    <row r="1912" spans="1:5" x14ac:dyDescent="0.2">
      <c r="A1912" s="135">
        <v>39459</v>
      </c>
      <c r="B1912" s="1926" t="s">
        <v>11514</v>
      </c>
      <c r="C1912" s="1926" t="s">
        <v>39</v>
      </c>
      <c r="D1912" s="1926" t="s">
        <v>40</v>
      </c>
      <c r="E1912" s="1662">
        <v>248.85</v>
      </c>
    </row>
    <row r="1913" spans="1:5" x14ac:dyDescent="0.2">
      <c r="A1913" s="135">
        <v>39445</v>
      </c>
      <c r="B1913" s="1926" t="s">
        <v>11515</v>
      </c>
      <c r="C1913" s="1926" t="s">
        <v>39</v>
      </c>
      <c r="D1913" s="1926" t="s">
        <v>40</v>
      </c>
      <c r="E1913" s="1662">
        <v>124.95</v>
      </c>
    </row>
    <row r="1914" spans="1:5" x14ac:dyDescent="0.2">
      <c r="A1914" s="135">
        <v>39446</v>
      </c>
      <c r="B1914" s="1926" t="s">
        <v>11516</v>
      </c>
      <c r="C1914" s="1926" t="s">
        <v>39</v>
      </c>
      <c r="D1914" s="1926" t="s">
        <v>40</v>
      </c>
      <c r="E1914" s="1662">
        <v>127.17</v>
      </c>
    </row>
    <row r="1915" spans="1:5" x14ac:dyDescent="0.2">
      <c r="A1915" s="135">
        <v>39447</v>
      </c>
      <c r="B1915" s="1926" t="s">
        <v>11517</v>
      </c>
      <c r="C1915" s="1926" t="s">
        <v>39</v>
      </c>
      <c r="D1915" s="1926" t="s">
        <v>40</v>
      </c>
      <c r="E1915" s="1662">
        <v>135.99</v>
      </c>
    </row>
    <row r="1916" spans="1:5" x14ac:dyDescent="0.2">
      <c r="A1916" s="135">
        <v>39448</v>
      </c>
      <c r="B1916" s="1926" t="s">
        <v>11518</v>
      </c>
      <c r="C1916" s="1926" t="s">
        <v>39</v>
      </c>
      <c r="D1916" s="1926" t="s">
        <v>40</v>
      </c>
      <c r="E1916" s="1662">
        <v>231.9</v>
      </c>
    </row>
    <row r="1917" spans="1:5" x14ac:dyDescent="0.2">
      <c r="A1917" s="135">
        <v>39450</v>
      </c>
      <c r="B1917" s="1926" t="s">
        <v>11519</v>
      </c>
      <c r="C1917" s="1926" t="s">
        <v>39</v>
      </c>
      <c r="D1917" s="1926" t="s">
        <v>40</v>
      </c>
      <c r="E1917" s="1662">
        <v>141.47999999999999</v>
      </c>
    </row>
    <row r="1918" spans="1:5" x14ac:dyDescent="0.2">
      <c r="A1918" s="135">
        <v>39451</v>
      </c>
      <c r="B1918" s="1926" t="s">
        <v>11520</v>
      </c>
      <c r="C1918" s="1926" t="s">
        <v>39</v>
      </c>
      <c r="D1918" s="1926" t="s">
        <v>40</v>
      </c>
      <c r="E1918" s="1662">
        <v>154.32</v>
      </c>
    </row>
    <row r="1919" spans="1:5" x14ac:dyDescent="0.2">
      <c r="A1919" s="135">
        <v>39452</v>
      </c>
      <c r="B1919" s="1926" t="s">
        <v>11521</v>
      </c>
      <c r="C1919" s="1926" t="s">
        <v>39</v>
      </c>
      <c r="D1919" s="1926" t="s">
        <v>40</v>
      </c>
      <c r="E1919" s="1662">
        <v>155.24</v>
      </c>
    </row>
    <row r="1920" spans="1:5" x14ac:dyDescent="0.2">
      <c r="A1920" s="135">
        <v>39523</v>
      </c>
      <c r="B1920" s="1926" t="s">
        <v>11522</v>
      </c>
      <c r="C1920" s="1926" t="s">
        <v>39</v>
      </c>
      <c r="D1920" s="1926" t="s">
        <v>40</v>
      </c>
      <c r="E1920" s="1662">
        <v>259.79000000000002</v>
      </c>
    </row>
    <row r="1921" spans="1:5" x14ac:dyDescent="0.2">
      <c r="A1921" s="135">
        <v>39449</v>
      </c>
      <c r="B1921" s="1926" t="s">
        <v>11523</v>
      </c>
      <c r="C1921" s="1926" t="s">
        <v>39</v>
      </c>
      <c r="D1921" s="1926" t="s">
        <v>40</v>
      </c>
      <c r="E1921" s="1662">
        <v>287.7</v>
      </c>
    </row>
    <row r="1922" spans="1:5" x14ac:dyDescent="0.2">
      <c r="A1922" s="135">
        <v>39455</v>
      </c>
      <c r="B1922" s="1926" t="s">
        <v>11524</v>
      </c>
      <c r="C1922" s="1926" t="s">
        <v>39</v>
      </c>
      <c r="D1922" s="1926" t="s">
        <v>40</v>
      </c>
      <c r="E1922" s="1662">
        <v>142.36000000000001</v>
      </c>
    </row>
    <row r="1923" spans="1:5" x14ac:dyDescent="0.2">
      <c r="A1923" s="135">
        <v>39456</v>
      </c>
      <c r="B1923" s="1926" t="s">
        <v>11525</v>
      </c>
      <c r="C1923" s="1926" t="s">
        <v>39</v>
      </c>
      <c r="D1923" s="1926" t="s">
        <v>40</v>
      </c>
      <c r="E1923" s="1662">
        <v>142.46</v>
      </c>
    </row>
    <row r="1924" spans="1:5" x14ac:dyDescent="0.2">
      <c r="A1924" s="135">
        <v>39457</v>
      </c>
      <c r="B1924" s="1926" t="s">
        <v>11526</v>
      </c>
      <c r="C1924" s="1926" t="s">
        <v>39</v>
      </c>
      <c r="D1924" s="1926" t="s">
        <v>40</v>
      </c>
      <c r="E1924" s="1662">
        <v>155.31</v>
      </c>
    </row>
    <row r="1925" spans="1:5" x14ac:dyDescent="0.2">
      <c r="A1925" s="135">
        <v>39458</v>
      </c>
      <c r="B1925" s="1926" t="s">
        <v>11527</v>
      </c>
      <c r="C1925" s="1926" t="s">
        <v>39</v>
      </c>
      <c r="D1925" s="1926" t="s">
        <v>40</v>
      </c>
      <c r="E1925" s="1662">
        <v>289.82</v>
      </c>
    </row>
    <row r="1926" spans="1:5" x14ac:dyDescent="0.2">
      <c r="A1926" s="135">
        <v>39464</v>
      </c>
      <c r="B1926" s="1926" t="s">
        <v>11528</v>
      </c>
      <c r="C1926" s="1926" t="s">
        <v>39</v>
      </c>
      <c r="D1926" s="1926" t="s">
        <v>40</v>
      </c>
      <c r="E1926" s="1662">
        <v>466.06</v>
      </c>
    </row>
    <row r="1927" spans="1:5" x14ac:dyDescent="0.2">
      <c r="A1927" s="135">
        <v>39460</v>
      </c>
      <c r="B1927" s="1926" t="s">
        <v>11529</v>
      </c>
      <c r="C1927" s="1926" t="s">
        <v>39</v>
      </c>
      <c r="D1927" s="1926" t="s">
        <v>40</v>
      </c>
      <c r="E1927" s="1662">
        <v>176.76</v>
      </c>
    </row>
    <row r="1928" spans="1:5" x14ac:dyDescent="0.2">
      <c r="A1928" s="135">
        <v>39461</v>
      </c>
      <c r="B1928" s="1926" t="s">
        <v>11530</v>
      </c>
      <c r="C1928" s="1926" t="s">
        <v>39</v>
      </c>
      <c r="D1928" s="1926" t="s">
        <v>40</v>
      </c>
      <c r="E1928" s="1662">
        <v>207.12</v>
      </c>
    </row>
    <row r="1929" spans="1:5" x14ac:dyDescent="0.2">
      <c r="A1929" s="135">
        <v>39462</v>
      </c>
      <c r="B1929" s="1926" t="s">
        <v>11531</v>
      </c>
      <c r="C1929" s="1926" t="s">
        <v>39</v>
      </c>
      <c r="D1929" s="1926" t="s">
        <v>40</v>
      </c>
      <c r="E1929" s="1662">
        <v>199.61</v>
      </c>
    </row>
    <row r="1930" spans="1:5" x14ac:dyDescent="0.2">
      <c r="A1930" s="135">
        <v>39463</v>
      </c>
      <c r="B1930" s="1926" t="s">
        <v>11532</v>
      </c>
      <c r="C1930" s="1926" t="s">
        <v>39</v>
      </c>
      <c r="D1930" s="1926" t="s">
        <v>40</v>
      </c>
      <c r="E1930" s="1662">
        <v>462.44</v>
      </c>
    </row>
    <row r="1931" spans="1:5" x14ac:dyDescent="0.2">
      <c r="A1931" s="135">
        <v>26039</v>
      </c>
      <c r="B1931" s="1926" t="s">
        <v>11533</v>
      </c>
      <c r="C1931" s="1926" t="s">
        <v>39</v>
      </c>
      <c r="D1931" s="1926" t="s">
        <v>46</v>
      </c>
      <c r="E1931" s="1662">
        <v>249588.52</v>
      </c>
    </row>
    <row r="1932" spans="1:5" x14ac:dyDescent="0.2">
      <c r="A1932" s="135">
        <v>2401</v>
      </c>
      <c r="B1932" s="1926" t="s">
        <v>11534</v>
      </c>
      <c r="C1932" s="1926" t="s">
        <v>39</v>
      </c>
      <c r="D1932" s="1926" t="s">
        <v>46</v>
      </c>
      <c r="E1932" s="1662">
        <v>57408.12</v>
      </c>
    </row>
    <row r="1933" spans="1:5" x14ac:dyDescent="0.2">
      <c r="A1933" s="135">
        <v>38870</v>
      </c>
      <c r="B1933" s="1926" t="s">
        <v>11535</v>
      </c>
      <c r="C1933" s="1926" t="s">
        <v>39</v>
      </c>
      <c r="D1933" s="1926" t="s">
        <v>46</v>
      </c>
      <c r="E1933" s="1662">
        <v>32.659999999999997</v>
      </c>
    </row>
    <row r="1934" spans="1:5" x14ac:dyDescent="0.2">
      <c r="A1934" s="135">
        <v>38869</v>
      </c>
      <c r="B1934" s="1926" t="s">
        <v>11536</v>
      </c>
      <c r="C1934" s="1926" t="s">
        <v>39</v>
      </c>
      <c r="D1934" s="1926" t="s">
        <v>46</v>
      </c>
      <c r="E1934" s="1662">
        <v>28.81</v>
      </c>
    </row>
    <row r="1935" spans="1:5" x14ac:dyDescent="0.2">
      <c r="A1935" s="135">
        <v>38872</v>
      </c>
      <c r="B1935" s="1926" t="s">
        <v>11537</v>
      </c>
      <c r="C1935" s="1926" t="s">
        <v>39</v>
      </c>
      <c r="D1935" s="1926" t="s">
        <v>46</v>
      </c>
      <c r="E1935" s="1662">
        <v>44.61</v>
      </c>
    </row>
    <row r="1936" spans="1:5" x14ac:dyDescent="0.2">
      <c r="A1936" s="135">
        <v>38871</v>
      </c>
      <c r="B1936" s="1926" t="s">
        <v>11538</v>
      </c>
      <c r="C1936" s="1926" t="s">
        <v>39</v>
      </c>
      <c r="D1936" s="1926" t="s">
        <v>46</v>
      </c>
      <c r="E1936" s="1662">
        <v>35.89</v>
      </c>
    </row>
    <row r="1937" spans="1:5" x14ac:dyDescent="0.2">
      <c r="A1937" s="135">
        <v>39283</v>
      </c>
      <c r="B1937" s="1926" t="s">
        <v>11539</v>
      </c>
      <c r="C1937" s="1926" t="s">
        <v>39</v>
      </c>
      <c r="D1937" s="1926" t="s">
        <v>46</v>
      </c>
      <c r="E1937" s="1662">
        <v>111.78</v>
      </c>
    </row>
    <row r="1938" spans="1:5" x14ac:dyDescent="0.2">
      <c r="A1938" s="135">
        <v>39284</v>
      </c>
      <c r="B1938" s="1926" t="s">
        <v>11540</v>
      </c>
      <c r="C1938" s="1926" t="s">
        <v>39</v>
      </c>
      <c r="D1938" s="1926" t="s">
        <v>46</v>
      </c>
      <c r="E1938" s="1662">
        <v>121.14</v>
      </c>
    </row>
    <row r="1939" spans="1:5" x14ac:dyDescent="0.2">
      <c r="A1939" s="135">
        <v>39285</v>
      </c>
      <c r="B1939" s="1926" t="s">
        <v>11541</v>
      </c>
      <c r="C1939" s="1926" t="s">
        <v>39</v>
      </c>
      <c r="D1939" s="1926" t="s">
        <v>46</v>
      </c>
      <c r="E1939" s="1662">
        <v>122.88</v>
      </c>
    </row>
    <row r="1940" spans="1:5" x14ac:dyDescent="0.2">
      <c r="A1940" s="135">
        <v>39286</v>
      </c>
      <c r="B1940" s="1926" t="s">
        <v>11542</v>
      </c>
      <c r="C1940" s="1926" t="s">
        <v>39</v>
      </c>
      <c r="D1940" s="1926" t="s">
        <v>46</v>
      </c>
      <c r="E1940" s="1662">
        <v>120.21</v>
      </c>
    </row>
    <row r="1941" spans="1:5" x14ac:dyDescent="0.2">
      <c r="A1941" s="135">
        <v>39287</v>
      </c>
      <c r="B1941" s="1926" t="s">
        <v>11543</v>
      </c>
      <c r="C1941" s="1926" t="s">
        <v>39</v>
      </c>
      <c r="D1941" s="1926" t="s">
        <v>46</v>
      </c>
      <c r="E1941" s="1662">
        <v>141.15</v>
      </c>
    </row>
    <row r="1942" spans="1:5" x14ac:dyDescent="0.2">
      <c r="A1942" s="135">
        <v>39288</v>
      </c>
      <c r="B1942" s="1926" t="s">
        <v>11544</v>
      </c>
      <c r="C1942" s="1926" t="s">
        <v>39</v>
      </c>
      <c r="D1942" s="1926" t="s">
        <v>46</v>
      </c>
      <c r="E1942" s="1662">
        <v>150.63</v>
      </c>
    </row>
    <row r="1943" spans="1:5" x14ac:dyDescent="0.2">
      <c r="A1943" s="135">
        <v>2414</v>
      </c>
      <c r="B1943" s="1926" t="s">
        <v>11545</v>
      </c>
      <c r="C1943" s="1926" t="s">
        <v>45</v>
      </c>
      <c r="D1943" s="1926" t="s">
        <v>46</v>
      </c>
      <c r="E1943" s="1662">
        <v>92.15</v>
      </c>
    </row>
    <row r="1944" spans="1:5" x14ac:dyDescent="0.2">
      <c r="A1944" s="135">
        <v>2413</v>
      </c>
      <c r="B1944" s="1926" t="s">
        <v>11546</v>
      </c>
      <c r="C1944" s="1926" t="s">
        <v>45</v>
      </c>
      <c r="D1944" s="1926" t="s">
        <v>46</v>
      </c>
      <c r="E1944" s="1662">
        <v>88.65</v>
      </c>
    </row>
    <row r="1945" spans="1:5" x14ac:dyDescent="0.2">
      <c r="A1945" s="135">
        <v>2405</v>
      </c>
      <c r="B1945" s="1926" t="s">
        <v>11547</v>
      </c>
      <c r="C1945" s="1926" t="s">
        <v>45</v>
      </c>
      <c r="D1945" s="1926" t="s">
        <v>46</v>
      </c>
      <c r="E1945" s="1662">
        <v>103.19</v>
      </c>
    </row>
    <row r="1946" spans="1:5" x14ac:dyDescent="0.2">
      <c r="A1946" s="135">
        <v>13361</v>
      </c>
      <c r="B1946" s="1926" t="s">
        <v>11548</v>
      </c>
      <c r="C1946" s="1926" t="s">
        <v>45</v>
      </c>
      <c r="D1946" s="1926" t="s">
        <v>46</v>
      </c>
      <c r="E1946" s="1662">
        <v>86.32</v>
      </c>
    </row>
    <row r="1947" spans="1:5" x14ac:dyDescent="0.2">
      <c r="A1947" s="135">
        <v>11987</v>
      </c>
      <c r="B1947" s="1926" t="s">
        <v>11549</v>
      </c>
      <c r="C1947" s="1926" t="s">
        <v>45</v>
      </c>
      <c r="D1947" s="1926" t="s">
        <v>46</v>
      </c>
      <c r="E1947" s="1662">
        <v>230.98</v>
      </c>
    </row>
    <row r="1948" spans="1:5" x14ac:dyDescent="0.2">
      <c r="A1948" s="135">
        <v>2416</v>
      </c>
      <c r="B1948" s="1926" t="s">
        <v>11550</v>
      </c>
      <c r="C1948" s="1926" t="s">
        <v>45</v>
      </c>
      <c r="D1948" s="1926" t="s">
        <v>46</v>
      </c>
      <c r="E1948" s="1662">
        <v>102.19</v>
      </c>
    </row>
    <row r="1949" spans="1:5" x14ac:dyDescent="0.2">
      <c r="A1949" s="135">
        <v>2412</v>
      </c>
      <c r="B1949" s="1926" t="s">
        <v>11551</v>
      </c>
      <c r="C1949" s="1926" t="s">
        <v>45</v>
      </c>
      <c r="D1949" s="1926" t="s">
        <v>46</v>
      </c>
      <c r="E1949" s="1662">
        <v>98.69</v>
      </c>
    </row>
    <row r="1950" spans="1:5" x14ac:dyDescent="0.2">
      <c r="A1950" s="135">
        <v>2411</v>
      </c>
      <c r="B1950" s="1926" t="s">
        <v>11552</v>
      </c>
      <c r="C1950" s="1926" t="s">
        <v>45</v>
      </c>
      <c r="D1950" s="1926" t="s">
        <v>46</v>
      </c>
      <c r="E1950" s="1662">
        <v>86.32</v>
      </c>
    </row>
    <row r="1951" spans="1:5" x14ac:dyDescent="0.2">
      <c r="A1951" s="135">
        <v>2406</v>
      </c>
      <c r="B1951" s="1926" t="s">
        <v>11553</v>
      </c>
      <c r="C1951" s="1926" t="s">
        <v>45</v>
      </c>
      <c r="D1951" s="1926" t="s">
        <v>46</v>
      </c>
      <c r="E1951" s="1662">
        <v>83.99</v>
      </c>
    </row>
    <row r="1952" spans="1:5" x14ac:dyDescent="0.2">
      <c r="A1952" s="135">
        <v>10571</v>
      </c>
      <c r="B1952" s="1926" t="s">
        <v>11554</v>
      </c>
      <c r="C1952" s="1926" t="s">
        <v>45</v>
      </c>
      <c r="D1952" s="1926" t="s">
        <v>46</v>
      </c>
      <c r="E1952" s="1662">
        <v>205.31</v>
      </c>
    </row>
    <row r="1953" spans="1:5" x14ac:dyDescent="0.2">
      <c r="A1953" s="135">
        <v>11985</v>
      </c>
      <c r="B1953" s="1926" t="s">
        <v>11555</v>
      </c>
      <c r="C1953" s="1926" t="s">
        <v>45</v>
      </c>
      <c r="D1953" s="1926" t="s">
        <v>46</v>
      </c>
      <c r="E1953" s="1662">
        <v>198.31</v>
      </c>
    </row>
    <row r="1954" spans="1:5" x14ac:dyDescent="0.2">
      <c r="A1954" s="135">
        <v>2410</v>
      </c>
      <c r="B1954" s="1926" t="s">
        <v>11556</v>
      </c>
      <c r="C1954" s="1926" t="s">
        <v>45</v>
      </c>
      <c r="D1954" s="1926" t="s">
        <v>46</v>
      </c>
      <c r="E1954" s="1662">
        <v>87.49</v>
      </c>
    </row>
    <row r="1955" spans="1:5" x14ac:dyDescent="0.2">
      <c r="A1955" s="135">
        <v>2417</v>
      </c>
      <c r="B1955" s="1926" t="s">
        <v>11557</v>
      </c>
      <c r="C1955" s="1926" t="s">
        <v>45</v>
      </c>
      <c r="D1955" s="1926" t="s">
        <v>46</v>
      </c>
      <c r="E1955" s="1662">
        <v>93.32</v>
      </c>
    </row>
    <row r="1956" spans="1:5" x14ac:dyDescent="0.2">
      <c r="A1956" s="135">
        <v>2415</v>
      </c>
      <c r="B1956" s="1926" t="s">
        <v>11558</v>
      </c>
      <c r="C1956" s="1926" t="s">
        <v>45</v>
      </c>
      <c r="D1956" s="1926" t="s">
        <v>46</v>
      </c>
      <c r="E1956" s="1662">
        <v>74.66</v>
      </c>
    </row>
    <row r="1957" spans="1:5" x14ac:dyDescent="0.2">
      <c r="A1957" s="135">
        <v>13360</v>
      </c>
      <c r="B1957" s="1926" t="s">
        <v>11559</v>
      </c>
      <c r="C1957" s="1926" t="s">
        <v>45</v>
      </c>
      <c r="D1957" s="1926" t="s">
        <v>46</v>
      </c>
      <c r="E1957" s="1662">
        <v>74.66</v>
      </c>
    </row>
    <row r="1958" spans="1:5" x14ac:dyDescent="0.2">
      <c r="A1958" s="135">
        <v>11983</v>
      </c>
      <c r="B1958" s="1926" t="s">
        <v>11560</v>
      </c>
      <c r="C1958" s="1926" t="s">
        <v>45</v>
      </c>
      <c r="D1958" s="1926" t="s">
        <v>46</v>
      </c>
      <c r="E1958" s="1662">
        <v>181.98</v>
      </c>
    </row>
    <row r="1959" spans="1:5" x14ac:dyDescent="0.2">
      <c r="A1959" s="135">
        <v>11986</v>
      </c>
      <c r="B1959" s="1926" t="s">
        <v>11561</v>
      </c>
      <c r="C1959" s="1926" t="s">
        <v>45</v>
      </c>
      <c r="D1959" s="1926" t="s">
        <v>46</v>
      </c>
      <c r="E1959" s="1662">
        <v>221.64</v>
      </c>
    </row>
    <row r="1960" spans="1:5" x14ac:dyDescent="0.2">
      <c r="A1960" s="135">
        <v>25976</v>
      </c>
      <c r="B1960" s="1926" t="s">
        <v>11562</v>
      </c>
      <c r="C1960" s="1926" t="s">
        <v>45</v>
      </c>
      <c r="D1960" s="1926" t="s">
        <v>40</v>
      </c>
      <c r="E1960" s="1662">
        <v>552.07000000000005</v>
      </c>
    </row>
    <row r="1961" spans="1:5" x14ac:dyDescent="0.2">
      <c r="A1961" s="135">
        <v>10629</v>
      </c>
      <c r="B1961" s="1926" t="s">
        <v>11563</v>
      </c>
      <c r="C1961" s="1926" t="s">
        <v>45</v>
      </c>
      <c r="D1961" s="1926" t="s">
        <v>40</v>
      </c>
      <c r="E1961" s="1662">
        <v>320.10000000000002</v>
      </c>
    </row>
    <row r="1962" spans="1:5" x14ac:dyDescent="0.2">
      <c r="A1962" s="135">
        <v>10698</v>
      </c>
      <c r="B1962" s="1926" t="s">
        <v>11564</v>
      </c>
      <c r="C1962" s="1926" t="s">
        <v>45</v>
      </c>
      <c r="D1962" s="1926" t="s">
        <v>46</v>
      </c>
      <c r="E1962" s="1662">
        <v>153.04</v>
      </c>
    </row>
    <row r="1963" spans="1:5" x14ac:dyDescent="0.2">
      <c r="A1963" s="135">
        <v>40521</v>
      </c>
      <c r="B1963" s="1926" t="s">
        <v>11565</v>
      </c>
      <c r="C1963" s="1926" t="s">
        <v>39</v>
      </c>
      <c r="D1963" s="1926" t="s">
        <v>40</v>
      </c>
      <c r="E1963" s="1662">
        <v>71506.16</v>
      </c>
    </row>
    <row r="1964" spans="1:5" x14ac:dyDescent="0.2">
      <c r="A1964" s="135">
        <v>2432</v>
      </c>
      <c r="B1964" s="1926" t="s">
        <v>11566</v>
      </c>
      <c r="C1964" s="1926" t="s">
        <v>39</v>
      </c>
      <c r="D1964" s="1926" t="s">
        <v>40</v>
      </c>
      <c r="E1964" s="1662">
        <v>16.170000000000002</v>
      </c>
    </row>
    <row r="1965" spans="1:5" x14ac:dyDescent="0.2">
      <c r="A1965" s="135">
        <v>2433</v>
      </c>
      <c r="B1965" s="1926" t="s">
        <v>11567</v>
      </c>
      <c r="C1965" s="1926" t="s">
        <v>39</v>
      </c>
      <c r="D1965" s="1926" t="s">
        <v>40</v>
      </c>
      <c r="E1965" s="1662">
        <v>5.47</v>
      </c>
    </row>
    <row r="1966" spans="1:5" x14ac:dyDescent="0.2">
      <c r="A1966" s="135">
        <v>2420</v>
      </c>
      <c r="B1966" s="1926" t="s">
        <v>11568</v>
      </c>
      <c r="C1966" s="1926" t="s">
        <v>39</v>
      </c>
      <c r="D1966" s="1926" t="s">
        <v>40</v>
      </c>
      <c r="E1966" s="1662">
        <v>9.4</v>
      </c>
    </row>
    <row r="1967" spans="1:5" x14ac:dyDescent="0.2">
      <c r="A1967" s="135">
        <v>11447</v>
      </c>
      <c r="B1967" s="1926" t="s">
        <v>11569</v>
      </c>
      <c r="C1967" s="1926" t="s">
        <v>39</v>
      </c>
      <c r="D1967" s="1926" t="s">
        <v>40</v>
      </c>
      <c r="E1967" s="1662">
        <v>18.59</v>
      </c>
    </row>
    <row r="1968" spans="1:5" x14ac:dyDescent="0.2">
      <c r="A1968" s="135">
        <v>11451</v>
      </c>
      <c r="B1968" s="1926" t="s">
        <v>11570</v>
      </c>
      <c r="C1968" s="1926" t="s">
        <v>39</v>
      </c>
      <c r="D1968" s="1926" t="s">
        <v>40</v>
      </c>
      <c r="E1968" s="1662">
        <v>49.83</v>
      </c>
    </row>
    <row r="1969" spans="1:5" x14ac:dyDescent="0.2">
      <c r="A1969" s="135">
        <v>11116</v>
      </c>
      <c r="B1969" s="1926" t="s">
        <v>11571</v>
      </c>
      <c r="C1969" s="1926" t="s">
        <v>39</v>
      </c>
      <c r="D1969" s="1926" t="s">
        <v>46</v>
      </c>
      <c r="E1969" s="1662">
        <v>444.59</v>
      </c>
    </row>
    <row r="1970" spans="1:5" x14ac:dyDescent="0.2">
      <c r="A1970" s="135">
        <v>38411</v>
      </c>
      <c r="B1970" s="1926" t="s">
        <v>11572</v>
      </c>
      <c r="C1970" s="1926" t="s">
        <v>39</v>
      </c>
      <c r="D1970" s="1926" t="s">
        <v>40</v>
      </c>
      <c r="E1970" s="1662">
        <v>1258.97</v>
      </c>
    </row>
    <row r="1971" spans="1:5" x14ac:dyDescent="0.2">
      <c r="A1971" s="135">
        <v>1370</v>
      </c>
      <c r="B1971" s="1926" t="s">
        <v>11573</v>
      </c>
      <c r="C1971" s="1926" t="s">
        <v>39</v>
      </c>
      <c r="D1971" s="1926" t="s">
        <v>40</v>
      </c>
      <c r="E1971" s="1662">
        <v>71.349999999999994</v>
      </c>
    </row>
    <row r="1972" spans="1:5" x14ac:dyDescent="0.2">
      <c r="A1972" s="135">
        <v>38189</v>
      </c>
      <c r="B1972" s="1926" t="s">
        <v>11574</v>
      </c>
      <c r="C1972" s="1926" t="s">
        <v>39</v>
      </c>
      <c r="D1972" s="1926" t="s">
        <v>40</v>
      </c>
      <c r="E1972" s="1662">
        <v>174.25</v>
      </c>
    </row>
    <row r="1973" spans="1:5" x14ac:dyDescent="0.2">
      <c r="A1973" s="135">
        <v>38190</v>
      </c>
      <c r="B1973" s="1926" t="s">
        <v>11575</v>
      </c>
      <c r="C1973" s="1926" t="s">
        <v>39</v>
      </c>
      <c r="D1973" s="1926" t="s">
        <v>40</v>
      </c>
      <c r="E1973" s="1662">
        <v>391.85</v>
      </c>
    </row>
    <row r="1974" spans="1:5" x14ac:dyDescent="0.2">
      <c r="A1974" s="135">
        <v>36516</v>
      </c>
      <c r="B1974" s="1926" t="s">
        <v>11576</v>
      </c>
      <c r="C1974" s="1926" t="s">
        <v>39</v>
      </c>
      <c r="D1974" s="1926" t="s">
        <v>46</v>
      </c>
      <c r="E1974" s="1662">
        <v>73925.22</v>
      </c>
    </row>
    <row r="1975" spans="1:5" x14ac:dyDescent="0.2">
      <c r="A1975" s="135">
        <v>34777</v>
      </c>
      <c r="B1975" s="1926" t="s">
        <v>11577</v>
      </c>
      <c r="C1975" s="1926" t="s">
        <v>39</v>
      </c>
      <c r="D1975" s="1926" t="s">
        <v>40</v>
      </c>
      <c r="E1975" s="1662">
        <v>1.44</v>
      </c>
    </row>
    <row r="1976" spans="1:5" x14ac:dyDescent="0.2">
      <c r="A1976" s="135">
        <v>7273</v>
      </c>
      <c r="B1976" s="1926" t="s">
        <v>11578</v>
      </c>
      <c r="C1976" s="1926" t="s">
        <v>39</v>
      </c>
      <c r="D1976" s="1926" t="s">
        <v>40</v>
      </c>
      <c r="E1976" s="1662">
        <v>2.37</v>
      </c>
    </row>
    <row r="1977" spans="1:5" x14ac:dyDescent="0.2">
      <c r="A1977" s="135">
        <v>7272</v>
      </c>
      <c r="B1977" s="1926" t="s">
        <v>11579</v>
      </c>
      <c r="C1977" s="1926" t="s">
        <v>39</v>
      </c>
      <c r="D1977" s="1926" t="s">
        <v>40</v>
      </c>
      <c r="E1977" s="1662">
        <v>3.31</v>
      </c>
    </row>
    <row r="1978" spans="1:5" x14ac:dyDescent="0.2">
      <c r="A1978" s="135">
        <v>10605</v>
      </c>
      <c r="B1978" s="1926" t="s">
        <v>11580</v>
      </c>
      <c r="C1978" s="1926" t="s">
        <v>39</v>
      </c>
      <c r="D1978" s="1926" t="s">
        <v>40</v>
      </c>
      <c r="E1978" s="1662">
        <v>1.87</v>
      </c>
    </row>
    <row r="1979" spans="1:5" x14ac:dyDescent="0.2">
      <c r="A1979" s="135">
        <v>10604</v>
      </c>
      <c r="B1979" s="1926" t="s">
        <v>11581</v>
      </c>
      <c r="C1979" s="1926" t="s">
        <v>39</v>
      </c>
      <c r="D1979" s="1926" t="s">
        <v>40</v>
      </c>
      <c r="E1979" s="1662">
        <v>3.74</v>
      </c>
    </row>
    <row r="1980" spans="1:5" x14ac:dyDescent="0.2">
      <c r="A1980" s="135">
        <v>672</v>
      </c>
      <c r="B1980" s="1926" t="s">
        <v>11582</v>
      </c>
      <c r="C1980" s="1926" t="s">
        <v>39</v>
      </c>
      <c r="D1980" s="1926" t="s">
        <v>40</v>
      </c>
      <c r="E1980" s="1662">
        <v>3.77</v>
      </c>
    </row>
    <row r="1981" spans="1:5" x14ac:dyDescent="0.2">
      <c r="A1981" s="135">
        <v>668</v>
      </c>
      <c r="B1981" s="1926" t="s">
        <v>11583</v>
      </c>
      <c r="C1981" s="1926" t="s">
        <v>39</v>
      </c>
      <c r="D1981" s="1926" t="s">
        <v>40</v>
      </c>
      <c r="E1981" s="1662">
        <v>5.94</v>
      </c>
    </row>
    <row r="1982" spans="1:5" x14ac:dyDescent="0.2">
      <c r="A1982" s="135">
        <v>10578</v>
      </c>
      <c r="B1982" s="1926" t="s">
        <v>11584</v>
      </c>
      <c r="C1982" s="1926" t="s">
        <v>39</v>
      </c>
      <c r="D1982" s="1926" t="s">
        <v>40</v>
      </c>
      <c r="E1982" s="1662">
        <v>10.36</v>
      </c>
    </row>
    <row r="1983" spans="1:5" x14ac:dyDescent="0.2">
      <c r="A1983" s="135">
        <v>666</v>
      </c>
      <c r="B1983" s="1926" t="s">
        <v>11585</v>
      </c>
      <c r="C1983" s="1926" t="s">
        <v>39</v>
      </c>
      <c r="D1983" s="1926" t="s">
        <v>40</v>
      </c>
      <c r="E1983" s="1662">
        <v>10.29</v>
      </c>
    </row>
    <row r="1984" spans="1:5" x14ac:dyDescent="0.2">
      <c r="A1984" s="135">
        <v>665</v>
      </c>
      <c r="B1984" s="1926" t="s">
        <v>11586</v>
      </c>
      <c r="C1984" s="1926" t="s">
        <v>39</v>
      </c>
      <c r="D1984" s="1926" t="s">
        <v>40</v>
      </c>
      <c r="E1984" s="1662">
        <v>19.28</v>
      </c>
    </row>
    <row r="1985" spans="1:5" x14ac:dyDescent="0.2">
      <c r="A1985" s="135">
        <v>10577</v>
      </c>
      <c r="B1985" s="1926" t="s">
        <v>11587</v>
      </c>
      <c r="C1985" s="1926" t="s">
        <v>39</v>
      </c>
      <c r="D1985" s="1926" t="s">
        <v>40</v>
      </c>
      <c r="E1985" s="1662">
        <v>15.09</v>
      </c>
    </row>
    <row r="1986" spans="1:5" x14ac:dyDescent="0.2">
      <c r="A1986" s="135">
        <v>10583</v>
      </c>
      <c r="B1986" s="1926" t="s">
        <v>11588</v>
      </c>
      <c r="C1986" s="1926" t="s">
        <v>39</v>
      </c>
      <c r="D1986" s="1926" t="s">
        <v>40</v>
      </c>
      <c r="E1986" s="1662">
        <v>8.4600000000000009</v>
      </c>
    </row>
    <row r="1987" spans="1:5" x14ac:dyDescent="0.2">
      <c r="A1987" s="135">
        <v>10579</v>
      </c>
      <c r="B1987" s="1926" t="s">
        <v>11589</v>
      </c>
      <c r="C1987" s="1926" t="s">
        <v>39</v>
      </c>
      <c r="D1987" s="1926" t="s">
        <v>40</v>
      </c>
      <c r="E1987" s="1662">
        <v>13.8</v>
      </c>
    </row>
    <row r="1988" spans="1:5" x14ac:dyDescent="0.2">
      <c r="A1988" s="135">
        <v>10582</v>
      </c>
      <c r="B1988" s="1926" t="s">
        <v>11590</v>
      </c>
      <c r="C1988" s="1926" t="s">
        <v>39</v>
      </c>
      <c r="D1988" s="1926" t="s">
        <v>40</v>
      </c>
      <c r="E1988" s="1662">
        <v>4.83</v>
      </c>
    </row>
    <row r="1989" spans="1:5" x14ac:dyDescent="0.2">
      <c r="A1989" s="135">
        <v>2436</v>
      </c>
      <c r="B1989" s="1926" t="s">
        <v>11591</v>
      </c>
      <c r="C1989" s="1926" t="s">
        <v>42</v>
      </c>
      <c r="D1989" s="1926" t="s">
        <v>43</v>
      </c>
      <c r="E1989" s="1662">
        <v>14.14</v>
      </c>
    </row>
    <row r="1990" spans="1:5" x14ac:dyDescent="0.2">
      <c r="A1990" s="135">
        <v>40918</v>
      </c>
      <c r="B1990" s="1926" t="s">
        <v>11592</v>
      </c>
      <c r="C1990" s="1926" t="s">
        <v>51</v>
      </c>
      <c r="D1990" s="1926" t="s">
        <v>40</v>
      </c>
      <c r="E1990" s="1662">
        <v>2521.06</v>
      </c>
    </row>
    <row r="1991" spans="1:5" x14ac:dyDescent="0.2">
      <c r="A1991" s="135">
        <v>2439</v>
      </c>
      <c r="B1991" s="1926" t="s">
        <v>11593</v>
      </c>
      <c r="C1991" s="1926" t="s">
        <v>42</v>
      </c>
      <c r="D1991" s="1926" t="s">
        <v>40</v>
      </c>
      <c r="E1991" s="1662">
        <v>14.14</v>
      </c>
    </row>
    <row r="1992" spans="1:5" x14ac:dyDescent="0.2">
      <c r="A1992" s="135">
        <v>40923</v>
      </c>
      <c r="B1992" s="1926" t="s">
        <v>11594</v>
      </c>
      <c r="C1992" s="1926" t="s">
        <v>51</v>
      </c>
      <c r="D1992" s="1926" t="s">
        <v>40</v>
      </c>
      <c r="E1992" s="1662">
        <v>2523.9699999999998</v>
      </c>
    </row>
    <row r="1993" spans="1:5" x14ac:dyDescent="0.2">
      <c r="A1993" s="135">
        <v>10998</v>
      </c>
      <c r="B1993" s="1926" t="s">
        <v>11595</v>
      </c>
      <c r="C1993" s="1926" t="s">
        <v>48</v>
      </c>
      <c r="D1993" s="1926" t="s">
        <v>40</v>
      </c>
      <c r="E1993" s="1662">
        <v>18.739999999999998</v>
      </c>
    </row>
    <row r="1994" spans="1:5" x14ac:dyDescent="0.2">
      <c r="A1994" s="135">
        <v>11002</v>
      </c>
      <c r="B1994" s="1926" t="s">
        <v>11596</v>
      </c>
      <c r="C1994" s="1926" t="s">
        <v>48</v>
      </c>
      <c r="D1994" s="1926" t="s">
        <v>40</v>
      </c>
      <c r="E1994" s="1662">
        <v>17.170000000000002</v>
      </c>
    </row>
    <row r="1995" spans="1:5" x14ac:dyDescent="0.2">
      <c r="A1995" s="135">
        <v>10999</v>
      </c>
      <c r="B1995" s="1926" t="s">
        <v>11597</v>
      </c>
      <c r="C1995" s="1926" t="s">
        <v>48</v>
      </c>
      <c r="D1995" s="1926" t="s">
        <v>40</v>
      </c>
      <c r="E1995" s="1662">
        <v>16.489999999999998</v>
      </c>
    </row>
    <row r="1996" spans="1:5" x14ac:dyDescent="0.2">
      <c r="A1996" s="135">
        <v>10997</v>
      </c>
      <c r="B1996" s="1926" t="s">
        <v>11598</v>
      </c>
      <c r="C1996" s="1926" t="s">
        <v>48</v>
      </c>
      <c r="D1996" s="1926" t="s">
        <v>43</v>
      </c>
      <c r="E1996" s="1662">
        <v>17.88</v>
      </c>
    </row>
    <row r="1997" spans="1:5" x14ac:dyDescent="0.2">
      <c r="A1997" s="135">
        <v>2685</v>
      </c>
      <c r="B1997" s="1926" t="s">
        <v>11599</v>
      </c>
      <c r="C1997" s="1926" t="s">
        <v>47</v>
      </c>
      <c r="D1997" s="1926" t="s">
        <v>40</v>
      </c>
      <c r="E1997" s="1662">
        <v>4.51</v>
      </c>
    </row>
    <row r="1998" spans="1:5" x14ac:dyDescent="0.2">
      <c r="A1998" s="135">
        <v>2680</v>
      </c>
      <c r="B1998" s="1926" t="s">
        <v>11600</v>
      </c>
      <c r="C1998" s="1926" t="s">
        <v>47</v>
      </c>
      <c r="D1998" s="1926" t="s">
        <v>40</v>
      </c>
      <c r="E1998" s="1662">
        <v>6.6</v>
      </c>
    </row>
    <row r="1999" spans="1:5" x14ac:dyDescent="0.2">
      <c r="A1999" s="135">
        <v>2684</v>
      </c>
      <c r="B1999" s="1926" t="s">
        <v>11601</v>
      </c>
      <c r="C1999" s="1926" t="s">
        <v>47</v>
      </c>
      <c r="D1999" s="1926" t="s">
        <v>40</v>
      </c>
      <c r="E1999" s="1662">
        <v>6.01</v>
      </c>
    </row>
    <row r="2000" spans="1:5" x14ac:dyDescent="0.2">
      <c r="A2000" s="135">
        <v>2673</v>
      </c>
      <c r="B2000" s="1926" t="s">
        <v>11602</v>
      </c>
      <c r="C2000" s="1926" t="s">
        <v>47</v>
      </c>
      <c r="D2000" s="1926" t="s">
        <v>43</v>
      </c>
      <c r="E2000" s="1662">
        <v>2.3199999999999998</v>
      </c>
    </row>
    <row r="2001" spans="1:5" x14ac:dyDescent="0.2">
      <c r="A2001" s="135">
        <v>2681</v>
      </c>
      <c r="B2001" s="1926" t="s">
        <v>11603</v>
      </c>
      <c r="C2001" s="1926" t="s">
        <v>47</v>
      </c>
      <c r="D2001" s="1926" t="s">
        <v>40</v>
      </c>
      <c r="E2001" s="1662">
        <v>10.79</v>
      </c>
    </row>
    <row r="2002" spans="1:5" x14ac:dyDescent="0.2">
      <c r="A2002" s="135">
        <v>2682</v>
      </c>
      <c r="B2002" s="1926" t="s">
        <v>11604</v>
      </c>
      <c r="C2002" s="1926" t="s">
        <v>47</v>
      </c>
      <c r="D2002" s="1926" t="s">
        <v>40</v>
      </c>
      <c r="E2002" s="1662">
        <v>15.75</v>
      </c>
    </row>
    <row r="2003" spans="1:5" x14ac:dyDescent="0.2">
      <c r="A2003" s="135">
        <v>2686</v>
      </c>
      <c r="B2003" s="1926" t="s">
        <v>11605</v>
      </c>
      <c r="C2003" s="1926" t="s">
        <v>47</v>
      </c>
      <c r="D2003" s="1926" t="s">
        <v>40</v>
      </c>
      <c r="E2003" s="1662">
        <v>19.75</v>
      </c>
    </row>
    <row r="2004" spans="1:5" x14ac:dyDescent="0.2">
      <c r="A2004" s="135">
        <v>2674</v>
      </c>
      <c r="B2004" s="1926" t="s">
        <v>11606</v>
      </c>
      <c r="C2004" s="1926" t="s">
        <v>47</v>
      </c>
      <c r="D2004" s="1926" t="s">
        <v>40</v>
      </c>
      <c r="E2004" s="1662">
        <v>2.89</v>
      </c>
    </row>
    <row r="2005" spans="1:5" x14ac:dyDescent="0.2">
      <c r="A2005" s="135">
        <v>2683</v>
      </c>
      <c r="B2005" s="1926" t="s">
        <v>11607</v>
      </c>
      <c r="C2005" s="1926" t="s">
        <v>47</v>
      </c>
      <c r="D2005" s="1926" t="s">
        <v>40</v>
      </c>
      <c r="E2005" s="1662">
        <v>31.12</v>
      </c>
    </row>
    <row r="2006" spans="1:5" x14ac:dyDescent="0.2">
      <c r="A2006" s="135">
        <v>2676</v>
      </c>
      <c r="B2006" s="1926" t="s">
        <v>11608</v>
      </c>
      <c r="C2006" s="1926" t="s">
        <v>47</v>
      </c>
      <c r="D2006" s="1926" t="s">
        <v>40</v>
      </c>
      <c r="E2006" s="1662">
        <v>1.35</v>
      </c>
    </row>
    <row r="2007" spans="1:5" x14ac:dyDescent="0.2">
      <c r="A2007" s="135">
        <v>2678</v>
      </c>
      <c r="B2007" s="1926" t="s">
        <v>11609</v>
      </c>
      <c r="C2007" s="1926" t="s">
        <v>47</v>
      </c>
      <c r="D2007" s="1926" t="s">
        <v>40</v>
      </c>
      <c r="E2007" s="1662">
        <v>1.69</v>
      </c>
    </row>
    <row r="2008" spans="1:5" x14ac:dyDescent="0.2">
      <c r="A2008" s="135">
        <v>2679</v>
      </c>
      <c r="B2008" s="1926" t="s">
        <v>11610</v>
      </c>
      <c r="C2008" s="1926" t="s">
        <v>47</v>
      </c>
      <c r="D2008" s="1926" t="s">
        <v>40</v>
      </c>
      <c r="E2008" s="1662">
        <v>2.6</v>
      </c>
    </row>
    <row r="2009" spans="1:5" x14ac:dyDescent="0.2">
      <c r="A2009" s="135">
        <v>12070</v>
      </c>
      <c r="B2009" s="1926" t="s">
        <v>11611</v>
      </c>
      <c r="C2009" s="1926" t="s">
        <v>47</v>
      </c>
      <c r="D2009" s="1926" t="s">
        <v>40</v>
      </c>
      <c r="E2009" s="1662">
        <v>3.62</v>
      </c>
    </row>
    <row r="2010" spans="1:5" x14ac:dyDescent="0.2">
      <c r="A2010" s="135">
        <v>2675</v>
      </c>
      <c r="B2010" s="1926" t="s">
        <v>11612</v>
      </c>
      <c r="C2010" s="1926" t="s">
        <v>47</v>
      </c>
      <c r="D2010" s="1926" t="s">
        <v>40</v>
      </c>
      <c r="E2010" s="1662">
        <v>4.71</v>
      </c>
    </row>
    <row r="2011" spans="1:5" x14ac:dyDescent="0.2">
      <c r="A2011" s="135">
        <v>12067</v>
      </c>
      <c r="B2011" s="1926" t="s">
        <v>11613</v>
      </c>
      <c r="C2011" s="1926" t="s">
        <v>47</v>
      </c>
      <c r="D2011" s="1926" t="s">
        <v>40</v>
      </c>
      <c r="E2011" s="1662">
        <v>6.39</v>
      </c>
    </row>
    <row r="2012" spans="1:5" x14ac:dyDescent="0.2">
      <c r="A2012" s="135">
        <v>40401</v>
      </c>
      <c r="B2012" s="1926" t="s">
        <v>11614</v>
      </c>
      <c r="C2012" s="1926" t="s">
        <v>47</v>
      </c>
      <c r="D2012" s="1926" t="s">
        <v>46</v>
      </c>
      <c r="E2012" s="1662">
        <v>2.09</v>
      </c>
    </row>
    <row r="2013" spans="1:5" x14ac:dyDescent="0.2">
      <c r="A2013" s="135">
        <v>40402</v>
      </c>
      <c r="B2013" s="1926" t="s">
        <v>11615</v>
      </c>
      <c r="C2013" s="1926" t="s">
        <v>47</v>
      </c>
      <c r="D2013" s="1926" t="s">
        <v>46</v>
      </c>
      <c r="E2013" s="1662">
        <v>2.68</v>
      </c>
    </row>
    <row r="2014" spans="1:5" x14ac:dyDescent="0.2">
      <c r="A2014" s="135">
        <v>40400</v>
      </c>
      <c r="B2014" s="1926" t="s">
        <v>11616</v>
      </c>
      <c r="C2014" s="1926" t="s">
        <v>47</v>
      </c>
      <c r="D2014" s="1926" t="s">
        <v>46</v>
      </c>
      <c r="E2014" s="1662">
        <v>1.42</v>
      </c>
    </row>
    <row r="2015" spans="1:5" x14ac:dyDescent="0.2">
      <c r="A2015" s="135">
        <v>2504</v>
      </c>
      <c r="B2015" s="1926" t="s">
        <v>11617</v>
      </c>
      <c r="C2015" s="1926" t="s">
        <v>47</v>
      </c>
      <c r="D2015" s="1926" t="s">
        <v>46</v>
      </c>
      <c r="E2015" s="1662">
        <v>10.26</v>
      </c>
    </row>
    <row r="2016" spans="1:5" x14ac:dyDescent="0.2">
      <c r="A2016" s="135">
        <v>2501</v>
      </c>
      <c r="B2016" s="1926" t="s">
        <v>11618</v>
      </c>
      <c r="C2016" s="1926" t="s">
        <v>47</v>
      </c>
      <c r="D2016" s="1926" t="s">
        <v>46</v>
      </c>
      <c r="E2016" s="1662">
        <v>13.46</v>
      </c>
    </row>
    <row r="2017" spans="1:5" x14ac:dyDescent="0.2">
      <c r="A2017" s="135">
        <v>2502</v>
      </c>
      <c r="B2017" s="1926" t="s">
        <v>11619</v>
      </c>
      <c r="C2017" s="1926" t="s">
        <v>47</v>
      </c>
      <c r="D2017" s="1926" t="s">
        <v>46</v>
      </c>
      <c r="E2017" s="1662">
        <v>20.309999999999999</v>
      </c>
    </row>
    <row r="2018" spans="1:5" x14ac:dyDescent="0.2">
      <c r="A2018" s="135">
        <v>2503</v>
      </c>
      <c r="B2018" s="1926" t="s">
        <v>11620</v>
      </c>
      <c r="C2018" s="1926" t="s">
        <v>47</v>
      </c>
      <c r="D2018" s="1926" t="s">
        <v>46</v>
      </c>
      <c r="E2018" s="1662">
        <v>26.14</v>
      </c>
    </row>
    <row r="2019" spans="1:5" x14ac:dyDescent="0.2">
      <c r="A2019" s="135">
        <v>2500</v>
      </c>
      <c r="B2019" s="1926" t="s">
        <v>11621</v>
      </c>
      <c r="C2019" s="1926" t="s">
        <v>47</v>
      </c>
      <c r="D2019" s="1926" t="s">
        <v>46</v>
      </c>
      <c r="E2019" s="1662">
        <v>34.81</v>
      </c>
    </row>
    <row r="2020" spans="1:5" x14ac:dyDescent="0.2">
      <c r="A2020" s="135">
        <v>2505</v>
      </c>
      <c r="B2020" s="1926" t="s">
        <v>11622</v>
      </c>
      <c r="C2020" s="1926" t="s">
        <v>47</v>
      </c>
      <c r="D2020" s="1926" t="s">
        <v>46</v>
      </c>
      <c r="E2020" s="1662">
        <v>54.26</v>
      </c>
    </row>
    <row r="2021" spans="1:5" x14ac:dyDescent="0.2">
      <c r="A2021" s="135">
        <v>12056</v>
      </c>
      <c r="B2021" s="1926" t="s">
        <v>11623</v>
      </c>
      <c r="C2021" s="1926" t="s">
        <v>47</v>
      </c>
      <c r="D2021" s="1926" t="s">
        <v>46</v>
      </c>
      <c r="E2021" s="1662">
        <v>21.92</v>
      </c>
    </row>
    <row r="2022" spans="1:5" x14ac:dyDescent="0.2">
      <c r="A2022" s="135">
        <v>12057</v>
      </c>
      <c r="B2022" s="1926" t="s">
        <v>11624</v>
      </c>
      <c r="C2022" s="1926" t="s">
        <v>47</v>
      </c>
      <c r="D2022" s="1926" t="s">
        <v>46</v>
      </c>
      <c r="E2022" s="1662">
        <v>18.62</v>
      </c>
    </row>
    <row r="2023" spans="1:5" x14ac:dyDescent="0.2">
      <c r="A2023" s="135">
        <v>12059</v>
      </c>
      <c r="B2023" s="1926" t="s">
        <v>11625</v>
      </c>
      <c r="C2023" s="1926" t="s">
        <v>47</v>
      </c>
      <c r="D2023" s="1926" t="s">
        <v>46</v>
      </c>
      <c r="E2023" s="1662">
        <v>6.53</v>
      </c>
    </row>
    <row r="2024" spans="1:5" x14ac:dyDescent="0.2">
      <c r="A2024" s="135">
        <v>12058</v>
      </c>
      <c r="B2024" s="1926" t="s">
        <v>11626</v>
      </c>
      <c r="C2024" s="1926" t="s">
        <v>47</v>
      </c>
      <c r="D2024" s="1926" t="s">
        <v>46</v>
      </c>
      <c r="E2024" s="1662">
        <v>11.61</v>
      </c>
    </row>
    <row r="2025" spans="1:5" x14ac:dyDescent="0.2">
      <c r="A2025" s="135">
        <v>12060</v>
      </c>
      <c r="B2025" s="1926" t="s">
        <v>11627</v>
      </c>
      <c r="C2025" s="1926" t="s">
        <v>47</v>
      </c>
      <c r="D2025" s="1926" t="s">
        <v>46</v>
      </c>
      <c r="E2025" s="1662">
        <v>48.38</v>
      </c>
    </row>
    <row r="2026" spans="1:5" x14ac:dyDescent="0.2">
      <c r="A2026" s="135">
        <v>12061</v>
      </c>
      <c r="B2026" s="1926" t="s">
        <v>11628</v>
      </c>
      <c r="C2026" s="1926" t="s">
        <v>47</v>
      </c>
      <c r="D2026" s="1926" t="s">
        <v>46</v>
      </c>
      <c r="E2026" s="1662">
        <v>29.54</v>
      </c>
    </row>
    <row r="2027" spans="1:5" x14ac:dyDescent="0.2">
      <c r="A2027" s="135">
        <v>12062</v>
      </c>
      <c r="B2027" s="1926" t="s">
        <v>11629</v>
      </c>
      <c r="C2027" s="1926" t="s">
        <v>47</v>
      </c>
      <c r="D2027" s="1926" t="s">
        <v>46</v>
      </c>
      <c r="E2027" s="1662">
        <v>54.48</v>
      </c>
    </row>
    <row r="2028" spans="1:5" x14ac:dyDescent="0.2">
      <c r="A2028" s="135">
        <v>21137</v>
      </c>
      <c r="B2028" s="1926" t="s">
        <v>11630</v>
      </c>
      <c r="C2028" s="1926" t="s">
        <v>47</v>
      </c>
      <c r="D2028" s="1926" t="s">
        <v>46</v>
      </c>
      <c r="E2028" s="1662">
        <v>9.4700000000000006</v>
      </c>
    </row>
    <row r="2029" spans="1:5" x14ac:dyDescent="0.2">
      <c r="A2029" s="135">
        <v>2687</v>
      </c>
      <c r="B2029" s="1926" t="s">
        <v>11631</v>
      </c>
      <c r="C2029" s="1926" t="s">
        <v>47</v>
      </c>
      <c r="D2029" s="1926" t="s">
        <v>40</v>
      </c>
      <c r="E2029" s="1662">
        <v>1.17</v>
      </c>
    </row>
    <row r="2030" spans="1:5" x14ac:dyDescent="0.2">
      <c r="A2030" s="135">
        <v>2689</v>
      </c>
      <c r="B2030" s="1926" t="s">
        <v>11632</v>
      </c>
      <c r="C2030" s="1926" t="s">
        <v>47</v>
      </c>
      <c r="D2030" s="1926" t="s">
        <v>40</v>
      </c>
      <c r="E2030" s="1662">
        <v>1.4</v>
      </c>
    </row>
    <row r="2031" spans="1:5" x14ac:dyDescent="0.2">
      <c r="A2031" s="135">
        <v>2688</v>
      </c>
      <c r="B2031" s="1926" t="s">
        <v>11633</v>
      </c>
      <c r="C2031" s="1926" t="s">
        <v>47</v>
      </c>
      <c r="D2031" s="1926" t="s">
        <v>40</v>
      </c>
      <c r="E2031" s="1662">
        <v>1.52</v>
      </c>
    </row>
    <row r="2032" spans="1:5" x14ac:dyDescent="0.2">
      <c r="A2032" s="135">
        <v>2690</v>
      </c>
      <c r="B2032" s="1926" t="s">
        <v>11634</v>
      </c>
      <c r="C2032" s="1926" t="s">
        <v>47</v>
      </c>
      <c r="D2032" s="1926" t="s">
        <v>40</v>
      </c>
      <c r="E2032" s="1662">
        <v>2.6</v>
      </c>
    </row>
    <row r="2033" spans="1:5" x14ac:dyDescent="0.2">
      <c r="A2033" s="135">
        <v>39243</v>
      </c>
      <c r="B2033" s="1926" t="s">
        <v>11635</v>
      </c>
      <c r="C2033" s="1926" t="s">
        <v>47</v>
      </c>
      <c r="D2033" s="1926" t="s">
        <v>40</v>
      </c>
      <c r="E2033" s="1662">
        <v>1.71</v>
      </c>
    </row>
    <row r="2034" spans="1:5" x14ac:dyDescent="0.2">
      <c r="A2034" s="135">
        <v>39244</v>
      </c>
      <c r="B2034" s="1926" t="s">
        <v>11636</v>
      </c>
      <c r="C2034" s="1926" t="s">
        <v>47</v>
      </c>
      <c r="D2034" s="1926" t="s">
        <v>40</v>
      </c>
      <c r="E2034" s="1662">
        <v>2.31</v>
      </c>
    </row>
    <row r="2035" spans="1:5" x14ac:dyDescent="0.2">
      <c r="A2035" s="135">
        <v>39245</v>
      </c>
      <c r="B2035" s="1926" t="s">
        <v>11637</v>
      </c>
      <c r="C2035" s="1926" t="s">
        <v>47</v>
      </c>
      <c r="D2035" s="1926" t="s">
        <v>40</v>
      </c>
      <c r="E2035" s="1662">
        <v>4.45</v>
      </c>
    </row>
    <row r="2036" spans="1:5" x14ac:dyDescent="0.2">
      <c r="A2036" s="135">
        <v>39254</v>
      </c>
      <c r="B2036" s="1926" t="s">
        <v>11638</v>
      </c>
      <c r="C2036" s="1926" t="s">
        <v>47</v>
      </c>
      <c r="D2036" s="1926" t="s">
        <v>40</v>
      </c>
      <c r="E2036" s="1662">
        <v>6.66</v>
      </c>
    </row>
    <row r="2037" spans="1:5" x14ac:dyDescent="0.2">
      <c r="A2037" s="135">
        <v>39255</v>
      </c>
      <c r="B2037" s="1926" t="s">
        <v>11639</v>
      </c>
      <c r="C2037" s="1926" t="s">
        <v>47</v>
      </c>
      <c r="D2037" s="1926" t="s">
        <v>40</v>
      </c>
      <c r="E2037" s="1662">
        <v>12.33</v>
      </c>
    </row>
    <row r="2038" spans="1:5" x14ac:dyDescent="0.2">
      <c r="A2038" s="135">
        <v>39253</v>
      </c>
      <c r="B2038" s="1926" t="s">
        <v>11640</v>
      </c>
      <c r="C2038" s="1926" t="s">
        <v>47</v>
      </c>
      <c r="D2038" s="1926" t="s">
        <v>40</v>
      </c>
      <c r="E2038" s="1662">
        <v>8.49</v>
      </c>
    </row>
    <row r="2039" spans="1:5" x14ac:dyDescent="0.2">
      <c r="A2039" s="135">
        <v>2446</v>
      </c>
      <c r="B2039" s="1926" t="s">
        <v>11641</v>
      </c>
      <c r="C2039" s="1926" t="s">
        <v>47</v>
      </c>
      <c r="D2039" s="1926" t="s">
        <v>46</v>
      </c>
      <c r="E2039" s="1662">
        <v>5.21</v>
      </c>
    </row>
    <row r="2040" spans="1:5" x14ac:dyDescent="0.2">
      <c r="A2040" s="135">
        <v>2442</v>
      </c>
      <c r="B2040" s="1926" t="s">
        <v>11642</v>
      </c>
      <c r="C2040" s="1926" t="s">
        <v>47</v>
      </c>
      <c r="D2040" s="1926" t="s">
        <v>46</v>
      </c>
      <c r="E2040" s="1662">
        <v>7.3</v>
      </c>
    </row>
    <row r="2041" spans="1:5" x14ac:dyDescent="0.2">
      <c r="A2041" s="135">
        <v>39246</v>
      </c>
      <c r="B2041" s="1926" t="s">
        <v>11643</v>
      </c>
      <c r="C2041" s="1926" t="s">
        <v>47</v>
      </c>
      <c r="D2041" s="1926" t="s">
        <v>46</v>
      </c>
      <c r="E2041" s="1662">
        <v>3.63</v>
      </c>
    </row>
    <row r="2042" spans="1:5" x14ac:dyDescent="0.2">
      <c r="A2042" s="135">
        <v>39247</v>
      </c>
      <c r="B2042" s="1926" t="s">
        <v>11644</v>
      </c>
      <c r="C2042" s="1926" t="s">
        <v>47</v>
      </c>
      <c r="D2042" s="1926" t="s">
        <v>46</v>
      </c>
      <c r="E2042" s="1662">
        <v>3.16</v>
      </c>
    </row>
    <row r="2043" spans="1:5" x14ac:dyDescent="0.2">
      <c r="A2043" s="135">
        <v>39248</v>
      </c>
      <c r="B2043" s="1926" t="s">
        <v>11645</v>
      </c>
      <c r="C2043" s="1926" t="s">
        <v>47</v>
      </c>
      <c r="D2043" s="1926" t="s">
        <v>46</v>
      </c>
      <c r="E2043" s="1662">
        <v>10.17</v>
      </c>
    </row>
    <row r="2044" spans="1:5" x14ac:dyDescent="0.2">
      <c r="A2044" s="135">
        <v>2438</v>
      </c>
      <c r="B2044" s="1926" t="s">
        <v>11646</v>
      </c>
      <c r="C2044" s="1926" t="s">
        <v>42</v>
      </c>
      <c r="D2044" s="1926" t="s">
        <v>40</v>
      </c>
      <c r="E2044" s="1662">
        <v>20.85</v>
      </c>
    </row>
    <row r="2045" spans="1:5" x14ac:dyDescent="0.2">
      <c r="A2045" s="135">
        <v>40922</v>
      </c>
      <c r="B2045" s="1926" t="s">
        <v>11647</v>
      </c>
      <c r="C2045" s="1926" t="s">
        <v>51</v>
      </c>
      <c r="D2045" s="1926" t="s">
        <v>40</v>
      </c>
      <c r="E2045" s="1662">
        <v>3718.72</v>
      </c>
    </row>
    <row r="2046" spans="1:5" x14ac:dyDescent="0.2">
      <c r="A2046" s="135">
        <v>36486</v>
      </c>
      <c r="B2046" s="1926" t="s">
        <v>11648</v>
      </c>
      <c r="C2046" s="1926" t="s">
        <v>39</v>
      </c>
      <c r="D2046" s="1926" t="s">
        <v>46</v>
      </c>
      <c r="E2046" s="1662">
        <v>36823.49</v>
      </c>
    </row>
    <row r="2047" spans="1:5" x14ac:dyDescent="0.2">
      <c r="A2047" s="135">
        <v>37777</v>
      </c>
      <c r="B2047" s="1926" t="s">
        <v>11649</v>
      </c>
      <c r="C2047" s="1926" t="s">
        <v>39</v>
      </c>
      <c r="D2047" s="1926" t="s">
        <v>46</v>
      </c>
      <c r="E2047" s="1662">
        <v>173364.31</v>
      </c>
    </row>
    <row r="2048" spans="1:5" x14ac:dyDescent="0.2">
      <c r="A2048" s="135">
        <v>12624</v>
      </c>
      <c r="B2048" s="1926" t="s">
        <v>11650</v>
      </c>
      <c r="C2048" s="1926" t="s">
        <v>39</v>
      </c>
      <c r="D2048" s="1926" t="s">
        <v>46</v>
      </c>
      <c r="E2048" s="1662">
        <v>8.49</v>
      </c>
    </row>
    <row r="2049" spans="1:5" x14ac:dyDescent="0.2">
      <c r="A2049" s="135">
        <v>10638</v>
      </c>
      <c r="B2049" s="1926" t="s">
        <v>11651</v>
      </c>
      <c r="C2049" s="1926" t="s">
        <v>39</v>
      </c>
      <c r="D2049" s="1926" t="s">
        <v>46</v>
      </c>
      <c r="E2049" s="1662">
        <v>323092.78000000003</v>
      </c>
    </row>
    <row r="2050" spans="1:5" x14ac:dyDescent="0.2">
      <c r="A2050" s="135">
        <v>10635</v>
      </c>
      <c r="B2050" s="1926" t="s">
        <v>11652</v>
      </c>
      <c r="C2050" s="1926" t="s">
        <v>39</v>
      </c>
      <c r="D2050" s="1926" t="s">
        <v>46</v>
      </c>
      <c r="E2050" s="1662">
        <v>111677.29</v>
      </c>
    </row>
    <row r="2051" spans="1:5" x14ac:dyDescent="0.2">
      <c r="A2051" s="135">
        <v>10634</v>
      </c>
      <c r="B2051" s="1926" t="s">
        <v>11653</v>
      </c>
      <c r="C2051" s="1926" t="s">
        <v>39</v>
      </c>
      <c r="D2051" s="1926" t="s">
        <v>46</v>
      </c>
      <c r="E2051" s="1662">
        <v>95630</v>
      </c>
    </row>
    <row r="2052" spans="1:5" x14ac:dyDescent="0.2">
      <c r="A2052" s="135">
        <v>10636</v>
      </c>
      <c r="B2052" s="1926" t="s">
        <v>11654</v>
      </c>
      <c r="C2052" s="1926" t="s">
        <v>39</v>
      </c>
      <c r="D2052" s="1926" t="s">
        <v>46</v>
      </c>
      <c r="E2052" s="1662">
        <v>210600.67</v>
      </c>
    </row>
    <row r="2053" spans="1:5" x14ac:dyDescent="0.2">
      <c r="A2053" s="135">
        <v>10637</v>
      </c>
      <c r="B2053" s="1926" t="s">
        <v>11655</v>
      </c>
      <c r="C2053" s="1926" t="s">
        <v>39</v>
      </c>
      <c r="D2053" s="1926" t="s">
        <v>46</v>
      </c>
      <c r="E2053" s="1662">
        <v>220290.53</v>
      </c>
    </row>
    <row r="2054" spans="1:5" x14ac:dyDescent="0.2">
      <c r="A2054" s="135">
        <v>517</v>
      </c>
      <c r="B2054" s="1926" t="s">
        <v>11656</v>
      </c>
      <c r="C2054" s="1926" t="s">
        <v>49</v>
      </c>
      <c r="D2054" s="1926" t="s">
        <v>46</v>
      </c>
      <c r="E2054" s="1662">
        <v>8.1300000000000008</v>
      </c>
    </row>
    <row r="2055" spans="1:5" x14ac:dyDescent="0.2">
      <c r="A2055" s="135">
        <v>41904</v>
      </c>
      <c r="B2055" s="1926" t="s">
        <v>11657</v>
      </c>
      <c r="C2055" s="1926" t="s">
        <v>55</v>
      </c>
      <c r="D2055" s="1926" t="s">
        <v>46</v>
      </c>
      <c r="E2055" s="1662">
        <v>2421.75</v>
      </c>
    </row>
    <row r="2056" spans="1:5" x14ac:dyDescent="0.2">
      <c r="A2056" s="135">
        <v>41905</v>
      </c>
      <c r="B2056" s="1926" t="s">
        <v>11658</v>
      </c>
      <c r="C2056" s="1926" t="s">
        <v>48</v>
      </c>
      <c r="D2056" s="1926" t="s">
        <v>46</v>
      </c>
      <c r="E2056" s="1662">
        <v>2.2400000000000002</v>
      </c>
    </row>
    <row r="2057" spans="1:5" x14ac:dyDescent="0.2">
      <c r="A2057" s="135">
        <v>41903</v>
      </c>
      <c r="B2057" s="1926" t="s">
        <v>11659</v>
      </c>
      <c r="C2057" s="1926" t="s">
        <v>48</v>
      </c>
      <c r="D2057" s="1926" t="s">
        <v>46</v>
      </c>
      <c r="E2057" s="1662">
        <v>2.5</v>
      </c>
    </row>
    <row r="2058" spans="1:5" x14ac:dyDescent="0.2">
      <c r="A2058" s="135">
        <v>37534</v>
      </c>
      <c r="B2058" s="1926" t="s">
        <v>11660</v>
      </c>
      <c r="C2058" s="1926" t="s">
        <v>48</v>
      </c>
      <c r="D2058" s="1926" t="s">
        <v>46</v>
      </c>
      <c r="E2058" s="1662">
        <v>15.19</v>
      </c>
    </row>
    <row r="2059" spans="1:5" x14ac:dyDescent="0.2">
      <c r="A2059" s="135">
        <v>37535</v>
      </c>
      <c r="B2059" s="1926" t="s">
        <v>11661</v>
      </c>
      <c r="C2059" s="1926" t="s">
        <v>48</v>
      </c>
      <c r="D2059" s="1926" t="s">
        <v>46</v>
      </c>
      <c r="E2059" s="1662">
        <v>15.19</v>
      </c>
    </row>
    <row r="2060" spans="1:5" x14ac:dyDescent="0.2">
      <c r="A2060" s="135">
        <v>37533</v>
      </c>
      <c r="B2060" s="1926" t="s">
        <v>11662</v>
      </c>
      <c r="C2060" s="1926" t="s">
        <v>48</v>
      </c>
      <c r="D2060" s="1926" t="s">
        <v>46</v>
      </c>
      <c r="E2060" s="1662">
        <v>15.19</v>
      </c>
    </row>
    <row r="2061" spans="1:5" x14ac:dyDescent="0.2">
      <c r="A2061" s="135">
        <v>37537</v>
      </c>
      <c r="B2061" s="1926" t="s">
        <v>11663</v>
      </c>
      <c r="C2061" s="1926" t="s">
        <v>48</v>
      </c>
      <c r="D2061" s="1926" t="s">
        <v>46</v>
      </c>
      <c r="E2061" s="1662">
        <v>11.5</v>
      </c>
    </row>
    <row r="2062" spans="1:5" x14ac:dyDescent="0.2">
      <c r="A2062" s="135">
        <v>37536</v>
      </c>
      <c r="B2062" s="1926" t="s">
        <v>11664</v>
      </c>
      <c r="C2062" s="1926" t="s">
        <v>48</v>
      </c>
      <c r="D2062" s="1926" t="s">
        <v>46</v>
      </c>
      <c r="E2062" s="1662">
        <v>11.5</v>
      </c>
    </row>
    <row r="2063" spans="1:5" x14ac:dyDescent="0.2">
      <c r="A2063" s="135">
        <v>37532</v>
      </c>
      <c r="B2063" s="1926" t="s">
        <v>11665</v>
      </c>
      <c r="C2063" s="1926" t="s">
        <v>48</v>
      </c>
      <c r="D2063" s="1926" t="s">
        <v>46</v>
      </c>
      <c r="E2063" s="1662">
        <v>11.5</v>
      </c>
    </row>
    <row r="2064" spans="1:5" x14ac:dyDescent="0.2">
      <c r="A2064" s="135">
        <v>2696</v>
      </c>
      <c r="B2064" s="1926" t="s">
        <v>11666</v>
      </c>
      <c r="C2064" s="1926" t="s">
        <v>42</v>
      </c>
      <c r="D2064" s="1926" t="s">
        <v>43</v>
      </c>
      <c r="E2064" s="1662">
        <v>14.14</v>
      </c>
    </row>
    <row r="2065" spans="1:5" x14ac:dyDescent="0.2">
      <c r="A2065" s="135">
        <v>40928</v>
      </c>
      <c r="B2065" s="1926" t="s">
        <v>11667</v>
      </c>
      <c r="C2065" s="1926" t="s">
        <v>51</v>
      </c>
      <c r="D2065" s="1926" t="s">
        <v>40</v>
      </c>
      <c r="E2065" s="1662">
        <v>2521.06</v>
      </c>
    </row>
    <row r="2066" spans="1:5" x14ac:dyDescent="0.2">
      <c r="A2066" s="135">
        <v>4083</v>
      </c>
      <c r="B2066" s="1926" t="s">
        <v>11668</v>
      </c>
      <c r="C2066" s="1926" t="s">
        <v>42</v>
      </c>
      <c r="D2066" s="1926" t="s">
        <v>43</v>
      </c>
      <c r="E2066" s="1662">
        <v>14.14</v>
      </c>
    </row>
    <row r="2067" spans="1:5" x14ac:dyDescent="0.2">
      <c r="A2067" s="135">
        <v>40818</v>
      </c>
      <c r="B2067" s="1926" t="s">
        <v>11669</v>
      </c>
      <c r="C2067" s="1926" t="s">
        <v>51</v>
      </c>
      <c r="D2067" s="1926" t="s">
        <v>40</v>
      </c>
      <c r="E2067" s="1662">
        <v>2521.06</v>
      </c>
    </row>
    <row r="2068" spans="1:5" x14ac:dyDescent="0.2">
      <c r="A2068" s="135">
        <v>43146</v>
      </c>
      <c r="B2068" s="1926" t="s">
        <v>11670</v>
      </c>
      <c r="C2068" s="1926" t="s">
        <v>48</v>
      </c>
      <c r="D2068" s="1926" t="s">
        <v>40</v>
      </c>
      <c r="E2068" s="1662">
        <v>5.86</v>
      </c>
    </row>
    <row r="2069" spans="1:5" x14ac:dyDescent="0.2">
      <c r="A2069" s="135">
        <v>2705</v>
      </c>
      <c r="B2069" s="1926" t="s">
        <v>11671</v>
      </c>
      <c r="C2069" s="1926" t="s">
        <v>59</v>
      </c>
      <c r="D2069" s="1926" t="s">
        <v>40</v>
      </c>
      <c r="E2069" s="1662">
        <v>0.6</v>
      </c>
    </row>
    <row r="2070" spans="1:5" x14ac:dyDescent="0.2">
      <c r="A2070" s="135">
        <v>14250</v>
      </c>
      <c r="B2070" s="1926" t="s">
        <v>11672</v>
      </c>
      <c r="C2070" s="1926" t="s">
        <v>59</v>
      </c>
      <c r="D2070" s="1926" t="s">
        <v>43</v>
      </c>
      <c r="E2070" s="1662">
        <v>0.61</v>
      </c>
    </row>
    <row r="2071" spans="1:5" x14ac:dyDescent="0.2">
      <c r="A2071" s="135">
        <v>11683</v>
      </c>
      <c r="B2071" s="1926" t="s">
        <v>11673</v>
      </c>
      <c r="C2071" s="1926" t="s">
        <v>39</v>
      </c>
      <c r="D2071" s="1926" t="s">
        <v>40</v>
      </c>
      <c r="E2071" s="1662">
        <v>25.61</v>
      </c>
    </row>
    <row r="2072" spans="1:5" x14ac:dyDescent="0.2">
      <c r="A2072" s="135">
        <v>11684</v>
      </c>
      <c r="B2072" s="1926" t="s">
        <v>11674</v>
      </c>
      <c r="C2072" s="1926" t="s">
        <v>39</v>
      </c>
      <c r="D2072" s="1926" t="s">
        <v>40</v>
      </c>
      <c r="E2072" s="1662">
        <v>28.03</v>
      </c>
    </row>
    <row r="2073" spans="1:5" x14ac:dyDescent="0.2">
      <c r="A2073" s="135">
        <v>6141</v>
      </c>
      <c r="B2073" s="1926" t="s">
        <v>11675</v>
      </c>
      <c r="C2073" s="1926" t="s">
        <v>39</v>
      </c>
      <c r="D2073" s="1926" t="s">
        <v>40</v>
      </c>
      <c r="E2073" s="1662">
        <v>3.11</v>
      </c>
    </row>
    <row r="2074" spans="1:5" x14ac:dyDescent="0.2">
      <c r="A2074" s="135">
        <v>11681</v>
      </c>
      <c r="B2074" s="1926" t="s">
        <v>11676</v>
      </c>
      <c r="C2074" s="1926" t="s">
        <v>39</v>
      </c>
      <c r="D2074" s="1926" t="s">
        <v>40</v>
      </c>
      <c r="E2074" s="1662">
        <v>3.95</v>
      </c>
    </row>
    <row r="2075" spans="1:5" x14ac:dyDescent="0.2">
      <c r="A2075" s="135">
        <v>2706</v>
      </c>
      <c r="B2075" s="1926" t="s">
        <v>11677</v>
      </c>
      <c r="C2075" s="1926" t="s">
        <v>42</v>
      </c>
      <c r="D2075" s="1926" t="s">
        <v>43</v>
      </c>
      <c r="E2075" s="1662">
        <v>73.61</v>
      </c>
    </row>
    <row r="2076" spans="1:5" x14ac:dyDescent="0.2">
      <c r="A2076" s="135">
        <v>40811</v>
      </c>
      <c r="B2076" s="1926" t="s">
        <v>11678</v>
      </c>
      <c r="C2076" s="1926" t="s">
        <v>51</v>
      </c>
      <c r="D2076" s="1926" t="s">
        <v>40</v>
      </c>
      <c r="E2076" s="1662">
        <v>13125.21</v>
      </c>
    </row>
    <row r="2077" spans="1:5" x14ac:dyDescent="0.2">
      <c r="A2077" s="135">
        <v>2707</v>
      </c>
      <c r="B2077" s="1926" t="s">
        <v>11679</v>
      </c>
      <c r="C2077" s="1926" t="s">
        <v>42</v>
      </c>
      <c r="D2077" s="1926" t="s">
        <v>40</v>
      </c>
      <c r="E2077" s="1662">
        <v>83.77</v>
      </c>
    </row>
    <row r="2078" spans="1:5" x14ac:dyDescent="0.2">
      <c r="A2078" s="135">
        <v>40813</v>
      </c>
      <c r="B2078" s="1926" t="s">
        <v>11680</v>
      </c>
      <c r="C2078" s="1926" t="s">
        <v>51</v>
      </c>
      <c r="D2078" s="1926" t="s">
        <v>40</v>
      </c>
      <c r="E2078" s="1662">
        <v>14939.2</v>
      </c>
    </row>
    <row r="2079" spans="1:5" x14ac:dyDescent="0.2">
      <c r="A2079" s="135">
        <v>2708</v>
      </c>
      <c r="B2079" s="1926" t="s">
        <v>11681</v>
      </c>
      <c r="C2079" s="1926" t="s">
        <v>42</v>
      </c>
      <c r="D2079" s="1926" t="s">
        <v>40</v>
      </c>
      <c r="E2079" s="1662">
        <v>114.53</v>
      </c>
    </row>
    <row r="2080" spans="1:5" x14ac:dyDescent="0.2">
      <c r="A2080" s="135">
        <v>40814</v>
      </c>
      <c r="B2080" s="1926" t="s">
        <v>11682</v>
      </c>
      <c r="C2080" s="1926" t="s">
        <v>51</v>
      </c>
      <c r="D2080" s="1926" t="s">
        <v>40</v>
      </c>
      <c r="E2080" s="1662">
        <v>20421.47</v>
      </c>
    </row>
    <row r="2081" spans="1:5" x14ac:dyDescent="0.2">
      <c r="A2081" s="135">
        <v>34779</v>
      </c>
      <c r="B2081" s="1926" t="s">
        <v>11683</v>
      </c>
      <c r="C2081" s="1926" t="s">
        <v>42</v>
      </c>
      <c r="D2081" s="1926" t="s">
        <v>40</v>
      </c>
      <c r="E2081" s="1662">
        <v>74.680000000000007</v>
      </c>
    </row>
    <row r="2082" spans="1:5" x14ac:dyDescent="0.2">
      <c r="A2082" s="135">
        <v>40936</v>
      </c>
      <c r="B2082" s="1926" t="s">
        <v>11684</v>
      </c>
      <c r="C2082" s="1926" t="s">
        <v>51</v>
      </c>
      <c r="D2082" s="1926" t="s">
        <v>40</v>
      </c>
      <c r="E2082" s="1662">
        <v>13316.68</v>
      </c>
    </row>
    <row r="2083" spans="1:5" x14ac:dyDescent="0.2">
      <c r="A2083" s="135">
        <v>34780</v>
      </c>
      <c r="B2083" s="1926" t="s">
        <v>11685</v>
      </c>
      <c r="C2083" s="1926" t="s">
        <v>42</v>
      </c>
      <c r="D2083" s="1926" t="s">
        <v>40</v>
      </c>
      <c r="E2083" s="1662">
        <v>84.25</v>
      </c>
    </row>
    <row r="2084" spans="1:5" x14ac:dyDescent="0.2">
      <c r="A2084" s="135">
        <v>40937</v>
      </c>
      <c r="B2084" s="1926" t="s">
        <v>11686</v>
      </c>
      <c r="C2084" s="1926" t="s">
        <v>51</v>
      </c>
      <c r="D2084" s="1926" t="s">
        <v>40</v>
      </c>
      <c r="E2084" s="1662">
        <v>15023.84</v>
      </c>
    </row>
    <row r="2085" spans="1:5" x14ac:dyDescent="0.2">
      <c r="A2085" s="135">
        <v>34782</v>
      </c>
      <c r="B2085" s="1926" t="s">
        <v>11687</v>
      </c>
      <c r="C2085" s="1926" t="s">
        <v>42</v>
      </c>
      <c r="D2085" s="1926" t="s">
        <v>40</v>
      </c>
      <c r="E2085" s="1662">
        <v>115.46</v>
      </c>
    </row>
    <row r="2086" spans="1:5" x14ac:dyDescent="0.2">
      <c r="A2086" s="135">
        <v>40938</v>
      </c>
      <c r="B2086" s="1926" t="s">
        <v>11688</v>
      </c>
      <c r="C2086" s="1926" t="s">
        <v>51</v>
      </c>
      <c r="D2086" s="1926" t="s">
        <v>40</v>
      </c>
      <c r="E2086" s="1662">
        <v>20588.759999999998</v>
      </c>
    </row>
    <row r="2087" spans="1:5" x14ac:dyDescent="0.2">
      <c r="A2087" s="135">
        <v>34783</v>
      </c>
      <c r="B2087" s="1926" t="s">
        <v>11689</v>
      </c>
      <c r="C2087" s="1926" t="s">
        <v>42</v>
      </c>
      <c r="D2087" s="1926" t="s">
        <v>40</v>
      </c>
      <c r="E2087" s="1662">
        <v>86.38</v>
      </c>
    </row>
    <row r="2088" spans="1:5" x14ac:dyDescent="0.2">
      <c r="A2088" s="135">
        <v>40939</v>
      </c>
      <c r="B2088" s="1926" t="s">
        <v>11690</v>
      </c>
      <c r="C2088" s="1926" t="s">
        <v>51</v>
      </c>
      <c r="D2088" s="1926" t="s">
        <v>40</v>
      </c>
      <c r="E2088" s="1662">
        <v>15402.67</v>
      </c>
    </row>
    <row r="2089" spans="1:5" x14ac:dyDescent="0.2">
      <c r="A2089" s="135">
        <v>34785</v>
      </c>
      <c r="B2089" s="1926" t="s">
        <v>11691</v>
      </c>
      <c r="C2089" s="1926" t="s">
        <v>42</v>
      </c>
      <c r="D2089" s="1926" t="s">
        <v>40</v>
      </c>
      <c r="E2089" s="1662">
        <v>81.569999999999993</v>
      </c>
    </row>
    <row r="2090" spans="1:5" x14ac:dyDescent="0.2">
      <c r="A2090" s="135">
        <v>40940</v>
      </c>
      <c r="B2090" s="1926" t="s">
        <v>11692</v>
      </c>
      <c r="C2090" s="1926" t="s">
        <v>51</v>
      </c>
      <c r="D2090" s="1926" t="s">
        <v>40</v>
      </c>
      <c r="E2090" s="1662">
        <v>14544.39</v>
      </c>
    </row>
    <row r="2091" spans="1:5" x14ac:dyDescent="0.2">
      <c r="A2091" s="135">
        <v>38403</v>
      </c>
      <c r="B2091" s="1926" t="s">
        <v>11693</v>
      </c>
      <c r="C2091" s="1926" t="s">
        <v>39</v>
      </c>
      <c r="D2091" s="1926" t="s">
        <v>40</v>
      </c>
      <c r="E2091" s="1662">
        <v>33.79</v>
      </c>
    </row>
    <row r="2092" spans="1:5" x14ac:dyDescent="0.2">
      <c r="A2092" s="135">
        <v>43482</v>
      </c>
      <c r="B2092" s="1926" t="s">
        <v>11694</v>
      </c>
      <c r="C2092" s="1926" t="s">
        <v>42</v>
      </c>
      <c r="D2092" s="1926" t="s">
        <v>43</v>
      </c>
      <c r="E2092" s="1662">
        <v>0.61</v>
      </c>
    </row>
    <row r="2093" spans="1:5" x14ac:dyDescent="0.2">
      <c r="A2093" s="135">
        <v>43494</v>
      </c>
      <c r="B2093" s="1926" t="s">
        <v>11695</v>
      </c>
      <c r="C2093" s="1926" t="s">
        <v>51</v>
      </c>
      <c r="D2093" s="1926" t="s">
        <v>43</v>
      </c>
      <c r="E2093" s="1662">
        <v>114.12</v>
      </c>
    </row>
    <row r="2094" spans="1:5" x14ac:dyDescent="0.2">
      <c r="A2094" s="135">
        <v>43483</v>
      </c>
      <c r="B2094" s="1926" t="s">
        <v>11696</v>
      </c>
      <c r="C2094" s="1926" t="s">
        <v>42</v>
      </c>
      <c r="D2094" s="1926" t="s">
        <v>43</v>
      </c>
      <c r="E2094" s="1662">
        <v>1.08</v>
      </c>
    </row>
    <row r="2095" spans="1:5" x14ac:dyDescent="0.2">
      <c r="A2095" s="135">
        <v>43495</v>
      </c>
      <c r="B2095" s="1926" t="s">
        <v>11697</v>
      </c>
      <c r="C2095" s="1926" t="s">
        <v>51</v>
      </c>
      <c r="D2095" s="1926" t="s">
        <v>43</v>
      </c>
      <c r="E2095" s="1662">
        <v>203.86</v>
      </c>
    </row>
    <row r="2096" spans="1:5" x14ac:dyDescent="0.2">
      <c r="A2096" s="135">
        <v>43484</v>
      </c>
      <c r="B2096" s="1926" t="s">
        <v>11698</v>
      </c>
      <c r="C2096" s="1926" t="s">
        <v>42</v>
      </c>
      <c r="D2096" s="1926" t="s">
        <v>43</v>
      </c>
      <c r="E2096" s="1662">
        <v>0.93</v>
      </c>
    </row>
    <row r="2097" spans="1:5" x14ac:dyDescent="0.2">
      <c r="A2097" s="135">
        <v>43496</v>
      </c>
      <c r="B2097" s="1926" t="s">
        <v>11699</v>
      </c>
      <c r="C2097" s="1926" t="s">
        <v>51</v>
      </c>
      <c r="D2097" s="1926" t="s">
        <v>43</v>
      </c>
      <c r="E2097" s="1662">
        <v>175.1</v>
      </c>
    </row>
    <row r="2098" spans="1:5" x14ac:dyDescent="0.2">
      <c r="A2098" s="135">
        <v>43485</v>
      </c>
      <c r="B2098" s="1926" t="s">
        <v>11700</v>
      </c>
      <c r="C2098" s="1926" t="s">
        <v>42</v>
      </c>
      <c r="D2098" s="1926" t="s">
        <v>43</v>
      </c>
      <c r="E2098" s="1662">
        <v>0.83</v>
      </c>
    </row>
    <row r="2099" spans="1:5" x14ac:dyDescent="0.2">
      <c r="A2099" s="135">
        <v>43497</v>
      </c>
      <c r="B2099" s="1926" t="s">
        <v>11701</v>
      </c>
      <c r="C2099" s="1926" t="s">
        <v>51</v>
      </c>
      <c r="D2099" s="1926" t="s">
        <v>43</v>
      </c>
      <c r="E2099" s="1662">
        <v>156.65</v>
      </c>
    </row>
    <row r="2100" spans="1:5" x14ac:dyDescent="0.2">
      <c r="A2100" s="135">
        <v>43487</v>
      </c>
      <c r="B2100" s="1926" t="s">
        <v>11702</v>
      </c>
      <c r="C2100" s="1926" t="s">
        <v>42</v>
      </c>
      <c r="D2100" s="1926" t="s">
        <v>43</v>
      </c>
      <c r="E2100" s="1662">
        <v>0.95</v>
      </c>
    </row>
    <row r="2101" spans="1:5" x14ac:dyDescent="0.2">
      <c r="A2101" s="135">
        <v>43499</v>
      </c>
      <c r="B2101" s="1926" t="s">
        <v>11703</v>
      </c>
      <c r="C2101" s="1926" t="s">
        <v>51</v>
      </c>
      <c r="D2101" s="1926" t="s">
        <v>43</v>
      </c>
      <c r="E2101" s="1662">
        <v>179.44</v>
      </c>
    </row>
    <row r="2102" spans="1:5" x14ac:dyDescent="0.2">
      <c r="A2102" s="135">
        <v>43486</v>
      </c>
      <c r="B2102" s="1926" t="s">
        <v>11704</v>
      </c>
      <c r="C2102" s="1926" t="s">
        <v>42</v>
      </c>
      <c r="D2102" s="1926" t="s">
        <v>43</v>
      </c>
      <c r="E2102" s="1662">
        <v>0.56999999999999995</v>
      </c>
    </row>
    <row r="2103" spans="1:5" x14ac:dyDescent="0.2">
      <c r="A2103" s="135">
        <v>43498</v>
      </c>
      <c r="B2103" s="1926" t="s">
        <v>11705</v>
      </c>
      <c r="C2103" s="1926" t="s">
        <v>51</v>
      </c>
      <c r="D2103" s="1926" t="s">
        <v>43</v>
      </c>
      <c r="E2103" s="1662">
        <v>108.24</v>
      </c>
    </row>
    <row r="2104" spans="1:5" x14ac:dyDescent="0.2">
      <c r="A2104" s="135">
        <v>43488</v>
      </c>
      <c r="B2104" s="1926" t="s">
        <v>11706</v>
      </c>
      <c r="C2104" s="1926" t="s">
        <v>42</v>
      </c>
      <c r="D2104" s="1926" t="s">
        <v>43</v>
      </c>
      <c r="E2104" s="1662">
        <v>0.66</v>
      </c>
    </row>
    <row r="2105" spans="1:5" x14ac:dyDescent="0.2">
      <c r="A2105" s="135">
        <v>43500</v>
      </c>
      <c r="B2105" s="1926" t="s">
        <v>11707</v>
      </c>
      <c r="C2105" s="1926" t="s">
        <v>51</v>
      </c>
      <c r="D2105" s="1926" t="s">
        <v>43</v>
      </c>
      <c r="E2105" s="1662">
        <v>125.38</v>
      </c>
    </row>
    <row r="2106" spans="1:5" x14ac:dyDescent="0.2">
      <c r="A2106" s="135">
        <v>43489</v>
      </c>
      <c r="B2106" s="1926" t="s">
        <v>11708</v>
      </c>
      <c r="C2106" s="1926" t="s">
        <v>42</v>
      </c>
      <c r="D2106" s="1926" t="s">
        <v>43</v>
      </c>
      <c r="E2106" s="1662">
        <v>0.96</v>
      </c>
    </row>
    <row r="2107" spans="1:5" x14ac:dyDescent="0.2">
      <c r="A2107" s="135">
        <v>43501</v>
      </c>
      <c r="B2107" s="1926" t="s">
        <v>11709</v>
      </c>
      <c r="C2107" s="1926" t="s">
        <v>51</v>
      </c>
      <c r="D2107" s="1926" t="s">
        <v>43</v>
      </c>
      <c r="E2107" s="1662">
        <v>181.88</v>
      </c>
    </row>
    <row r="2108" spans="1:5" x14ac:dyDescent="0.2">
      <c r="A2108" s="135">
        <v>43490</v>
      </c>
      <c r="B2108" s="1926" t="s">
        <v>11710</v>
      </c>
      <c r="C2108" s="1926" t="s">
        <v>42</v>
      </c>
      <c r="D2108" s="1926" t="s">
        <v>43</v>
      </c>
      <c r="E2108" s="1662">
        <v>1.46</v>
      </c>
    </row>
    <row r="2109" spans="1:5" x14ac:dyDescent="0.2">
      <c r="A2109" s="135">
        <v>43502</v>
      </c>
      <c r="B2109" s="1926" t="s">
        <v>11711</v>
      </c>
      <c r="C2109" s="1926" t="s">
        <v>51</v>
      </c>
      <c r="D2109" s="1926" t="s">
        <v>43</v>
      </c>
      <c r="E2109" s="1662">
        <v>275.92</v>
      </c>
    </row>
    <row r="2110" spans="1:5" x14ac:dyDescent="0.2">
      <c r="A2110" s="135">
        <v>43491</v>
      </c>
      <c r="B2110" s="1926" t="s">
        <v>11712</v>
      </c>
      <c r="C2110" s="1926" t="s">
        <v>42</v>
      </c>
      <c r="D2110" s="1926" t="s">
        <v>43</v>
      </c>
      <c r="E2110" s="1662">
        <v>1.02</v>
      </c>
    </row>
    <row r="2111" spans="1:5" x14ac:dyDescent="0.2">
      <c r="A2111" s="135">
        <v>43503</v>
      </c>
      <c r="B2111" s="1926" t="s">
        <v>11713</v>
      </c>
      <c r="C2111" s="1926" t="s">
        <v>51</v>
      </c>
      <c r="D2111" s="1926" t="s">
        <v>43</v>
      </c>
      <c r="E2111" s="1662">
        <v>192.76</v>
      </c>
    </row>
    <row r="2112" spans="1:5" x14ac:dyDescent="0.2">
      <c r="A2112" s="135">
        <v>43492</v>
      </c>
      <c r="B2112" s="1926" t="s">
        <v>11714</v>
      </c>
      <c r="C2112" s="1926" t="s">
        <v>42</v>
      </c>
      <c r="D2112" s="1926" t="s">
        <v>43</v>
      </c>
      <c r="E2112" s="1662">
        <v>1.36</v>
      </c>
    </row>
    <row r="2113" spans="1:5" x14ac:dyDescent="0.2">
      <c r="A2113" s="135">
        <v>43504</v>
      </c>
      <c r="B2113" s="1926" t="s">
        <v>11715</v>
      </c>
      <c r="C2113" s="1926" t="s">
        <v>51</v>
      </c>
      <c r="D2113" s="1926" t="s">
        <v>43</v>
      </c>
      <c r="E2113" s="1662">
        <v>255.78</v>
      </c>
    </row>
    <row r="2114" spans="1:5" x14ac:dyDescent="0.2">
      <c r="A2114" s="135">
        <v>43493</v>
      </c>
      <c r="B2114" s="1926" t="s">
        <v>11716</v>
      </c>
      <c r="C2114" s="1926" t="s">
        <v>42</v>
      </c>
      <c r="D2114" s="1926" t="s">
        <v>43</v>
      </c>
      <c r="E2114" s="1662">
        <v>0.54</v>
      </c>
    </row>
    <row r="2115" spans="1:5" x14ac:dyDescent="0.2">
      <c r="A2115" s="135">
        <v>43505</v>
      </c>
      <c r="B2115" s="1926" t="s">
        <v>11717</v>
      </c>
      <c r="C2115" s="1926" t="s">
        <v>51</v>
      </c>
      <c r="D2115" s="1926" t="s">
        <v>43</v>
      </c>
      <c r="E2115" s="1662">
        <v>102.76</v>
      </c>
    </row>
    <row r="2116" spans="1:5" x14ac:dyDescent="0.2">
      <c r="A2116" s="135">
        <v>37774</v>
      </c>
      <c r="B2116" s="1926" t="s">
        <v>11718</v>
      </c>
      <c r="C2116" s="1926" t="s">
        <v>39</v>
      </c>
      <c r="D2116" s="1926" t="s">
        <v>46</v>
      </c>
      <c r="E2116" s="1662">
        <v>188694.18</v>
      </c>
    </row>
    <row r="2117" spans="1:5" x14ac:dyDescent="0.2">
      <c r="A2117" s="135">
        <v>38630</v>
      </c>
      <c r="B2117" s="1926" t="s">
        <v>11719</v>
      </c>
      <c r="C2117" s="1926" t="s">
        <v>39</v>
      </c>
      <c r="D2117" s="1926" t="s">
        <v>46</v>
      </c>
      <c r="E2117" s="1662">
        <v>1079521.8700000001</v>
      </c>
    </row>
    <row r="2118" spans="1:5" x14ac:dyDescent="0.2">
      <c r="A2118" s="135">
        <v>38629</v>
      </c>
      <c r="B2118" s="1926" t="s">
        <v>11720</v>
      </c>
      <c r="C2118" s="1926" t="s">
        <v>39</v>
      </c>
      <c r="D2118" s="1926" t="s">
        <v>46</v>
      </c>
      <c r="E2118" s="1662">
        <v>1606921.87</v>
      </c>
    </row>
    <row r="2119" spans="1:5" x14ac:dyDescent="0.2">
      <c r="A2119" s="135">
        <v>38476</v>
      </c>
      <c r="B2119" s="1926" t="s">
        <v>11721</v>
      </c>
      <c r="C2119" s="1926" t="s">
        <v>39</v>
      </c>
      <c r="D2119" s="1926" t="s">
        <v>40</v>
      </c>
      <c r="E2119" s="1662">
        <v>253.95</v>
      </c>
    </row>
    <row r="2120" spans="1:5" x14ac:dyDescent="0.2">
      <c r="A2120" s="135">
        <v>38477</v>
      </c>
      <c r="B2120" s="1926" t="s">
        <v>11722</v>
      </c>
      <c r="C2120" s="1926" t="s">
        <v>39</v>
      </c>
      <c r="D2120" s="1926" t="s">
        <v>40</v>
      </c>
      <c r="E2120" s="1662">
        <v>719.2</v>
      </c>
    </row>
    <row r="2121" spans="1:5" x14ac:dyDescent="0.2">
      <c r="A2121" s="135">
        <v>40635</v>
      </c>
      <c r="B2121" s="1926" t="s">
        <v>11723</v>
      </c>
      <c r="C2121" s="1926" t="s">
        <v>39</v>
      </c>
      <c r="D2121" s="1926" t="s">
        <v>46</v>
      </c>
      <c r="E2121" s="1662">
        <v>486599.95</v>
      </c>
    </row>
    <row r="2122" spans="1:5" x14ac:dyDescent="0.2">
      <c r="A2122" s="135">
        <v>36483</v>
      </c>
      <c r="B2122" s="1926" t="s">
        <v>11724</v>
      </c>
      <c r="C2122" s="1926" t="s">
        <v>39</v>
      </c>
      <c r="D2122" s="1926" t="s">
        <v>46</v>
      </c>
      <c r="E2122" s="1662">
        <v>440937.5</v>
      </c>
    </row>
    <row r="2123" spans="1:5" x14ac:dyDescent="0.2">
      <c r="A2123" s="135">
        <v>14525</v>
      </c>
      <c r="B2123" s="1926" t="s">
        <v>11725</v>
      </c>
      <c r="C2123" s="1926" t="s">
        <v>39</v>
      </c>
      <c r="D2123" s="1926" t="s">
        <v>46</v>
      </c>
      <c r="E2123" s="1662">
        <v>461687.5</v>
      </c>
    </row>
    <row r="2124" spans="1:5" x14ac:dyDescent="0.2">
      <c r="A2124" s="135">
        <v>36482</v>
      </c>
      <c r="B2124" s="1926" t="s">
        <v>11726</v>
      </c>
      <c r="C2124" s="1926" t="s">
        <v>39</v>
      </c>
      <c r="D2124" s="1926" t="s">
        <v>46</v>
      </c>
      <c r="E2124" s="1662">
        <v>395961.33</v>
      </c>
    </row>
    <row r="2125" spans="1:5" x14ac:dyDescent="0.2">
      <c r="A2125" s="135">
        <v>36408</v>
      </c>
      <c r="B2125" s="1926" t="s">
        <v>11727</v>
      </c>
      <c r="C2125" s="1926" t="s">
        <v>39</v>
      </c>
      <c r="D2125" s="1926" t="s">
        <v>46</v>
      </c>
      <c r="E2125" s="1662">
        <v>473100</v>
      </c>
    </row>
    <row r="2126" spans="1:5" x14ac:dyDescent="0.2">
      <c r="A2126" s="135">
        <v>2723</v>
      </c>
      <c r="B2126" s="1926" t="s">
        <v>11728</v>
      </c>
      <c r="C2126" s="1926" t="s">
        <v>39</v>
      </c>
      <c r="D2126" s="1926" t="s">
        <v>46</v>
      </c>
      <c r="E2126" s="1662">
        <v>363125</v>
      </c>
    </row>
    <row r="2127" spans="1:5" x14ac:dyDescent="0.2">
      <c r="A2127" s="135">
        <v>36481</v>
      </c>
      <c r="B2127" s="1926" t="s">
        <v>11729</v>
      </c>
      <c r="C2127" s="1926" t="s">
        <v>39</v>
      </c>
      <c r="D2127" s="1926" t="s">
        <v>46</v>
      </c>
      <c r="E2127" s="1662">
        <v>433156.25</v>
      </c>
    </row>
    <row r="2128" spans="1:5" x14ac:dyDescent="0.2">
      <c r="A2128" s="135">
        <v>10685</v>
      </c>
      <c r="B2128" s="1926" t="s">
        <v>11730</v>
      </c>
      <c r="C2128" s="1926" t="s">
        <v>39</v>
      </c>
      <c r="D2128" s="1926" t="s">
        <v>46</v>
      </c>
      <c r="E2128" s="1662">
        <v>415000</v>
      </c>
    </row>
    <row r="2129" spans="1:5" x14ac:dyDescent="0.2">
      <c r="A2129" s="135">
        <v>40636</v>
      </c>
      <c r="B2129" s="1926" t="s">
        <v>11731</v>
      </c>
      <c r="C2129" s="1926" t="s">
        <v>39</v>
      </c>
      <c r="D2129" s="1926" t="s">
        <v>46</v>
      </c>
      <c r="E2129" s="1662">
        <v>468443.7</v>
      </c>
    </row>
    <row r="2130" spans="1:5" x14ac:dyDescent="0.2">
      <c r="A2130" s="135">
        <v>4111</v>
      </c>
      <c r="B2130" s="1926" t="s">
        <v>11732</v>
      </c>
      <c r="C2130" s="1926" t="s">
        <v>39</v>
      </c>
      <c r="D2130" s="1926" t="s">
        <v>40</v>
      </c>
      <c r="E2130" s="1662">
        <v>35.92</v>
      </c>
    </row>
    <row r="2131" spans="1:5" x14ac:dyDescent="0.2">
      <c r="A2131" s="135">
        <v>26021</v>
      </c>
      <c r="B2131" s="1926" t="s">
        <v>11733</v>
      </c>
      <c r="C2131" s="1926" t="s">
        <v>39</v>
      </c>
      <c r="D2131" s="1926" t="s">
        <v>40</v>
      </c>
      <c r="E2131" s="1662">
        <v>65.89</v>
      </c>
    </row>
    <row r="2132" spans="1:5" x14ac:dyDescent="0.2">
      <c r="A2132" s="135">
        <v>12</v>
      </c>
      <c r="B2132" s="1926" t="s">
        <v>11734</v>
      </c>
      <c r="C2132" s="1926" t="s">
        <v>39</v>
      </c>
      <c r="D2132" s="1926" t="s">
        <v>43</v>
      </c>
      <c r="E2132" s="1662">
        <v>9.48</v>
      </c>
    </row>
    <row r="2133" spans="1:5" x14ac:dyDescent="0.2">
      <c r="A2133" s="135">
        <v>37554</v>
      </c>
      <c r="B2133" s="1926" t="s">
        <v>11735</v>
      </c>
      <c r="C2133" s="1926" t="s">
        <v>39</v>
      </c>
      <c r="D2133" s="1926" t="s">
        <v>40</v>
      </c>
      <c r="E2133" s="1662">
        <v>131.21</v>
      </c>
    </row>
    <row r="2134" spans="1:5" x14ac:dyDescent="0.2">
      <c r="A2134" s="135">
        <v>37555</v>
      </c>
      <c r="B2134" s="1926" t="s">
        <v>11736</v>
      </c>
      <c r="C2134" s="1926" t="s">
        <v>39</v>
      </c>
      <c r="D2134" s="1926" t="s">
        <v>40</v>
      </c>
      <c r="E2134" s="1662">
        <v>159.61000000000001</v>
      </c>
    </row>
    <row r="2135" spans="1:5" x14ac:dyDescent="0.2">
      <c r="A2135" s="135">
        <v>10902</v>
      </c>
      <c r="B2135" s="1926" t="s">
        <v>11737</v>
      </c>
      <c r="C2135" s="1926" t="s">
        <v>39</v>
      </c>
      <c r="D2135" s="1926" t="s">
        <v>40</v>
      </c>
      <c r="E2135" s="1662">
        <v>40.049999999999997</v>
      </c>
    </row>
    <row r="2136" spans="1:5" x14ac:dyDescent="0.2">
      <c r="A2136" s="135">
        <v>20965</v>
      </c>
      <c r="B2136" s="1926" t="s">
        <v>11738</v>
      </c>
      <c r="C2136" s="1926" t="s">
        <v>39</v>
      </c>
      <c r="D2136" s="1926" t="s">
        <v>40</v>
      </c>
      <c r="E2136" s="1662">
        <v>40.42</v>
      </c>
    </row>
    <row r="2137" spans="1:5" x14ac:dyDescent="0.2">
      <c r="A2137" s="135">
        <v>20966</v>
      </c>
      <c r="B2137" s="1926" t="s">
        <v>11739</v>
      </c>
      <c r="C2137" s="1926" t="s">
        <v>39</v>
      </c>
      <c r="D2137" s="1926" t="s">
        <v>40</v>
      </c>
      <c r="E2137" s="1662">
        <v>43.52</v>
      </c>
    </row>
    <row r="2138" spans="1:5" x14ac:dyDescent="0.2">
      <c r="A2138" s="135">
        <v>10903</v>
      </c>
      <c r="B2138" s="1926" t="s">
        <v>11740</v>
      </c>
      <c r="C2138" s="1926" t="s">
        <v>39</v>
      </c>
      <c r="D2138" s="1926" t="s">
        <v>40</v>
      </c>
      <c r="E2138" s="1662">
        <v>65.97</v>
      </c>
    </row>
    <row r="2139" spans="1:5" x14ac:dyDescent="0.2">
      <c r="A2139" s="135">
        <v>20967</v>
      </c>
      <c r="B2139" s="1926" t="s">
        <v>11741</v>
      </c>
      <c r="C2139" s="1926" t="s">
        <v>39</v>
      </c>
      <c r="D2139" s="1926" t="s">
        <v>40</v>
      </c>
      <c r="E2139" s="1662">
        <v>65.97</v>
      </c>
    </row>
    <row r="2140" spans="1:5" x14ac:dyDescent="0.2">
      <c r="A2140" s="135">
        <v>20968</v>
      </c>
      <c r="B2140" s="1926" t="s">
        <v>11742</v>
      </c>
      <c r="C2140" s="1926" t="s">
        <v>39</v>
      </c>
      <c r="D2140" s="1926" t="s">
        <v>40</v>
      </c>
      <c r="E2140" s="1662">
        <v>72.349999999999994</v>
      </c>
    </row>
    <row r="2141" spans="1:5" x14ac:dyDescent="0.2">
      <c r="A2141" s="135">
        <v>11359</v>
      </c>
      <c r="B2141" s="1926" t="s">
        <v>11743</v>
      </c>
      <c r="C2141" s="1926" t="s">
        <v>39</v>
      </c>
      <c r="D2141" s="1926" t="s">
        <v>43</v>
      </c>
      <c r="E2141" s="1662">
        <v>592.4</v>
      </c>
    </row>
    <row r="2142" spans="1:5" x14ac:dyDescent="0.2">
      <c r="A2142" s="135">
        <v>39017</v>
      </c>
      <c r="B2142" s="1926" t="s">
        <v>11744</v>
      </c>
      <c r="C2142" s="1926" t="s">
        <v>39</v>
      </c>
      <c r="D2142" s="1926" t="s">
        <v>46</v>
      </c>
      <c r="E2142" s="1662">
        <v>0.13</v>
      </c>
    </row>
    <row r="2143" spans="1:5" x14ac:dyDescent="0.2">
      <c r="A2143" s="135">
        <v>39315</v>
      </c>
      <c r="B2143" s="1926" t="s">
        <v>11745</v>
      </c>
      <c r="C2143" s="1926" t="s">
        <v>39</v>
      </c>
      <c r="D2143" s="1926" t="s">
        <v>46</v>
      </c>
      <c r="E2143" s="1662">
        <v>0.22</v>
      </c>
    </row>
    <row r="2144" spans="1:5" x14ac:dyDescent="0.2">
      <c r="A2144" s="135">
        <v>39016</v>
      </c>
      <c r="B2144" s="1926" t="s">
        <v>11746</v>
      </c>
      <c r="C2144" s="1926" t="s">
        <v>39</v>
      </c>
      <c r="D2144" s="1926" t="s">
        <v>46</v>
      </c>
      <c r="E2144" s="1662">
        <v>0.22</v>
      </c>
    </row>
    <row r="2145" spans="1:5" x14ac:dyDescent="0.2">
      <c r="A2145" s="135">
        <v>40432</v>
      </c>
      <c r="B2145" s="1926" t="s">
        <v>11747</v>
      </c>
      <c r="C2145" s="1926" t="s">
        <v>39</v>
      </c>
      <c r="D2145" s="1926" t="s">
        <v>46</v>
      </c>
      <c r="E2145" s="1662">
        <v>1.71</v>
      </c>
    </row>
    <row r="2146" spans="1:5" x14ac:dyDescent="0.2">
      <c r="A2146" s="135">
        <v>39481</v>
      </c>
      <c r="B2146" s="1926" t="s">
        <v>11748</v>
      </c>
      <c r="C2146" s="1926" t="s">
        <v>39</v>
      </c>
      <c r="D2146" s="1926" t="s">
        <v>46</v>
      </c>
      <c r="E2146" s="1662">
        <v>1.07</v>
      </c>
    </row>
    <row r="2147" spans="1:5" x14ac:dyDescent="0.2">
      <c r="A2147" s="135">
        <v>40433</v>
      </c>
      <c r="B2147" s="1926" t="s">
        <v>11749</v>
      </c>
      <c r="C2147" s="1926" t="s">
        <v>39</v>
      </c>
      <c r="D2147" s="1926" t="s">
        <v>46</v>
      </c>
      <c r="E2147" s="1662">
        <v>0.95</v>
      </c>
    </row>
    <row r="2148" spans="1:5" x14ac:dyDescent="0.2">
      <c r="A2148" s="135">
        <v>20219</v>
      </c>
      <c r="B2148" s="1926" t="s">
        <v>11750</v>
      </c>
      <c r="C2148" s="1926" t="s">
        <v>39</v>
      </c>
      <c r="D2148" s="1926" t="s">
        <v>46</v>
      </c>
      <c r="E2148" s="1662">
        <v>74000</v>
      </c>
    </row>
    <row r="2149" spans="1:5" x14ac:dyDescent="0.2">
      <c r="A2149" s="135">
        <v>36484</v>
      </c>
      <c r="B2149" s="1926" t="s">
        <v>11751</v>
      </c>
      <c r="C2149" s="1926" t="s">
        <v>39</v>
      </c>
      <c r="D2149" s="1926" t="s">
        <v>46</v>
      </c>
      <c r="E2149" s="1662">
        <v>157088.51999999999</v>
      </c>
    </row>
    <row r="2150" spans="1:5" x14ac:dyDescent="0.2">
      <c r="A2150" s="135">
        <v>38367</v>
      </c>
      <c r="B2150" s="1926" t="s">
        <v>11752</v>
      </c>
      <c r="C2150" s="1926" t="s">
        <v>39</v>
      </c>
      <c r="D2150" s="1926" t="s">
        <v>40</v>
      </c>
      <c r="E2150" s="1662">
        <v>13.64</v>
      </c>
    </row>
    <row r="2151" spans="1:5" x14ac:dyDescent="0.2">
      <c r="A2151" s="135">
        <v>38368</v>
      </c>
      <c r="B2151" s="1926" t="s">
        <v>11753</v>
      </c>
      <c r="C2151" s="1926" t="s">
        <v>39</v>
      </c>
      <c r="D2151" s="1926" t="s">
        <v>40</v>
      </c>
      <c r="E2151" s="1662">
        <v>6.08</v>
      </c>
    </row>
    <row r="2152" spans="1:5" x14ac:dyDescent="0.2">
      <c r="A2152" s="135">
        <v>38091</v>
      </c>
      <c r="B2152" s="1926" t="s">
        <v>11754</v>
      </c>
      <c r="C2152" s="1926" t="s">
        <v>39</v>
      </c>
      <c r="D2152" s="1926" t="s">
        <v>40</v>
      </c>
      <c r="E2152" s="1662">
        <v>2.2400000000000002</v>
      </c>
    </row>
    <row r="2153" spans="1:5" x14ac:dyDescent="0.2">
      <c r="A2153" s="135">
        <v>38095</v>
      </c>
      <c r="B2153" s="1926" t="s">
        <v>11755</v>
      </c>
      <c r="C2153" s="1926" t="s">
        <v>39</v>
      </c>
      <c r="D2153" s="1926" t="s">
        <v>40</v>
      </c>
      <c r="E2153" s="1662">
        <v>4.74</v>
      </c>
    </row>
    <row r="2154" spans="1:5" x14ac:dyDescent="0.2">
      <c r="A2154" s="135">
        <v>38092</v>
      </c>
      <c r="B2154" s="1926" t="s">
        <v>11756</v>
      </c>
      <c r="C2154" s="1926" t="s">
        <v>39</v>
      </c>
      <c r="D2154" s="1926" t="s">
        <v>40</v>
      </c>
      <c r="E2154" s="1662">
        <v>2.12</v>
      </c>
    </row>
    <row r="2155" spans="1:5" x14ac:dyDescent="0.2">
      <c r="A2155" s="135">
        <v>38093</v>
      </c>
      <c r="B2155" s="1926" t="s">
        <v>11757</v>
      </c>
      <c r="C2155" s="1926" t="s">
        <v>39</v>
      </c>
      <c r="D2155" s="1926" t="s">
        <v>40</v>
      </c>
      <c r="E2155" s="1662">
        <v>2.2000000000000002</v>
      </c>
    </row>
    <row r="2156" spans="1:5" x14ac:dyDescent="0.2">
      <c r="A2156" s="135">
        <v>38096</v>
      </c>
      <c r="B2156" s="1926" t="s">
        <v>11758</v>
      </c>
      <c r="C2156" s="1926" t="s">
        <v>39</v>
      </c>
      <c r="D2156" s="1926" t="s">
        <v>40</v>
      </c>
      <c r="E2156" s="1662">
        <v>5.0999999999999996</v>
      </c>
    </row>
    <row r="2157" spans="1:5" x14ac:dyDescent="0.2">
      <c r="A2157" s="135">
        <v>38094</v>
      </c>
      <c r="B2157" s="1926" t="s">
        <v>11759</v>
      </c>
      <c r="C2157" s="1926" t="s">
        <v>39</v>
      </c>
      <c r="D2157" s="1926" t="s">
        <v>40</v>
      </c>
      <c r="E2157" s="1662">
        <v>2.69</v>
      </c>
    </row>
    <row r="2158" spans="1:5" x14ac:dyDescent="0.2">
      <c r="A2158" s="135">
        <v>38097</v>
      </c>
      <c r="B2158" s="1926" t="s">
        <v>11760</v>
      </c>
      <c r="C2158" s="1926" t="s">
        <v>39</v>
      </c>
      <c r="D2158" s="1926" t="s">
        <v>40</v>
      </c>
      <c r="E2158" s="1662">
        <v>5.47</v>
      </c>
    </row>
    <row r="2159" spans="1:5" x14ac:dyDescent="0.2">
      <c r="A2159" s="135">
        <v>38098</v>
      </c>
      <c r="B2159" s="1926" t="s">
        <v>11761</v>
      </c>
      <c r="C2159" s="1926" t="s">
        <v>39</v>
      </c>
      <c r="D2159" s="1926" t="s">
        <v>40</v>
      </c>
      <c r="E2159" s="1662">
        <v>5.47</v>
      </c>
    </row>
    <row r="2160" spans="1:5" x14ac:dyDescent="0.2">
      <c r="A2160" s="135">
        <v>11186</v>
      </c>
      <c r="B2160" s="1926" t="s">
        <v>11762</v>
      </c>
      <c r="C2160" s="1926" t="s">
        <v>45</v>
      </c>
      <c r="D2160" s="1926" t="s">
        <v>46</v>
      </c>
      <c r="E2160" s="1662">
        <v>305.77</v>
      </c>
    </row>
    <row r="2161" spans="1:5" x14ac:dyDescent="0.2">
      <c r="A2161" s="135">
        <v>11558</v>
      </c>
      <c r="B2161" s="1926" t="s">
        <v>11763</v>
      </c>
      <c r="C2161" s="1926" t="s">
        <v>41</v>
      </c>
      <c r="D2161" s="1926" t="s">
        <v>40</v>
      </c>
      <c r="E2161" s="1662">
        <v>10.46</v>
      </c>
    </row>
    <row r="2162" spans="1:5" x14ac:dyDescent="0.2">
      <c r="A2162" s="135">
        <v>11557</v>
      </c>
      <c r="B2162" s="1926" t="s">
        <v>11764</v>
      </c>
      <c r="C2162" s="1926" t="s">
        <v>41</v>
      </c>
      <c r="D2162" s="1926" t="s">
        <v>40</v>
      </c>
      <c r="E2162" s="1662">
        <v>26.49</v>
      </c>
    </row>
    <row r="2163" spans="1:5" x14ac:dyDescent="0.2">
      <c r="A2163" s="135">
        <v>2759</v>
      </c>
      <c r="B2163" s="1926" t="s">
        <v>11765</v>
      </c>
      <c r="C2163" s="1926" t="s">
        <v>39</v>
      </c>
      <c r="D2163" s="1926" t="s">
        <v>46</v>
      </c>
      <c r="E2163" s="1662">
        <v>5.6</v>
      </c>
    </row>
    <row r="2164" spans="1:5" x14ac:dyDescent="0.2">
      <c r="A2164" s="135">
        <v>38124</v>
      </c>
      <c r="B2164" s="1926" t="s">
        <v>11766</v>
      </c>
      <c r="C2164" s="1926" t="s">
        <v>39</v>
      </c>
      <c r="D2164" s="1926" t="s">
        <v>43</v>
      </c>
      <c r="E2164" s="1662">
        <v>22.17</v>
      </c>
    </row>
    <row r="2165" spans="1:5" x14ac:dyDescent="0.2">
      <c r="A2165" s="135">
        <v>38380</v>
      </c>
      <c r="B2165" s="1926" t="s">
        <v>11767</v>
      </c>
      <c r="C2165" s="1926" t="s">
        <v>39</v>
      </c>
      <c r="D2165" s="1926" t="s">
        <v>40</v>
      </c>
      <c r="E2165" s="1662">
        <v>21.68</v>
      </c>
    </row>
    <row r="2166" spans="1:5" x14ac:dyDescent="0.2">
      <c r="A2166" s="135">
        <v>20059</v>
      </c>
      <c r="B2166" s="1926" t="s">
        <v>11768</v>
      </c>
      <c r="C2166" s="1926" t="s">
        <v>39</v>
      </c>
      <c r="D2166" s="1926" t="s">
        <v>46</v>
      </c>
      <c r="E2166" s="1662">
        <v>12.04</v>
      </c>
    </row>
    <row r="2167" spans="1:5" x14ac:dyDescent="0.2">
      <c r="A2167" s="135">
        <v>42429</v>
      </c>
      <c r="B2167" s="1926" t="s">
        <v>11769</v>
      </c>
      <c r="C2167" s="1926" t="s">
        <v>39</v>
      </c>
      <c r="D2167" s="1926" t="s">
        <v>46</v>
      </c>
      <c r="E2167" s="1662">
        <v>3448.97</v>
      </c>
    </row>
    <row r="2168" spans="1:5" x14ac:dyDescent="0.2">
      <c r="A2168" s="135">
        <v>39616</v>
      </c>
      <c r="B2168" s="1926" t="s">
        <v>11770</v>
      </c>
      <c r="C2168" s="1926" t="s">
        <v>39</v>
      </c>
      <c r="D2168" s="1926" t="s">
        <v>43</v>
      </c>
      <c r="E2168" s="1662">
        <v>385.1</v>
      </c>
    </row>
    <row r="2169" spans="1:5" x14ac:dyDescent="0.2">
      <c r="A2169" s="135">
        <v>39618</v>
      </c>
      <c r="B2169" s="1926" t="s">
        <v>11771</v>
      </c>
      <c r="C2169" s="1926" t="s">
        <v>39</v>
      </c>
      <c r="D2169" s="1926" t="s">
        <v>40</v>
      </c>
      <c r="E2169" s="1662">
        <v>698.5</v>
      </c>
    </row>
    <row r="2170" spans="1:5" x14ac:dyDescent="0.2">
      <c r="A2170" s="135">
        <v>39619</v>
      </c>
      <c r="B2170" s="1926" t="s">
        <v>11772</v>
      </c>
      <c r="C2170" s="1926" t="s">
        <v>39</v>
      </c>
      <c r="D2170" s="1926" t="s">
        <v>40</v>
      </c>
      <c r="E2170" s="1662">
        <v>956.67</v>
      </c>
    </row>
    <row r="2171" spans="1:5" x14ac:dyDescent="0.2">
      <c r="A2171" s="135">
        <v>39613</v>
      </c>
      <c r="B2171" s="1926" t="s">
        <v>11773</v>
      </c>
      <c r="C2171" s="1926" t="s">
        <v>39</v>
      </c>
      <c r="D2171" s="1926" t="s">
        <v>40</v>
      </c>
      <c r="E2171" s="1662">
        <v>152.97</v>
      </c>
    </row>
    <row r="2172" spans="1:5" x14ac:dyDescent="0.2">
      <c r="A2172" s="135">
        <v>39614</v>
      </c>
      <c r="B2172" s="1926" t="s">
        <v>11774</v>
      </c>
      <c r="C2172" s="1926" t="s">
        <v>39</v>
      </c>
      <c r="D2172" s="1926" t="s">
        <v>40</v>
      </c>
      <c r="E2172" s="1662">
        <v>223.17</v>
      </c>
    </row>
    <row r="2173" spans="1:5" x14ac:dyDescent="0.2">
      <c r="A2173" s="135">
        <v>38538</v>
      </c>
      <c r="B2173" s="1926" t="s">
        <v>11775</v>
      </c>
      <c r="C2173" s="1926" t="s">
        <v>47</v>
      </c>
      <c r="D2173" s="1926" t="s">
        <v>46</v>
      </c>
      <c r="E2173" s="1662">
        <v>42.5</v>
      </c>
    </row>
    <row r="2174" spans="1:5" x14ac:dyDescent="0.2">
      <c r="A2174" s="135">
        <v>38539</v>
      </c>
      <c r="B2174" s="1926" t="s">
        <v>11776</v>
      </c>
      <c r="C2174" s="1926" t="s">
        <v>47</v>
      </c>
      <c r="D2174" s="1926" t="s">
        <v>46</v>
      </c>
      <c r="E2174" s="1662">
        <v>57.79</v>
      </c>
    </row>
    <row r="2175" spans="1:5" x14ac:dyDescent="0.2">
      <c r="A2175" s="135">
        <v>38540</v>
      </c>
      <c r="B2175" s="1926" t="s">
        <v>11777</v>
      </c>
      <c r="C2175" s="1926" t="s">
        <v>47</v>
      </c>
      <c r="D2175" s="1926" t="s">
        <v>46</v>
      </c>
      <c r="E2175" s="1662">
        <v>148.11000000000001</v>
      </c>
    </row>
    <row r="2176" spans="1:5" x14ac:dyDescent="0.2">
      <c r="A2176" s="135">
        <v>38384</v>
      </c>
      <c r="B2176" s="1926" t="s">
        <v>11778</v>
      </c>
      <c r="C2176" s="1926" t="s">
        <v>39</v>
      </c>
      <c r="D2176" s="1926" t="s">
        <v>40</v>
      </c>
      <c r="E2176" s="1662">
        <v>15.76</v>
      </c>
    </row>
    <row r="2177" spans="1:5" x14ac:dyDescent="0.2">
      <c r="A2177" s="135">
        <v>13</v>
      </c>
      <c r="B2177" s="1926" t="s">
        <v>11779</v>
      </c>
      <c r="C2177" s="1926" t="s">
        <v>48</v>
      </c>
      <c r="D2177" s="1926" t="s">
        <v>40</v>
      </c>
      <c r="E2177" s="1662">
        <v>14.59</v>
      </c>
    </row>
    <row r="2178" spans="1:5" x14ac:dyDescent="0.2">
      <c r="A2178" s="135">
        <v>2762</v>
      </c>
      <c r="B2178" s="1926" t="s">
        <v>11780</v>
      </c>
      <c r="C2178" s="1926" t="s">
        <v>47</v>
      </c>
      <c r="D2178" s="1926" t="s">
        <v>46</v>
      </c>
      <c r="E2178" s="1662">
        <v>7</v>
      </c>
    </row>
    <row r="2179" spans="1:5" x14ac:dyDescent="0.2">
      <c r="A2179" s="135">
        <v>21142</v>
      </c>
      <c r="B2179" s="1926" t="s">
        <v>11781</v>
      </c>
      <c r="C2179" s="1926" t="s">
        <v>39</v>
      </c>
      <c r="D2179" s="1926" t="s">
        <v>40</v>
      </c>
      <c r="E2179" s="1662">
        <v>18.850000000000001</v>
      </c>
    </row>
    <row r="2180" spans="1:5" x14ac:dyDescent="0.2">
      <c r="A2180" s="135">
        <v>12865</v>
      </c>
      <c r="B2180" s="1926" t="s">
        <v>11782</v>
      </c>
      <c r="C2180" s="1926" t="s">
        <v>42</v>
      </c>
      <c r="D2180" s="1926" t="s">
        <v>40</v>
      </c>
      <c r="E2180" s="1662">
        <v>14.81</v>
      </c>
    </row>
    <row r="2181" spans="1:5" x14ac:dyDescent="0.2">
      <c r="A2181" s="135">
        <v>41074</v>
      </c>
      <c r="B2181" s="1926" t="s">
        <v>11783</v>
      </c>
      <c r="C2181" s="1926" t="s">
        <v>51</v>
      </c>
      <c r="D2181" s="1926" t="s">
        <v>40</v>
      </c>
      <c r="E2181" s="1662">
        <v>2645.12</v>
      </c>
    </row>
    <row r="2182" spans="1:5" x14ac:dyDescent="0.2">
      <c r="A2182" s="135">
        <v>4223</v>
      </c>
      <c r="B2182" s="1926" t="s">
        <v>11784</v>
      </c>
      <c r="C2182" s="1926" t="s">
        <v>49</v>
      </c>
      <c r="D2182" s="1926" t="s">
        <v>43</v>
      </c>
      <c r="E2182" s="1662">
        <v>3.55</v>
      </c>
    </row>
    <row r="2183" spans="1:5" x14ac:dyDescent="0.2">
      <c r="A2183" s="135">
        <v>37372</v>
      </c>
      <c r="B2183" s="1926" t="s">
        <v>11785</v>
      </c>
      <c r="C2183" s="1926" t="s">
        <v>42</v>
      </c>
      <c r="D2183" s="1926" t="s">
        <v>43</v>
      </c>
      <c r="E2183" s="1662">
        <v>0.35</v>
      </c>
    </row>
    <row r="2184" spans="1:5" x14ac:dyDescent="0.2">
      <c r="A2184" s="135">
        <v>40863</v>
      </c>
      <c r="B2184" s="1926" t="s">
        <v>11786</v>
      </c>
      <c r="C2184" s="1926" t="s">
        <v>51</v>
      </c>
      <c r="D2184" s="1926" t="s">
        <v>43</v>
      </c>
      <c r="E2184" s="1662">
        <v>65.94</v>
      </c>
    </row>
    <row r="2185" spans="1:5" x14ac:dyDescent="0.2">
      <c r="A2185" s="135">
        <v>38475</v>
      </c>
      <c r="B2185" s="1926" t="s">
        <v>11787</v>
      </c>
      <c r="C2185" s="1926" t="s">
        <v>39</v>
      </c>
      <c r="D2185" s="1926" t="s">
        <v>40</v>
      </c>
      <c r="E2185" s="1662">
        <v>28.67</v>
      </c>
    </row>
    <row r="2186" spans="1:5" x14ac:dyDescent="0.2">
      <c r="A2186" s="135">
        <v>38474</v>
      </c>
      <c r="B2186" s="1926" t="s">
        <v>11788</v>
      </c>
      <c r="C2186" s="1926" t="s">
        <v>39</v>
      </c>
      <c r="D2186" s="1926" t="s">
        <v>40</v>
      </c>
      <c r="E2186" s="1662">
        <v>35.44</v>
      </c>
    </row>
    <row r="2187" spans="1:5" x14ac:dyDescent="0.2">
      <c r="A2187" s="135">
        <v>10886</v>
      </c>
      <c r="B2187" s="1926" t="s">
        <v>11789</v>
      </c>
      <c r="C2187" s="1926" t="s">
        <v>39</v>
      </c>
      <c r="D2187" s="1926" t="s">
        <v>40</v>
      </c>
      <c r="E2187" s="1662">
        <v>148.75</v>
      </c>
    </row>
    <row r="2188" spans="1:5" x14ac:dyDescent="0.2">
      <c r="A2188" s="135">
        <v>10888</v>
      </c>
      <c r="B2188" s="1926" t="s">
        <v>11790</v>
      </c>
      <c r="C2188" s="1926" t="s">
        <v>39</v>
      </c>
      <c r="D2188" s="1926" t="s">
        <v>40</v>
      </c>
      <c r="E2188" s="1662">
        <v>470.76</v>
      </c>
    </row>
    <row r="2189" spans="1:5" x14ac:dyDescent="0.2">
      <c r="A2189" s="135">
        <v>10889</v>
      </c>
      <c r="B2189" s="1926" t="s">
        <v>11791</v>
      </c>
      <c r="C2189" s="1926" t="s">
        <v>39</v>
      </c>
      <c r="D2189" s="1926" t="s">
        <v>40</v>
      </c>
      <c r="E2189" s="1662">
        <v>510</v>
      </c>
    </row>
    <row r="2190" spans="1:5" x14ac:dyDescent="0.2">
      <c r="A2190" s="135">
        <v>10890</v>
      </c>
      <c r="B2190" s="1926" t="s">
        <v>11792</v>
      </c>
      <c r="C2190" s="1926" t="s">
        <v>39</v>
      </c>
      <c r="D2190" s="1926" t="s">
        <v>40</v>
      </c>
      <c r="E2190" s="1662">
        <v>235.38</v>
      </c>
    </row>
    <row r="2191" spans="1:5" x14ac:dyDescent="0.2">
      <c r="A2191" s="135">
        <v>10891</v>
      </c>
      <c r="B2191" s="1926" t="s">
        <v>11793</v>
      </c>
      <c r="C2191" s="1926" t="s">
        <v>39</v>
      </c>
      <c r="D2191" s="1926" t="s">
        <v>40</v>
      </c>
      <c r="E2191" s="1662">
        <v>143.84</v>
      </c>
    </row>
    <row r="2192" spans="1:5" x14ac:dyDescent="0.2">
      <c r="A2192" s="135">
        <v>10892</v>
      </c>
      <c r="B2192" s="1926" t="s">
        <v>11794</v>
      </c>
      <c r="C2192" s="1926" t="s">
        <v>39</v>
      </c>
      <c r="D2192" s="1926" t="s">
        <v>43</v>
      </c>
      <c r="E2192" s="1662">
        <v>170</v>
      </c>
    </row>
    <row r="2193" spans="1:5" x14ac:dyDescent="0.2">
      <c r="A2193" s="135">
        <v>20977</v>
      </c>
      <c r="B2193" s="1926" t="s">
        <v>11795</v>
      </c>
      <c r="C2193" s="1926" t="s">
        <v>39</v>
      </c>
      <c r="D2193" s="1926" t="s">
        <v>40</v>
      </c>
      <c r="E2193" s="1662">
        <v>202.69</v>
      </c>
    </row>
    <row r="2194" spans="1:5" x14ac:dyDescent="0.2">
      <c r="A2194" s="135">
        <v>3073</v>
      </c>
      <c r="B2194" s="1926" t="s">
        <v>11796</v>
      </c>
      <c r="C2194" s="1926" t="s">
        <v>39</v>
      </c>
      <c r="D2194" s="1926" t="s">
        <v>46</v>
      </c>
      <c r="E2194" s="1662">
        <v>146.83000000000001</v>
      </c>
    </row>
    <row r="2195" spans="1:5" x14ac:dyDescent="0.2">
      <c r="A2195" s="135">
        <v>3068</v>
      </c>
      <c r="B2195" s="1926" t="s">
        <v>11797</v>
      </c>
      <c r="C2195" s="1926" t="s">
        <v>39</v>
      </c>
      <c r="D2195" s="1926" t="s">
        <v>46</v>
      </c>
      <c r="E2195" s="1662">
        <v>29.35</v>
      </c>
    </row>
    <row r="2196" spans="1:5" x14ac:dyDescent="0.2">
      <c r="A2196" s="135">
        <v>3074</v>
      </c>
      <c r="B2196" s="1926" t="s">
        <v>11798</v>
      </c>
      <c r="C2196" s="1926" t="s">
        <v>39</v>
      </c>
      <c r="D2196" s="1926" t="s">
        <v>46</v>
      </c>
      <c r="E2196" s="1662">
        <v>92.7</v>
      </c>
    </row>
    <row r="2197" spans="1:5" x14ac:dyDescent="0.2">
      <c r="A2197" s="135">
        <v>3076</v>
      </c>
      <c r="B2197" s="1926" t="s">
        <v>11799</v>
      </c>
      <c r="C2197" s="1926" t="s">
        <v>39</v>
      </c>
      <c r="D2197" s="1926" t="s">
        <v>46</v>
      </c>
      <c r="E2197" s="1662">
        <v>120.71</v>
      </c>
    </row>
    <row r="2198" spans="1:5" x14ac:dyDescent="0.2">
      <c r="A2198" s="135">
        <v>3072</v>
      </c>
      <c r="B2198" s="1926" t="s">
        <v>11800</v>
      </c>
      <c r="C2198" s="1926" t="s">
        <v>39</v>
      </c>
      <c r="D2198" s="1926" t="s">
        <v>46</v>
      </c>
      <c r="E2198" s="1662">
        <v>30.41</v>
      </c>
    </row>
    <row r="2199" spans="1:5" x14ac:dyDescent="0.2">
      <c r="A2199" s="135">
        <v>3075</v>
      </c>
      <c r="B2199" s="1926" t="s">
        <v>11801</v>
      </c>
      <c r="C2199" s="1926" t="s">
        <v>39</v>
      </c>
      <c r="D2199" s="1926" t="s">
        <v>46</v>
      </c>
      <c r="E2199" s="1662">
        <v>76.28</v>
      </c>
    </row>
    <row r="2200" spans="1:5" x14ac:dyDescent="0.2">
      <c r="A2200" s="135">
        <v>10780</v>
      </c>
      <c r="B2200" s="1926" t="s">
        <v>11802</v>
      </c>
      <c r="C2200" s="1926" t="s">
        <v>39</v>
      </c>
      <c r="D2200" s="1926" t="s">
        <v>46</v>
      </c>
      <c r="E2200" s="1662">
        <v>6.44</v>
      </c>
    </row>
    <row r="2201" spans="1:5" x14ac:dyDescent="0.2">
      <c r="A2201" s="135">
        <v>10781</v>
      </c>
      <c r="B2201" s="1926" t="s">
        <v>11803</v>
      </c>
      <c r="C2201" s="1926" t="s">
        <v>39</v>
      </c>
      <c r="D2201" s="1926" t="s">
        <v>46</v>
      </c>
      <c r="E2201" s="1662">
        <v>10.34</v>
      </c>
    </row>
    <row r="2202" spans="1:5" x14ac:dyDescent="0.2">
      <c r="A2202" s="135">
        <v>20106</v>
      </c>
      <c r="B2202" s="1926" t="s">
        <v>11804</v>
      </c>
      <c r="C2202" s="1926" t="s">
        <v>39</v>
      </c>
      <c r="D2202" s="1926" t="s">
        <v>46</v>
      </c>
      <c r="E2202" s="1662">
        <v>3.41</v>
      </c>
    </row>
    <row r="2203" spans="1:5" x14ac:dyDescent="0.2">
      <c r="A2203" s="135">
        <v>20107</v>
      </c>
      <c r="B2203" s="1926" t="s">
        <v>11805</v>
      </c>
      <c r="C2203" s="1926" t="s">
        <v>39</v>
      </c>
      <c r="D2203" s="1926" t="s">
        <v>46</v>
      </c>
      <c r="E2203" s="1662">
        <v>3.9</v>
      </c>
    </row>
    <row r="2204" spans="1:5" x14ac:dyDescent="0.2">
      <c r="A2204" s="135">
        <v>20108</v>
      </c>
      <c r="B2204" s="1926" t="s">
        <v>11806</v>
      </c>
      <c r="C2204" s="1926" t="s">
        <v>39</v>
      </c>
      <c r="D2204" s="1926" t="s">
        <v>46</v>
      </c>
      <c r="E2204" s="1662">
        <v>5.15</v>
      </c>
    </row>
    <row r="2205" spans="1:5" x14ac:dyDescent="0.2">
      <c r="A2205" s="135">
        <v>20109</v>
      </c>
      <c r="B2205" s="1926" t="s">
        <v>11807</v>
      </c>
      <c r="C2205" s="1926" t="s">
        <v>39</v>
      </c>
      <c r="D2205" s="1926" t="s">
        <v>46</v>
      </c>
      <c r="E2205" s="1662">
        <v>6.44</v>
      </c>
    </row>
    <row r="2206" spans="1:5" x14ac:dyDescent="0.2">
      <c r="A2206" s="135">
        <v>34795</v>
      </c>
      <c r="B2206" s="1926" t="s">
        <v>11808</v>
      </c>
      <c r="C2206" s="1926" t="s">
        <v>45</v>
      </c>
      <c r="D2206" s="1926" t="s">
        <v>40</v>
      </c>
      <c r="E2206" s="1662">
        <v>205.57</v>
      </c>
    </row>
    <row r="2207" spans="1:5" x14ac:dyDescent="0.2">
      <c r="A2207" s="135">
        <v>34796</v>
      </c>
      <c r="B2207" s="1926" t="s">
        <v>11809</v>
      </c>
      <c r="C2207" s="1926" t="s">
        <v>47</v>
      </c>
      <c r="D2207" s="1926" t="s">
        <v>40</v>
      </c>
      <c r="E2207" s="1662">
        <v>9.02</v>
      </c>
    </row>
    <row r="2208" spans="1:5" x14ac:dyDescent="0.2">
      <c r="A2208" s="135">
        <v>11480</v>
      </c>
      <c r="B2208" s="1926" t="s">
        <v>11810</v>
      </c>
      <c r="C2208" s="1926" t="s">
        <v>57</v>
      </c>
      <c r="D2208" s="1926" t="s">
        <v>40</v>
      </c>
      <c r="E2208" s="1662">
        <v>57.72</v>
      </c>
    </row>
    <row r="2209" spans="1:5" x14ac:dyDescent="0.2">
      <c r="A2209" s="135">
        <v>3103</v>
      </c>
      <c r="B2209" s="1926" t="s">
        <v>11811</v>
      </c>
      <c r="C2209" s="1926" t="s">
        <v>39</v>
      </c>
      <c r="D2209" s="1926" t="s">
        <v>40</v>
      </c>
      <c r="E2209" s="1662">
        <v>60.25</v>
      </c>
    </row>
    <row r="2210" spans="1:5" x14ac:dyDescent="0.2">
      <c r="A2210" s="135">
        <v>11481</v>
      </c>
      <c r="B2210" s="1926" t="s">
        <v>11812</v>
      </c>
      <c r="C2210" s="1926" t="s">
        <v>39</v>
      </c>
      <c r="D2210" s="1926" t="s">
        <v>40</v>
      </c>
      <c r="E2210" s="1662">
        <v>18.18</v>
      </c>
    </row>
    <row r="2211" spans="1:5" x14ac:dyDescent="0.2">
      <c r="A2211" s="135">
        <v>3097</v>
      </c>
      <c r="B2211" s="1926" t="s">
        <v>11813</v>
      </c>
      <c r="C2211" s="1926" t="s">
        <v>57</v>
      </c>
      <c r="D2211" s="1926" t="s">
        <v>40</v>
      </c>
      <c r="E2211" s="1662">
        <v>37.33</v>
      </c>
    </row>
    <row r="2212" spans="1:5" x14ac:dyDescent="0.2">
      <c r="A2212" s="135">
        <v>38153</v>
      </c>
      <c r="B2212" s="1926" t="s">
        <v>11814</v>
      </c>
      <c r="C2212" s="1926" t="s">
        <v>57</v>
      </c>
      <c r="D2212" s="1926" t="s">
        <v>40</v>
      </c>
      <c r="E2212" s="1662">
        <v>34.24</v>
      </c>
    </row>
    <row r="2213" spans="1:5" x14ac:dyDescent="0.2">
      <c r="A2213" s="135">
        <v>3099</v>
      </c>
      <c r="B2213" s="1926" t="s">
        <v>11815</v>
      </c>
      <c r="C2213" s="1926" t="s">
        <v>57</v>
      </c>
      <c r="D2213" s="1926" t="s">
        <v>40</v>
      </c>
      <c r="E2213" s="1662">
        <v>59.72</v>
      </c>
    </row>
    <row r="2214" spans="1:5" x14ac:dyDescent="0.2">
      <c r="A2214" s="135">
        <v>3080</v>
      </c>
      <c r="B2214" s="1926" t="s">
        <v>11816</v>
      </c>
      <c r="C2214" s="1926" t="s">
        <v>57</v>
      </c>
      <c r="D2214" s="1926" t="s">
        <v>43</v>
      </c>
      <c r="E2214" s="1662">
        <v>49.9</v>
      </c>
    </row>
    <row r="2215" spans="1:5" x14ac:dyDescent="0.2">
      <c r="A2215" s="135">
        <v>3081</v>
      </c>
      <c r="B2215" s="1926" t="s">
        <v>11817</v>
      </c>
      <c r="C2215" s="1926" t="s">
        <v>57</v>
      </c>
      <c r="D2215" s="1926" t="s">
        <v>40</v>
      </c>
      <c r="E2215" s="1662">
        <v>75.52</v>
      </c>
    </row>
    <row r="2216" spans="1:5" x14ac:dyDescent="0.2">
      <c r="A2216" s="135">
        <v>38151</v>
      </c>
      <c r="B2216" s="1926" t="s">
        <v>11818</v>
      </c>
      <c r="C2216" s="1926" t="s">
        <v>57</v>
      </c>
      <c r="D2216" s="1926" t="s">
        <v>40</v>
      </c>
      <c r="E2216" s="1662">
        <v>47.28</v>
      </c>
    </row>
    <row r="2217" spans="1:5" x14ac:dyDescent="0.2">
      <c r="A2217" s="135">
        <v>11479</v>
      </c>
      <c r="B2217" s="1926" t="s">
        <v>11819</v>
      </c>
      <c r="C2217" s="1926" t="s">
        <v>39</v>
      </c>
      <c r="D2217" s="1926" t="s">
        <v>40</v>
      </c>
      <c r="E2217" s="1662">
        <v>27.49</v>
      </c>
    </row>
    <row r="2218" spans="1:5" x14ac:dyDescent="0.2">
      <c r="A2218" s="135">
        <v>38152</v>
      </c>
      <c r="B2218" s="1926" t="s">
        <v>11820</v>
      </c>
      <c r="C2218" s="1926" t="s">
        <v>57</v>
      </c>
      <c r="D2218" s="1926" t="s">
        <v>40</v>
      </c>
      <c r="E2218" s="1662">
        <v>68.42</v>
      </c>
    </row>
    <row r="2219" spans="1:5" x14ac:dyDescent="0.2">
      <c r="A2219" s="135">
        <v>11478</v>
      </c>
      <c r="B2219" s="1926" t="s">
        <v>11821</v>
      </c>
      <c r="C2219" s="1926" t="s">
        <v>39</v>
      </c>
      <c r="D2219" s="1926" t="s">
        <v>40</v>
      </c>
      <c r="E2219" s="1662">
        <v>48.23</v>
      </c>
    </row>
    <row r="2220" spans="1:5" x14ac:dyDescent="0.2">
      <c r="A2220" s="135">
        <v>3090</v>
      </c>
      <c r="B2220" s="1926" t="s">
        <v>11822</v>
      </c>
      <c r="C2220" s="1926" t="s">
        <v>57</v>
      </c>
      <c r="D2220" s="1926" t="s">
        <v>40</v>
      </c>
      <c r="E2220" s="1662">
        <v>40.35</v>
      </c>
    </row>
    <row r="2221" spans="1:5" x14ac:dyDescent="0.2">
      <c r="A2221" s="135">
        <v>3093</v>
      </c>
      <c r="B2221" s="1926" t="s">
        <v>11823</v>
      </c>
      <c r="C2221" s="1926" t="s">
        <v>57</v>
      </c>
      <c r="D2221" s="1926" t="s">
        <v>40</v>
      </c>
      <c r="E2221" s="1662">
        <v>67.05</v>
      </c>
    </row>
    <row r="2222" spans="1:5" x14ac:dyDescent="0.2">
      <c r="A2222" s="135">
        <v>11476</v>
      </c>
      <c r="B2222" s="1926" t="s">
        <v>11824</v>
      </c>
      <c r="C2222" s="1926" t="s">
        <v>39</v>
      </c>
      <c r="D2222" s="1926" t="s">
        <v>40</v>
      </c>
      <c r="E2222" s="1662">
        <v>28.89</v>
      </c>
    </row>
    <row r="2223" spans="1:5" x14ac:dyDescent="0.2">
      <c r="A2223" s="135">
        <v>11484</v>
      </c>
      <c r="B2223" s="1926" t="s">
        <v>11825</v>
      </c>
      <c r="C2223" s="1926" t="s">
        <v>39</v>
      </c>
      <c r="D2223" s="1926" t="s">
        <v>40</v>
      </c>
      <c r="E2223" s="1662">
        <v>33.29</v>
      </c>
    </row>
    <row r="2224" spans="1:5" x14ac:dyDescent="0.2">
      <c r="A2224" s="135">
        <v>38155</v>
      </c>
      <c r="B2224" s="1926" t="s">
        <v>11826</v>
      </c>
      <c r="C2224" s="1926" t="s">
        <v>39</v>
      </c>
      <c r="D2224" s="1926" t="s">
        <v>40</v>
      </c>
      <c r="E2224" s="1662">
        <v>45.39</v>
      </c>
    </row>
    <row r="2225" spans="1:5" x14ac:dyDescent="0.2">
      <c r="A2225" s="135">
        <v>11468</v>
      </c>
      <c r="B2225" s="1926" t="s">
        <v>11827</v>
      </c>
      <c r="C2225" s="1926" t="s">
        <v>39</v>
      </c>
      <c r="D2225" s="1926" t="s">
        <v>40</v>
      </c>
      <c r="E2225" s="1662">
        <v>10.19</v>
      </c>
    </row>
    <row r="2226" spans="1:5" x14ac:dyDescent="0.2">
      <c r="A2226" s="135">
        <v>11469</v>
      </c>
      <c r="B2226" s="1926" t="s">
        <v>11828</v>
      </c>
      <c r="C2226" s="1926" t="s">
        <v>39</v>
      </c>
      <c r="D2226" s="1926" t="s">
        <v>40</v>
      </c>
      <c r="E2226" s="1662">
        <v>12.17</v>
      </c>
    </row>
    <row r="2227" spans="1:5" x14ac:dyDescent="0.2">
      <c r="A2227" s="135">
        <v>38165</v>
      </c>
      <c r="B2227" s="1926" t="s">
        <v>11829</v>
      </c>
      <c r="C2227" s="1926" t="s">
        <v>57</v>
      </c>
      <c r="D2227" s="1926" t="s">
        <v>40</v>
      </c>
      <c r="E2227" s="1662">
        <v>50.35</v>
      </c>
    </row>
    <row r="2228" spans="1:5" x14ac:dyDescent="0.2">
      <c r="A2228" s="135">
        <v>11456</v>
      </c>
      <c r="B2228" s="1926" t="s">
        <v>11830</v>
      </c>
      <c r="C2228" s="1926" t="s">
        <v>39</v>
      </c>
      <c r="D2228" s="1926" t="s">
        <v>40</v>
      </c>
      <c r="E2228" s="1662">
        <v>11.15</v>
      </c>
    </row>
    <row r="2229" spans="1:5" x14ac:dyDescent="0.2">
      <c r="A2229" s="135">
        <v>3119</v>
      </c>
      <c r="B2229" s="1926" t="s">
        <v>11831</v>
      </c>
      <c r="C2229" s="1926" t="s">
        <v>39</v>
      </c>
      <c r="D2229" s="1926" t="s">
        <v>40</v>
      </c>
      <c r="E2229" s="1662">
        <v>1.65</v>
      </c>
    </row>
    <row r="2230" spans="1:5" x14ac:dyDescent="0.2">
      <c r="A2230" s="135">
        <v>3122</v>
      </c>
      <c r="B2230" s="1926" t="s">
        <v>11832</v>
      </c>
      <c r="C2230" s="1926" t="s">
        <v>39</v>
      </c>
      <c r="D2230" s="1926" t="s">
        <v>40</v>
      </c>
      <c r="E2230" s="1662">
        <v>2.33</v>
      </c>
    </row>
    <row r="2231" spans="1:5" x14ac:dyDescent="0.2">
      <c r="A2231" s="135">
        <v>3121</v>
      </c>
      <c r="B2231" s="1926" t="s">
        <v>11833</v>
      </c>
      <c r="C2231" s="1926" t="s">
        <v>39</v>
      </c>
      <c r="D2231" s="1926" t="s">
        <v>40</v>
      </c>
      <c r="E2231" s="1662">
        <v>3.61</v>
      </c>
    </row>
    <row r="2232" spans="1:5" x14ac:dyDescent="0.2">
      <c r="A2232" s="135">
        <v>3120</v>
      </c>
      <c r="B2232" s="1926" t="s">
        <v>11834</v>
      </c>
      <c r="C2232" s="1926" t="s">
        <v>39</v>
      </c>
      <c r="D2232" s="1926" t="s">
        <v>40</v>
      </c>
      <c r="E2232" s="1662">
        <v>5.7</v>
      </c>
    </row>
    <row r="2233" spans="1:5" x14ac:dyDescent="0.2">
      <c r="A2233" s="135">
        <v>11455</v>
      </c>
      <c r="B2233" s="1926" t="s">
        <v>11835</v>
      </c>
      <c r="C2233" s="1926" t="s">
        <v>39</v>
      </c>
      <c r="D2233" s="1926" t="s">
        <v>40</v>
      </c>
      <c r="E2233" s="1662">
        <v>7.99</v>
      </c>
    </row>
    <row r="2234" spans="1:5" x14ac:dyDescent="0.2">
      <c r="A2234" s="135">
        <v>3108</v>
      </c>
      <c r="B2234" s="1926" t="s">
        <v>11836</v>
      </c>
      <c r="C2234" s="1926" t="s">
        <v>39</v>
      </c>
      <c r="D2234" s="1926" t="s">
        <v>40</v>
      </c>
      <c r="E2234" s="1662">
        <v>20.079999999999998</v>
      </c>
    </row>
    <row r="2235" spans="1:5" x14ac:dyDescent="0.2">
      <c r="A2235" s="135">
        <v>3105</v>
      </c>
      <c r="B2235" s="1926" t="s">
        <v>11837</v>
      </c>
      <c r="C2235" s="1926" t="s">
        <v>39</v>
      </c>
      <c r="D2235" s="1926" t="s">
        <v>40</v>
      </c>
      <c r="E2235" s="1662">
        <v>31.19</v>
      </c>
    </row>
    <row r="2236" spans="1:5" x14ac:dyDescent="0.2">
      <c r="A2236" s="135">
        <v>38178</v>
      </c>
      <c r="B2236" s="1926" t="s">
        <v>11838</v>
      </c>
      <c r="C2236" s="1926" t="s">
        <v>39</v>
      </c>
      <c r="D2236" s="1926" t="s">
        <v>40</v>
      </c>
      <c r="E2236" s="1662">
        <v>20.39</v>
      </c>
    </row>
    <row r="2237" spans="1:5" x14ac:dyDescent="0.2">
      <c r="A2237" s="135">
        <v>11458</v>
      </c>
      <c r="B2237" s="1926" t="s">
        <v>11839</v>
      </c>
      <c r="C2237" s="1926" t="s">
        <v>39</v>
      </c>
      <c r="D2237" s="1926" t="s">
        <v>40</v>
      </c>
      <c r="E2237" s="1662">
        <v>17.86</v>
      </c>
    </row>
    <row r="2238" spans="1:5" x14ac:dyDescent="0.2">
      <c r="A2238" s="135">
        <v>42481</v>
      </c>
      <c r="B2238" s="1926" t="s">
        <v>11840</v>
      </c>
      <c r="C2238" s="1926" t="s">
        <v>45</v>
      </c>
      <c r="D2238" s="1926" t="s">
        <v>46</v>
      </c>
      <c r="E2238" s="1662">
        <v>21.19</v>
      </c>
    </row>
    <row r="2239" spans="1:5" x14ac:dyDescent="0.2">
      <c r="A2239" s="135">
        <v>43458</v>
      </c>
      <c r="B2239" s="1926" t="s">
        <v>11841</v>
      </c>
      <c r="C2239" s="1926" t="s">
        <v>42</v>
      </c>
      <c r="D2239" s="1926" t="s">
        <v>43</v>
      </c>
      <c r="E2239" s="1662">
        <v>0.04</v>
      </c>
    </row>
    <row r="2240" spans="1:5" x14ac:dyDescent="0.2">
      <c r="A2240" s="135">
        <v>43470</v>
      </c>
      <c r="B2240" s="1926" t="s">
        <v>11842</v>
      </c>
      <c r="C2240" s="1926" t="s">
        <v>51</v>
      </c>
      <c r="D2240" s="1926" t="s">
        <v>43</v>
      </c>
      <c r="E2240" s="1662">
        <v>7.37</v>
      </c>
    </row>
    <row r="2241" spans="1:5" x14ac:dyDescent="0.2">
      <c r="A2241" s="135">
        <v>43459</v>
      </c>
      <c r="B2241" s="1926" t="s">
        <v>11843</v>
      </c>
      <c r="C2241" s="1926" t="s">
        <v>42</v>
      </c>
      <c r="D2241" s="1926" t="s">
        <v>43</v>
      </c>
      <c r="E2241" s="1662">
        <v>0.34</v>
      </c>
    </row>
    <row r="2242" spans="1:5" x14ac:dyDescent="0.2">
      <c r="A2242" s="135">
        <v>43471</v>
      </c>
      <c r="B2242" s="1926" t="s">
        <v>11844</v>
      </c>
      <c r="C2242" s="1926" t="s">
        <v>51</v>
      </c>
      <c r="D2242" s="1926" t="s">
        <v>43</v>
      </c>
      <c r="E2242" s="1662">
        <v>64.510000000000005</v>
      </c>
    </row>
    <row r="2243" spans="1:5" x14ac:dyDescent="0.2">
      <c r="A2243" s="135">
        <v>43460</v>
      </c>
      <c r="B2243" s="1926" t="s">
        <v>11845</v>
      </c>
      <c r="C2243" s="1926" t="s">
        <v>42</v>
      </c>
      <c r="D2243" s="1926" t="s">
        <v>43</v>
      </c>
      <c r="E2243" s="1662">
        <v>0.55000000000000004</v>
      </c>
    </row>
    <row r="2244" spans="1:5" x14ac:dyDescent="0.2">
      <c r="A2244" s="135">
        <v>43472</v>
      </c>
      <c r="B2244" s="1926" t="s">
        <v>11846</v>
      </c>
      <c r="C2244" s="1926" t="s">
        <v>51</v>
      </c>
      <c r="D2244" s="1926" t="s">
        <v>43</v>
      </c>
      <c r="E2244" s="1662">
        <v>103.89</v>
      </c>
    </row>
    <row r="2245" spans="1:5" x14ac:dyDescent="0.2">
      <c r="A2245" s="135">
        <v>43461</v>
      </c>
      <c r="B2245" s="1926" t="s">
        <v>11847</v>
      </c>
      <c r="C2245" s="1926" t="s">
        <v>42</v>
      </c>
      <c r="D2245" s="1926" t="s">
        <v>43</v>
      </c>
      <c r="E2245" s="1662">
        <v>0.24</v>
      </c>
    </row>
    <row r="2246" spans="1:5" x14ac:dyDescent="0.2">
      <c r="A2246" s="135">
        <v>43473</v>
      </c>
      <c r="B2246" s="1926" t="s">
        <v>11848</v>
      </c>
      <c r="C2246" s="1926" t="s">
        <v>51</v>
      </c>
      <c r="D2246" s="1926" t="s">
        <v>43</v>
      </c>
      <c r="E2246" s="1662">
        <v>45.78</v>
      </c>
    </row>
    <row r="2247" spans="1:5" x14ac:dyDescent="0.2">
      <c r="A2247" s="135">
        <v>43463</v>
      </c>
      <c r="B2247" s="1926" t="s">
        <v>11849</v>
      </c>
      <c r="C2247" s="1926" t="s">
        <v>42</v>
      </c>
      <c r="D2247" s="1926" t="s">
        <v>43</v>
      </c>
      <c r="E2247" s="1662">
        <v>0.08</v>
      </c>
    </row>
    <row r="2248" spans="1:5" x14ac:dyDescent="0.2">
      <c r="A2248" s="135">
        <v>43475</v>
      </c>
      <c r="B2248" s="1926" t="s">
        <v>11850</v>
      </c>
      <c r="C2248" s="1926" t="s">
        <v>51</v>
      </c>
      <c r="D2248" s="1926" t="s">
        <v>43</v>
      </c>
      <c r="E2248" s="1662">
        <v>14.26</v>
      </c>
    </row>
    <row r="2249" spans="1:5" x14ac:dyDescent="0.2">
      <c r="A2249" s="135">
        <v>43462</v>
      </c>
      <c r="B2249" s="1926" t="s">
        <v>11851</v>
      </c>
      <c r="C2249" s="1926" t="s">
        <v>42</v>
      </c>
      <c r="D2249" s="1926" t="s">
        <v>43</v>
      </c>
      <c r="E2249" s="1662">
        <v>0.01</v>
      </c>
    </row>
    <row r="2250" spans="1:5" x14ac:dyDescent="0.2">
      <c r="A2250" s="135">
        <v>43474</v>
      </c>
      <c r="B2250" s="1926" t="s">
        <v>11852</v>
      </c>
      <c r="C2250" s="1926" t="s">
        <v>51</v>
      </c>
      <c r="D2250" s="1926" t="s">
        <v>43</v>
      </c>
      <c r="E2250" s="1662">
        <v>1.45</v>
      </c>
    </row>
    <row r="2251" spans="1:5" x14ac:dyDescent="0.2">
      <c r="A2251" s="135">
        <v>43464</v>
      </c>
      <c r="B2251" s="1926" t="s">
        <v>11853</v>
      </c>
      <c r="C2251" s="1926" t="s">
        <v>42</v>
      </c>
      <c r="D2251" s="1926" t="s">
        <v>43</v>
      </c>
      <c r="E2251" s="1662">
        <v>0.01</v>
      </c>
    </row>
    <row r="2252" spans="1:5" x14ac:dyDescent="0.2">
      <c r="A2252" s="135">
        <v>43476</v>
      </c>
      <c r="B2252" s="1926" t="s">
        <v>11854</v>
      </c>
      <c r="C2252" s="1926" t="s">
        <v>51</v>
      </c>
      <c r="D2252" s="1926" t="s">
        <v>43</v>
      </c>
      <c r="E2252" s="1662">
        <v>0.01</v>
      </c>
    </row>
    <row r="2253" spans="1:5" x14ac:dyDescent="0.2">
      <c r="A2253" s="135">
        <v>43465</v>
      </c>
      <c r="B2253" s="1926" t="s">
        <v>11855</v>
      </c>
      <c r="C2253" s="1926" t="s">
        <v>42</v>
      </c>
      <c r="D2253" s="1926" t="s">
        <v>43</v>
      </c>
      <c r="E2253" s="1662">
        <v>0.5</v>
      </c>
    </row>
    <row r="2254" spans="1:5" x14ac:dyDescent="0.2">
      <c r="A2254" s="135">
        <v>43477</v>
      </c>
      <c r="B2254" s="1926" t="s">
        <v>11856</v>
      </c>
      <c r="C2254" s="1926" t="s">
        <v>51</v>
      </c>
      <c r="D2254" s="1926" t="s">
        <v>43</v>
      </c>
      <c r="E2254" s="1662">
        <v>94.89</v>
      </c>
    </row>
    <row r="2255" spans="1:5" x14ac:dyDescent="0.2">
      <c r="A2255" s="135">
        <v>43466</v>
      </c>
      <c r="B2255" s="1926" t="s">
        <v>11857</v>
      </c>
      <c r="C2255" s="1926" t="s">
        <v>42</v>
      </c>
      <c r="D2255" s="1926" t="s">
        <v>43</v>
      </c>
      <c r="E2255" s="1662">
        <v>1.17</v>
      </c>
    </row>
    <row r="2256" spans="1:5" x14ac:dyDescent="0.2">
      <c r="A2256" s="135">
        <v>43478</v>
      </c>
      <c r="B2256" s="1926" t="s">
        <v>11858</v>
      </c>
      <c r="C2256" s="1926" t="s">
        <v>51</v>
      </c>
      <c r="D2256" s="1926" t="s">
        <v>43</v>
      </c>
      <c r="E2256" s="1662">
        <v>220.02</v>
      </c>
    </row>
    <row r="2257" spans="1:5" x14ac:dyDescent="0.2">
      <c r="A2257" s="135">
        <v>43467</v>
      </c>
      <c r="B2257" s="1926" t="s">
        <v>11859</v>
      </c>
      <c r="C2257" s="1926" t="s">
        <v>42</v>
      </c>
      <c r="D2257" s="1926" t="s">
        <v>43</v>
      </c>
      <c r="E2257" s="1662">
        <v>0.38</v>
      </c>
    </row>
    <row r="2258" spans="1:5" x14ac:dyDescent="0.2">
      <c r="A2258" s="135">
        <v>43479</v>
      </c>
      <c r="B2258" s="1926" t="s">
        <v>11860</v>
      </c>
      <c r="C2258" s="1926" t="s">
        <v>51</v>
      </c>
      <c r="D2258" s="1926" t="s">
        <v>43</v>
      </c>
      <c r="E2258" s="1662">
        <v>71.290000000000006</v>
      </c>
    </row>
    <row r="2259" spans="1:5" x14ac:dyDescent="0.2">
      <c r="A2259" s="135">
        <v>43468</v>
      </c>
      <c r="B2259" s="1926" t="s">
        <v>11861</v>
      </c>
      <c r="C2259" s="1926" t="s">
        <v>42</v>
      </c>
      <c r="D2259" s="1926" t="s">
        <v>43</v>
      </c>
      <c r="E2259" s="1662">
        <v>0.84</v>
      </c>
    </row>
    <row r="2260" spans="1:5" x14ac:dyDescent="0.2">
      <c r="A2260" s="135">
        <v>43480</v>
      </c>
      <c r="B2260" s="1926" t="s">
        <v>11862</v>
      </c>
      <c r="C2260" s="1926" t="s">
        <v>51</v>
      </c>
      <c r="D2260" s="1926" t="s">
        <v>43</v>
      </c>
      <c r="E2260" s="1662">
        <v>157.85</v>
      </c>
    </row>
    <row r="2261" spans="1:5" x14ac:dyDescent="0.2">
      <c r="A2261" s="135">
        <v>43469</v>
      </c>
      <c r="B2261" s="1926" t="s">
        <v>11863</v>
      </c>
      <c r="C2261" s="1926" t="s">
        <v>42</v>
      </c>
      <c r="D2261" s="1926" t="s">
        <v>43</v>
      </c>
      <c r="E2261" s="1662">
        <v>0.05</v>
      </c>
    </row>
    <row r="2262" spans="1:5" x14ac:dyDescent="0.2">
      <c r="A2262" s="135">
        <v>43481</v>
      </c>
      <c r="B2262" s="1926" t="s">
        <v>11864</v>
      </c>
      <c r="C2262" s="1926" t="s">
        <v>51</v>
      </c>
      <c r="D2262" s="1926" t="s">
        <v>43</v>
      </c>
      <c r="E2262" s="1662">
        <v>10.02</v>
      </c>
    </row>
    <row r="2263" spans="1:5" x14ac:dyDescent="0.2">
      <c r="A2263" s="135">
        <v>11461</v>
      </c>
      <c r="B2263" s="1926" t="s">
        <v>11865</v>
      </c>
      <c r="C2263" s="1926" t="s">
        <v>39</v>
      </c>
      <c r="D2263" s="1926" t="s">
        <v>40</v>
      </c>
      <c r="E2263" s="1662">
        <v>4.53</v>
      </c>
    </row>
    <row r="2264" spans="1:5" x14ac:dyDescent="0.2">
      <c r="A2264" s="135">
        <v>3106</v>
      </c>
      <c r="B2264" s="1926" t="s">
        <v>11866</v>
      </c>
      <c r="C2264" s="1926" t="s">
        <v>39</v>
      </c>
      <c r="D2264" s="1926" t="s">
        <v>40</v>
      </c>
      <c r="E2264" s="1662">
        <v>3.44</v>
      </c>
    </row>
    <row r="2265" spans="1:5" x14ac:dyDescent="0.2">
      <c r="A2265" s="135">
        <v>3107</v>
      </c>
      <c r="B2265" s="1926" t="s">
        <v>11867</v>
      </c>
      <c r="C2265" s="1926" t="s">
        <v>39</v>
      </c>
      <c r="D2265" s="1926" t="s">
        <v>40</v>
      </c>
      <c r="E2265" s="1662">
        <v>2.9</v>
      </c>
    </row>
    <row r="2266" spans="1:5" x14ac:dyDescent="0.2">
      <c r="A2266" s="135">
        <v>25951</v>
      </c>
      <c r="B2266" s="1926" t="s">
        <v>11868</v>
      </c>
      <c r="C2266" s="1926" t="s">
        <v>48</v>
      </c>
      <c r="D2266" s="1926" t="s">
        <v>40</v>
      </c>
      <c r="E2266" s="1662">
        <v>2.4300000000000002</v>
      </c>
    </row>
    <row r="2267" spans="1:5" x14ac:dyDescent="0.2">
      <c r="A2267" s="135">
        <v>3123</v>
      </c>
      <c r="B2267" s="1926" t="s">
        <v>11869</v>
      </c>
      <c r="C2267" s="1926" t="s">
        <v>48</v>
      </c>
      <c r="D2267" s="1926" t="s">
        <v>43</v>
      </c>
      <c r="E2267" s="1662">
        <v>2.27</v>
      </c>
    </row>
    <row r="2268" spans="1:5" x14ac:dyDescent="0.2">
      <c r="A2268" s="135">
        <v>38125</v>
      </c>
      <c r="B2268" s="1926" t="s">
        <v>11870</v>
      </c>
      <c r="C2268" s="1926" t="s">
        <v>48</v>
      </c>
      <c r="D2268" s="1926" t="s">
        <v>40</v>
      </c>
      <c r="E2268" s="1662">
        <v>0.85</v>
      </c>
    </row>
    <row r="2269" spans="1:5" x14ac:dyDescent="0.2">
      <c r="A2269" s="135">
        <v>39014</v>
      </c>
      <c r="B2269" s="1926" t="s">
        <v>11871</v>
      </c>
      <c r="C2269" s="1926" t="s">
        <v>48</v>
      </c>
      <c r="D2269" s="1926" t="s">
        <v>40</v>
      </c>
      <c r="E2269" s="1662">
        <v>4.8600000000000003</v>
      </c>
    </row>
    <row r="2270" spans="1:5" x14ac:dyDescent="0.2">
      <c r="A2270" s="135">
        <v>11894</v>
      </c>
      <c r="B2270" s="1926" t="s">
        <v>11872</v>
      </c>
      <c r="C2270" s="1926" t="s">
        <v>39</v>
      </c>
      <c r="D2270" s="1926" t="s">
        <v>40</v>
      </c>
      <c r="E2270" s="1662">
        <v>761.91</v>
      </c>
    </row>
    <row r="2271" spans="1:5" x14ac:dyDescent="0.2">
      <c r="A2271" s="135">
        <v>39365</v>
      </c>
      <c r="B2271" s="1926" t="s">
        <v>11873</v>
      </c>
      <c r="C2271" s="1926" t="s">
        <v>39</v>
      </c>
      <c r="D2271" s="1926" t="s">
        <v>40</v>
      </c>
      <c r="E2271" s="1662">
        <v>892.4</v>
      </c>
    </row>
    <row r="2272" spans="1:5" x14ac:dyDescent="0.2">
      <c r="A2272" s="135">
        <v>39366</v>
      </c>
      <c r="B2272" s="1926" t="s">
        <v>11874</v>
      </c>
      <c r="C2272" s="1926" t="s">
        <v>39</v>
      </c>
      <c r="D2272" s="1926" t="s">
        <v>40</v>
      </c>
      <c r="E2272" s="1662">
        <v>2284.94</v>
      </c>
    </row>
    <row r="2273" spans="1:5" x14ac:dyDescent="0.2">
      <c r="A2273" s="135">
        <v>39367</v>
      </c>
      <c r="B2273" s="1926" t="s">
        <v>11875</v>
      </c>
      <c r="C2273" s="1926" t="s">
        <v>39</v>
      </c>
      <c r="D2273" s="1926" t="s">
        <v>40</v>
      </c>
      <c r="E2273" s="1662">
        <v>3123.09</v>
      </c>
    </row>
    <row r="2274" spans="1:5" x14ac:dyDescent="0.2">
      <c r="A2274" s="135">
        <v>37394</v>
      </c>
      <c r="B2274" s="1926" t="s">
        <v>11876</v>
      </c>
      <c r="C2274" s="1926" t="s">
        <v>60</v>
      </c>
      <c r="D2274" s="1926" t="s">
        <v>46</v>
      </c>
      <c r="E2274" s="1662">
        <v>29.53</v>
      </c>
    </row>
    <row r="2275" spans="1:5" x14ac:dyDescent="0.2">
      <c r="A2275" s="135">
        <v>14146</v>
      </c>
      <c r="B2275" s="1926" t="s">
        <v>11877</v>
      </c>
      <c r="C2275" s="1926" t="s">
        <v>60</v>
      </c>
      <c r="D2275" s="1926" t="s">
        <v>46</v>
      </c>
      <c r="E2275" s="1662">
        <v>47.5</v>
      </c>
    </row>
    <row r="2276" spans="1:5" x14ac:dyDescent="0.2">
      <c r="A2276" s="135">
        <v>38134</v>
      </c>
      <c r="B2276" s="1926" t="s">
        <v>11878</v>
      </c>
      <c r="C2276" s="1926" t="s">
        <v>48</v>
      </c>
      <c r="D2276" s="1926" t="s">
        <v>40</v>
      </c>
      <c r="E2276" s="1662">
        <v>53.61</v>
      </c>
    </row>
    <row r="2277" spans="1:5" x14ac:dyDescent="0.2">
      <c r="A2277" s="135">
        <v>38132</v>
      </c>
      <c r="B2277" s="1926" t="s">
        <v>11879</v>
      </c>
      <c r="C2277" s="1926" t="s">
        <v>48</v>
      </c>
      <c r="D2277" s="1926" t="s">
        <v>40</v>
      </c>
      <c r="E2277" s="1662">
        <v>54.68</v>
      </c>
    </row>
    <row r="2278" spans="1:5" x14ac:dyDescent="0.2">
      <c r="A2278" s="135">
        <v>38133</v>
      </c>
      <c r="B2278" s="1926" t="s">
        <v>11880</v>
      </c>
      <c r="C2278" s="1926" t="s">
        <v>48</v>
      </c>
      <c r="D2278" s="1926" t="s">
        <v>40</v>
      </c>
      <c r="E2278" s="1662">
        <v>52.89</v>
      </c>
    </row>
    <row r="2279" spans="1:5" x14ac:dyDescent="0.2">
      <c r="A2279" s="135">
        <v>938</v>
      </c>
      <c r="B2279" s="1926" t="s">
        <v>11881</v>
      </c>
      <c r="C2279" s="1926" t="s">
        <v>47</v>
      </c>
      <c r="D2279" s="1926" t="s">
        <v>40</v>
      </c>
      <c r="E2279" s="1662">
        <v>1.04</v>
      </c>
    </row>
    <row r="2280" spans="1:5" x14ac:dyDescent="0.2">
      <c r="A2280" s="135">
        <v>937</v>
      </c>
      <c r="B2280" s="1926" t="s">
        <v>11882</v>
      </c>
      <c r="C2280" s="1926" t="s">
        <v>47</v>
      </c>
      <c r="D2280" s="1926" t="s">
        <v>40</v>
      </c>
      <c r="E2280" s="1662">
        <v>6.45</v>
      </c>
    </row>
    <row r="2281" spans="1:5" x14ac:dyDescent="0.2">
      <c r="A2281" s="135">
        <v>939</v>
      </c>
      <c r="B2281" s="1926" t="s">
        <v>11883</v>
      </c>
      <c r="C2281" s="1926" t="s">
        <v>47</v>
      </c>
      <c r="D2281" s="1926" t="s">
        <v>40</v>
      </c>
      <c r="E2281" s="1662">
        <v>1.67</v>
      </c>
    </row>
    <row r="2282" spans="1:5" x14ac:dyDescent="0.2">
      <c r="A2282" s="135">
        <v>944</v>
      </c>
      <c r="B2282" s="1926" t="s">
        <v>11884</v>
      </c>
      <c r="C2282" s="1926" t="s">
        <v>47</v>
      </c>
      <c r="D2282" s="1926" t="s">
        <v>40</v>
      </c>
      <c r="E2282" s="1662">
        <v>2.85</v>
      </c>
    </row>
    <row r="2283" spans="1:5" x14ac:dyDescent="0.2">
      <c r="A2283" s="135">
        <v>940</v>
      </c>
      <c r="B2283" s="1926" t="s">
        <v>11885</v>
      </c>
      <c r="C2283" s="1926" t="s">
        <v>47</v>
      </c>
      <c r="D2283" s="1926" t="s">
        <v>40</v>
      </c>
      <c r="E2283" s="1662">
        <v>3.94</v>
      </c>
    </row>
    <row r="2284" spans="1:5" x14ac:dyDescent="0.2">
      <c r="A2284" s="135">
        <v>936</v>
      </c>
      <c r="B2284" s="1926" t="s">
        <v>11886</v>
      </c>
      <c r="C2284" s="1926" t="s">
        <v>47</v>
      </c>
      <c r="D2284" s="1926" t="s">
        <v>40</v>
      </c>
      <c r="E2284" s="1662">
        <v>1.28</v>
      </c>
    </row>
    <row r="2285" spans="1:5" x14ac:dyDescent="0.2">
      <c r="A2285" s="135">
        <v>935</v>
      </c>
      <c r="B2285" s="1926" t="s">
        <v>11887</v>
      </c>
      <c r="C2285" s="1926" t="s">
        <v>47</v>
      </c>
      <c r="D2285" s="1926" t="s">
        <v>40</v>
      </c>
      <c r="E2285" s="1662">
        <v>0.98</v>
      </c>
    </row>
    <row r="2286" spans="1:5" x14ac:dyDescent="0.2">
      <c r="A2286" s="135">
        <v>406</v>
      </c>
      <c r="B2286" s="1926" t="s">
        <v>11888</v>
      </c>
      <c r="C2286" s="1926" t="s">
        <v>39</v>
      </c>
      <c r="D2286" s="1926" t="s">
        <v>40</v>
      </c>
      <c r="E2286" s="1662">
        <v>58.56</v>
      </c>
    </row>
    <row r="2287" spans="1:5" x14ac:dyDescent="0.2">
      <c r="A2287" s="135">
        <v>42529</v>
      </c>
      <c r="B2287" s="1926" t="s">
        <v>11889</v>
      </c>
      <c r="C2287" s="1926" t="s">
        <v>47</v>
      </c>
      <c r="D2287" s="1926" t="s">
        <v>40</v>
      </c>
      <c r="E2287" s="1662">
        <v>0.9</v>
      </c>
    </row>
    <row r="2288" spans="1:5" x14ac:dyDescent="0.2">
      <c r="A2288" s="135">
        <v>39634</v>
      </c>
      <c r="B2288" s="1926" t="s">
        <v>11890</v>
      </c>
      <c r="C2288" s="1926" t="s">
        <v>47</v>
      </c>
      <c r="D2288" s="1926" t="s">
        <v>40</v>
      </c>
      <c r="E2288" s="1662">
        <v>6.97</v>
      </c>
    </row>
    <row r="2289" spans="1:5" x14ac:dyDescent="0.2">
      <c r="A2289" s="135">
        <v>39701</v>
      </c>
      <c r="B2289" s="1926" t="s">
        <v>11891</v>
      </c>
      <c r="C2289" s="1926" t="s">
        <v>39</v>
      </c>
      <c r="D2289" s="1926" t="s">
        <v>40</v>
      </c>
      <c r="E2289" s="1662">
        <v>72.72</v>
      </c>
    </row>
    <row r="2290" spans="1:5" x14ac:dyDescent="0.2">
      <c r="A2290" s="135">
        <v>12815</v>
      </c>
      <c r="B2290" s="1926" t="s">
        <v>11892</v>
      </c>
      <c r="C2290" s="1926" t="s">
        <v>39</v>
      </c>
      <c r="D2290" s="1926" t="s">
        <v>40</v>
      </c>
      <c r="E2290" s="1662">
        <v>6.94</v>
      </c>
    </row>
    <row r="2291" spans="1:5" x14ac:dyDescent="0.2">
      <c r="A2291" s="135">
        <v>407</v>
      </c>
      <c r="B2291" s="1926" t="s">
        <v>11893</v>
      </c>
      <c r="C2291" s="1926" t="s">
        <v>48</v>
      </c>
      <c r="D2291" s="1926" t="s">
        <v>46</v>
      </c>
      <c r="E2291" s="1662">
        <v>35.68</v>
      </c>
    </row>
    <row r="2292" spans="1:5" x14ac:dyDescent="0.2">
      <c r="A2292" s="135">
        <v>39431</v>
      </c>
      <c r="B2292" s="1926" t="s">
        <v>11894</v>
      </c>
      <c r="C2292" s="1926" t="s">
        <v>47</v>
      </c>
      <c r="D2292" s="1926" t="s">
        <v>40</v>
      </c>
      <c r="E2292" s="1662">
        <v>0.24</v>
      </c>
    </row>
    <row r="2293" spans="1:5" x14ac:dyDescent="0.2">
      <c r="A2293" s="135">
        <v>39432</v>
      </c>
      <c r="B2293" s="1926" t="s">
        <v>11895</v>
      </c>
      <c r="C2293" s="1926" t="s">
        <v>47</v>
      </c>
      <c r="D2293" s="1926" t="s">
        <v>40</v>
      </c>
      <c r="E2293" s="1662">
        <v>3.14</v>
      </c>
    </row>
    <row r="2294" spans="1:5" x14ac:dyDescent="0.2">
      <c r="A2294" s="135">
        <v>20111</v>
      </c>
      <c r="B2294" s="1926" t="s">
        <v>11896</v>
      </c>
      <c r="C2294" s="1926" t="s">
        <v>39</v>
      </c>
      <c r="D2294" s="1926" t="s">
        <v>43</v>
      </c>
      <c r="E2294" s="1662">
        <v>10.43</v>
      </c>
    </row>
    <row r="2295" spans="1:5" x14ac:dyDescent="0.2">
      <c r="A2295" s="135">
        <v>21127</v>
      </c>
      <c r="B2295" s="1926" t="s">
        <v>11897</v>
      </c>
      <c r="C2295" s="1926" t="s">
        <v>39</v>
      </c>
      <c r="D2295" s="1926" t="s">
        <v>40</v>
      </c>
      <c r="E2295" s="1662">
        <v>3.94</v>
      </c>
    </row>
    <row r="2296" spans="1:5" x14ac:dyDescent="0.2">
      <c r="A2296" s="135">
        <v>404</v>
      </c>
      <c r="B2296" s="1926" t="s">
        <v>11898</v>
      </c>
      <c r="C2296" s="1926" t="s">
        <v>47</v>
      </c>
      <c r="D2296" s="1926" t="s">
        <v>40</v>
      </c>
      <c r="E2296" s="1662">
        <v>1.42</v>
      </c>
    </row>
    <row r="2297" spans="1:5" x14ac:dyDescent="0.2">
      <c r="A2297" s="135">
        <v>14151</v>
      </c>
      <c r="B2297" s="1926" t="s">
        <v>11899</v>
      </c>
      <c r="C2297" s="1926" t="s">
        <v>39</v>
      </c>
      <c r="D2297" s="1926" t="s">
        <v>46</v>
      </c>
      <c r="E2297" s="1662">
        <v>34.14</v>
      </c>
    </row>
    <row r="2298" spans="1:5" x14ac:dyDescent="0.2">
      <c r="A2298" s="135">
        <v>14153</v>
      </c>
      <c r="B2298" s="1926" t="s">
        <v>11900</v>
      </c>
      <c r="C2298" s="1926" t="s">
        <v>39</v>
      </c>
      <c r="D2298" s="1926" t="s">
        <v>46</v>
      </c>
      <c r="E2298" s="1662">
        <v>38.590000000000003</v>
      </c>
    </row>
    <row r="2299" spans="1:5" x14ac:dyDescent="0.2">
      <c r="A2299" s="135">
        <v>14152</v>
      </c>
      <c r="B2299" s="1926" t="s">
        <v>11901</v>
      </c>
      <c r="C2299" s="1926" t="s">
        <v>39</v>
      </c>
      <c r="D2299" s="1926" t="s">
        <v>46</v>
      </c>
      <c r="E2299" s="1662">
        <v>29.62</v>
      </c>
    </row>
    <row r="2300" spans="1:5" x14ac:dyDescent="0.2">
      <c r="A2300" s="135">
        <v>14154</v>
      </c>
      <c r="B2300" s="1926" t="s">
        <v>11902</v>
      </c>
      <c r="C2300" s="1926" t="s">
        <v>39</v>
      </c>
      <c r="D2300" s="1926" t="s">
        <v>46</v>
      </c>
      <c r="E2300" s="1662">
        <v>103.69</v>
      </c>
    </row>
    <row r="2301" spans="1:5" x14ac:dyDescent="0.2">
      <c r="A2301" s="135">
        <v>42015</v>
      </c>
      <c r="B2301" s="1926" t="s">
        <v>11903</v>
      </c>
      <c r="C2301" s="1926" t="s">
        <v>47</v>
      </c>
      <c r="D2301" s="1926" t="s">
        <v>46</v>
      </c>
      <c r="E2301" s="1662">
        <v>0.08</v>
      </c>
    </row>
    <row r="2302" spans="1:5" x14ac:dyDescent="0.2">
      <c r="A2302" s="135">
        <v>3146</v>
      </c>
      <c r="B2302" s="1926" t="s">
        <v>11904</v>
      </c>
      <c r="C2302" s="1926" t="s">
        <v>39</v>
      </c>
      <c r="D2302" s="1926" t="s">
        <v>43</v>
      </c>
      <c r="E2302" s="1662">
        <v>3.58</v>
      </c>
    </row>
    <row r="2303" spans="1:5" x14ac:dyDescent="0.2">
      <c r="A2303" s="135">
        <v>3143</v>
      </c>
      <c r="B2303" s="1926" t="s">
        <v>11905</v>
      </c>
      <c r="C2303" s="1926" t="s">
        <v>39</v>
      </c>
      <c r="D2303" s="1926" t="s">
        <v>40</v>
      </c>
      <c r="E2303" s="1662">
        <v>8.14</v>
      </c>
    </row>
    <row r="2304" spans="1:5" x14ac:dyDescent="0.2">
      <c r="A2304" s="135">
        <v>3148</v>
      </c>
      <c r="B2304" s="1926" t="s">
        <v>11906</v>
      </c>
      <c r="C2304" s="1926" t="s">
        <v>39</v>
      </c>
      <c r="D2304" s="1926" t="s">
        <v>40</v>
      </c>
      <c r="E2304" s="1662">
        <v>13.2</v>
      </c>
    </row>
    <row r="2305" spans="1:5" x14ac:dyDescent="0.2">
      <c r="A2305" s="135">
        <v>4310</v>
      </c>
      <c r="B2305" s="1926" t="s">
        <v>11907</v>
      </c>
      <c r="C2305" s="1926" t="s">
        <v>39</v>
      </c>
      <c r="D2305" s="1926" t="s">
        <v>40</v>
      </c>
      <c r="E2305" s="1662">
        <v>1.8</v>
      </c>
    </row>
    <row r="2306" spans="1:5" x14ac:dyDescent="0.2">
      <c r="A2306" s="135">
        <v>4311</v>
      </c>
      <c r="B2306" s="1926" t="s">
        <v>11908</v>
      </c>
      <c r="C2306" s="1926" t="s">
        <v>39</v>
      </c>
      <c r="D2306" s="1926" t="s">
        <v>40</v>
      </c>
      <c r="E2306" s="1662">
        <v>1.26</v>
      </c>
    </row>
    <row r="2307" spans="1:5" x14ac:dyDescent="0.2">
      <c r="A2307" s="135">
        <v>4312</v>
      </c>
      <c r="B2307" s="1926" t="s">
        <v>11909</v>
      </c>
      <c r="C2307" s="1926" t="s">
        <v>39</v>
      </c>
      <c r="D2307" s="1926" t="s">
        <v>40</v>
      </c>
      <c r="E2307" s="1662">
        <v>1.77</v>
      </c>
    </row>
    <row r="2308" spans="1:5" x14ac:dyDescent="0.2">
      <c r="A2308" s="135">
        <v>11162</v>
      </c>
      <c r="B2308" s="1926" t="s">
        <v>11910</v>
      </c>
      <c r="C2308" s="1926" t="s">
        <v>39</v>
      </c>
      <c r="D2308" s="1926" t="s">
        <v>40</v>
      </c>
      <c r="E2308" s="1662">
        <v>1.59</v>
      </c>
    </row>
    <row r="2309" spans="1:5" x14ac:dyDescent="0.2">
      <c r="A2309" s="135">
        <v>13261</v>
      </c>
      <c r="B2309" s="1926" t="s">
        <v>11911</v>
      </c>
      <c r="C2309" s="1926" t="s">
        <v>39</v>
      </c>
      <c r="D2309" s="1926" t="s">
        <v>40</v>
      </c>
      <c r="E2309" s="1662">
        <v>2.2400000000000002</v>
      </c>
    </row>
    <row r="2310" spans="1:5" x14ac:dyDescent="0.2">
      <c r="A2310" s="135">
        <v>3255</v>
      </c>
      <c r="B2310" s="1926" t="s">
        <v>11912</v>
      </c>
      <c r="C2310" s="1926" t="s">
        <v>39</v>
      </c>
      <c r="D2310" s="1926" t="s">
        <v>40</v>
      </c>
      <c r="E2310" s="1662">
        <v>5.71</v>
      </c>
    </row>
    <row r="2311" spans="1:5" x14ac:dyDescent="0.2">
      <c r="A2311" s="135">
        <v>3254</v>
      </c>
      <c r="B2311" s="1926" t="s">
        <v>11913</v>
      </c>
      <c r="C2311" s="1926" t="s">
        <v>39</v>
      </c>
      <c r="D2311" s="1926" t="s">
        <v>40</v>
      </c>
      <c r="E2311" s="1662">
        <v>92.77</v>
      </c>
    </row>
    <row r="2312" spans="1:5" x14ac:dyDescent="0.2">
      <c r="A2312" s="135">
        <v>3259</v>
      </c>
      <c r="B2312" s="1926" t="s">
        <v>11914</v>
      </c>
      <c r="C2312" s="1926" t="s">
        <v>39</v>
      </c>
      <c r="D2312" s="1926" t="s">
        <v>40</v>
      </c>
      <c r="E2312" s="1662">
        <v>11.15</v>
      </c>
    </row>
    <row r="2313" spans="1:5" x14ac:dyDescent="0.2">
      <c r="A2313" s="135">
        <v>3258</v>
      </c>
      <c r="B2313" s="1926" t="s">
        <v>11915</v>
      </c>
      <c r="C2313" s="1926" t="s">
        <v>39</v>
      </c>
      <c r="D2313" s="1926" t="s">
        <v>40</v>
      </c>
      <c r="E2313" s="1662">
        <v>6.73</v>
      </c>
    </row>
    <row r="2314" spans="1:5" x14ac:dyDescent="0.2">
      <c r="A2314" s="135">
        <v>3251</v>
      </c>
      <c r="B2314" s="1926" t="s">
        <v>11916</v>
      </c>
      <c r="C2314" s="1926" t="s">
        <v>39</v>
      </c>
      <c r="D2314" s="1926" t="s">
        <v>40</v>
      </c>
      <c r="E2314" s="1662">
        <v>3.97</v>
      </c>
    </row>
    <row r="2315" spans="1:5" x14ac:dyDescent="0.2">
      <c r="A2315" s="135">
        <v>3256</v>
      </c>
      <c r="B2315" s="1926" t="s">
        <v>11917</v>
      </c>
      <c r="C2315" s="1926" t="s">
        <v>39</v>
      </c>
      <c r="D2315" s="1926" t="s">
        <v>40</v>
      </c>
      <c r="E2315" s="1662">
        <v>7.52</v>
      </c>
    </row>
    <row r="2316" spans="1:5" x14ac:dyDescent="0.2">
      <c r="A2316" s="135">
        <v>3261</v>
      </c>
      <c r="B2316" s="1926" t="s">
        <v>11918</v>
      </c>
      <c r="C2316" s="1926" t="s">
        <v>39</v>
      </c>
      <c r="D2316" s="1926" t="s">
        <v>40</v>
      </c>
      <c r="E2316" s="1662">
        <v>82.04</v>
      </c>
    </row>
    <row r="2317" spans="1:5" x14ac:dyDescent="0.2">
      <c r="A2317" s="135">
        <v>3260</v>
      </c>
      <c r="B2317" s="1926" t="s">
        <v>11919</v>
      </c>
      <c r="C2317" s="1926" t="s">
        <v>39</v>
      </c>
      <c r="D2317" s="1926" t="s">
        <v>40</v>
      </c>
      <c r="E2317" s="1662">
        <v>14.09</v>
      </c>
    </row>
    <row r="2318" spans="1:5" x14ac:dyDescent="0.2">
      <c r="A2318" s="135">
        <v>3272</v>
      </c>
      <c r="B2318" s="1926" t="s">
        <v>11920</v>
      </c>
      <c r="C2318" s="1926" t="s">
        <v>39</v>
      </c>
      <c r="D2318" s="1926" t="s">
        <v>40</v>
      </c>
      <c r="E2318" s="1662">
        <v>29.38</v>
      </c>
    </row>
    <row r="2319" spans="1:5" x14ac:dyDescent="0.2">
      <c r="A2319" s="135">
        <v>3265</v>
      </c>
      <c r="B2319" s="1926" t="s">
        <v>11921</v>
      </c>
      <c r="C2319" s="1926" t="s">
        <v>39</v>
      </c>
      <c r="D2319" s="1926" t="s">
        <v>40</v>
      </c>
      <c r="E2319" s="1662">
        <v>23.34</v>
      </c>
    </row>
    <row r="2320" spans="1:5" x14ac:dyDescent="0.2">
      <c r="A2320" s="135">
        <v>3262</v>
      </c>
      <c r="B2320" s="1926" t="s">
        <v>11922</v>
      </c>
      <c r="C2320" s="1926" t="s">
        <v>39</v>
      </c>
      <c r="D2320" s="1926" t="s">
        <v>40</v>
      </c>
      <c r="E2320" s="1662">
        <v>10.220000000000001</v>
      </c>
    </row>
    <row r="2321" spans="1:5" x14ac:dyDescent="0.2">
      <c r="A2321" s="135">
        <v>3264</v>
      </c>
      <c r="B2321" s="1926" t="s">
        <v>11923</v>
      </c>
      <c r="C2321" s="1926" t="s">
        <v>39</v>
      </c>
      <c r="D2321" s="1926" t="s">
        <v>40</v>
      </c>
      <c r="E2321" s="1662">
        <v>16.78</v>
      </c>
    </row>
    <row r="2322" spans="1:5" x14ac:dyDescent="0.2">
      <c r="A2322" s="135">
        <v>3267</v>
      </c>
      <c r="B2322" s="1926" t="s">
        <v>11924</v>
      </c>
      <c r="C2322" s="1926" t="s">
        <v>39</v>
      </c>
      <c r="D2322" s="1926" t="s">
        <v>40</v>
      </c>
      <c r="E2322" s="1662">
        <v>54.82</v>
      </c>
    </row>
    <row r="2323" spans="1:5" x14ac:dyDescent="0.2">
      <c r="A2323" s="135">
        <v>3266</v>
      </c>
      <c r="B2323" s="1926" t="s">
        <v>11925</v>
      </c>
      <c r="C2323" s="1926" t="s">
        <v>39</v>
      </c>
      <c r="D2323" s="1926" t="s">
        <v>40</v>
      </c>
      <c r="E2323" s="1662">
        <v>34.880000000000003</v>
      </c>
    </row>
    <row r="2324" spans="1:5" x14ac:dyDescent="0.2">
      <c r="A2324" s="135">
        <v>3263</v>
      </c>
      <c r="B2324" s="1926" t="s">
        <v>11926</v>
      </c>
      <c r="C2324" s="1926" t="s">
        <v>39</v>
      </c>
      <c r="D2324" s="1926" t="s">
        <v>40</v>
      </c>
      <c r="E2324" s="1662">
        <v>13.96</v>
      </c>
    </row>
    <row r="2325" spans="1:5" x14ac:dyDescent="0.2">
      <c r="A2325" s="135">
        <v>3268</v>
      </c>
      <c r="B2325" s="1926" t="s">
        <v>11927</v>
      </c>
      <c r="C2325" s="1926" t="s">
        <v>39</v>
      </c>
      <c r="D2325" s="1926" t="s">
        <v>40</v>
      </c>
      <c r="E2325" s="1662">
        <v>74.12</v>
      </c>
    </row>
    <row r="2326" spans="1:5" x14ac:dyDescent="0.2">
      <c r="A2326" s="135">
        <v>3271</v>
      </c>
      <c r="B2326" s="1926" t="s">
        <v>11928</v>
      </c>
      <c r="C2326" s="1926" t="s">
        <v>39</v>
      </c>
      <c r="D2326" s="1926" t="s">
        <v>40</v>
      </c>
      <c r="E2326" s="1662">
        <v>109.57</v>
      </c>
    </row>
    <row r="2327" spans="1:5" x14ac:dyDescent="0.2">
      <c r="A2327" s="135">
        <v>3270</v>
      </c>
      <c r="B2327" s="1926" t="s">
        <v>11929</v>
      </c>
      <c r="C2327" s="1926" t="s">
        <v>39</v>
      </c>
      <c r="D2327" s="1926" t="s">
        <v>40</v>
      </c>
      <c r="E2327" s="1662">
        <v>184.1</v>
      </c>
    </row>
    <row r="2328" spans="1:5" x14ac:dyDescent="0.2">
      <c r="A2328" s="135">
        <v>3275</v>
      </c>
      <c r="B2328" s="1926" t="s">
        <v>11930</v>
      </c>
      <c r="C2328" s="1926" t="s">
        <v>45</v>
      </c>
      <c r="D2328" s="1926" t="s">
        <v>40</v>
      </c>
      <c r="E2328" s="1662">
        <v>58.63</v>
      </c>
    </row>
    <row r="2329" spans="1:5" x14ac:dyDescent="0.2">
      <c r="A2329" s="135">
        <v>39512</v>
      </c>
      <c r="B2329" s="1926" t="s">
        <v>11931</v>
      </c>
      <c r="C2329" s="1926" t="s">
        <v>45</v>
      </c>
      <c r="D2329" s="1926" t="s">
        <v>46</v>
      </c>
      <c r="E2329" s="1662">
        <v>73.959999999999994</v>
      </c>
    </row>
    <row r="2330" spans="1:5" x14ac:dyDescent="0.2">
      <c r="A2330" s="135">
        <v>39511</v>
      </c>
      <c r="B2330" s="1926" t="s">
        <v>11932</v>
      </c>
      <c r="C2330" s="1926" t="s">
        <v>45</v>
      </c>
      <c r="D2330" s="1926" t="s">
        <v>46</v>
      </c>
      <c r="E2330" s="1662">
        <v>80.67</v>
      </c>
    </row>
    <row r="2331" spans="1:5" x14ac:dyDescent="0.2">
      <c r="A2331" s="135">
        <v>39513</v>
      </c>
      <c r="B2331" s="1926" t="s">
        <v>11933</v>
      </c>
      <c r="C2331" s="1926" t="s">
        <v>45</v>
      </c>
      <c r="D2331" s="1926" t="s">
        <v>46</v>
      </c>
      <c r="E2331" s="1662">
        <v>86.52</v>
      </c>
    </row>
    <row r="2332" spans="1:5" x14ac:dyDescent="0.2">
      <c r="A2332" s="135">
        <v>3286</v>
      </c>
      <c r="B2332" s="1926" t="s">
        <v>11934</v>
      </c>
      <c r="C2332" s="1926" t="s">
        <v>45</v>
      </c>
      <c r="D2332" s="1926" t="s">
        <v>40</v>
      </c>
      <c r="E2332" s="1662">
        <v>52.94</v>
      </c>
    </row>
    <row r="2333" spans="1:5" x14ac:dyDescent="0.2">
      <c r="A2333" s="135">
        <v>3287</v>
      </c>
      <c r="B2333" s="1926" t="s">
        <v>11935</v>
      </c>
      <c r="C2333" s="1926" t="s">
        <v>45</v>
      </c>
      <c r="D2333" s="1926" t="s">
        <v>40</v>
      </c>
      <c r="E2333" s="1662">
        <v>80</v>
      </c>
    </row>
    <row r="2334" spans="1:5" x14ac:dyDescent="0.2">
      <c r="A2334" s="135">
        <v>3283</v>
      </c>
      <c r="B2334" s="1926" t="s">
        <v>11936</v>
      </c>
      <c r="C2334" s="1926" t="s">
        <v>45</v>
      </c>
      <c r="D2334" s="1926" t="s">
        <v>40</v>
      </c>
      <c r="E2334" s="1662">
        <v>16.8</v>
      </c>
    </row>
    <row r="2335" spans="1:5" x14ac:dyDescent="0.2">
      <c r="A2335" s="135">
        <v>11587</v>
      </c>
      <c r="B2335" s="1926" t="s">
        <v>11937</v>
      </c>
      <c r="C2335" s="1926" t="s">
        <v>45</v>
      </c>
      <c r="D2335" s="1926" t="s">
        <v>40</v>
      </c>
      <c r="E2335" s="1662">
        <v>40.200000000000003</v>
      </c>
    </row>
    <row r="2336" spans="1:5" x14ac:dyDescent="0.2">
      <c r="A2336" s="135">
        <v>36225</v>
      </c>
      <c r="B2336" s="1926" t="s">
        <v>11938</v>
      </c>
      <c r="C2336" s="1926" t="s">
        <v>45</v>
      </c>
      <c r="D2336" s="1926" t="s">
        <v>40</v>
      </c>
      <c r="E2336" s="1662">
        <v>16.329999999999998</v>
      </c>
    </row>
    <row r="2337" spans="1:5" x14ac:dyDescent="0.2">
      <c r="A2337" s="135">
        <v>36230</v>
      </c>
      <c r="B2337" s="1926" t="s">
        <v>11939</v>
      </c>
      <c r="C2337" s="1926" t="s">
        <v>45</v>
      </c>
      <c r="D2337" s="1926" t="s">
        <v>43</v>
      </c>
      <c r="E2337" s="1662">
        <v>12</v>
      </c>
    </row>
    <row r="2338" spans="1:5" x14ac:dyDescent="0.2">
      <c r="A2338" s="135">
        <v>36238</v>
      </c>
      <c r="B2338" s="1926" t="s">
        <v>11940</v>
      </c>
      <c r="C2338" s="1926" t="s">
        <v>45</v>
      </c>
      <c r="D2338" s="1926" t="s">
        <v>40</v>
      </c>
      <c r="E2338" s="1662">
        <v>11.72</v>
      </c>
    </row>
    <row r="2339" spans="1:5" x14ac:dyDescent="0.2">
      <c r="A2339" s="135">
        <v>11887</v>
      </c>
      <c r="B2339" s="1926" t="s">
        <v>11941</v>
      </c>
      <c r="C2339" s="1926" t="s">
        <v>39</v>
      </c>
      <c r="D2339" s="1926" t="s">
        <v>40</v>
      </c>
      <c r="E2339" s="1662">
        <v>3589.16</v>
      </c>
    </row>
    <row r="2340" spans="1:5" x14ac:dyDescent="0.2">
      <c r="A2340" s="135">
        <v>11883</v>
      </c>
      <c r="B2340" s="1926" t="s">
        <v>11942</v>
      </c>
      <c r="C2340" s="1926" t="s">
        <v>39</v>
      </c>
      <c r="D2340" s="1926" t="s">
        <v>40</v>
      </c>
      <c r="E2340" s="1662">
        <v>5276.7</v>
      </c>
    </row>
    <row r="2341" spans="1:5" x14ac:dyDescent="0.2">
      <c r="A2341" s="135">
        <v>11884</v>
      </c>
      <c r="B2341" s="1926" t="s">
        <v>11943</v>
      </c>
      <c r="C2341" s="1926" t="s">
        <v>39</v>
      </c>
      <c r="D2341" s="1926" t="s">
        <v>40</v>
      </c>
      <c r="E2341" s="1662">
        <v>5661.44</v>
      </c>
    </row>
    <row r="2342" spans="1:5" x14ac:dyDescent="0.2">
      <c r="A2342" s="135">
        <v>11885</v>
      </c>
      <c r="B2342" s="1926" t="s">
        <v>11944</v>
      </c>
      <c r="C2342" s="1926" t="s">
        <v>39</v>
      </c>
      <c r="D2342" s="1926" t="s">
        <v>40</v>
      </c>
      <c r="E2342" s="1662">
        <v>6314.42</v>
      </c>
    </row>
    <row r="2343" spans="1:5" x14ac:dyDescent="0.2">
      <c r="A2343" s="135">
        <v>11886</v>
      </c>
      <c r="B2343" s="1926" t="s">
        <v>11945</v>
      </c>
      <c r="C2343" s="1926" t="s">
        <v>39</v>
      </c>
      <c r="D2343" s="1926" t="s">
        <v>40</v>
      </c>
      <c r="E2343" s="1662">
        <v>2035.12</v>
      </c>
    </row>
    <row r="2344" spans="1:5" x14ac:dyDescent="0.2">
      <c r="A2344" s="135">
        <v>11888</v>
      </c>
      <c r="B2344" s="1926" t="s">
        <v>11946</v>
      </c>
      <c r="C2344" s="1926" t="s">
        <v>39</v>
      </c>
      <c r="D2344" s="1926" t="s">
        <v>40</v>
      </c>
      <c r="E2344" s="1662">
        <v>4779.26</v>
      </c>
    </row>
    <row r="2345" spans="1:5" x14ac:dyDescent="0.2">
      <c r="A2345" s="135">
        <v>3277</v>
      </c>
      <c r="B2345" s="1926" t="s">
        <v>11947</v>
      </c>
      <c r="C2345" s="1926" t="s">
        <v>39</v>
      </c>
      <c r="D2345" s="1926" t="s">
        <v>40</v>
      </c>
      <c r="E2345" s="1662">
        <v>805.98</v>
      </c>
    </row>
    <row r="2346" spans="1:5" x14ac:dyDescent="0.2">
      <c r="A2346" s="135">
        <v>3281</v>
      </c>
      <c r="B2346" s="1926" t="s">
        <v>11948</v>
      </c>
      <c r="C2346" s="1926" t="s">
        <v>39</v>
      </c>
      <c r="D2346" s="1926" t="s">
        <v>40</v>
      </c>
      <c r="E2346" s="1662">
        <v>667.45</v>
      </c>
    </row>
    <row r="2347" spans="1:5" x14ac:dyDescent="0.2">
      <c r="A2347" s="135">
        <v>39363</v>
      </c>
      <c r="B2347" s="1926" t="s">
        <v>11949</v>
      </c>
      <c r="C2347" s="1926" t="s">
        <v>39</v>
      </c>
      <c r="D2347" s="1926" t="s">
        <v>40</v>
      </c>
      <c r="E2347" s="1662">
        <v>3635.13</v>
      </c>
    </row>
    <row r="2348" spans="1:5" x14ac:dyDescent="0.2">
      <c r="A2348" s="135">
        <v>39361</v>
      </c>
      <c r="B2348" s="1926" t="s">
        <v>11950</v>
      </c>
      <c r="C2348" s="1926" t="s">
        <v>39</v>
      </c>
      <c r="D2348" s="1926" t="s">
        <v>40</v>
      </c>
      <c r="E2348" s="1662">
        <v>934.74</v>
      </c>
    </row>
    <row r="2349" spans="1:5" x14ac:dyDescent="0.2">
      <c r="A2349" s="135">
        <v>39362</v>
      </c>
      <c r="B2349" s="1926" t="s">
        <v>11951</v>
      </c>
      <c r="C2349" s="1926" t="s">
        <v>39</v>
      </c>
      <c r="D2349" s="1926" t="s">
        <v>40</v>
      </c>
      <c r="E2349" s="1662">
        <v>2876.46</v>
      </c>
    </row>
    <row r="2350" spans="1:5" x14ac:dyDescent="0.2">
      <c r="A2350" s="135">
        <v>39364</v>
      </c>
      <c r="B2350" s="1926" t="s">
        <v>11952</v>
      </c>
      <c r="C2350" s="1926" t="s">
        <v>39</v>
      </c>
      <c r="D2350" s="1926" t="s">
        <v>40</v>
      </c>
      <c r="E2350" s="1662">
        <v>8308.8700000000008</v>
      </c>
    </row>
    <row r="2351" spans="1:5" x14ac:dyDescent="0.2">
      <c r="A2351" s="135">
        <v>14576</v>
      </c>
      <c r="B2351" s="1926" t="s">
        <v>11953</v>
      </c>
      <c r="C2351" s="1926" t="s">
        <v>39</v>
      </c>
      <c r="D2351" s="1926" t="s">
        <v>46</v>
      </c>
      <c r="E2351" s="1662">
        <v>4308859.01</v>
      </c>
    </row>
    <row r="2352" spans="1:5" x14ac:dyDescent="0.2">
      <c r="A2352" s="135">
        <v>13877</v>
      </c>
      <c r="B2352" s="1926" t="s">
        <v>11954</v>
      </c>
      <c r="C2352" s="1926" t="s">
        <v>39</v>
      </c>
      <c r="D2352" s="1926" t="s">
        <v>46</v>
      </c>
      <c r="E2352" s="1662">
        <v>1844558.27</v>
      </c>
    </row>
    <row r="2353" spans="1:5" x14ac:dyDescent="0.2">
      <c r="A2353" s="135">
        <v>7307</v>
      </c>
      <c r="B2353" s="1926" t="s">
        <v>11955</v>
      </c>
      <c r="C2353" s="1926" t="s">
        <v>49</v>
      </c>
      <c r="D2353" s="1926" t="s">
        <v>40</v>
      </c>
      <c r="E2353" s="1662">
        <v>25.94</v>
      </c>
    </row>
    <row r="2354" spans="1:5" x14ac:dyDescent="0.2">
      <c r="A2354" s="135">
        <v>38122</v>
      </c>
      <c r="B2354" s="1926" t="s">
        <v>11956</v>
      </c>
      <c r="C2354" s="1926" t="s">
        <v>49</v>
      </c>
      <c r="D2354" s="1926" t="s">
        <v>40</v>
      </c>
      <c r="E2354" s="1662">
        <v>13.01</v>
      </c>
    </row>
    <row r="2355" spans="1:5" x14ac:dyDescent="0.2">
      <c r="A2355" s="135">
        <v>38633</v>
      </c>
      <c r="B2355" s="1926" t="s">
        <v>11957</v>
      </c>
      <c r="C2355" s="1926" t="s">
        <v>39</v>
      </c>
      <c r="D2355" s="1926" t="s">
        <v>40</v>
      </c>
      <c r="E2355" s="1662">
        <v>11.19</v>
      </c>
    </row>
    <row r="2356" spans="1:5" x14ac:dyDescent="0.2">
      <c r="A2356" s="135">
        <v>12344</v>
      </c>
      <c r="B2356" s="1926" t="s">
        <v>11958</v>
      </c>
      <c r="C2356" s="1926" t="s">
        <v>39</v>
      </c>
      <c r="D2356" s="1926" t="s">
        <v>40</v>
      </c>
      <c r="E2356" s="1662">
        <v>2.54</v>
      </c>
    </row>
    <row r="2357" spans="1:5" x14ac:dyDescent="0.2">
      <c r="A2357" s="135">
        <v>12343</v>
      </c>
      <c r="B2357" s="1926" t="s">
        <v>11959</v>
      </c>
      <c r="C2357" s="1926" t="s">
        <v>39</v>
      </c>
      <c r="D2357" s="1926" t="s">
        <v>40</v>
      </c>
      <c r="E2357" s="1662">
        <v>3.95</v>
      </c>
    </row>
    <row r="2358" spans="1:5" x14ac:dyDescent="0.2">
      <c r="A2358" s="135">
        <v>3295</v>
      </c>
      <c r="B2358" s="1926" t="s">
        <v>11960</v>
      </c>
      <c r="C2358" s="1926" t="s">
        <v>39</v>
      </c>
      <c r="D2358" s="1926" t="s">
        <v>40</v>
      </c>
      <c r="E2358" s="1662">
        <v>13.79</v>
      </c>
    </row>
    <row r="2359" spans="1:5" x14ac:dyDescent="0.2">
      <c r="A2359" s="135">
        <v>3302</v>
      </c>
      <c r="B2359" s="1926" t="s">
        <v>11961</v>
      </c>
      <c r="C2359" s="1926" t="s">
        <v>39</v>
      </c>
      <c r="D2359" s="1926" t="s">
        <v>40</v>
      </c>
      <c r="E2359" s="1662">
        <v>14.42</v>
      </c>
    </row>
    <row r="2360" spans="1:5" x14ac:dyDescent="0.2">
      <c r="A2360" s="135">
        <v>3297</v>
      </c>
      <c r="B2360" s="1926" t="s">
        <v>11962</v>
      </c>
      <c r="C2360" s="1926" t="s">
        <v>39</v>
      </c>
      <c r="D2360" s="1926" t="s">
        <v>40</v>
      </c>
      <c r="E2360" s="1662">
        <v>15.39</v>
      </c>
    </row>
    <row r="2361" spans="1:5" x14ac:dyDescent="0.2">
      <c r="A2361" s="135">
        <v>3294</v>
      </c>
      <c r="B2361" s="1926" t="s">
        <v>11963</v>
      </c>
      <c r="C2361" s="1926" t="s">
        <v>39</v>
      </c>
      <c r="D2361" s="1926" t="s">
        <v>40</v>
      </c>
      <c r="E2361" s="1662">
        <v>15.62</v>
      </c>
    </row>
    <row r="2362" spans="1:5" x14ac:dyDescent="0.2">
      <c r="A2362" s="135">
        <v>3292</v>
      </c>
      <c r="B2362" s="1926" t="s">
        <v>11964</v>
      </c>
      <c r="C2362" s="1926" t="s">
        <v>39</v>
      </c>
      <c r="D2362" s="1926" t="s">
        <v>43</v>
      </c>
      <c r="E2362" s="1662">
        <v>14.68</v>
      </c>
    </row>
    <row r="2363" spans="1:5" x14ac:dyDescent="0.2">
      <c r="A2363" s="135">
        <v>3298</v>
      </c>
      <c r="B2363" s="1926" t="s">
        <v>11965</v>
      </c>
      <c r="C2363" s="1926" t="s">
        <v>39</v>
      </c>
      <c r="D2363" s="1926" t="s">
        <v>40</v>
      </c>
      <c r="E2363" s="1662">
        <v>34.4</v>
      </c>
    </row>
    <row r="2364" spans="1:5" x14ac:dyDescent="0.2">
      <c r="A2364" s="135">
        <v>11596</v>
      </c>
      <c r="B2364" s="1926" t="s">
        <v>11966</v>
      </c>
      <c r="C2364" s="1926" t="s">
        <v>39</v>
      </c>
      <c r="D2364" s="1926" t="s">
        <v>46</v>
      </c>
      <c r="E2364" s="1662">
        <v>427.37</v>
      </c>
    </row>
    <row r="2365" spans="1:5" x14ac:dyDescent="0.2">
      <c r="A2365" s="135">
        <v>34802</v>
      </c>
      <c r="B2365" s="1926" t="s">
        <v>11967</v>
      </c>
      <c r="C2365" s="1926" t="s">
        <v>39</v>
      </c>
      <c r="D2365" s="1926" t="s">
        <v>46</v>
      </c>
      <c r="E2365" s="1662">
        <v>1173.69</v>
      </c>
    </row>
    <row r="2366" spans="1:5" x14ac:dyDescent="0.2">
      <c r="A2366" s="135">
        <v>11588</v>
      </c>
      <c r="B2366" s="1926" t="s">
        <v>11968</v>
      </c>
      <c r="C2366" s="1926" t="s">
        <v>39</v>
      </c>
      <c r="D2366" s="1926" t="s">
        <v>46</v>
      </c>
      <c r="E2366" s="1662">
        <v>1266.23</v>
      </c>
    </row>
    <row r="2367" spans="1:5" x14ac:dyDescent="0.2">
      <c r="A2367" s="135">
        <v>34383</v>
      </c>
      <c r="B2367" s="1926" t="s">
        <v>11969</v>
      </c>
      <c r="C2367" s="1926" t="s">
        <v>39</v>
      </c>
      <c r="D2367" s="1926" t="s">
        <v>46</v>
      </c>
      <c r="E2367" s="1662">
        <v>1392.94</v>
      </c>
    </row>
    <row r="2368" spans="1:5" x14ac:dyDescent="0.2">
      <c r="A2368" s="135">
        <v>40451</v>
      </c>
      <c r="B2368" s="1926" t="s">
        <v>11970</v>
      </c>
      <c r="C2368" s="1926" t="s">
        <v>45</v>
      </c>
      <c r="D2368" s="1926" t="s">
        <v>46</v>
      </c>
      <c r="E2368" s="1662">
        <v>112.6</v>
      </c>
    </row>
    <row r="2369" spans="1:5" x14ac:dyDescent="0.2">
      <c r="A2369" s="135">
        <v>40453</v>
      </c>
      <c r="B2369" s="1926" t="s">
        <v>11971</v>
      </c>
      <c r="C2369" s="1926" t="s">
        <v>45</v>
      </c>
      <c r="D2369" s="1926" t="s">
        <v>46</v>
      </c>
      <c r="E2369" s="1662">
        <v>121.83</v>
      </c>
    </row>
    <row r="2370" spans="1:5" x14ac:dyDescent="0.2">
      <c r="A2370" s="135">
        <v>40452</v>
      </c>
      <c r="B2370" s="1926" t="s">
        <v>11972</v>
      </c>
      <c r="C2370" s="1926" t="s">
        <v>45</v>
      </c>
      <c r="D2370" s="1926" t="s">
        <v>46</v>
      </c>
      <c r="E2370" s="1662">
        <v>133.63</v>
      </c>
    </row>
    <row r="2371" spans="1:5" x14ac:dyDescent="0.2">
      <c r="A2371" s="135">
        <v>11594</v>
      </c>
      <c r="B2371" s="1926" t="s">
        <v>11973</v>
      </c>
      <c r="C2371" s="1926" t="s">
        <v>39</v>
      </c>
      <c r="D2371" s="1926" t="s">
        <v>46</v>
      </c>
      <c r="E2371" s="1662">
        <v>403.58</v>
      </c>
    </row>
    <row r="2372" spans="1:5" x14ac:dyDescent="0.2">
      <c r="A2372" s="135">
        <v>3311</v>
      </c>
      <c r="B2372" s="1926" t="s">
        <v>11974</v>
      </c>
      <c r="C2372" s="1926" t="s">
        <v>44</v>
      </c>
      <c r="D2372" s="1926" t="s">
        <v>46</v>
      </c>
      <c r="E2372" s="1662">
        <v>403.58</v>
      </c>
    </row>
    <row r="2373" spans="1:5" x14ac:dyDescent="0.2">
      <c r="A2373" s="135">
        <v>11599</v>
      </c>
      <c r="B2373" s="1926" t="s">
        <v>11975</v>
      </c>
      <c r="C2373" s="1926" t="s">
        <v>39</v>
      </c>
      <c r="D2373" s="1926" t="s">
        <v>46</v>
      </c>
      <c r="E2373" s="1662">
        <v>536.72</v>
      </c>
    </row>
    <row r="2374" spans="1:5" x14ac:dyDescent="0.2">
      <c r="A2374" s="135">
        <v>11593</v>
      </c>
      <c r="B2374" s="1926" t="s">
        <v>11976</v>
      </c>
      <c r="C2374" s="1926" t="s">
        <v>39</v>
      </c>
      <c r="D2374" s="1926" t="s">
        <v>46</v>
      </c>
      <c r="E2374" s="1662">
        <v>752.44</v>
      </c>
    </row>
    <row r="2375" spans="1:5" x14ac:dyDescent="0.2">
      <c r="A2375" s="135">
        <v>3314</v>
      </c>
      <c r="B2375" s="1926" t="s">
        <v>11977</v>
      </c>
      <c r="C2375" s="1926" t="s">
        <v>44</v>
      </c>
      <c r="D2375" s="1926" t="s">
        <v>46</v>
      </c>
      <c r="E2375" s="1662">
        <v>538.15</v>
      </c>
    </row>
    <row r="2376" spans="1:5" x14ac:dyDescent="0.2">
      <c r="A2376" s="135">
        <v>11597</v>
      </c>
      <c r="B2376" s="1926" t="s">
        <v>11978</v>
      </c>
      <c r="C2376" s="1926" t="s">
        <v>39</v>
      </c>
      <c r="D2376" s="1926" t="s">
        <v>46</v>
      </c>
      <c r="E2376" s="1662">
        <v>625.79999999999995</v>
      </c>
    </row>
    <row r="2377" spans="1:5" x14ac:dyDescent="0.2">
      <c r="A2377" s="135">
        <v>3309</v>
      </c>
      <c r="B2377" s="1926" t="s">
        <v>11979</v>
      </c>
      <c r="C2377" s="1926" t="s">
        <v>44</v>
      </c>
      <c r="D2377" s="1926" t="s">
        <v>46</v>
      </c>
      <c r="E2377" s="1662">
        <v>427.37</v>
      </c>
    </row>
    <row r="2378" spans="1:5" x14ac:dyDescent="0.2">
      <c r="A2378" s="135">
        <v>34612</v>
      </c>
      <c r="B2378" s="1926" t="s">
        <v>11980</v>
      </c>
      <c r="C2378" s="1926" t="s">
        <v>39</v>
      </c>
      <c r="D2378" s="1926" t="s">
        <v>46</v>
      </c>
      <c r="E2378" s="1662">
        <v>774.01</v>
      </c>
    </row>
    <row r="2379" spans="1:5" x14ac:dyDescent="0.2">
      <c r="A2379" s="135">
        <v>34635</v>
      </c>
      <c r="B2379" s="1926" t="s">
        <v>11981</v>
      </c>
      <c r="C2379" s="1926" t="s">
        <v>39</v>
      </c>
      <c r="D2379" s="1926" t="s">
        <v>46</v>
      </c>
      <c r="E2379" s="1662">
        <v>995.34</v>
      </c>
    </row>
    <row r="2380" spans="1:5" x14ac:dyDescent="0.2">
      <c r="A2380" s="135">
        <v>34633</v>
      </c>
      <c r="B2380" s="1926" t="s">
        <v>11982</v>
      </c>
      <c r="C2380" s="1926" t="s">
        <v>39</v>
      </c>
      <c r="D2380" s="1926" t="s">
        <v>46</v>
      </c>
      <c r="E2380" s="1662">
        <v>1097.1300000000001</v>
      </c>
    </row>
    <row r="2381" spans="1:5" x14ac:dyDescent="0.2">
      <c r="A2381" s="135">
        <v>40440</v>
      </c>
      <c r="B2381" s="1926" t="s">
        <v>11983</v>
      </c>
      <c r="C2381" s="1926" t="s">
        <v>44</v>
      </c>
      <c r="D2381" s="1926" t="s">
        <v>46</v>
      </c>
      <c r="E2381" s="1662">
        <v>560.54</v>
      </c>
    </row>
    <row r="2382" spans="1:5" x14ac:dyDescent="0.2">
      <c r="A2382" s="135">
        <v>40441</v>
      </c>
      <c r="B2382" s="1926" t="s">
        <v>11984</v>
      </c>
      <c r="C2382" s="1926" t="s">
        <v>44</v>
      </c>
      <c r="D2382" s="1926" t="s">
        <v>46</v>
      </c>
      <c r="E2382" s="1662">
        <v>357.87</v>
      </c>
    </row>
    <row r="2383" spans="1:5" x14ac:dyDescent="0.2">
      <c r="A2383" s="135">
        <v>40449</v>
      </c>
      <c r="B2383" s="1926" t="s">
        <v>11985</v>
      </c>
      <c r="C2383" s="1926" t="s">
        <v>44</v>
      </c>
      <c r="D2383" s="1926" t="s">
        <v>46</v>
      </c>
      <c r="E2383" s="1662">
        <v>300.85000000000002</v>
      </c>
    </row>
    <row r="2384" spans="1:5" x14ac:dyDescent="0.2">
      <c r="A2384" s="135">
        <v>34800</v>
      </c>
      <c r="B2384" s="1926" t="s">
        <v>11986</v>
      </c>
      <c r="C2384" s="1926" t="s">
        <v>44</v>
      </c>
      <c r="D2384" s="1926" t="s">
        <v>46</v>
      </c>
      <c r="E2384" s="1662">
        <v>376.22</v>
      </c>
    </row>
    <row r="2385" spans="1:5" x14ac:dyDescent="0.2">
      <c r="A2385" s="135">
        <v>11592</v>
      </c>
      <c r="B2385" s="1926" t="s">
        <v>11987</v>
      </c>
      <c r="C2385" s="1926" t="s">
        <v>39</v>
      </c>
      <c r="D2385" s="1926" t="s">
        <v>46</v>
      </c>
      <c r="E2385" s="1662">
        <v>538.15</v>
      </c>
    </row>
    <row r="2386" spans="1:5" x14ac:dyDescent="0.2">
      <c r="A2386" s="135">
        <v>40438</v>
      </c>
      <c r="B2386" s="1926" t="s">
        <v>11988</v>
      </c>
      <c r="C2386" s="1926" t="s">
        <v>44</v>
      </c>
      <c r="D2386" s="1926" t="s">
        <v>46</v>
      </c>
      <c r="E2386" s="1662">
        <v>250.64</v>
      </c>
    </row>
    <row r="2387" spans="1:5" x14ac:dyDescent="0.2">
      <c r="A2387" s="135">
        <v>40436</v>
      </c>
      <c r="B2387" s="1926" t="s">
        <v>11989</v>
      </c>
      <c r="C2387" s="1926" t="s">
        <v>44</v>
      </c>
      <c r="D2387" s="1926" t="s">
        <v>46</v>
      </c>
      <c r="E2387" s="1662">
        <v>312.52999999999997</v>
      </c>
    </row>
    <row r="2388" spans="1:5" x14ac:dyDescent="0.2">
      <c r="A2388" s="135">
        <v>4315</v>
      </c>
      <c r="B2388" s="1926" t="s">
        <v>11990</v>
      </c>
      <c r="C2388" s="1926" t="s">
        <v>39</v>
      </c>
      <c r="D2388" s="1926" t="s">
        <v>40</v>
      </c>
      <c r="E2388" s="1662">
        <v>1.3</v>
      </c>
    </row>
    <row r="2389" spans="1:5" x14ac:dyDescent="0.2">
      <c r="A2389" s="135">
        <v>42482</v>
      </c>
      <c r="B2389" s="1926" t="s">
        <v>11991</v>
      </c>
      <c r="C2389" s="1926" t="s">
        <v>39</v>
      </c>
      <c r="D2389" s="1926" t="s">
        <v>40</v>
      </c>
      <c r="E2389" s="1662">
        <v>1.74</v>
      </c>
    </row>
    <row r="2390" spans="1:5" x14ac:dyDescent="0.2">
      <c r="A2390" s="135">
        <v>402</v>
      </c>
      <c r="B2390" s="1926" t="s">
        <v>11992</v>
      </c>
      <c r="C2390" s="1926" t="s">
        <v>39</v>
      </c>
      <c r="D2390" s="1926" t="s">
        <v>46</v>
      </c>
      <c r="E2390" s="1662">
        <v>9.0399999999999991</v>
      </c>
    </row>
    <row r="2391" spans="1:5" x14ac:dyDescent="0.2">
      <c r="A2391" s="135">
        <v>4226</v>
      </c>
      <c r="B2391" s="1926" t="s">
        <v>11993</v>
      </c>
      <c r="C2391" s="1926" t="s">
        <v>48</v>
      </c>
      <c r="D2391" s="1926" t="s">
        <v>43</v>
      </c>
      <c r="E2391" s="1662">
        <v>5.42</v>
      </c>
    </row>
    <row r="2392" spans="1:5" x14ac:dyDescent="0.2">
      <c r="A2392" s="135">
        <v>4222</v>
      </c>
      <c r="B2392" s="1926" t="s">
        <v>11994</v>
      </c>
      <c r="C2392" s="1926" t="s">
        <v>49</v>
      </c>
      <c r="D2392" s="1926" t="s">
        <v>43</v>
      </c>
      <c r="E2392" s="1662">
        <v>4.3499999999999996</v>
      </c>
    </row>
    <row r="2393" spans="1:5" x14ac:dyDescent="0.2">
      <c r="A2393" s="135">
        <v>34804</v>
      </c>
      <c r="B2393" s="1926" t="s">
        <v>11995</v>
      </c>
      <c r="C2393" s="1926" t="s">
        <v>45</v>
      </c>
      <c r="D2393" s="1926" t="s">
        <v>46</v>
      </c>
      <c r="E2393" s="1662">
        <v>45.43</v>
      </c>
    </row>
    <row r="2394" spans="1:5" x14ac:dyDescent="0.2">
      <c r="A2394" s="135">
        <v>4013</v>
      </c>
      <c r="B2394" s="1926" t="s">
        <v>11996</v>
      </c>
      <c r="C2394" s="1926" t="s">
        <v>45</v>
      </c>
      <c r="D2394" s="1926" t="s">
        <v>40</v>
      </c>
      <c r="E2394" s="1662">
        <v>5.13</v>
      </c>
    </row>
    <row r="2395" spans="1:5" x14ac:dyDescent="0.2">
      <c r="A2395" s="135">
        <v>4011</v>
      </c>
      <c r="B2395" s="1926" t="s">
        <v>11997</v>
      </c>
      <c r="C2395" s="1926" t="s">
        <v>45</v>
      </c>
      <c r="D2395" s="1926" t="s">
        <v>40</v>
      </c>
      <c r="E2395" s="1662">
        <v>5.73</v>
      </c>
    </row>
    <row r="2396" spans="1:5" x14ac:dyDescent="0.2">
      <c r="A2396" s="135">
        <v>4021</v>
      </c>
      <c r="B2396" s="1926" t="s">
        <v>11998</v>
      </c>
      <c r="C2396" s="1926" t="s">
        <v>45</v>
      </c>
      <c r="D2396" s="1926" t="s">
        <v>40</v>
      </c>
      <c r="E2396" s="1662">
        <v>7.14</v>
      </c>
    </row>
    <row r="2397" spans="1:5" x14ac:dyDescent="0.2">
      <c r="A2397" s="135">
        <v>4019</v>
      </c>
      <c r="B2397" s="1926" t="s">
        <v>11999</v>
      </c>
      <c r="C2397" s="1926" t="s">
        <v>45</v>
      </c>
      <c r="D2397" s="1926" t="s">
        <v>40</v>
      </c>
      <c r="E2397" s="1662">
        <v>8.58</v>
      </c>
    </row>
    <row r="2398" spans="1:5" x14ac:dyDescent="0.2">
      <c r="A2398" s="135">
        <v>4012</v>
      </c>
      <c r="B2398" s="1926" t="s">
        <v>12000</v>
      </c>
      <c r="C2398" s="1926" t="s">
        <v>45</v>
      </c>
      <c r="D2398" s="1926" t="s">
        <v>40</v>
      </c>
      <c r="E2398" s="1662">
        <v>11.49</v>
      </c>
    </row>
    <row r="2399" spans="1:5" x14ac:dyDescent="0.2">
      <c r="A2399" s="135">
        <v>4020</v>
      </c>
      <c r="B2399" s="1926" t="s">
        <v>12001</v>
      </c>
      <c r="C2399" s="1926" t="s">
        <v>45</v>
      </c>
      <c r="D2399" s="1926" t="s">
        <v>40</v>
      </c>
      <c r="E2399" s="1662">
        <v>14.39</v>
      </c>
    </row>
    <row r="2400" spans="1:5" x14ac:dyDescent="0.2">
      <c r="A2400" s="135">
        <v>4018</v>
      </c>
      <c r="B2400" s="1926" t="s">
        <v>12002</v>
      </c>
      <c r="C2400" s="1926" t="s">
        <v>45</v>
      </c>
      <c r="D2400" s="1926" t="s">
        <v>40</v>
      </c>
      <c r="E2400" s="1662">
        <v>17.239999999999998</v>
      </c>
    </row>
    <row r="2401" spans="1:5" x14ac:dyDescent="0.2">
      <c r="A2401" s="135">
        <v>36498</v>
      </c>
      <c r="B2401" s="1926" t="s">
        <v>12003</v>
      </c>
      <c r="C2401" s="1926" t="s">
        <v>39</v>
      </c>
      <c r="D2401" s="1926" t="s">
        <v>46</v>
      </c>
      <c r="E2401" s="1662">
        <v>5130.91</v>
      </c>
    </row>
    <row r="2402" spans="1:5" x14ac:dyDescent="0.2">
      <c r="A2402" s="135">
        <v>12872</v>
      </c>
      <c r="B2402" s="1926" t="s">
        <v>12004</v>
      </c>
      <c r="C2402" s="1926" t="s">
        <v>42</v>
      </c>
      <c r="D2402" s="1926" t="s">
        <v>40</v>
      </c>
      <c r="E2402" s="1662">
        <v>14.14</v>
      </c>
    </row>
    <row r="2403" spans="1:5" x14ac:dyDescent="0.2">
      <c r="A2403" s="135">
        <v>41075</v>
      </c>
      <c r="B2403" s="1926" t="s">
        <v>12005</v>
      </c>
      <c r="C2403" s="1926" t="s">
        <v>51</v>
      </c>
      <c r="D2403" s="1926" t="s">
        <v>40</v>
      </c>
      <c r="E2403" s="1662">
        <v>2521.06</v>
      </c>
    </row>
    <row r="2404" spans="1:5" x14ac:dyDescent="0.2">
      <c r="A2404" s="135">
        <v>3315</v>
      </c>
      <c r="B2404" s="1926" t="s">
        <v>12006</v>
      </c>
      <c r="C2404" s="1926" t="s">
        <v>48</v>
      </c>
      <c r="D2404" s="1926" t="s">
        <v>40</v>
      </c>
      <c r="E2404" s="1662">
        <v>0.61</v>
      </c>
    </row>
    <row r="2405" spans="1:5" x14ac:dyDescent="0.2">
      <c r="A2405" s="135">
        <v>36870</v>
      </c>
      <c r="B2405" s="1926" t="s">
        <v>12007</v>
      </c>
      <c r="C2405" s="1926" t="s">
        <v>48</v>
      </c>
      <c r="D2405" s="1926" t="s">
        <v>40</v>
      </c>
      <c r="E2405" s="1662">
        <v>0.61</v>
      </c>
    </row>
    <row r="2406" spans="1:5" x14ac:dyDescent="0.2">
      <c r="A2406" s="135">
        <v>5092</v>
      </c>
      <c r="B2406" s="1926" t="s">
        <v>12008</v>
      </c>
      <c r="C2406" s="1926" t="s">
        <v>41</v>
      </c>
      <c r="D2406" s="1926" t="s">
        <v>40</v>
      </c>
      <c r="E2406" s="1662">
        <v>12.81</v>
      </c>
    </row>
    <row r="2407" spans="1:5" x14ac:dyDescent="0.2">
      <c r="A2407" s="135">
        <v>11462</v>
      </c>
      <c r="B2407" s="1926" t="s">
        <v>12009</v>
      </c>
      <c r="C2407" s="1926" t="s">
        <v>41</v>
      </c>
      <c r="D2407" s="1926" t="s">
        <v>40</v>
      </c>
      <c r="E2407" s="1662">
        <v>13.1</v>
      </c>
    </row>
    <row r="2408" spans="1:5" x14ac:dyDescent="0.2">
      <c r="A2408" s="135">
        <v>36529</v>
      </c>
      <c r="B2408" s="1926" t="s">
        <v>12010</v>
      </c>
      <c r="C2408" s="1926" t="s">
        <v>39</v>
      </c>
      <c r="D2408" s="1926" t="s">
        <v>46</v>
      </c>
      <c r="E2408" s="1662">
        <v>33709.339999999997</v>
      </c>
    </row>
    <row r="2409" spans="1:5" x14ac:dyDescent="0.2">
      <c r="A2409" s="135">
        <v>3318</v>
      </c>
      <c r="B2409" s="1926" t="s">
        <v>12011</v>
      </c>
      <c r="C2409" s="1926" t="s">
        <v>39</v>
      </c>
      <c r="D2409" s="1926" t="s">
        <v>46</v>
      </c>
      <c r="E2409" s="1662">
        <v>26428.13</v>
      </c>
    </row>
    <row r="2410" spans="1:5" x14ac:dyDescent="0.2">
      <c r="A2410" s="135">
        <v>3324</v>
      </c>
      <c r="B2410" s="1926" t="s">
        <v>12012</v>
      </c>
      <c r="C2410" s="1926" t="s">
        <v>45</v>
      </c>
      <c r="D2410" s="1926" t="s">
        <v>40</v>
      </c>
      <c r="E2410" s="1662">
        <v>4.99</v>
      </c>
    </row>
    <row r="2411" spans="1:5" x14ac:dyDescent="0.2">
      <c r="A2411" s="135">
        <v>3322</v>
      </c>
      <c r="B2411" s="1926" t="s">
        <v>12013</v>
      </c>
      <c r="C2411" s="1926" t="s">
        <v>45</v>
      </c>
      <c r="D2411" s="1926" t="s">
        <v>43</v>
      </c>
      <c r="E2411" s="1662">
        <v>7</v>
      </c>
    </row>
    <row r="2412" spans="1:5" x14ac:dyDescent="0.2">
      <c r="A2412" s="135">
        <v>43390</v>
      </c>
      <c r="B2412" s="1926" t="s">
        <v>12014</v>
      </c>
      <c r="C2412" s="1926" t="s">
        <v>45</v>
      </c>
      <c r="D2412" s="1926" t="s">
        <v>43</v>
      </c>
      <c r="E2412" s="1662">
        <v>74.5</v>
      </c>
    </row>
    <row r="2413" spans="1:5" x14ac:dyDescent="0.2">
      <c r="A2413" s="135">
        <v>5076</v>
      </c>
      <c r="B2413" s="1926" t="s">
        <v>12015</v>
      </c>
      <c r="C2413" s="1926" t="s">
        <v>48</v>
      </c>
      <c r="D2413" s="1926" t="s">
        <v>40</v>
      </c>
      <c r="E2413" s="1662">
        <v>10.17</v>
      </c>
    </row>
    <row r="2414" spans="1:5" x14ac:dyDescent="0.2">
      <c r="A2414" s="135">
        <v>5077</v>
      </c>
      <c r="B2414" s="1926" t="s">
        <v>12016</v>
      </c>
      <c r="C2414" s="1926" t="s">
        <v>48</v>
      </c>
      <c r="D2414" s="1926" t="s">
        <v>40</v>
      </c>
      <c r="E2414" s="1662">
        <v>11.24</v>
      </c>
    </row>
    <row r="2415" spans="1:5" x14ac:dyDescent="0.2">
      <c r="A2415" s="135">
        <v>11837</v>
      </c>
      <c r="B2415" s="1926" t="s">
        <v>12017</v>
      </c>
      <c r="C2415" s="1926" t="s">
        <v>39</v>
      </c>
      <c r="D2415" s="1926" t="s">
        <v>40</v>
      </c>
      <c r="E2415" s="1662">
        <v>48.66</v>
      </c>
    </row>
    <row r="2416" spans="1:5" x14ac:dyDescent="0.2">
      <c r="A2416" s="135">
        <v>38055</v>
      </c>
      <c r="B2416" s="1926" t="s">
        <v>12018</v>
      </c>
      <c r="C2416" s="1926" t="s">
        <v>39</v>
      </c>
      <c r="D2416" s="1926" t="s">
        <v>40</v>
      </c>
      <c r="E2416" s="1662">
        <v>4.41</v>
      </c>
    </row>
    <row r="2417" spans="1:5" x14ac:dyDescent="0.2">
      <c r="A2417" s="135">
        <v>415</v>
      </c>
      <c r="B2417" s="1926" t="s">
        <v>12019</v>
      </c>
      <c r="C2417" s="1926" t="s">
        <v>39</v>
      </c>
      <c r="D2417" s="1926" t="s">
        <v>40</v>
      </c>
      <c r="E2417" s="1662">
        <v>19.95</v>
      </c>
    </row>
    <row r="2418" spans="1:5" x14ac:dyDescent="0.2">
      <c r="A2418" s="135">
        <v>416</v>
      </c>
      <c r="B2418" s="1926" t="s">
        <v>12020</v>
      </c>
      <c r="C2418" s="1926" t="s">
        <v>39</v>
      </c>
      <c r="D2418" s="1926" t="s">
        <v>40</v>
      </c>
      <c r="E2418" s="1662">
        <v>7.3</v>
      </c>
    </row>
    <row r="2419" spans="1:5" x14ac:dyDescent="0.2">
      <c r="A2419" s="135">
        <v>425</v>
      </c>
      <c r="B2419" s="1926" t="s">
        <v>12021</v>
      </c>
      <c r="C2419" s="1926" t="s">
        <v>39</v>
      </c>
      <c r="D2419" s="1926" t="s">
        <v>40</v>
      </c>
      <c r="E2419" s="1662">
        <v>4.5199999999999996</v>
      </c>
    </row>
    <row r="2420" spans="1:5" x14ac:dyDescent="0.2">
      <c r="A2420" s="135">
        <v>426</v>
      </c>
      <c r="B2420" s="1926" t="s">
        <v>12022</v>
      </c>
      <c r="C2420" s="1926" t="s">
        <v>39</v>
      </c>
      <c r="D2420" s="1926" t="s">
        <v>40</v>
      </c>
      <c r="E2420" s="1662">
        <v>24.93</v>
      </c>
    </row>
    <row r="2421" spans="1:5" x14ac:dyDescent="0.2">
      <c r="A2421" s="135">
        <v>38056</v>
      </c>
      <c r="B2421" s="1926" t="s">
        <v>12023</v>
      </c>
      <c r="C2421" s="1926" t="s">
        <v>39</v>
      </c>
      <c r="D2421" s="1926" t="s">
        <v>40</v>
      </c>
      <c r="E2421" s="1662">
        <v>24.35</v>
      </c>
    </row>
    <row r="2422" spans="1:5" x14ac:dyDescent="0.2">
      <c r="A2422" s="135">
        <v>1564</v>
      </c>
      <c r="B2422" s="1926" t="s">
        <v>12024</v>
      </c>
      <c r="C2422" s="1926" t="s">
        <v>39</v>
      </c>
      <c r="D2422" s="1926" t="s">
        <v>40</v>
      </c>
      <c r="E2422" s="1662">
        <v>9.2899999999999991</v>
      </c>
    </row>
    <row r="2423" spans="1:5" x14ac:dyDescent="0.2">
      <c r="A2423" s="135">
        <v>11032</v>
      </c>
      <c r="B2423" s="1926" t="s">
        <v>12025</v>
      </c>
      <c r="C2423" s="1926" t="s">
        <v>39</v>
      </c>
      <c r="D2423" s="1926" t="s">
        <v>40</v>
      </c>
      <c r="E2423" s="1662">
        <v>7.36</v>
      </c>
    </row>
    <row r="2424" spans="1:5" x14ac:dyDescent="0.2">
      <c r="A2424" s="135">
        <v>36786</v>
      </c>
      <c r="B2424" s="1926" t="s">
        <v>12026</v>
      </c>
      <c r="C2424" s="1926" t="s">
        <v>62</v>
      </c>
      <c r="D2424" s="1926" t="s">
        <v>46</v>
      </c>
      <c r="E2424" s="1662">
        <v>128.38999999999999</v>
      </c>
    </row>
    <row r="2425" spans="1:5" x14ac:dyDescent="0.2">
      <c r="A2425" s="135">
        <v>36785</v>
      </c>
      <c r="B2425" s="1926" t="s">
        <v>12027</v>
      </c>
      <c r="C2425" s="1926" t="s">
        <v>62</v>
      </c>
      <c r="D2425" s="1926" t="s">
        <v>46</v>
      </c>
      <c r="E2425" s="1662">
        <v>111.57</v>
      </c>
    </row>
    <row r="2426" spans="1:5" x14ac:dyDescent="0.2">
      <c r="A2426" s="135">
        <v>36782</v>
      </c>
      <c r="B2426" s="1926" t="s">
        <v>12028</v>
      </c>
      <c r="C2426" s="1926" t="s">
        <v>62</v>
      </c>
      <c r="D2426" s="1926" t="s">
        <v>46</v>
      </c>
      <c r="E2426" s="1662">
        <v>133.16999999999999</v>
      </c>
    </row>
    <row r="2427" spans="1:5" x14ac:dyDescent="0.2">
      <c r="A2427" s="135">
        <v>25930</v>
      </c>
      <c r="B2427" s="1926" t="s">
        <v>12029</v>
      </c>
      <c r="C2427" s="1926" t="s">
        <v>62</v>
      </c>
      <c r="D2427" s="1926" t="s">
        <v>46</v>
      </c>
      <c r="E2427" s="1662">
        <v>150</v>
      </c>
    </row>
    <row r="2428" spans="1:5" x14ac:dyDescent="0.2">
      <c r="A2428" s="135">
        <v>4824</v>
      </c>
      <c r="B2428" s="1926" t="s">
        <v>12030</v>
      </c>
      <c r="C2428" s="1926" t="s">
        <v>48</v>
      </c>
      <c r="D2428" s="1926" t="s">
        <v>40</v>
      </c>
      <c r="E2428" s="1662">
        <v>0.28999999999999998</v>
      </c>
    </row>
    <row r="2429" spans="1:5" x14ac:dyDescent="0.2">
      <c r="A2429" s="135">
        <v>11795</v>
      </c>
      <c r="B2429" s="1926" t="s">
        <v>12031</v>
      </c>
      <c r="C2429" s="1926" t="s">
        <v>45</v>
      </c>
      <c r="D2429" s="1926" t="s">
        <v>40</v>
      </c>
      <c r="E2429" s="1662">
        <v>498.11</v>
      </c>
    </row>
    <row r="2430" spans="1:5" x14ac:dyDescent="0.2">
      <c r="A2430" s="135">
        <v>134</v>
      </c>
      <c r="B2430" s="1926" t="s">
        <v>12032</v>
      </c>
      <c r="C2430" s="1926" t="s">
        <v>48</v>
      </c>
      <c r="D2430" s="1926" t="s">
        <v>40</v>
      </c>
      <c r="E2430" s="1662">
        <v>1.1200000000000001</v>
      </c>
    </row>
    <row r="2431" spans="1:5" x14ac:dyDescent="0.2">
      <c r="A2431" s="135">
        <v>4229</v>
      </c>
      <c r="B2431" s="1926" t="s">
        <v>12033</v>
      </c>
      <c r="C2431" s="1926" t="s">
        <v>48</v>
      </c>
      <c r="D2431" s="1926" t="s">
        <v>40</v>
      </c>
      <c r="E2431" s="1662">
        <v>33.03</v>
      </c>
    </row>
    <row r="2432" spans="1:5" x14ac:dyDescent="0.2">
      <c r="A2432" s="135">
        <v>11244</v>
      </c>
      <c r="B2432" s="1926" t="s">
        <v>12034</v>
      </c>
      <c r="C2432" s="1926" t="s">
        <v>39</v>
      </c>
      <c r="D2432" s="1926" t="s">
        <v>46</v>
      </c>
      <c r="E2432" s="1662">
        <v>139.77000000000001</v>
      </c>
    </row>
    <row r="2433" spans="1:5" x14ac:dyDescent="0.2">
      <c r="A2433" s="135">
        <v>11245</v>
      </c>
      <c r="B2433" s="1926" t="s">
        <v>12035</v>
      </c>
      <c r="C2433" s="1926" t="s">
        <v>39</v>
      </c>
      <c r="D2433" s="1926" t="s">
        <v>46</v>
      </c>
      <c r="E2433" s="1662">
        <v>193.33</v>
      </c>
    </row>
    <row r="2434" spans="1:5" x14ac:dyDescent="0.2">
      <c r="A2434" s="135">
        <v>11235</v>
      </c>
      <c r="B2434" s="1926" t="s">
        <v>12036</v>
      </c>
      <c r="C2434" s="1926" t="s">
        <v>39</v>
      </c>
      <c r="D2434" s="1926" t="s">
        <v>46</v>
      </c>
      <c r="E2434" s="1662">
        <v>106.66</v>
      </c>
    </row>
    <row r="2435" spans="1:5" x14ac:dyDescent="0.2">
      <c r="A2435" s="135">
        <v>11236</v>
      </c>
      <c r="B2435" s="1926" t="s">
        <v>12037</v>
      </c>
      <c r="C2435" s="1926" t="s">
        <v>39</v>
      </c>
      <c r="D2435" s="1926" t="s">
        <v>46</v>
      </c>
      <c r="E2435" s="1662">
        <v>135.55000000000001</v>
      </c>
    </row>
    <row r="2436" spans="1:5" x14ac:dyDescent="0.2">
      <c r="A2436" s="135">
        <v>11731</v>
      </c>
      <c r="B2436" s="1926" t="s">
        <v>12038</v>
      </c>
      <c r="C2436" s="1926" t="s">
        <v>39</v>
      </c>
      <c r="D2436" s="1926" t="s">
        <v>40</v>
      </c>
      <c r="E2436" s="1662">
        <v>4.49</v>
      </c>
    </row>
    <row r="2437" spans="1:5" x14ac:dyDescent="0.2">
      <c r="A2437" s="135">
        <v>11732</v>
      </c>
      <c r="B2437" s="1926" t="s">
        <v>12039</v>
      </c>
      <c r="C2437" s="1926" t="s">
        <v>39</v>
      </c>
      <c r="D2437" s="1926" t="s">
        <v>40</v>
      </c>
      <c r="E2437" s="1662">
        <v>22.84</v>
      </c>
    </row>
    <row r="2438" spans="1:5" x14ac:dyDescent="0.2">
      <c r="A2438" s="135">
        <v>36494</v>
      </c>
      <c r="B2438" s="1926" t="s">
        <v>12040</v>
      </c>
      <c r="C2438" s="1926" t="s">
        <v>39</v>
      </c>
      <c r="D2438" s="1926" t="s">
        <v>46</v>
      </c>
      <c r="E2438" s="1662">
        <v>377809.08</v>
      </c>
    </row>
    <row r="2439" spans="1:5" x14ac:dyDescent="0.2">
      <c r="A2439" s="135">
        <v>36493</v>
      </c>
      <c r="B2439" s="1926" t="s">
        <v>12041</v>
      </c>
      <c r="C2439" s="1926" t="s">
        <v>39</v>
      </c>
      <c r="D2439" s="1926" t="s">
        <v>46</v>
      </c>
      <c r="E2439" s="1662">
        <v>428042.35</v>
      </c>
    </row>
    <row r="2440" spans="1:5" x14ac:dyDescent="0.2">
      <c r="A2440" s="135">
        <v>36492</v>
      </c>
      <c r="B2440" s="1926" t="s">
        <v>12042</v>
      </c>
      <c r="C2440" s="1926" t="s">
        <v>39</v>
      </c>
      <c r="D2440" s="1926" t="s">
        <v>46</v>
      </c>
      <c r="E2440" s="1662">
        <v>795140.35</v>
      </c>
    </row>
    <row r="2441" spans="1:5" x14ac:dyDescent="0.2">
      <c r="A2441" s="135">
        <v>13333</v>
      </c>
      <c r="B2441" s="1926" t="s">
        <v>12043</v>
      </c>
      <c r="C2441" s="1926" t="s">
        <v>39</v>
      </c>
      <c r="D2441" s="1926" t="s">
        <v>46</v>
      </c>
      <c r="E2441" s="1662">
        <v>142086.69</v>
      </c>
    </row>
    <row r="2442" spans="1:5" x14ac:dyDescent="0.2">
      <c r="A2442" s="135">
        <v>13533</v>
      </c>
      <c r="B2442" s="1926" t="s">
        <v>12044</v>
      </c>
      <c r="C2442" s="1926" t="s">
        <v>39</v>
      </c>
      <c r="D2442" s="1926" t="s">
        <v>46</v>
      </c>
      <c r="E2442" s="1662">
        <v>127009.71</v>
      </c>
    </row>
    <row r="2443" spans="1:5" x14ac:dyDescent="0.2">
      <c r="A2443" s="135">
        <v>36499</v>
      </c>
      <c r="B2443" s="1926" t="s">
        <v>12045</v>
      </c>
      <c r="C2443" s="1926" t="s">
        <v>39</v>
      </c>
      <c r="D2443" s="1926" t="s">
        <v>46</v>
      </c>
      <c r="E2443" s="1662">
        <v>2770.69</v>
      </c>
    </row>
    <row r="2444" spans="1:5" x14ac:dyDescent="0.2">
      <c r="A2444" s="135">
        <v>39585</v>
      </c>
      <c r="B2444" s="1926" t="s">
        <v>12046</v>
      </c>
      <c r="C2444" s="1926" t="s">
        <v>39</v>
      </c>
      <c r="D2444" s="1926" t="s">
        <v>46</v>
      </c>
      <c r="E2444" s="1662">
        <v>91745.37</v>
      </c>
    </row>
    <row r="2445" spans="1:5" x14ac:dyDescent="0.2">
      <c r="A2445" s="135">
        <v>39586</v>
      </c>
      <c r="B2445" s="1926" t="s">
        <v>12047</v>
      </c>
      <c r="C2445" s="1926" t="s">
        <v>39</v>
      </c>
      <c r="D2445" s="1926" t="s">
        <v>46</v>
      </c>
      <c r="E2445" s="1662">
        <v>107611.1</v>
      </c>
    </row>
    <row r="2446" spans="1:5" x14ac:dyDescent="0.2">
      <c r="A2446" s="135">
        <v>39587</v>
      </c>
      <c r="B2446" s="1926" t="s">
        <v>12048</v>
      </c>
      <c r="C2446" s="1926" t="s">
        <v>39</v>
      </c>
      <c r="D2446" s="1926" t="s">
        <v>46</v>
      </c>
      <c r="E2446" s="1662">
        <v>131064.81</v>
      </c>
    </row>
    <row r="2447" spans="1:5" x14ac:dyDescent="0.2">
      <c r="A2447" s="135">
        <v>39588</v>
      </c>
      <c r="B2447" s="1926" t="s">
        <v>12049</v>
      </c>
      <c r="C2447" s="1926" t="s">
        <v>39</v>
      </c>
      <c r="D2447" s="1926" t="s">
        <v>46</v>
      </c>
      <c r="E2447" s="1662">
        <v>151759.25</v>
      </c>
    </row>
    <row r="2448" spans="1:5" x14ac:dyDescent="0.2">
      <c r="A2448" s="135">
        <v>39584</v>
      </c>
      <c r="B2448" s="1926" t="s">
        <v>12050</v>
      </c>
      <c r="C2448" s="1926" t="s">
        <v>39</v>
      </c>
      <c r="D2448" s="1926" t="s">
        <v>46</v>
      </c>
      <c r="E2448" s="1662">
        <v>81701.66</v>
      </c>
    </row>
    <row r="2449" spans="1:5" x14ac:dyDescent="0.2">
      <c r="A2449" s="135">
        <v>39590</v>
      </c>
      <c r="B2449" s="1926" t="s">
        <v>12051</v>
      </c>
      <c r="C2449" s="1926" t="s">
        <v>39</v>
      </c>
      <c r="D2449" s="1926" t="s">
        <v>46</v>
      </c>
      <c r="E2449" s="1662">
        <v>79742.59</v>
      </c>
    </row>
    <row r="2450" spans="1:5" x14ac:dyDescent="0.2">
      <c r="A2450" s="135">
        <v>39592</v>
      </c>
      <c r="B2450" s="1926" t="s">
        <v>12052</v>
      </c>
      <c r="C2450" s="1926" t="s">
        <v>39</v>
      </c>
      <c r="D2450" s="1926" t="s">
        <v>46</v>
      </c>
      <c r="E2450" s="1662">
        <v>114592.03</v>
      </c>
    </row>
    <row r="2451" spans="1:5" x14ac:dyDescent="0.2">
      <c r="A2451" s="135">
        <v>39593</v>
      </c>
      <c r="B2451" s="1926" t="s">
        <v>12053</v>
      </c>
      <c r="C2451" s="1926" t="s">
        <v>39</v>
      </c>
      <c r="D2451" s="1926" t="s">
        <v>46</v>
      </c>
      <c r="E2451" s="1662">
        <v>131064.81</v>
      </c>
    </row>
    <row r="2452" spans="1:5" x14ac:dyDescent="0.2">
      <c r="A2452" s="135">
        <v>14254</v>
      </c>
      <c r="B2452" s="1926" t="s">
        <v>12054</v>
      </c>
      <c r="C2452" s="1926" t="s">
        <v>39</v>
      </c>
      <c r="D2452" s="1926" t="s">
        <v>46</v>
      </c>
      <c r="E2452" s="1662">
        <v>74500</v>
      </c>
    </row>
    <row r="2453" spans="1:5" x14ac:dyDescent="0.2">
      <c r="A2453" s="135">
        <v>25987</v>
      </c>
      <c r="B2453" s="1926" t="s">
        <v>12055</v>
      </c>
      <c r="C2453" s="1926" t="s">
        <v>39</v>
      </c>
      <c r="D2453" s="1926" t="s">
        <v>46</v>
      </c>
      <c r="E2453" s="1662">
        <v>62213.440000000002</v>
      </c>
    </row>
    <row r="2454" spans="1:5" x14ac:dyDescent="0.2">
      <c r="A2454" s="135">
        <v>25019</v>
      </c>
      <c r="B2454" s="1926" t="s">
        <v>12056</v>
      </c>
      <c r="C2454" s="1926" t="s">
        <v>39</v>
      </c>
      <c r="D2454" s="1926" t="s">
        <v>46</v>
      </c>
      <c r="E2454" s="1662">
        <v>106640.79</v>
      </c>
    </row>
    <row r="2455" spans="1:5" x14ac:dyDescent="0.2">
      <c r="A2455" s="135">
        <v>36501</v>
      </c>
      <c r="B2455" s="1926" t="s">
        <v>12057</v>
      </c>
      <c r="C2455" s="1926" t="s">
        <v>39</v>
      </c>
      <c r="D2455" s="1926" t="s">
        <v>46</v>
      </c>
      <c r="E2455" s="1662">
        <v>94947.06</v>
      </c>
    </row>
    <row r="2456" spans="1:5" x14ac:dyDescent="0.2">
      <c r="A2456" s="135">
        <v>25986</v>
      </c>
      <c r="B2456" s="1926" t="s">
        <v>12058</v>
      </c>
      <c r="C2456" s="1926" t="s">
        <v>39</v>
      </c>
      <c r="D2456" s="1926" t="s">
        <v>46</v>
      </c>
      <c r="E2456" s="1662">
        <v>114144.55</v>
      </c>
    </row>
    <row r="2457" spans="1:5" x14ac:dyDescent="0.2">
      <c r="A2457" s="135">
        <v>36500</v>
      </c>
      <c r="B2457" s="1926" t="s">
        <v>12059</v>
      </c>
      <c r="C2457" s="1926" t="s">
        <v>39</v>
      </c>
      <c r="D2457" s="1926" t="s">
        <v>46</v>
      </c>
      <c r="E2457" s="1662">
        <v>67096.490000000005</v>
      </c>
    </row>
    <row r="2458" spans="1:5" x14ac:dyDescent="0.2">
      <c r="A2458" s="135">
        <v>20017</v>
      </c>
      <c r="B2458" s="1926" t="s">
        <v>12060</v>
      </c>
      <c r="C2458" s="1926" t="s">
        <v>47</v>
      </c>
      <c r="D2458" s="1926" t="s">
        <v>40</v>
      </c>
      <c r="E2458" s="1662">
        <v>5.25</v>
      </c>
    </row>
    <row r="2459" spans="1:5" x14ac:dyDescent="0.2">
      <c r="A2459" s="135">
        <v>20007</v>
      </c>
      <c r="B2459" s="1926" t="s">
        <v>12061</v>
      </c>
      <c r="C2459" s="1926" t="s">
        <v>47</v>
      </c>
      <c r="D2459" s="1926" t="s">
        <v>40</v>
      </c>
      <c r="E2459" s="1662">
        <v>4.03</v>
      </c>
    </row>
    <row r="2460" spans="1:5" x14ac:dyDescent="0.2">
      <c r="A2460" s="135">
        <v>39836</v>
      </c>
      <c r="B2460" s="1926" t="s">
        <v>12062</v>
      </c>
      <c r="C2460" s="1926" t="s">
        <v>53</v>
      </c>
      <c r="D2460" s="1926" t="s">
        <v>40</v>
      </c>
      <c r="E2460" s="1662">
        <v>128.65</v>
      </c>
    </row>
    <row r="2461" spans="1:5" x14ac:dyDescent="0.2">
      <c r="A2461" s="135">
        <v>39830</v>
      </c>
      <c r="B2461" s="1926" t="s">
        <v>12063</v>
      </c>
      <c r="C2461" s="1926" t="s">
        <v>53</v>
      </c>
      <c r="D2461" s="1926" t="s">
        <v>40</v>
      </c>
      <c r="E2461" s="1662">
        <v>146.72999999999999</v>
      </c>
    </row>
    <row r="2462" spans="1:5" x14ac:dyDescent="0.2">
      <c r="A2462" s="135">
        <v>39831</v>
      </c>
      <c r="B2462" s="1926" t="s">
        <v>12064</v>
      </c>
      <c r="C2462" s="1926" t="s">
        <v>53</v>
      </c>
      <c r="D2462" s="1926" t="s">
        <v>40</v>
      </c>
      <c r="E2462" s="1662">
        <v>146.41</v>
      </c>
    </row>
    <row r="2463" spans="1:5" x14ac:dyDescent="0.2">
      <c r="A2463" s="135">
        <v>36888</v>
      </c>
      <c r="B2463" s="1926" t="s">
        <v>12065</v>
      </c>
      <c r="C2463" s="1926" t="s">
        <v>47</v>
      </c>
      <c r="D2463" s="1926" t="s">
        <v>46</v>
      </c>
      <c r="E2463" s="1662">
        <v>6.31</v>
      </c>
    </row>
    <row r="2464" spans="1:5" x14ac:dyDescent="0.2">
      <c r="A2464" s="135">
        <v>40527</v>
      </c>
      <c r="B2464" s="1926" t="s">
        <v>12066</v>
      </c>
      <c r="C2464" s="1926" t="s">
        <v>39</v>
      </c>
      <c r="D2464" s="1926" t="s">
        <v>46</v>
      </c>
      <c r="E2464" s="1662">
        <v>2098.59</v>
      </c>
    </row>
    <row r="2465" spans="1:5" x14ac:dyDescent="0.2">
      <c r="A2465" s="135">
        <v>36497</v>
      </c>
      <c r="B2465" s="1926" t="s">
        <v>12067</v>
      </c>
      <c r="C2465" s="1926" t="s">
        <v>39</v>
      </c>
      <c r="D2465" s="1926" t="s">
        <v>46</v>
      </c>
      <c r="E2465" s="1662">
        <v>2395.77</v>
      </c>
    </row>
    <row r="2466" spans="1:5" x14ac:dyDescent="0.2">
      <c r="A2466" s="135">
        <v>36487</v>
      </c>
      <c r="B2466" s="1926" t="s">
        <v>12068</v>
      </c>
      <c r="C2466" s="1926" t="s">
        <v>39</v>
      </c>
      <c r="D2466" s="1926" t="s">
        <v>46</v>
      </c>
      <c r="E2466" s="1662">
        <v>4171.3999999999996</v>
      </c>
    </row>
    <row r="2467" spans="1:5" x14ac:dyDescent="0.2">
      <c r="A2467" s="135">
        <v>25952</v>
      </c>
      <c r="B2467" s="1926" t="s">
        <v>12069</v>
      </c>
      <c r="C2467" s="1926" t="s">
        <v>39</v>
      </c>
      <c r="D2467" s="1926" t="s">
        <v>46</v>
      </c>
      <c r="E2467" s="1662">
        <v>660657.27</v>
      </c>
    </row>
    <row r="2468" spans="1:5" x14ac:dyDescent="0.2">
      <c r="A2468" s="135">
        <v>25954</v>
      </c>
      <c r="B2468" s="1926" t="s">
        <v>12070</v>
      </c>
      <c r="C2468" s="1926" t="s">
        <v>39</v>
      </c>
      <c r="D2468" s="1926" t="s">
        <v>46</v>
      </c>
      <c r="E2468" s="1662">
        <v>1270494.75</v>
      </c>
    </row>
    <row r="2469" spans="1:5" x14ac:dyDescent="0.2">
      <c r="A2469" s="135">
        <v>25953</v>
      </c>
      <c r="B2469" s="1926" t="s">
        <v>12071</v>
      </c>
      <c r="C2469" s="1926" t="s">
        <v>39</v>
      </c>
      <c r="D2469" s="1926" t="s">
        <v>46</v>
      </c>
      <c r="E2469" s="1662">
        <v>2159841.08</v>
      </c>
    </row>
    <row r="2470" spans="1:5" x14ac:dyDescent="0.2">
      <c r="A2470" s="135">
        <v>37776</v>
      </c>
      <c r="B2470" s="1926" t="s">
        <v>12072</v>
      </c>
      <c r="C2470" s="1926" t="s">
        <v>39</v>
      </c>
      <c r="D2470" s="1926" t="s">
        <v>46</v>
      </c>
      <c r="E2470" s="1662">
        <v>132370.65</v>
      </c>
    </row>
    <row r="2471" spans="1:5" x14ac:dyDescent="0.2">
      <c r="A2471" s="135">
        <v>37775</v>
      </c>
      <c r="B2471" s="1926" t="s">
        <v>12073</v>
      </c>
      <c r="C2471" s="1926" t="s">
        <v>39</v>
      </c>
      <c r="D2471" s="1926" t="s">
        <v>46</v>
      </c>
      <c r="E2471" s="1662">
        <v>208493.79</v>
      </c>
    </row>
    <row r="2472" spans="1:5" x14ac:dyDescent="0.2">
      <c r="A2472" s="135">
        <v>36491</v>
      </c>
      <c r="B2472" s="1926" t="s">
        <v>12074</v>
      </c>
      <c r="C2472" s="1926" t="s">
        <v>39</v>
      </c>
      <c r="D2472" s="1926" t="s">
        <v>46</v>
      </c>
      <c r="E2472" s="1662">
        <v>772114.39</v>
      </c>
    </row>
    <row r="2473" spans="1:5" x14ac:dyDescent="0.2">
      <c r="A2473" s="135">
        <v>10712</v>
      </c>
      <c r="B2473" s="1926" t="s">
        <v>12075</v>
      </c>
      <c r="C2473" s="1926" t="s">
        <v>39</v>
      </c>
      <c r="D2473" s="1926" t="s">
        <v>46</v>
      </c>
      <c r="E2473" s="1662">
        <v>52123.44</v>
      </c>
    </row>
    <row r="2474" spans="1:5" x14ac:dyDescent="0.2">
      <c r="A2474" s="135">
        <v>3363</v>
      </c>
      <c r="B2474" s="1926" t="s">
        <v>12076</v>
      </c>
      <c r="C2474" s="1926" t="s">
        <v>39</v>
      </c>
      <c r="D2474" s="1926" t="s">
        <v>46</v>
      </c>
      <c r="E2474" s="1662">
        <v>73316.5</v>
      </c>
    </row>
    <row r="2475" spans="1:5" x14ac:dyDescent="0.2">
      <c r="A2475" s="135">
        <v>3365</v>
      </c>
      <c r="B2475" s="1926" t="s">
        <v>12077</v>
      </c>
      <c r="C2475" s="1926" t="s">
        <v>39</v>
      </c>
      <c r="D2475" s="1926" t="s">
        <v>46</v>
      </c>
      <c r="E2475" s="1662">
        <v>171377.31</v>
      </c>
    </row>
    <row r="2476" spans="1:5" x14ac:dyDescent="0.2">
      <c r="A2476" s="135">
        <v>7569</v>
      </c>
      <c r="B2476" s="1926" t="s">
        <v>12078</v>
      </c>
      <c r="C2476" s="1926" t="s">
        <v>39</v>
      </c>
      <c r="D2476" s="1926" t="s">
        <v>46</v>
      </c>
      <c r="E2476" s="1662">
        <v>42.25</v>
      </c>
    </row>
    <row r="2477" spans="1:5" x14ac:dyDescent="0.2">
      <c r="A2477" s="135">
        <v>34349</v>
      </c>
      <c r="B2477" s="1926" t="s">
        <v>12079</v>
      </c>
      <c r="C2477" s="1926" t="s">
        <v>39</v>
      </c>
      <c r="D2477" s="1926" t="s">
        <v>40</v>
      </c>
      <c r="E2477" s="1662">
        <v>17.239999999999998</v>
      </c>
    </row>
    <row r="2478" spans="1:5" x14ac:dyDescent="0.2">
      <c r="A2478" s="135">
        <v>11991</v>
      </c>
      <c r="B2478" s="1926" t="s">
        <v>12080</v>
      </c>
      <c r="C2478" s="1926" t="s">
        <v>39</v>
      </c>
      <c r="D2478" s="1926" t="s">
        <v>40</v>
      </c>
      <c r="E2478" s="1662">
        <v>55.42</v>
      </c>
    </row>
    <row r="2479" spans="1:5" x14ac:dyDescent="0.2">
      <c r="A2479" s="135">
        <v>20062</v>
      </c>
      <c r="B2479" s="1926" t="s">
        <v>12081</v>
      </c>
      <c r="C2479" s="1926" t="s">
        <v>39</v>
      </c>
      <c r="D2479" s="1926" t="s">
        <v>46</v>
      </c>
      <c r="E2479" s="1662">
        <v>10.54</v>
      </c>
    </row>
    <row r="2480" spans="1:5" x14ac:dyDescent="0.2">
      <c r="A2480" s="135">
        <v>11029</v>
      </c>
      <c r="B2480" s="1926" t="s">
        <v>12082</v>
      </c>
      <c r="C2480" s="1926" t="s">
        <v>57</v>
      </c>
      <c r="D2480" s="1926" t="s">
        <v>40</v>
      </c>
      <c r="E2480" s="1662">
        <v>1.1299999999999999</v>
      </c>
    </row>
    <row r="2481" spans="1:5" x14ac:dyDescent="0.2">
      <c r="A2481" s="135">
        <v>4316</v>
      </c>
      <c r="B2481" s="1926" t="s">
        <v>12083</v>
      </c>
      <c r="C2481" s="1926" t="s">
        <v>39</v>
      </c>
      <c r="D2481" s="1926" t="s">
        <v>40</v>
      </c>
      <c r="E2481" s="1662">
        <v>1.1399999999999999</v>
      </c>
    </row>
    <row r="2482" spans="1:5" x14ac:dyDescent="0.2">
      <c r="A2482" s="135">
        <v>4313</v>
      </c>
      <c r="B2482" s="1926" t="s">
        <v>12084</v>
      </c>
      <c r="C2482" s="1926" t="s">
        <v>57</v>
      </c>
      <c r="D2482" s="1926" t="s">
        <v>40</v>
      </c>
      <c r="E2482" s="1662">
        <v>1.63</v>
      </c>
    </row>
    <row r="2483" spans="1:5" x14ac:dyDescent="0.2">
      <c r="A2483" s="135">
        <v>4317</v>
      </c>
      <c r="B2483" s="1926" t="s">
        <v>12085</v>
      </c>
      <c r="C2483" s="1926" t="s">
        <v>39</v>
      </c>
      <c r="D2483" s="1926" t="s">
        <v>40</v>
      </c>
      <c r="E2483" s="1662">
        <v>1.86</v>
      </c>
    </row>
    <row r="2484" spans="1:5" x14ac:dyDescent="0.2">
      <c r="A2484" s="135">
        <v>4314</v>
      </c>
      <c r="B2484" s="1926" t="s">
        <v>12086</v>
      </c>
      <c r="C2484" s="1926" t="s">
        <v>57</v>
      </c>
      <c r="D2484" s="1926" t="s">
        <v>40</v>
      </c>
      <c r="E2484" s="1662">
        <v>2.1800000000000002</v>
      </c>
    </row>
    <row r="2485" spans="1:5" x14ac:dyDescent="0.2">
      <c r="A2485" s="135">
        <v>10561</v>
      </c>
      <c r="B2485" s="1926" t="s">
        <v>12087</v>
      </c>
      <c r="C2485" s="1926" t="s">
        <v>48</v>
      </c>
      <c r="D2485" s="1926" t="s">
        <v>40</v>
      </c>
      <c r="E2485" s="1662">
        <v>0.44</v>
      </c>
    </row>
    <row r="2486" spans="1:5" x14ac:dyDescent="0.2">
      <c r="A2486" s="135">
        <v>10921</v>
      </c>
      <c r="B2486" s="1926" t="s">
        <v>12088</v>
      </c>
      <c r="C2486" s="1926" t="s">
        <v>39</v>
      </c>
      <c r="D2486" s="1926" t="s">
        <v>46</v>
      </c>
      <c r="E2486" s="1662">
        <v>3290</v>
      </c>
    </row>
    <row r="2487" spans="1:5" x14ac:dyDescent="0.2">
      <c r="A2487" s="135">
        <v>10922</v>
      </c>
      <c r="B2487" s="1926" t="s">
        <v>12089</v>
      </c>
      <c r="C2487" s="1926" t="s">
        <v>39</v>
      </c>
      <c r="D2487" s="1926" t="s">
        <v>46</v>
      </c>
      <c r="E2487" s="1662">
        <v>2979.99</v>
      </c>
    </row>
    <row r="2488" spans="1:5" x14ac:dyDescent="0.2">
      <c r="A2488" s="135">
        <v>10923</v>
      </c>
      <c r="B2488" s="1926" t="s">
        <v>12090</v>
      </c>
      <c r="C2488" s="1926" t="s">
        <v>39</v>
      </c>
      <c r="D2488" s="1926" t="s">
        <v>46</v>
      </c>
      <c r="E2488" s="1662">
        <v>1761.3</v>
      </c>
    </row>
    <row r="2489" spans="1:5" x14ac:dyDescent="0.2">
      <c r="A2489" s="135">
        <v>10924</v>
      </c>
      <c r="B2489" s="1926" t="s">
        <v>12091</v>
      </c>
      <c r="C2489" s="1926" t="s">
        <v>39</v>
      </c>
      <c r="D2489" s="1926" t="s">
        <v>46</v>
      </c>
      <c r="E2489" s="1662">
        <v>1854.99</v>
      </c>
    </row>
    <row r="2490" spans="1:5" x14ac:dyDescent="0.2">
      <c r="A2490" s="135">
        <v>37772</v>
      </c>
      <c r="B2490" s="1926" t="s">
        <v>12092</v>
      </c>
      <c r="C2490" s="1926" t="s">
        <v>39</v>
      </c>
      <c r="D2490" s="1926" t="s">
        <v>46</v>
      </c>
      <c r="E2490" s="1662">
        <v>114526.71</v>
      </c>
    </row>
    <row r="2491" spans="1:5" x14ac:dyDescent="0.2">
      <c r="A2491" s="135">
        <v>37771</v>
      </c>
      <c r="B2491" s="1926" t="s">
        <v>12093</v>
      </c>
      <c r="C2491" s="1926" t="s">
        <v>39</v>
      </c>
      <c r="D2491" s="1926" t="s">
        <v>46</v>
      </c>
      <c r="E2491" s="1662">
        <v>121838.18</v>
      </c>
    </row>
    <row r="2492" spans="1:5" x14ac:dyDescent="0.2">
      <c r="A2492" s="135">
        <v>12770</v>
      </c>
      <c r="B2492" s="1926" t="s">
        <v>12094</v>
      </c>
      <c r="C2492" s="1926" t="s">
        <v>39</v>
      </c>
      <c r="D2492" s="1926" t="s">
        <v>46</v>
      </c>
      <c r="E2492" s="1662">
        <v>443.74</v>
      </c>
    </row>
    <row r="2493" spans="1:5" x14ac:dyDescent="0.2">
      <c r="A2493" s="135">
        <v>12772</v>
      </c>
      <c r="B2493" s="1926" t="s">
        <v>12095</v>
      </c>
      <c r="C2493" s="1926" t="s">
        <v>39</v>
      </c>
      <c r="D2493" s="1926" t="s">
        <v>46</v>
      </c>
      <c r="E2493" s="1662">
        <v>737.5</v>
      </c>
    </row>
    <row r="2494" spans="1:5" x14ac:dyDescent="0.2">
      <c r="A2494" s="135">
        <v>12768</v>
      </c>
      <c r="B2494" s="1926" t="s">
        <v>12096</v>
      </c>
      <c r="C2494" s="1926" t="s">
        <v>39</v>
      </c>
      <c r="D2494" s="1926" t="s">
        <v>46</v>
      </c>
      <c r="E2494" s="1662">
        <v>1037.5</v>
      </c>
    </row>
    <row r="2495" spans="1:5" x14ac:dyDescent="0.2">
      <c r="A2495" s="135">
        <v>12775</v>
      </c>
      <c r="B2495" s="1926" t="s">
        <v>12097</v>
      </c>
      <c r="C2495" s="1926" t="s">
        <v>39</v>
      </c>
      <c r="D2495" s="1926" t="s">
        <v>46</v>
      </c>
      <c r="E2495" s="1662">
        <v>324.99</v>
      </c>
    </row>
    <row r="2496" spans="1:5" x14ac:dyDescent="0.2">
      <c r="A2496" s="135">
        <v>12769</v>
      </c>
      <c r="B2496" s="1926" t="s">
        <v>12098</v>
      </c>
      <c r="C2496" s="1926" t="s">
        <v>39</v>
      </c>
      <c r="D2496" s="1926" t="s">
        <v>46</v>
      </c>
      <c r="E2496" s="1662">
        <v>85</v>
      </c>
    </row>
    <row r="2497" spans="1:5" x14ac:dyDescent="0.2">
      <c r="A2497" s="135">
        <v>12773</v>
      </c>
      <c r="B2497" s="1926" t="s">
        <v>12099</v>
      </c>
      <c r="C2497" s="1926" t="s">
        <v>39</v>
      </c>
      <c r="D2497" s="1926" t="s">
        <v>46</v>
      </c>
      <c r="E2497" s="1662">
        <v>91.24</v>
      </c>
    </row>
    <row r="2498" spans="1:5" x14ac:dyDescent="0.2">
      <c r="A2498" s="135">
        <v>12774</v>
      </c>
      <c r="B2498" s="1926" t="s">
        <v>12100</v>
      </c>
      <c r="C2498" s="1926" t="s">
        <v>39</v>
      </c>
      <c r="D2498" s="1926" t="s">
        <v>46</v>
      </c>
      <c r="E2498" s="1662">
        <v>112.49</v>
      </c>
    </row>
    <row r="2499" spans="1:5" x14ac:dyDescent="0.2">
      <c r="A2499" s="135">
        <v>12776</v>
      </c>
      <c r="B2499" s="1926" t="s">
        <v>12101</v>
      </c>
      <c r="C2499" s="1926" t="s">
        <v>39</v>
      </c>
      <c r="D2499" s="1926" t="s">
        <v>46</v>
      </c>
      <c r="E2499" s="1662">
        <v>1675</v>
      </c>
    </row>
    <row r="2500" spans="1:5" x14ac:dyDescent="0.2">
      <c r="A2500" s="135">
        <v>12777</v>
      </c>
      <c r="B2500" s="1926" t="s">
        <v>12102</v>
      </c>
      <c r="C2500" s="1926" t="s">
        <v>39</v>
      </c>
      <c r="D2500" s="1926" t="s">
        <v>46</v>
      </c>
      <c r="E2500" s="1662">
        <v>2187.4899999999998</v>
      </c>
    </row>
    <row r="2501" spans="1:5" x14ac:dyDescent="0.2">
      <c r="A2501" s="135">
        <v>3391</v>
      </c>
      <c r="B2501" s="1926" t="s">
        <v>12103</v>
      </c>
      <c r="C2501" s="1926" t="s">
        <v>39</v>
      </c>
      <c r="D2501" s="1926" t="s">
        <v>46</v>
      </c>
      <c r="E2501" s="1662">
        <v>41.44</v>
      </c>
    </row>
    <row r="2502" spans="1:5" x14ac:dyDescent="0.2">
      <c r="A2502" s="135">
        <v>3389</v>
      </c>
      <c r="B2502" s="1926" t="s">
        <v>12104</v>
      </c>
      <c r="C2502" s="1926" t="s">
        <v>39</v>
      </c>
      <c r="D2502" s="1926" t="s">
        <v>46</v>
      </c>
      <c r="E2502" s="1662">
        <v>21.5</v>
      </c>
    </row>
    <row r="2503" spans="1:5" x14ac:dyDescent="0.2">
      <c r="A2503" s="135">
        <v>3390</v>
      </c>
      <c r="B2503" s="1926" t="s">
        <v>12105</v>
      </c>
      <c r="C2503" s="1926" t="s">
        <v>39</v>
      </c>
      <c r="D2503" s="1926" t="s">
        <v>46</v>
      </c>
      <c r="E2503" s="1662">
        <v>24.19</v>
      </c>
    </row>
    <row r="2504" spans="1:5" x14ac:dyDescent="0.2">
      <c r="A2504" s="135">
        <v>12873</v>
      </c>
      <c r="B2504" s="1926" t="s">
        <v>12106</v>
      </c>
      <c r="C2504" s="1926" t="s">
        <v>42</v>
      </c>
      <c r="D2504" s="1926" t="s">
        <v>40</v>
      </c>
      <c r="E2504" s="1662">
        <v>14.14</v>
      </c>
    </row>
    <row r="2505" spans="1:5" x14ac:dyDescent="0.2">
      <c r="A2505" s="135">
        <v>41076</v>
      </c>
      <c r="B2505" s="1926" t="s">
        <v>12107</v>
      </c>
      <c r="C2505" s="1926" t="s">
        <v>51</v>
      </c>
      <c r="D2505" s="1926" t="s">
        <v>40</v>
      </c>
      <c r="E2505" s="1662">
        <v>2521.06</v>
      </c>
    </row>
    <row r="2506" spans="1:5" x14ac:dyDescent="0.2">
      <c r="A2506" s="135">
        <v>140</v>
      </c>
      <c r="B2506" s="1926" t="s">
        <v>12108</v>
      </c>
      <c r="C2506" s="1926" t="s">
        <v>48</v>
      </c>
      <c r="D2506" s="1926" t="s">
        <v>40</v>
      </c>
      <c r="E2506" s="1662">
        <v>12.51</v>
      </c>
    </row>
    <row r="2507" spans="1:5" x14ac:dyDescent="0.2">
      <c r="A2507" s="135">
        <v>151</v>
      </c>
      <c r="B2507" s="1926" t="s">
        <v>12109</v>
      </c>
      <c r="C2507" s="1926" t="s">
        <v>49</v>
      </c>
      <c r="D2507" s="1926" t="s">
        <v>40</v>
      </c>
      <c r="E2507" s="1662">
        <v>18.47</v>
      </c>
    </row>
    <row r="2508" spans="1:5" x14ac:dyDescent="0.2">
      <c r="A2508" s="135">
        <v>7340</v>
      </c>
      <c r="B2508" s="1926" t="s">
        <v>12110</v>
      </c>
      <c r="C2508" s="1926" t="s">
        <v>49</v>
      </c>
      <c r="D2508" s="1926" t="s">
        <v>40</v>
      </c>
      <c r="E2508" s="1662">
        <v>21.78</v>
      </c>
    </row>
    <row r="2509" spans="1:5" x14ac:dyDescent="0.2">
      <c r="A2509" s="135">
        <v>2701</v>
      </c>
      <c r="B2509" s="1926" t="s">
        <v>12111</v>
      </c>
      <c r="C2509" s="1926" t="s">
        <v>42</v>
      </c>
      <c r="D2509" s="1926" t="s">
        <v>40</v>
      </c>
      <c r="E2509" s="1662">
        <v>10.89</v>
      </c>
    </row>
    <row r="2510" spans="1:5" x14ac:dyDescent="0.2">
      <c r="A2510" s="135">
        <v>40929</v>
      </c>
      <c r="B2510" s="1926" t="s">
        <v>12112</v>
      </c>
      <c r="C2510" s="1926" t="s">
        <v>51</v>
      </c>
      <c r="D2510" s="1926" t="s">
        <v>40</v>
      </c>
      <c r="E2510" s="1662">
        <v>1942.81</v>
      </c>
    </row>
    <row r="2511" spans="1:5" x14ac:dyDescent="0.2">
      <c r="A2511" s="135">
        <v>38114</v>
      </c>
      <c r="B2511" s="1926" t="s">
        <v>12113</v>
      </c>
      <c r="C2511" s="1926" t="s">
        <v>39</v>
      </c>
      <c r="D2511" s="1926" t="s">
        <v>40</v>
      </c>
      <c r="E2511" s="1662">
        <v>16.47</v>
      </c>
    </row>
    <row r="2512" spans="1:5" x14ac:dyDescent="0.2">
      <c r="A2512" s="135">
        <v>38064</v>
      </c>
      <c r="B2512" s="1926" t="s">
        <v>12114</v>
      </c>
      <c r="C2512" s="1926" t="s">
        <v>39</v>
      </c>
      <c r="D2512" s="1926" t="s">
        <v>40</v>
      </c>
      <c r="E2512" s="1662">
        <v>18.41</v>
      </c>
    </row>
    <row r="2513" spans="1:5" x14ac:dyDescent="0.2">
      <c r="A2513" s="135">
        <v>38115</v>
      </c>
      <c r="B2513" s="1926" t="s">
        <v>12115</v>
      </c>
      <c r="C2513" s="1926" t="s">
        <v>39</v>
      </c>
      <c r="D2513" s="1926" t="s">
        <v>40</v>
      </c>
      <c r="E2513" s="1662">
        <v>17.579999999999998</v>
      </c>
    </row>
    <row r="2514" spans="1:5" x14ac:dyDescent="0.2">
      <c r="A2514" s="135">
        <v>38065</v>
      </c>
      <c r="B2514" s="1926" t="s">
        <v>12116</v>
      </c>
      <c r="C2514" s="1926" t="s">
        <v>39</v>
      </c>
      <c r="D2514" s="1926" t="s">
        <v>40</v>
      </c>
      <c r="E2514" s="1662">
        <v>26.12</v>
      </c>
    </row>
    <row r="2515" spans="1:5" x14ac:dyDescent="0.2">
      <c r="A2515" s="135">
        <v>38078</v>
      </c>
      <c r="B2515" s="1926" t="s">
        <v>12117</v>
      </c>
      <c r="C2515" s="1926" t="s">
        <v>39</v>
      </c>
      <c r="D2515" s="1926" t="s">
        <v>40</v>
      </c>
      <c r="E2515" s="1662">
        <v>15.24</v>
      </c>
    </row>
    <row r="2516" spans="1:5" x14ac:dyDescent="0.2">
      <c r="A2516" s="135">
        <v>38113</v>
      </c>
      <c r="B2516" s="1926" t="s">
        <v>12118</v>
      </c>
      <c r="C2516" s="1926" t="s">
        <v>39</v>
      </c>
      <c r="D2516" s="1926" t="s">
        <v>40</v>
      </c>
      <c r="E2516" s="1662">
        <v>8.2799999999999994</v>
      </c>
    </row>
    <row r="2517" spans="1:5" x14ac:dyDescent="0.2">
      <c r="A2517" s="135">
        <v>38063</v>
      </c>
      <c r="B2517" s="1926" t="s">
        <v>12119</v>
      </c>
      <c r="C2517" s="1926" t="s">
        <v>39</v>
      </c>
      <c r="D2517" s="1926" t="s">
        <v>40</v>
      </c>
      <c r="E2517" s="1662">
        <v>8.8800000000000008</v>
      </c>
    </row>
    <row r="2518" spans="1:5" x14ac:dyDescent="0.2">
      <c r="A2518" s="135">
        <v>38080</v>
      </c>
      <c r="B2518" s="1926" t="s">
        <v>12120</v>
      </c>
      <c r="C2518" s="1926" t="s">
        <v>39</v>
      </c>
      <c r="D2518" s="1926" t="s">
        <v>40</v>
      </c>
      <c r="E2518" s="1662">
        <v>26.47</v>
      </c>
    </row>
    <row r="2519" spans="1:5" x14ac:dyDescent="0.2">
      <c r="A2519" s="135">
        <v>38069</v>
      </c>
      <c r="B2519" s="1926" t="s">
        <v>12121</v>
      </c>
      <c r="C2519" s="1926" t="s">
        <v>39</v>
      </c>
      <c r="D2519" s="1926" t="s">
        <v>40</v>
      </c>
      <c r="E2519" s="1662">
        <v>14.48</v>
      </c>
    </row>
    <row r="2520" spans="1:5" x14ac:dyDescent="0.2">
      <c r="A2520" s="135">
        <v>38077</v>
      </c>
      <c r="B2520" s="1926" t="s">
        <v>12122</v>
      </c>
      <c r="C2520" s="1926" t="s">
        <v>39</v>
      </c>
      <c r="D2520" s="1926" t="s">
        <v>40</v>
      </c>
      <c r="E2520" s="1662">
        <v>14.15</v>
      </c>
    </row>
    <row r="2521" spans="1:5" x14ac:dyDescent="0.2">
      <c r="A2521" s="135">
        <v>38073</v>
      </c>
      <c r="B2521" s="1926" t="s">
        <v>12123</v>
      </c>
      <c r="C2521" s="1926" t="s">
        <v>39</v>
      </c>
      <c r="D2521" s="1926" t="s">
        <v>40</v>
      </c>
      <c r="E2521" s="1662">
        <v>21.55</v>
      </c>
    </row>
    <row r="2522" spans="1:5" x14ac:dyDescent="0.2">
      <c r="A2522" s="135">
        <v>38112</v>
      </c>
      <c r="B2522" s="1926" t="s">
        <v>12124</v>
      </c>
      <c r="C2522" s="1926" t="s">
        <v>39</v>
      </c>
      <c r="D2522" s="1926" t="s">
        <v>40</v>
      </c>
      <c r="E2522" s="1662">
        <v>6.35</v>
      </c>
    </row>
    <row r="2523" spans="1:5" x14ac:dyDescent="0.2">
      <c r="A2523" s="135">
        <v>38062</v>
      </c>
      <c r="B2523" s="1926" t="s">
        <v>12125</v>
      </c>
      <c r="C2523" s="1926" t="s">
        <v>39</v>
      </c>
      <c r="D2523" s="1926" t="s">
        <v>40</v>
      </c>
      <c r="E2523" s="1662">
        <v>6.52</v>
      </c>
    </row>
    <row r="2524" spans="1:5" x14ac:dyDescent="0.2">
      <c r="A2524" s="135">
        <v>12128</v>
      </c>
      <c r="B2524" s="1926" t="s">
        <v>12126</v>
      </c>
      <c r="C2524" s="1926" t="s">
        <v>39</v>
      </c>
      <c r="D2524" s="1926" t="s">
        <v>40</v>
      </c>
      <c r="E2524" s="1662">
        <v>8.7200000000000006</v>
      </c>
    </row>
    <row r="2525" spans="1:5" x14ac:dyDescent="0.2">
      <c r="A2525" s="135">
        <v>12129</v>
      </c>
      <c r="B2525" s="1926" t="s">
        <v>12127</v>
      </c>
      <c r="C2525" s="1926" t="s">
        <v>39</v>
      </c>
      <c r="D2525" s="1926" t="s">
        <v>40</v>
      </c>
      <c r="E2525" s="1662">
        <v>11.53</v>
      </c>
    </row>
    <row r="2526" spans="1:5" x14ac:dyDescent="0.2">
      <c r="A2526" s="135">
        <v>38081</v>
      </c>
      <c r="B2526" s="1926" t="s">
        <v>12128</v>
      </c>
      <c r="C2526" s="1926" t="s">
        <v>39</v>
      </c>
      <c r="D2526" s="1926" t="s">
        <v>40</v>
      </c>
      <c r="E2526" s="1662">
        <v>22.45</v>
      </c>
    </row>
    <row r="2527" spans="1:5" x14ac:dyDescent="0.2">
      <c r="A2527" s="135">
        <v>38070</v>
      </c>
      <c r="B2527" s="1926" t="s">
        <v>12129</v>
      </c>
      <c r="C2527" s="1926" t="s">
        <v>39</v>
      </c>
      <c r="D2527" s="1926" t="s">
        <v>40</v>
      </c>
      <c r="E2527" s="1662">
        <v>15.47</v>
      </c>
    </row>
    <row r="2528" spans="1:5" x14ac:dyDescent="0.2">
      <c r="A2528" s="135">
        <v>38074</v>
      </c>
      <c r="B2528" s="1926" t="s">
        <v>12130</v>
      </c>
      <c r="C2528" s="1926" t="s">
        <v>39</v>
      </c>
      <c r="D2528" s="1926" t="s">
        <v>40</v>
      </c>
      <c r="E2528" s="1662">
        <v>23.52</v>
      </c>
    </row>
    <row r="2529" spans="1:5" x14ac:dyDescent="0.2">
      <c r="A2529" s="135">
        <v>38079</v>
      </c>
      <c r="B2529" s="1926" t="s">
        <v>12131</v>
      </c>
      <c r="C2529" s="1926" t="s">
        <v>39</v>
      </c>
      <c r="D2529" s="1926" t="s">
        <v>40</v>
      </c>
      <c r="E2529" s="1662">
        <v>20.190000000000001</v>
      </c>
    </row>
    <row r="2530" spans="1:5" x14ac:dyDescent="0.2">
      <c r="A2530" s="135">
        <v>38072</v>
      </c>
      <c r="B2530" s="1926" t="s">
        <v>12132</v>
      </c>
      <c r="C2530" s="1926" t="s">
        <v>39</v>
      </c>
      <c r="D2530" s="1926" t="s">
        <v>40</v>
      </c>
      <c r="E2530" s="1662">
        <v>19.399999999999999</v>
      </c>
    </row>
    <row r="2531" spans="1:5" x14ac:dyDescent="0.2">
      <c r="A2531" s="135">
        <v>38068</v>
      </c>
      <c r="B2531" s="1926" t="s">
        <v>12133</v>
      </c>
      <c r="C2531" s="1926" t="s">
        <v>39</v>
      </c>
      <c r="D2531" s="1926" t="s">
        <v>40</v>
      </c>
      <c r="E2531" s="1662">
        <v>13.39</v>
      </c>
    </row>
    <row r="2532" spans="1:5" x14ac:dyDescent="0.2">
      <c r="A2532" s="135">
        <v>38071</v>
      </c>
      <c r="B2532" s="1926" t="s">
        <v>12134</v>
      </c>
      <c r="C2532" s="1926" t="s">
        <v>39</v>
      </c>
      <c r="D2532" s="1926" t="s">
        <v>40</v>
      </c>
      <c r="E2532" s="1662">
        <v>16.010000000000002</v>
      </c>
    </row>
    <row r="2533" spans="1:5" x14ac:dyDescent="0.2">
      <c r="A2533" s="135">
        <v>38412</v>
      </c>
      <c r="B2533" s="1926" t="s">
        <v>12135</v>
      </c>
      <c r="C2533" s="1926" t="s">
        <v>39</v>
      </c>
      <c r="D2533" s="1926" t="s">
        <v>46</v>
      </c>
      <c r="E2533" s="1662">
        <v>999.14</v>
      </c>
    </row>
    <row r="2534" spans="1:5" x14ac:dyDescent="0.2">
      <c r="A2534" s="135">
        <v>3405</v>
      </c>
      <c r="B2534" s="1926" t="s">
        <v>12136</v>
      </c>
      <c r="C2534" s="1926" t="s">
        <v>39</v>
      </c>
      <c r="D2534" s="1926" t="s">
        <v>46</v>
      </c>
      <c r="E2534" s="1662">
        <v>65.34</v>
      </c>
    </row>
    <row r="2535" spans="1:5" x14ac:dyDescent="0.2">
      <c r="A2535" s="135">
        <v>3394</v>
      </c>
      <c r="B2535" s="1926" t="s">
        <v>12137</v>
      </c>
      <c r="C2535" s="1926" t="s">
        <v>39</v>
      </c>
      <c r="D2535" s="1926" t="s">
        <v>46</v>
      </c>
      <c r="E2535" s="1662">
        <v>344.91</v>
      </c>
    </row>
    <row r="2536" spans="1:5" x14ac:dyDescent="0.2">
      <c r="A2536" s="135">
        <v>3393</v>
      </c>
      <c r="B2536" s="1926" t="s">
        <v>12138</v>
      </c>
      <c r="C2536" s="1926" t="s">
        <v>39</v>
      </c>
      <c r="D2536" s="1926" t="s">
        <v>46</v>
      </c>
      <c r="E2536" s="1662">
        <v>587.24</v>
      </c>
    </row>
    <row r="2537" spans="1:5" x14ac:dyDescent="0.2">
      <c r="A2537" s="135">
        <v>3406</v>
      </c>
      <c r="B2537" s="1926" t="s">
        <v>12139</v>
      </c>
      <c r="C2537" s="1926" t="s">
        <v>39</v>
      </c>
      <c r="D2537" s="1926" t="s">
        <v>46</v>
      </c>
      <c r="E2537" s="1662">
        <v>20</v>
      </c>
    </row>
    <row r="2538" spans="1:5" x14ac:dyDescent="0.2">
      <c r="A2538" s="135">
        <v>3395</v>
      </c>
      <c r="B2538" s="1926" t="s">
        <v>12140</v>
      </c>
      <c r="C2538" s="1926" t="s">
        <v>39</v>
      </c>
      <c r="D2538" s="1926" t="s">
        <v>46</v>
      </c>
      <c r="E2538" s="1662">
        <v>84.37</v>
      </c>
    </row>
    <row r="2539" spans="1:5" x14ac:dyDescent="0.2">
      <c r="A2539" s="135">
        <v>3398</v>
      </c>
      <c r="B2539" s="1926" t="s">
        <v>12141</v>
      </c>
      <c r="C2539" s="1926" t="s">
        <v>39</v>
      </c>
      <c r="D2539" s="1926" t="s">
        <v>46</v>
      </c>
      <c r="E2539" s="1662">
        <v>4.01</v>
      </c>
    </row>
    <row r="2540" spans="1:5" x14ac:dyDescent="0.2">
      <c r="A2540" s="135">
        <v>34379</v>
      </c>
      <c r="B2540" s="1926" t="s">
        <v>12142</v>
      </c>
      <c r="C2540" s="1926" t="s">
        <v>39</v>
      </c>
      <c r="D2540" s="1926" t="s">
        <v>46</v>
      </c>
      <c r="E2540" s="1662">
        <v>192.47</v>
      </c>
    </row>
    <row r="2541" spans="1:5" x14ac:dyDescent="0.2">
      <c r="A2541" s="135">
        <v>34378</v>
      </c>
      <c r="B2541" s="1926" t="s">
        <v>12143</v>
      </c>
      <c r="C2541" s="1926" t="s">
        <v>39</v>
      </c>
      <c r="D2541" s="1926" t="s">
        <v>46</v>
      </c>
      <c r="E2541" s="1662">
        <v>155.02000000000001</v>
      </c>
    </row>
    <row r="2542" spans="1:5" x14ac:dyDescent="0.2">
      <c r="A2542" s="135">
        <v>34377</v>
      </c>
      <c r="B2542" s="1926" t="s">
        <v>12144</v>
      </c>
      <c r="C2542" s="1926" t="s">
        <v>39</v>
      </c>
      <c r="D2542" s="1926" t="s">
        <v>46</v>
      </c>
      <c r="E2542" s="1662">
        <v>142.96</v>
      </c>
    </row>
    <row r="2543" spans="1:5" x14ac:dyDescent="0.2">
      <c r="A2543" s="135">
        <v>581</v>
      </c>
      <c r="B2543" s="1926" t="s">
        <v>12145</v>
      </c>
      <c r="C2543" s="1926" t="s">
        <v>45</v>
      </c>
      <c r="D2543" s="1926" t="s">
        <v>46</v>
      </c>
      <c r="E2543" s="1662">
        <v>271.52999999999997</v>
      </c>
    </row>
    <row r="2544" spans="1:5" x14ac:dyDescent="0.2">
      <c r="A2544" s="135">
        <v>40662</v>
      </c>
      <c r="B2544" s="1926" t="s">
        <v>12146</v>
      </c>
      <c r="C2544" s="1926" t="s">
        <v>39</v>
      </c>
      <c r="D2544" s="1926" t="s">
        <v>46</v>
      </c>
      <c r="E2544" s="1662">
        <v>201.19</v>
      </c>
    </row>
    <row r="2545" spans="1:5" x14ac:dyDescent="0.2">
      <c r="A2545" s="135">
        <v>3437</v>
      </c>
      <c r="B2545" s="1926" t="s">
        <v>12147</v>
      </c>
      <c r="C2545" s="1926" t="s">
        <v>45</v>
      </c>
      <c r="D2545" s="1926" t="s">
        <v>46</v>
      </c>
      <c r="E2545" s="1662">
        <v>558.88</v>
      </c>
    </row>
    <row r="2546" spans="1:5" x14ac:dyDescent="0.2">
      <c r="A2546" s="135">
        <v>11190</v>
      </c>
      <c r="B2546" s="1926" t="s">
        <v>12148</v>
      </c>
      <c r="C2546" s="1926" t="s">
        <v>39</v>
      </c>
      <c r="D2546" s="1926" t="s">
        <v>46</v>
      </c>
      <c r="E2546" s="1662">
        <v>162.6</v>
      </c>
    </row>
    <row r="2547" spans="1:5" x14ac:dyDescent="0.2">
      <c r="A2547" s="135">
        <v>3428</v>
      </c>
      <c r="B2547" s="1926" t="s">
        <v>12149</v>
      </c>
      <c r="C2547" s="1926" t="s">
        <v>45</v>
      </c>
      <c r="D2547" s="1926" t="s">
        <v>46</v>
      </c>
      <c r="E2547" s="1662">
        <v>829</v>
      </c>
    </row>
    <row r="2548" spans="1:5" x14ac:dyDescent="0.2">
      <c r="A2548" s="135">
        <v>3429</v>
      </c>
      <c r="B2548" s="1926" t="s">
        <v>12150</v>
      </c>
      <c r="C2548" s="1926" t="s">
        <v>45</v>
      </c>
      <c r="D2548" s="1926" t="s">
        <v>46</v>
      </c>
      <c r="E2548" s="1662">
        <v>473.64</v>
      </c>
    </row>
    <row r="2549" spans="1:5" x14ac:dyDescent="0.2">
      <c r="A2549" s="135">
        <v>34371</v>
      </c>
      <c r="B2549" s="1926" t="s">
        <v>12151</v>
      </c>
      <c r="C2549" s="1926" t="s">
        <v>39</v>
      </c>
      <c r="D2549" s="1926" t="s">
        <v>46</v>
      </c>
      <c r="E2549" s="1662">
        <v>523.28</v>
      </c>
    </row>
    <row r="2550" spans="1:5" x14ac:dyDescent="0.2">
      <c r="A2550" s="135">
        <v>34370</v>
      </c>
      <c r="B2550" s="1926" t="s">
        <v>12152</v>
      </c>
      <c r="C2550" s="1926" t="s">
        <v>39</v>
      </c>
      <c r="D2550" s="1926" t="s">
        <v>46</v>
      </c>
      <c r="E2550" s="1662">
        <v>433.96</v>
      </c>
    </row>
    <row r="2551" spans="1:5" x14ac:dyDescent="0.2">
      <c r="A2551" s="135">
        <v>34372</v>
      </c>
      <c r="B2551" s="1926" t="s">
        <v>12153</v>
      </c>
      <c r="C2551" s="1926" t="s">
        <v>39</v>
      </c>
      <c r="D2551" s="1926" t="s">
        <v>46</v>
      </c>
      <c r="E2551" s="1662">
        <v>603.70000000000005</v>
      </c>
    </row>
    <row r="2552" spans="1:5" x14ac:dyDescent="0.2">
      <c r="A2552" s="135">
        <v>34373</v>
      </c>
      <c r="B2552" s="1926" t="s">
        <v>12154</v>
      </c>
      <c r="C2552" s="1926" t="s">
        <v>39</v>
      </c>
      <c r="D2552" s="1926" t="s">
        <v>46</v>
      </c>
      <c r="E2552" s="1662">
        <v>747.29</v>
      </c>
    </row>
    <row r="2553" spans="1:5" x14ac:dyDescent="0.2">
      <c r="A2553" s="135">
        <v>36896</v>
      </c>
      <c r="B2553" s="1926" t="s">
        <v>12155</v>
      </c>
      <c r="C2553" s="1926" t="s">
        <v>39</v>
      </c>
      <c r="D2553" s="1926" t="s">
        <v>46</v>
      </c>
      <c r="E2553" s="1662">
        <v>249</v>
      </c>
    </row>
    <row r="2554" spans="1:5" x14ac:dyDescent="0.2">
      <c r="A2554" s="135">
        <v>34367</v>
      </c>
      <c r="B2554" s="1926" t="s">
        <v>12156</v>
      </c>
      <c r="C2554" s="1926" t="s">
        <v>39</v>
      </c>
      <c r="D2554" s="1926" t="s">
        <v>46</v>
      </c>
      <c r="E2554" s="1662">
        <v>292.48</v>
      </c>
    </row>
    <row r="2555" spans="1:5" x14ac:dyDescent="0.2">
      <c r="A2555" s="135">
        <v>36897</v>
      </c>
      <c r="B2555" s="1926" t="s">
        <v>12157</v>
      </c>
      <c r="C2555" s="1926" t="s">
        <v>39</v>
      </c>
      <c r="D2555" s="1926" t="s">
        <v>46</v>
      </c>
      <c r="E2555" s="1662">
        <v>344.9</v>
      </c>
    </row>
    <row r="2556" spans="1:5" x14ac:dyDescent="0.2">
      <c r="A2556" s="135">
        <v>36884</v>
      </c>
      <c r="B2556" s="1926" t="s">
        <v>12157</v>
      </c>
      <c r="C2556" s="1926" t="s">
        <v>45</v>
      </c>
      <c r="D2556" s="1926" t="s">
        <v>46</v>
      </c>
      <c r="E2556" s="1662">
        <v>242.24</v>
      </c>
    </row>
    <row r="2557" spans="1:5" x14ac:dyDescent="0.2">
      <c r="A2557" s="135">
        <v>597</v>
      </c>
      <c r="B2557" s="1926" t="s">
        <v>12158</v>
      </c>
      <c r="C2557" s="1926" t="s">
        <v>45</v>
      </c>
      <c r="D2557" s="1926" t="s">
        <v>46</v>
      </c>
      <c r="E2557" s="1662">
        <v>254.75</v>
      </c>
    </row>
    <row r="2558" spans="1:5" x14ac:dyDescent="0.2">
      <c r="A2558" s="135">
        <v>34369</v>
      </c>
      <c r="B2558" s="1926" t="s">
        <v>12159</v>
      </c>
      <c r="C2558" s="1926" t="s">
        <v>39</v>
      </c>
      <c r="D2558" s="1926" t="s">
        <v>46</v>
      </c>
      <c r="E2558" s="1662">
        <v>408.64</v>
      </c>
    </row>
    <row r="2559" spans="1:5" x14ac:dyDescent="0.2">
      <c r="A2559" s="135">
        <v>34362</v>
      </c>
      <c r="B2559" s="1926" t="s">
        <v>12160</v>
      </c>
      <c r="C2559" s="1926" t="s">
        <v>39</v>
      </c>
      <c r="D2559" s="1926" t="s">
        <v>46</v>
      </c>
      <c r="E2559" s="1662">
        <v>283.55</v>
      </c>
    </row>
    <row r="2560" spans="1:5" x14ac:dyDescent="0.2">
      <c r="A2560" s="135">
        <v>34363</v>
      </c>
      <c r="B2560" s="1926" t="s">
        <v>12161</v>
      </c>
      <c r="C2560" s="1926" t="s">
        <v>39</v>
      </c>
      <c r="D2560" s="1926" t="s">
        <v>46</v>
      </c>
      <c r="E2560" s="1662">
        <v>320.48</v>
      </c>
    </row>
    <row r="2561" spans="1:5" x14ac:dyDescent="0.2">
      <c r="A2561" s="135">
        <v>34364</v>
      </c>
      <c r="B2561" s="1926" t="s">
        <v>12162</v>
      </c>
      <c r="C2561" s="1926" t="s">
        <v>39</v>
      </c>
      <c r="D2561" s="1926" t="s">
        <v>46</v>
      </c>
      <c r="E2561" s="1662">
        <v>399.71</v>
      </c>
    </row>
    <row r="2562" spans="1:5" x14ac:dyDescent="0.2">
      <c r="A2562" s="135">
        <v>34365</v>
      </c>
      <c r="B2562" s="1926" t="s">
        <v>12163</v>
      </c>
      <c r="C2562" s="1926" t="s">
        <v>39</v>
      </c>
      <c r="D2562" s="1926" t="s">
        <v>46</v>
      </c>
      <c r="E2562" s="1662">
        <v>450.34</v>
      </c>
    </row>
    <row r="2563" spans="1:5" x14ac:dyDescent="0.2">
      <c r="A2563" s="135">
        <v>40659</v>
      </c>
      <c r="B2563" s="1926" t="s">
        <v>12164</v>
      </c>
      <c r="C2563" s="1926" t="s">
        <v>45</v>
      </c>
      <c r="D2563" s="1926" t="s">
        <v>46</v>
      </c>
      <c r="E2563" s="1662">
        <v>790.73</v>
      </c>
    </row>
    <row r="2564" spans="1:5" x14ac:dyDescent="0.2">
      <c r="A2564" s="135">
        <v>40660</v>
      </c>
      <c r="B2564" s="1926" t="s">
        <v>12165</v>
      </c>
      <c r="C2564" s="1926" t="s">
        <v>45</v>
      </c>
      <c r="D2564" s="1926" t="s">
        <v>46</v>
      </c>
      <c r="E2564" s="1662">
        <v>1002.16</v>
      </c>
    </row>
    <row r="2565" spans="1:5" x14ac:dyDescent="0.2">
      <c r="A2565" s="135">
        <v>40661</v>
      </c>
      <c r="B2565" s="1926" t="s">
        <v>12166</v>
      </c>
      <c r="C2565" s="1926" t="s">
        <v>45</v>
      </c>
      <c r="D2565" s="1926" t="s">
        <v>46</v>
      </c>
      <c r="E2565" s="1662">
        <v>616.15</v>
      </c>
    </row>
    <row r="2566" spans="1:5" x14ac:dyDescent="0.2">
      <c r="A2566" s="135">
        <v>3421</v>
      </c>
      <c r="B2566" s="1926" t="s">
        <v>12167</v>
      </c>
      <c r="C2566" s="1926" t="s">
        <v>45</v>
      </c>
      <c r="D2566" s="1926" t="s">
        <v>46</v>
      </c>
      <c r="E2566" s="1662">
        <v>620.87</v>
      </c>
    </row>
    <row r="2567" spans="1:5" x14ac:dyDescent="0.2">
      <c r="A2567" s="135">
        <v>599</v>
      </c>
      <c r="B2567" s="1926" t="s">
        <v>12168</v>
      </c>
      <c r="C2567" s="1926" t="s">
        <v>45</v>
      </c>
      <c r="D2567" s="1926" t="s">
        <v>46</v>
      </c>
      <c r="E2567" s="1662">
        <v>215.93</v>
      </c>
    </row>
    <row r="2568" spans="1:5" x14ac:dyDescent="0.2">
      <c r="A2568" s="135">
        <v>34380</v>
      </c>
      <c r="B2568" s="1926" t="s">
        <v>12169</v>
      </c>
      <c r="C2568" s="1926" t="s">
        <v>39</v>
      </c>
      <c r="D2568" s="1926" t="s">
        <v>46</v>
      </c>
      <c r="E2568" s="1662">
        <v>111.99</v>
      </c>
    </row>
    <row r="2569" spans="1:5" x14ac:dyDescent="0.2">
      <c r="A2569" s="135">
        <v>34381</v>
      </c>
      <c r="B2569" s="1926" t="s">
        <v>12170</v>
      </c>
      <c r="C2569" s="1926" t="s">
        <v>39</v>
      </c>
      <c r="D2569" s="1926" t="s">
        <v>46</v>
      </c>
      <c r="E2569" s="1662">
        <v>145.94</v>
      </c>
    </row>
    <row r="2570" spans="1:5" x14ac:dyDescent="0.2">
      <c r="A2570" s="135">
        <v>601</v>
      </c>
      <c r="B2570" s="1926" t="s">
        <v>12170</v>
      </c>
      <c r="C2570" s="1926" t="s">
        <v>45</v>
      </c>
      <c r="D2570" s="1926" t="s">
        <v>46</v>
      </c>
      <c r="E2570" s="1662">
        <v>291.3</v>
      </c>
    </row>
    <row r="2571" spans="1:5" x14ac:dyDescent="0.2">
      <c r="A2571" s="135">
        <v>3423</v>
      </c>
      <c r="B2571" s="1926" t="s">
        <v>12171</v>
      </c>
      <c r="C2571" s="1926" t="s">
        <v>45</v>
      </c>
      <c r="D2571" s="1926" t="s">
        <v>46</v>
      </c>
      <c r="E2571" s="1662">
        <v>875.57</v>
      </c>
    </row>
    <row r="2572" spans="1:5" x14ac:dyDescent="0.2">
      <c r="A2572" s="135">
        <v>34797</v>
      </c>
      <c r="B2572" s="1926" t="s">
        <v>12172</v>
      </c>
      <c r="C2572" s="1926" t="s">
        <v>39</v>
      </c>
      <c r="D2572" s="1926" t="s">
        <v>46</v>
      </c>
      <c r="E2572" s="1662">
        <v>354.17</v>
      </c>
    </row>
    <row r="2573" spans="1:5" x14ac:dyDescent="0.2">
      <c r="A2573" s="135">
        <v>25964</v>
      </c>
      <c r="B2573" s="1926" t="s">
        <v>12173</v>
      </c>
      <c r="C2573" s="1926" t="s">
        <v>42</v>
      </c>
      <c r="D2573" s="1926" t="s">
        <v>40</v>
      </c>
      <c r="E2573" s="1662">
        <v>13.68</v>
      </c>
    </row>
    <row r="2574" spans="1:5" x14ac:dyDescent="0.2">
      <c r="A2574" s="135">
        <v>41077</v>
      </c>
      <c r="B2574" s="1926" t="s">
        <v>12174</v>
      </c>
      <c r="C2574" s="1926" t="s">
        <v>51</v>
      </c>
      <c r="D2574" s="1926" t="s">
        <v>40</v>
      </c>
      <c r="E2574" s="1662">
        <v>2440.13</v>
      </c>
    </row>
    <row r="2575" spans="1:5" x14ac:dyDescent="0.2">
      <c r="A2575" s="135">
        <v>20159</v>
      </c>
      <c r="B2575" s="1926" t="s">
        <v>12175</v>
      </c>
      <c r="C2575" s="1926" t="s">
        <v>39</v>
      </c>
      <c r="D2575" s="1926" t="s">
        <v>40</v>
      </c>
      <c r="E2575" s="1662">
        <v>35.71</v>
      </c>
    </row>
    <row r="2576" spans="1:5" x14ac:dyDescent="0.2">
      <c r="A2576" s="135">
        <v>37963</v>
      </c>
      <c r="B2576" s="1926" t="s">
        <v>12176</v>
      </c>
      <c r="C2576" s="1926" t="s">
        <v>39</v>
      </c>
      <c r="D2576" s="1926" t="s">
        <v>40</v>
      </c>
      <c r="E2576" s="1662">
        <v>1.95</v>
      </c>
    </row>
    <row r="2577" spans="1:5" x14ac:dyDescent="0.2">
      <c r="A2577" s="135">
        <v>37964</v>
      </c>
      <c r="B2577" s="1926" t="s">
        <v>12177</v>
      </c>
      <c r="C2577" s="1926" t="s">
        <v>39</v>
      </c>
      <c r="D2577" s="1926" t="s">
        <v>40</v>
      </c>
      <c r="E2577" s="1662">
        <v>3.26</v>
      </c>
    </row>
    <row r="2578" spans="1:5" x14ac:dyDescent="0.2">
      <c r="A2578" s="135">
        <v>37965</v>
      </c>
      <c r="B2578" s="1926" t="s">
        <v>12178</v>
      </c>
      <c r="C2578" s="1926" t="s">
        <v>39</v>
      </c>
      <c r="D2578" s="1926" t="s">
        <v>40</v>
      </c>
      <c r="E2578" s="1662">
        <v>4.7300000000000004</v>
      </c>
    </row>
    <row r="2579" spans="1:5" x14ac:dyDescent="0.2">
      <c r="A2579" s="135">
        <v>37966</v>
      </c>
      <c r="B2579" s="1926" t="s">
        <v>12179</v>
      </c>
      <c r="C2579" s="1926" t="s">
        <v>39</v>
      </c>
      <c r="D2579" s="1926" t="s">
        <v>40</v>
      </c>
      <c r="E2579" s="1662">
        <v>8.57</v>
      </c>
    </row>
    <row r="2580" spans="1:5" x14ac:dyDescent="0.2">
      <c r="A2580" s="135">
        <v>37967</v>
      </c>
      <c r="B2580" s="1926" t="s">
        <v>12180</v>
      </c>
      <c r="C2580" s="1926" t="s">
        <v>39</v>
      </c>
      <c r="D2580" s="1926" t="s">
        <v>40</v>
      </c>
      <c r="E2580" s="1662">
        <v>13.74</v>
      </c>
    </row>
    <row r="2581" spans="1:5" x14ac:dyDescent="0.2">
      <c r="A2581" s="135">
        <v>37968</v>
      </c>
      <c r="B2581" s="1926" t="s">
        <v>12181</v>
      </c>
      <c r="C2581" s="1926" t="s">
        <v>39</v>
      </c>
      <c r="D2581" s="1926" t="s">
        <v>40</v>
      </c>
      <c r="E2581" s="1662">
        <v>30.14</v>
      </c>
    </row>
    <row r="2582" spans="1:5" x14ac:dyDescent="0.2">
      <c r="A2582" s="135">
        <v>37969</v>
      </c>
      <c r="B2582" s="1926" t="s">
        <v>12182</v>
      </c>
      <c r="C2582" s="1926" t="s">
        <v>39</v>
      </c>
      <c r="D2582" s="1926" t="s">
        <v>40</v>
      </c>
      <c r="E2582" s="1662">
        <v>80.53</v>
      </c>
    </row>
    <row r="2583" spans="1:5" x14ac:dyDescent="0.2">
      <c r="A2583" s="135">
        <v>37970</v>
      </c>
      <c r="B2583" s="1926" t="s">
        <v>12183</v>
      </c>
      <c r="C2583" s="1926" t="s">
        <v>39</v>
      </c>
      <c r="D2583" s="1926" t="s">
        <v>40</v>
      </c>
      <c r="E2583" s="1662">
        <v>93.94</v>
      </c>
    </row>
    <row r="2584" spans="1:5" x14ac:dyDescent="0.2">
      <c r="A2584" s="135">
        <v>21118</v>
      </c>
      <c r="B2584" s="1926" t="s">
        <v>12184</v>
      </c>
      <c r="C2584" s="1926" t="s">
        <v>39</v>
      </c>
      <c r="D2584" s="1926" t="s">
        <v>43</v>
      </c>
      <c r="E2584" s="1662">
        <v>1.48</v>
      </c>
    </row>
    <row r="2585" spans="1:5" x14ac:dyDescent="0.2">
      <c r="A2585" s="135">
        <v>37956</v>
      </c>
      <c r="B2585" s="1926" t="s">
        <v>12185</v>
      </c>
      <c r="C2585" s="1926" t="s">
        <v>39</v>
      </c>
      <c r="D2585" s="1926" t="s">
        <v>40</v>
      </c>
      <c r="E2585" s="1662">
        <v>2.34</v>
      </c>
    </row>
    <row r="2586" spans="1:5" x14ac:dyDescent="0.2">
      <c r="A2586" s="135">
        <v>37957</v>
      </c>
      <c r="B2586" s="1926" t="s">
        <v>12186</v>
      </c>
      <c r="C2586" s="1926" t="s">
        <v>39</v>
      </c>
      <c r="D2586" s="1926" t="s">
        <v>40</v>
      </c>
      <c r="E2586" s="1662">
        <v>4.9400000000000004</v>
      </c>
    </row>
    <row r="2587" spans="1:5" x14ac:dyDescent="0.2">
      <c r="A2587" s="135">
        <v>37958</v>
      </c>
      <c r="B2587" s="1926" t="s">
        <v>12187</v>
      </c>
      <c r="C2587" s="1926" t="s">
        <v>39</v>
      </c>
      <c r="D2587" s="1926" t="s">
        <v>40</v>
      </c>
      <c r="E2587" s="1662">
        <v>8.57</v>
      </c>
    </row>
    <row r="2588" spans="1:5" x14ac:dyDescent="0.2">
      <c r="A2588" s="135">
        <v>37959</v>
      </c>
      <c r="B2588" s="1926" t="s">
        <v>12188</v>
      </c>
      <c r="C2588" s="1926" t="s">
        <v>39</v>
      </c>
      <c r="D2588" s="1926" t="s">
        <v>40</v>
      </c>
      <c r="E2588" s="1662">
        <v>13.74</v>
      </c>
    </row>
    <row r="2589" spans="1:5" x14ac:dyDescent="0.2">
      <c r="A2589" s="135">
        <v>37960</v>
      </c>
      <c r="B2589" s="1926" t="s">
        <v>12189</v>
      </c>
      <c r="C2589" s="1926" t="s">
        <v>39</v>
      </c>
      <c r="D2589" s="1926" t="s">
        <v>40</v>
      </c>
      <c r="E2589" s="1662">
        <v>29.6</v>
      </c>
    </row>
    <row r="2590" spans="1:5" x14ac:dyDescent="0.2">
      <c r="A2590" s="135">
        <v>37961</v>
      </c>
      <c r="B2590" s="1926" t="s">
        <v>12190</v>
      </c>
      <c r="C2590" s="1926" t="s">
        <v>39</v>
      </c>
      <c r="D2590" s="1926" t="s">
        <v>40</v>
      </c>
      <c r="E2590" s="1662">
        <v>78.53</v>
      </c>
    </row>
    <row r="2591" spans="1:5" x14ac:dyDescent="0.2">
      <c r="A2591" s="135">
        <v>37962</v>
      </c>
      <c r="B2591" s="1926" t="s">
        <v>12191</v>
      </c>
      <c r="C2591" s="1926" t="s">
        <v>39</v>
      </c>
      <c r="D2591" s="1926" t="s">
        <v>40</v>
      </c>
      <c r="E2591" s="1662">
        <v>91.25</v>
      </c>
    </row>
    <row r="2592" spans="1:5" x14ac:dyDescent="0.2">
      <c r="A2592" s="135">
        <v>3533</v>
      </c>
      <c r="B2592" s="1926" t="s">
        <v>12192</v>
      </c>
      <c r="C2592" s="1926" t="s">
        <v>39</v>
      </c>
      <c r="D2592" s="1926" t="s">
        <v>40</v>
      </c>
      <c r="E2592" s="1662">
        <v>1.71</v>
      </c>
    </row>
    <row r="2593" spans="1:5" x14ac:dyDescent="0.2">
      <c r="A2593" s="135">
        <v>3538</v>
      </c>
      <c r="B2593" s="1926" t="s">
        <v>12193</v>
      </c>
      <c r="C2593" s="1926" t="s">
        <v>39</v>
      </c>
      <c r="D2593" s="1926" t="s">
        <v>40</v>
      </c>
      <c r="E2593" s="1662">
        <v>2.95</v>
      </c>
    </row>
    <row r="2594" spans="1:5" x14ac:dyDescent="0.2">
      <c r="A2594" s="135">
        <v>3497</v>
      </c>
      <c r="B2594" s="1926" t="s">
        <v>12194</v>
      </c>
      <c r="C2594" s="1926" t="s">
        <v>39</v>
      </c>
      <c r="D2594" s="1926" t="s">
        <v>40</v>
      </c>
      <c r="E2594" s="1662">
        <v>11.03</v>
      </c>
    </row>
    <row r="2595" spans="1:5" x14ac:dyDescent="0.2">
      <c r="A2595" s="135">
        <v>3498</v>
      </c>
      <c r="B2595" s="1926" t="s">
        <v>12195</v>
      </c>
      <c r="C2595" s="1926" t="s">
        <v>39</v>
      </c>
      <c r="D2595" s="1926" t="s">
        <v>40</v>
      </c>
      <c r="E2595" s="1662">
        <v>3.5</v>
      </c>
    </row>
    <row r="2596" spans="1:5" x14ac:dyDescent="0.2">
      <c r="A2596" s="135">
        <v>3496</v>
      </c>
      <c r="B2596" s="1926" t="s">
        <v>12196</v>
      </c>
      <c r="C2596" s="1926" t="s">
        <v>39</v>
      </c>
      <c r="D2596" s="1926" t="s">
        <v>40</v>
      </c>
      <c r="E2596" s="1662">
        <v>2.83</v>
      </c>
    </row>
    <row r="2597" spans="1:5" x14ac:dyDescent="0.2">
      <c r="A2597" s="135">
        <v>38429</v>
      </c>
      <c r="B2597" s="1926" t="s">
        <v>12197</v>
      </c>
      <c r="C2597" s="1926" t="s">
        <v>39</v>
      </c>
      <c r="D2597" s="1926" t="s">
        <v>40</v>
      </c>
      <c r="E2597" s="1662">
        <v>5</v>
      </c>
    </row>
    <row r="2598" spans="1:5" x14ac:dyDescent="0.2">
      <c r="A2598" s="135">
        <v>38431</v>
      </c>
      <c r="B2598" s="1926" t="s">
        <v>12198</v>
      </c>
      <c r="C2598" s="1926" t="s">
        <v>39</v>
      </c>
      <c r="D2598" s="1926" t="s">
        <v>40</v>
      </c>
      <c r="E2598" s="1662">
        <v>7.92</v>
      </c>
    </row>
    <row r="2599" spans="1:5" x14ac:dyDescent="0.2">
      <c r="A2599" s="135">
        <v>38430</v>
      </c>
      <c r="B2599" s="1926" t="s">
        <v>12199</v>
      </c>
      <c r="C2599" s="1926" t="s">
        <v>39</v>
      </c>
      <c r="D2599" s="1926" t="s">
        <v>40</v>
      </c>
      <c r="E2599" s="1662">
        <v>10.11</v>
      </c>
    </row>
    <row r="2600" spans="1:5" x14ac:dyDescent="0.2">
      <c r="A2600" s="135">
        <v>36348</v>
      </c>
      <c r="B2600" s="1926" t="s">
        <v>12200</v>
      </c>
      <c r="C2600" s="1926" t="s">
        <v>39</v>
      </c>
      <c r="D2600" s="1926" t="s">
        <v>46</v>
      </c>
      <c r="E2600" s="1662">
        <v>1.07</v>
      </c>
    </row>
    <row r="2601" spans="1:5" x14ac:dyDescent="0.2">
      <c r="A2601" s="135">
        <v>36349</v>
      </c>
      <c r="B2601" s="1926" t="s">
        <v>12201</v>
      </c>
      <c r="C2601" s="1926" t="s">
        <v>39</v>
      </c>
      <c r="D2601" s="1926" t="s">
        <v>46</v>
      </c>
      <c r="E2601" s="1662">
        <v>1.61</v>
      </c>
    </row>
    <row r="2602" spans="1:5" x14ac:dyDescent="0.2">
      <c r="A2602" s="135">
        <v>38433</v>
      </c>
      <c r="B2602" s="1926" t="s">
        <v>12202</v>
      </c>
      <c r="C2602" s="1926" t="s">
        <v>39</v>
      </c>
      <c r="D2602" s="1926" t="s">
        <v>46</v>
      </c>
      <c r="E2602" s="1662">
        <v>2.99</v>
      </c>
    </row>
    <row r="2603" spans="1:5" x14ac:dyDescent="0.2">
      <c r="A2603" s="135">
        <v>38440</v>
      </c>
      <c r="B2603" s="1926" t="s">
        <v>12203</v>
      </c>
      <c r="C2603" s="1926" t="s">
        <v>39</v>
      </c>
      <c r="D2603" s="1926" t="s">
        <v>46</v>
      </c>
      <c r="E2603" s="1662">
        <v>103.14</v>
      </c>
    </row>
    <row r="2604" spans="1:5" x14ac:dyDescent="0.2">
      <c r="A2604" s="135">
        <v>36359</v>
      </c>
      <c r="B2604" s="1926" t="s">
        <v>12204</v>
      </c>
      <c r="C2604" s="1926" t="s">
        <v>39</v>
      </c>
      <c r="D2604" s="1926" t="s">
        <v>46</v>
      </c>
      <c r="E2604" s="1662">
        <v>1.28</v>
      </c>
    </row>
    <row r="2605" spans="1:5" x14ac:dyDescent="0.2">
      <c r="A2605" s="135">
        <v>36360</v>
      </c>
      <c r="B2605" s="1926" t="s">
        <v>12205</v>
      </c>
      <c r="C2605" s="1926" t="s">
        <v>39</v>
      </c>
      <c r="D2605" s="1926" t="s">
        <v>46</v>
      </c>
      <c r="E2605" s="1662">
        <v>1.98</v>
      </c>
    </row>
    <row r="2606" spans="1:5" x14ac:dyDescent="0.2">
      <c r="A2606" s="135">
        <v>38434</v>
      </c>
      <c r="B2606" s="1926" t="s">
        <v>12206</v>
      </c>
      <c r="C2606" s="1926" t="s">
        <v>39</v>
      </c>
      <c r="D2606" s="1926" t="s">
        <v>46</v>
      </c>
      <c r="E2606" s="1662">
        <v>3.03</v>
      </c>
    </row>
    <row r="2607" spans="1:5" x14ac:dyDescent="0.2">
      <c r="A2607" s="135">
        <v>38435</v>
      </c>
      <c r="B2607" s="1926" t="s">
        <v>12207</v>
      </c>
      <c r="C2607" s="1926" t="s">
        <v>39</v>
      </c>
      <c r="D2607" s="1926" t="s">
        <v>46</v>
      </c>
      <c r="E2607" s="1662">
        <v>5.75</v>
      </c>
    </row>
    <row r="2608" spans="1:5" x14ac:dyDescent="0.2">
      <c r="A2608" s="135">
        <v>38436</v>
      </c>
      <c r="B2608" s="1926" t="s">
        <v>12208</v>
      </c>
      <c r="C2608" s="1926" t="s">
        <v>39</v>
      </c>
      <c r="D2608" s="1926" t="s">
        <v>46</v>
      </c>
      <c r="E2608" s="1662">
        <v>11.89</v>
      </c>
    </row>
    <row r="2609" spans="1:5" x14ac:dyDescent="0.2">
      <c r="A2609" s="135">
        <v>38437</v>
      </c>
      <c r="B2609" s="1926" t="s">
        <v>12209</v>
      </c>
      <c r="C2609" s="1926" t="s">
        <v>39</v>
      </c>
      <c r="D2609" s="1926" t="s">
        <v>46</v>
      </c>
      <c r="E2609" s="1662">
        <v>17.850000000000001</v>
      </c>
    </row>
    <row r="2610" spans="1:5" x14ac:dyDescent="0.2">
      <c r="A2610" s="135">
        <v>38438</v>
      </c>
      <c r="B2610" s="1926" t="s">
        <v>12210</v>
      </c>
      <c r="C2610" s="1926" t="s">
        <v>39</v>
      </c>
      <c r="D2610" s="1926" t="s">
        <v>46</v>
      </c>
      <c r="E2610" s="1662">
        <v>45.12</v>
      </c>
    </row>
    <row r="2611" spans="1:5" x14ac:dyDescent="0.2">
      <c r="A2611" s="135">
        <v>38439</v>
      </c>
      <c r="B2611" s="1926" t="s">
        <v>12211</v>
      </c>
      <c r="C2611" s="1926" t="s">
        <v>39</v>
      </c>
      <c r="D2611" s="1926" t="s">
        <v>46</v>
      </c>
      <c r="E2611" s="1662">
        <v>68.77</v>
      </c>
    </row>
    <row r="2612" spans="1:5" x14ac:dyDescent="0.2">
      <c r="A2612" s="135">
        <v>10836</v>
      </c>
      <c r="B2612" s="1926" t="s">
        <v>12212</v>
      </c>
      <c r="C2612" s="1926" t="s">
        <v>39</v>
      </c>
      <c r="D2612" s="1926" t="s">
        <v>40</v>
      </c>
      <c r="E2612" s="1662">
        <v>12.52</v>
      </c>
    </row>
    <row r="2613" spans="1:5" x14ac:dyDescent="0.2">
      <c r="A2613" s="135">
        <v>20128</v>
      </c>
      <c r="B2613" s="1926" t="s">
        <v>12213</v>
      </c>
      <c r="C2613" s="1926" t="s">
        <v>39</v>
      </c>
      <c r="D2613" s="1926" t="s">
        <v>40</v>
      </c>
      <c r="E2613" s="1662">
        <v>36.68</v>
      </c>
    </row>
    <row r="2614" spans="1:5" x14ac:dyDescent="0.2">
      <c r="A2614" s="135">
        <v>20131</v>
      </c>
      <c r="B2614" s="1926" t="s">
        <v>12214</v>
      </c>
      <c r="C2614" s="1926" t="s">
        <v>39</v>
      </c>
      <c r="D2614" s="1926" t="s">
        <v>40</v>
      </c>
      <c r="E2614" s="1662">
        <v>33.479999999999997</v>
      </c>
    </row>
    <row r="2615" spans="1:5" x14ac:dyDescent="0.2">
      <c r="A2615" s="135">
        <v>3521</v>
      </c>
      <c r="B2615" s="1926" t="s">
        <v>12215</v>
      </c>
      <c r="C2615" s="1926" t="s">
        <v>39</v>
      </c>
      <c r="D2615" s="1926" t="s">
        <v>40</v>
      </c>
      <c r="E2615" s="1662">
        <v>1.49</v>
      </c>
    </row>
    <row r="2616" spans="1:5" x14ac:dyDescent="0.2">
      <c r="A2616" s="135">
        <v>3531</v>
      </c>
      <c r="B2616" s="1926" t="s">
        <v>12216</v>
      </c>
      <c r="C2616" s="1926" t="s">
        <v>39</v>
      </c>
      <c r="D2616" s="1926" t="s">
        <v>40</v>
      </c>
      <c r="E2616" s="1662">
        <v>1.68</v>
      </c>
    </row>
    <row r="2617" spans="1:5" x14ac:dyDescent="0.2">
      <c r="A2617" s="135">
        <v>3522</v>
      </c>
      <c r="B2617" s="1926" t="s">
        <v>12217</v>
      </c>
      <c r="C2617" s="1926" t="s">
        <v>39</v>
      </c>
      <c r="D2617" s="1926" t="s">
        <v>40</v>
      </c>
      <c r="E2617" s="1662">
        <v>2.5</v>
      </c>
    </row>
    <row r="2618" spans="1:5" x14ac:dyDescent="0.2">
      <c r="A2618" s="135">
        <v>3527</v>
      </c>
      <c r="B2618" s="1926" t="s">
        <v>12218</v>
      </c>
      <c r="C2618" s="1926" t="s">
        <v>39</v>
      </c>
      <c r="D2618" s="1926" t="s">
        <v>40</v>
      </c>
      <c r="E2618" s="1662">
        <v>8.61</v>
      </c>
    </row>
    <row r="2619" spans="1:5" x14ac:dyDescent="0.2">
      <c r="A2619" s="135">
        <v>10835</v>
      </c>
      <c r="B2619" s="1926" t="s">
        <v>12219</v>
      </c>
      <c r="C2619" s="1926" t="s">
        <v>39</v>
      </c>
      <c r="D2619" s="1926" t="s">
        <v>40</v>
      </c>
      <c r="E2619" s="1662">
        <v>2.62</v>
      </c>
    </row>
    <row r="2620" spans="1:5" x14ac:dyDescent="0.2">
      <c r="A2620" s="135">
        <v>3475</v>
      </c>
      <c r="B2620" s="1926" t="s">
        <v>12220</v>
      </c>
      <c r="C2620" s="1926" t="s">
        <v>39</v>
      </c>
      <c r="D2620" s="1926" t="s">
        <v>40</v>
      </c>
      <c r="E2620" s="1662">
        <v>2.89</v>
      </c>
    </row>
    <row r="2621" spans="1:5" x14ac:dyDescent="0.2">
      <c r="A2621" s="135">
        <v>3485</v>
      </c>
      <c r="B2621" s="1926" t="s">
        <v>12221</v>
      </c>
      <c r="C2621" s="1926" t="s">
        <v>39</v>
      </c>
      <c r="D2621" s="1926" t="s">
        <v>40</v>
      </c>
      <c r="E2621" s="1662">
        <v>9.24</v>
      </c>
    </row>
    <row r="2622" spans="1:5" x14ac:dyDescent="0.2">
      <c r="A2622" s="135">
        <v>3534</v>
      </c>
      <c r="B2622" s="1926" t="s">
        <v>12222</v>
      </c>
      <c r="C2622" s="1926" t="s">
        <v>39</v>
      </c>
      <c r="D2622" s="1926" t="s">
        <v>40</v>
      </c>
      <c r="E2622" s="1662">
        <v>3.65</v>
      </c>
    </row>
    <row r="2623" spans="1:5" x14ac:dyDescent="0.2">
      <c r="A2623" s="135">
        <v>3543</v>
      </c>
      <c r="B2623" s="1926" t="s">
        <v>12223</v>
      </c>
      <c r="C2623" s="1926" t="s">
        <v>39</v>
      </c>
      <c r="D2623" s="1926" t="s">
        <v>40</v>
      </c>
      <c r="E2623" s="1662">
        <v>1.83</v>
      </c>
    </row>
    <row r="2624" spans="1:5" x14ac:dyDescent="0.2">
      <c r="A2624" s="135">
        <v>3482</v>
      </c>
      <c r="B2624" s="1926" t="s">
        <v>12224</v>
      </c>
      <c r="C2624" s="1926" t="s">
        <v>39</v>
      </c>
      <c r="D2624" s="1926" t="s">
        <v>40</v>
      </c>
      <c r="E2624" s="1662">
        <v>4.6399999999999997</v>
      </c>
    </row>
    <row r="2625" spans="1:5" x14ac:dyDescent="0.2">
      <c r="A2625" s="135">
        <v>3505</v>
      </c>
      <c r="B2625" s="1926" t="s">
        <v>12225</v>
      </c>
      <c r="C2625" s="1926" t="s">
        <v>39</v>
      </c>
      <c r="D2625" s="1926" t="s">
        <v>40</v>
      </c>
      <c r="E2625" s="1662">
        <v>2.63</v>
      </c>
    </row>
    <row r="2626" spans="1:5" x14ac:dyDescent="0.2">
      <c r="A2626" s="135">
        <v>3516</v>
      </c>
      <c r="B2626" s="1926" t="s">
        <v>12226</v>
      </c>
      <c r="C2626" s="1926" t="s">
        <v>39</v>
      </c>
      <c r="D2626" s="1926" t="s">
        <v>40</v>
      </c>
      <c r="E2626" s="1662">
        <v>0.68</v>
      </c>
    </row>
    <row r="2627" spans="1:5" x14ac:dyDescent="0.2">
      <c r="A2627" s="135">
        <v>3517</v>
      </c>
      <c r="B2627" s="1926" t="s">
        <v>12227</v>
      </c>
      <c r="C2627" s="1926" t="s">
        <v>39</v>
      </c>
      <c r="D2627" s="1926" t="s">
        <v>40</v>
      </c>
      <c r="E2627" s="1662">
        <v>2.39</v>
      </c>
    </row>
    <row r="2628" spans="1:5" x14ac:dyDescent="0.2">
      <c r="A2628" s="135">
        <v>3515</v>
      </c>
      <c r="B2628" s="1926" t="s">
        <v>12228</v>
      </c>
      <c r="C2628" s="1926" t="s">
        <v>39</v>
      </c>
      <c r="D2628" s="1926" t="s">
        <v>40</v>
      </c>
      <c r="E2628" s="1662">
        <v>4.2699999999999996</v>
      </c>
    </row>
    <row r="2629" spans="1:5" x14ac:dyDescent="0.2">
      <c r="A2629" s="135">
        <v>20147</v>
      </c>
      <c r="B2629" s="1926" t="s">
        <v>12229</v>
      </c>
      <c r="C2629" s="1926" t="s">
        <v>39</v>
      </c>
      <c r="D2629" s="1926" t="s">
        <v>40</v>
      </c>
      <c r="E2629" s="1662">
        <v>4.59</v>
      </c>
    </row>
    <row r="2630" spans="1:5" x14ac:dyDescent="0.2">
      <c r="A2630" s="135">
        <v>3524</v>
      </c>
      <c r="B2630" s="1926" t="s">
        <v>12230</v>
      </c>
      <c r="C2630" s="1926" t="s">
        <v>39</v>
      </c>
      <c r="D2630" s="1926" t="s">
        <v>40</v>
      </c>
      <c r="E2630" s="1662">
        <v>5.44</v>
      </c>
    </row>
    <row r="2631" spans="1:5" x14ac:dyDescent="0.2">
      <c r="A2631" s="135">
        <v>3532</v>
      </c>
      <c r="B2631" s="1926" t="s">
        <v>12231</v>
      </c>
      <c r="C2631" s="1926" t="s">
        <v>39</v>
      </c>
      <c r="D2631" s="1926" t="s">
        <v>40</v>
      </c>
      <c r="E2631" s="1662">
        <v>9.9600000000000009</v>
      </c>
    </row>
    <row r="2632" spans="1:5" x14ac:dyDescent="0.2">
      <c r="A2632" s="135">
        <v>3528</v>
      </c>
      <c r="B2632" s="1926" t="s">
        <v>12232</v>
      </c>
      <c r="C2632" s="1926" t="s">
        <v>39</v>
      </c>
      <c r="D2632" s="1926" t="s">
        <v>40</v>
      </c>
      <c r="E2632" s="1662">
        <v>5.4</v>
      </c>
    </row>
    <row r="2633" spans="1:5" x14ac:dyDescent="0.2">
      <c r="A2633" s="135">
        <v>37952</v>
      </c>
      <c r="B2633" s="1926" t="s">
        <v>12233</v>
      </c>
      <c r="C2633" s="1926" t="s">
        <v>39</v>
      </c>
      <c r="D2633" s="1926" t="s">
        <v>40</v>
      </c>
      <c r="E2633" s="1662">
        <v>38.46</v>
      </c>
    </row>
    <row r="2634" spans="1:5" x14ac:dyDescent="0.2">
      <c r="A2634" s="135">
        <v>37951</v>
      </c>
      <c r="B2634" s="1926" t="s">
        <v>12234</v>
      </c>
      <c r="C2634" s="1926" t="s">
        <v>39</v>
      </c>
      <c r="D2634" s="1926" t="s">
        <v>40</v>
      </c>
      <c r="E2634" s="1662">
        <v>1.4</v>
      </c>
    </row>
    <row r="2635" spans="1:5" x14ac:dyDescent="0.2">
      <c r="A2635" s="135">
        <v>3518</v>
      </c>
      <c r="B2635" s="1926" t="s">
        <v>12235</v>
      </c>
      <c r="C2635" s="1926" t="s">
        <v>39</v>
      </c>
      <c r="D2635" s="1926" t="s">
        <v>40</v>
      </c>
      <c r="E2635" s="1662">
        <v>2.0499999999999998</v>
      </c>
    </row>
    <row r="2636" spans="1:5" x14ac:dyDescent="0.2">
      <c r="A2636" s="135">
        <v>3519</v>
      </c>
      <c r="B2636" s="1926" t="s">
        <v>12236</v>
      </c>
      <c r="C2636" s="1926" t="s">
        <v>39</v>
      </c>
      <c r="D2636" s="1926" t="s">
        <v>40</v>
      </c>
      <c r="E2636" s="1662">
        <v>4.8499999999999996</v>
      </c>
    </row>
    <row r="2637" spans="1:5" x14ac:dyDescent="0.2">
      <c r="A2637" s="135">
        <v>3520</v>
      </c>
      <c r="B2637" s="1926" t="s">
        <v>12237</v>
      </c>
      <c r="C2637" s="1926" t="s">
        <v>39</v>
      </c>
      <c r="D2637" s="1926" t="s">
        <v>40</v>
      </c>
      <c r="E2637" s="1662">
        <v>5.43</v>
      </c>
    </row>
    <row r="2638" spans="1:5" x14ac:dyDescent="0.2">
      <c r="A2638" s="135">
        <v>37950</v>
      </c>
      <c r="B2638" s="1926" t="s">
        <v>12238</v>
      </c>
      <c r="C2638" s="1926" t="s">
        <v>39</v>
      </c>
      <c r="D2638" s="1926" t="s">
        <v>40</v>
      </c>
      <c r="E2638" s="1662">
        <v>33.479999999999997</v>
      </c>
    </row>
    <row r="2639" spans="1:5" x14ac:dyDescent="0.2">
      <c r="A2639" s="135">
        <v>37949</v>
      </c>
      <c r="B2639" s="1926" t="s">
        <v>12239</v>
      </c>
      <c r="C2639" s="1926" t="s">
        <v>39</v>
      </c>
      <c r="D2639" s="1926" t="s">
        <v>40</v>
      </c>
      <c r="E2639" s="1662">
        <v>1.22</v>
      </c>
    </row>
    <row r="2640" spans="1:5" x14ac:dyDescent="0.2">
      <c r="A2640" s="135">
        <v>3526</v>
      </c>
      <c r="B2640" s="1926" t="s">
        <v>12240</v>
      </c>
      <c r="C2640" s="1926" t="s">
        <v>39</v>
      </c>
      <c r="D2640" s="1926" t="s">
        <v>40</v>
      </c>
      <c r="E2640" s="1662">
        <v>1.64</v>
      </c>
    </row>
    <row r="2641" spans="1:5" x14ac:dyDescent="0.2">
      <c r="A2641" s="135">
        <v>3509</v>
      </c>
      <c r="B2641" s="1926" t="s">
        <v>12241</v>
      </c>
      <c r="C2641" s="1926" t="s">
        <v>39</v>
      </c>
      <c r="D2641" s="1926" t="s">
        <v>40</v>
      </c>
      <c r="E2641" s="1662">
        <v>4.2699999999999996</v>
      </c>
    </row>
    <row r="2642" spans="1:5" x14ac:dyDescent="0.2">
      <c r="A2642" s="135">
        <v>3530</v>
      </c>
      <c r="B2642" s="1926" t="s">
        <v>12242</v>
      </c>
      <c r="C2642" s="1926" t="s">
        <v>39</v>
      </c>
      <c r="D2642" s="1926" t="s">
        <v>40</v>
      </c>
      <c r="E2642" s="1662">
        <v>171.55</v>
      </c>
    </row>
    <row r="2643" spans="1:5" x14ac:dyDescent="0.2">
      <c r="A2643" s="135">
        <v>3542</v>
      </c>
      <c r="B2643" s="1926" t="s">
        <v>12243</v>
      </c>
      <c r="C2643" s="1926" t="s">
        <v>39</v>
      </c>
      <c r="D2643" s="1926" t="s">
        <v>40</v>
      </c>
      <c r="E2643" s="1662">
        <v>0.4</v>
      </c>
    </row>
    <row r="2644" spans="1:5" x14ac:dyDescent="0.2">
      <c r="A2644" s="135">
        <v>3529</v>
      </c>
      <c r="B2644" s="1926" t="s">
        <v>12244</v>
      </c>
      <c r="C2644" s="1926" t="s">
        <v>39</v>
      </c>
      <c r="D2644" s="1926" t="s">
        <v>40</v>
      </c>
      <c r="E2644" s="1662">
        <v>0.55000000000000004</v>
      </c>
    </row>
    <row r="2645" spans="1:5" x14ac:dyDescent="0.2">
      <c r="A2645" s="135">
        <v>3536</v>
      </c>
      <c r="B2645" s="1926" t="s">
        <v>12245</v>
      </c>
      <c r="C2645" s="1926" t="s">
        <v>39</v>
      </c>
      <c r="D2645" s="1926" t="s">
        <v>40</v>
      </c>
      <c r="E2645" s="1662">
        <v>1.64</v>
      </c>
    </row>
    <row r="2646" spans="1:5" x14ac:dyDescent="0.2">
      <c r="A2646" s="135">
        <v>3535</v>
      </c>
      <c r="B2646" s="1926" t="s">
        <v>12246</v>
      </c>
      <c r="C2646" s="1926" t="s">
        <v>39</v>
      </c>
      <c r="D2646" s="1926" t="s">
        <v>40</v>
      </c>
      <c r="E2646" s="1662">
        <v>3.89</v>
      </c>
    </row>
    <row r="2647" spans="1:5" x14ac:dyDescent="0.2">
      <c r="A2647" s="135">
        <v>3540</v>
      </c>
      <c r="B2647" s="1926" t="s">
        <v>12247</v>
      </c>
      <c r="C2647" s="1926" t="s">
        <v>39</v>
      </c>
      <c r="D2647" s="1926" t="s">
        <v>40</v>
      </c>
      <c r="E2647" s="1662">
        <v>4.21</v>
      </c>
    </row>
    <row r="2648" spans="1:5" x14ac:dyDescent="0.2">
      <c r="A2648" s="135">
        <v>3539</v>
      </c>
      <c r="B2648" s="1926" t="s">
        <v>12248</v>
      </c>
      <c r="C2648" s="1926" t="s">
        <v>39</v>
      </c>
      <c r="D2648" s="1926" t="s">
        <v>40</v>
      </c>
      <c r="E2648" s="1662">
        <v>18.3</v>
      </c>
    </row>
    <row r="2649" spans="1:5" x14ac:dyDescent="0.2">
      <c r="A2649" s="135">
        <v>3513</v>
      </c>
      <c r="B2649" s="1926" t="s">
        <v>12249</v>
      </c>
      <c r="C2649" s="1926" t="s">
        <v>39</v>
      </c>
      <c r="D2649" s="1926" t="s">
        <v>40</v>
      </c>
      <c r="E2649" s="1662">
        <v>81.319999999999993</v>
      </c>
    </row>
    <row r="2650" spans="1:5" x14ac:dyDescent="0.2">
      <c r="A2650" s="135">
        <v>3492</v>
      </c>
      <c r="B2650" s="1926" t="s">
        <v>12250</v>
      </c>
      <c r="C2650" s="1926" t="s">
        <v>39</v>
      </c>
      <c r="D2650" s="1926" t="s">
        <v>40</v>
      </c>
      <c r="E2650" s="1662">
        <v>15.65</v>
      </c>
    </row>
    <row r="2651" spans="1:5" x14ac:dyDescent="0.2">
      <c r="A2651" s="135">
        <v>3491</v>
      </c>
      <c r="B2651" s="1926" t="s">
        <v>12251</v>
      </c>
      <c r="C2651" s="1926" t="s">
        <v>39</v>
      </c>
      <c r="D2651" s="1926" t="s">
        <v>40</v>
      </c>
      <c r="E2651" s="1662">
        <v>8.92</v>
      </c>
    </row>
    <row r="2652" spans="1:5" x14ac:dyDescent="0.2">
      <c r="A2652" s="135">
        <v>3493</v>
      </c>
      <c r="B2652" s="1926" t="s">
        <v>12252</v>
      </c>
      <c r="C2652" s="1926" t="s">
        <v>39</v>
      </c>
      <c r="D2652" s="1926" t="s">
        <v>40</v>
      </c>
      <c r="E2652" s="1662">
        <v>21.4</v>
      </c>
    </row>
    <row r="2653" spans="1:5" x14ac:dyDescent="0.2">
      <c r="A2653" s="135">
        <v>12628</v>
      </c>
      <c r="B2653" s="1926" t="s">
        <v>12253</v>
      </c>
      <c r="C2653" s="1926" t="s">
        <v>39</v>
      </c>
      <c r="D2653" s="1926" t="s">
        <v>46</v>
      </c>
      <c r="E2653" s="1662">
        <v>5.34</v>
      </c>
    </row>
    <row r="2654" spans="1:5" x14ac:dyDescent="0.2">
      <c r="A2654" s="135">
        <v>12629</v>
      </c>
      <c r="B2654" s="1926" t="s">
        <v>12254</v>
      </c>
      <c r="C2654" s="1926" t="s">
        <v>39</v>
      </c>
      <c r="D2654" s="1926" t="s">
        <v>46</v>
      </c>
      <c r="E2654" s="1662">
        <v>5.79</v>
      </c>
    </row>
    <row r="2655" spans="1:5" x14ac:dyDescent="0.2">
      <c r="A2655" s="135">
        <v>3481</v>
      </c>
      <c r="B2655" s="1926" t="s">
        <v>12255</v>
      </c>
      <c r="C2655" s="1926" t="s">
        <v>39</v>
      </c>
      <c r="D2655" s="1926" t="s">
        <v>40</v>
      </c>
      <c r="E2655" s="1662">
        <v>10.84</v>
      </c>
    </row>
    <row r="2656" spans="1:5" x14ac:dyDescent="0.2">
      <c r="A2656" s="135">
        <v>3510</v>
      </c>
      <c r="B2656" s="1926" t="s">
        <v>12256</v>
      </c>
      <c r="C2656" s="1926" t="s">
        <v>39</v>
      </c>
      <c r="D2656" s="1926" t="s">
        <v>40</v>
      </c>
      <c r="E2656" s="1662">
        <v>10.130000000000001</v>
      </c>
    </row>
    <row r="2657" spans="1:5" x14ac:dyDescent="0.2">
      <c r="A2657" s="135">
        <v>3508</v>
      </c>
      <c r="B2657" s="1926" t="s">
        <v>12257</v>
      </c>
      <c r="C2657" s="1926" t="s">
        <v>39</v>
      </c>
      <c r="D2657" s="1926" t="s">
        <v>40</v>
      </c>
      <c r="E2657" s="1662">
        <v>26.49</v>
      </c>
    </row>
    <row r="2658" spans="1:5" x14ac:dyDescent="0.2">
      <c r="A2658" s="135">
        <v>38939</v>
      </c>
      <c r="B2658" s="1926" t="s">
        <v>12258</v>
      </c>
      <c r="C2658" s="1926" t="s">
        <v>39</v>
      </c>
      <c r="D2658" s="1926" t="s">
        <v>46</v>
      </c>
      <c r="E2658" s="1662">
        <v>11.56</v>
      </c>
    </row>
    <row r="2659" spans="1:5" x14ac:dyDescent="0.2">
      <c r="A2659" s="135">
        <v>38940</v>
      </c>
      <c r="B2659" s="1926" t="s">
        <v>12259</v>
      </c>
      <c r="C2659" s="1926" t="s">
        <v>39</v>
      </c>
      <c r="D2659" s="1926" t="s">
        <v>46</v>
      </c>
      <c r="E2659" s="1662">
        <v>17.649999999999999</v>
      </c>
    </row>
    <row r="2660" spans="1:5" x14ac:dyDescent="0.2">
      <c r="A2660" s="135">
        <v>38941</v>
      </c>
      <c r="B2660" s="1926" t="s">
        <v>12260</v>
      </c>
      <c r="C2660" s="1926" t="s">
        <v>39</v>
      </c>
      <c r="D2660" s="1926" t="s">
        <v>46</v>
      </c>
      <c r="E2660" s="1662">
        <v>20.86</v>
      </c>
    </row>
    <row r="2661" spans="1:5" x14ac:dyDescent="0.2">
      <c r="A2661" s="135">
        <v>38942</v>
      </c>
      <c r="B2661" s="1926" t="s">
        <v>12261</v>
      </c>
      <c r="C2661" s="1926" t="s">
        <v>39</v>
      </c>
      <c r="D2661" s="1926" t="s">
        <v>46</v>
      </c>
      <c r="E2661" s="1662">
        <v>23.36</v>
      </c>
    </row>
    <row r="2662" spans="1:5" x14ac:dyDescent="0.2">
      <c r="A2662" s="135">
        <v>38987</v>
      </c>
      <c r="B2662" s="1926" t="s">
        <v>12262</v>
      </c>
      <c r="C2662" s="1926" t="s">
        <v>39</v>
      </c>
      <c r="D2662" s="1926" t="s">
        <v>46</v>
      </c>
      <c r="E2662" s="1662">
        <v>5.35</v>
      </c>
    </row>
    <row r="2663" spans="1:5" x14ac:dyDescent="0.2">
      <c r="A2663" s="135">
        <v>38988</v>
      </c>
      <c r="B2663" s="1926" t="s">
        <v>12263</v>
      </c>
      <c r="C2663" s="1926" t="s">
        <v>39</v>
      </c>
      <c r="D2663" s="1926" t="s">
        <v>46</v>
      </c>
      <c r="E2663" s="1662">
        <v>12.43</v>
      </c>
    </row>
    <row r="2664" spans="1:5" x14ac:dyDescent="0.2">
      <c r="A2664" s="135">
        <v>38989</v>
      </c>
      <c r="B2664" s="1926" t="s">
        <v>12264</v>
      </c>
      <c r="C2664" s="1926" t="s">
        <v>39</v>
      </c>
      <c r="D2664" s="1926" t="s">
        <v>46</v>
      </c>
      <c r="E2664" s="1662">
        <v>16.52</v>
      </c>
    </row>
    <row r="2665" spans="1:5" x14ac:dyDescent="0.2">
      <c r="A2665" s="135">
        <v>38990</v>
      </c>
      <c r="B2665" s="1926" t="s">
        <v>12265</v>
      </c>
      <c r="C2665" s="1926" t="s">
        <v>39</v>
      </c>
      <c r="D2665" s="1926" t="s">
        <v>46</v>
      </c>
      <c r="E2665" s="1662">
        <v>43.55</v>
      </c>
    </row>
    <row r="2666" spans="1:5" x14ac:dyDescent="0.2">
      <c r="A2666" s="135">
        <v>38991</v>
      </c>
      <c r="B2666" s="1926" t="s">
        <v>12266</v>
      </c>
      <c r="C2666" s="1926" t="s">
        <v>39</v>
      </c>
      <c r="D2666" s="1926" t="s">
        <v>46</v>
      </c>
      <c r="E2666" s="1662">
        <v>88</v>
      </c>
    </row>
    <row r="2667" spans="1:5" x14ac:dyDescent="0.2">
      <c r="A2667" s="135">
        <v>38913</v>
      </c>
      <c r="B2667" s="1926" t="s">
        <v>12267</v>
      </c>
      <c r="C2667" s="1926" t="s">
        <v>39</v>
      </c>
      <c r="D2667" s="1926" t="s">
        <v>46</v>
      </c>
      <c r="E2667" s="1662">
        <v>10.73</v>
      </c>
    </row>
    <row r="2668" spans="1:5" x14ac:dyDescent="0.2">
      <c r="A2668" s="135">
        <v>38914</v>
      </c>
      <c r="B2668" s="1926" t="s">
        <v>12268</v>
      </c>
      <c r="C2668" s="1926" t="s">
        <v>39</v>
      </c>
      <c r="D2668" s="1926" t="s">
        <v>46</v>
      </c>
      <c r="E2668" s="1662">
        <v>12.45</v>
      </c>
    </row>
    <row r="2669" spans="1:5" x14ac:dyDescent="0.2">
      <c r="A2669" s="135">
        <v>38915</v>
      </c>
      <c r="B2669" s="1926" t="s">
        <v>12269</v>
      </c>
      <c r="C2669" s="1926" t="s">
        <v>39</v>
      </c>
      <c r="D2669" s="1926" t="s">
        <v>46</v>
      </c>
      <c r="E2669" s="1662">
        <v>21.61</v>
      </c>
    </row>
    <row r="2670" spans="1:5" x14ac:dyDescent="0.2">
      <c r="A2670" s="135">
        <v>38916</v>
      </c>
      <c r="B2670" s="1926" t="s">
        <v>12270</v>
      </c>
      <c r="C2670" s="1926" t="s">
        <v>39</v>
      </c>
      <c r="D2670" s="1926" t="s">
        <v>46</v>
      </c>
      <c r="E2670" s="1662">
        <v>28.51</v>
      </c>
    </row>
    <row r="2671" spans="1:5" x14ac:dyDescent="0.2">
      <c r="A2671" s="135">
        <v>39300</v>
      </c>
      <c r="B2671" s="1926" t="s">
        <v>12271</v>
      </c>
      <c r="C2671" s="1926" t="s">
        <v>39</v>
      </c>
      <c r="D2671" s="1926" t="s">
        <v>46</v>
      </c>
      <c r="E2671" s="1662">
        <v>9.6999999999999993</v>
      </c>
    </row>
    <row r="2672" spans="1:5" x14ac:dyDescent="0.2">
      <c r="A2672" s="135">
        <v>39301</v>
      </c>
      <c r="B2672" s="1926" t="s">
        <v>12272</v>
      </c>
      <c r="C2672" s="1926" t="s">
        <v>39</v>
      </c>
      <c r="D2672" s="1926" t="s">
        <v>46</v>
      </c>
      <c r="E2672" s="1662">
        <v>13.45</v>
      </c>
    </row>
    <row r="2673" spans="1:5" x14ac:dyDescent="0.2">
      <c r="A2673" s="135">
        <v>39302</v>
      </c>
      <c r="B2673" s="1926" t="s">
        <v>12273</v>
      </c>
      <c r="C2673" s="1926" t="s">
        <v>39</v>
      </c>
      <c r="D2673" s="1926" t="s">
        <v>46</v>
      </c>
      <c r="E2673" s="1662">
        <v>16.899999999999999</v>
      </c>
    </row>
    <row r="2674" spans="1:5" x14ac:dyDescent="0.2">
      <c r="A2674" s="135">
        <v>39303</v>
      </c>
      <c r="B2674" s="1926" t="s">
        <v>12274</v>
      </c>
      <c r="C2674" s="1926" t="s">
        <v>39</v>
      </c>
      <c r="D2674" s="1926" t="s">
        <v>46</v>
      </c>
      <c r="E2674" s="1662">
        <v>29.72</v>
      </c>
    </row>
    <row r="2675" spans="1:5" x14ac:dyDescent="0.2">
      <c r="A2675" s="135">
        <v>38923</v>
      </c>
      <c r="B2675" s="1926" t="s">
        <v>12275</v>
      </c>
      <c r="C2675" s="1926" t="s">
        <v>39</v>
      </c>
      <c r="D2675" s="1926" t="s">
        <v>46</v>
      </c>
      <c r="E2675" s="1662">
        <v>9.4600000000000009</v>
      </c>
    </row>
    <row r="2676" spans="1:5" x14ac:dyDescent="0.2">
      <c r="A2676" s="135">
        <v>38925</v>
      </c>
      <c r="B2676" s="1926" t="s">
        <v>12276</v>
      </c>
      <c r="C2676" s="1926" t="s">
        <v>39</v>
      </c>
      <c r="D2676" s="1926" t="s">
        <v>46</v>
      </c>
      <c r="E2676" s="1662">
        <v>10.17</v>
      </c>
    </row>
    <row r="2677" spans="1:5" x14ac:dyDescent="0.2">
      <c r="A2677" s="135">
        <v>38926</v>
      </c>
      <c r="B2677" s="1926" t="s">
        <v>12277</v>
      </c>
      <c r="C2677" s="1926" t="s">
        <v>39</v>
      </c>
      <c r="D2677" s="1926" t="s">
        <v>46</v>
      </c>
      <c r="E2677" s="1662">
        <v>14.53</v>
      </c>
    </row>
    <row r="2678" spans="1:5" x14ac:dyDescent="0.2">
      <c r="A2678" s="135">
        <v>38927</v>
      </c>
      <c r="B2678" s="1926" t="s">
        <v>12278</v>
      </c>
      <c r="C2678" s="1926" t="s">
        <v>39</v>
      </c>
      <c r="D2678" s="1926" t="s">
        <v>46</v>
      </c>
      <c r="E2678" s="1662">
        <v>15.54</v>
      </c>
    </row>
    <row r="2679" spans="1:5" x14ac:dyDescent="0.2">
      <c r="A2679" s="135">
        <v>39304</v>
      </c>
      <c r="B2679" s="1926" t="s">
        <v>12279</v>
      </c>
      <c r="C2679" s="1926" t="s">
        <v>39</v>
      </c>
      <c r="D2679" s="1926" t="s">
        <v>46</v>
      </c>
      <c r="E2679" s="1662">
        <v>11.97</v>
      </c>
    </row>
    <row r="2680" spans="1:5" x14ac:dyDescent="0.2">
      <c r="A2680" s="135">
        <v>38924</v>
      </c>
      <c r="B2680" s="1926" t="s">
        <v>12280</v>
      </c>
      <c r="C2680" s="1926" t="s">
        <v>39</v>
      </c>
      <c r="D2680" s="1926" t="s">
        <v>46</v>
      </c>
      <c r="E2680" s="1662">
        <v>17.059999999999999</v>
      </c>
    </row>
    <row r="2681" spans="1:5" x14ac:dyDescent="0.2">
      <c r="A2681" s="135">
        <v>39305</v>
      </c>
      <c r="B2681" s="1926" t="s">
        <v>12281</v>
      </c>
      <c r="C2681" s="1926" t="s">
        <v>39</v>
      </c>
      <c r="D2681" s="1926" t="s">
        <v>46</v>
      </c>
      <c r="E2681" s="1662">
        <v>15.67</v>
      </c>
    </row>
    <row r="2682" spans="1:5" x14ac:dyDescent="0.2">
      <c r="A2682" s="135">
        <v>39306</v>
      </c>
      <c r="B2682" s="1926" t="s">
        <v>12282</v>
      </c>
      <c r="C2682" s="1926" t="s">
        <v>39</v>
      </c>
      <c r="D2682" s="1926" t="s">
        <v>46</v>
      </c>
      <c r="E2682" s="1662">
        <v>19.61</v>
      </c>
    </row>
    <row r="2683" spans="1:5" x14ac:dyDescent="0.2">
      <c r="A2683" s="135">
        <v>38928</v>
      </c>
      <c r="B2683" s="1926" t="s">
        <v>12283</v>
      </c>
      <c r="C2683" s="1926" t="s">
        <v>39</v>
      </c>
      <c r="D2683" s="1926" t="s">
        <v>46</v>
      </c>
      <c r="E2683" s="1662">
        <v>17.22</v>
      </c>
    </row>
    <row r="2684" spans="1:5" x14ac:dyDescent="0.2">
      <c r="A2684" s="135">
        <v>38929</v>
      </c>
      <c r="B2684" s="1926" t="s">
        <v>12284</v>
      </c>
      <c r="C2684" s="1926" t="s">
        <v>39</v>
      </c>
      <c r="D2684" s="1926" t="s">
        <v>46</v>
      </c>
      <c r="E2684" s="1662">
        <v>30.54</v>
      </c>
    </row>
    <row r="2685" spans="1:5" x14ac:dyDescent="0.2">
      <c r="A2685" s="135">
        <v>39307</v>
      </c>
      <c r="B2685" s="1926" t="s">
        <v>12285</v>
      </c>
      <c r="C2685" s="1926" t="s">
        <v>39</v>
      </c>
      <c r="D2685" s="1926" t="s">
        <v>46</v>
      </c>
      <c r="E2685" s="1662">
        <v>22.57</v>
      </c>
    </row>
    <row r="2686" spans="1:5" x14ac:dyDescent="0.2">
      <c r="A2686" s="135">
        <v>38930</v>
      </c>
      <c r="B2686" s="1926" t="s">
        <v>12286</v>
      </c>
      <c r="C2686" s="1926" t="s">
        <v>39</v>
      </c>
      <c r="D2686" s="1926" t="s">
        <v>46</v>
      </c>
      <c r="E2686" s="1662">
        <v>38.36</v>
      </c>
    </row>
    <row r="2687" spans="1:5" x14ac:dyDescent="0.2">
      <c r="A2687" s="135">
        <v>38931</v>
      </c>
      <c r="B2687" s="1926" t="s">
        <v>12287</v>
      </c>
      <c r="C2687" s="1926" t="s">
        <v>39</v>
      </c>
      <c r="D2687" s="1926" t="s">
        <v>46</v>
      </c>
      <c r="E2687" s="1662">
        <v>9.66</v>
      </c>
    </row>
    <row r="2688" spans="1:5" x14ac:dyDescent="0.2">
      <c r="A2688" s="135">
        <v>38932</v>
      </c>
      <c r="B2688" s="1926" t="s">
        <v>12288</v>
      </c>
      <c r="C2688" s="1926" t="s">
        <v>39</v>
      </c>
      <c r="D2688" s="1926" t="s">
        <v>46</v>
      </c>
      <c r="E2688" s="1662">
        <v>9.76</v>
      </c>
    </row>
    <row r="2689" spans="1:5" x14ac:dyDescent="0.2">
      <c r="A2689" s="135">
        <v>38934</v>
      </c>
      <c r="B2689" s="1926" t="s">
        <v>12289</v>
      </c>
      <c r="C2689" s="1926" t="s">
        <v>39</v>
      </c>
      <c r="D2689" s="1926" t="s">
        <v>46</v>
      </c>
      <c r="E2689" s="1662">
        <v>14.42</v>
      </c>
    </row>
    <row r="2690" spans="1:5" x14ac:dyDescent="0.2">
      <c r="A2690" s="135">
        <v>38935</v>
      </c>
      <c r="B2690" s="1926" t="s">
        <v>12290</v>
      </c>
      <c r="C2690" s="1926" t="s">
        <v>39</v>
      </c>
      <c r="D2690" s="1926" t="s">
        <v>46</v>
      </c>
      <c r="E2690" s="1662">
        <v>15.43</v>
      </c>
    </row>
    <row r="2691" spans="1:5" x14ac:dyDescent="0.2">
      <c r="A2691" s="135">
        <v>38936</v>
      </c>
      <c r="B2691" s="1926" t="s">
        <v>12291</v>
      </c>
      <c r="C2691" s="1926" t="s">
        <v>39</v>
      </c>
      <c r="D2691" s="1926" t="s">
        <v>46</v>
      </c>
      <c r="E2691" s="1662">
        <v>16.52</v>
      </c>
    </row>
    <row r="2692" spans="1:5" x14ac:dyDescent="0.2">
      <c r="A2692" s="135">
        <v>38937</v>
      </c>
      <c r="B2692" s="1926" t="s">
        <v>12292</v>
      </c>
      <c r="C2692" s="1926" t="s">
        <v>39</v>
      </c>
      <c r="D2692" s="1926" t="s">
        <v>46</v>
      </c>
      <c r="E2692" s="1662">
        <v>20.14</v>
      </c>
    </row>
    <row r="2693" spans="1:5" x14ac:dyDescent="0.2">
      <c r="A2693" s="135">
        <v>38938</v>
      </c>
      <c r="B2693" s="1926" t="s">
        <v>12293</v>
      </c>
      <c r="C2693" s="1926" t="s">
        <v>39</v>
      </c>
      <c r="D2693" s="1926" t="s">
        <v>46</v>
      </c>
      <c r="E2693" s="1662">
        <v>29.94</v>
      </c>
    </row>
    <row r="2694" spans="1:5" x14ac:dyDescent="0.2">
      <c r="A2694" s="135">
        <v>3489</v>
      </c>
      <c r="B2694" s="1926" t="s">
        <v>12294</v>
      </c>
      <c r="C2694" s="1926" t="s">
        <v>39</v>
      </c>
      <c r="D2694" s="1926" t="s">
        <v>40</v>
      </c>
      <c r="E2694" s="1662">
        <v>10.01</v>
      </c>
    </row>
    <row r="2695" spans="1:5" x14ac:dyDescent="0.2">
      <c r="A2695" s="135">
        <v>20151</v>
      </c>
      <c r="B2695" s="1926" t="s">
        <v>12295</v>
      </c>
      <c r="C2695" s="1926" t="s">
        <v>39</v>
      </c>
      <c r="D2695" s="1926" t="s">
        <v>40</v>
      </c>
      <c r="E2695" s="1662">
        <v>15.08</v>
      </c>
    </row>
    <row r="2696" spans="1:5" x14ac:dyDescent="0.2">
      <c r="A2696" s="135">
        <v>20152</v>
      </c>
      <c r="B2696" s="1926" t="s">
        <v>12296</v>
      </c>
      <c r="C2696" s="1926" t="s">
        <v>39</v>
      </c>
      <c r="D2696" s="1926" t="s">
        <v>40</v>
      </c>
      <c r="E2696" s="1662">
        <v>52.47</v>
      </c>
    </row>
    <row r="2697" spans="1:5" x14ac:dyDescent="0.2">
      <c r="A2697" s="135">
        <v>20148</v>
      </c>
      <c r="B2697" s="1926" t="s">
        <v>12297</v>
      </c>
      <c r="C2697" s="1926" t="s">
        <v>39</v>
      </c>
      <c r="D2697" s="1926" t="s">
        <v>40</v>
      </c>
      <c r="E2697" s="1662">
        <v>3</v>
      </c>
    </row>
    <row r="2698" spans="1:5" x14ac:dyDescent="0.2">
      <c r="A2698" s="135">
        <v>20149</v>
      </c>
      <c r="B2698" s="1926" t="s">
        <v>12298</v>
      </c>
      <c r="C2698" s="1926" t="s">
        <v>39</v>
      </c>
      <c r="D2698" s="1926" t="s">
        <v>40</v>
      </c>
      <c r="E2698" s="1662">
        <v>4.6399999999999997</v>
      </c>
    </row>
    <row r="2699" spans="1:5" x14ac:dyDescent="0.2">
      <c r="A2699" s="135">
        <v>20150</v>
      </c>
      <c r="B2699" s="1926" t="s">
        <v>12299</v>
      </c>
      <c r="C2699" s="1926" t="s">
        <v>39</v>
      </c>
      <c r="D2699" s="1926" t="s">
        <v>40</v>
      </c>
      <c r="E2699" s="1662">
        <v>10.82</v>
      </c>
    </row>
    <row r="2700" spans="1:5" x14ac:dyDescent="0.2">
      <c r="A2700" s="135">
        <v>20157</v>
      </c>
      <c r="B2700" s="1926" t="s">
        <v>12300</v>
      </c>
      <c r="C2700" s="1926" t="s">
        <v>39</v>
      </c>
      <c r="D2700" s="1926" t="s">
        <v>40</v>
      </c>
      <c r="E2700" s="1662">
        <v>20.34</v>
      </c>
    </row>
    <row r="2701" spans="1:5" x14ac:dyDescent="0.2">
      <c r="A2701" s="135">
        <v>20158</v>
      </c>
      <c r="B2701" s="1926" t="s">
        <v>12301</v>
      </c>
      <c r="C2701" s="1926" t="s">
        <v>39</v>
      </c>
      <c r="D2701" s="1926" t="s">
        <v>40</v>
      </c>
      <c r="E2701" s="1662">
        <v>67.59</v>
      </c>
    </row>
    <row r="2702" spans="1:5" x14ac:dyDescent="0.2">
      <c r="A2702" s="135">
        <v>20154</v>
      </c>
      <c r="B2702" s="1926" t="s">
        <v>12302</v>
      </c>
      <c r="C2702" s="1926" t="s">
        <v>39</v>
      </c>
      <c r="D2702" s="1926" t="s">
        <v>40</v>
      </c>
      <c r="E2702" s="1662">
        <v>3.85</v>
      </c>
    </row>
    <row r="2703" spans="1:5" x14ac:dyDescent="0.2">
      <c r="A2703" s="135">
        <v>20155</v>
      </c>
      <c r="B2703" s="1926" t="s">
        <v>12303</v>
      </c>
      <c r="C2703" s="1926" t="s">
        <v>39</v>
      </c>
      <c r="D2703" s="1926" t="s">
        <v>40</v>
      </c>
      <c r="E2703" s="1662">
        <v>5.77</v>
      </c>
    </row>
    <row r="2704" spans="1:5" x14ac:dyDescent="0.2">
      <c r="A2704" s="135">
        <v>20156</v>
      </c>
      <c r="B2704" s="1926" t="s">
        <v>12304</v>
      </c>
      <c r="C2704" s="1926" t="s">
        <v>39</v>
      </c>
      <c r="D2704" s="1926" t="s">
        <v>40</v>
      </c>
      <c r="E2704" s="1662">
        <v>12.99</v>
      </c>
    </row>
    <row r="2705" spans="1:5" x14ac:dyDescent="0.2">
      <c r="A2705" s="135">
        <v>3512</v>
      </c>
      <c r="B2705" s="1926" t="s">
        <v>12305</v>
      </c>
      <c r="C2705" s="1926" t="s">
        <v>39</v>
      </c>
      <c r="D2705" s="1926" t="s">
        <v>40</v>
      </c>
      <c r="E2705" s="1662">
        <v>156.88</v>
      </c>
    </row>
    <row r="2706" spans="1:5" x14ac:dyDescent="0.2">
      <c r="A2706" s="135">
        <v>3499</v>
      </c>
      <c r="B2706" s="1926" t="s">
        <v>12306</v>
      </c>
      <c r="C2706" s="1926" t="s">
        <v>39</v>
      </c>
      <c r="D2706" s="1926" t="s">
        <v>40</v>
      </c>
      <c r="E2706" s="1662">
        <v>0.66</v>
      </c>
    </row>
    <row r="2707" spans="1:5" x14ac:dyDescent="0.2">
      <c r="A2707" s="135">
        <v>3500</v>
      </c>
      <c r="B2707" s="1926" t="s">
        <v>12307</v>
      </c>
      <c r="C2707" s="1926" t="s">
        <v>39</v>
      </c>
      <c r="D2707" s="1926" t="s">
        <v>40</v>
      </c>
      <c r="E2707" s="1662">
        <v>1.1200000000000001</v>
      </c>
    </row>
    <row r="2708" spans="1:5" x14ac:dyDescent="0.2">
      <c r="A2708" s="135">
        <v>3501</v>
      </c>
      <c r="B2708" s="1926" t="s">
        <v>12308</v>
      </c>
      <c r="C2708" s="1926" t="s">
        <v>39</v>
      </c>
      <c r="D2708" s="1926" t="s">
        <v>40</v>
      </c>
      <c r="E2708" s="1662">
        <v>3.25</v>
      </c>
    </row>
    <row r="2709" spans="1:5" x14ac:dyDescent="0.2">
      <c r="A2709" s="135">
        <v>3502</v>
      </c>
      <c r="B2709" s="1926" t="s">
        <v>12309</v>
      </c>
      <c r="C2709" s="1926" t="s">
        <v>39</v>
      </c>
      <c r="D2709" s="1926" t="s">
        <v>40</v>
      </c>
      <c r="E2709" s="1662">
        <v>4.63</v>
      </c>
    </row>
    <row r="2710" spans="1:5" x14ac:dyDescent="0.2">
      <c r="A2710" s="135">
        <v>3503</v>
      </c>
      <c r="B2710" s="1926" t="s">
        <v>12310</v>
      </c>
      <c r="C2710" s="1926" t="s">
        <v>39</v>
      </c>
      <c r="D2710" s="1926" t="s">
        <v>40</v>
      </c>
      <c r="E2710" s="1662">
        <v>5.54</v>
      </c>
    </row>
    <row r="2711" spans="1:5" x14ac:dyDescent="0.2">
      <c r="A2711" s="135">
        <v>3477</v>
      </c>
      <c r="B2711" s="1926" t="s">
        <v>12311</v>
      </c>
      <c r="C2711" s="1926" t="s">
        <v>39</v>
      </c>
      <c r="D2711" s="1926" t="s">
        <v>40</v>
      </c>
      <c r="E2711" s="1662">
        <v>21.47</v>
      </c>
    </row>
    <row r="2712" spans="1:5" x14ac:dyDescent="0.2">
      <c r="A2712" s="135">
        <v>3478</v>
      </c>
      <c r="B2712" s="1926" t="s">
        <v>12312</v>
      </c>
      <c r="C2712" s="1926" t="s">
        <v>39</v>
      </c>
      <c r="D2712" s="1926" t="s">
        <v>40</v>
      </c>
      <c r="E2712" s="1662">
        <v>49.34</v>
      </c>
    </row>
    <row r="2713" spans="1:5" x14ac:dyDescent="0.2">
      <c r="A2713" s="135">
        <v>3525</v>
      </c>
      <c r="B2713" s="1926" t="s">
        <v>12313</v>
      </c>
      <c r="C2713" s="1926" t="s">
        <v>39</v>
      </c>
      <c r="D2713" s="1926" t="s">
        <v>40</v>
      </c>
      <c r="E2713" s="1662">
        <v>58.54</v>
      </c>
    </row>
    <row r="2714" spans="1:5" x14ac:dyDescent="0.2">
      <c r="A2714" s="135">
        <v>3511</v>
      </c>
      <c r="B2714" s="1926" t="s">
        <v>12314</v>
      </c>
      <c r="C2714" s="1926" t="s">
        <v>39</v>
      </c>
      <c r="D2714" s="1926" t="s">
        <v>40</v>
      </c>
      <c r="E2714" s="1662">
        <v>68.69</v>
      </c>
    </row>
    <row r="2715" spans="1:5" x14ac:dyDescent="0.2">
      <c r="A2715" s="135">
        <v>38917</v>
      </c>
      <c r="B2715" s="1926" t="s">
        <v>12315</v>
      </c>
      <c r="C2715" s="1926" t="s">
        <v>39</v>
      </c>
      <c r="D2715" s="1926" t="s">
        <v>46</v>
      </c>
      <c r="E2715" s="1662">
        <v>9.24</v>
      </c>
    </row>
    <row r="2716" spans="1:5" x14ac:dyDescent="0.2">
      <c r="A2716" s="135">
        <v>38919</v>
      </c>
      <c r="B2716" s="1926" t="s">
        <v>12316</v>
      </c>
      <c r="C2716" s="1926" t="s">
        <v>39</v>
      </c>
      <c r="D2716" s="1926" t="s">
        <v>46</v>
      </c>
      <c r="E2716" s="1662">
        <v>13.75</v>
      </c>
    </row>
    <row r="2717" spans="1:5" x14ac:dyDescent="0.2">
      <c r="A2717" s="135">
        <v>38922</v>
      </c>
      <c r="B2717" s="1926" t="s">
        <v>12317</v>
      </c>
      <c r="C2717" s="1926" t="s">
        <v>39</v>
      </c>
      <c r="D2717" s="1926" t="s">
        <v>46</v>
      </c>
      <c r="E2717" s="1662">
        <v>17.760000000000002</v>
      </c>
    </row>
    <row r="2718" spans="1:5" x14ac:dyDescent="0.2">
      <c r="A2718" s="135">
        <v>38921</v>
      </c>
      <c r="B2718" s="1926" t="s">
        <v>12318</v>
      </c>
      <c r="C2718" s="1926" t="s">
        <v>39</v>
      </c>
      <c r="D2718" s="1926" t="s">
        <v>46</v>
      </c>
      <c r="E2718" s="1662">
        <v>21.96</v>
      </c>
    </row>
    <row r="2719" spans="1:5" x14ac:dyDescent="0.2">
      <c r="A2719" s="135">
        <v>38918</v>
      </c>
      <c r="B2719" s="1926" t="s">
        <v>12319</v>
      </c>
      <c r="C2719" s="1926" t="s">
        <v>39</v>
      </c>
      <c r="D2719" s="1926" t="s">
        <v>46</v>
      </c>
      <c r="E2719" s="1662">
        <v>20.87</v>
      </c>
    </row>
    <row r="2720" spans="1:5" x14ac:dyDescent="0.2">
      <c r="A2720" s="135">
        <v>38920</v>
      </c>
      <c r="B2720" s="1926" t="s">
        <v>12320</v>
      </c>
      <c r="C2720" s="1926" t="s">
        <v>39</v>
      </c>
      <c r="D2720" s="1926" t="s">
        <v>46</v>
      </c>
      <c r="E2720" s="1662">
        <v>26.1</v>
      </c>
    </row>
    <row r="2721" spans="1:5" x14ac:dyDescent="0.2">
      <c r="A2721" s="135">
        <v>3104</v>
      </c>
      <c r="B2721" s="1926" t="s">
        <v>12321</v>
      </c>
      <c r="C2721" s="1926" t="s">
        <v>57</v>
      </c>
      <c r="D2721" s="1926" t="s">
        <v>40</v>
      </c>
      <c r="E2721" s="1662">
        <v>421.79</v>
      </c>
    </row>
    <row r="2722" spans="1:5" x14ac:dyDescent="0.2">
      <c r="A2722" s="135">
        <v>12032</v>
      </c>
      <c r="B2722" s="1926" t="s">
        <v>12322</v>
      </c>
      <c r="C2722" s="1926" t="s">
        <v>53</v>
      </c>
      <c r="D2722" s="1926" t="s">
        <v>40</v>
      </c>
      <c r="E2722" s="1662">
        <v>39.869999999999997</v>
      </c>
    </row>
    <row r="2723" spans="1:5" x14ac:dyDescent="0.2">
      <c r="A2723" s="135">
        <v>12030</v>
      </c>
      <c r="B2723" s="1926" t="s">
        <v>12323</v>
      </c>
      <c r="C2723" s="1926" t="s">
        <v>53</v>
      </c>
      <c r="D2723" s="1926" t="s">
        <v>40</v>
      </c>
      <c r="E2723" s="1662">
        <v>37.46</v>
      </c>
    </row>
    <row r="2724" spans="1:5" x14ac:dyDescent="0.2">
      <c r="A2724" s="135">
        <v>10908</v>
      </c>
      <c r="B2724" s="1926" t="s">
        <v>12324</v>
      </c>
      <c r="C2724" s="1926" t="s">
        <v>39</v>
      </c>
      <c r="D2724" s="1926" t="s">
        <v>40</v>
      </c>
      <c r="E2724" s="1662">
        <v>11.39</v>
      </c>
    </row>
    <row r="2725" spans="1:5" x14ac:dyDescent="0.2">
      <c r="A2725" s="135">
        <v>10909</v>
      </c>
      <c r="B2725" s="1926" t="s">
        <v>12325</v>
      </c>
      <c r="C2725" s="1926" t="s">
        <v>39</v>
      </c>
      <c r="D2725" s="1926" t="s">
        <v>40</v>
      </c>
      <c r="E2725" s="1662">
        <v>18.16</v>
      </c>
    </row>
    <row r="2726" spans="1:5" x14ac:dyDescent="0.2">
      <c r="A2726" s="135">
        <v>3669</v>
      </c>
      <c r="B2726" s="1926" t="s">
        <v>12326</v>
      </c>
      <c r="C2726" s="1926" t="s">
        <v>39</v>
      </c>
      <c r="D2726" s="1926" t="s">
        <v>40</v>
      </c>
      <c r="E2726" s="1662">
        <v>7.78</v>
      </c>
    </row>
    <row r="2727" spans="1:5" x14ac:dyDescent="0.2">
      <c r="A2727" s="135">
        <v>20138</v>
      </c>
      <c r="B2727" s="1926" t="s">
        <v>12327</v>
      </c>
      <c r="C2727" s="1926" t="s">
        <v>39</v>
      </c>
      <c r="D2727" s="1926" t="s">
        <v>40</v>
      </c>
      <c r="E2727" s="1662">
        <v>38.67</v>
      </c>
    </row>
    <row r="2728" spans="1:5" x14ac:dyDescent="0.2">
      <c r="A2728" s="135">
        <v>20139</v>
      </c>
      <c r="B2728" s="1926" t="s">
        <v>12328</v>
      </c>
      <c r="C2728" s="1926" t="s">
        <v>39</v>
      </c>
      <c r="D2728" s="1926" t="s">
        <v>40</v>
      </c>
      <c r="E2728" s="1662">
        <v>64.97</v>
      </c>
    </row>
    <row r="2729" spans="1:5" x14ac:dyDescent="0.2">
      <c r="A2729" s="135">
        <v>3668</v>
      </c>
      <c r="B2729" s="1926" t="s">
        <v>12329</v>
      </c>
      <c r="C2729" s="1926" t="s">
        <v>39</v>
      </c>
      <c r="D2729" s="1926" t="s">
        <v>40</v>
      </c>
      <c r="E2729" s="1662">
        <v>25.76</v>
      </c>
    </row>
    <row r="2730" spans="1:5" x14ac:dyDescent="0.2">
      <c r="A2730" s="135">
        <v>3656</v>
      </c>
      <c r="B2730" s="1926" t="s">
        <v>12330</v>
      </c>
      <c r="C2730" s="1926" t="s">
        <v>39</v>
      </c>
      <c r="D2730" s="1926" t="s">
        <v>40</v>
      </c>
      <c r="E2730" s="1662">
        <v>12.77</v>
      </c>
    </row>
    <row r="2731" spans="1:5" x14ac:dyDescent="0.2">
      <c r="A2731" s="135">
        <v>10911</v>
      </c>
      <c r="B2731" s="1926" t="s">
        <v>12331</v>
      </c>
      <c r="C2731" s="1926" t="s">
        <v>39</v>
      </c>
      <c r="D2731" s="1926" t="s">
        <v>40</v>
      </c>
      <c r="E2731" s="1662">
        <v>14.17</v>
      </c>
    </row>
    <row r="2732" spans="1:5" x14ac:dyDescent="0.2">
      <c r="A2732" s="135">
        <v>3654</v>
      </c>
      <c r="B2732" s="1926" t="s">
        <v>12332</v>
      </c>
      <c r="C2732" s="1926" t="s">
        <v>39</v>
      </c>
      <c r="D2732" s="1926" t="s">
        <v>40</v>
      </c>
      <c r="E2732" s="1662">
        <v>3.48</v>
      </c>
    </row>
    <row r="2733" spans="1:5" x14ac:dyDescent="0.2">
      <c r="A2733" s="135">
        <v>3664</v>
      </c>
      <c r="B2733" s="1926" t="s">
        <v>12333</v>
      </c>
      <c r="C2733" s="1926" t="s">
        <v>39</v>
      </c>
      <c r="D2733" s="1926" t="s">
        <v>40</v>
      </c>
      <c r="E2733" s="1662">
        <v>4.32</v>
      </c>
    </row>
    <row r="2734" spans="1:5" x14ac:dyDescent="0.2">
      <c r="A2734" s="135">
        <v>3657</v>
      </c>
      <c r="B2734" s="1926" t="s">
        <v>12334</v>
      </c>
      <c r="C2734" s="1926" t="s">
        <v>39</v>
      </c>
      <c r="D2734" s="1926" t="s">
        <v>40</v>
      </c>
      <c r="E2734" s="1662">
        <v>4.66</v>
      </c>
    </row>
    <row r="2735" spans="1:5" x14ac:dyDescent="0.2">
      <c r="A2735" s="135">
        <v>12625</v>
      </c>
      <c r="B2735" s="1926" t="s">
        <v>12335</v>
      </c>
      <c r="C2735" s="1926" t="s">
        <v>39</v>
      </c>
      <c r="D2735" s="1926" t="s">
        <v>46</v>
      </c>
      <c r="E2735" s="1662">
        <v>7.32</v>
      </c>
    </row>
    <row r="2736" spans="1:5" x14ac:dyDescent="0.2">
      <c r="A2736" s="135">
        <v>20136</v>
      </c>
      <c r="B2736" s="1926" t="s">
        <v>12336</v>
      </c>
      <c r="C2736" s="1926" t="s">
        <v>39</v>
      </c>
      <c r="D2736" s="1926" t="s">
        <v>40</v>
      </c>
      <c r="E2736" s="1662">
        <v>87.27</v>
      </c>
    </row>
    <row r="2737" spans="1:5" x14ac:dyDescent="0.2">
      <c r="A2737" s="135">
        <v>20144</v>
      </c>
      <c r="B2737" s="1926" t="s">
        <v>12337</v>
      </c>
      <c r="C2737" s="1926" t="s">
        <v>39</v>
      </c>
      <c r="D2737" s="1926" t="s">
        <v>40</v>
      </c>
      <c r="E2737" s="1662">
        <v>38.33</v>
      </c>
    </row>
    <row r="2738" spans="1:5" x14ac:dyDescent="0.2">
      <c r="A2738" s="135">
        <v>20143</v>
      </c>
      <c r="B2738" s="1926" t="s">
        <v>12338</v>
      </c>
      <c r="C2738" s="1926" t="s">
        <v>39</v>
      </c>
      <c r="D2738" s="1926" t="s">
        <v>40</v>
      </c>
      <c r="E2738" s="1662">
        <v>35.799999999999997</v>
      </c>
    </row>
    <row r="2739" spans="1:5" x14ac:dyDescent="0.2">
      <c r="A2739" s="135">
        <v>20145</v>
      </c>
      <c r="B2739" s="1926" t="s">
        <v>12339</v>
      </c>
      <c r="C2739" s="1926" t="s">
        <v>39</v>
      </c>
      <c r="D2739" s="1926" t="s">
        <v>40</v>
      </c>
      <c r="E2739" s="1662">
        <v>101.6</v>
      </c>
    </row>
    <row r="2740" spans="1:5" x14ac:dyDescent="0.2">
      <c r="A2740" s="135">
        <v>20146</v>
      </c>
      <c r="B2740" s="1926" t="s">
        <v>12340</v>
      </c>
      <c r="C2740" s="1926" t="s">
        <v>39</v>
      </c>
      <c r="D2740" s="1926" t="s">
        <v>40</v>
      </c>
      <c r="E2740" s="1662">
        <v>114.57</v>
      </c>
    </row>
    <row r="2741" spans="1:5" x14ac:dyDescent="0.2">
      <c r="A2741" s="135">
        <v>20140</v>
      </c>
      <c r="B2741" s="1926" t="s">
        <v>12341</v>
      </c>
      <c r="C2741" s="1926" t="s">
        <v>39</v>
      </c>
      <c r="D2741" s="1926" t="s">
        <v>40</v>
      </c>
      <c r="E2741" s="1662">
        <v>4.5599999999999996</v>
      </c>
    </row>
    <row r="2742" spans="1:5" x14ac:dyDescent="0.2">
      <c r="A2742" s="135">
        <v>20141</v>
      </c>
      <c r="B2742" s="1926" t="s">
        <v>12342</v>
      </c>
      <c r="C2742" s="1926" t="s">
        <v>39</v>
      </c>
      <c r="D2742" s="1926" t="s">
        <v>40</v>
      </c>
      <c r="E2742" s="1662">
        <v>8</v>
      </c>
    </row>
    <row r="2743" spans="1:5" x14ac:dyDescent="0.2">
      <c r="A2743" s="135">
        <v>20142</v>
      </c>
      <c r="B2743" s="1926" t="s">
        <v>12343</v>
      </c>
      <c r="C2743" s="1926" t="s">
        <v>39</v>
      </c>
      <c r="D2743" s="1926" t="s">
        <v>40</v>
      </c>
      <c r="E2743" s="1662">
        <v>24.5</v>
      </c>
    </row>
    <row r="2744" spans="1:5" x14ac:dyDescent="0.2">
      <c r="A2744" s="135">
        <v>3659</v>
      </c>
      <c r="B2744" s="1926" t="s">
        <v>12344</v>
      </c>
      <c r="C2744" s="1926" t="s">
        <v>39</v>
      </c>
      <c r="D2744" s="1926" t="s">
        <v>40</v>
      </c>
      <c r="E2744" s="1662">
        <v>10.63</v>
      </c>
    </row>
    <row r="2745" spans="1:5" x14ac:dyDescent="0.2">
      <c r="A2745" s="135">
        <v>3660</v>
      </c>
      <c r="B2745" s="1926" t="s">
        <v>12345</v>
      </c>
      <c r="C2745" s="1926" t="s">
        <v>39</v>
      </c>
      <c r="D2745" s="1926" t="s">
        <v>40</v>
      </c>
      <c r="E2745" s="1662">
        <v>15.32</v>
      </c>
    </row>
    <row r="2746" spans="1:5" x14ac:dyDescent="0.2">
      <c r="A2746" s="135">
        <v>3662</v>
      </c>
      <c r="B2746" s="1926" t="s">
        <v>12346</v>
      </c>
      <c r="C2746" s="1926" t="s">
        <v>39</v>
      </c>
      <c r="D2746" s="1926" t="s">
        <v>40</v>
      </c>
      <c r="E2746" s="1662">
        <v>5.78</v>
      </c>
    </row>
    <row r="2747" spans="1:5" x14ac:dyDescent="0.2">
      <c r="A2747" s="135">
        <v>3661</v>
      </c>
      <c r="B2747" s="1926" t="s">
        <v>12347</v>
      </c>
      <c r="C2747" s="1926" t="s">
        <v>39</v>
      </c>
      <c r="D2747" s="1926" t="s">
        <v>40</v>
      </c>
      <c r="E2747" s="1662">
        <v>8.51</v>
      </c>
    </row>
    <row r="2748" spans="1:5" x14ac:dyDescent="0.2">
      <c r="A2748" s="135">
        <v>3658</v>
      </c>
      <c r="B2748" s="1926" t="s">
        <v>12348</v>
      </c>
      <c r="C2748" s="1926" t="s">
        <v>39</v>
      </c>
      <c r="D2748" s="1926" t="s">
        <v>40</v>
      </c>
      <c r="E2748" s="1662">
        <v>10.83</v>
      </c>
    </row>
    <row r="2749" spans="1:5" x14ac:dyDescent="0.2">
      <c r="A2749" s="135">
        <v>3670</v>
      </c>
      <c r="B2749" s="1926" t="s">
        <v>12349</v>
      </c>
      <c r="C2749" s="1926" t="s">
        <v>39</v>
      </c>
      <c r="D2749" s="1926" t="s">
        <v>40</v>
      </c>
      <c r="E2749" s="1662">
        <v>14.14</v>
      </c>
    </row>
    <row r="2750" spans="1:5" x14ac:dyDescent="0.2">
      <c r="A2750" s="135">
        <v>3666</v>
      </c>
      <c r="B2750" s="1926" t="s">
        <v>12350</v>
      </c>
      <c r="C2750" s="1926" t="s">
        <v>39</v>
      </c>
      <c r="D2750" s="1926" t="s">
        <v>40</v>
      </c>
      <c r="E2750" s="1662">
        <v>2.39</v>
      </c>
    </row>
    <row r="2751" spans="1:5" x14ac:dyDescent="0.2">
      <c r="A2751" s="135">
        <v>14157</v>
      </c>
      <c r="B2751" s="1926" t="s">
        <v>12351</v>
      </c>
      <c r="C2751" s="1926" t="s">
        <v>39</v>
      </c>
      <c r="D2751" s="1926" t="s">
        <v>46</v>
      </c>
      <c r="E2751" s="1662">
        <v>0.88</v>
      </c>
    </row>
    <row r="2752" spans="1:5" x14ac:dyDescent="0.2">
      <c r="A2752" s="135">
        <v>3653</v>
      </c>
      <c r="B2752" s="1926" t="s">
        <v>12352</v>
      </c>
      <c r="C2752" s="1926" t="s">
        <v>39</v>
      </c>
      <c r="D2752" s="1926" t="s">
        <v>46</v>
      </c>
      <c r="E2752" s="1662">
        <v>64.95</v>
      </c>
    </row>
    <row r="2753" spans="1:5" x14ac:dyDescent="0.2">
      <c r="A2753" s="135">
        <v>3649</v>
      </c>
      <c r="B2753" s="1926" t="s">
        <v>12353</v>
      </c>
      <c r="C2753" s="1926" t="s">
        <v>39</v>
      </c>
      <c r="D2753" s="1926" t="s">
        <v>46</v>
      </c>
      <c r="E2753" s="1662">
        <v>134.54</v>
      </c>
    </row>
    <row r="2754" spans="1:5" x14ac:dyDescent="0.2">
      <c r="A2754" s="135">
        <v>42696</v>
      </c>
      <c r="B2754" s="1926" t="s">
        <v>12354</v>
      </c>
      <c r="C2754" s="1926" t="s">
        <v>39</v>
      </c>
      <c r="D2754" s="1926" t="s">
        <v>46</v>
      </c>
      <c r="E2754" s="1662">
        <v>376.42</v>
      </c>
    </row>
    <row r="2755" spans="1:5" x14ac:dyDescent="0.2">
      <c r="A2755" s="135">
        <v>42697</v>
      </c>
      <c r="B2755" s="1926" t="s">
        <v>12355</v>
      </c>
      <c r="C2755" s="1926" t="s">
        <v>39</v>
      </c>
      <c r="D2755" s="1926" t="s">
        <v>46</v>
      </c>
      <c r="E2755" s="1662">
        <v>566.9</v>
      </c>
    </row>
    <row r="2756" spans="1:5" x14ac:dyDescent="0.2">
      <c r="A2756" s="135">
        <v>42698</v>
      </c>
      <c r="B2756" s="1926" t="s">
        <v>12356</v>
      </c>
      <c r="C2756" s="1926" t="s">
        <v>39</v>
      </c>
      <c r="D2756" s="1926" t="s">
        <v>46</v>
      </c>
      <c r="E2756" s="1662">
        <v>789.68</v>
      </c>
    </row>
    <row r="2757" spans="1:5" x14ac:dyDescent="0.2">
      <c r="A2757" s="135">
        <v>39875</v>
      </c>
      <c r="B2757" s="1926" t="s">
        <v>12357</v>
      </c>
      <c r="C2757" s="1926" t="s">
        <v>39</v>
      </c>
      <c r="D2757" s="1926" t="s">
        <v>46</v>
      </c>
      <c r="E2757" s="1662">
        <v>409.5</v>
      </c>
    </row>
    <row r="2758" spans="1:5" x14ac:dyDescent="0.2">
      <c r="A2758" s="135">
        <v>39876</v>
      </c>
      <c r="B2758" s="1926" t="s">
        <v>12358</v>
      </c>
      <c r="C2758" s="1926" t="s">
        <v>39</v>
      </c>
      <c r="D2758" s="1926" t="s">
        <v>46</v>
      </c>
      <c r="E2758" s="1662">
        <v>512.69000000000005</v>
      </c>
    </row>
    <row r="2759" spans="1:5" x14ac:dyDescent="0.2">
      <c r="A2759" s="135">
        <v>39877</v>
      </c>
      <c r="B2759" s="1926" t="s">
        <v>12359</v>
      </c>
      <c r="C2759" s="1926" t="s">
        <v>39</v>
      </c>
      <c r="D2759" s="1926" t="s">
        <v>46</v>
      </c>
      <c r="E2759" s="1662">
        <v>711.08</v>
      </c>
    </row>
    <row r="2760" spans="1:5" x14ac:dyDescent="0.2">
      <c r="A2760" s="135">
        <v>39878</v>
      </c>
      <c r="B2760" s="1926" t="s">
        <v>12360</v>
      </c>
      <c r="C2760" s="1926" t="s">
        <v>39</v>
      </c>
      <c r="D2760" s="1926" t="s">
        <v>46</v>
      </c>
      <c r="E2760" s="1662">
        <v>939.23</v>
      </c>
    </row>
    <row r="2761" spans="1:5" x14ac:dyDescent="0.2">
      <c r="A2761" s="135">
        <v>39872</v>
      </c>
      <c r="B2761" s="1926" t="s">
        <v>12361</v>
      </c>
      <c r="C2761" s="1926" t="s">
        <v>39</v>
      </c>
      <c r="D2761" s="1926" t="s">
        <v>46</v>
      </c>
      <c r="E2761" s="1662">
        <v>280.82</v>
      </c>
    </row>
    <row r="2762" spans="1:5" x14ac:dyDescent="0.2">
      <c r="A2762" s="135">
        <v>39873</v>
      </c>
      <c r="B2762" s="1926" t="s">
        <v>12362</v>
      </c>
      <c r="C2762" s="1926" t="s">
        <v>39</v>
      </c>
      <c r="D2762" s="1926" t="s">
        <v>46</v>
      </c>
      <c r="E2762" s="1662">
        <v>325.74</v>
      </c>
    </row>
    <row r="2763" spans="1:5" x14ac:dyDescent="0.2">
      <c r="A2763" s="135">
        <v>39874</v>
      </c>
      <c r="B2763" s="1926" t="s">
        <v>12363</v>
      </c>
      <c r="C2763" s="1926" t="s">
        <v>39</v>
      </c>
      <c r="D2763" s="1926" t="s">
        <v>46</v>
      </c>
      <c r="E2763" s="1662">
        <v>357.78</v>
      </c>
    </row>
    <row r="2764" spans="1:5" x14ac:dyDescent="0.2">
      <c r="A2764" s="135">
        <v>3674</v>
      </c>
      <c r="B2764" s="1926" t="s">
        <v>12364</v>
      </c>
      <c r="C2764" s="1926" t="s">
        <v>47</v>
      </c>
      <c r="D2764" s="1926" t="s">
        <v>40</v>
      </c>
      <c r="E2764" s="1662">
        <v>53.68</v>
      </c>
    </row>
    <row r="2765" spans="1:5" x14ac:dyDescent="0.2">
      <c r="A2765" s="135">
        <v>3681</v>
      </c>
      <c r="B2765" s="1926" t="s">
        <v>12365</v>
      </c>
      <c r="C2765" s="1926" t="s">
        <v>47</v>
      </c>
      <c r="D2765" s="1926" t="s">
        <v>40</v>
      </c>
      <c r="E2765" s="1662">
        <v>79.86</v>
      </c>
    </row>
    <row r="2766" spans="1:5" x14ac:dyDescent="0.2">
      <c r="A2766" s="135">
        <v>3676</v>
      </c>
      <c r="B2766" s="1926" t="s">
        <v>12366</v>
      </c>
      <c r="C2766" s="1926" t="s">
        <v>47</v>
      </c>
      <c r="D2766" s="1926" t="s">
        <v>40</v>
      </c>
      <c r="E2766" s="1662">
        <v>300.57</v>
      </c>
    </row>
    <row r="2767" spans="1:5" x14ac:dyDescent="0.2">
      <c r="A2767" s="135">
        <v>3679</v>
      </c>
      <c r="B2767" s="1926" t="s">
        <v>12367</v>
      </c>
      <c r="C2767" s="1926" t="s">
        <v>47</v>
      </c>
      <c r="D2767" s="1926" t="s">
        <v>40</v>
      </c>
      <c r="E2767" s="1662">
        <v>248.66</v>
      </c>
    </row>
    <row r="2768" spans="1:5" x14ac:dyDescent="0.2">
      <c r="A2768" s="135">
        <v>3672</v>
      </c>
      <c r="B2768" s="1926" t="s">
        <v>12368</v>
      </c>
      <c r="C2768" s="1926" t="s">
        <v>47</v>
      </c>
      <c r="D2768" s="1926" t="s">
        <v>40</v>
      </c>
      <c r="E2768" s="1662">
        <v>0.84</v>
      </c>
    </row>
    <row r="2769" spans="1:5" x14ac:dyDescent="0.2">
      <c r="A2769" s="135">
        <v>3671</v>
      </c>
      <c r="B2769" s="1926" t="s">
        <v>12369</v>
      </c>
      <c r="C2769" s="1926" t="s">
        <v>47</v>
      </c>
      <c r="D2769" s="1926" t="s">
        <v>43</v>
      </c>
      <c r="E2769" s="1662">
        <v>0.8</v>
      </c>
    </row>
    <row r="2770" spans="1:5" x14ac:dyDescent="0.2">
      <c r="A2770" s="135">
        <v>3673</v>
      </c>
      <c r="B2770" s="1926" t="s">
        <v>12370</v>
      </c>
      <c r="C2770" s="1926" t="s">
        <v>47</v>
      </c>
      <c r="D2770" s="1926" t="s">
        <v>40</v>
      </c>
      <c r="E2770" s="1662">
        <v>1.25</v>
      </c>
    </row>
    <row r="2771" spans="1:5" x14ac:dyDescent="0.2">
      <c r="A2771" s="135">
        <v>38394</v>
      </c>
      <c r="B2771" s="1926" t="s">
        <v>12371</v>
      </c>
      <c r="C2771" s="1926" t="s">
        <v>39</v>
      </c>
      <c r="D2771" s="1926" t="s">
        <v>40</v>
      </c>
      <c r="E2771" s="1662">
        <v>248.76</v>
      </c>
    </row>
    <row r="2772" spans="1:5" x14ac:dyDescent="0.2">
      <c r="A2772" s="135">
        <v>3729</v>
      </c>
      <c r="B2772" s="1926" t="s">
        <v>12372</v>
      </c>
      <c r="C2772" s="1926" t="s">
        <v>39</v>
      </c>
      <c r="D2772" s="1926" t="s">
        <v>40</v>
      </c>
      <c r="E2772" s="1662">
        <v>58.25</v>
      </c>
    </row>
    <row r="2773" spans="1:5" x14ac:dyDescent="0.2">
      <c r="A2773" s="135">
        <v>39357</v>
      </c>
      <c r="B2773" s="1926" t="s">
        <v>12373</v>
      </c>
      <c r="C2773" s="1926" t="s">
        <v>39</v>
      </c>
      <c r="D2773" s="1926" t="s">
        <v>46</v>
      </c>
      <c r="E2773" s="1662">
        <v>83.96</v>
      </c>
    </row>
    <row r="2774" spans="1:5" x14ac:dyDescent="0.2">
      <c r="A2774" s="135">
        <v>39358</v>
      </c>
      <c r="B2774" s="1926" t="s">
        <v>12374</v>
      </c>
      <c r="C2774" s="1926" t="s">
        <v>39</v>
      </c>
      <c r="D2774" s="1926" t="s">
        <v>46</v>
      </c>
      <c r="E2774" s="1662">
        <v>92.07</v>
      </c>
    </row>
    <row r="2775" spans="1:5" x14ac:dyDescent="0.2">
      <c r="A2775" s="135">
        <v>39356</v>
      </c>
      <c r="B2775" s="1926" t="s">
        <v>12375</v>
      </c>
      <c r="C2775" s="1926" t="s">
        <v>39</v>
      </c>
      <c r="D2775" s="1926" t="s">
        <v>46</v>
      </c>
      <c r="E2775" s="1662">
        <v>157.07</v>
      </c>
    </row>
    <row r="2776" spans="1:5" x14ac:dyDescent="0.2">
      <c r="A2776" s="135">
        <v>39355</v>
      </c>
      <c r="B2776" s="1926" t="s">
        <v>12376</v>
      </c>
      <c r="C2776" s="1926" t="s">
        <v>39</v>
      </c>
      <c r="D2776" s="1926" t="s">
        <v>46</v>
      </c>
      <c r="E2776" s="1662">
        <v>135.16</v>
      </c>
    </row>
    <row r="2777" spans="1:5" x14ac:dyDescent="0.2">
      <c r="A2777" s="135">
        <v>39353</v>
      </c>
      <c r="B2777" s="1926" t="s">
        <v>12377</v>
      </c>
      <c r="C2777" s="1926" t="s">
        <v>39</v>
      </c>
      <c r="D2777" s="1926" t="s">
        <v>46</v>
      </c>
      <c r="E2777" s="1662">
        <v>185.36</v>
      </c>
    </row>
    <row r="2778" spans="1:5" x14ac:dyDescent="0.2">
      <c r="A2778" s="135">
        <v>39354</v>
      </c>
      <c r="B2778" s="1926" t="s">
        <v>12378</v>
      </c>
      <c r="C2778" s="1926" t="s">
        <v>39</v>
      </c>
      <c r="D2778" s="1926" t="s">
        <v>46</v>
      </c>
      <c r="E2778" s="1662">
        <v>184.74</v>
      </c>
    </row>
    <row r="2779" spans="1:5" x14ac:dyDescent="0.2">
      <c r="A2779" s="135">
        <v>39398</v>
      </c>
      <c r="B2779" s="1926" t="s">
        <v>12379</v>
      </c>
      <c r="C2779" s="1926" t="s">
        <v>39</v>
      </c>
      <c r="D2779" s="1926" t="s">
        <v>40</v>
      </c>
      <c r="E2779" s="1662">
        <v>63</v>
      </c>
    </row>
    <row r="2780" spans="1:5" x14ac:dyDescent="0.2">
      <c r="A2780" s="135">
        <v>13343</v>
      </c>
      <c r="B2780" s="1926" t="s">
        <v>12380</v>
      </c>
      <c r="C2780" s="1926" t="s">
        <v>39</v>
      </c>
      <c r="D2780" s="1926" t="s">
        <v>40</v>
      </c>
      <c r="E2780" s="1662">
        <v>32.97</v>
      </c>
    </row>
    <row r="2781" spans="1:5" x14ac:dyDescent="0.2">
      <c r="A2781" s="135">
        <v>12118</v>
      </c>
      <c r="B2781" s="1926" t="s">
        <v>12381</v>
      </c>
      <c r="C2781" s="1926" t="s">
        <v>39</v>
      </c>
      <c r="D2781" s="1926" t="s">
        <v>40</v>
      </c>
      <c r="E2781" s="1662">
        <v>20.92</v>
      </c>
    </row>
    <row r="2782" spans="1:5" x14ac:dyDescent="0.2">
      <c r="A2782" s="135">
        <v>39482</v>
      </c>
      <c r="B2782" s="1926" t="s">
        <v>12382</v>
      </c>
      <c r="C2782" s="1926" t="s">
        <v>39</v>
      </c>
      <c r="D2782" s="1926" t="s">
        <v>40</v>
      </c>
      <c r="E2782" s="1662">
        <v>356.94</v>
      </c>
    </row>
    <row r="2783" spans="1:5" x14ac:dyDescent="0.2">
      <c r="A2783" s="135">
        <v>39486</v>
      </c>
      <c r="B2783" s="1926" t="s">
        <v>12383</v>
      </c>
      <c r="C2783" s="1926" t="s">
        <v>39</v>
      </c>
      <c r="D2783" s="1926" t="s">
        <v>40</v>
      </c>
      <c r="E2783" s="1662">
        <v>314.48</v>
      </c>
    </row>
    <row r="2784" spans="1:5" x14ac:dyDescent="0.2">
      <c r="A2784" s="135">
        <v>39483</v>
      </c>
      <c r="B2784" s="1926" t="s">
        <v>12384</v>
      </c>
      <c r="C2784" s="1926" t="s">
        <v>39</v>
      </c>
      <c r="D2784" s="1926" t="s">
        <v>40</v>
      </c>
      <c r="E2784" s="1662">
        <v>340.44</v>
      </c>
    </row>
    <row r="2785" spans="1:5" x14ac:dyDescent="0.2">
      <c r="A2785" s="135">
        <v>39487</v>
      </c>
      <c r="B2785" s="1926" t="s">
        <v>12385</v>
      </c>
      <c r="C2785" s="1926" t="s">
        <v>39</v>
      </c>
      <c r="D2785" s="1926" t="s">
        <v>40</v>
      </c>
      <c r="E2785" s="1662">
        <v>317.72000000000003</v>
      </c>
    </row>
    <row r="2786" spans="1:5" x14ac:dyDescent="0.2">
      <c r="A2786" s="135">
        <v>39484</v>
      </c>
      <c r="B2786" s="1926" t="s">
        <v>12386</v>
      </c>
      <c r="C2786" s="1926" t="s">
        <v>39</v>
      </c>
      <c r="D2786" s="1926" t="s">
        <v>40</v>
      </c>
      <c r="E2786" s="1662">
        <v>343.68</v>
      </c>
    </row>
    <row r="2787" spans="1:5" x14ac:dyDescent="0.2">
      <c r="A2787" s="135">
        <v>39488</v>
      </c>
      <c r="B2787" s="1926" t="s">
        <v>12387</v>
      </c>
      <c r="C2787" s="1926" t="s">
        <v>39</v>
      </c>
      <c r="D2787" s="1926" t="s">
        <v>40</v>
      </c>
      <c r="E2787" s="1662">
        <v>320.97000000000003</v>
      </c>
    </row>
    <row r="2788" spans="1:5" x14ac:dyDescent="0.2">
      <c r="A2788" s="135">
        <v>39485</v>
      </c>
      <c r="B2788" s="1926" t="s">
        <v>12388</v>
      </c>
      <c r="C2788" s="1926" t="s">
        <v>39</v>
      </c>
      <c r="D2788" s="1926" t="s">
        <v>40</v>
      </c>
      <c r="E2788" s="1662">
        <v>359.92</v>
      </c>
    </row>
    <row r="2789" spans="1:5" x14ac:dyDescent="0.2">
      <c r="A2789" s="135">
        <v>39489</v>
      </c>
      <c r="B2789" s="1926" t="s">
        <v>12389</v>
      </c>
      <c r="C2789" s="1926" t="s">
        <v>39</v>
      </c>
      <c r="D2789" s="1926" t="s">
        <v>40</v>
      </c>
      <c r="E2789" s="1662">
        <v>337.21</v>
      </c>
    </row>
    <row r="2790" spans="1:5" x14ac:dyDescent="0.2">
      <c r="A2790" s="135">
        <v>39494</v>
      </c>
      <c r="B2790" s="1926" t="s">
        <v>12390</v>
      </c>
      <c r="C2790" s="1926" t="s">
        <v>39</v>
      </c>
      <c r="D2790" s="1926" t="s">
        <v>40</v>
      </c>
      <c r="E2790" s="1662">
        <v>343.96</v>
      </c>
    </row>
    <row r="2791" spans="1:5" x14ac:dyDescent="0.2">
      <c r="A2791" s="135">
        <v>39490</v>
      </c>
      <c r="B2791" s="1926" t="s">
        <v>12391</v>
      </c>
      <c r="C2791" s="1926" t="s">
        <v>39</v>
      </c>
      <c r="D2791" s="1926" t="s">
        <v>40</v>
      </c>
      <c r="E2791" s="1662">
        <v>389.91</v>
      </c>
    </row>
    <row r="2792" spans="1:5" x14ac:dyDescent="0.2">
      <c r="A2792" s="135">
        <v>39495</v>
      </c>
      <c r="B2792" s="1926" t="s">
        <v>12392</v>
      </c>
      <c r="C2792" s="1926" t="s">
        <v>39</v>
      </c>
      <c r="D2792" s="1926" t="s">
        <v>40</v>
      </c>
      <c r="E2792" s="1662">
        <v>356.94</v>
      </c>
    </row>
    <row r="2793" spans="1:5" x14ac:dyDescent="0.2">
      <c r="A2793" s="135">
        <v>39491</v>
      </c>
      <c r="B2793" s="1926" t="s">
        <v>12393</v>
      </c>
      <c r="C2793" s="1926" t="s">
        <v>39</v>
      </c>
      <c r="D2793" s="1926" t="s">
        <v>40</v>
      </c>
      <c r="E2793" s="1662">
        <v>402.37</v>
      </c>
    </row>
    <row r="2794" spans="1:5" x14ac:dyDescent="0.2">
      <c r="A2794" s="135">
        <v>39496</v>
      </c>
      <c r="B2794" s="1926" t="s">
        <v>12394</v>
      </c>
      <c r="C2794" s="1926" t="s">
        <v>39</v>
      </c>
      <c r="D2794" s="1926" t="s">
        <v>40</v>
      </c>
      <c r="E2794" s="1662">
        <v>369.79</v>
      </c>
    </row>
    <row r="2795" spans="1:5" x14ac:dyDescent="0.2">
      <c r="A2795" s="135">
        <v>39492</v>
      </c>
      <c r="B2795" s="1926" t="s">
        <v>12395</v>
      </c>
      <c r="C2795" s="1926" t="s">
        <v>39</v>
      </c>
      <c r="D2795" s="1926" t="s">
        <v>40</v>
      </c>
      <c r="E2795" s="1662">
        <v>404.84</v>
      </c>
    </row>
    <row r="2796" spans="1:5" x14ac:dyDescent="0.2">
      <c r="A2796" s="135">
        <v>39497</v>
      </c>
      <c r="B2796" s="1926" t="s">
        <v>12396</v>
      </c>
      <c r="C2796" s="1926" t="s">
        <v>39</v>
      </c>
      <c r="D2796" s="1926" t="s">
        <v>40</v>
      </c>
      <c r="E2796" s="1662">
        <v>382.77</v>
      </c>
    </row>
    <row r="2797" spans="1:5" x14ac:dyDescent="0.2">
      <c r="A2797" s="135">
        <v>39493</v>
      </c>
      <c r="B2797" s="1926" t="s">
        <v>12397</v>
      </c>
      <c r="C2797" s="1926" t="s">
        <v>39</v>
      </c>
      <c r="D2797" s="1926" t="s">
        <v>40</v>
      </c>
      <c r="E2797" s="1662">
        <v>428.33</v>
      </c>
    </row>
    <row r="2798" spans="1:5" x14ac:dyDescent="0.2">
      <c r="A2798" s="135">
        <v>39500</v>
      </c>
      <c r="B2798" s="1926" t="s">
        <v>12398</v>
      </c>
      <c r="C2798" s="1926" t="s">
        <v>39</v>
      </c>
      <c r="D2798" s="1926" t="s">
        <v>40</v>
      </c>
      <c r="E2798" s="1662">
        <v>429.73</v>
      </c>
    </row>
    <row r="2799" spans="1:5" x14ac:dyDescent="0.2">
      <c r="A2799" s="135">
        <v>39498</v>
      </c>
      <c r="B2799" s="1926" t="s">
        <v>12399</v>
      </c>
      <c r="C2799" s="1926" t="s">
        <v>39</v>
      </c>
      <c r="D2799" s="1926" t="s">
        <v>40</v>
      </c>
      <c r="E2799" s="1662">
        <v>477.85</v>
      </c>
    </row>
    <row r="2800" spans="1:5" x14ac:dyDescent="0.2">
      <c r="A2800" s="135">
        <v>39501</v>
      </c>
      <c r="B2800" s="1926" t="s">
        <v>12400</v>
      </c>
      <c r="C2800" s="1926" t="s">
        <v>39</v>
      </c>
      <c r="D2800" s="1926" t="s">
        <v>40</v>
      </c>
      <c r="E2800" s="1662">
        <v>440.92</v>
      </c>
    </row>
    <row r="2801" spans="1:5" x14ac:dyDescent="0.2">
      <c r="A2801" s="135">
        <v>39499</v>
      </c>
      <c r="B2801" s="1926" t="s">
        <v>12401</v>
      </c>
      <c r="C2801" s="1926" t="s">
        <v>39</v>
      </c>
      <c r="D2801" s="1926" t="s">
        <v>40</v>
      </c>
      <c r="E2801" s="1662">
        <v>518.38</v>
      </c>
    </row>
    <row r="2802" spans="1:5" x14ac:dyDescent="0.2">
      <c r="A2802" s="135">
        <v>3733</v>
      </c>
      <c r="B2802" s="1926" t="s">
        <v>12402</v>
      </c>
      <c r="C2802" s="1926" t="s">
        <v>45</v>
      </c>
      <c r="D2802" s="1926" t="s">
        <v>46</v>
      </c>
      <c r="E2802" s="1662">
        <v>48.12</v>
      </c>
    </row>
    <row r="2803" spans="1:5" x14ac:dyDescent="0.2">
      <c r="A2803" s="135">
        <v>3731</v>
      </c>
      <c r="B2803" s="1926" t="s">
        <v>12403</v>
      </c>
      <c r="C2803" s="1926" t="s">
        <v>45</v>
      </c>
      <c r="D2803" s="1926" t="s">
        <v>46</v>
      </c>
      <c r="E2803" s="1662">
        <v>44.67</v>
      </c>
    </row>
    <row r="2804" spans="1:5" x14ac:dyDescent="0.2">
      <c r="A2804" s="135">
        <v>38137</v>
      </c>
      <c r="B2804" s="1926" t="s">
        <v>12404</v>
      </c>
      <c r="C2804" s="1926" t="s">
        <v>45</v>
      </c>
      <c r="D2804" s="1926" t="s">
        <v>46</v>
      </c>
      <c r="E2804" s="1662">
        <v>44.93</v>
      </c>
    </row>
    <row r="2805" spans="1:5" x14ac:dyDescent="0.2">
      <c r="A2805" s="135">
        <v>38135</v>
      </c>
      <c r="B2805" s="1926" t="s">
        <v>12405</v>
      </c>
      <c r="C2805" s="1926" t="s">
        <v>45</v>
      </c>
      <c r="D2805" s="1926" t="s">
        <v>46</v>
      </c>
      <c r="E2805" s="1662">
        <v>56.96</v>
      </c>
    </row>
    <row r="2806" spans="1:5" x14ac:dyDescent="0.2">
      <c r="A2806" s="135">
        <v>38138</v>
      </c>
      <c r="B2806" s="1926" t="s">
        <v>12406</v>
      </c>
      <c r="C2806" s="1926" t="s">
        <v>45</v>
      </c>
      <c r="D2806" s="1926" t="s">
        <v>46</v>
      </c>
      <c r="E2806" s="1662">
        <v>44.12</v>
      </c>
    </row>
    <row r="2807" spans="1:5" x14ac:dyDescent="0.2">
      <c r="A2807" s="135">
        <v>3736</v>
      </c>
      <c r="B2807" s="1926" t="s">
        <v>12407</v>
      </c>
      <c r="C2807" s="1926" t="s">
        <v>45</v>
      </c>
      <c r="D2807" s="1926" t="s">
        <v>43</v>
      </c>
      <c r="E2807" s="1662">
        <v>29</v>
      </c>
    </row>
    <row r="2808" spans="1:5" x14ac:dyDescent="0.2">
      <c r="A2808" s="135">
        <v>3741</v>
      </c>
      <c r="B2808" s="1926" t="s">
        <v>12408</v>
      </c>
      <c r="C2808" s="1926" t="s">
        <v>45</v>
      </c>
      <c r="D2808" s="1926" t="s">
        <v>40</v>
      </c>
      <c r="E2808" s="1662">
        <v>30.23</v>
      </c>
    </row>
    <row r="2809" spans="1:5" x14ac:dyDescent="0.2">
      <c r="A2809" s="135">
        <v>3745</v>
      </c>
      <c r="B2809" s="1926" t="s">
        <v>12409</v>
      </c>
      <c r="C2809" s="1926" t="s">
        <v>45</v>
      </c>
      <c r="D2809" s="1926" t="s">
        <v>40</v>
      </c>
      <c r="E2809" s="1662">
        <v>32.590000000000003</v>
      </c>
    </row>
    <row r="2810" spans="1:5" x14ac:dyDescent="0.2">
      <c r="A2810" s="135">
        <v>3743</v>
      </c>
      <c r="B2810" s="1926" t="s">
        <v>12410</v>
      </c>
      <c r="C2810" s="1926" t="s">
        <v>45</v>
      </c>
      <c r="D2810" s="1926" t="s">
        <v>40</v>
      </c>
      <c r="E2810" s="1662">
        <v>30.12</v>
      </c>
    </row>
    <row r="2811" spans="1:5" x14ac:dyDescent="0.2">
      <c r="A2811" s="135">
        <v>3744</v>
      </c>
      <c r="B2811" s="1926" t="s">
        <v>12411</v>
      </c>
      <c r="C2811" s="1926" t="s">
        <v>45</v>
      </c>
      <c r="D2811" s="1926" t="s">
        <v>40</v>
      </c>
      <c r="E2811" s="1662">
        <v>33.15</v>
      </c>
    </row>
    <row r="2812" spans="1:5" x14ac:dyDescent="0.2">
      <c r="A2812" s="135">
        <v>3739</v>
      </c>
      <c r="B2812" s="1926" t="s">
        <v>12412</v>
      </c>
      <c r="C2812" s="1926" t="s">
        <v>45</v>
      </c>
      <c r="D2812" s="1926" t="s">
        <v>40</v>
      </c>
      <c r="E2812" s="1662">
        <v>34.840000000000003</v>
      </c>
    </row>
    <row r="2813" spans="1:5" x14ac:dyDescent="0.2">
      <c r="A2813" s="135">
        <v>3737</v>
      </c>
      <c r="B2813" s="1926" t="s">
        <v>12413</v>
      </c>
      <c r="C2813" s="1926" t="s">
        <v>45</v>
      </c>
      <c r="D2813" s="1926" t="s">
        <v>40</v>
      </c>
      <c r="E2813" s="1662">
        <v>36.53</v>
      </c>
    </row>
    <row r="2814" spans="1:5" x14ac:dyDescent="0.2">
      <c r="A2814" s="135">
        <v>3738</v>
      </c>
      <c r="B2814" s="1926" t="s">
        <v>12414</v>
      </c>
      <c r="C2814" s="1926" t="s">
        <v>45</v>
      </c>
      <c r="D2814" s="1926" t="s">
        <v>40</v>
      </c>
      <c r="E2814" s="1662">
        <v>42.15</v>
      </c>
    </row>
    <row r="2815" spans="1:5" x14ac:dyDescent="0.2">
      <c r="A2815" s="135">
        <v>3747</v>
      </c>
      <c r="B2815" s="1926" t="s">
        <v>12415</v>
      </c>
      <c r="C2815" s="1926" t="s">
        <v>45</v>
      </c>
      <c r="D2815" s="1926" t="s">
        <v>40</v>
      </c>
      <c r="E2815" s="1662">
        <v>33.15</v>
      </c>
    </row>
    <row r="2816" spans="1:5" x14ac:dyDescent="0.2">
      <c r="A2816" s="135">
        <v>11649</v>
      </c>
      <c r="B2816" s="1926" t="s">
        <v>12416</v>
      </c>
      <c r="C2816" s="1926" t="s">
        <v>39</v>
      </c>
      <c r="D2816" s="1926" t="s">
        <v>40</v>
      </c>
      <c r="E2816" s="1662">
        <v>240.54</v>
      </c>
    </row>
    <row r="2817" spans="1:5" x14ac:dyDescent="0.2">
      <c r="A2817" s="135">
        <v>11650</v>
      </c>
      <c r="B2817" s="1926" t="s">
        <v>12417</v>
      </c>
      <c r="C2817" s="1926" t="s">
        <v>39</v>
      </c>
      <c r="D2817" s="1926" t="s">
        <v>40</v>
      </c>
      <c r="E2817" s="1662">
        <v>409.99</v>
      </c>
    </row>
    <row r="2818" spans="1:5" x14ac:dyDescent="0.2">
      <c r="A2818" s="135">
        <v>3742</v>
      </c>
      <c r="B2818" s="1926" t="s">
        <v>12418</v>
      </c>
      <c r="C2818" s="1926" t="s">
        <v>45</v>
      </c>
      <c r="D2818" s="1926" t="s">
        <v>40</v>
      </c>
      <c r="E2818" s="1662">
        <v>43.72</v>
      </c>
    </row>
    <row r="2819" spans="1:5" x14ac:dyDescent="0.2">
      <c r="A2819" s="135">
        <v>3746</v>
      </c>
      <c r="B2819" s="1926" t="s">
        <v>12419</v>
      </c>
      <c r="C2819" s="1926" t="s">
        <v>45</v>
      </c>
      <c r="D2819" s="1926" t="s">
        <v>40</v>
      </c>
      <c r="E2819" s="1662">
        <v>51.05</v>
      </c>
    </row>
    <row r="2820" spans="1:5" x14ac:dyDescent="0.2">
      <c r="A2820" s="135">
        <v>21106</v>
      </c>
      <c r="B2820" s="1926" t="s">
        <v>12420</v>
      </c>
      <c r="C2820" s="1926" t="s">
        <v>48</v>
      </c>
      <c r="D2820" s="1926" t="s">
        <v>46</v>
      </c>
      <c r="E2820" s="1662">
        <v>231.87</v>
      </c>
    </row>
    <row r="2821" spans="1:5" x14ac:dyDescent="0.2">
      <c r="A2821" s="135">
        <v>3755</v>
      </c>
      <c r="B2821" s="1926" t="s">
        <v>12421</v>
      </c>
      <c r="C2821" s="1926" t="s">
        <v>39</v>
      </c>
      <c r="D2821" s="1926" t="s">
        <v>46</v>
      </c>
      <c r="E2821" s="1662">
        <v>17.88</v>
      </c>
    </row>
    <row r="2822" spans="1:5" x14ac:dyDescent="0.2">
      <c r="A2822" s="135">
        <v>3750</v>
      </c>
      <c r="B2822" s="1926" t="s">
        <v>12422</v>
      </c>
      <c r="C2822" s="1926" t="s">
        <v>39</v>
      </c>
      <c r="D2822" s="1926" t="s">
        <v>46</v>
      </c>
      <c r="E2822" s="1662">
        <v>24.05</v>
      </c>
    </row>
    <row r="2823" spans="1:5" x14ac:dyDescent="0.2">
      <c r="A2823" s="135">
        <v>3756</v>
      </c>
      <c r="B2823" s="1926" t="s">
        <v>12423</v>
      </c>
      <c r="C2823" s="1926" t="s">
        <v>39</v>
      </c>
      <c r="D2823" s="1926" t="s">
        <v>46</v>
      </c>
      <c r="E2823" s="1662">
        <v>44.94</v>
      </c>
    </row>
    <row r="2824" spans="1:5" x14ac:dyDescent="0.2">
      <c r="A2824" s="135">
        <v>39377</v>
      </c>
      <c r="B2824" s="1926" t="s">
        <v>12424</v>
      </c>
      <c r="C2824" s="1926" t="s">
        <v>39</v>
      </c>
      <c r="D2824" s="1926" t="s">
        <v>46</v>
      </c>
      <c r="E2824" s="1662">
        <v>133.12</v>
      </c>
    </row>
    <row r="2825" spans="1:5" x14ac:dyDescent="0.2">
      <c r="A2825" s="135">
        <v>38191</v>
      </c>
      <c r="B2825" s="1926" t="s">
        <v>12425</v>
      </c>
      <c r="C2825" s="1926" t="s">
        <v>39</v>
      </c>
      <c r="D2825" s="1926" t="s">
        <v>46</v>
      </c>
      <c r="E2825" s="1662">
        <v>9.91</v>
      </c>
    </row>
    <row r="2826" spans="1:5" x14ac:dyDescent="0.2">
      <c r="A2826" s="135">
        <v>39381</v>
      </c>
      <c r="B2826" s="1926" t="s">
        <v>12426</v>
      </c>
      <c r="C2826" s="1926" t="s">
        <v>39</v>
      </c>
      <c r="D2826" s="1926" t="s">
        <v>46</v>
      </c>
      <c r="E2826" s="1662">
        <v>9.24</v>
      </c>
    </row>
    <row r="2827" spans="1:5" x14ac:dyDescent="0.2">
      <c r="A2827" s="135">
        <v>38780</v>
      </c>
      <c r="B2827" s="1926" t="s">
        <v>12427</v>
      </c>
      <c r="C2827" s="1926" t="s">
        <v>39</v>
      </c>
      <c r="D2827" s="1926" t="s">
        <v>46</v>
      </c>
      <c r="E2827" s="1662">
        <v>11.31</v>
      </c>
    </row>
    <row r="2828" spans="1:5" x14ac:dyDescent="0.2">
      <c r="A2828" s="135">
        <v>38781</v>
      </c>
      <c r="B2828" s="1926" t="s">
        <v>12428</v>
      </c>
      <c r="C2828" s="1926" t="s">
        <v>39</v>
      </c>
      <c r="D2828" s="1926" t="s">
        <v>46</v>
      </c>
      <c r="E2828" s="1662">
        <v>38.18</v>
      </c>
    </row>
    <row r="2829" spans="1:5" x14ac:dyDescent="0.2">
      <c r="A2829" s="135">
        <v>38192</v>
      </c>
      <c r="B2829" s="1926" t="s">
        <v>12429</v>
      </c>
      <c r="C2829" s="1926" t="s">
        <v>39</v>
      </c>
      <c r="D2829" s="1926" t="s">
        <v>46</v>
      </c>
      <c r="E2829" s="1662">
        <v>69.09</v>
      </c>
    </row>
    <row r="2830" spans="1:5" x14ac:dyDescent="0.2">
      <c r="A2830" s="135">
        <v>3753</v>
      </c>
      <c r="B2830" s="1926" t="s">
        <v>12430</v>
      </c>
      <c r="C2830" s="1926" t="s">
        <v>39</v>
      </c>
      <c r="D2830" s="1926" t="s">
        <v>46</v>
      </c>
      <c r="E2830" s="1662">
        <v>6.05</v>
      </c>
    </row>
    <row r="2831" spans="1:5" x14ac:dyDescent="0.2">
      <c r="A2831" s="135">
        <v>38782</v>
      </c>
      <c r="B2831" s="1926" t="s">
        <v>12431</v>
      </c>
      <c r="C2831" s="1926" t="s">
        <v>39</v>
      </c>
      <c r="D2831" s="1926" t="s">
        <v>46</v>
      </c>
      <c r="E2831" s="1662">
        <v>7.87</v>
      </c>
    </row>
    <row r="2832" spans="1:5" x14ac:dyDescent="0.2">
      <c r="A2832" s="135">
        <v>38778</v>
      </c>
      <c r="B2832" s="1926" t="s">
        <v>12432</v>
      </c>
      <c r="C2832" s="1926" t="s">
        <v>39</v>
      </c>
      <c r="D2832" s="1926" t="s">
        <v>46</v>
      </c>
      <c r="E2832" s="1662">
        <v>5.91</v>
      </c>
    </row>
    <row r="2833" spans="1:5" x14ac:dyDescent="0.2">
      <c r="A2833" s="135">
        <v>38779</v>
      </c>
      <c r="B2833" s="1926" t="s">
        <v>12433</v>
      </c>
      <c r="C2833" s="1926" t="s">
        <v>39</v>
      </c>
      <c r="D2833" s="1926" t="s">
        <v>46</v>
      </c>
      <c r="E2833" s="1662">
        <v>6.26</v>
      </c>
    </row>
    <row r="2834" spans="1:5" x14ac:dyDescent="0.2">
      <c r="A2834" s="135">
        <v>39388</v>
      </c>
      <c r="B2834" s="1926" t="s">
        <v>12434</v>
      </c>
      <c r="C2834" s="1926" t="s">
        <v>39</v>
      </c>
      <c r="D2834" s="1926" t="s">
        <v>40</v>
      </c>
      <c r="E2834" s="1662">
        <v>12.27</v>
      </c>
    </row>
    <row r="2835" spans="1:5" x14ac:dyDescent="0.2">
      <c r="A2835" s="135">
        <v>39387</v>
      </c>
      <c r="B2835" s="1926" t="s">
        <v>12435</v>
      </c>
      <c r="C2835" s="1926" t="s">
        <v>39</v>
      </c>
      <c r="D2835" s="1926" t="s">
        <v>40</v>
      </c>
      <c r="E2835" s="1662">
        <v>19.13</v>
      </c>
    </row>
    <row r="2836" spans="1:5" x14ac:dyDescent="0.2">
      <c r="A2836" s="135">
        <v>39386</v>
      </c>
      <c r="B2836" s="1926" t="s">
        <v>12436</v>
      </c>
      <c r="C2836" s="1926" t="s">
        <v>39</v>
      </c>
      <c r="D2836" s="1926" t="s">
        <v>40</v>
      </c>
      <c r="E2836" s="1662">
        <v>13.34</v>
      </c>
    </row>
    <row r="2837" spans="1:5" x14ac:dyDescent="0.2">
      <c r="A2837" s="135">
        <v>38194</v>
      </c>
      <c r="B2837" s="1926" t="s">
        <v>12437</v>
      </c>
      <c r="C2837" s="1926" t="s">
        <v>39</v>
      </c>
      <c r="D2837" s="1926" t="s">
        <v>43</v>
      </c>
      <c r="E2837" s="1662">
        <v>9.98</v>
      </c>
    </row>
    <row r="2838" spans="1:5" x14ac:dyDescent="0.2">
      <c r="A2838" s="135">
        <v>38193</v>
      </c>
      <c r="B2838" s="1926" t="s">
        <v>12438</v>
      </c>
      <c r="C2838" s="1926" t="s">
        <v>39</v>
      </c>
      <c r="D2838" s="1926" t="s">
        <v>40</v>
      </c>
      <c r="E2838" s="1662">
        <v>8.67</v>
      </c>
    </row>
    <row r="2839" spans="1:5" x14ac:dyDescent="0.2">
      <c r="A2839" s="135">
        <v>12216</v>
      </c>
      <c r="B2839" s="1926" t="s">
        <v>12439</v>
      </c>
      <c r="C2839" s="1926" t="s">
        <v>39</v>
      </c>
      <c r="D2839" s="1926" t="s">
        <v>46</v>
      </c>
      <c r="E2839" s="1662">
        <v>34.549999999999997</v>
      </c>
    </row>
    <row r="2840" spans="1:5" x14ac:dyDescent="0.2">
      <c r="A2840" s="135">
        <v>3757</v>
      </c>
      <c r="B2840" s="1926" t="s">
        <v>12440</v>
      </c>
      <c r="C2840" s="1926" t="s">
        <v>39</v>
      </c>
      <c r="D2840" s="1926" t="s">
        <v>46</v>
      </c>
      <c r="E2840" s="1662">
        <v>39.950000000000003</v>
      </c>
    </row>
    <row r="2841" spans="1:5" x14ac:dyDescent="0.2">
      <c r="A2841" s="135">
        <v>3758</v>
      </c>
      <c r="B2841" s="1926" t="s">
        <v>12441</v>
      </c>
      <c r="C2841" s="1926" t="s">
        <v>39</v>
      </c>
      <c r="D2841" s="1926" t="s">
        <v>46</v>
      </c>
      <c r="E2841" s="1662">
        <v>46.58</v>
      </c>
    </row>
    <row r="2842" spans="1:5" x14ac:dyDescent="0.2">
      <c r="A2842" s="135">
        <v>12214</v>
      </c>
      <c r="B2842" s="1926" t="s">
        <v>12442</v>
      </c>
      <c r="C2842" s="1926" t="s">
        <v>39</v>
      </c>
      <c r="D2842" s="1926" t="s">
        <v>46</v>
      </c>
      <c r="E2842" s="1662">
        <v>15.95</v>
      </c>
    </row>
    <row r="2843" spans="1:5" x14ac:dyDescent="0.2">
      <c r="A2843" s="135">
        <v>3749</v>
      </c>
      <c r="B2843" s="1926" t="s">
        <v>12443</v>
      </c>
      <c r="C2843" s="1926" t="s">
        <v>39</v>
      </c>
      <c r="D2843" s="1926" t="s">
        <v>46</v>
      </c>
      <c r="E2843" s="1662">
        <v>28.43</v>
      </c>
    </row>
    <row r="2844" spans="1:5" x14ac:dyDescent="0.2">
      <c r="A2844" s="135">
        <v>3751</v>
      </c>
      <c r="B2844" s="1926" t="s">
        <v>12444</v>
      </c>
      <c r="C2844" s="1926" t="s">
        <v>39</v>
      </c>
      <c r="D2844" s="1926" t="s">
        <v>46</v>
      </c>
      <c r="E2844" s="1662">
        <v>38.799999999999997</v>
      </c>
    </row>
    <row r="2845" spans="1:5" x14ac:dyDescent="0.2">
      <c r="A2845" s="135">
        <v>39376</v>
      </c>
      <c r="B2845" s="1926" t="s">
        <v>12445</v>
      </c>
      <c r="C2845" s="1926" t="s">
        <v>39</v>
      </c>
      <c r="D2845" s="1926" t="s">
        <v>46</v>
      </c>
      <c r="E2845" s="1662">
        <v>32.71</v>
      </c>
    </row>
    <row r="2846" spans="1:5" x14ac:dyDescent="0.2">
      <c r="A2846" s="135">
        <v>3752</v>
      </c>
      <c r="B2846" s="1926" t="s">
        <v>12446</v>
      </c>
      <c r="C2846" s="1926" t="s">
        <v>39</v>
      </c>
      <c r="D2846" s="1926" t="s">
        <v>46</v>
      </c>
      <c r="E2846" s="1662">
        <v>64</v>
      </c>
    </row>
    <row r="2847" spans="1:5" x14ac:dyDescent="0.2">
      <c r="A2847" s="135">
        <v>746</v>
      </c>
      <c r="B2847" s="1926" t="s">
        <v>12447</v>
      </c>
      <c r="C2847" s="1926" t="s">
        <v>39</v>
      </c>
      <c r="D2847" s="1926" t="s">
        <v>46</v>
      </c>
      <c r="E2847" s="1662">
        <v>2014.5</v>
      </c>
    </row>
    <row r="2848" spans="1:5" x14ac:dyDescent="0.2">
      <c r="A2848" s="135">
        <v>36521</v>
      </c>
      <c r="B2848" s="1926" t="s">
        <v>12448</v>
      </c>
      <c r="C2848" s="1926" t="s">
        <v>39</v>
      </c>
      <c r="D2848" s="1926" t="s">
        <v>40</v>
      </c>
      <c r="E2848" s="1662">
        <v>112.99</v>
      </c>
    </row>
    <row r="2849" spans="1:5" x14ac:dyDescent="0.2">
      <c r="A2849" s="135">
        <v>36794</v>
      </c>
      <c r="B2849" s="1926" t="s">
        <v>12449</v>
      </c>
      <c r="C2849" s="1926" t="s">
        <v>39</v>
      </c>
      <c r="D2849" s="1926" t="s">
        <v>40</v>
      </c>
      <c r="E2849" s="1662">
        <v>115.18</v>
      </c>
    </row>
    <row r="2850" spans="1:5" x14ac:dyDescent="0.2">
      <c r="A2850" s="135">
        <v>10426</v>
      </c>
      <c r="B2850" s="1926" t="s">
        <v>12450</v>
      </c>
      <c r="C2850" s="1926" t="s">
        <v>39</v>
      </c>
      <c r="D2850" s="1926" t="s">
        <v>40</v>
      </c>
      <c r="E2850" s="1662">
        <v>165.89</v>
      </c>
    </row>
    <row r="2851" spans="1:5" x14ac:dyDescent="0.2">
      <c r="A2851" s="135">
        <v>10425</v>
      </c>
      <c r="B2851" s="1926" t="s">
        <v>12451</v>
      </c>
      <c r="C2851" s="1926" t="s">
        <v>39</v>
      </c>
      <c r="D2851" s="1926" t="s">
        <v>40</v>
      </c>
      <c r="E2851" s="1662">
        <v>73.150000000000006</v>
      </c>
    </row>
    <row r="2852" spans="1:5" x14ac:dyDescent="0.2">
      <c r="A2852" s="135">
        <v>10431</v>
      </c>
      <c r="B2852" s="1926" t="s">
        <v>12452</v>
      </c>
      <c r="C2852" s="1926" t="s">
        <v>39</v>
      </c>
      <c r="D2852" s="1926" t="s">
        <v>40</v>
      </c>
      <c r="E2852" s="1662">
        <v>181.99</v>
      </c>
    </row>
    <row r="2853" spans="1:5" x14ac:dyDescent="0.2">
      <c r="A2853" s="135">
        <v>10429</v>
      </c>
      <c r="B2853" s="1926" t="s">
        <v>12453</v>
      </c>
      <c r="C2853" s="1926" t="s">
        <v>39</v>
      </c>
      <c r="D2853" s="1926" t="s">
        <v>40</v>
      </c>
      <c r="E2853" s="1662">
        <v>87.25</v>
      </c>
    </row>
    <row r="2854" spans="1:5" x14ac:dyDescent="0.2">
      <c r="A2854" s="135">
        <v>20269</v>
      </c>
      <c r="B2854" s="1926" t="s">
        <v>12454</v>
      </c>
      <c r="C2854" s="1926" t="s">
        <v>39</v>
      </c>
      <c r="D2854" s="1926" t="s">
        <v>40</v>
      </c>
      <c r="E2854" s="1662">
        <v>71.91</v>
      </c>
    </row>
    <row r="2855" spans="1:5" x14ac:dyDescent="0.2">
      <c r="A2855" s="135">
        <v>20270</v>
      </c>
      <c r="B2855" s="1926" t="s">
        <v>12455</v>
      </c>
      <c r="C2855" s="1926" t="s">
        <v>39</v>
      </c>
      <c r="D2855" s="1926" t="s">
        <v>40</v>
      </c>
      <c r="E2855" s="1662">
        <v>78.3</v>
      </c>
    </row>
    <row r="2856" spans="1:5" x14ac:dyDescent="0.2">
      <c r="A2856" s="135">
        <v>11696</v>
      </c>
      <c r="B2856" s="1926" t="s">
        <v>12456</v>
      </c>
      <c r="C2856" s="1926" t="s">
        <v>39</v>
      </c>
      <c r="D2856" s="1926" t="s">
        <v>40</v>
      </c>
      <c r="E2856" s="1662">
        <v>114.39</v>
      </c>
    </row>
    <row r="2857" spans="1:5" x14ac:dyDescent="0.2">
      <c r="A2857" s="135">
        <v>10427</v>
      </c>
      <c r="B2857" s="1926" t="s">
        <v>12457</v>
      </c>
      <c r="C2857" s="1926" t="s">
        <v>39</v>
      </c>
      <c r="D2857" s="1926" t="s">
        <v>40</v>
      </c>
      <c r="E2857" s="1662">
        <v>205.11</v>
      </c>
    </row>
    <row r="2858" spans="1:5" x14ac:dyDescent="0.2">
      <c r="A2858" s="135">
        <v>10428</v>
      </c>
      <c r="B2858" s="1926" t="s">
        <v>12458</v>
      </c>
      <c r="C2858" s="1926" t="s">
        <v>39</v>
      </c>
      <c r="D2858" s="1926" t="s">
        <v>40</v>
      </c>
      <c r="E2858" s="1662">
        <v>208.17</v>
      </c>
    </row>
    <row r="2859" spans="1:5" x14ac:dyDescent="0.2">
      <c r="A2859" s="135">
        <v>2354</v>
      </c>
      <c r="B2859" s="1926" t="s">
        <v>12459</v>
      </c>
      <c r="C2859" s="1926" t="s">
        <v>42</v>
      </c>
      <c r="D2859" s="1926" t="s">
        <v>40</v>
      </c>
      <c r="E2859" s="1662">
        <v>18.5</v>
      </c>
    </row>
    <row r="2860" spans="1:5" x14ac:dyDescent="0.2">
      <c r="A2860" s="135">
        <v>40932</v>
      </c>
      <c r="B2860" s="1926" t="s">
        <v>12460</v>
      </c>
      <c r="C2860" s="1926" t="s">
        <v>51</v>
      </c>
      <c r="D2860" s="1926" t="s">
        <v>40</v>
      </c>
      <c r="E2860" s="1662">
        <v>3300.7</v>
      </c>
    </row>
    <row r="2861" spans="1:5" x14ac:dyDescent="0.2">
      <c r="A2861" s="135">
        <v>10853</v>
      </c>
      <c r="B2861" s="1926" t="s">
        <v>12461</v>
      </c>
      <c r="C2861" s="1926" t="s">
        <v>39</v>
      </c>
      <c r="D2861" s="1926" t="s">
        <v>40</v>
      </c>
      <c r="E2861" s="1662">
        <v>69.2</v>
      </c>
    </row>
    <row r="2862" spans="1:5" x14ac:dyDescent="0.2">
      <c r="A2862" s="135">
        <v>5093</v>
      </c>
      <c r="B2862" s="1926" t="s">
        <v>12462</v>
      </c>
      <c r="C2862" s="1926" t="s">
        <v>41</v>
      </c>
      <c r="D2862" s="1926" t="s">
        <v>40</v>
      </c>
      <c r="E2862" s="1662">
        <v>12.67</v>
      </c>
    </row>
    <row r="2863" spans="1:5" x14ac:dyDescent="0.2">
      <c r="A2863" s="135">
        <v>37768</v>
      </c>
      <c r="B2863" s="1926" t="s">
        <v>12463</v>
      </c>
      <c r="C2863" s="1926" t="s">
        <v>39</v>
      </c>
      <c r="D2863" s="1926" t="s">
        <v>46</v>
      </c>
      <c r="E2863" s="1662">
        <v>98500</v>
      </c>
    </row>
    <row r="2864" spans="1:5" x14ac:dyDescent="0.2">
      <c r="A2864" s="135">
        <v>37773</v>
      </c>
      <c r="B2864" s="1926" t="s">
        <v>12464</v>
      </c>
      <c r="C2864" s="1926" t="s">
        <v>39</v>
      </c>
      <c r="D2864" s="1926" t="s">
        <v>46</v>
      </c>
      <c r="E2864" s="1662">
        <v>83643.100000000006</v>
      </c>
    </row>
    <row r="2865" spans="1:5" x14ac:dyDescent="0.2">
      <c r="A2865" s="135">
        <v>37769</v>
      </c>
      <c r="B2865" s="1926" t="s">
        <v>12465</v>
      </c>
      <c r="C2865" s="1926" t="s">
        <v>39</v>
      </c>
      <c r="D2865" s="1926" t="s">
        <v>46</v>
      </c>
      <c r="E2865" s="1662">
        <v>140029.09</v>
      </c>
    </row>
    <row r="2866" spans="1:5" x14ac:dyDescent="0.2">
      <c r="A2866" s="135">
        <v>37770</v>
      </c>
      <c r="B2866" s="1926" t="s">
        <v>12466</v>
      </c>
      <c r="C2866" s="1926" t="s">
        <v>39</v>
      </c>
      <c r="D2866" s="1926" t="s">
        <v>46</v>
      </c>
      <c r="E2866" s="1662">
        <v>237651.71</v>
      </c>
    </row>
    <row r="2867" spans="1:5" x14ac:dyDescent="0.2">
      <c r="A2867" s="135">
        <v>38382</v>
      </c>
      <c r="B2867" s="1926" t="s">
        <v>12467</v>
      </c>
      <c r="C2867" s="1926" t="s">
        <v>39</v>
      </c>
      <c r="D2867" s="1926" t="s">
        <v>40</v>
      </c>
      <c r="E2867" s="1662">
        <v>9.0500000000000007</v>
      </c>
    </row>
    <row r="2868" spans="1:5" x14ac:dyDescent="0.2">
      <c r="A2868" s="135">
        <v>6091</v>
      </c>
      <c r="B2868" s="1926" t="s">
        <v>12468</v>
      </c>
      <c r="C2868" s="1926" t="s">
        <v>49</v>
      </c>
      <c r="D2868" s="1926" t="s">
        <v>40</v>
      </c>
      <c r="E2868" s="1662">
        <v>20.9</v>
      </c>
    </row>
    <row r="2869" spans="1:5" x14ac:dyDescent="0.2">
      <c r="A2869" s="135">
        <v>38383</v>
      </c>
      <c r="B2869" s="1926" t="s">
        <v>12469</v>
      </c>
      <c r="C2869" s="1926" t="s">
        <v>39</v>
      </c>
      <c r="D2869" s="1926" t="s">
        <v>40</v>
      </c>
      <c r="E2869" s="1662">
        <v>1.69</v>
      </c>
    </row>
    <row r="2870" spans="1:5" x14ac:dyDescent="0.2">
      <c r="A2870" s="135">
        <v>3768</v>
      </c>
      <c r="B2870" s="1926" t="s">
        <v>12470</v>
      </c>
      <c r="C2870" s="1926" t="s">
        <v>39</v>
      </c>
      <c r="D2870" s="1926" t="s">
        <v>40</v>
      </c>
      <c r="E2870" s="1662">
        <v>2.7</v>
      </c>
    </row>
    <row r="2871" spans="1:5" x14ac:dyDescent="0.2">
      <c r="A2871" s="135">
        <v>3767</v>
      </c>
      <c r="B2871" s="1926" t="s">
        <v>12471</v>
      </c>
      <c r="C2871" s="1926" t="s">
        <v>39</v>
      </c>
      <c r="D2871" s="1926" t="s">
        <v>40</v>
      </c>
      <c r="E2871" s="1662">
        <v>0.64</v>
      </c>
    </row>
    <row r="2872" spans="1:5" x14ac:dyDescent="0.2">
      <c r="A2872" s="135">
        <v>13192</v>
      </c>
      <c r="B2872" s="1926" t="s">
        <v>12472</v>
      </c>
      <c r="C2872" s="1926" t="s">
        <v>39</v>
      </c>
      <c r="D2872" s="1926" t="s">
        <v>40</v>
      </c>
      <c r="E2872" s="1662">
        <v>3692.94</v>
      </c>
    </row>
    <row r="2873" spans="1:5" x14ac:dyDescent="0.2">
      <c r="A2873" s="135">
        <v>38413</v>
      </c>
      <c r="B2873" s="1926" t="s">
        <v>12473</v>
      </c>
      <c r="C2873" s="1926" t="s">
        <v>39</v>
      </c>
      <c r="D2873" s="1926" t="s">
        <v>40</v>
      </c>
      <c r="E2873" s="1662">
        <v>610.76</v>
      </c>
    </row>
    <row r="2874" spans="1:5" x14ac:dyDescent="0.2">
      <c r="A2874" s="135">
        <v>42440</v>
      </c>
      <c r="B2874" s="1926" t="s">
        <v>12474</v>
      </c>
      <c r="C2874" s="1926" t="s">
        <v>39</v>
      </c>
      <c r="D2874" s="1926" t="s">
        <v>46</v>
      </c>
      <c r="E2874" s="1662">
        <v>707.48</v>
      </c>
    </row>
    <row r="2875" spans="1:5" x14ac:dyDescent="0.2">
      <c r="A2875" s="135">
        <v>20193</v>
      </c>
      <c r="B2875" s="1926" t="s">
        <v>12475</v>
      </c>
      <c r="C2875" s="1926" t="s">
        <v>6301</v>
      </c>
      <c r="D2875" s="1926" t="s">
        <v>40</v>
      </c>
      <c r="E2875" s="1662">
        <v>3.99</v>
      </c>
    </row>
    <row r="2876" spans="1:5" x14ac:dyDescent="0.2">
      <c r="A2876" s="135">
        <v>10527</v>
      </c>
      <c r="B2876" s="1926" t="s">
        <v>12476</v>
      </c>
      <c r="C2876" s="1926" t="s">
        <v>6302</v>
      </c>
      <c r="D2876" s="1926" t="s">
        <v>43</v>
      </c>
      <c r="E2876" s="1662">
        <v>12</v>
      </c>
    </row>
    <row r="2877" spans="1:5" x14ac:dyDescent="0.2">
      <c r="A2877" s="135">
        <v>41805</v>
      </c>
      <c r="B2877" s="1926" t="s">
        <v>12477</v>
      </c>
      <c r="C2877" s="1926" t="s">
        <v>51</v>
      </c>
      <c r="D2877" s="1926" t="s">
        <v>43</v>
      </c>
      <c r="E2877" s="1662">
        <v>530</v>
      </c>
    </row>
    <row r="2878" spans="1:5" x14ac:dyDescent="0.2">
      <c r="A2878" s="135">
        <v>40271</v>
      </c>
      <c r="B2878" s="1926" t="s">
        <v>12478</v>
      </c>
      <c r="C2878" s="1926" t="s">
        <v>51</v>
      </c>
      <c r="D2878" s="1926" t="s">
        <v>40</v>
      </c>
      <c r="E2878" s="1662">
        <v>7.8</v>
      </c>
    </row>
    <row r="2879" spans="1:5" x14ac:dyDescent="0.2">
      <c r="A2879" s="135">
        <v>40287</v>
      </c>
      <c r="B2879" s="1926" t="s">
        <v>12479</v>
      </c>
      <c r="C2879" s="1926" t="s">
        <v>51</v>
      </c>
      <c r="D2879" s="1926" t="s">
        <v>40</v>
      </c>
      <c r="E2879" s="1662">
        <v>3</v>
      </c>
    </row>
    <row r="2880" spans="1:5" x14ac:dyDescent="0.2">
      <c r="A2880" s="135">
        <v>40295</v>
      </c>
      <c r="B2880" s="1926" t="s">
        <v>12480</v>
      </c>
      <c r="C2880" s="1926" t="s">
        <v>42</v>
      </c>
      <c r="D2880" s="1926" t="s">
        <v>46</v>
      </c>
      <c r="E2880" s="1662">
        <v>1.97</v>
      </c>
    </row>
    <row r="2881" spans="1:5" x14ac:dyDescent="0.2">
      <c r="A2881" s="135">
        <v>745</v>
      </c>
      <c r="B2881" s="1926" t="s">
        <v>12481</v>
      </c>
      <c r="C2881" s="1926" t="s">
        <v>42</v>
      </c>
      <c r="D2881" s="1926" t="s">
        <v>46</v>
      </c>
      <c r="E2881" s="1662">
        <v>2.09</v>
      </c>
    </row>
    <row r="2882" spans="1:5" x14ac:dyDescent="0.2">
      <c r="A2882" s="135">
        <v>4084</v>
      </c>
      <c r="B2882" s="1926" t="s">
        <v>12482</v>
      </c>
      <c r="C2882" s="1926" t="s">
        <v>42</v>
      </c>
      <c r="D2882" s="1926" t="s">
        <v>40</v>
      </c>
      <c r="E2882" s="1662">
        <v>3.38</v>
      </c>
    </row>
    <row r="2883" spans="1:5" x14ac:dyDescent="0.2">
      <c r="A2883" s="135">
        <v>743</v>
      </c>
      <c r="B2883" s="1926" t="s">
        <v>12483</v>
      </c>
      <c r="C2883" s="1926" t="s">
        <v>42</v>
      </c>
      <c r="D2883" s="1926" t="s">
        <v>43</v>
      </c>
      <c r="E2883" s="1662">
        <v>3.38</v>
      </c>
    </row>
    <row r="2884" spans="1:5" x14ac:dyDescent="0.2">
      <c r="A2884" s="135">
        <v>40293</v>
      </c>
      <c r="B2884" s="1926" t="s">
        <v>12484</v>
      </c>
      <c r="C2884" s="1926" t="s">
        <v>42</v>
      </c>
      <c r="D2884" s="1926" t="s">
        <v>40</v>
      </c>
      <c r="E2884" s="1662">
        <v>4.05</v>
      </c>
    </row>
    <row r="2885" spans="1:5" x14ac:dyDescent="0.2">
      <c r="A2885" s="135">
        <v>40294</v>
      </c>
      <c r="B2885" s="1926" t="s">
        <v>12485</v>
      </c>
      <c r="C2885" s="1926" t="s">
        <v>42</v>
      </c>
      <c r="D2885" s="1926" t="s">
        <v>40</v>
      </c>
      <c r="E2885" s="1662">
        <v>3.38</v>
      </c>
    </row>
    <row r="2886" spans="1:5" x14ac:dyDescent="0.2">
      <c r="A2886" s="135">
        <v>4085</v>
      </c>
      <c r="B2886" s="1926" t="s">
        <v>12486</v>
      </c>
      <c r="C2886" s="1926" t="s">
        <v>42</v>
      </c>
      <c r="D2886" s="1926" t="s">
        <v>40</v>
      </c>
      <c r="E2886" s="1662">
        <v>4.7300000000000004</v>
      </c>
    </row>
    <row r="2887" spans="1:5" x14ac:dyDescent="0.2">
      <c r="A2887" s="135">
        <v>10775</v>
      </c>
      <c r="B2887" s="1926" t="s">
        <v>12487</v>
      </c>
      <c r="C2887" s="1926" t="s">
        <v>51</v>
      </c>
      <c r="D2887" s="1926" t="s">
        <v>46</v>
      </c>
      <c r="E2887" s="1662">
        <v>522</v>
      </c>
    </row>
    <row r="2888" spans="1:5" x14ac:dyDescent="0.2">
      <c r="A2888" s="135">
        <v>10776</v>
      </c>
      <c r="B2888" s="1926" t="s">
        <v>12488</v>
      </c>
      <c r="C2888" s="1926" t="s">
        <v>51</v>
      </c>
      <c r="D2888" s="1926" t="s">
        <v>46</v>
      </c>
      <c r="E2888" s="1662">
        <v>407.81</v>
      </c>
    </row>
    <row r="2889" spans="1:5" x14ac:dyDescent="0.2">
      <c r="A2889" s="135">
        <v>10779</v>
      </c>
      <c r="B2889" s="1926" t="s">
        <v>12489</v>
      </c>
      <c r="C2889" s="1926" t="s">
        <v>51</v>
      </c>
      <c r="D2889" s="1926" t="s">
        <v>46</v>
      </c>
      <c r="E2889" s="1662">
        <v>652.5</v>
      </c>
    </row>
    <row r="2890" spans="1:5" x14ac:dyDescent="0.2">
      <c r="A2890" s="135">
        <v>10777</v>
      </c>
      <c r="B2890" s="1926" t="s">
        <v>12490</v>
      </c>
      <c r="C2890" s="1926" t="s">
        <v>51</v>
      </c>
      <c r="D2890" s="1926" t="s">
        <v>46</v>
      </c>
      <c r="E2890" s="1662">
        <v>592.67999999999995</v>
      </c>
    </row>
    <row r="2891" spans="1:5" x14ac:dyDescent="0.2">
      <c r="A2891" s="135">
        <v>10778</v>
      </c>
      <c r="B2891" s="1926" t="s">
        <v>12491</v>
      </c>
      <c r="C2891" s="1926" t="s">
        <v>51</v>
      </c>
      <c r="D2891" s="1926" t="s">
        <v>46</v>
      </c>
      <c r="E2891" s="1662">
        <v>652.5</v>
      </c>
    </row>
    <row r="2892" spans="1:5" x14ac:dyDescent="0.2">
      <c r="A2892" s="135">
        <v>40339</v>
      </c>
      <c r="B2892" s="1926" t="s">
        <v>12492</v>
      </c>
      <c r="C2892" s="1926" t="s">
        <v>51</v>
      </c>
      <c r="D2892" s="1926" t="s">
        <v>40</v>
      </c>
      <c r="E2892" s="1662">
        <v>3</v>
      </c>
    </row>
    <row r="2893" spans="1:5" x14ac:dyDescent="0.2">
      <c r="A2893" s="135">
        <v>3355</v>
      </c>
      <c r="B2893" s="1926" t="s">
        <v>12493</v>
      </c>
      <c r="C2893" s="1926" t="s">
        <v>42</v>
      </c>
      <c r="D2893" s="1926" t="s">
        <v>46</v>
      </c>
      <c r="E2893" s="1662">
        <v>20.7</v>
      </c>
    </row>
    <row r="2894" spans="1:5" x14ac:dyDescent="0.2">
      <c r="A2894" s="135">
        <v>39814</v>
      </c>
      <c r="B2894" s="1926" t="s">
        <v>12494</v>
      </c>
      <c r="C2894" s="1926" t="s">
        <v>42</v>
      </c>
      <c r="D2894" s="1926" t="s">
        <v>46</v>
      </c>
      <c r="E2894" s="1662">
        <v>38.81</v>
      </c>
    </row>
    <row r="2895" spans="1:5" x14ac:dyDescent="0.2">
      <c r="A2895" s="135">
        <v>10749</v>
      </c>
      <c r="B2895" s="1926" t="s">
        <v>12495</v>
      </c>
      <c r="C2895" s="1926" t="s">
        <v>51</v>
      </c>
      <c r="D2895" s="1926" t="s">
        <v>40</v>
      </c>
      <c r="E2895" s="1662">
        <v>5.49</v>
      </c>
    </row>
    <row r="2896" spans="1:5" x14ac:dyDescent="0.2">
      <c r="A2896" s="135">
        <v>40290</v>
      </c>
      <c r="B2896" s="1926" t="s">
        <v>12496</v>
      </c>
      <c r="C2896" s="1926" t="s">
        <v>51</v>
      </c>
      <c r="D2896" s="1926" t="s">
        <v>40</v>
      </c>
      <c r="E2896" s="1662">
        <v>7.92</v>
      </c>
    </row>
    <row r="2897" spans="1:5" x14ac:dyDescent="0.2">
      <c r="A2897" s="135">
        <v>7252</v>
      </c>
      <c r="B2897" s="1926" t="s">
        <v>12497</v>
      </c>
      <c r="C2897" s="1926" t="s">
        <v>42</v>
      </c>
      <c r="D2897" s="1926" t="s">
        <v>46</v>
      </c>
      <c r="E2897" s="1662">
        <v>2.14</v>
      </c>
    </row>
    <row r="2898" spans="1:5" x14ac:dyDescent="0.2">
      <c r="A2898" s="135">
        <v>4778</v>
      </c>
      <c r="B2898" s="1926" t="s">
        <v>12498</v>
      </c>
      <c r="C2898" s="1926" t="s">
        <v>42</v>
      </c>
      <c r="D2898" s="1926" t="s">
        <v>46</v>
      </c>
      <c r="E2898" s="1662">
        <v>2.7</v>
      </c>
    </row>
    <row r="2899" spans="1:5" x14ac:dyDescent="0.2">
      <c r="A2899" s="135">
        <v>4780</v>
      </c>
      <c r="B2899" s="1926" t="s">
        <v>12499</v>
      </c>
      <c r="C2899" s="1926" t="s">
        <v>42</v>
      </c>
      <c r="D2899" s="1926" t="s">
        <v>46</v>
      </c>
      <c r="E2899" s="1662">
        <v>2.92</v>
      </c>
    </row>
    <row r="2900" spans="1:5" x14ac:dyDescent="0.2">
      <c r="A2900" s="135">
        <v>10809</v>
      </c>
      <c r="B2900" s="1926" t="s">
        <v>12500</v>
      </c>
      <c r="C2900" s="1926" t="s">
        <v>42</v>
      </c>
      <c r="D2900" s="1926" t="s">
        <v>40</v>
      </c>
      <c r="E2900" s="1662">
        <v>1.65</v>
      </c>
    </row>
    <row r="2901" spans="1:5" x14ac:dyDescent="0.2">
      <c r="A2901" s="135">
        <v>10811</v>
      </c>
      <c r="B2901" s="1926" t="s">
        <v>12501</v>
      </c>
      <c r="C2901" s="1926" t="s">
        <v>42</v>
      </c>
      <c r="D2901" s="1926" t="s">
        <v>43</v>
      </c>
      <c r="E2901" s="1662">
        <v>1.41</v>
      </c>
    </row>
    <row r="2902" spans="1:5" x14ac:dyDescent="0.2">
      <c r="A2902" s="135">
        <v>7247</v>
      </c>
      <c r="B2902" s="1926" t="s">
        <v>12502</v>
      </c>
      <c r="C2902" s="1926" t="s">
        <v>42</v>
      </c>
      <c r="D2902" s="1926" t="s">
        <v>46</v>
      </c>
      <c r="E2902" s="1662">
        <v>2.14</v>
      </c>
    </row>
    <row r="2903" spans="1:5" x14ac:dyDescent="0.2">
      <c r="A2903" s="135">
        <v>40291</v>
      </c>
      <c r="B2903" s="1926" t="s">
        <v>12503</v>
      </c>
      <c r="C2903" s="1926" t="s">
        <v>51</v>
      </c>
      <c r="D2903" s="1926" t="s">
        <v>40</v>
      </c>
      <c r="E2903" s="1662">
        <v>418.61</v>
      </c>
    </row>
    <row r="2904" spans="1:5" x14ac:dyDescent="0.2">
      <c r="A2904" s="135">
        <v>40275</v>
      </c>
      <c r="B2904" s="1926" t="s">
        <v>12504</v>
      </c>
      <c r="C2904" s="1926" t="s">
        <v>51</v>
      </c>
      <c r="D2904" s="1926" t="s">
        <v>40</v>
      </c>
      <c r="E2904" s="1662">
        <v>12</v>
      </c>
    </row>
    <row r="2905" spans="1:5" x14ac:dyDescent="0.2">
      <c r="A2905" s="135">
        <v>3777</v>
      </c>
      <c r="B2905" s="1926" t="s">
        <v>12505</v>
      </c>
      <c r="C2905" s="1926" t="s">
        <v>45</v>
      </c>
      <c r="D2905" s="1926" t="s">
        <v>43</v>
      </c>
      <c r="E2905" s="1662">
        <v>0.95</v>
      </c>
    </row>
    <row r="2906" spans="1:5" x14ac:dyDescent="0.2">
      <c r="A2906" s="135">
        <v>3798</v>
      </c>
      <c r="B2906" s="1926" t="s">
        <v>12506</v>
      </c>
      <c r="C2906" s="1926" t="s">
        <v>39</v>
      </c>
      <c r="D2906" s="1926" t="s">
        <v>46</v>
      </c>
      <c r="E2906" s="1662">
        <v>40.47</v>
      </c>
    </row>
    <row r="2907" spans="1:5" x14ac:dyDescent="0.2">
      <c r="A2907" s="135">
        <v>38769</v>
      </c>
      <c r="B2907" s="1926" t="s">
        <v>12507</v>
      </c>
      <c r="C2907" s="1926" t="s">
        <v>39</v>
      </c>
      <c r="D2907" s="1926" t="s">
        <v>46</v>
      </c>
      <c r="E2907" s="1662">
        <v>31.6</v>
      </c>
    </row>
    <row r="2908" spans="1:5" x14ac:dyDescent="0.2">
      <c r="A2908" s="135">
        <v>39510</v>
      </c>
      <c r="B2908" s="1926" t="s">
        <v>12508</v>
      </c>
      <c r="C2908" s="1926" t="s">
        <v>39</v>
      </c>
      <c r="D2908" s="1926" t="s">
        <v>46</v>
      </c>
      <c r="E2908" s="1662">
        <v>127.91</v>
      </c>
    </row>
    <row r="2909" spans="1:5" x14ac:dyDescent="0.2">
      <c r="A2909" s="135">
        <v>38776</v>
      </c>
      <c r="B2909" s="1926" t="s">
        <v>12509</v>
      </c>
      <c r="C2909" s="1926" t="s">
        <v>39</v>
      </c>
      <c r="D2909" s="1926" t="s">
        <v>46</v>
      </c>
      <c r="E2909" s="1662">
        <v>135.75</v>
      </c>
    </row>
    <row r="2910" spans="1:5" x14ac:dyDescent="0.2">
      <c r="A2910" s="135">
        <v>38774</v>
      </c>
      <c r="B2910" s="1926" t="s">
        <v>12510</v>
      </c>
      <c r="C2910" s="1926" t="s">
        <v>39</v>
      </c>
      <c r="D2910" s="1926" t="s">
        <v>40</v>
      </c>
      <c r="E2910" s="1662">
        <v>25.07</v>
      </c>
    </row>
    <row r="2911" spans="1:5" x14ac:dyDescent="0.2">
      <c r="A2911" s="135">
        <v>42247</v>
      </c>
      <c r="B2911" s="1926" t="s">
        <v>12511</v>
      </c>
      <c r="C2911" s="1926" t="s">
        <v>39</v>
      </c>
      <c r="D2911" s="1926" t="s">
        <v>40</v>
      </c>
      <c r="E2911" s="1662">
        <v>855.77</v>
      </c>
    </row>
    <row r="2912" spans="1:5" x14ac:dyDescent="0.2">
      <c r="A2912" s="135">
        <v>42248</v>
      </c>
      <c r="B2912" s="1926" t="s">
        <v>12512</v>
      </c>
      <c r="C2912" s="1926" t="s">
        <v>39</v>
      </c>
      <c r="D2912" s="1926" t="s">
        <v>40</v>
      </c>
      <c r="E2912" s="1662">
        <v>994.04</v>
      </c>
    </row>
    <row r="2913" spans="1:5" x14ac:dyDescent="0.2">
      <c r="A2913" s="135">
        <v>42249</v>
      </c>
      <c r="B2913" s="1926" t="s">
        <v>12513</v>
      </c>
      <c r="C2913" s="1926" t="s">
        <v>39</v>
      </c>
      <c r="D2913" s="1926" t="s">
        <v>40</v>
      </c>
      <c r="E2913" s="1662">
        <v>1646.78</v>
      </c>
    </row>
    <row r="2914" spans="1:5" x14ac:dyDescent="0.2">
      <c r="A2914" s="135">
        <v>42244</v>
      </c>
      <c r="B2914" s="1926" t="s">
        <v>12514</v>
      </c>
      <c r="C2914" s="1926" t="s">
        <v>39</v>
      </c>
      <c r="D2914" s="1926" t="s">
        <v>40</v>
      </c>
      <c r="E2914" s="1662">
        <v>257.18</v>
      </c>
    </row>
    <row r="2915" spans="1:5" x14ac:dyDescent="0.2">
      <c r="A2915" s="135">
        <v>42245</v>
      </c>
      <c r="B2915" s="1926" t="s">
        <v>12515</v>
      </c>
      <c r="C2915" s="1926" t="s">
        <v>39</v>
      </c>
      <c r="D2915" s="1926" t="s">
        <v>40</v>
      </c>
      <c r="E2915" s="1662">
        <v>474.57</v>
      </c>
    </row>
    <row r="2916" spans="1:5" x14ac:dyDescent="0.2">
      <c r="A2916" s="135">
        <v>42246</v>
      </c>
      <c r="B2916" s="1926" t="s">
        <v>12516</v>
      </c>
      <c r="C2916" s="1926" t="s">
        <v>39</v>
      </c>
      <c r="D2916" s="1926" t="s">
        <v>40</v>
      </c>
      <c r="E2916" s="1662">
        <v>525.33000000000004</v>
      </c>
    </row>
    <row r="2917" spans="1:5" x14ac:dyDescent="0.2">
      <c r="A2917" s="135">
        <v>42977</v>
      </c>
      <c r="B2917" s="1926" t="s">
        <v>12517</v>
      </c>
      <c r="C2917" s="1926" t="s">
        <v>39</v>
      </c>
      <c r="D2917" s="1926" t="s">
        <v>46</v>
      </c>
      <c r="E2917" s="1662">
        <v>939.68</v>
      </c>
    </row>
    <row r="2918" spans="1:5" x14ac:dyDescent="0.2">
      <c r="A2918" s="135">
        <v>42243</v>
      </c>
      <c r="B2918" s="1926" t="s">
        <v>12518</v>
      </c>
      <c r="C2918" s="1926" t="s">
        <v>39</v>
      </c>
      <c r="D2918" s="1926" t="s">
        <v>40</v>
      </c>
      <c r="E2918" s="1662">
        <v>633.45000000000005</v>
      </c>
    </row>
    <row r="2919" spans="1:5" x14ac:dyDescent="0.2">
      <c r="A2919" s="135">
        <v>38889</v>
      </c>
      <c r="B2919" s="1926" t="s">
        <v>12519</v>
      </c>
      <c r="C2919" s="1926" t="s">
        <v>39</v>
      </c>
      <c r="D2919" s="1926" t="s">
        <v>46</v>
      </c>
      <c r="E2919" s="1662">
        <v>24.22</v>
      </c>
    </row>
    <row r="2920" spans="1:5" x14ac:dyDescent="0.2">
      <c r="A2920" s="135">
        <v>38784</v>
      </c>
      <c r="B2920" s="1926" t="s">
        <v>12520</v>
      </c>
      <c r="C2920" s="1926" t="s">
        <v>39</v>
      </c>
      <c r="D2920" s="1926" t="s">
        <v>46</v>
      </c>
      <c r="E2920" s="1662">
        <v>32.409999999999997</v>
      </c>
    </row>
    <row r="2921" spans="1:5" x14ac:dyDescent="0.2">
      <c r="A2921" s="135">
        <v>3788</v>
      </c>
      <c r="B2921" s="1926" t="s">
        <v>12521</v>
      </c>
      <c r="C2921" s="1926" t="s">
        <v>39</v>
      </c>
      <c r="D2921" s="1926" t="s">
        <v>46</v>
      </c>
      <c r="E2921" s="1662">
        <v>33.770000000000003</v>
      </c>
    </row>
    <row r="2922" spans="1:5" x14ac:dyDescent="0.2">
      <c r="A2922" s="135">
        <v>12230</v>
      </c>
      <c r="B2922" s="1926" t="s">
        <v>12522</v>
      </c>
      <c r="C2922" s="1926" t="s">
        <v>39</v>
      </c>
      <c r="D2922" s="1926" t="s">
        <v>46</v>
      </c>
      <c r="E2922" s="1662">
        <v>8.68</v>
      </c>
    </row>
    <row r="2923" spans="1:5" x14ac:dyDescent="0.2">
      <c r="A2923" s="135">
        <v>3780</v>
      </c>
      <c r="B2923" s="1926" t="s">
        <v>12523</v>
      </c>
      <c r="C2923" s="1926" t="s">
        <v>39</v>
      </c>
      <c r="D2923" s="1926" t="s">
        <v>46</v>
      </c>
      <c r="E2923" s="1662">
        <v>49.83</v>
      </c>
    </row>
    <row r="2924" spans="1:5" x14ac:dyDescent="0.2">
      <c r="A2924" s="135">
        <v>12231</v>
      </c>
      <c r="B2924" s="1926" t="s">
        <v>12524</v>
      </c>
      <c r="C2924" s="1926" t="s">
        <v>39</v>
      </c>
      <c r="D2924" s="1926" t="s">
        <v>46</v>
      </c>
      <c r="E2924" s="1662">
        <v>14.44</v>
      </c>
    </row>
    <row r="2925" spans="1:5" x14ac:dyDescent="0.2">
      <c r="A2925" s="135">
        <v>3811</v>
      </c>
      <c r="B2925" s="1926" t="s">
        <v>12525</v>
      </c>
      <c r="C2925" s="1926" t="s">
        <v>39</v>
      </c>
      <c r="D2925" s="1926" t="s">
        <v>46</v>
      </c>
      <c r="E2925" s="1662">
        <v>46.8</v>
      </c>
    </row>
    <row r="2926" spans="1:5" x14ac:dyDescent="0.2">
      <c r="A2926" s="135">
        <v>12232</v>
      </c>
      <c r="B2926" s="1926" t="s">
        <v>12526</v>
      </c>
      <c r="C2926" s="1926" t="s">
        <v>39</v>
      </c>
      <c r="D2926" s="1926" t="s">
        <v>46</v>
      </c>
      <c r="E2926" s="1662">
        <v>15.13</v>
      </c>
    </row>
    <row r="2927" spans="1:5" x14ac:dyDescent="0.2">
      <c r="A2927" s="135">
        <v>3799</v>
      </c>
      <c r="B2927" s="1926" t="s">
        <v>12527</v>
      </c>
      <c r="C2927" s="1926" t="s">
        <v>39</v>
      </c>
      <c r="D2927" s="1926" t="s">
        <v>46</v>
      </c>
      <c r="E2927" s="1662">
        <v>66.19</v>
      </c>
    </row>
    <row r="2928" spans="1:5" x14ac:dyDescent="0.2">
      <c r="A2928" s="135">
        <v>12239</v>
      </c>
      <c r="B2928" s="1926" t="s">
        <v>12528</v>
      </c>
      <c r="C2928" s="1926" t="s">
        <v>39</v>
      </c>
      <c r="D2928" s="1926" t="s">
        <v>46</v>
      </c>
      <c r="E2928" s="1662">
        <v>19.809999999999999</v>
      </c>
    </row>
    <row r="2929" spans="1:5" x14ac:dyDescent="0.2">
      <c r="A2929" s="135">
        <v>38773</v>
      </c>
      <c r="B2929" s="1926" t="s">
        <v>12529</v>
      </c>
      <c r="C2929" s="1926" t="s">
        <v>39</v>
      </c>
      <c r="D2929" s="1926" t="s">
        <v>46</v>
      </c>
      <c r="E2929" s="1662">
        <v>3.17</v>
      </c>
    </row>
    <row r="2930" spans="1:5" x14ac:dyDescent="0.2">
      <c r="A2930" s="135">
        <v>12271</v>
      </c>
      <c r="B2930" s="1926" t="s">
        <v>12530</v>
      </c>
      <c r="C2930" s="1926" t="s">
        <v>39</v>
      </c>
      <c r="D2930" s="1926" t="s">
        <v>46</v>
      </c>
      <c r="E2930" s="1662">
        <v>177.23</v>
      </c>
    </row>
    <row r="2931" spans="1:5" x14ac:dyDescent="0.2">
      <c r="A2931" s="135">
        <v>38785</v>
      </c>
      <c r="B2931" s="1926" t="s">
        <v>12531</v>
      </c>
      <c r="C2931" s="1926" t="s">
        <v>39</v>
      </c>
      <c r="D2931" s="1926" t="s">
        <v>46</v>
      </c>
      <c r="E2931" s="1662">
        <v>83.91</v>
      </c>
    </row>
    <row r="2932" spans="1:5" x14ac:dyDescent="0.2">
      <c r="A2932" s="135">
        <v>38786</v>
      </c>
      <c r="B2932" s="1926" t="s">
        <v>12532</v>
      </c>
      <c r="C2932" s="1926" t="s">
        <v>39</v>
      </c>
      <c r="D2932" s="1926" t="s">
        <v>46</v>
      </c>
      <c r="E2932" s="1662">
        <v>103.36</v>
      </c>
    </row>
    <row r="2933" spans="1:5" x14ac:dyDescent="0.2">
      <c r="A2933" s="135">
        <v>39385</v>
      </c>
      <c r="B2933" s="1926" t="s">
        <v>12533</v>
      </c>
      <c r="C2933" s="1926" t="s">
        <v>39</v>
      </c>
      <c r="D2933" s="1926" t="s">
        <v>40</v>
      </c>
      <c r="E2933" s="1662">
        <v>22.93</v>
      </c>
    </row>
    <row r="2934" spans="1:5" x14ac:dyDescent="0.2">
      <c r="A2934" s="135">
        <v>39389</v>
      </c>
      <c r="B2934" s="1926" t="s">
        <v>12534</v>
      </c>
      <c r="C2934" s="1926" t="s">
        <v>39</v>
      </c>
      <c r="D2934" s="1926" t="s">
        <v>40</v>
      </c>
      <c r="E2934" s="1662">
        <v>24.88</v>
      </c>
    </row>
    <row r="2935" spans="1:5" x14ac:dyDescent="0.2">
      <c r="A2935" s="135">
        <v>39390</v>
      </c>
      <c r="B2935" s="1926" t="s">
        <v>12535</v>
      </c>
      <c r="C2935" s="1926" t="s">
        <v>39</v>
      </c>
      <c r="D2935" s="1926" t="s">
        <v>40</v>
      </c>
      <c r="E2935" s="1662">
        <v>52.15</v>
      </c>
    </row>
    <row r="2936" spans="1:5" x14ac:dyDescent="0.2">
      <c r="A2936" s="135">
        <v>39391</v>
      </c>
      <c r="B2936" s="1926" t="s">
        <v>12536</v>
      </c>
      <c r="C2936" s="1926" t="s">
        <v>39</v>
      </c>
      <c r="D2936" s="1926" t="s">
        <v>40</v>
      </c>
      <c r="E2936" s="1662">
        <v>58.55</v>
      </c>
    </row>
    <row r="2937" spans="1:5" x14ac:dyDescent="0.2">
      <c r="A2937" s="135">
        <v>3803</v>
      </c>
      <c r="B2937" s="1926" t="s">
        <v>12537</v>
      </c>
      <c r="C2937" s="1926" t="s">
        <v>39</v>
      </c>
      <c r="D2937" s="1926" t="s">
        <v>46</v>
      </c>
      <c r="E2937" s="1662">
        <v>29.97</v>
      </c>
    </row>
    <row r="2938" spans="1:5" x14ac:dyDescent="0.2">
      <c r="A2938" s="135">
        <v>38770</v>
      </c>
      <c r="B2938" s="1926" t="s">
        <v>12538</v>
      </c>
      <c r="C2938" s="1926" t="s">
        <v>39</v>
      </c>
      <c r="D2938" s="1926" t="s">
        <v>46</v>
      </c>
      <c r="E2938" s="1662">
        <v>34.700000000000003</v>
      </c>
    </row>
    <row r="2939" spans="1:5" x14ac:dyDescent="0.2">
      <c r="A2939" s="135">
        <v>12267</v>
      </c>
      <c r="B2939" s="1926" t="s">
        <v>12539</v>
      </c>
      <c r="C2939" s="1926" t="s">
        <v>39</v>
      </c>
      <c r="D2939" s="1926" t="s">
        <v>46</v>
      </c>
      <c r="E2939" s="1662">
        <v>101.69</v>
      </c>
    </row>
    <row r="2940" spans="1:5" x14ac:dyDescent="0.2">
      <c r="A2940" s="135">
        <v>43068</v>
      </c>
      <c r="B2940" s="1926" t="s">
        <v>12540</v>
      </c>
      <c r="C2940" s="1926" t="s">
        <v>39</v>
      </c>
      <c r="D2940" s="1926" t="s">
        <v>46</v>
      </c>
      <c r="E2940" s="1662">
        <v>65.17</v>
      </c>
    </row>
    <row r="2941" spans="1:5" x14ac:dyDescent="0.2">
      <c r="A2941" s="135">
        <v>43265</v>
      </c>
      <c r="B2941" s="1926" t="s">
        <v>12541</v>
      </c>
      <c r="C2941" s="1926" t="s">
        <v>39</v>
      </c>
      <c r="D2941" s="1926" t="s">
        <v>40</v>
      </c>
      <c r="E2941" s="1662">
        <v>71.709999999999994</v>
      </c>
    </row>
    <row r="2942" spans="1:5" x14ac:dyDescent="0.2">
      <c r="A2942" s="135">
        <v>12266</v>
      </c>
      <c r="B2942" s="1926" t="s">
        <v>12542</v>
      </c>
      <c r="C2942" s="1926" t="s">
        <v>39</v>
      </c>
      <c r="D2942" s="1926" t="s">
        <v>46</v>
      </c>
      <c r="E2942" s="1662">
        <v>52.05</v>
      </c>
    </row>
    <row r="2943" spans="1:5" x14ac:dyDescent="0.2">
      <c r="A2943" s="135">
        <v>39378</v>
      </c>
      <c r="B2943" s="1926" t="s">
        <v>12543</v>
      </c>
      <c r="C2943" s="1926" t="s">
        <v>39</v>
      </c>
      <c r="D2943" s="1926" t="s">
        <v>46</v>
      </c>
      <c r="E2943" s="1662">
        <v>36.9</v>
      </c>
    </row>
    <row r="2944" spans="1:5" x14ac:dyDescent="0.2">
      <c r="A2944" s="135">
        <v>43543</v>
      </c>
      <c r="B2944" s="1926" t="s">
        <v>12544</v>
      </c>
      <c r="C2944" s="1926" t="s">
        <v>39</v>
      </c>
      <c r="D2944" s="1926" t="s">
        <v>46</v>
      </c>
      <c r="E2944" s="1662">
        <v>76.88</v>
      </c>
    </row>
    <row r="2945" spans="1:5" x14ac:dyDescent="0.2">
      <c r="A2945" s="135">
        <v>38775</v>
      </c>
      <c r="B2945" s="1926" t="s">
        <v>12545</v>
      </c>
      <c r="C2945" s="1926" t="s">
        <v>39</v>
      </c>
      <c r="D2945" s="1926" t="s">
        <v>46</v>
      </c>
      <c r="E2945" s="1662">
        <v>39.119999999999997</v>
      </c>
    </row>
    <row r="2946" spans="1:5" x14ac:dyDescent="0.2">
      <c r="A2946" s="135">
        <v>21119</v>
      </c>
      <c r="B2946" s="1926" t="s">
        <v>12546</v>
      </c>
      <c r="C2946" s="1926" t="s">
        <v>39</v>
      </c>
      <c r="D2946" s="1926" t="s">
        <v>40</v>
      </c>
      <c r="E2946" s="1662">
        <v>0.88</v>
      </c>
    </row>
    <row r="2947" spans="1:5" x14ac:dyDescent="0.2">
      <c r="A2947" s="135">
        <v>37974</v>
      </c>
      <c r="B2947" s="1926" t="s">
        <v>12547</v>
      </c>
      <c r="C2947" s="1926" t="s">
        <v>39</v>
      </c>
      <c r="D2947" s="1926" t="s">
        <v>40</v>
      </c>
      <c r="E2947" s="1662">
        <v>1.3</v>
      </c>
    </row>
    <row r="2948" spans="1:5" x14ac:dyDescent="0.2">
      <c r="A2948" s="135">
        <v>37975</v>
      </c>
      <c r="B2948" s="1926" t="s">
        <v>12548</v>
      </c>
      <c r="C2948" s="1926" t="s">
        <v>39</v>
      </c>
      <c r="D2948" s="1926" t="s">
        <v>40</v>
      </c>
      <c r="E2948" s="1662">
        <v>2.65</v>
      </c>
    </row>
    <row r="2949" spans="1:5" x14ac:dyDescent="0.2">
      <c r="A2949" s="135">
        <v>37976</v>
      </c>
      <c r="B2949" s="1926" t="s">
        <v>12549</v>
      </c>
      <c r="C2949" s="1926" t="s">
        <v>39</v>
      </c>
      <c r="D2949" s="1926" t="s">
        <v>40</v>
      </c>
      <c r="E2949" s="1662">
        <v>5.44</v>
      </c>
    </row>
    <row r="2950" spans="1:5" x14ac:dyDescent="0.2">
      <c r="A2950" s="135">
        <v>37977</v>
      </c>
      <c r="B2950" s="1926" t="s">
        <v>12550</v>
      </c>
      <c r="C2950" s="1926" t="s">
        <v>39</v>
      </c>
      <c r="D2950" s="1926" t="s">
        <v>40</v>
      </c>
      <c r="E2950" s="1662">
        <v>7.48</v>
      </c>
    </row>
    <row r="2951" spans="1:5" x14ac:dyDescent="0.2">
      <c r="A2951" s="135">
        <v>37978</v>
      </c>
      <c r="B2951" s="1926" t="s">
        <v>12551</v>
      </c>
      <c r="C2951" s="1926" t="s">
        <v>39</v>
      </c>
      <c r="D2951" s="1926" t="s">
        <v>40</v>
      </c>
      <c r="E2951" s="1662">
        <v>15.15</v>
      </c>
    </row>
    <row r="2952" spans="1:5" x14ac:dyDescent="0.2">
      <c r="A2952" s="135">
        <v>37979</v>
      </c>
      <c r="B2952" s="1926" t="s">
        <v>12552</v>
      </c>
      <c r="C2952" s="1926" t="s">
        <v>39</v>
      </c>
      <c r="D2952" s="1926" t="s">
        <v>40</v>
      </c>
      <c r="E2952" s="1662">
        <v>65.12</v>
      </c>
    </row>
    <row r="2953" spans="1:5" x14ac:dyDescent="0.2">
      <c r="A2953" s="135">
        <v>37980</v>
      </c>
      <c r="B2953" s="1926" t="s">
        <v>12553</v>
      </c>
      <c r="C2953" s="1926" t="s">
        <v>39</v>
      </c>
      <c r="D2953" s="1926" t="s">
        <v>40</v>
      </c>
      <c r="E2953" s="1662">
        <v>73.180000000000007</v>
      </c>
    </row>
    <row r="2954" spans="1:5" x14ac:dyDescent="0.2">
      <c r="A2954" s="135">
        <v>36147</v>
      </c>
      <c r="B2954" s="1926" t="s">
        <v>12554</v>
      </c>
      <c r="C2954" s="1926" t="s">
        <v>41</v>
      </c>
      <c r="D2954" s="1926" t="s">
        <v>40</v>
      </c>
      <c r="E2954" s="1662">
        <v>299.64</v>
      </c>
    </row>
    <row r="2955" spans="1:5" x14ac:dyDescent="0.2">
      <c r="A2955" s="135">
        <v>12731</v>
      </c>
      <c r="B2955" s="1926" t="s">
        <v>12555</v>
      </c>
      <c r="C2955" s="1926" t="s">
        <v>39</v>
      </c>
      <c r="D2955" s="1926" t="s">
        <v>46</v>
      </c>
      <c r="E2955" s="1662">
        <v>233.7</v>
      </c>
    </row>
    <row r="2956" spans="1:5" x14ac:dyDescent="0.2">
      <c r="A2956" s="135">
        <v>12723</v>
      </c>
      <c r="B2956" s="1926" t="s">
        <v>12556</v>
      </c>
      <c r="C2956" s="1926" t="s">
        <v>39</v>
      </c>
      <c r="D2956" s="1926" t="s">
        <v>46</v>
      </c>
      <c r="E2956" s="1662">
        <v>1.81</v>
      </c>
    </row>
    <row r="2957" spans="1:5" x14ac:dyDescent="0.2">
      <c r="A2957" s="135">
        <v>12724</v>
      </c>
      <c r="B2957" s="1926" t="s">
        <v>12557</v>
      </c>
      <c r="C2957" s="1926" t="s">
        <v>39</v>
      </c>
      <c r="D2957" s="1926" t="s">
        <v>46</v>
      </c>
      <c r="E2957" s="1662">
        <v>3.48</v>
      </c>
    </row>
    <row r="2958" spans="1:5" x14ac:dyDescent="0.2">
      <c r="A2958" s="135">
        <v>12725</v>
      </c>
      <c r="B2958" s="1926" t="s">
        <v>12558</v>
      </c>
      <c r="C2958" s="1926" t="s">
        <v>39</v>
      </c>
      <c r="D2958" s="1926" t="s">
        <v>46</v>
      </c>
      <c r="E2958" s="1662">
        <v>6.98</v>
      </c>
    </row>
    <row r="2959" spans="1:5" x14ac:dyDescent="0.2">
      <c r="A2959" s="135">
        <v>12726</v>
      </c>
      <c r="B2959" s="1926" t="s">
        <v>12559</v>
      </c>
      <c r="C2959" s="1926" t="s">
        <v>39</v>
      </c>
      <c r="D2959" s="1926" t="s">
        <v>46</v>
      </c>
      <c r="E2959" s="1662">
        <v>15.41</v>
      </c>
    </row>
    <row r="2960" spans="1:5" x14ac:dyDescent="0.2">
      <c r="A2960" s="135">
        <v>12727</v>
      </c>
      <c r="B2960" s="1926" t="s">
        <v>12560</v>
      </c>
      <c r="C2960" s="1926" t="s">
        <v>39</v>
      </c>
      <c r="D2960" s="1926" t="s">
        <v>46</v>
      </c>
      <c r="E2960" s="1662">
        <v>19.55</v>
      </c>
    </row>
    <row r="2961" spans="1:5" x14ac:dyDescent="0.2">
      <c r="A2961" s="135">
        <v>12728</v>
      </c>
      <c r="B2961" s="1926" t="s">
        <v>12561</v>
      </c>
      <c r="C2961" s="1926" t="s">
        <v>39</v>
      </c>
      <c r="D2961" s="1926" t="s">
        <v>46</v>
      </c>
      <c r="E2961" s="1662">
        <v>31.93</v>
      </c>
    </row>
    <row r="2962" spans="1:5" x14ac:dyDescent="0.2">
      <c r="A2962" s="135">
        <v>12729</v>
      </c>
      <c r="B2962" s="1926" t="s">
        <v>12562</v>
      </c>
      <c r="C2962" s="1926" t="s">
        <v>39</v>
      </c>
      <c r="D2962" s="1926" t="s">
        <v>46</v>
      </c>
      <c r="E2962" s="1662">
        <v>104.68</v>
      </c>
    </row>
    <row r="2963" spans="1:5" x14ac:dyDescent="0.2">
      <c r="A2963" s="135">
        <v>12730</v>
      </c>
      <c r="B2963" s="1926" t="s">
        <v>12563</v>
      </c>
      <c r="C2963" s="1926" t="s">
        <v>39</v>
      </c>
      <c r="D2963" s="1926" t="s">
        <v>46</v>
      </c>
      <c r="E2963" s="1662">
        <v>160.26</v>
      </c>
    </row>
    <row r="2964" spans="1:5" x14ac:dyDescent="0.2">
      <c r="A2964" s="135">
        <v>3840</v>
      </c>
      <c r="B2964" s="1926" t="s">
        <v>12564</v>
      </c>
      <c r="C2964" s="1926" t="s">
        <v>39</v>
      </c>
      <c r="D2964" s="1926" t="s">
        <v>46</v>
      </c>
      <c r="E2964" s="1662">
        <v>38.6</v>
      </c>
    </row>
    <row r="2965" spans="1:5" x14ac:dyDescent="0.2">
      <c r="A2965" s="135">
        <v>3838</v>
      </c>
      <c r="B2965" s="1926" t="s">
        <v>12565</v>
      </c>
      <c r="C2965" s="1926" t="s">
        <v>39</v>
      </c>
      <c r="D2965" s="1926" t="s">
        <v>46</v>
      </c>
      <c r="E2965" s="1662">
        <v>85.19</v>
      </c>
    </row>
    <row r="2966" spans="1:5" x14ac:dyDescent="0.2">
      <c r="A2966" s="135">
        <v>3844</v>
      </c>
      <c r="B2966" s="1926" t="s">
        <v>12566</v>
      </c>
      <c r="C2966" s="1926" t="s">
        <v>39</v>
      </c>
      <c r="D2966" s="1926" t="s">
        <v>46</v>
      </c>
      <c r="E2966" s="1662">
        <v>151.96</v>
      </c>
    </row>
    <row r="2967" spans="1:5" x14ac:dyDescent="0.2">
      <c r="A2967" s="135">
        <v>3839</v>
      </c>
      <c r="B2967" s="1926" t="s">
        <v>12567</v>
      </c>
      <c r="C2967" s="1926" t="s">
        <v>39</v>
      </c>
      <c r="D2967" s="1926" t="s">
        <v>46</v>
      </c>
      <c r="E2967" s="1662">
        <v>276.77999999999997</v>
      </c>
    </row>
    <row r="2968" spans="1:5" x14ac:dyDescent="0.2">
      <c r="A2968" s="135">
        <v>3843</v>
      </c>
      <c r="B2968" s="1926" t="s">
        <v>12568</v>
      </c>
      <c r="C2968" s="1926" t="s">
        <v>39</v>
      </c>
      <c r="D2968" s="1926" t="s">
        <v>46</v>
      </c>
      <c r="E2968" s="1662">
        <v>379.89</v>
      </c>
    </row>
    <row r="2969" spans="1:5" x14ac:dyDescent="0.2">
      <c r="A2969" s="135">
        <v>3900</v>
      </c>
      <c r="B2969" s="1926" t="s">
        <v>12569</v>
      </c>
      <c r="C2969" s="1926" t="s">
        <v>39</v>
      </c>
      <c r="D2969" s="1926" t="s">
        <v>40</v>
      </c>
      <c r="E2969" s="1662">
        <v>31.42</v>
      </c>
    </row>
    <row r="2970" spans="1:5" x14ac:dyDescent="0.2">
      <c r="A2970" s="135">
        <v>3846</v>
      </c>
      <c r="B2970" s="1926" t="s">
        <v>12570</v>
      </c>
      <c r="C2970" s="1926" t="s">
        <v>39</v>
      </c>
      <c r="D2970" s="1926" t="s">
        <v>40</v>
      </c>
      <c r="E2970" s="1662">
        <v>9.9</v>
      </c>
    </row>
    <row r="2971" spans="1:5" x14ac:dyDescent="0.2">
      <c r="A2971" s="135">
        <v>3886</v>
      </c>
      <c r="B2971" s="1926" t="s">
        <v>12571</v>
      </c>
      <c r="C2971" s="1926" t="s">
        <v>39</v>
      </c>
      <c r="D2971" s="1926" t="s">
        <v>40</v>
      </c>
      <c r="E2971" s="1662">
        <v>10.43</v>
      </c>
    </row>
    <row r="2972" spans="1:5" x14ac:dyDescent="0.2">
      <c r="A2972" s="135">
        <v>3854</v>
      </c>
      <c r="B2972" s="1926" t="s">
        <v>12572</v>
      </c>
      <c r="C2972" s="1926" t="s">
        <v>39</v>
      </c>
      <c r="D2972" s="1926" t="s">
        <v>40</v>
      </c>
      <c r="E2972" s="1662">
        <v>5.79</v>
      </c>
    </row>
    <row r="2973" spans="1:5" x14ac:dyDescent="0.2">
      <c r="A2973" s="135">
        <v>3873</v>
      </c>
      <c r="B2973" s="1926" t="s">
        <v>12573</v>
      </c>
      <c r="C2973" s="1926" t="s">
        <v>39</v>
      </c>
      <c r="D2973" s="1926" t="s">
        <v>40</v>
      </c>
      <c r="E2973" s="1662">
        <v>7.67</v>
      </c>
    </row>
    <row r="2974" spans="1:5" x14ac:dyDescent="0.2">
      <c r="A2974" s="135">
        <v>38021</v>
      </c>
      <c r="B2974" s="1926" t="s">
        <v>12574</v>
      </c>
      <c r="C2974" s="1926" t="s">
        <v>39</v>
      </c>
      <c r="D2974" s="1926" t="s">
        <v>40</v>
      </c>
      <c r="E2974" s="1662">
        <v>18.350000000000001</v>
      </c>
    </row>
    <row r="2975" spans="1:5" x14ac:dyDescent="0.2">
      <c r="A2975" s="135">
        <v>3847</v>
      </c>
      <c r="B2975" s="1926" t="s">
        <v>12575</v>
      </c>
      <c r="C2975" s="1926" t="s">
        <v>39</v>
      </c>
      <c r="D2975" s="1926" t="s">
        <v>40</v>
      </c>
      <c r="E2975" s="1662">
        <v>20.83</v>
      </c>
    </row>
    <row r="2976" spans="1:5" x14ac:dyDescent="0.2">
      <c r="A2976" s="135">
        <v>38022</v>
      </c>
      <c r="B2976" s="1926" t="s">
        <v>12576</v>
      </c>
      <c r="C2976" s="1926" t="s">
        <v>39</v>
      </c>
      <c r="D2976" s="1926" t="s">
        <v>40</v>
      </c>
      <c r="E2976" s="1662">
        <v>32.53</v>
      </c>
    </row>
    <row r="2977" spans="1:5" x14ac:dyDescent="0.2">
      <c r="A2977" s="135">
        <v>3833</v>
      </c>
      <c r="B2977" s="1926" t="s">
        <v>12577</v>
      </c>
      <c r="C2977" s="1926" t="s">
        <v>39</v>
      </c>
      <c r="D2977" s="1926" t="s">
        <v>46</v>
      </c>
      <c r="E2977" s="1662">
        <v>13.63</v>
      </c>
    </row>
    <row r="2978" spans="1:5" x14ac:dyDescent="0.2">
      <c r="A2978" s="135">
        <v>3835</v>
      </c>
      <c r="B2978" s="1926" t="s">
        <v>12578</v>
      </c>
      <c r="C2978" s="1926" t="s">
        <v>39</v>
      </c>
      <c r="D2978" s="1926" t="s">
        <v>46</v>
      </c>
      <c r="E2978" s="1662">
        <v>44.38</v>
      </c>
    </row>
    <row r="2979" spans="1:5" x14ac:dyDescent="0.2">
      <c r="A2979" s="135">
        <v>3836</v>
      </c>
      <c r="B2979" s="1926" t="s">
        <v>12579</v>
      </c>
      <c r="C2979" s="1926" t="s">
        <v>39</v>
      </c>
      <c r="D2979" s="1926" t="s">
        <v>46</v>
      </c>
      <c r="E2979" s="1662">
        <v>95.52</v>
      </c>
    </row>
    <row r="2980" spans="1:5" x14ac:dyDescent="0.2">
      <c r="A2980" s="135">
        <v>3830</v>
      </c>
      <c r="B2980" s="1926" t="s">
        <v>12580</v>
      </c>
      <c r="C2980" s="1926" t="s">
        <v>39</v>
      </c>
      <c r="D2980" s="1926" t="s">
        <v>46</v>
      </c>
      <c r="E2980" s="1662">
        <v>156.16999999999999</v>
      </c>
    </row>
    <row r="2981" spans="1:5" x14ac:dyDescent="0.2">
      <c r="A2981" s="135">
        <v>3831</v>
      </c>
      <c r="B2981" s="1926" t="s">
        <v>12581</v>
      </c>
      <c r="C2981" s="1926" t="s">
        <v>39</v>
      </c>
      <c r="D2981" s="1926" t="s">
        <v>46</v>
      </c>
      <c r="E2981" s="1662">
        <v>261.07</v>
      </c>
    </row>
    <row r="2982" spans="1:5" x14ac:dyDescent="0.2">
      <c r="A2982" s="135">
        <v>37981</v>
      </c>
      <c r="B2982" s="1926" t="s">
        <v>12582</v>
      </c>
      <c r="C2982" s="1926" t="s">
        <v>39</v>
      </c>
      <c r="D2982" s="1926" t="s">
        <v>40</v>
      </c>
      <c r="E2982" s="1662">
        <v>2.98</v>
      </c>
    </row>
    <row r="2983" spans="1:5" x14ac:dyDescent="0.2">
      <c r="A2983" s="135">
        <v>37982</v>
      </c>
      <c r="B2983" s="1926" t="s">
        <v>12583</v>
      </c>
      <c r="C2983" s="1926" t="s">
        <v>39</v>
      </c>
      <c r="D2983" s="1926" t="s">
        <v>40</v>
      </c>
      <c r="E2983" s="1662">
        <v>4.53</v>
      </c>
    </row>
    <row r="2984" spans="1:5" x14ac:dyDescent="0.2">
      <c r="A2984" s="135">
        <v>37983</v>
      </c>
      <c r="B2984" s="1926" t="s">
        <v>12584</v>
      </c>
      <c r="C2984" s="1926" t="s">
        <v>39</v>
      </c>
      <c r="D2984" s="1926" t="s">
        <v>40</v>
      </c>
      <c r="E2984" s="1662">
        <v>6.34</v>
      </c>
    </row>
    <row r="2985" spans="1:5" x14ac:dyDescent="0.2">
      <c r="A2985" s="135">
        <v>37984</v>
      </c>
      <c r="B2985" s="1926" t="s">
        <v>12585</v>
      </c>
      <c r="C2985" s="1926" t="s">
        <v>39</v>
      </c>
      <c r="D2985" s="1926" t="s">
        <v>40</v>
      </c>
      <c r="E2985" s="1662">
        <v>10.95</v>
      </c>
    </row>
    <row r="2986" spans="1:5" x14ac:dyDescent="0.2">
      <c r="A2986" s="135">
        <v>37985</v>
      </c>
      <c r="B2986" s="1926" t="s">
        <v>12586</v>
      </c>
      <c r="C2986" s="1926" t="s">
        <v>39</v>
      </c>
      <c r="D2986" s="1926" t="s">
        <v>40</v>
      </c>
      <c r="E2986" s="1662">
        <v>15.34</v>
      </c>
    </row>
    <row r="2987" spans="1:5" x14ac:dyDescent="0.2">
      <c r="A2987" s="135">
        <v>3826</v>
      </c>
      <c r="B2987" s="1926" t="s">
        <v>12587</v>
      </c>
      <c r="C2987" s="1926" t="s">
        <v>39</v>
      </c>
      <c r="D2987" s="1926" t="s">
        <v>46</v>
      </c>
      <c r="E2987" s="1662">
        <v>38.299999999999997</v>
      </c>
    </row>
    <row r="2988" spans="1:5" x14ac:dyDescent="0.2">
      <c r="A2988" s="135">
        <v>3825</v>
      </c>
      <c r="B2988" s="1926" t="s">
        <v>12588</v>
      </c>
      <c r="C2988" s="1926" t="s">
        <v>39</v>
      </c>
      <c r="D2988" s="1926" t="s">
        <v>46</v>
      </c>
      <c r="E2988" s="1662">
        <v>11.01</v>
      </c>
    </row>
    <row r="2989" spans="1:5" x14ac:dyDescent="0.2">
      <c r="A2989" s="135">
        <v>3827</v>
      </c>
      <c r="B2989" s="1926" t="s">
        <v>12589</v>
      </c>
      <c r="C2989" s="1926" t="s">
        <v>39</v>
      </c>
      <c r="D2989" s="1926" t="s">
        <v>46</v>
      </c>
      <c r="E2989" s="1662">
        <v>24.06</v>
      </c>
    </row>
    <row r="2990" spans="1:5" x14ac:dyDescent="0.2">
      <c r="A2990" s="135">
        <v>20165</v>
      </c>
      <c r="B2990" s="1926" t="s">
        <v>12590</v>
      </c>
      <c r="C2990" s="1926" t="s">
        <v>39</v>
      </c>
      <c r="D2990" s="1926" t="s">
        <v>40</v>
      </c>
      <c r="E2990" s="1662">
        <v>16.86</v>
      </c>
    </row>
    <row r="2991" spans="1:5" x14ac:dyDescent="0.2">
      <c r="A2991" s="135">
        <v>20166</v>
      </c>
      <c r="B2991" s="1926" t="s">
        <v>12591</v>
      </c>
      <c r="C2991" s="1926" t="s">
        <v>39</v>
      </c>
      <c r="D2991" s="1926" t="s">
        <v>40</v>
      </c>
      <c r="E2991" s="1662">
        <v>54.48</v>
      </c>
    </row>
    <row r="2992" spans="1:5" x14ac:dyDescent="0.2">
      <c r="A2992" s="135">
        <v>20164</v>
      </c>
      <c r="B2992" s="1926" t="s">
        <v>12592</v>
      </c>
      <c r="C2992" s="1926" t="s">
        <v>39</v>
      </c>
      <c r="D2992" s="1926" t="s">
        <v>40</v>
      </c>
      <c r="E2992" s="1662">
        <v>8.9</v>
      </c>
    </row>
    <row r="2993" spans="1:5" x14ac:dyDescent="0.2">
      <c r="A2993" s="135">
        <v>3893</v>
      </c>
      <c r="B2993" s="1926" t="s">
        <v>12593</v>
      </c>
      <c r="C2993" s="1926" t="s">
        <v>39</v>
      </c>
      <c r="D2993" s="1926" t="s">
        <v>40</v>
      </c>
      <c r="E2993" s="1662">
        <v>11.05</v>
      </c>
    </row>
    <row r="2994" spans="1:5" x14ac:dyDescent="0.2">
      <c r="A2994" s="135">
        <v>3848</v>
      </c>
      <c r="B2994" s="1926" t="s">
        <v>12594</v>
      </c>
      <c r="C2994" s="1926" t="s">
        <v>39</v>
      </c>
      <c r="D2994" s="1926" t="s">
        <v>40</v>
      </c>
      <c r="E2994" s="1662">
        <v>6.71</v>
      </c>
    </row>
    <row r="2995" spans="1:5" x14ac:dyDescent="0.2">
      <c r="A2995" s="135">
        <v>3895</v>
      </c>
      <c r="B2995" s="1926" t="s">
        <v>12595</v>
      </c>
      <c r="C2995" s="1926" t="s">
        <v>39</v>
      </c>
      <c r="D2995" s="1926" t="s">
        <v>40</v>
      </c>
      <c r="E2995" s="1662">
        <v>7.3</v>
      </c>
    </row>
    <row r="2996" spans="1:5" x14ac:dyDescent="0.2">
      <c r="A2996" s="135">
        <v>12404</v>
      </c>
      <c r="B2996" s="1926" t="s">
        <v>12596</v>
      </c>
      <c r="C2996" s="1926" t="s">
        <v>39</v>
      </c>
      <c r="D2996" s="1926" t="s">
        <v>40</v>
      </c>
      <c r="E2996" s="1662">
        <v>6.18</v>
      </c>
    </row>
    <row r="2997" spans="1:5" x14ac:dyDescent="0.2">
      <c r="A2997" s="135">
        <v>3939</v>
      </c>
      <c r="B2997" s="1926" t="s">
        <v>12597</v>
      </c>
      <c r="C2997" s="1926" t="s">
        <v>39</v>
      </c>
      <c r="D2997" s="1926" t="s">
        <v>40</v>
      </c>
      <c r="E2997" s="1662">
        <v>12.74</v>
      </c>
    </row>
    <row r="2998" spans="1:5" x14ac:dyDescent="0.2">
      <c r="A2998" s="135">
        <v>3911</v>
      </c>
      <c r="B2998" s="1926" t="s">
        <v>12598</v>
      </c>
      <c r="C2998" s="1926" t="s">
        <v>39</v>
      </c>
      <c r="D2998" s="1926" t="s">
        <v>40</v>
      </c>
      <c r="E2998" s="1662">
        <v>10.41</v>
      </c>
    </row>
    <row r="2999" spans="1:5" x14ac:dyDescent="0.2">
      <c r="A2999" s="135">
        <v>3908</v>
      </c>
      <c r="B2999" s="1926" t="s">
        <v>12599</v>
      </c>
      <c r="C2999" s="1926" t="s">
        <v>39</v>
      </c>
      <c r="D2999" s="1926" t="s">
        <v>40</v>
      </c>
      <c r="E2999" s="1662">
        <v>3.36</v>
      </c>
    </row>
    <row r="3000" spans="1:5" x14ac:dyDescent="0.2">
      <c r="A3000" s="135">
        <v>3910</v>
      </c>
      <c r="B3000" s="1926" t="s">
        <v>12600</v>
      </c>
      <c r="C3000" s="1926" t="s">
        <v>39</v>
      </c>
      <c r="D3000" s="1926" t="s">
        <v>40</v>
      </c>
      <c r="E3000" s="1662">
        <v>7.45</v>
      </c>
    </row>
    <row r="3001" spans="1:5" x14ac:dyDescent="0.2">
      <c r="A3001" s="135">
        <v>3913</v>
      </c>
      <c r="B3001" s="1926" t="s">
        <v>12601</v>
      </c>
      <c r="C3001" s="1926" t="s">
        <v>39</v>
      </c>
      <c r="D3001" s="1926" t="s">
        <v>40</v>
      </c>
      <c r="E3001" s="1662">
        <v>35.6</v>
      </c>
    </row>
    <row r="3002" spans="1:5" x14ac:dyDescent="0.2">
      <c r="A3002" s="135">
        <v>3912</v>
      </c>
      <c r="B3002" s="1926" t="s">
        <v>12602</v>
      </c>
      <c r="C3002" s="1926" t="s">
        <v>39</v>
      </c>
      <c r="D3002" s="1926" t="s">
        <v>40</v>
      </c>
      <c r="E3002" s="1662">
        <v>19.52</v>
      </c>
    </row>
    <row r="3003" spans="1:5" x14ac:dyDescent="0.2">
      <c r="A3003" s="135">
        <v>3909</v>
      </c>
      <c r="B3003" s="1926" t="s">
        <v>12603</v>
      </c>
      <c r="C3003" s="1926" t="s">
        <v>39</v>
      </c>
      <c r="D3003" s="1926" t="s">
        <v>40</v>
      </c>
      <c r="E3003" s="1662">
        <v>4.58</v>
      </c>
    </row>
    <row r="3004" spans="1:5" x14ac:dyDescent="0.2">
      <c r="A3004" s="135">
        <v>3914</v>
      </c>
      <c r="B3004" s="1926" t="s">
        <v>12604</v>
      </c>
      <c r="C3004" s="1926" t="s">
        <v>39</v>
      </c>
      <c r="D3004" s="1926" t="s">
        <v>40</v>
      </c>
      <c r="E3004" s="1662">
        <v>53.71</v>
      </c>
    </row>
    <row r="3005" spans="1:5" x14ac:dyDescent="0.2">
      <c r="A3005" s="135">
        <v>3915</v>
      </c>
      <c r="B3005" s="1926" t="s">
        <v>12605</v>
      </c>
      <c r="C3005" s="1926" t="s">
        <v>39</v>
      </c>
      <c r="D3005" s="1926" t="s">
        <v>40</v>
      </c>
      <c r="E3005" s="1662">
        <v>84.7</v>
      </c>
    </row>
    <row r="3006" spans="1:5" x14ac:dyDescent="0.2">
      <c r="A3006" s="135">
        <v>3916</v>
      </c>
      <c r="B3006" s="1926" t="s">
        <v>12606</v>
      </c>
      <c r="C3006" s="1926" t="s">
        <v>39</v>
      </c>
      <c r="D3006" s="1926" t="s">
        <v>40</v>
      </c>
      <c r="E3006" s="1662">
        <v>154.31</v>
      </c>
    </row>
    <row r="3007" spans="1:5" x14ac:dyDescent="0.2">
      <c r="A3007" s="135">
        <v>3917</v>
      </c>
      <c r="B3007" s="1926" t="s">
        <v>12607</v>
      </c>
      <c r="C3007" s="1926" t="s">
        <v>39</v>
      </c>
      <c r="D3007" s="1926" t="s">
        <v>40</v>
      </c>
      <c r="E3007" s="1662">
        <v>254.52</v>
      </c>
    </row>
    <row r="3008" spans="1:5" x14ac:dyDescent="0.2">
      <c r="A3008" s="135">
        <v>1904</v>
      </c>
      <c r="B3008" s="1926" t="s">
        <v>12608</v>
      </c>
      <c r="C3008" s="1926" t="s">
        <v>39</v>
      </c>
      <c r="D3008" s="1926" t="s">
        <v>40</v>
      </c>
      <c r="E3008" s="1662">
        <v>0.59</v>
      </c>
    </row>
    <row r="3009" spans="1:5" x14ac:dyDescent="0.2">
      <c r="A3009" s="135">
        <v>1899</v>
      </c>
      <c r="B3009" s="1926" t="s">
        <v>12609</v>
      </c>
      <c r="C3009" s="1926" t="s">
        <v>39</v>
      </c>
      <c r="D3009" s="1926" t="s">
        <v>40</v>
      </c>
      <c r="E3009" s="1662">
        <v>0.67</v>
      </c>
    </row>
    <row r="3010" spans="1:5" x14ac:dyDescent="0.2">
      <c r="A3010" s="135">
        <v>1900</v>
      </c>
      <c r="B3010" s="1926" t="s">
        <v>12610</v>
      </c>
      <c r="C3010" s="1926" t="s">
        <v>39</v>
      </c>
      <c r="D3010" s="1926" t="s">
        <v>40</v>
      </c>
      <c r="E3010" s="1662">
        <v>1.0900000000000001</v>
      </c>
    </row>
    <row r="3011" spans="1:5" x14ac:dyDescent="0.2">
      <c r="A3011" s="135">
        <v>12407</v>
      </c>
      <c r="B3011" s="1926" t="s">
        <v>12611</v>
      </c>
      <c r="C3011" s="1926" t="s">
        <v>39</v>
      </c>
      <c r="D3011" s="1926" t="s">
        <v>40</v>
      </c>
      <c r="E3011" s="1662">
        <v>19.27</v>
      </c>
    </row>
    <row r="3012" spans="1:5" x14ac:dyDescent="0.2">
      <c r="A3012" s="135">
        <v>12408</v>
      </c>
      <c r="B3012" s="1926" t="s">
        <v>12612</v>
      </c>
      <c r="C3012" s="1926" t="s">
        <v>39</v>
      </c>
      <c r="D3012" s="1926" t="s">
        <v>40</v>
      </c>
      <c r="E3012" s="1662">
        <v>10.87</v>
      </c>
    </row>
    <row r="3013" spans="1:5" x14ac:dyDescent="0.2">
      <c r="A3013" s="135">
        <v>12409</v>
      </c>
      <c r="B3013" s="1926" t="s">
        <v>12613</v>
      </c>
      <c r="C3013" s="1926" t="s">
        <v>39</v>
      </c>
      <c r="D3013" s="1926" t="s">
        <v>40</v>
      </c>
      <c r="E3013" s="1662">
        <v>10.87</v>
      </c>
    </row>
    <row r="3014" spans="1:5" x14ac:dyDescent="0.2">
      <c r="A3014" s="135">
        <v>12410</v>
      </c>
      <c r="B3014" s="1926" t="s">
        <v>12614</v>
      </c>
      <c r="C3014" s="1926" t="s">
        <v>39</v>
      </c>
      <c r="D3014" s="1926" t="s">
        <v>40</v>
      </c>
      <c r="E3014" s="1662">
        <v>7.49</v>
      </c>
    </row>
    <row r="3015" spans="1:5" x14ac:dyDescent="0.2">
      <c r="A3015" s="135">
        <v>3936</v>
      </c>
      <c r="B3015" s="1926" t="s">
        <v>12615</v>
      </c>
      <c r="C3015" s="1926" t="s">
        <v>39</v>
      </c>
      <c r="D3015" s="1926" t="s">
        <v>40</v>
      </c>
      <c r="E3015" s="1662">
        <v>13.53</v>
      </c>
    </row>
    <row r="3016" spans="1:5" x14ac:dyDescent="0.2">
      <c r="A3016" s="135">
        <v>3922</v>
      </c>
      <c r="B3016" s="1926" t="s">
        <v>12616</v>
      </c>
      <c r="C3016" s="1926" t="s">
        <v>39</v>
      </c>
      <c r="D3016" s="1926" t="s">
        <v>40</v>
      </c>
      <c r="E3016" s="1662">
        <v>12.45</v>
      </c>
    </row>
    <row r="3017" spans="1:5" x14ac:dyDescent="0.2">
      <c r="A3017" s="135">
        <v>3924</v>
      </c>
      <c r="B3017" s="1926" t="s">
        <v>12617</v>
      </c>
      <c r="C3017" s="1926" t="s">
        <v>39</v>
      </c>
      <c r="D3017" s="1926" t="s">
        <v>40</v>
      </c>
      <c r="E3017" s="1662">
        <v>13.53</v>
      </c>
    </row>
    <row r="3018" spans="1:5" x14ac:dyDescent="0.2">
      <c r="A3018" s="135">
        <v>3923</v>
      </c>
      <c r="B3018" s="1926" t="s">
        <v>12618</v>
      </c>
      <c r="C3018" s="1926" t="s">
        <v>39</v>
      </c>
      <c r="D3018" s="1926" t="s">
        <v>40</v>
      </c>
      <c r="E3018" s="1662">
        <v>13.53</v>
      </c>
    </row>
    <row r="3019" spans="1:5" x14ac:dyDescent="0.2">
      <c r="A3019" s="135">
        <v>3937</v>
      </c>
      <c r="B3019" s="1926" t="s">
        <v>12619</v>
      </c>
      <c r="C3019" s="1926" t="s">
        <v>39</v>
      </c>
      <c r="D3019" s="1926" t="s">
        <v>40</v>
      </c>
      <c r="E3019" s="1662">
        <v>11.16</v>
      </c>
    </row>
    <row r="3020" spans="1:5" x14ac:dyDescent="0.2">
      <c r="A3020" s="135">
        <v>3921</v>
      </c>
      <c r="B3020" s="1926" t="s">
        <v>12620</v>
      </c>
      <c r="C3020" s="1926" t="s">
        <v>39</v>
      </c>
      <c r="D3020" s="1926" t="s">
        <v>40</v>
      </c>
      <c r="E3020" s="1662">
        <v>11.17</v>
      </c>
    </row>
    <row r="3021" spans="1:5" x14ac:dyDescent="0.2">
      <c r="A3021" s="135">
        <v>3920</v>
      </c>
      <c r="B3021" s="1926" t="s">
        <v>12621</v>
      </c>
      <c r="C3021" s="1926" t="s">
        <v>39</v>
      </c>
      <c r="D3021" s="1926" t="s">
        <v>40</v>
      </c>
      <c r="E3021" s="1662">
        <v>11.16</v>
      </c>
    </row>
    <row r="3022" spans="1:5" x14ac:dyDescent="0.2">
      <c r="A3022" s="135">
        <v>3938</v>
      </c>
      <c r="B3022" s="1926" t="s">
        <v>12622</v>
      </c>
      <c r="C3022" s="1926" t="s">
        <v>39</v>
      </c>
      <c r="D3022" s="1926" t="s">
        <v>40</v>
      </c>
      <c r="E3022" s="1662">
        <v>7.36</v>
      </c>
    </row>
    <row r="3023" spans="1:5" x14ac:dyDescent="0.2">
      <c r="A3023" s="135">
        <v>3919</v>
      </c>
      <c r="B3023" s="1926" t="s">
        <v>12623</v>
      </c>
      <c r="C3023" s="1926" t="s">
        <v>39</v>
      </c>
      <c r="D3023" s="1926" t="s">
        <v>40</v>
      </c>
      <c r="E3023" s="1662">
        <v>7.5</v>
      </c>
    </row>
    <row r="3024" spans="1:5" x14ac:dyDescent="0.2">
      <c r="A3024" s="135">
        <v>3927</v>
      </c>
      <c r="B3024" s="1926" t="s">
        <v>12624</v>
      </c>
      <c r="C3024" s="1926" t="s">
        <v>39</v>
      </c>
      <c r="D3024" s="1926" t="s">
        <v>40</v>
      </c>
      <c r="E3024" s="1662">
        <v>38.020000000000003</v>
      </c>
    </row>
    <row r="3025" spans="1:5" x14ac:dyDescent="0.2">
      <c r="A3025" s="135">
        <v>3928</v>
      </c>
      <c r="B3025" s="1926" t="s">
        <v>12625</v>
      </c>
      <c r="C3025" s="1926" t="s">
        <v>39</v>
      </c>
      <c r="D3025" s="1926" t="s">
        <v>40</v>
      </c>
      <c r="E3025" s="1662">
        <v>38.020000000000003</v>
      </c>
    </row>
    <row r="3026" spans="1:5" x14ac:dyDescent="0.2">
      <c r="A3026" s="135">
        <v>3926</v>
      </c>
      <c r="B3026" s="1926" t="s">
        <v>12626</v>
      </c>
      <c r="C3026" s="1926" t="s">
        <v>39</v>
      </c>
      <c r="D3026" s="1926" t="s">
        <v>40</v>
      </c>
      <c r="E3026" s="1662">
        <v>21.67</v>
      </c>
    </row>
    <row r="3027" spans="1:5" x14ac:dyDescent="0.2">
      <c r="A3027" s="135">
        <v>3935</v>
      </c>
      <c r="B3027" s="1926" t="s">
        <v>12627</v>
      </c>
      <c r="C3027" s="1926" t="s">
        <v>39</v>
      </c>
      <c r="D3027" s="1926" t="s">
        <v>40</v>
      </c>
      <c r="E3027" s="1662">
        <v>21.67</v>
      </c>
    </row>
    <row r="3028" spans="1:5" x14ac:dyDescent="0.2">
      <c r="A3028" s="135">
        <v>3925</v>
      </c>
      <c r="B3028" s="1926" t="s">
        <v>12628</v>
      </c>
      <c r="C3028" s="1926" t="s">
        <v>39</v>
      </c>
      <c r="D3028" s="1926" t="s">
        <v>40</v>
      </c>
      <c r="E3028" s="1662">
        <v>21.67</v>
      </c>
    </row>
    <row r="3029" spans="1:5" x14ac:dyDescent="0.2">
      <c r="A3029" s="135">
        <v>12406</v>
      </c>
      <c r="B3029" s="1926" t="s">
        <v>12629</v>
      </c>
      <c r="C3029" s="1926" t="s">
        <v>39</v>
      </c>
      <c r="D3029" s="1926" t="s">
        <v>40</v>
      </c>
      <c r="E3029" s="1662">
        <v>5.32</v>
      </c>
    </row>
    <row r="3030" spans="1:5" x14ac:dyDescent="0.2">
      <c r="A3030" s="135">
        <v>3929</v>
      </c>
      <c r="B3030" s="1926" t="s">
        <v>12630</v>
      </c>
      <c r="C3030" s="1926" t="s">
        <v>39</v>
      </c>
      <c r="D3030" s="1926" t="s">
        <v>40</v>
      </c>
      <c r="E3030" s="1662">
        <v>57.92</v>
      </c>
    </row>
    <row r="3031" spans="1:5" x14ac:dyDescent="0.2">
      <c r="A3031" s="135">
        <v>3931</v>
      </c>
      <c r="B3031" s="1926" t="s">
        <v>12631</v>
      </c>
      <c r="C3031" s="1926" t="s">
        <v>39</v>
      </c>
      <c r="D3031" s="1926" t="s">
        <v>40</v>
      </c>
      <c r="E3031" s="1662">
        <v>57.92</v>
      </c>
    </row>
    <row r="3032" spans="1:5" x14ac:dyDescent="0.2">
      <c r="A3032" s="135">
        <v>3930</v>
      </c>
      <c r="B3032" s="1926" t="s">
        <v>12632</v>
      </c>
      <c r="C3032" s="1926" t="s">
        <v>39</v>
      </c>
      <c r="D3032" s="1926" t="s">
        <v>40</v>
      </c>
      <c r="E3032" s="1662">
        <v>57.92</v>
      </c>
    </row>
    <row r="3033" spans="1:5" x14ac:dyDescent="0.2">
      <c r="A3033" s="135">
        <v>3932</v>
      </c>
      <c r="B3033" s="1926" t="s">
        <v>12633</v>
      </c>
      <c r="C3033" s="1926" t="s">
        <v>39</v>
      </c>
      <c r="D3033" s="1926" t="s">
        <v>40</v>
      </c>
      <c r="E3033" s="1662">
        <v>100.02</v>
      </c>
    </row>
    <row r="3034" spans="1:5" x14ac:dyDescent="0.2">
      <c r="A3034" s="135">
        <v>3933</v>
      </c>
      <c r="B3034" s="1926" t="s">
        <v>12634</v>
      </c>
      <c r="C3034" s="1926" t="s">
        <v>39</v>
      </c>
      <c r="D3034" s="1926" t="s">
        <v>40</v>
      </c>
      <c r="E3034" s="1662">
        <v>100.02</v>
      </c>
    </row>
    <row r="3035" spans="1:5" x14ac:dyDescent="0.2">
      <c r="A3035" s="135">
        <v>3934</v>
      </c>
      <c r="B3035" s="1926" t="s">
        <v>12635</v>
      </c>
      <c r="C3035" s="1926" t="s">
        <v>39</v>
      </c>
      <c r="D3035" s="1926" t="s">
        <v>40</v>
      </c>
      <c r="E3035" s="1662">
        <v>100.02</v>
      </c>
    </row>
    <row r="3036" spans="1:5" x14ac:dyDescent="0.2">
      <c r="A3036" s="135">
        <v>40355</v>
      </c>
      <c r="B3036" s="1926" t="s">
        <v>12636</v>
      </c>
      <c r="C3036" s="1926" t="s">
        <v>39</v>
      </c>
      <c r="D3036" s="1926" t="s">
        <v>46</v>
      </c>
      <c r="E3036" s="1662">
        <v>7.82</v>
      </c>
    </row>
    <row r="3037" spans="1:5" x14ac:dyDescent="0.2">
      <c r="A3037" s="135">
        <v>40364</v>
      </c>
      <c r="B3037" s="1926" t="s">
        <v>12637</v>
      </c>
      <c r="C3037" s="1926" t="s">
        <v>39</v>
      </c>
      <c r="D3037" s="1926" t="s">
        <v>46</v>
      </c>
      <c r="E3037" s="1662">
        <v>36.630000000000003</v>
      </c>
    </row>
    <row r="3038" spans="1:5" x14ac:dyDescent="0.2">
      <c r="A3038" s="135">
        <v>40361</v>
      </c>
      <c r="B3038" s="1926" t="s">
        <v>12638</v>
      </c>
      <c r="C3038" s="1926" t="s">
        <v>39</v>
      </c>
      <c r="D3038" s="1926" t="s">
        <v>46</v>
      </c>
      <c r="E3038" s="1662">
        <v>28.64</v>
      </c>
    </row>
    <row r="3039" spans="1:5" x14ac:dyDescent="0.2">
      <c r="A3039" s="135">
        <v>40358</v>
      </c>
      <c r="B3039" s="1926" t="s">
        <v>12639</v>
      </c>
      <c r="C3039" s="1926" t="s">
        <v>39</v>
      </c>
      <c r="D3039" s="1926" t="s">
        <v>46</v>
      </c>
      <c r="E3039" s="1662">
        <v>10.92</v>
      </c>
    </row>
    <row r="3040" spans="1:5" x14ac:dyDescent="0.2">
      <c r="A3040" s="135">
        <v>40370</v>
      </c>
      <c r="B3040" s="1926" t="s">
        <v>12640</v>
      </c>
      <c r="C3040" s="1926" t="s">
        <v>39</v>
      </c>
      <c r="D3040" s="1926" t="s">
        <v>46</v>
      </c>
      <c r="E3040" s="1662">
        <v>116.23</v>
      </c>
    </row>
    <row r="3041" spans="1:5" x14ac:dyDescent="0.2">
      <c r="A3041" s="135">
        <v>40367</v>
      </c>
      <c r="B3041" s="1926" t="s">
        <v>12641</v>
      </c>
      <c r="C3041" s="1926" t="s">
        <v>39</v>
      </c>
      <c r="D3041" s="1926" t="s">
        <v>46</v>
      </c>
      <c r="E3041" s="1662">
        <v>57.77</v>
      </c>
    </row>
    <row r="3042" spans="1:5" x14ac:dyDescent="0.2">
      <c r="A3042" s="135">
        <v>40373</v>
      </c>
      <c r="B3042" s="1926" t="s">
        <v>12642</v>
      </c>
      <c r="C3042" s="1926" t="s">
        <v>39</v>
      </c>
      <c r="D3042" s="1926" t="s">
        <v>46</v>
      </c>
      <c r="E3042" s="1662">
        <v>157.18</v>
      </c>
    </row>
    <row r="3043" spans="1:5" x14ac:dyDescent="0.2">
      <c r="A3043" s="135">
        <v>38947</v>
      </c>
      <c r="B3043" s="1926" t="s">
        <v>12643</v>
      </c>
      <c r="C3043" s="1926" t="s">
        <v>39</v>
      </c>
      <c r="D3043" s="1926" t="s">
        <v>46</v>
      </c>
      <c r="E3043" s="1662">
        <v>5.44</v>
      </c>
    </row>
    <row r="3044" spans="1:5" x14ac:dyDescent="0.2">
      <c r="A3044" s="135">
        <v>38948</v>
      </c>
      <c r="B3044" s="1926" t="s">
        <v>12644</v>
      </c>
      <c r="C3044" s="1926" t="s">
        <v>39</v>
      </c>
      <c r="D3044" s="1926" t="s">
        <v>46</v>
      </c>
      <c r="E3044" s="1662">
        <v>8.67</v>
      </c>
    </row>
    <row r="3045" spans="1:5" x14ac:dyDescent="0.2">
      <c r="A3045" s="135">
        <v>38949</v>
      </c>
      <c r="B3045" s="1926" t="s">
        <v>12645</v>
      </c>
      <c r="C3045" s="1926" t="s">
        <v>39</v>
      </c>
      <c r="D3045" s="1926" t="s">
        <v>46</v>
      </c>
      <c r="E3045" s="1662">
        <v>9.6199999999999992</v>
      </c>
    </row>
    <row r="3046" spans="1:5" x14ac:dyDescent="0.2">
      <c r="A3046" s="135">
        <v>38951</v>
      </c>
      <c r="B3046" s="1926" t="s">
        <v>12646</v>
      </c>
      <c r="C3046" s="1926" t="s">
        <v>39</v>
      </c>
      <c r="D3046" s="1926" t="s">
        <v>46</v>
      </c>
      <c r="E3046" s="1662">
        <v>15.22</v>
      </c>
    </row>
    <row r="3047" spans="1:5" x14ac:dyDescent="0.2">
      <c r="A3047" s="135">
        <v>39312</v>
      </c>
      <c r="B3047" s="1926" t="s">
        <v>12647</v>
      </c>
      <c r="C3047" s="1926" t="s">
        <v>39</v>
      </c>
      <c r="D3047" s="1926" t="s">
        <v>46</v>
      </c>
      <c r="E3047" s="1662">
        <v>11.81</v>
      </c>
    </row>
    <row r="3048" spans="1:5" x14ac:dyDescent="0.2">
      <c r="A3048" s="135">
        <v>39313</v>
      </c>
      <c r="B3048" s="1926" t="s">
        <v>12648</v>
      </c>
      <c r="C3048" s="1926" t="s">
        <v>39</v>
      </c>
      <c r="D3048" s="1926" t="s">
        <v>46</v>
      </c>
      <c r="E3048" s="1662">
        <v>15.41</v>
      </c>
    </row>
    <row r="3049" spans="1:5" x14ac:dyDescent="0.2">
      <c r="A3049" s="135">
        <v>38950</v>
      </c>
      <c r="B3049" s="1926" t="s">
        <v>12649</v>
      </c>
      <c r="C3049" s="1926" t="s">
        <v>39</v>
      </c>
      <c r="D3049" s="1926" t="s">
        <v>46</v>
      </c>
      <c r="E3049" s="1662">
        <v>23.19</v>
      </c>
    </row>
    <row r="3050" spans="1:5" x14ac:dyDescent="0.2">
      <c r="A3050" s="135">
        <v>39314</v>
      </c>
      <c r="B3050" s="1926" t="s">
        <v>12650</v>
      </c>
      <c r="C3050" s="1926" t="s">
        <v>39</v>
      </c>
      <c r="D3050" s="1926" t="s">
        <v>46</v>
      </c>
      <c r="E3050" s="1662">
        <v>24.47</v>
      </c>
    </row>
    <row r="3051" spans="1:5" x14ac:dyDescent="0.2">
      <c r="A3051" s="135">
        <v>3907</v>
      </c>
      <c r="B3051" s="1926" t="s">
        <v>12651</v>
      </c>
      <c r="C3051" s="1926" t="s">
        <v>39</v>
      </c>
      <c r="D3051" s="1926" t="s">
        <v>40</v>
      </c>
      <c r="E3051" s="1662">
        <v>3.25</v>
      </c>
    </row>
    <row r="3052" spans="1:5" x14ac:dyDescent="0.2">
      <c r="A3052" s="135">
        <v>3889</v>
      </c>
      <c r="B3052" s="1926" t="s">
        <v>12652</v>
      </c>
      <c r="C3052" s="1926" t="s">
        <v>39</v>
      </c>
      <c r="D3052" s="1926" t="s">
        <v>40</v>
      </c>
      <c r="E3052" s="1662">
        <v>2.48</v>
      </c>
    </row>
    <row r="3053" spans="1:5" x14ac:dyDescent="0.2">
      <c r="A3053" s="135">
        <v>3868</v>
      </c>
      <c r="B3053" s="1926" t="s">
        <v>12653</v>
      </c>
      <c r="C3053" s="1926" t="s">
        <v>39</v>
      </c>
      <c r="D3053" s="1926" t="s">
        <v>40</v>
      </c>
      <c r="E3053" s="1662">
        <v>0.96</v>
      </c>
    </row>
    <row r="3054" spans="1:5" x14ac:dyDescent="0.2">
      <c r="A3054" s="135">
        <v>3869</v>
      </c>
      <c r="B3054" s="1926" t="s">
        <v>12654</v>
      </c>
      <c r="C3054" s="1926" t="s">
        <v>39</v>
      </c>
      <c r="D3054" s="1926" t="s">
        <v>40</v>
      </c>
      <c r="E3054" s="1662">
        <v>2.76</v>
      </c>
    </row>
    <row r="3055" spans="1:5" x14ac:dyDescent="0.2">
      <c r="A3055" s="135">
        <v>3872</v>
      </c>
      <c r="B3055" s="1926" t="s">
        <v>12655</v>
      </c>
      <c r="C3055" s="1926" t="s">
        <v>39</v>
      </c>
      <c r="D3055" s="1926" t="s">
        <v>40</v>
      </c>
      <c r="E3055" s="1662">
        <v>3.36</v>
      </c>
    </row>
    <row r="3056" spans="1:5" x14ac:dyDescent="0.2">
      <c r="A3056" s="135">
        <v>3850</v>
      </c>
      <c r="B3056" s="1926" t="s">
        <v>12656</v>
      </c>
      <c r="C3056" s="1926" t="s">
        <v>39</v>
      </c>
      <c r="D3056" s="1926" t="s">
        <v>40</v>
      </c>
      <c r="E3056" s="1662">
        <v>8.65</v>
      </c>
    </row>
    <row r="3057" spans="1:5" x14ac:dyDescent="0.2">
      <c r="A3057" s="135">
        <v>38023</v>
      </c>
      <c r="B3057" s="1926" t="s">
        <v>12657</v>
      </c>
      <c r="C3057" s="1926" t="s">
        <v>39</v>
      </c>
      <c r="D3057" s="1926" t="s">
        <v>40</v>
      </c>
      <c r="E3057" s="1662">
        <v>3.65</v>
      </c>
    </row>
    <row r="3058" spans="1:5" x14ac:dyDescent="0.2">
      <c r="A3058" s="135">
        <v>37986</v>
      </c>
      <c r="B3058" s="1926" t="s">
        <v>12658</v>
      </c>
      <c r="C3058" s="1926" t="s">
        <v>39</v>
      </c>
      <c r="D3058" s="1926" t="s">
        <v>40</v>
      </c>
      <c r="E3058" s="1662">
        <v>1.02</v>
      </c>
    </row>
    <row r="3059" spans="1:5" x14ac:dyDescent="0.2">
      <c r="A3059" s="135">
        <v>37987</v>
      </c>
      <c r="B3059" s="1926" t="s">
        <v>12659</v>
      </c>
      <c r="C3059" s="1926" t="s">
        <v>39</v>
      </c>
      <c r="D3059" s="1926" t="s">
        <v>40</v>
      </c>
      <c r="E3059" s="1662">
        <v>76.58</v>
      </c>
    </row>
    <row r="3060" spans="1:5" x14ac:dyDescent="0.2">
      <c r="A3060" s="135">
        <v>37988</v>
      </c>
      <c r="B3060" s="1926" t="s">
        <v>12660</v>
      </c>
      <c r="C3060" s="1926" t="s">
        <v>39</v>
      </c>
      <c r="D3060" s="1926" t="s">
        <v>40</v>
      </c>
      <c r="E3060" s="1662">
        <v>124.91</v>
      </c>
    </row>
    <row r="3061" spans="1:5" x14ac:dyDescent="0.2">
      <c r="A3061" s="135">
        <v>21120</v>
      </c>
      <c r="B3061" s="1926" t="s">
        <v>12661</v>
      </c>
      <c r="C3061" s="1926" t="s">
        <v>39</v>
      </c>
      <c r="D3061" s="1926" t="s">
        <v>40</v>
      </c>
      <c r="E3061" s="1662">
        <v>6.22</v>
      </c>
    </row>
    <row r="3062" spans="1:5" x14ac:dyDescent="0.2">
      <c r="A3062" s="135">
        <v>39318</v>
      </c>
      <c r="B3062" s="1926" t="s">
        <v>12662</v>
      </c>
      <c r="C3062" s="1926" t="s">
        <v>39</v>
      </c>
      <c r="D3062" s="1926" t="s">
        <v>40</v>
      </c>
      <c r="E3062" s="1662">
        <v>5.13</v>
      </c>
    </row>
    <row r="3063" spans="1:5" x14ac:dyDescent="0.2">
      <c r="A3063" s="135">
        <v>20162</v>
      </c>
      <c r="B3063" s="1926" t="s">
        <v>12663</v>
      </c>
      <c r="C3063" s="1926" t="s">
        <v>39</v>
      </c>
      <c r="D3063" s="1926" t="s">
        <v>40</v>
      </c>
      <c r="E3063" s="1662">
        <v>11.71</v>
      </c>
    </row>
    <row r="3064" spans="1:5" x14ac:dyDescent="0.2">
      <c r="A3064" s="135">
        <v>40366</v>
      </c>
      <c r="B3064" s="1926" t="s">
        <v>12664</v>
      </c>
      <c r="C3064" s="1926" t="s">
        <v>39</v>
      </c>
      <c r="D3064" s="1926" t="s">
        <v>46</v>
      </c>
      <c r="E3064" s="1662">
        <v>28.57</v>
      </c>
    </row>
    <row r="3065" spans="1:5" x14ac:dyDescent="0.2">
      <c r="A3065" s="135">
        <v>40363</v>
      </c>
      <c r="B3065" s="1926" t="s">
        <v>12665</v>
      </c>
      <c r="C3065" s="1926" t="s">
        <v>39</v>
      </c>
      <c r="D3065" s="1926" t="s">
        <v>46</v>
      </c>
      <c r="E3065" s="1662">
        <v>22.35</v>
      </c>
    </row>
    <row r="3066" spans="1:5" x14ac:dyDescent="0.2">
      <c r="A3066" s="135">
        <v>40354</v>
      </c>
      <c r="B3066" s="1926" t="s">
        <v>12666</v>
      </c>
      <c r="C3066" s="1926" t="s">
        <v>39</v>
      </c>
      <c r="D3066" s="1926" t="s">
        <v>46</v>
      </c>
      <c r="E3066" s="1662">
        <v>9.73</v>
      </c>
    </row>
    <row r="3067" spans="1:5" x14ac:dyDescent="0.2">
      <c r="A3067" s="135">
        <v>40360</v>
      </c>
      <c r="B3067" s="1926" t="s">
        <v>12667</v>
      </c>
      <c r="C3067" s="1926" t="s">
        <v>39</v>
      </c>
      <c r="D3067" s="1926" t="s">
        <v>46</v>
      </c>
      <c r="E3067" s="1662">
        <v>14.65</v>
      </c>
    </row>
    <row r="3068" spans="1:5" x14ac:dyDescent="0.2">
      <c r="A3068" s="135">
        <v>40372</v>
      </c>
      <c r="B3068" s="1926" t="s">
        <v>12668</v>
      </c>
      <c r="C3068" s="1926" t="s">
        <v>39</v>
      </c>
      <c r="D3068" s="1926" t="s">
        <v>46</v>
      </c>
      <c r="E3068" s="1662">
        <v>90.48</v>
      </c>
    </row>
    <row r="3069" spans="1:5" x14ac:dyDescent="0.2">
      <c r="A3069" s="135">
        <v>40369</v>
      </c>
      <c r="B3069" s="1926" t="s">
        <v>12669</v>
      </c>
      <c r="C3069" s="1926" t="s">
        <v>39</v>
      </c>
      <c r="D3069" s="1926" t="s">
        <v>46</v>
      </c>
      <c r="E3069" s="1662">
        <v>45.03</v>
      </c>
    </row>
    <row r="3070" spans="1:5" x14ac:dyDescent="0.2">
      <c r="A3070" s="135">
        <v>40357</v>
      </c>
      <c r="B3070" s="1926" t="s">
        <v>12670</v>
      </c>
      <c r="C3070" s="1926" t="s">
        <v>39</v>
      </c>
      <c r="D3070" s="1926" t="s">
        <v>46</v>
      </c>
      <c r="E3070" s="1662">
        <v>10.92</v>
      </c>
    </row>
    <row r="3071" spans="1:5" x14ac:dyDescent="0.2">
      <c r="A3071" s="135">
        <v>40375</v>
      </c>
      <c r="B3071" s="1926" t="s">
        <v>12671</v>
      </c>
      <c r="C3071" s="1926" t="s">
        <v>39</v>
      </c>
      <c r="D3071" s="1926" t="s">
        <v>46</v>
      </c>
      <c r="E3071" s="1662">
        <v>122.48</v>
      </c>
    </row>
    <row r="3072" spans="1:5" x14ac:dyDescent="0.2">
      <c r="A3072" s="135">
        <v>1893</v>
      </c>
      <c r="B3072" s="1926" t="s">
        <v>12672</v>
      </c>
      <c r="C3072" s="1926" t="s">
        <v>39</v>
      </c>
      <c r="D3072" s="1926" t="s">
        <v>40</v>
      </c>
      <c r="E3072" s="1662">
        <v>2.25</v>
      </c>
    </row>
    <row r="3073" spans="1:5" x14ac:dyDescent="0.2">
      <c r="A3073" s="135">
        <v>1902</v>
      </c>
      <c r="B3073" s="1926" t="s">
        <v>12673</v>
      </c>
      <c r="C3073" s="1926" t="s">
        <v>39</v>
      </c>
      <c r="D3073" s="1926" t="s">
        <v>40</v>
      </c>
      <c r="E3073" s="1662">
        <v>1.64</v>
      </c>
    </row>
    <row r="3074" spans="1:5" x14ac:dyDescent="0.2">
      <c r="A3074" s="135">
        <v>1901</v>
      </c>
      <c r="B3074" s="1926" t="s">
        <v>12674</v>
      </c>
      <c r="C3074" s="1926" t="s">
        <v>39</v>
      </c>
      <c r="D3074" s="1926" t="s">
        <v>40</v>
      </c>
      <c r="E3074" s="1662">
        <v>0.51</v>
      </c>
    </row>
    <row r="3075" spans="1:5" x14ac:dyDescent="0.2">
      <c r="A3075" s="135">
        <v>1892</v>
      </c>
      <c r="B3075" s="1926" t="s">
        <v>12675</v>
      </c>
      <c r="C3075" s="1926" t="s">
        <v>39</v>
      </c>
      <c r="D3075" s="1926" t="s">
        <v>40</v>
      </c>
      <c r="E3075" s="1662">
        <v>1.05</v>
      </c>
    </row>
    <row r="3076" spans="1:5" x14ac:dyDescent="0.2">
      <c r="A3076" s="135">
        <v>1907</v>
      </c>
      <c r="B3076" s="1926" t="s">
        <v>12676</v>
      </c>
      <c r="C3076" s="1926" t="s">
        <v>39</v>
      </c>
      <c r="D3076" s="1926" t="s">
        <v>40</v>
      </c>
      <c r="E3076" s="1662">
        <v>7.24</v>
      </c>
    </row>
    <row r="3077" spans="1:5" x14ac:dyDescent="0.2">
      <c r="A3077" s="135">
        <v>1894</v>
      </c>
      <c r="B3077" s="1926" t="s">
        <v>12677</v>
      </c>
      <c r="C3077" s="1926" t="s">
        <v>39</v>
      </c>
      <c r="D3077" s="1926" t="s">
        <v>40</v>
      </c>
      <c r="E3077" s="1662">
        <v>3.26</v>
      </c>
    </row>
    <row r="3078" spans="1:5" x14ac:dyDescent="0.2">
      <c r="A3078" s="135">
        <v>1891</v>
      </c>
      <c r="B3078" s="1926" t="s">
        <v>12678</v>
      </c>
      <c r="C3078" s="1926" t="s">
        <v>39</v>
      </c>
      <c r="D3078" s="1926" t="s">
        <v>40</v>
      </c>
      <c r="E3078" s="1662">
        <v>0.75</v>
      </c>
    </row>
    <row r="3079" spans="1:5" x14ac:dyDescent="0.2">
      <c r="A3079" s="135">
        <v>1896</v>
      </c>
      <c r="B3079" s="1926" t="s">
        <v>12679</v>
      </c>
      <c r="C3079" s="1926" t="s">
        <v>39</v>
      </c>
      <c r="D3079" s="1926" t="s">
        <v>40</v>
      </c>
      <c r="E3079" s="1662">
        <v>9.73</v>
      </c>
    </row>
    <row r="3080" spans="1:5" x14ac:dyDescent="0.2">
      <c r="A3080" s="135">
        <v>1895</v>
      </c>
      <c r="B3080" s="1926" t="s">
        <v>12680</v>
      </c>
      <c r="C3080" s="1926" t="s">
        <v>39</v>
      </c>
      <c r="D3080" s="1926" t="s">
        <v>40</v>
      </c>
      <c r="E3080" s="1662">
        <v>17.100000000000001</v>
      </c>
    </row>
    <row r="3081" spans="1:5" x14ac:dyDescent="0.2">
      <c r="A3081" s="135">
        <v>2641</v>
      </c>
      <c r="B3081" s="1926" t="s">
        <v>12681</v>
      </c>
      <c r="C3081" s="1926" t="s">
        <v>39</v>
      </c>
      <c r="D3081" s="1926" t="s">
        <v>46</v>
      </c>
      <c r="E3081" s="1662">
        <v>24.86</v>
      </c>
    </row>
    <row r="3082" spans="1:5" x14ac:dyDescent="0.2">
      <c r="A3082" s="135">
        <v>2636</v>
      </c>
      <c r="B3082" s="1926" t="s">
        <v>12682</v>
      </c>
      <c r="C3082" s="1926" t="s">
        <v>39</v>
      </c>
      <c r="D3082" s="1926" t="s">
        <v>46</v>
      </c>
      <c r="E3082" s="1662">
        <v>1.6</v>
      </c>
    </row>
    <row r="3083" spans="1:5" x14ac:dyDescent="0.2">
      <c r="A3083" s="135">
        <v>2637</v>
      </c>
      <c r="B3083" s="1926" t="s">
        <v>12683</v>
      </c>
      <c r="C3083" s="1926" t="s">
        <v>39</v>
      </c>
      <c r="D3083" s="1926" t="s">
        <v>46</v>
      </c>
      <c r="E3083" s="1662">
        <v>1.7</v>
      </c>
    </row>
    <row r="3084" spans="1:5" x14ac:dyDescent="0.2">
      <c r="A3084" s="135">
        <v>2638</v>
      </c>
      <c r="B3084" s="1926" t="s">
        <v>12684</v>
      </c>
      <c r="C3084" s="1926" t="s">
        <v>39</v>
      </c>
      <c r="D3084" s="1926" t="s">
        <v>46</v>
      </c>
      <c r="E3084" s="1662">
        <v>1.98</v>
      </c>
    </row>
    <row r="3085" spans="1:5" x14ac:dyDescent="0.2">
      <c r="A3085" s="135">
        <v>2639</v>
      </c>
      <c r="B3085" s="1926" t="s">
        <v>12685</v>
      </c>
      <c r="C3085" s="1926" t="s">
        <v>39</v>
      </c>
      <c r="D3085" s="1926" t="s">
        <v>46</v>
      </c>
      <c r="E3085" s="1662">
        <v>3.51</v>
      </c>
    </row>
    <row r="3086" spans="1:5" x14ac:dyDescent="0.2">
      <c r="A3086" s="135">
        <v>2644</v>
      </c>
      <c r="B3086" s="1926" t="s">
        <v>12686</v>
      </c>
      <c r="C3086" s="1926" t="s">
        <v>39</v>
      </c>
      <c r="D3086" s="1926" t="s">
        <v>46</v>
      </c>
      <c r="E3086" s="1662">
        <v>5.08</v>
      </c>
    </row>
    <row r="3087" spans="1:5" x14ac:dyDescent="0.2">
      <c r="A3087" s="135">
        <v>2643</v>
      </c>
      <c r="B3087" s="1926" t="s">
        <v>12687</v>
      </c>
      <c r="C3087" s="1926" t="s">
        <v>39</v>
      </c>
      <c r="D3087" s="1926" t="s">
        <v>46</v>
      </c>
      <c r="E3087" s="1662">
        <v>7.09</v>
      </c>
    </row>
    <row r="3088" spans="1:5" x14ac:dyDescent="0.2">
      <c r="A3088" s="135">
        <v>2640</v>
      </c>
      <c r="B3088" s="1926" t="s">
        <v>12688</v>
      </c>
      <c r="C3088" s="1926" t="s">
        <v>39</v>
      </c>
      <c r="D3088" s="1926" t="s">
        <v>46</v>
      </c>
      <c r="E3088" s="1662">
        <v>10.34</v>
      </c>
    </row>
    <row r="3089" spans="1:5" x14ac:dyDescent="0.2">
      <c r="A3089" s="135">
        <v>2642</v>
      </c>
      <c r="B3089" s="1926" t="s">
        <v>12689</v>
      </c>
      <c r="C3089" s="1926" t="s">
        <v>39</v>
      </c>
      <c r="D3089" s="1926" t="s">
        <v>46</v>
      </c>
      <c r="E3089" s="1662">
        <v>15.75</v>
      </c>
    </row>
    <row r="3090" spans="1:5" x14ac:dyDescent="0.2">
      <c r="A3090" s="135">
        <v>38943</v>
      </c>
      <c r="B3090" s="1926" t="s">
        <v>12690</v>
      </c>
      <c r="C3090" s="1926" t="s">
        <v>39</v>
      </c>
      <c r="D3090" s="1926" t="s">
        <v>46</v>
      </c>
      <c r="E3090" s="1662">
        <v>4.01</v>
      </c>
    </row>
    <row r="3091" spans="1:5" x14ac:dyDescent="0.2">
      <c r="A3091" s="135">
        <v>38944</v>
      </c>
      <c r="B3091" s="1926" t="s">
        <v>12691</v>
      </c>
      <c r="C3091" s="1926" t="s">
        <v>39</v>
      </c>
      <c r="D3091" s="1926" t="s">
        <v>46</v>
      </c>
      <c r="E3091" s="1662">
        <v>6.2</v>
      </c>
    </row>
    <row r="3092" spans="1:5" x14ac:dyDescent="0.2">
      <c r="A3092" s="135">
        <v>38945</v>
      </c>
      <c r="B3092" s="1926" t="s">
        <v>12692</v>
      </c>
      <c r="C3092" s="1926" t="s">
        <v>39</v>
      </c>
      <c r="D3092" s="1926" t="s">
        <v>46</v>
      </c>
      <c r="E3092" s="1662">
        <v>12.58</v>
      </c>
    </row>
    <row r="3093" spans="1:5" x14ac:dyDescent="0.2">
      <c r="A3093" s="135">
        <v>38946</v>
      </c>
      <c r="B3093" s="1926" t="s">
        <v>12693</v>
      </c>
      <c r="C3093" s="1926" t="s">
        <v>39</v>
      </c>
      <c r="D3093" s="1926" t="s">
        <v>46</v>
      </c>
      <c r="E3093" s="1662">
        <v>18.760000000000002</v>
      </c>
    </row>
    <row r="3094" spans="1:5" x14ac:dyDescent="0.2">
      <c r="A3094" s="135">
        <v>39308</v>
      </c>
      <c r="B3094" s="1926" t="s">
        <v>12694</v>
      </c>
      <c r="C3094" s="1926" t="s">
        <v>39</v>
      </c>
      <c r="D3094" s="1926" t="s">
        <v>46</v>
      </c>
      <c r="E3094" s="1662">
        <v>8.18</v>
      </c>
    </row>
    <row r="3095" spans="1:5" x14ac:dyDescent="0.2">
      <c r="A3095" s="135">
        <v>39309</v>
      </c>
      <c r="B3095" s="1926" t="s">
        <v>12695</v>
      </c>
      <c r="C3095" s="1926" t="s">
        <v>39</v>
      </c>
      <c r="D3095" s="1926" t="s">
        <v>46</v>
      </c>
      <c r="E3095" s="1662">
        <v>11.83</v>
      </c>
    </row>
    <row r="3096" spans="1:5" x14ac:dyDescent="0.2">
      <c r="A3096" s="135">
        <v>39310</v>
      </c>
      <c r="B3096" s="1926" t="s">
        <v>12696</v>
      </c>
      <c r="C3096" s="1926" t="s">
        <v>39</v>
      </c>
      <c r="D3096" s="1926" t="s">
        <v>46</v>
      </c>
      <c r="E3096" s="1662">
        <v>17.93</v>
      </c>
    </row>
    <row r="3097" spans="1:5" x14ac:dyDescent="0.2">
      <c r="A3097" s="135">
        <v>39311</v>
      </c>
      <c r="B3097" s="1926" t="s">
        <v>12697</v>
      </c>
      <c r="C3097" s="1926" t="s">
        <v>39</v>
      </c>
      <c r="D3097" s="1926" t="s">
        <v>46</v>
      </c>
      <c r="E3097" s="1662">
        <v>26.95</v>
      </c>
    </row>
    <row r="3098" spans="1:5" x14ac:dyDescent="0.2">
      <c r="A3098" s="135">
        <v>39855</v>
      </c>
      <c r="B3098" s="1926" t="s">
        <v>12698</v>
      </c>
      <c r="C3098" s="1926" t="s">
        <v>39</v>
      </c>
      <c r="D3098" s="1926" t="s">
        <v>46</v>
      </c>
      <c r="E3098" s="1662">
        <v>1.83</v>
      </c>
    </row>
    <row r="3099" spans="1:5" x14ac:dyDescent="0.2">
      <c r="A3099" s="135">
        <v>39856</v>
      </c>
      <c r="B3099" s="1926" t="s">
        <v>12699</v>
      </c>
      <c r="C3099" s="1926" t="s">
        <v>39</v>
      </c>
      <c r="D3099" s="1926" t="s">
        <v>46</v>
      </c>
      <c r="E3099" s="1662">
        <v>4.3099999999999996</v>
      </c>
    </row>
    <row r="3100" spans="1:5" x14ac:dyDescent="0.2">
      <c r="A3100" s="135">
        <v>39857</v>
      </c>
      <c r="B3100" s="1926" t="s">
        <v>12700</v>
      </c>
      <c r="C3100" s="1926" t="s">
        <v>39</v>
      </c>
      <c r="D3100" s="1926" t="s">
        <v>46</v>
      </c>
      <c r="E3100" s="1662">
        <v>6.98</v>
      </c>
    </row>
    <row r="3101" spans="1:5" x14ac:dyDescent="0.2">
      <c r="A3101" s="135">
        <v>39858</v>
      </c>
      <c r="B3101" s="1926" t="s">
        <v>12701</v>
      </c>
      <c r="C3101" s="1926" t="s">
        <v>39</v>
      </c>
      <c r="D3101" s="1926" t="s">
        <v>46</v>
      </c>
      <c r="E3101" s="1662">
        <v>15.5</v>
      </c>
    </row>
    <row r="3102" spans="1:5" x14ac:dyDescent="0.2">
      <c r="A3102" s="135">
        <v>39859</v>
      </c>
      <c r="B3102" s="1926" t="s">
        <v>12702</v>
      </c>
      <c r="C3102" s="1926" t="s">
        <v>39</v>
      </c>
      <c r="D3102" s="1926" t="s">
        <v>46</v>
      </c>
      <c r="E3102" s="1662">
        <v>23.89</v>
      </c>
    </row>
    <row r="3103" spans="1:5" x14ac:dyDescent="0.2">
      <c r="A3103" s="135">
        <v>39860</v>
      </c>
      <c r="B3103" s="1926" t="s">
        <v>12703</v>
      </c>
      <c r="C3103" s="1926" t="s">
        <v>39</v>
      </c>
      <c r="D3103" s="1926" t="s">
        <v>46</v>
      </c>
      <c r="E3103" s="1662">
        <v>36.659999999999997</v>
      </c>
    </row>
    <row r="3104" spans="1:5" x14ac:dyDescent="0.2">
      <c r="A3104" s="135">
        <v>39861</v>
      </c>
      <c r="B3104" s="1926" t="s">
        <v>12704</v>
      </c>
      <c r="C3104" s="1926" t="s">
        <v>39</v>
      </c>
      <c r="D3104" s="1926" t="s">
        <v>46</v>
      </c>
      <c r="E3104" s="1662">
        <v>104.68</v>
      </c>
    </row>
    <row r="3105" spans="1:5" x14ac:dyDescent="0.2">
      <c r="A3105" s="135">
        <v>38447</v>
      </c>
      <c r="B3105" s="1926" t="s">
        <v>12705</v>
      </c>
      <c r="C3105" s="1926" t="s">
        <v>39</v>
      </c>
      <c r="D3105" s="1926" t="s">
        <v>46</v>
      </c>
      <c r="E3105" s="1662">
        <v>74.23</v>
      </c>
    </row>
    <row r="3106" spans="1:5" x14ac:dyDescent="0.2">
      <c r="A3106" s="135">
        <v>36320</v>
      </c>
      <c r="B3106" s="1926" t="s">
        <v>12706</v>
      </c>
      <c r="C3106" s="1926" t="s">
        <v>39</v>
      </c>
      <c r="D3106" s="1926" t="s">
        <v>46</v>
      </c>
      <c r="E3106" s="1662">
        <v>1.07</v>
      </c>
    </row>
    <row r="3107" spans="1:5" x14ac:dyDescent="0.2">
      <c r="A3107" s="135">
        <v>36324</v>
      </c>
      <c r="B3107" s="1926" t="s">
        <v>12707</v>
      </c>
      <c r="C3107" s="1926" t="s">
        <v>39</v>
      </c>
      <c r="D3107" s="1926" t="s">
        <v>46</v>
      </c>
      <c r="E3107" s="1662">
        <v>1.63</v>
      </c>
    </row>
    <row r="3108" spans="1:5" x14ac:dyDescent="0.2">
      <c r="A3108" s="135">
        <v>38441</v>
      </c>
      <c r="B3108" s="1926" t="s">
        <v>12708</v>
      </c>
      <c r="C3108" s="1926" t="s">
        <v>39</v>
      </c>
      <c r="D3108" s="1926" t="s">
        <v>46</v>
      </c>
      <c r="E3108" s="1662">
        <v>2.14</v>
      </c>
    </row>
    <row r="3109" spans="1:5" x14ac:dyDescent="0.2">
      <c r="A3109" s="135">
        <v>38442</v>
      </c>
      <c r="B3109" s="1926" t="s">
        <v>12709</v>
      </c>
      <c r="C3109" s="1926" t="s">
        <v>39</v>
      </c>
      <c r="D3109" s="1926" t="s">
        <v>46</v>
      </c>
      <c r="E3109" s="1662">
        <v>5.44</v>
      </c>
    </row>
    <row r="3110" spans="1:5" x14ac:dyDescent="0.2">
      <c r="A3110" s="135">
        <v>38443</v>
      </c>
      <c r="B3110" s="1926" t="s">
        <v>12710</v>
      </c>
      <c r="C3110" s="1926" t="s">
        <v>39</v>
      </c>
      <c r="D3110" s="1926" t="s">
        <v>46</v>
      </c>
      <c r="E3110" s="1662">
        <v>8.2200000000000006</v>
      </c>
    </row>
    <row r="3111" spans="1:5" x14ac:dyDescent="0.2">
      <c r="A3111" s="135">
        <v>38444</v>
      </c>
      <c r="B3111" s="1926" t="s">
        <v>12711</v>
      </c>
      <c r="C3111" s="1926" t="s">
        <v>39</v>
      </c>
      <c r="D3111" s="1926" t="s">
        <v>46</v>
      </c>
      <c r="E3111" s="1662">
        <v>12.24</v>
      </c>
    </row>
    <row r="3112" spans="1:5" x14ac:dyDescent="0.2">
      <c r="A3112" s="135">
        <v>38445</v>
      </c>
      <c r="B3112" s="1926" t="s">
        <v>12712</v>
      </c>
      <c r="C3112" s="1926" t="s">
        <v>39</v>
      </c>
      <c r="D3112" s="1926" t="s">
        <v>46</v>
      </c>
      <c r="E3112" s="1662">
        <v>28.74</v>
      </c>
    </row>
    <row r="3113" spans="1:5" x14ac:dyDescent="0.2">
      <c r="A3113" s="135">
        <v>38446</v>
      </c>
      <c r="B3113" s="1926" t="s">
        <v>12713</v>
      </c>
      <c r="C3113" s="1926" t="s">
        <v>39</v>
      </c>
      <c r="D3113" s="1926" t="s">
        <v>46</v>
      </c>
      <c r="E3113" s="1662">
        <v>46.39</v>
      </c>
    </row>
    <row r="3114" spans="1:5" x14ac:dyDescent="0.2">
      <c r="A3114" s="135">
        <v>3867</v>
      </c>
      <c r="B3114" s="1926" t="s">
        <v>12714</v>
      </c>
      <c r="C3114" s="1926" t="s">
        <v>39</v>
      </c>
      <c r="D3114" s="1926" t="s">
        <v>40</v>
      </c>
      <c r="E3114" s="1662">
        <v>58.12</v>
      </c>
    </row>
    <row r="3115" spans="1:5" x14ac:dyDescent="0.2">
      <c r="A3115" s="135">
        <v>3861</v>
      </c>
      <c r="B3115" s="1926" t="s">
        <v>12715</v>
      </c>
      <c r="C3115" s="1926" t="s">
        <v>39</v>
      </c>
      <c r="D3115" s="1926" t="s">
        <v>40</v>
      </c>
      <c r="E3115" s="1662">
        <v>0.48</v>
      </c>
    </row>
    <row r="3116" spans="1:5" x14ac:dyDescent="0.2">
      <c r="A3116" s="135">
        <v>3904</v>
      </c>
      <c r="B3116" s="1926" t="s">
        <v>12716</v>
      </c>
      <c r="C3116" s="1926" t="s">
        <v>39</v>
      </c>
      <c r="D3116" s="1926" t="s">
        <v>40</v>
      </c>
      <c r="E3116" s="1662">
        <v>0.59</v>
      </c>
    </row>
    <row r="3117" spans="1:5" x14ac:dyDescent="0.2">
      <c r="A3117" s="135">
        <v>3903</v>
      </c>
      <c r="B3117" s="1926" t="s">
        <v>12717</v>
      </c>
      <c r="C3117" s="1926" t="s">
        <v>39</v>
      </c>
      <c r="D3117" s="1926" t="s">
        <v>40</v>
      </c>
      <c r="E3117" s="1662">
        <v>1.44</v>
      </c>
    </row>
    <row r="3118" spans="1:5" x14ac:dyDescent="0.2">
      <c r="A3118" s="135">
        <v>3862</v>
      </c>
      <c r="B3118" s="1926" t="s">
        <v>12718</v>
      </c>
      <c r="C3118" s="1926" t="s">
        <v>39</v>
      </c>
      <c r="D3118" s="1926" t="s">
        <v>40</v>
      </c>
      <c r="E3118" s="1662">
        <v>2.94</v>
      </c>
    </row>
    <row r="3119" spans="1:5" x14ac:dyDescent="0.2">
      <c r="A3119" s="135">
        <v>3863</v>
      </c>
      <c r="B3119" s="1926" t="s">
        <v>12719</v>
      </c>
      <c r="C3119" s="1926" t="s">
        <v>39</v>
      </c>
      <c r="D3119" s="1926" t="s">
        <v>40</v>
      </c>
      <c r="E3119" s="1662">
        <v>3.45</v>
      </c>
    </row>
    <row r="3120" spans="1:5" x14ac:dyDescent="0.2">
      <c r="A3120" s="135">
        <v>3864</v>
      </c>
      <c r="B3120" s="1926" t="s">
        <v>12720</v>
      </c>
      <c r="C3120" s="1926" t="s">
        <v>39</v>
      </c>
      <c r="D3120" s="1926" t="s">
        <v>40</v>
      </c>
      <c r="E3120" s="1662">
        <v>9</v>
      </c>
    </row>
    <row r="3121" spans="1:5" x14ac:dyDescent="0.2">
      <c r="A3121" s="135">
        <v>3865</v>
      </c>
      <c r="B3121" s="1926" t="s">
        <v>12721</v>
      </c>
      <c r="C3121" s="1926" t="s">
        <v>39</v>
      </c>
      <c r="D3121" s="1926" t="s">
        <v>40</v>
      </c>
      <c r="E3121" s="1662">
        <v>15.65</v>
      </c>
    </row>
    <row r="3122" spans="1:5" x14ac:dyDescent="0.2">
      <c r="A3122" s="135">
        <v>3866</v>
      </c>
      <c r="B3122" s="1926" t="s">
        <v>12722</v>
      </c>
      <c r="C3122" s="1926" t="s">
        <v>39</v>
      </c>
      <c r="D3122" s="1926" t="s">
        <v>40</v>
      </c>
      <c r="E3122" s="1662">
        <v>35.82</v>
      </c>
    </row>
    <row r="3123" spans="1:5" x14ac:dyDescent="0.2">
      <c r="A3123" s="135">
        <v>3902</v>
      </c>
      <c r="B3123" s="1926" t="s">
        <v>12723</v>
      </c>
      <c r="C3123" s="1926" t="s">
        <v>39</v>
      </c>
      <c r="D3123" s="1926" t="s">
        <v>40</v>
      </c>
      <c r="E3123" s="1662">
        <v>17.420000000000002</v>
      </c>
    </row>
    <row r="3124" spans="1:5" x14ac:dyDescent="0.2">
      <c r="A3124" s="135">
        <v>3878</v>
      </c>
      <c r="B3124" s="1926" t="s">
        <v>12724</v>
      </c>
      <c r="C3124" s="1926" t="s">
        <v>39</v>
      </c>
      <c r="D3124" s="1926" t="s">
        <v>40</v>
      </c>
      <c r="E3124" s="1662">
        <v>5.5</v>
      </c>
    </row>
    <row r="3125" spans="1:5" x14ac:dyDescent="0.2">
      <c r="A3125" s="135">
        <v>3877</v>
      </c>
      <c r="B3125" s="1926" t="s">
        <v>12725</v>
      </c>
      <c r="C3125" s="1926" t="s">
        <v>39</v>
      </c>
      <c r="D3125" s="1926" t="s">
        <v>40</v>
      </c>
      <c r="E3125" s="1662">
        <v>5.03</v>
      </c>
    </row>
    <row r="3126" spans="1:5" x14ac:dyDescent="0.2">
      <c r="A3126" s="135">
        <v>3879</v>
      </c>
      <c r="B3126" s="1926" t="s">
        <v>12726</v>
      </c>
      <c r="C3126" s="1926" t="s">
        <v>39</v>
      </c>
      <c r="D3126" s="1926" t="s">
        <v>40</v>
      </c>
      <c r="E3126" s="1662">
        <v>11.1</v>
      </c>
    </row>
    <row r="3127" spans="1:5" x14ac:dyDescent="0.2">
      <c r="A3127" s="135">
        <v>3880</v>
      </c>
      <c r="B3127" s="1926" t="s">
        <v>12727</v>
      </c>
      <c r="C3127" s="1926" t="s">
        <v>39</v>
      </c>
      <c r="D3127" s="1926" t="s">
        <v>40</v>
      </c>
      <c r="E3127" s="1662">
        <v>25.05</v>
      </c>
    </row>
    <row r="3128" spans="1:5" x14ac:dyDescent="0.2">
      <c r="A3128" s="135">
        <v>12892</v>
      </c>
      <c r="B3128" s="1926" t="s">
        <v>12728</v>
      </c>
      <c r="C3128" s="1926" t="s">
        <v>41</v>
      </c>
      <c r="D3128" s="1926" t="s">
        <v>40</v>
      </c>
      <c r="E3128" s="1662">
        <v>10.42</v>
      </c>
    </row>
    <row r="3129" spans="1:5" x14ac:dyDescent="0.2">
      <c r="A3129" s="135">
        <v>3883</v>
      </c>
      <c r="B3129" s="1926" t="s">
        <v>12729</v>
      </c>
      <c r="C3129" s="1926" t="s">
        <v>39</v>
      </c>
      <c r="D3129" s="1926" t="s">
        <v>40</v>
      </c>
      <c r="E3129" s="1662">
        <v>1.1599999999999999</v>
      </c>
    </row>
    <row r="3130" spans="1:5" x14ac:dyDescent="0.2">
      <c r="A3130" s="135">
        <v>3876</v>
      </c>
      <c r="B3130" s="1926" t="s">
        <v>12730</v>
      </c>
      <c r="C3130" s="1926" t="s">
        <v>39</v>
      </c>
      <c r="D3130" s="1926" t="s">
        <v>40</v>
      </c>
      <c r="E3130" s="1662">
        <v>2.9</v>
      </c>
    </row>
    <row r="3131" spans="1:5" x14ac:dyDescent="0.2">
      <c r="A3131" s="135">
        <v>3884</v>
      </c>
      <c r="B3131" s="1926" t="s">
        <v>12731</v>
      </c>
      <c r="C3131" s="1926" t="s">
        <v>39</v>
      </c>
      <c r="D3131" s="1926" t="s">
        <v>40</v>
      </c>
      <c r="E3131" s="1662">
        <v>1.73</v>
      </c>
    </row>
    <row r="3132" spans="1:5" x14ac:dyDescent="0.2">
      <c r="A3132" s="135">
        <v>3837</v>
      </c>
      <c r="B3132" s="1926" t="s">
        <v>12732</v>
      </c>
      <c r="C3132" s="1926" t="s">
        <v>39</v>
      </c>
      <c r="D3132" s="1926" t="s">
        <v>46</v>
      </c>
      <c r="E3132" s="1662">
        <v>33.25</v>
      </c>
    </row>
    <row r="3133" spans="1:5" x14ac:dyDescent="0.2">
      <c r="A3133" s="135">
        <v>3845</v>
      </c>
      <c r="B3133" s="1926" t="s">
        <v>12733</v>
      </c>
      <c r="C3133" s="1926" t="s">
        <v>39</v>
      </c>
      <c r="D3133" s="1926" t="s">
        <v>46</v>
      </c>
      <c r="E3133" s="1662">
        <v>12.14</v>
      </c>
    </row>
    <row r="3134" spans="1:5" x14ac:dyDescent="0.2">
      <c r="A3134" s="135">
        <v>11045</v>
      </c>
      <c r="B3134" s="1926" t="s">
        <v>12734</v>
      </c>
      <c r="C3134" s="1926" t="s">
        <v>39</v>
      </c>
      <c r="D3134" s="1926" t="s">
        <v>46</v>
      </c>
      <c r="E3134" s="1662">
        <v>23.43</v>
      </c>
    </row>
    <row r="3135" spans="1:5" x14ac:dyDescent="0.2">
      <c r="A3135" s="135">
        <v>20170</v>
      </c>
      <c r="B3135" s="1926" t="s">
        <v>12735</v>
      </c>
      <c r="C3135" s="1926" t="s">
        <v>39</v>
      </c>
      <c r="D3135" s="1926" t="s">
        <v>40</v>
      </c>
      <c r="E3135" s="1662">
        <v>9.49</v>
      </c>
    </row>
    <row r="3136" spans="1:5" x14ac:dyDescent="0.2">
      <c r="A3136" s="135">
        <v>20171</v>
      </c>
      <c r="B3136" s="1926" t="s">
        <v>12736</v>
      </c>
      <c r="C3136" s="1926" t="s">
        <v>39</v>
      </c>
      <c r="D3136" s="1926" t="s">
        <v>40</v>
      </c>
      <c r="E3136" s="1662">
        <v>28.19</v>
      </c>
    </row>
    <row r="3137" spans="1:5" x14ac:dyDescent="0.2">
      <c r="A3137" s="135">
        <v>20167</v>
      </c>
      <c r="B3137" s="1926" t="s">
        <v>12737</v>
      </c>
      <c r="C3137" s="1926" t="s">
        <v>39</v>
      </c>
      <c r="D3137" s="1926" t="s">
        <v>40</v>
      </c>
      <c r="E3137" s="1662">
        <v>3.52</v>
      </c>
    </row>
    <row r="3138" spans="1:5" x14ac:dyDescent="0.2">
      <c r="A3138" s="135">
        <v>20168</v>
      </c>
      <c r="B3138" s="1926" t="s">
        <v>12738</v>
      </c>
      <c r="C3138" s="1926" t="s">
        <v>39</v>
      </c>
      <c r="D3138" s="1926" t="s">
        <v>40</v>
      </c>
      <c r="E3138" s="1662">
        <v>5.52</v>
      </c>
    </row>
    <row r="3139" spans="1:5" x14ac:dyDescent="0.2">
      <c r="A3139" s="135">
        <v>20169</v>
      </c>
      <c r="B3139" s="1926" t="s">
        <v>12739</v>
      </c>
      <c r="C3139" s="1926" t="s">
        <v>39</v>
      </c>
      <c r="D3139" s="1926" t="s">
        <v>40</v>
      </c>
      <c r="E3139" s="1662">
        <v>7.82</v>
      </c>
    </row>
    <row r="3140" spans="1:5" x14ac:dyDescent="0.2">
      <c r="A3140" s="135">
        <v>3899</v>
      </c>
      <c r="B3140" s="1926" t="s">
        <v>12740</v>
      </c>
      <c r="C3140" s="1926" t="s">
        <v>39</v>
      </c>
      <c r="D3140" s="1926" t="s">
        <v>40</v>
      </c>
      <c r="E3140" s="1662">
        <v>4.1399999999999997</v>
      </c>
    </row>
    <row r="3141" spans="1:5" x14ac:dyDescent="0.2">
      <c r="A3141" s="135">
        <v>38676</v>
      </c>
      <c r="B3141" s="1926" t="s">
        <v>12741</v>
      </c>
      <c r="C3141" s="1926" t="s">
        <v>39</v>
      </c>
      <c r="D3141" s="1926" t="s">
        <v>40</v>
      </c>
      <c r="E3141" s="1662">
        <v>20.05</v>
      </c>
    </row>
    <row r="3142" spans="1:5" x14ac:dyDescent="0.2">
      <c r="A3142" s="135">
        <v>3897</v>
      </c>
      <c r="B3142" s="1926" t="s">
        <v>12742</v>
      </c>
      <c r="C3142" s="1926" t="s">
        <v>39</v>
      </c>
      <c r="D3142" s="1926" t="s">
        <v>40</v>
      </c>
      <c r="E3142" s="1662">
        <v>0.87</v>
      </c>
    </row>
    <row r="3143" spans="1:5" x14ac:dyDescent="0.2">
      <c r="A3143" s="135">
        <v>3875</v>
      </c>
      <c r="B3143" s="1926" t="s">
        <v>12743</v>
      </c>
      <c r="C3143" s="1926" t="s">
        <v>39</v>
      </c>
      <c r="D3143" s="1926" t="s">
        <v>40</v>
      </c>
      <c r="E3143" s="1662">
        <v>1.89</v>
      </c>
    </row>
    <row r="3144" spans="1:5" x14ac:dyDescent="0.2">
      <c r="A3144" s="135">
        <v>3898</v>
      </c>
      <c r="B3144" s="1926" t="s">
        <v>12744</v>
      </c>
      <c r="C3144" s="1926" t="s">
        <v>39</v>
      </c>
      <c r="D3144" s="1926" t="s">
        <v>40</v>
      </c>
      <c r="E3144" s="1662">
        <v>3.57</v>
      </c>
    </row>
    <row r="3145" spans="1:5" x14ac:dyDescent="0.2">
      <c r="A3145" s="135">
        <v>3855</v>
      </c>
      <c r="B3145" s="1926" t="s">
        <v>12745</v>
      </c>
      <c r="C3145" s="1926" t="s">
        <v>39</v>
      </c>
      <c r="D3145" s="1926" t="s">
        <v>40</v>
      </c>
      <c r="E3145" s="1662">
        <v>3.84</v>
      </c>
    </row>
    <row r="3146" spans="1:5" x14ac:dyDescent="0.2">
      <c r="A3146" s="135">
        <v>3874</v>
      </c>
      <c r="B3146" s="1926" t="s">
        <v>12746</v>
      </c>
      <c r="C3146" s="1926" t="s">
        <v>39</v>
      </c>
      <c r="D3146" s="1926" t="s">
        <v>40</v>
      </c>
      <c r="E3146" s="1662">
        <v>4.08</v>
      </c>
    </row>
    <row r="3147" spans="1:5" x14ac:dyDescent="0.2">
      <c r="A3147" s="135">
        <v>3870</v>
      </c>
      <c r="B3147" s="1926" t="s">
        <v>12747</v>
      </c>
      <c r="C3147" s="1926" t="s">
        <v>39</v>
      </c>
      <c r="D3147" s="1926" t="s">
        <v>40</v>
      </c>
      <c r="E3147" s="1662">
        <v>5.07</v>
      </c>
    </row>
    <row r="3148" spans="1:5" x14ac:dyDescent="0.2">
      <c r="A3148" s="135">
        <v>38678</v>
      </c>
      <c r="B3148" s="1926" t="s">
        <v>12748</v>
      </c>
      <c r="C3148" s="1926" t="s">
        <v>39</v>
      </c>
      <c r="D3148" s="1926" t="s">
        <v>40</v>
      </c>
      <c r="E3148" s="1662">
        <v>13.79</v>
      </c>
    </row>
    <row r="3149" spans="1:5" x14ac:dyDescent="0.2">
      <c r="A3149" s="135">
        <v>3859</v>
      </c>
      <c r="B3149" s="1926" t="s">
        <v>12749</v>
      </c>
      <c r="C3149" s="1926" t="s">
        <v>39</v>
      </c>
      <c r="D3149" s="1926" t="s">
        <v>40</v>
      </c>
      <c r="E3149" s="1662">
        <v>1.02</v>
      </c>
    </row>
    <row r="3150" spans="1:5" x14ac:dyDescent="0.2">
      <c r="A3150" s="135">
        <v>3856</v>
      </c>
      <c r="B3150" s="1926" t="s">
        <v>12750</v>
      </c>
      <c r="C3150" s="1926" t="s">
        <v>39</v>
      </c>
      <c r="D3150" s="1926" t="s">
        <v>40</v>
      </c>
      <c r="E3150" s="1662">
        <v>1.29</v>
      </c>
    </row>
    <row r="3151" spans="1:5" x14ac:dyDescent="0.2">
      <c r="A3151" s="135">
        <v>3906</v>
      </c>
      <c r="B3151" s="1926" t="s">
        <v>12751</v>
      </c>
      <c r="C3151" s="1926" t="s">
        <v>39</v>
      </c>
      <c r="D3151" s="1926" t="s">
        <v>40</v>
      </c>
      <c r="E3151" s="1662">
        <v>1.22</v>
      </c>
    </row>
    <row r="3152" spans="1:5" x14ac:dyDescent="0.2">
      <c r="A3152" s="135">
        <v>3860</v>
      </c>
      <c r="B3152" s="1926" t="s">
        <v>12752</v>
      </c>
      <c r="C3152" s="1926" t="s">
        <v>39</v>
      </c>
      <c r="D3152" s="1926" t="s">
        <v>40</v>
      </c>
      <c r="E3152" s="1662">
        <v>4.01</v>
      </c>
    </row>
    <row r="3153" spans="1:5" x14ac:dyDescent="0.2">
      <c r="A3153" s="135">
        <v>3905</v>
      </c>
      <c r="B3153" s="1926" t="s">
        <v>12753</v>
      </c>
      <c r="C3153" s="1926" t="s">
        <v>39</v>
      </c>
      <c r="D3153" s="1926" t="s">
        <v>40</v>
      </c>
      <c r="E3153" s="1662">
        <v>8.8699999999999992</v>
      </c>
    </row>
    <row r="3154" spans="1:5" x14ac:dyDescent="0.2">
      <c r="A3154" s="135">
        <v>3871</v>
      </c>
      <c r="B3154" s="1926" t="s">
        <v>12754</v>
      </c>
      <c r="C3154" s="1926" t="s">
        <v>39</v>
      </c>
      <c r="D3154" s="1926" t="s">
        <v>40</v>
      </c>
      <c r="E3154" s="1662">
        <v>18.43</v>
      </c>
    </row>
    <row r="3155" spans="1:5" x14ac:dyDescent="0.2">
      <c r="A3155" s="135">
        <v>37429</v>
      </c>
      <c r="B3155" s="1926" t="s">
        <v>12755</v>
      </c>
      <c r="C3155" s="1926" t="s">
        <v>39</v>
      </c>
      <c r="D3155" s="1926" t="s">
        <v>46</v>
      </c>
      <c r="E3155" s="1662">
        <v>1943.07</v>
      </c>
    </row>
    <row r="3156" spans="1:5" x14ac:dyDescent="0.2">
      <c r="A3156" s="135">
        <v>37426</v>
      </c>
      <c r="B3156" s="1926" t="s">
        <v>12756</v>
      </c>
      <c r="C3156" s="1926" t="s">
        <v>39</v>
      </c>
      <c r="D3156" s="1926" t="s">
        <v>46</v>
      </c>
      <c r="E3156" s="1662">
        <v>18.690000000000001</v>
      </c>
    </row>
    <row r="3157" spans="1:5" x14ac:dyDescent="0.2">
      <c r="A3157" s="135">
        <v>37427</v>
      </c>
      <c r="B3157" s="1926" t="s">
        <v>12757</v>
      </c>
      <c r="C3157" s="1926" t="s">
        <v>39</v>
      </c>
      <c r="D3157" s="1926" t="s">
        <v>46</v>
      </c>
      <c r="E3157" s="1662">
        <v>44.58</v>
      </c>
    </row>
    <row r="3158" spans="1:5" x14ac:dyDescent="0.2">
      <c r="A3158" s="135">
        <v>37424</v>
      </c>
      <c r="B3158" s="1926" t="s">
        <v>12758</v>
      </c>
      <c r="C3158" s="1926" t="s">
        <v>39</v>
      </c>
      <c r="D3158" s="1926" t="s">
        <v>46</v>
      </c>
      <c r="E3158" s="1662">
        <v>8.59</v>
      </c>
    </row>
    <row r="3159" spans="1:5" x14ac:dyDescent="0.2">
      <c r="A3159" s="135">
        <v>37428</v>
      </c>
      <c r="B3159" s="1926" t="s">
        <v>12759</v>
      </c>
      <c r="C3159" s="1926" t="s">
        <v>39</v>
      </c>
      <c r="D3159" s="1926" t="s">
        <v>46</v>
      </c>
      <c r="E3159" s="1662">
        <v>153.65</v>
      </c>
    </row>
    <row r="3160" spans="1:5" x14ac:dyDescent="0.2">
      <c r="A3160" s="135">
        <v>37425</v>
      </c>
      <c r="B3160" s="1926" t="s">
        <v>12760</v>
      </c>
      <c r="C3160" s="1926" t="s">
        <v>39</v>
      </c>
      <c r="D3160" s="1926" t="s">
        <v>46</v>
      </c>
      <c r="E3160" s="1662">
        <v>9.26</v>
      </c>
    </row>
    <row r="3161" spans="1:5" x14ac:dyDescent="0.2">
      <c r="A3161" s="135">
        <v>11519</v>
      </c>
      <c r="B3161" s="1926" t="s">
        <v>12761</v>
      </c>
      <c r="C3161" s="1926" t="s">
        <v>41</v>
      </c>
      <c r="D3161" s="1926" t="s">
        <v>40</v>
      </c>
      <c r="E3161" s="1662">
        <v>31.64</v>
      </c>
    </row>
    <row r="3162" spans="1:5" x14ac:dyDescent="0.2">
      <c r="A3162" s="135">
        <v>11520</v>
      </c>
      <c r="B3162" s="1926" t="s">
        <v>12762</v>
      </c>
      <c r="C3162" s="1926" t="s">
        <v>41</v>
      </c>
      <c r="D3162" s="1926" t="s">
        <v>40</v>
      </c>
      <c r="E3162" s="1662">
        <v>12.54</v>
      </c>
    </row>
    <row r="3163" spans="1:5" x14ac:dyDescent="0.2">
      <c r="A3163" s="135">
        <v>11518</v>
      </c>
      <c r="B3163" s="1926" t="s">
        <v>12763</v>
      </c>
      <c r="C3163" s="1926" t="s">
        <v>41</v>
      </c>
      <c r="D3163" s="1926" t="s">
        <v>40</v>
      </c>
      <c r="E3163" s="1662">
        <v>36.51</v>
      </c>
    </row>
    <row r="3164" spans="1:5" x14ac:dyDescent="0.2">
      <c r="A3164" s="135">
        <v>38473</v>
      </c>
      <c r="B3164" s="1926" t="s">
        <v>12764</v>
      </c>
      <c r="C3164" s="1926" t="s">
        <v>39</v>
      </c>
      <c r="D3164" s="1926" t="s">
        <v>40</v>
      </c>
      <c r="E3164" s="1662">
        <v>119.3</v>
      </c>
    </row>
    <row r="3165" spans="1:5" x14ac:dyDescent="0.2">
      <c r="A3165" s="135">
        <v>4244</v>
      </c>
      <c r="B3165" s="1926" t="s">
        <v>12765</v>
      </c>
      <c r="C3165" s="1926" t="s">
        <v>42</v>
      </c>
      <c r="D3165" s="1926" t="s">
        <v>40</v>
      </c>
      <c r="E3165" s="1662">
        <v>13.64</v>
      </c>
    </row>
    <row r="3166" spans="1:5" x14ac:dyDescent="0.2">
      <c r="A3166" s="135">
        <v>40977</v>
      </c>
      <c r="B3166" s="1926" t="s">
        <v>12766</v>
      </c>
      <c r="C3166" s="1926" t="s">
        <v>51</v>
      </c>
      <c r="D3166" s="1926" t="s">
        <v>40</v>
      </c>
      <c r="E3166" s="1662">
        <v>2433.9299999999998</v>
      </c>
    </row>
    <row r="3167" spans="1:5" x14ac:dyDescent="0.2">
      <c r="A3167" s="135">
        <v>2742</v>
      </c>
      <c r="B3167" s="1926" t="s">
        <v>12767</v>
      </c>
      <c r="C3167" s="1926" t="s">
        <v>47</v>
      </c>
      <c r="D3167" s="1926" t="s">
        <v>40</v>
      </c>
      <c r="E3167" s="1662">
        <v>1.81</v>
      </c>
    </row>
    <row r="3168" spans="1:5" x14ac:dyDescent="0.2">
      <c r="A3168" s="135">
        <v>2748</v>
      </c>
      <c r="B3168" s="1926" t="s">
        <v>12768</v>
      </c>
      <c r="C3168" s="1926" t="s">
        <v>47</v>
      </c>
      <c r="D3168" s="1926" t="s">
        <v>40</v>
      </c>
      <c r="E3168" s="1662">
        <v>5.32</v>
      </c>
    </row>
    <row r="3169" spans="1:5" x14ac:dyDescent="0.2">
      <c r="A3169" s="135">
        <v>2736</v>
      </c>
      <c r="B3169" s="1926" t="s">
        <v>12769</v>
      </c>
      <c r="C3169" s="1926" t="s">
        <v>47</v>
      </c>
      <c r="D3169" s="1926" t="s">
        <v>40</v>
      </c>
      <c r="E3169" s="1662">
        <v>7.43</v>
      </c>
    </row>
    <row r="3170" spans="1:5" x14ac:dyDescent="0.2">
      <c r="A3170" s="135">
        <v>2745</v>
      </c>
      <c r="B3170" s="1926" t="s">
        <v>12770</v>
      </c>
      <c r="C3170" s="1926" t="s">
        <v>47</v>
      </c>
      <c r="D3170" s="1926" t="s">
        <v>43</v>
      </c>
      <c r="E3170" s="1662">
        <v>1.5</v>
      </c>
    </row>
    <row r="3171" spans="1:5" x14ac:dyDescent="0.2">
      <c r="A3171" s="135">
        <v>2751</v>
      </c>
      <c r="B3171" s="1926" t="s">
        <v>12771</v>
      </c>
      <c r="C3171" s="1926" t="s">
        <v>47</v>
      </c>
      <c r="D3171" s="1926" t="s">
        <v>40</v>
      </c>
      <c r="E3171" s="1662">
        <v>1.92</v>
      </c>
    </row>
    <row r="3172" spans="1:5" x14ac:dyDescent="0.2">
      <c r="A3172" s="135">
        <v>14439</v>
      </c>
      <c r="B3172" s="1926" t="s">
        <v>12772</v>
      </c>
      <c r="C3172" s="1926" t="s">
        <v>47</v>
      </c>
      <c r="D3172" s="1926" t="s">
        <v>40</v>
      </c>
      <c r="E3172" s="1662">
        <v>1.7</v>
      </c>
    </row>
    <row r="3173" spans="1:5" x14ac:dyDescent="0.2">
      <c r="A3173" s="135">
        <v>2731</v>
      </c>
      <c r="B3173" s="1926" t="s">
        <v>12773</v>
      </c>
      <c r="C3173" s="1926" t="s">
        <v>47</v>
      </c>
      <c r="D3173" s="1926" t="s">
        <v>46</v>
      </c>
      <c r="E3173" s="1662">
        <v>56.13</v>
      </c>
    </row>
    <row r="3174" spans="1:5" x14ac:dyDescent="0.2">
      <c r="A3174" s="135">
        <v>21138</v>
      </c>
      <c r="B3174" s="1926" t="s">
        <v>12774</v>
      </c>
      <c r="C3174" s="1926" t="s">
        <v>47</v>
      </c>
      <c r="D3174" s="1926" t="s">
        <v>46</v>
      </c>
      <c r="E3174" s="1662">
        <v>6.09</v>
      </c>
    </row>
    <row r="3175" spans="1:5" x14ac:dyDescent="0.2">
      <c r="A3175" s="135">
        <v>2747</v>
      </c>
      <c r="B3175" s="1926" t="s">
        <v>12775</v>
      </c>
      <c r="C3175" s="1926" t="s">
        <v>47</v>
      </c>
      <c r="D3175" s="1926" t="s">
        <v>46</v>
      </c>
      <c r="E3175" s="1662">
        <v>15.05</v>
      </c>
    </row>
    <row r="3176" spans="1:5" x14ac:dyDescent="0.2">
      <c r="A3176" s="135">
        <v>4115</v>
      </c>
      <c r="B3176" s="1926" t="s">
        <v>12776</v>
      </c>
      <c r="C3176" s="1926" t="s">
        <v>47</v>
      </c>
      <c r="D3176" s="1926" t="s">
        <v>46</v>
      </c>
      <c r="E3176" s="1662">
        <v>11.78</v>
      </c>
    </row>
    <row r="3177" spans="1:5" x14ac:dyDescent="0.2">
      <c r="A3177" s="135">
        <v>2729</v>
      </c>
      <c r="B3177" s="1926" t="s">
        <v>12777</v>
      </c>
      <c r="C3177" s="1926" t="s">
        <v>39</v>
      </c>
      <c r="D3177" s="1926" t="s">
        <v>46</v>
      </c>
      <c r="E3177" s="1662">
        <v>14.19</v>
      </c>
    </row>
    <row r="3178" spans="1:5" x14ac:dyDescent="0.2">
      <c r="A3178" s="135">
        <v>4119</v>
      </c>
      <c r="B3178" s="1926" t="s">
        <v>12778</v>
      </c>
      <c r="C3178" s="1926" t="s">
        <v>47</v>
      </c>
      <c r="D3178" s="1926" t="s">
        <v>46</v>
      </c>
      <c r="E3178" s="1662">
        <v>23.7</v>
      </c>
    </row>
    <row r="3179" spans="1:5" x14ac:dyDescent="0.2">
      <c r="A3179" s="135">
        <v>2794</v>
      </c>
      <c r="B3179" s="1926" t="s">
        <v>12779</v>
      </c>
      <c r="C3179" s="1926" t="s">
        <v>47</v>
      </c>
      <c r="D3179" s="1926" t="s">
        <v>46</v>
      </c>
      <c r="E3179" s="1662">
        <v>58.53</v>
      </c>
    </row>
    <row r="3180" spans="1:5" x14ac:dyDescent="0.2">
      <c r="A3180" s="135">
        <v>2788</v>
      </c>
      <c r="B3180" s="1926" t="s">
        <v>12780</v>
      </c>
      <c r="C3180" s="1926" t="s">
        <v>47</v>
      </c>
      <c r="D3180" s="1926" t="s">
        <v>46</v>
      </c>
      <c r="E3180" s="1662">
        <v>118.34</v>
      </c>
    </row>
    <row r="3181" spans="1:5" x14ac:dyDescent="0.2">
      <c r="A3181" s="135">
        <v>4006</v>
      </c>
      <c r="B3181" s="1926" t="s">
        <v>12781</v>
      </c>
      <c r="C3181" s="1926" t="s">
        <v>44</v>
      </c>
      <c r="D3181" s="1926" t="s">
        <v>40</v>
      </c>
      <c r="E3181" s="1662">
        <v>1073.8900000000001</v>
      </c>
    </row>
    <row r="3182" spans="1:5" x14ac:dyDescent="0.2">
      <c r="A3182" s="135">
        <v>36151</v>
      </c>
      <c r="B3182" s="1926" t="s">
        <v>12782</v>
      </c>
      <c r="C3182" s="1926" t="s">
        <v>39</v>
      </c>
      <c r="D3182" s="1926" t="s">
        <v>40</v>
      </c>
      <c r="E3182" s="1662">
        <v>23.16</v>
      </c>
    </row>
    <row r="3183" spans="1:5" x14ac:dyDescent="0.2">
      <c r="A3183" s="135">
        <v>37457</v>
      </c>
      <c r="B3183" s="1926" t="s">
        <v>12783</v>
      </c>
      <c r="C3183" s="1926" t="s">
        <v>47</v>
      </c>
      <c r="D3183" s="1926" t="s">
        <v>46</v>
      </c>
      <c r="E3183" s="1662">
        <v>2.04</v>
      </c>
    </row>
    <row r="3184" spans="1:5" x14ac:dyDescent="0.2">
      <c r="A3184" s="135">
        <v>37456</v>
      </c>
      <c r="B3184" s="1926" t="s">
        <v>12784</v>
      </c>
      <c r="C3184" s="1926" t="s">
        <v>47</v>
      </c>
      <c r="D3184" s="1926" t="s">
        <v>46</v>
      </c>
      <c r="E3184" s="1662">
        <v>1.07</v>
      </c>
    </row>
    <row r="3185" spans="1:5" x14ac:dyDescent="0.2">
      <c r="A3185" s="135">
        <v>37461</v>
      </c>
      <c r="B3185" s="1926" t="s">
        <v>12785</v>
      </c>
      <c r="C3185" s="1926" t="s">
        <v>47</v>
      </c>
      <c r="D3185" s="1926" t="s">
        <v>46</v>
      </c>
      <c r="E3185" s="1662">
        <v>7.59</v>
      </c>
    </row>
    <row r="3186" spans="1:5" x14ac:dyDescent="0.2">
      <c r="A3186" s="135">
        <v>37460</v>
      </c>
      <c r="B3186" s="1926" t="s">
        <v>12786</v>
      </c>
      <c r="C3186" s="1926" t="s">
        <v>47</v>
      </c>
      <c r="D3186" s="1926" t="s">
        <v>46</v>
      </c>
      <c r="E3186" s="1662">
        <v>10.37</v>
      </c>
    </row>
    <row r="3187" spans="1:5" x14ac:dyDescent="0.2">
      <c r="A3187" s="135">
        <v>37458</v>
      </c>
      <c r="B3187" s="1926" t="s">
        <v>12787</v>
      </c>
      <c r="C3187" s="1926" t="s">
        <v>47</v>
      </c>
      <c r="D3187" s="1926" t="s">
        <v>46</v>
      </c>
      <c r="E3187" s="1662">
        <v>3.04</v>
      </c>
    </row>
    <row r="3188" spans="1:5" x14ac:dyDescent="0.2">
      <c r="A3188" s="135">
        <v>37454</v>
      </c>
      <c r="B3188" s="1926" t="s">
        <v>12788</v>
      </c>
      <c r="C3188" s="1926" t="s">
        <v>47</v>
      </c>
      <c r="D3188" s="1926" t="s">
        <v>46</v>
      </c>
      <c r="E3188" s="1662">
        <v>0.79</v>
      </c>
    </row>
    <row r="3189" spans="1:5" x14ac:dyDescent="0.2">
      <c r="A3189" s="135">
        <v>37455</v>
      </c>
      <c r="B3189" s="1926" t="s">
        <v>12789</v>
      </c>
      <c r="C3189" s="1926" t="s">
        <v>47</v>
      </c>
      <c r="D3189" s="1926" t="s">
        <v>46</v>
      </c>
      <c r="E3189" s="1662">
        <v>1.34</v>
      </c>
    </row>
    <row r="3190" spans="1:5" x14ac:dyDescent="0.2">
      <c r="A3190" s="135">
        <v>37459</v>
      </c>
      <c r="B3190" s="1926" t="s">
        <v>12790</v>
      </c>
      <c r="C3190" s="1926" t="s">
        <v>47</v>
      </c>
      <c r="D3190" s="1926" t="s">
        <v>46</v>
      </c>
      <c r="E3190" s="1662">
        <v>4.2699999999999996</v>
      </c>
    </row>
    <row r="3191" spans="1:5" x14ac:dyDescent="0.2">
      <c r="A3191" s="135">
        <v>21029</v>
      </c>
      <c r="B3191" s="1926" t="s">
        <v>12791</v>
      </c>
      <c r="C3191" s="1926" t="s">
        <v>39</v>
      </c>
      <c r="D3191" s="1926" t="s">
        <v>43</v>
      </c>
      <c r="E3191" s="1662">
        <v>240</v>
      </c>
    </row>
    <row r="3192" spans="1:5" x14ac:dyDescent="0.2">
      <c r="A3192" s="135">
        <v>21030</v>
      </c>
      <c r="B3192" s="1926" t="s">
        <v>12792</v>
      </c>
      <c r="C3192" s="1926" t="s">
        <v>39</v>
      </c>
      <c r="D3192" s="1926" t="s">
        <v>40</v>
      </c>
      <c r="E3192" s="1662">
        <v>295.83999999999997</v>
      </c>
    </row>
    <row r="3193" spans="1:5" x14ac:dyDescent="0.2">
      <c r="A3193" s="135">
        <v>21031</v>
      </c>
      <c r="B3193" s="1926" t="s">
        <v>12793</v>
      </c>
      <c r="C3193" s="1926" t="s">
        <v>39</v>
      </c>
      <c r="D3193" s="1926" t="s">
        <v>40</v>
      </c>
      <c r="E3193" s="1662">
        <v>368.31</v>
      </c>
    </row>
    <row r="3194" spans="1:5" x14ac:dyDescent="0.2">
      <c r="A3194" s="135">
        <v>21032</v>
      </c>
      <c r="B3194" s="1926" t="s">
        <v>12794</v>
      </c>
      <c r="C3194" s="1926" t="s">
        <v>39</v>
      </c>
      <c r="D3194" s="1926" t="s">
        <v>40</v>
      </c>
      <c r="E3194" s="1662">
        <v>393.26</v>
      </c>
    </row>
    <row r="3195" spans="1:5" x14ac:dyDescent="0.2">
      <c r="A3195" s="135">
        <v>37527</v>
      </c>
      <c r="B3195" s="1926" t="s">
        <v>12795</v>
      </c>
      <c r="C3195" s="1926" t="s">
        <v>39</v>
      </c>
      <c r="D3195" s="1926" t="s">
        <v>40</v>
      </c>
      <c r="E3195" s="1662">
        <v>355.24</v>
      </c>
    </row>
    <row r="3196" spans="1:5" x14ac:dyDescent="0.2">
      <c r="A3196" s="135">
        <v>37528</v>
      </c>
      <c r="B3196" s="1926" t="s">
        <v>12796</v>
      </c>
      <c r="C3196" s="1926" t="s">
        <v>39</v>
      </c>
      <c r="D3196" s="1926" t="s">
        <v>40</v>
      </c>
      <c r="E3196" s="1662">
        <v>423.56</v>
      </c>
    </row>
    <row r="3197" spans="1:5" x14ac:dyDescent="0.2">
      <c r="A3197" s="135">
        <v>37529</v>
      </c>
      <c r="B3197" s="1926" t="s">
        <v>12797</v>
      </c>
      <c r="C3197" s="1926" t="s">
        <v>39</v>
      </c>
      <c r="D3197" s="1926" t="s">
        <v>40</v>
      </c>
      <c r="E3197" s="1662">
        <v>427.72</v>
      </c>
    </row>
    <row r="3198" spans="1:5" x14ac:dyDescent="0.2">
      <c r="A3198" s="135">
        <v>37530</v>
      </c>
      <c r="B3198" s="1926" t="s">
        <v>12798</v>
      </c>
      <c r="C3198" s="1926" t="s">
        <v>39</v>
      </c>
      <c r="D3198" s="1926" t="s">
        <v>40</v>
      </c>
      <c r="E3198" s="1662">
        <v>558.41</v>
      </c>
    </row>
    <row r="3199" spans="1:5" x14ac:dyDescent="0.2">
      <c r="A3199" s="135">
        <v>21034</v>
      </c>
      <c r="B3199" s="1926" t="s">
        <v>12799</v>
      </c>
      <c r="C3199" s="1926" t="s">
        <v>39</v>
      </c>
      <c r="D3199" s="1926" t="s">
        <v>40</v>
      </c>
      <c r="E3199" s="1662">
        <v>476.43</v>
      </c>
    </row>
    <row r="3200" spans="1:5" x14ac:dyDescent="0.2">
      <c r="A3200" s="135">
        <v>37531</v>
      </c>
      <c r="B3200" s="1926" t="s">
        <v>12800</v>
      </c>
      <c r="C3200" s="1926" t="s">
        <v>39</v>
      </c>
      <c r="D3200" s="1926" t="s">
        <v>40</v>
      </c>
      <c r="E3200" s="1662">
        <v>600</v>
      </c>
    </row>
    <row r="3201" spans="1:5" x14ac:dyDescent="0.2">
      <c r="A3201" s="135">
        <v>21036</v>
      </c>
      <c r="B3201" s="1926" t="s">
        <v>12801</v>
      </c>
      <c r="C3201" s="1926" t="s">
        <v>39</v>
      </c>
      <c r="D3201" s="1926" t="s">
        <v>40</v>
      </c>
      <c r="E3201" s="1662">
        <v>729.5</v>
      </c>
    </row>
    <row r="3202" spans="1:5" x14ac:dyDescent="0.2">
      <c r="A3202" s="135">
        <v>21037</v>
      </c>
      <c r="B3202" s="1926" t="s">
        <v>12802</v>
      </c>
      <c r="C3202" s="1926" t="s">
        <v>39</v>
      </c>
      <c r="D3202" s="1926" t="s">
        <v>40</v>
      </c>
      <c r="E3202" s="1662">
        <v>831.68</v>
      </c>
    </row>
    <row r="3203" spans="1:5" x14ac:dyDescent="0.2">
      <c r="A3203" s="135">
        <v>20185</v>
      </c>
      <c r="B3203" s="1926" t="s">
        <v>12803</v>
      </c>
      <c r="C3203" s="1926" t="s">
        <v>47</v>
      </c>
      <c r="D3203" s="1926" t="s">
        <v>46</v>
      </c>
      <c r="E3203" s="1662">
        <v>12.34</v>
      </c>
    </row>
    <row r="3204" spans="1:5" x14ac:dyDescent="0.2">
      <c r="A3204" s="135">
        <v>20260</v>
      </c>
      <c r="B3204" s="1926" t="s">
        <v>12804</v>
      </c>
      <c r="C3204" s="1926" t="s">
        <v>39</v>
      </c>
      <c r="D3204" s="1926" t="s">
        <v>46</v>
      </c>
      <c r="E3204" s="1662">
        <v>9.93</v>
      </c>
    </row>
    <row r="3205" spans="1:5" x14ac:dyDescent="0.2">
      <c r="A3205" s="135">
        <v>37523</v>
      </c>
      <c r="B3205" s="1926" t="s">
        <v>12805</v>
      </c>
      <c r="C3205" s="1926" t="s">
        <v>39</v>
      </c>
      <c r="D3205" s="1926" t="s">
        <v>46</v>
      </c>
      <c r="E3205" s="1662">
        <v>377259.43</v>
      </c>
    </row>
    <row r="3206" spans="1:5" x14ac:dyDescent="0.2">
      <c r="A3206" s="135">
        <v>37515</v>
      </c>
      <c r="B3206" s="1926" t="s">
        <v>12806</v>
      </c>
      <c r="C3206" s="1926" t="s">
        <v>39</v>
      </c>
      <c r="D3206" s="1926" t="s">
        <v>46</v>
      </c>
      <c r="E3206" s="1662">
        <v>335402.93</v>
      </c>
    </row>
    <row r="3207" spans="1:5" x14ac:dyDescent="0.2">
      <c r="A3207" s="135">
        <v>12899</v>
      </c>
      <c r="B3207" s="1926" t="s">
        <v>12807</v>
      </c>
      <c r="C3207" s="1926" t="s">
        <v>39</v>
      </c>
      <c r="D3207" s="1926" t="s">
        <v>46</v>
      </c>
      <c r="E3207" s="1662">
        <v>97.71</v>
      </c>
    </row>
    <row r="3208" spans="1:5" x14ac:dyDescent="0.2">
      <c r="A3208" s="135">
        <v>12898</v>
      </c>
      <c r="B3208" s="1926" t="s">
        <v>12808</v>
      </c>
      <c r="C3208" s="1926" t="s">
        <v>39</v>
      </c>
      <c r="D3208" s="1926" t="s">
        <v>46</v>
      </c>
      <c r="E3208" s="1662">
        <v>155</v>
      </c>
    </row>
    <row r="3209" spans="1:5" x14ac:dyDescent="0.2">
      <c r="A3209" s="135">
        <v>42528</v>
      </c>
      <c r="B3209" s="1926" t="s">
        <v>12809</v>
      </c>
      <c r="C3209" s="1926" t="s">
        <v>45</v>
      </c>
      <c r="D3209" s="1926" t="s">
        <v>40</v>
      </c>
      <c r="E3209" s="1662">
        <v>6.08</v>
      </c>
    </row>
    <row r="3210" spans="1:5" x14ac:dyDescent="0.2">
      <c r="A3210" s="135">
        <v>39696</v>
      </c>
      <c r="B3210" s="1926" t="s">
        <v>12810</v>
      </c>
      <c r="C3210" s="1926" t="s">
        <v>45</v>
      </c>
      <c r="D3210" s="1926" t="s">
        <v>43</v>
      </c>
      <c r="E3210" s="1662">
        <v>4.28</v>
      </c>
    </row>
    <row r="3211" spans="1:5" x14ac:dyDescent="0.2">
      <c r="A3211" s="135">
        <v>39700</v>
      </c>
      <c r="B3211" s="1926" t="s">
        <v>12811</v>
      </c>
      <c r="C3211" s="1926" t="s">
        <v>45</v>
      </c>
      <c r="D3211" s="1926" t="s">
        <v>40</v>
      </c>
      <c r="E3211" s="1662">
        <v>19.7</v>
      </c>
    </row>
    <row r="3212" spans="1:5" x14ac:dyDescent="0.2">
      <c r="A3212" s="135">
        <v>11621</v>
      </c>
      <c r="B3212" s="1926" t="s">
        <v>12812</v>
      </c>
      <c r="C3212" s="1926" t="s">
        <v>45</v>
      </c>
      <c r="D3212" s="1926" t="s">
        <v>40</v>
      </c>
      <c r="E3212" s="1662">
        <v>39.21</v>
      </c>
    </row>
    <row r="3213" spans="1:5" x14ac:dyDescent="0.2">
      <c r="A3213" s="135">
        <v>4014</v>
      </c>
      <c r="B3213" s="1926" t="s">
        <v>12813</v>
      </c>
      <c r="C3213" s="1926" t="s">
        <v>45</v>
      </c>
      <c r="D3213" s="1926" t="s">
        <v>40</v>
      </c>
      <c r="E3213" s="1662">
        <v>40.57</v>
      </c>
    </row>
    <row r="3214" spans="1:5" x14ac:dyDescent="0.2">
      <c r="A3214" s="135">
        <v>4015</v>
      </c>
      <c r="B3214" s="1926" t="s">
        <v>12814</v>
      </c>
      <c r="C3214" s="1926" t="s">
        <v>45</v>
      </c>
      <c r="D3214" s="1926" t="s">
        <v>40</v>
      </c>
      <c r="E3214" s="1662">
        <v>49.81</v>
      </c>
    </row>
    <row r="3215" spans="1:5" x14ac:dyDescent="0.2">
      <c r="A3215" s="135">
        <v>4017</v>
      </c>
      <c r="B3215" s="1926" t="s">
        <v>12815</v>
      </c>
      <c r="C3215" s="1926" t="s">
        <v>45</v>
      </c>
      <c r="D3215" s="1926" t="s">
        <v>40</v>
      </c>
      <c r="E3215" s="1662">
        <v>72.48</v>
      </c>
    </row>
    <row r="3216" spans="1:5" x14ac:dyDescent="0.2">
      <c r="A3216" s="135">
        <v>4016</v>
      </c>
      <c r="B3216" s="1926" t="s">
        <v>12816</v>
      </c>
      <c r="C3216" s="1926" t="s">
        <v>45</v>
      </c>
      <c r="D3216" s="1926" t="s">
        <v>43</v>
      </c>
      <c r="E3216" s="1662">
        <v>28.63</v>
      </c>
    </row>
    <row r="3217" spans="1:5" x14ac:dyDescent="0.2">
      <c r="A3217" s="135">
        <v>39699</v>
      </c>
      <c r="B3217" s="1926" t="s">
        <v>12817</v>
      </c>
      <c r="C3217" s="1926" t="s">
        <v>45</v>
      </c>
      <c r="D3217" s="1926" t="s">
        <v>40</v>
      </c>
      <c r="E3217" s="1662">
        <v>11.08</v>
      </c>
    </row>
    <row r="3218" spans="1:5" x14ac:dyDescent="0.2">
      <c r="A3218" s="135">
        <v>38544</v>
      </c>
      <c r="B3218" s="1926" t="s">
        <v>12818</v>
      </c>
      <c r="C3218" s="1926" t="s">
        <v>45</v>
      </c>
      <c r="D3218" s="1926" t="s">
        <v>40</v>
      </c>
      <c r="E3218" s="1662">
        <v>7.34</v>
      </c>
    </row>
    <row r="3219" spans="1:5" x14ac:dyDescent="0.2">
      <c r="A3219" s="135">
        <v>38545</v>
      </c>
      <c r="B3219" s="1926" t="s">
        <v>12819</v>
      </c>
      <c r="C3219" s="1926" t="s">
        <v>45</v>
      </c>
      <c r="D3219" s="1926" t="s">
        <v>40</v>
      </c>
      <c r="E3219" s="1662">
        <v>4.72</v>
      </c>
    </row>
    <row r="3220" spans="1:5" x14ac:dyDescent="0.2">
      <c r="A3220" s="135">
        <v>42527</v>
      </c>
      <c r="B3220" s="1926" t="s">
        <v>12820</v>
      </c>
      <c r="C3220" s="1926" t="s">
        <v>45</v>
      </c>
      <c r="D3220" s="1926" t="s">
        <v>40</v>
      </c>
      <c r="E3220" s="1662">
        <v>16.079999999999998</v>
      </c>
    </row>
    <row r="3221" spans="1:5" x14ac:dyDescent="0.2">
      <c r="A3221" s="135">
        <v>39323</v>
      </c>
      <c r="B3221" s="1926" t="s">
        <v>12821</v>
      </c>
      <c r="C3221" s="1926" t="s">
        <v>45</v>
      </c>
      <c r="D3221" s="1926" t="s">
        <v>40</v>
      </c>
      <c r="E3221" s="1662">
        <v>18.010000000000002</v>
      </c>
    </row>
    <row r="3222" spans="1:5" x14ac:dyDescent="0.2">
      <c r="A3222" s="135">
        <v>626</v>
      </c>
      <c r="B3222" s="1926" t="s">
        <v>12822</v>
      </c>
      <c r="C3222" s="1926" t="s">
        <v>48</v>
      </c>
      <c r="D3222" s="1926" t="s">
        <v>43</v>
      </c>
      <c r="E3222" s="1662">
        <v>14.41</v>
      </c>
    </row>
    <row r="3223" spans="1:5" x14ac:dyDescent="0.2">
      <c r="A3223" s="135">
        <v>25860</v>
      </c>
      <c r="B3223" s="1926" t="s">
        <v>12823</v>
      </c>
      <c r="C3223" s="1926" t="s">
        <v>45</v>
      </c>
      <c r="D3223" s="1926" t="s">
        <v>46</v>
      </c>
      <c r="E3223" s="1662">
        <v>9.8000000000000007</v>
      </c>
    </row>
    <row r="3224" spans="1:5" x14ac:dyDescent="0.2">
      <c r="A3224" s="135">
        <v>25861</v>
      </c>
      <c r="B3224" s="1926" t="s">
        <v>12824</v>
      </c>
      <c r="C3224" s="1926" t="s">
        <v>45</v>
      </c>
      <c r="D3224" s="1926" t="s">
        <v>46</v>
      </c>
      <c r="E3224" s="1662">
        <v>14.79</v>
      </c>
    </row>
    <row r="3225" spans="1:5" x14ac:dyDescent="0.2">
      <c r="A3225" s="135">
        <v>25862</v>
      </c>
      <c r="B3225" s="1926" t="s">
        <v>12825</v>
      </c>
      <c r="C3225" s="1926" t="s">
        <v>45</v>
      </c>
      <c r="D3225" s="1926" t="s">
        <v>46</v>
      </c>
      <c r="E3225" s="1662">
        <v>15.7</v>
      </c>
    </row>
    <row r="3226" spans="1:5" x14ac:dyDescent="0.2">
      <c r="A3226" s="135">
        <v>25863</v>
      </c>
      <c r="B3226" s="1926" t="s">
        <v>12826</v>
      </c>
      <c r="C3226" s="1926" t="s">
        <v>45</v>
      </c>
      <c r="D3226" s="1926" t="s">
        <v>46</v>
      </c>
      <c r="E3226" s="1662">
        <v>19.63</v>
      </c>
    </row>
    <row r="3227" spans="1:5" x14ac:dyDescent="0.2">
      <c r="A3227" s="135">
        <v>25864</v>
      </c>
      <c r="B3227" s="1926" t="s">
        <v>12827</v>
      </c>
      <c r="C3227" s="1926" t="s">
        <v>45</v>
      </c>
      <c r="D3227" s="1926" t="s">
        <v>46</v>
      </c>
      <c r="E3227" s="1662">
        <v>29.44</v>
      </c>
    </row>
    <row r="3228" spans="1:5" x14ac:dyDescent="0.2">
      <c r="A3228" s="135">
        <v>25865</v>
      </c>
      <c r="B3228" s="1926" t="s">
        <v>12828</v>
      </c>
      <c r="C3228" s="1926" t="s">
        <v>45</v>
      </c>
      <c r="D3228" s="1926" t="s">
        <v>46</v>
      </c>
      <c r="E3228" s="1662">
        <v>39.44</v>
      </c>
    </row>
    <row r="3229" spans="1:5" x14ac:dyDescent="0.2">
      <c r="A3229" s="135">
        <v>25866</v>
      </c>
      <c r="B3229" s="1926" t="s">
        <v>12829</v>
      </c>
      <c r="C3229" s="1926" t="s">
        <v>45</v>
      </c>
      <c r="D3229" s="1926" t="s">
        <v>46</v>
      </c>
      <c r="E3229" s="1662">
        <v>48.97</v>
      </c>
    </row>
    <row r="3230" spans="1:5" x14ac:dyDescent="0.2">
      <c r="A3230" s="135">
        <v>25868</v>
      </c>
      <c r="B3230" s="1926" t="s">
        <v>12830</v>
      </c>
      <c r="C3230" s="1926" t="s">
        <v>45</v>
      </c>
      <c r="D3230" s="1926" t="s">
        <v>46</v>
      </c>
      <c r="E3230" s="1662">
        <v>10.93</v>
      </c>
    </row>
    <row r="3231" spans="1:5" x14ac:dyDescent="0.2">
      <c r="A3231" s="135">
        <v>25869</v>
      </c>
      <c r="B3231" s="1926" t="s">
        <v>12831</v>
      </c>
      <c r="C3231" s="1926" t="s">
        <v>45</v>
      </c>
      <c r="D3231" s="1926" t="s">
        <v>46</v>
      </c>
      <c r="E3231" s="1662">
        <v>15.43</v>
      </c>
    </row>
    <row r="3232" spans="1:5" x14ac:dyDescent="0.2">
      <c r="A3232" s="135">
        <v>25870</v>
      </c>
      <c r="B3232" s="1926" t="s">
        <v>12832</v>
      </c>
      <c r="C3232" s="1926" t="s">
        <v>45</v>
      </c>
      <c r="D3232" s="1926" t="s">
        <v>46</v>
      </c>
      <c r="E3232" s="1662">
        <v>17.489999999999998</v>
      </c>
    </row>
    <row r="3233" spans="1:5" x14ac:dyDescent="0.2">
      <c r="A3233" s="135">
        <v>25871</v>
      </c>
      <c r="B3233" s="1926" t="s">
        <v>12833</v>
      </c>
      <c r="C3233" s="1926" t="s">
        <v>45</v>
      </c>
      <c r="D3233" s="1926" t="s">
        <v>46</v>
      </c>
      <c r="E3233" s="1662">
        <v>21.47</v>
      </c>
    </row>
    <row r="3234" spans="1:5" x14ac:dyDescent="0.2">
      <c r="A3234" s="135">
        <v>25867</v>
      </c>
      <c r="B3234" s="1926" t="s">
        <v>12834</v>
      </c>
      <c r="C3234" s="1926" t="s">
        <v>45</v>
      </c>
      <c r="D3234" s="1926" t="s">
        <v>46</v>
      </c>
      <c r="E3234" s="1662">
        <v>31.79</v>
      </c>
    </row>
    <row r="3235" spans="1:5" x14ac:dyDescent="0.2">
      <c r="A3235" s="135">
        <v>25872</v>
      </c>
      <c r="B3235" s="1926" t="s">
        <v>12835</v>
      </c>
      <c r="C3235" s="1926" t="s">
        <v>45</v>
      </c>
      <c r="D3235" s="1926" t="s">
        <v>46</v>
      </c>
      <c r="E3235" s="1662">
        <v>42.96</v>
      </c>
    </row>
    <row r="3236" spans="1:5" x14ac:dyDescent="0.2">
      <c r="A3236" s="135">
        <v>25873</v>
      </c>
      <c r="B3236" s="1926" t="s">
        <v>12836</v>
      </c>
      <c r="C3236" s="1926" t="s">
        <v>45</v>
      </c>
      <c r="D3236" s="1926" t="s">
        <v>46</v>
      </c>
      <c r="E3236" s="1662">
        <v>53.59</v>
      </c>
    </row>
    <row r="3237" spans="1:5" x14ac:dyDescent="0.2">
      <c r="A3237" s="135">
        <v>40637</v>
      </c>
      <c r="B3237" s="1926" t="s">
        <v>12837</v>
      </c>
      <c r="C3237" s="1926" t="s">
        <v>39</v>
      </c>
      <c r="D3237" s="1926" t="s">
        <v>46</v>
      </c>
      <c r="E3237" s="1662">
        <v>505925.24</v>
      </c>
    </row>
    <row r="3238" spans="1:5" x14ac:dyDescent="0.2">
      <c r="A3238" s="135">
        <v>13836</v>
      </c>
      <c r="B3238" s="1926" t="s">
        <v>12838</v>
      </c>
      <c r="C3238" s="1926" t="s">
        <v>39</v>
      </c>
      <c r="D3238" s="1926" t="s">
        <v>46</v>
      </c>
      <c r="E3238" s="1662">
        <v>58739.81</v>
      </c>
    </row>
    <row r="3239" spans="1:5" x14ac:dyDescent="0.2">
      <c r="A3239" s="135">
        <v>14534</v>
      </c>
      <c r="B3239" s="1926" t="s">
        <v>12839</v>
      </c>
      <c r="C3239" s="1926" t="s">
        <v>39</v>
      </c>
      <c r="D3239" s="1926" t="s">
        <v>46</v>
      </c>
      <c r="E3239" s="1662">
        <v>24590.04</v>
      </c>
    </row>
    <row r="3240" spans="1:5" x14ac:dyDescent="0.2">
      <c r="A3240" s="135">
        <v>14619</v>
      </c>
      <c r="B3240" s="1926" t="s">
        <v>12840</v>
      </c>
      <c r="C3240" s="1926" t="s">
        <v>39</v>
      </c>
      <c r="D3240" s="1926" t="s">
        <v>40</v>
      </c>
      <c r="E3240" s="1662">
        <v>10438.94</v>
      </c>
    </row>
    <row r="3241" spans="1:5" x14ac:dyDescent="0.2">
      <c r="A3241" s="135">
        <v>14535</v>
      </c>
      <c r="B3241" s="1926" t="s">
        <v>12841</v>
      </c>
      <c r="C3241" s="1926" t="s">
        <v>39</v>
      </c>
      <c r="D3241" s="1926" t="s">
        <v>46</v>
      </c>
      <c r="E3241" s="1662">
        <v>244058.49</v>
      </c>
    </row>
    <row r="3242" spans="1:5" x14ac:dyDescent="0.2">
      <c r="A3242" s="135">
        <v>39813</v>
      </c>
      <c r="B3242" s="1926" t="s">
        <v>12842</v>
      </c>
      <c r="C3242" s="1926" t="s">
        <v>39</v>
      </c>
      <c r="D3242" s="1926" t="s">
        <v>46</v>
      </c>
      <c r="E3242" s="1662">
        <v>17291.87</v>
      </c>
    </row>
    <row r="3243" spans="1:5" x14ac:dyDescent="0.2">
      <c r="A3243" s="135">
        <v>40403</v>
      </c>
      <c r="B3243" s="1926" t="s">
        <v>12843</v>
      </c>
      <c r="C3243" s="1926" t="s">
        <v>39</v>
      </c>
      <c r="D3243" s="1926" t="s">
        <v>46</v>
      </c>
      <c r="E3243" s="1662">
        <v>484.92</v>
      </c>
    </row>
    <row r="3244" spans="1:5" x14ac:dyDescent="0.2">
      <c r="A3244" s="135">
        <v>12868</v>
      </c>
      <c r="B3244" s="1926" t="s">
        <v>12844</v>
      </c>
      <c r="C3244" s="1926" t="s">
        <v>42</v>
      </c>
      <c r="D3244" s="1926" t="s">
        <v>40</v>
      </c>
      <c r="E3244" s="1662">
        <v>14.45</v>
      </c>
    </row>
    <row r="3245" spans="1:5" x14ac:dyDescent="0.2">
      <c r="A3245" s="135">
        <v>40916</v>
      </c>
      <c r="B3245" s="1926" t="s">
        <v>12845</v>
      </c>
      <c r="C3245" s="1926" t="s">
        <v>51</v>
      </c>
      <c r="D3245" s="1926" t="s">
        <v>40</v>
      </c>
      <c r="E3245" s="1662">
        <v>2576.87</v>
      </c>
    </row>
    <row r="3246" spans="1:5" x14ac:dyDescent="0.2">
      <c r="A3246" s="135">
        <v>4755</v>
      </c>
      <c r="B3246" s="1926" t="s">
        <v>12846</v>
      </c>
      <c r="C3246" s="1926" t="s">
        <v>42</v>
      </c>
      <c r="D3246" s="1926" t="s">
        <v>40</v>
      </c>
      <c r="E3246" s="1662">
        <v>11.02</v>
      </c>
    </row>
    <row r="3247" spans="1:5" x14ac:dyDescent="0.2">
      <c r="A3247" s="135">
        <v>41067</v>
      </c>
      <c r="B3247" s="1926" t="s">
        <v>12847</v>
      </c>
      <c r="C3247" s="1926" t="s">
        <v>51</v>
      </c>
      <c r="D3247" s="1926" t="s">
        <v>40</v>
      </c>
      <c r="E3247" s="1662">
        <v>1965.69</v>
      </c>
    </row>
    <row r="3248" spans="1:5" x14ac:dyDescent="0.2">
      <c r="A3248" s="135">
        <v>38463</v>
      </c>
      <c r="B3248" s="1926" t="s">
        <v>12848</v>
      </c>
      <c r="C3248" s="1926" t="s">
        <v>39</v>
      </c>
      <c r="D3248" s="1926" t="s">
        <v>40</v>
      </c>
      <c r="E3248" s="1662">
        <v>28.98</v>
      </c>
    </row>
    <row r="3249" spans="1:5" x14ac:dyDescent="0.2">
      <c r="A3249" s="135">
        <v>40703</v>
      </c>
      <c r="B3249" s="1926" t="s">
        <v>12849</v>
      </c>
      <c r="C3249" s="1926" t="s">
        <v>39</v>
      </c>
      <c r="D3249" s="1926" t="s">
        <v>46</v>
      </c>
      <c r="E3249" s="1662">
        <v>6650</v>
      </c>
    </row>
    <row r="3250" spans="1:5" x14ac:dyDescent="0.2">
      <c r="A3250" s="135">
        <v>14531</v>
      </c>
      <c r="B3250" s="1926" t="s">
        <v>12850</v>
      </c>
      <c r="C3250" s="1926" t="s">
        <v>39</v>
      </c>
      <c r="D3250" s="1926" t="s">
        <v>46</v>
      </c>
      <c r="E3250" s="1662">
        <v>12398.1</v>
      </c>
    </row>
    <row r="3251" spans="1:5" x14ac:dyDescent="0.2">
      <c r="A3251" s="135">
        <v>36533</v>
      </c>
      <c r="B3251" s="1926" t="s">
        <v>12851</v>
      </c>
      <c r="C3251" s="1926" t="s">
        <v>39</v>
      </c>
      <c r="D3251" s="1926" t="s">
        <v>46</v>
      </c>
      <c r="E3251" s="1662">
        <v>14267.05</v>
      </c>
    </row>
    <row r="3252" spans="1:5" x14ac:dyDescent="0.2">
      <c r="A3252" s="135">
        <v>11616</v>
      </c>
      <c r="B3252" s="1926" t="s">
        <v>12852</v>
      </c>
      <c r="C3252" s="1926" t="s">
        <v>39</v>
      </c>
      <c r="D3252" s="1926" t="s">
        <v>46</v>
      </c>
      <c r="E3252" s="1662">
        <v>13475.01</v>
      </c>
    </row>
    <row r="3253" spans="1:5" x14ac:dyDescent="0.2">
      <c r="A3253" s="135">
        <v>41898</v>
      </c>
      <c r="B3253" s="1926" t="s">
        <v>12853</v>
      </c>
      <c r="C3253" s="1926" t="s">
        <v>39</v>
      </c>
      <c r="D3253" s="1926" t="s">
        <v>46</v>
      </c>
      <c r="E3253" s="1662">
        <v>15161.22</v>
      </c>
    </row>
    <row r="3254" spans="1:5" x14ac:dyDescent="0.2">
      <c r="A3254" s="135">
        <v>13447</v>
      </c>
      <c r="B3254" s="1926" t="s">
        <v>12854</v>
      </c>
      <c r="C3254" s="1926" t="s">
        <v>39</v>
      </c>
      <c r="D3254" s="1926" t="s">
        <v>46</v>
      </c>
      <c r="E3254" s="1662">
        <v>27897.7</v>
      </c>
    </row>
    <row r="3255" spans="1:5" x14ac:dyDescent="0.2">
      <c r="A3255" s="135">
        <v>14529</v>
      </c>
      <c r="B3255" s="1926" t="s">
        <v>12855</v>
      </c>
      <c r="C3255" s="1926" t="s">
        <v>39</v>
      </c>
      <c r="D3255" s="1926" t="s">
        <v>46</v>
      </c>
      <c r="E3255" s="1662">
        <v>15602.47</v>
      </c>
    </row>
    <row r="3256" spans="1:5" x14ac:dyDescent="0.2">
      <c r="A3256" s="135">
        <v>10747</v>
      </c>
      <c r="B3256" s="1926" t="s">
        <v>12856</v>
      </c>
      <c r="C3256" s="1926" t="s">
        <v>39</v>
      </c>
      <c r="D3256" s="1926" t="s">
        <v>46</v>
      </c>
      <c r="E3256" s="1662">
        <v>15308.41</v>
      </c>
    </row>
    <row r="3257" spans="1:5" x14ac:dyDescent="0.2">
      <c r="A3257" s="135">
        <v>36141</v>
      </c>
      <c r="B3257" s="1926" t="s">
        <v>12857</v>
      </c>
      <c r="C3257" s="1926" t="s">
        <v>39</v>
      </c>
      <c r="D3257" s="1926" t="s">
        <v>40</v>
      </c>
      <c r="E3257" s="1662">
        <v>31.26</v>
      </c>
    </row>
    <row r="3258" spans="1:5" x14ac:dyDescent="0.2">
      <c r="A3258" s="135">
        <v>39434</v>
      </c>
      <c r="B3258" s="1926" t="s">
        <v>12858</v>
      </c>
      <c r="C3258" s="1926" t="s">
        <v>48</v>
      </c>
      <c r="D3258" s="1926" t="s">
        <v>40</v>
      </c>
      <c r="E3258" s="1662">
        <v>4.22</v>
      </c>
    </row>
    <row r="3259" spans="1:5" x14ac:dyDescent="0.2">
      <c r="A3259" s="135">
        <v>39433</v>
      </c>
      <c r="B3259" s="1926" t="s">
        <v>12859</v>
      </c>
      <c r="C3259" s="1926" t="s">
        <v>48</v>
      </c>
      <c r="D3259" s="1926" t="s">
        <v>40</v>
      </c>
      <c r="E3259" s="1662">
        <v>3.03</v>
      </c>
    </row>
    <row r="3260" spans="1:5" x14ac:dyDescent="0.2">
      <c r="A3260" s="135">
        <v>4049</v>
      </c>
      <c r="B3260" s="1926" t="s">
        <v>12860</v>
      </c>
      <c r="C3260" s="1926" t="s">
        <v>49</v>
      </c>
      <c r="D3260" s="1926" t="s">
        <v>40</v>
      </c>
      <c r="E3260" s="1662">
        <v>46.17</v>
      </c>
    </row>
    <row r="3261" spans="1:5" x14ac:dyDescent="0.2">
      <c r="A3261" s="135">
        <v>38120</v>
      </c>
      <c r="B3261" s="1926" t="s">
        <v>12861</v>
      </c>
      <c r="C3261" s="1926" t="s">
        <v>48</v>
      </c>
      <c r="D3261" s="1926" t="s">
        <v>40</v>
      </c>
      <c r="E3261" s="1662">
        <v>102.55</v>
      </c>
    </row>
    <row r="3262" spans="1:5" x14ac:dyDescent="0.2">
      <c r="A3262" s="135">
        <v>38877</v>
      </c>
      <c r="B3262" s="1926" t="s">
        <v>12862</v>
      </c>
      <c r="C3262" s="1926" t="s">
        <v>48</v>
      </c>
      <c r="D3262" s="1926" t="s">
        <v>40</v>
      </c>
      <c r="E3262" s="1662">
        <v>6.35</v>
      </c>
    </row>
    <row r="3263" spans="1:5" x14ac:dyDescent="0.2">
      <c r="A3263" s="135">
        <v>34546</v>
      </c>
      <c r="B3263" s="1926" t="s">
        <v>12863</v>
      </c>
      <c r="C3263" s="1926" t="s">
        <v>48</v>
      </c>
      <c r="D3263" s="1926" t="s">
        <v>40</v>
      </c>
      <c r="E3263" s="1662">
        <v>6.4</v>
      </c>
    </row>
    <row r="3264" spans="1:5" x14ac:dyDescent="0.2">
      <c r="A3264" s="135">
        <v>10498</v>
      </c>
      <c r="B3264" s="1926" t="s">
        <v>12864</v>
      </c>
      <c r="C3264" s="1926" t="s">
        <v>48</v>
      </c>
      <c r="D3264" s="1926" t="s">
        <v>46</v>
      </c>
      <c r="E3264" s="1662">
        <v>6.78</v>
      </c>
    </row>
    <row r="3265" spans="1:5" x14ac:dyDescent="0.2">
      <c r="A3265" s="135">
        <v>4823</v>
      </c>
      <c r="B3265" s="1926" t="s">
        <v>12865</v>
      </c>
      <c r="C3265" s="1926" t="s">
        <v>48</v>
      </c>
      <c r="D3265" s="1926" t="s">
        <v>40</v>
      </c>
      <c r="E3265" s="1662">
        <v>28.31</v>
      </c>
    </row>
    <row r="3266" spans="1:5" x14ac:dyDescent="0.2">
      <c r="A3266" s="135">
        <v>12357</v>
      </c>
      <c r="B3266" s="1926" t="s">
        <v>12866</v>
      </c>
      <c r="C3266" s="1926" t="s">
        <v>39</v>
      </c>
      <c r="D3266" s="1926" t="s">
        <v>40</v>
      </c>
      <c r="E3266" s="1662">
        <v>174.23</v>
      </c>
    </row>
    <row r="3267" spans="1:5" x14ac:dyDescent="0.2">
      <c r="A3267" s="135">
        <v>12358</v>
      </c>
      <c r="B3267" s="1926" t="s">
        <v>12867</v>
      </c>
      <c r="C3267" s="1926" t="s">
        <v>39</v>
      </c>
      <c r="D3267" s="1926" t="s">
        <v>40</v>
      </c>
      <c r="E3267" s="1662">
        <v>195.98</v>
      </c>
    </row>
    <row r="3268" spans="1:5" x14ac:dyDescent="0.2">
      <c r="A3268" s="135">
        <v>11079</v>
      </c>
      <c r="B3268" s="1926" t="s">
        <v>12868</v>
      </c>
      <c r="C3268" s="1926" t="s">
        <v>44</v>
      </c>
      <c r="D3268" s="1926" t="s">
        <v>40</v>
      </c>
      <c r="E3268" s="1662">
        <v>1009.43</v>
      </c>
    </row>
    <row r="3269" spans="1:5" x14ac:dyDescent="0.2">
      <c r="A3269" s="135">
        <v>11082</v>
      </c>
      <c r="B3269" s="1926" t="s">
        <v>12869</v>
      </c>
      <c r="C3269" s="1926" t="s">
        <v>44</v>
      </c>
      <c r="D3269" s="1926" t="s">
        <v>40</v>
      </c>
      <c r="E3269" s="1662">
        <v>1029.8599999999999</v>
      </c>
    </row>
    <row r="3270" spans="1:5" x14ac:dyDescent="0.2">
      <c r="A3270" s="135">
        <v>4058</v>
      </c>
      <c r="B3270" s="1926" t="s">
        <v>12870</v>
      </c>
      <c r="C3270" s="1926" t="s">
        <v>42</v>
      </c>
      <c r="D3270" s="1926" t="s">
        <v>40</v>
      </c>
      <c r="E3270" s="1662">
        <v>16.010000000000002</v>
      </c>
    </row>
    <row r="3271" spans="1:5" x14ac:dyDescent="0.2">
      <c r="A3271" s="135">
        <v>40974</v>
      </c>
      <c r="B3271" s="1926" t="s">
        <v>12871</v>
      </c>
      <c r="C3271" s="1926" t="s">
        <v>51</v>
      </c>
      <c r="D3271" s="1926" t="s">
        <v>40</v>
      </c>
      <c r="E3271" s="1662">
        <v>2857.11</v>
      </c>
    </row>
    <row r="3272" spans="1:5" x14ac:dyDescent="0.2">
      <c r="A3272" s="135">
        <v>34794</v>
      </c>
      <c r="B3272" s="1926" t="s">
        <v>12872</v>
      </c>
      <c r="C3272" s="1926" t="s">
        <v>42</v>
      </c>
      <c r="D3272" s="1926" t="s">
        <v>40</v>
      </c>
      <c r="E3272" s="1662">
        <v>16.43</v>
      </c>
    </row>
    <row r="3273" spans="1:5" x14ac:dyDescent="0.2">
      <c r="A3273" s="135">
        <v>40925</v>
      </c>
      <c r="B3273" s="1926" t="s">
        <v>12873</v>
      </c>
      <c r="C3273" s="1926" t="s">
        <v>51</v>
      </c>
      <c r="D3273" s="1926" t="s">
        <v>40</v>
      </c>
      <c r="E3273" s="1662">
        <v>2929.97</v>
      </c>
    </row>
    <row r="3274" spans="1:5" x14ac:dyDescent="0.2">
      <c r="A3274" s="135">
        <v>13741</v>
      </c>
      <c r="B3274" s="1926" t="s">
        <v>12874</v>
      </c>
      <c r="C3274" s="1926" t="s">
        <v>39</v>
      </c>
      <c r="D3274" s="1926" t="s">
        <v>40</v>
      </c>
      <c r="E3274" s="1662">
        <v>1961.26</v>
      </c>
    </row>
    <row r="3275" spans="1:5" x14ac:dyDescent="0.2">
      <c r="A3275" s="135">
        <v>3288</v>
      </c>
      <c r="B3275" s="1926" t="s">
        <v>12875</v>
      </c>
      <c r="C3275" s="1926" t="s">
        <v>47</v>
      </c>
      <c r="D3275" s="1926" t="s">
        <v>43</v>
      </c>
      <c r="E3275" s="1662">
        <v>4</v>
      </c>
    </row>
    <row r="3276" spans="1:5" x14ac:dyDescent="0.2">
      <c r="A3276" s="135">
        <v>13587</v>
      </c>
      <c r="B3276" s="1926" t="s">
        <v>12876</v>
      </c>
      <c r="C3276" s="1926" t="s">
        <v>47</v>
      </c>
      <c r="D3276" s="1926" t="s">
        <v>40</v>
      </c>
      <c r="E3276" s="1662">
        <v>2.41</v>
      </c>
    </row>
    <row r="3277" spans="1:5" x14ac:dyDescent="0.2">
      <c r="A3277" s="135">
        <v>38598</v>
      </c>
      <c r="B3277" s="1926" t="s">
        <v>12877</v>
      </c>
      <c r="C3277" s="1926" t="s">
        <v>39</v>
      </c>
      <c r="D3277" s="1926" t="s">
        <v>40</v>
      </c>
      <c r="E3277" s="1662">
        <v>2.12</v>
      </c>
    </row>
    <row r="3278" spans="1:5" x14ac:dyDescent="0.2">
      <c r="A3278" s="135">
        <v>38595</v>
      </c>
      <c r="B3278" s="1926" t="s">
        <v>12878</v>
      </c>
      <c r="C3278" s="1926" t="s">
        <v>39</v>
      </c>
      <c r="D3278" s="1926" t="s">
        <v>40</v>
      </c>
      <c r="E3278" s="1662">
        <v>1.46</v>
      </c>
    </row>
    <row r="3279" spans="1:5" x14ac:dyDescent="0.2">
      <c r="A3279" s="135">
        <v>38592</v>
      </c>
      <c r="B3279" s="1926" t="s">
        <v>12879</v>
      </c>
      <c r="C3279" s="1926" t="s">
        <v>39</v>
      </c>
      <c r="D3279" s="1926" t="s">
        <v>40</v>
      </c>
      <c r="E3279" s="1662">
        <v>1.92</v>
      </c>
    </row>
    <row r="3280" spans="1:5" x14ac:dyDescent="0.2">
      <c r="A3280" s="135">
        <v>38588</v>
      </c>
      <c r="B3280" s="1926" t="s">
        <v>12880</v>
      </c>
      <c r="C3280" s="1926" t="s">
        <v>39</v>
      </c>
      <c r="D3280" s="1926" t="s">
        <v>40</v>
      </c>
      <c r="E3280" s="1662">
        <v>1.21</v>
      </c>
    </row>
    <row r="3281" spans="1:5" x14ac:dyDescent="0.2">
      <c r="A3281" s="135">
        <v>38593</v>
      </c>
      <c r="B3281" s="1926" t="s">
        <v>12881</v>
      </c>
      <c r="C3281" s="1926" t="s">
        <v>39</v>
      </c>
      <c r="D3281" s="1926" t="s">
        <v>40</v>
      </c>
      <c r="E3281" s="1662">
        <v>2.06</v>
      </c>
    </row>
    <row r="3282" spans="1:5" x14ac:dyDescent="0.2">
      <c r="A3282" s="135">
        <v>38589</v>
      </c>
      <c r="B3282" s="1926" t="s">
        <v>12882</v>
      </c>
      <c r="C3282" s="1926" t="s">
        <v>39</v>
      </c>
      <c r="D3282" s="1926" t="s">
        <v>40</v>
      </c>
      <c r="E3282" s="1662">
        <v>1.47</v>
      </c>
    </row>
    <row r="3283" spans="1:5" x14ac:dyDescent="0.2">
      <c r="A3283" s="135">
        <v>38594</v>
      </c>
      <c r="B3283" s="1926" t="s">
        <v>12883</v>
      </c>
      <c r="C3283" s="1926" t="s">
        <v>39</v>
      </c>
      <c r="D3283" s="1926" t="s">
        <v>40</v>
      </c>
      <c r="E3283" s="1662">
        <v>3.06</v>
      </c>
    </row>
    <row r="3284" spans="1:5" x14ac:dyDescent="0.2">
      <c r="A3284" s="135">
        <v>34787</v>
      </c>
      <c r="B3284" s="1926" t="s">
        <v>12884</v>
      </c>
      <c r="C3284" s="1926" t="s">
        <v>39</v>
      </c>
      <c r="D3284" s="1926" t="s">
        <v>40</v>
      </c>
      <c r="E3284" s="1662">
        <v>0.83</v>
      </c>
    </row>
    <row r="3285" spans="1:5" x14ac:dyDescent="0.2">
      <c r="A3285" s="135">
        <v>34788</v>
      </c>
      <c r="B3285" s="1926" t="s">
        <v>12885</v>
      </c>
      <c r="C3285" s="1926" t="s">
        <v>39</v>
      </c>
      <c r="D3285" s="1926" t="s">
        <v>40</v>
      </c>
      <c r="E3285" s="1662">
        <v>0.84</v>
      </c>
    </row>
    <row r="3286" spans="1:5" x14ac:dyDescent="0.2">
      <c r="A3286" s="135">
        <v>34784</v>
      </c>
      <c r="B3286" s="1926" t="s">
        <v>12886</v>
      </c>
      <c r="C3286" s="1926" t="s">
        <v>39</v>
      </c>
      <c r="D3286" s="1926" t="s">
        <v>40</v>
      </c>
      <c r="E3286" s="1662">
        <v>0.92</v>
      </c>
    </row>
    <row r="3287" spans="1:5" x14ac:dyDescent="0.2">
      <c r="A3287" s="135">
        <v>34781</v>
      </c>
      <c r="B3287" s="1926" t="s">
        <v>12887</v>
      </c>
      <c r="C3287" s="1926" t="s">
        <v>39</v>
      </c>
      <c r="D3287" s="1926" t="s">
        <v>40</v>
      </c>
      <c r="E3287" s="1662">
        <v>1.04</v>
      </c>
    </row>
    <row r="3288" spans="1:5" x14ac:dyDescent="0.2">
      <c r="A3288" s="135">
        <v>34773</v>
      </c>
      <c r="B3288" s="1926" t="s">
        <v>12888</v>
      </c>
      <c r="C3288" s="1926" t="s">
        <v>39</v>
      </c>
      <c r="D3288" s="1926" t="s">
        <v>40</v>
      </c>
      <c r="E3288" s="1662">
        <v>1.53</v>
      </c>
    </row>
    <row r="3289" spans="1:5" x14ac:dyDescent="0.2">
      <c r="A3289" s="135">
        <v>34769</v>
      </c>
      <c r="B3289" s="1926" t="s">
        <v>12889</v>
      </c>
      <c r="C3289" s="1926" t="s">
        <v>39</v>
      </c>
      <c r="D3289" s="1926" t="s">
        <v>40</v>
      </c>
      <c r="E3289" s="1662">
        <v>1.77</v>
      </c>
    </row>
    <row r="3290" spans="1:5" x14ac:dyDescent="0.2">
      <c r="A3290" s="135">
        <v>34763</v>
      </c>
      <c r="B3290" s="1926" t="s">
        <v>12890</v>
      </c>
      <c r="C3290" s="1926" t="s">
        <v>39</v>
      </c>
      <c r="D3290" s="1926" t="s">
        <v>40</v>
      </c>
      <c r="E3290" s="1662">
        <v>1.02</v>
      </c>
    </row>
    <row r="3291" spans="1:5" x14ac:dyDescent="0.2">
      <c r="A3291" s="135">
        <v>34774</v>
      </c>
      <c r="B3291" s="1926" t="s">
        <v>12891</v>
      </c>
      <c r="C3291" s="1926" t="s">
        <v>39</v>
      </c>
      <c r="D3291" s="1926" t="s">
        <v>40</v>
      </c>
      <c r="E3291" s="1662">
        <v>1.37</v>
      </c>
    </row>
    <row r="3292" spans="1:5" x14ac:dyDescent="0.2">
      <c r="A3292" s="135">
        <v>34771</v>
      </c>
      <c r="B3292" s="1926" t="s">
        <v>12892</v>
      </c>
      <c r="C3292" s="1926" t="s">
        <v>39</v>
      </c>
      <c r="D3292" s="1926" t="s">
        <v>40</v>
      </c>
      <c r="E3292" s="1662">
        <v>1.57</v>
      </c>
    </row>
    <row r="3293" spans="1:5" x14ac:dyDescent="0.2">
      <c r="A3293" s="135">
        <v>34764</v>
      </c>
      <c r="B3293" s="1926" t="s">
        <v>12893</v>
      </c>
      <c r="C3293" s="1926" t="s">
        <v>39</v>
      </c>
      <c r="D3293" s="1926" t="s">
        <v>40</v>
      </c>
      <c r="E3293" s="1662">
        <v>0.96</v>
      </c>
    </row>
    <row r="3294" spans="1:5" x14ac:dyDescent="0.2">
      <c r="A3294" s="135">
        <v>4062</v>
      </c>
      <c r="B3294" s="1926" t="s">
        <v>12894</v>
      </c>
      <c r="C3294" s="1926" t="s">
        <v>39</v>
      </c>
      <c r="D3294" s="1926" t="s">
        <v>40</v>
      </c>
      <c r="E3294" s="1662">
        <v>14.89</v>
      </c>
    </row>
    <row r="3295" spans="1:5" x14ac:dyDescent="0.2">
      <c r="A3295" s="135">
        <v>4059</v>
      </c>
      <c r="B3295" s="1926" t="s">
        <v>12895</v>
      </c>
      <c r="C3295" s="1926" t="s">
        <v>47</v>
      </c>
      <c r="D3295" s="1926" t="s">
        <v>43</v>
      </c>
      <c r="E3295" s="1662">
        <v>18.059999999999999</v>
      </c>
    </row>
    <row r="3296" spans="1:5" x14ac:dyDescent="0.2">
      <c r="A3296" s="135">
        <v>4061</v>
      </c>
      <c r="B3296" s="1926" t="s">
        <v>12896</v>
      </c>
      <c r="C3296" s="1926" t="s">
        <v>39</v>
      </c>
      <c r="D3296" s="1926" t="s">
        <v>40</v>
      </c>
      <c r="E3296" s="1662">
        <v>14.44</v>
      </c>
    </row>
    <row r="3297" spans="1:5" x14ac:dyDescent="0.2">
      <c r="A3297" s="135">
        <v>41315</v>
      </c>
      <c r="B3297" s="1926" t="s">
        <v>12897</v>
      </c>
      <c r="C3297" s="1926" t="s">
        <v>48</v>
      </c>
      <c r="D3297" s="1926" t="s">
        <v>40</v>
      </c>
      <c r="E3297" s="1662">
        <v>58.33</v>
      </c>
    </row>
    <row r="3298" spans="1:5" x14ac:dyDescent="0.2">
      <c r="A3298" s="135">
        <v>43148</v>
      </c>
      <c r="B3298" s="1926" t="s">
        <v>12898</v>
      </c>
      <c r="C3298" s="1926" t="s">
        <v>48</v>
      </c>
      <c r="D3298" s="1926" t="s">
        <v>40</v>
      </c>
      <c r="E3298" s="1662">
        <v>39.590000000000003</v>
      </c>
    </row>
    <row r="3299" spans="1:5" x14ac:dyDescent="0.2">
      <c r="A3299" s="135">
        <v>43147</v>
      </c>
      <c r="B3299" s="1926" t="s">
        <v>12899</v>
      </c>
      <c r="C3299" s="1926" t="s">
        <v>48</v>
      </c>
      <c r="D3299" s="1926" t="s">
        <v>40</v>
      </c>
      <c r="E3299" s="1662">
        <v>15.33</v>
      </c>
    </row>
    <row r="3300" spans="1:5" x14ac:dyDescent="0.2">
      <c r="A3300" s="135">
        <v>10608</v>
      </c>
      <c r="B3300" s="1926" t="s">
        <v>12900</v>
      </c>
      <c r="C3300" s="1926" t="s">
        <v>39</v>
      </c>
      <c r="D3300" s="1926" t="s">
        <v>46</v>
      </c>
      <c r="E3300" s="1662">
        <v>8402.98</v>
      </c>
    </row>
    <row r="3301" spans="1:5" x14ac:dyDescent="0.2">
      <c r="A3301" s="135">
        <v>4069</v>
      </c>
      <c r="B3301" s="1926" t="s">
        <v>12901</v>
      </c>
      <c r="C3301" s="1926" t="s">
        <v>42</v>
      </c>
      <c r="D3301" s="1926" t="s">
        <v>40</v>
      </c>
      <c r="E3301" s="1662">
        <v>21.45</v>
      </c>
    </row>
    <row r="3302" spans="1:5" x14ac:dyDescent="0.2">
      <c r="A3302" s="135">
        <v>40819</v>
      </c>
      <c r="B3302" s="1926" t="s">
        <v>12902</v>
      </c>
      <c r="C3302" s="1926" t="s">
        <v>51</v>
      </c>
      <c r="D3302" s="1926" t="s">
        <v>40</v>
      </c>
      <c r="E3302" s="1662">
        <v>3826.33</v>
      </c>
    </row>
    <row r="3303" spans="1:5" x14ac:dyDescent="0.2">
      <c r="A3303" s="135">
        <v>34361</v>
      </c>
      <c r="B3303" s="1926" t="s">
        <v>12903</v>
      </c>
      <c r="C3303" s="1926" t="s">
        <v>48</v>
      </c>
      <c r="D3303" s="1926" t="s">
        <v>40</v>
      </c>
      <c r="E3303" s="1662">
        <v>11.16</v>
      </c>
    </row>
    <row r="3304" spans="1:5" x14ac:dyDescent="0.2">
      <c r="A3304" s="135">
        <v>36512</v>
      </c>
      <c r="B3304" s="1926" t="s">
        <v>12904</v>
      </c>
      <c r="C3304" s="1926" t="s">
        <v>39</v>
      </c>
      <c r="D3304" s="1926" t="s">
        <v>46</v>
      </c>
      <c r="E3304" s="1662">
        <v>10925.22</v>
      </c>
    </row>
    <row r="3305" spans="1:5" x14ac:dyDescent="0.2">
      <c r="A3305" s="135">
        <v>25972</v>
      </c>
      <c r="B3305" s="1926" t="s">
        <v>12905</v>
      </c>
      <c r="C3305" s="1926" t="s">
        <v>48</v>
      </c>
      <c r="D3305" s="1926" t="s">
        <v>46</v>
      </c>
      <c r="E3305" s="1662">
        <v>8.8800000000000008</v>
      </c>
    </row>
    <row r="3306" spans="1:5" x14ac:dyDescent="0.2">
      <c r="A3306" s="135">
        <v>25973</v>
      </c>
      <c r="B3306" s="1926" t="s">
        <v>12906</v>
      </c>
      <c r="C3306" s="1926" t="s">
        <v>48</v>
      </c>
      <c r="D3306" s="1926" t="s">
        <v>46</v>
      </c>
      <c r="E3306" s="1662">
        <v>8.8800000000000008</v>
      </c>
    </row>
    <row r="3307" spans="1:5" x14ac:dyDescent="0.2">
      <c r="A3307" s="135">
        <v>11697</v>
      </c>
      <c r="B3307" s="1926" t="s">
        <v>12907</v>
      </c>
      <c r="C3307" s="1926" t="s">
        <v>39</v>
      </c>
      <c r="D3307" s="1926" t="s">
        <v>40</v>
      </c>
      <c r="E3307" s="1662">
        <v>473.49</v>
      </c>
    </row>
    <row r="3308" spans="1:5" x14ac:dyDescent="0.2">
      <c r="A3308" s="135">
        <v>11698</v>
      </c>
      <c r="B3308" s="1926" t="s">
        <v>12908</v>
      </c>
      <c r="C3308" s="1926" t="s">
        <v>39</v>
      </c>
      <c r="D3308" s="1926" t="s">
        <v>40</v>
      </c>
      <c r="E3308" s="1662">
        <v>564.85</v>
      </c>
    </row>
    <row r="3309" spans="1:5" x14ac:dyDescent="0.2">
      <c r="A3309" s="135">
        <v>11699</v>
      </c>
      <c r="B3309" s="1926" t="s">
        <v>12909</v>
      </c>
      <c r="C3309" s="1926" t="s">
        <v>39</v>
      </c>
      <c r="D3309" s="1926" t="s">
        <v>40</v>
      </c>
      <c r="E3309" s="1662">
        <v>624.29</v>
      </c>
    </row>
    <row r="3310" spans="1:5" x14ac:dyDescent="0.2">
      <c r="A3310" s="135">
        <v>10432</v>
      </c>
      <c r="B3310" s="1926" t="s">
        <v>12910</v>
      </c>
      <c r="C3310" s="1926" t="s">
        <v>39</v>
      </c>
      <c r="D3310" s="1926" t="s">
        <v>40</v>
      </c>
      <c r="E3310" s="1662">
        <v>254.84</v>
      </c>
    </row>
    <row r="3311" spans="1:5" x14ac:dyDescent="0.2">
      <c r="A3311" s="135">
        <v>10430</v>
      </c>
      <c r="B3311" s="1926" t="s">
        <v>12911</v>
      </c>
      <c r="C3311" s="1926" t="s">
        <v>39</v>
      </c>
      <c r="D3311" s="1926" t="s">
        <v>40</v>
      </c>
      <c r="E3311" s="1662">
        <v>274.45999999999998</v>
      </c>
    </row>
    <row r="3312" spans="1:5" x14ac:dyDescent="0.2">
      <c r="A3312" s="135">
        <v>37514</v>
      </c>
      <c r="B3312" s="1926" t="s">
        <v>12912</v>
      </c>
      <c r="C3312" s="1926" t="s">
        <v>39</v>
      </c>
      <c r="D3312" s="1926" t="s">
        <v>46</v>
      </c>
      <c r="E3312" s="1662">
        <v>148371.38</v>
      </c>
    </row>
    <row r="3313" spans="1:5" x14ac:dyDescent="0.2">
      <c r="A3313" s="135">
        <v>37519</v>
      </c>
      <c r="B3313" s="1926" t="s">
        <v>12913</v>
      </c>
      <c r="C3313" s="1926" t="s">
        <v>39</v>
      </c>
      <c r="D3313" s="1926" t="s">
        <v>46</v>
      </c>
      <c r="E3313" s="1662">
        <v>228980.57</v>
      </c>
    </row>
    <row r="3314" spans="1:5" x14ac:dyDescent="0.2">
      <c r="A3314" s="135">
        <v>37520</v>
      </c>
      <c r="B3314" s="1926" t="s">
        <v>12914</v>
      </c>
      <c r="C3314" s="1926" t="s">
        <v>39</v>
      </c>
      <c r="D3314" s="1926" t="s">
        <v>46</v>
      </c>
      <c r="E3314" s="1662">
        <v>225226.79</v>
      </c>
    </row>
    <row r="3315" spans="1:5" x14ac:dyDescent="0.2">
      <c r="A3315" s="135">
        <v>37521</v>
      </c>
      <c r="B3315" s="1926" t="s">
        <v>12915</v>
      </c>
      <c r="C3315" s="1926" t="s">
        <v>39</v>
      </c>
      <c r="D3315" s="1926" t="s">
        <v>46</v>
      </c>
      <c r="E3315" s="1662">
        <v>274776.68</v>
      </c>
    </row>
    <row r="3316" spans="1:5" x14ac:dyDescent="0.2">
      <c r="A3316" s="135">
        <v>37522</v>
      </c>
      <c r="B3316" s="1926" t="s">
        <v>12916</v>
      </c>
      <c r="C3316" s="1926" t="s">
        <v>39</v>
      </c>
      <c r="D3316" s="1926" t="s">
        <v>46</v>
      </c>
      <c r="E3316" s="1662">
        <v>283043.55</v>
      </c>
    </row>
    <row r="3317" spans="1:5" x14ac:dyDescent="0.2">
      <c r="A3317" s="135">
        <v>21109</v>
      </c>
      <c r="B3317" s="1926" t="s">
        <v>12917</v>
      </c>
      <c r="C3317" s="1926" t="s">
        <v>39</v>
      </c>
      <c r="D3317" s="1926" t="s">
        <v>46</v>
      </c>
      <c r="E3317" s="1662">
        <v>55.88</v>
      </c>
    </row>
    <row r="3318" spans="1:5" x14ac:dyDescent="0.2">
      <c r="A3318" s="135">
        <v>36800</v>
      </c>
      <c r="B3318" s="1926" t="s">
        <v>12918</v>
      </c>
      <c r="C3318" s="1926" t="s">
        <v>39</v>
      </c>
      <c r="D3318" s="1926" t="s">
        <v>40</v>
      </c>
      <c r="E3318" s="1662">
        <v>78.040000000000006</v>
      </c>
    </row>
    <row r="3319" spans="1:5" x14ac:dyDescent="0.2">
      <c r="A3319" s="135">
        <v>11769</v>
      </c>
      <c r="B3319" s="1926" t="s">
        <v>12919</v>
      </c>
      <c r="C3319" s="1926" t="s">
        <v>39</v>
      </c>
      <c r="D3319" s="1926" t="s">
        <v>40</v>
      </c>
      <c r="E3319" s="1662">
        <v>191.24</v>
      </c>
    </row>
    <row r="3320" spans="1:5" x14ac:dyDescent="0.2">
      <c r="A3320" s="135">
        <v>36793</v>
      </c>
      <c r="B3320" s="1926" t="s">
        <v>12920</v>
      </c>
      <c r="C3320" s="1926" t="s">
        <v>39</v>
      </c>
      <c r="D3320" s="1926" t="s">
        <v>40</v>
      </c>
      <c r="E3320" s="1662">
        <v>309.64</v>
      </c>
    </row>
    <row r="3321" spans="1:5" x14ac:dyDescent="0.2">
      <c r="A3321" s="135">
        <v>37546</v>
      </c>
      <c r="B3321" s="1926" t="s">
        <v>12921</v>
      </c>
      <c r="C3321" s="1926" t="s">
        <v>39</v>
      </c>
      <c r="D3321" s="1926" t="s">
        <v>40</v>
      </c>
      <c r="E3321" s="1662">
        <v>9522.68</v>
      </c>
    </row>
    <row r="3322" spans="1:5" x14ac:dyDescent="0.2">
      <c r="A3322" s="135">
        <v>37544</v>
      </c>
      <c r="B3322" s="1926" t="s">
        <v>12922</v>
      </c>
      <c r="C3322" s="1926" t="s">
        <v>39</v>
      </c>
      <c r="D3322" s="1926" t="s">
        <v>40</v>
      </c>
      <c r="E3322" s="1662">
        <v>10071.84</v>
      </c>
    </row>
    <row r="3323" spans="1:5" x14ac:dyDescent="0.2">
      <c r="A3323" s="135">
        <v>37545</v>
      </c>
      <c r="B3323" s="1926" t="s">
        <v>12923</v>
      </c>
      <c r="C3323" s="1926" t="s">
        <v>39</v>
      </c>
      <c r="D3323" s="1926" t="s">
        <v>40</v>
      </c>
      <c r="E3323" s="1662">
        <v>11984.14</v>
      </c>
    </row>
    <row r="3324" spans="1:5" x14ac:dyDescent="0.2">
      <c r="A3324" s="135">
        <v>11771</v>
      </c>
      <c r="B3324" s="1926" t="s">
        <v>12924</v>
      </c>
      <c r="C3324" s="1926" t="s">
        <v>39</v>
      </c>
      <c r="D3324" s="1926" t="s">
        <v>40</v>
      </c>
      <c r="E3324" s="1662">
        <v>237.22</v>
      </c>
    </row>
    <row r="3325" spans="1:5" x14ac:dyDescent="0.2">
      <c r="A3325" s="135">
        <v>39919</v>
      </c>
      <c r="B3325" s="1926" t="s">
        <v>12925</v>
      </c>
      <c r="C3325" s="1926" t="s">
        <v>39</v>
      </c>
      <c r="D3325" s="1926" t="s">
        <v>40</v>
      </c>
      <c r="E3325" s="1662">
        <v>47666.31</v>
      </c>
    </row>
    <row r="3326" spans="1:5" x14ac:dyDescent="0.2">
      <c r="A3326" s="135">
        <v>38385</v>
      </c>
      <c r="B3326" s="1926" t="s">
        <v>12926</v>
      </c>
      <c r="C3326" s="1926" t="s">
        <v>39</v>
      </c>
      <c r="D3326" s="1926" t="s">
        <v>40</v>
      </c>
      <c r="E3326" s="1662">
        <v>37.1</v>
      </c>
    </row>
    <row r="3327" spans="1:5" x14ac:dyDescent="0.2">
      <c r="A3327" s="135">
        <v>37587</v>
      </c>
      <c r="B3327" s="1926" t="s">
        <v>12927</v>
      </c>
      <c r="C3327" s="1926" t="s">
        <v>39</v>
      </c>
      <c r="D3327" s="1926" t="s">
        <v>40</v>
      </c>
      <c r="E3327" s="1662">
        <v>215.76</v>
      </c>
    </row>
    <row r="3328" spans="1:5" x14ac:dyDescent="0.2">
      <c r="A3328" s="135">
        <v>11561</v>
      </c>
      <c r="B3328" s="1926" t="s">
        <v>12928</v>
      </c>
      <c r="C3328" s="1926" t="s">
        <v>39</v>
      </c>
      <c r="D3328" s="1926" t="s">
        <v>40</v>
      </c>
      <c r="E3328" s="1662">
        <v>132.04</v>
      </c>
    </row>
    <row r="3329" spans="1:5" x14ac:dyDescent="0.2">
      <c r="A3329" s="135">
        <v>11560</v>
      </c>
      <c r="B3329" s="1926" t="s">
        <v>12929</v>
      </c>
      <c r="C3329" s="1926" t="s">
        <v>39</v>
      </c>
      <c r="D3329" s="1926" t="s">
        <v>40</v>
      </c>
      <c r="E3329" s="1662">
        <v>112.39</v>
      </c>
    </row>
    <row r="3330" spans="1:5" x14ac:dyDescent="0.2">
      <c r="A3330" s="135">
        <v>11499</v>
      </c>
      <c r="B3330" s="1926" t="s">
        <v>12930</v>
      </c>
      <c r="C3330" s="1926" t="s">
        <v>39</v>
      </c>
      <c r="D3330" s="1926" t="s">
        <v>40</v>
      </c>
      <c r="E3330" s="1662">
        <v>1258.67</v>
      </c>
    </row>
    <row r="3331" spans="1:5" x14ac:dyDescent="0.2">
      <c r="A3331" s="135">
        <v>34761</v>
      </c>
      <c r="B3331" s="1926" t="s">
        <v>12931</v>
      </c>
      <c r="C3331" s="1926" t="s">
        <v>42</v>
      </c>
      <c r="D3331" s="1926" t="s">
        <v>40</v>
      </c>
      <c r="E3331" s="1662">
        <v>13.36</v>
      </c>
    </row>
    <row r="3332" spans="1:5" x14ac:dyDescent="0.2">
      <c r="A3332" s="135">
        <v>40924</v>
      </c>
      <c r="B3332" s="1926" t="s">
        <v>12932</v>
      </c>
      <c r="C3332" s="1926" t="s">
        <v>51</v>
      </c>
      <c r="D3332" s="1926" t="s">
        <v>40</v>
      </c>
      <c r="E3332" s="1662">
        <v>2383.86</v>
      </c>
    </row>
    <row r="3333" spans="1:5" x14ac:dyDescent="0.2">
      <c r="A3333" s="135">
        <v>25957</v>
      </c>
      <c r="B3333" s="1926" t="s">
        <v>12933</v>
      </c>
      <c r="C3333" s="1926" t="s">
        <v>42</v>
      </c>
      <c r="D3333" s="1926" t="s">
        <v>40</v>
      </c>
      <c r="E3333" s="1662">
        <v>10.39</v>
      </c>
    </row>
    <row r="3334" spans="1:5" x14ac:dyDescent="0.2">
      <c r="A3334" s="135">
        <v>40983</v>
      </c>
      <c r="B3334" s="1926" t="s">
        <v>12934</v>
      </c>
      <c r="C3334" s="1926" t="s">
        <v>51</v>
      </c>
      <c r="D3334" s="1926" t="s">
        <v>40</v>
      </c>
      <c r="E3334" s="1662">
        <v>1854.93</v>
      </c>
    </row>
    <row r="3335" spans="1:5" x14ac:dyDescent="0.2">
      <c r="A3335" s="135">
        <v>2437</v>
      </c>
      <c r="B3335" s="1926" t="s">
        <v>12935</v>
      </c>
      <c r="C3335" s="1926" t="s">
        <v>42</v>
      </c>
      <c r="D3335" s="1926" t="s">
        <v>40</v>
      </c>
      <c r="E3335" s="1662">
        <v>14.89</v>
      </c>
    </row>
    <row r="3336" spans="1:5" x14ac:dyDescent="0.2">
      <c r="A3336" s="135">
        <v>40921</v>
      </c>
      <c r="B3336" s="1926" t="s">
        <v>12936</v>
      </c>
      <c r="C3336" s="1926" t="s">
        <v>51</v>
      </c>
      <c r="D3336" s="1926" t="s">
        <v>40</v>
      </c>
      <c r="E3336" s="1662">
        <v>2657.23</v>
      </c>
    </row>
    <row r="3337" spans="1:5" x14ac:dyDescent="0.2">
      <c r="A3337" s="135">
        <v>14252</v>
      </c>
      <c r="B3337" s="1926" t="s">
        <v>12937</v>
      </c>
      <c r="C3337" s="1926" t="s">
        <v>39</v>
      </c>
      <c r="D3337" s="1926" t="s">
        <v>40</v>
      </c>
      <c r="E3337" s="1662">
        <v>1773.6</v>
      </c>
    </row>
    <row r="3338" spans="1:5" x14ac:dyDescent="0.2">
      <c r="A3338" s="135">
        <v>730</v>
      </c>
      <c r="B3338" s="1926" t="s">
        <v>12938</v>
      </c>
      <c r="C3338" s="1926" t="s">
        <v>39</v>
      </c>
      <c r="D3338" s="1926" t="s">
        <v>40</v>
      </c>
      <c r="E3338" s="1662">
        <v>4738.72</v>
      </c>
    </row>
    <row r="3339" spans="1:5" x14ac:dyDescent="0.2">
      <c r="A3339" s="135">
        <v>723</v>
      </c>
      <c r="B3339" s="1926" t="s">
        <v>12939</v>
      </c>
      <c r="C3339" s="1926" t="s">
        <v>39</v>
      </c>
      <c r="D3339" s="1926" t="s">
        <v>40</v>
      </c>
      <c r="E3339" s="1662">
        <v>2355.31</v>
      </c>
    </row>
    <row r="3340" spans="1:5" x14ac:dyDescent="0.2">
      <c r="A3340" s="135">
        <v>36502</v>
      </c>
      <c r="B3340" s="1926" t="s">
        <v>12940</v>
      </c>
      <c r="C3340" s="1926" t="s">
        <v>39</v>
      </c>
      <c r="D3340" s="1926" t="s">
        <v>40</v>
      </c>
      <c r="E3340" s="1662">
        <v>2213.71</v>
      </c>
    </row>
    <row r="3341" spans="1:5" x14ac:dyDescent="0.2">
      <c r="A3341" s="135">
        <v>36503</v>
      </c>
      <c r="B3341" s="1926" t="s">
        <v>12941</v>
      </c>
      <c r="C3341" s="1926" t="s">
        <v>39</v>
      </c>
      <c r="D3341" s="1926" t="s">
        <v>40</v>
      </c>
      <c r="E3341" s="1662">
        <v>2729.77</v>
      </c>
    </row>
    <row r="3342" spans="1:5" x14ac:dyDescent="0.2">
      <c r="A3342" s="135">
        <v>4090</v>
      </c>
      <c r="B3342" s="1926" t="s">
        <v>12942</v>
      </c>
      <c r="C3342" s="1926" t="s">
        <v>39</v>
      </c>
      <c r="D3342" s="1926" t="s">
        <v>46</v>
      </c>
      <c r="E3342" s="1662">
        <v>538000</v>
      </c>
    </row>
    <row r="3343" spans="1:5" x14ac:dyDescent="0.2">
      <c r="A3343" s="135">
        <v>13227</v>
      </c>
      <c r="B3343" s="1926" t="s">
        <v>12943</v>
      </c>
      <c r="C3343" s="1926" t="s">
        <v>39</v>
      </c>
      <c r="D3343" s="1926" t="s">
        <v>46</v>
      </c>
      <c r="E3343" s="1662">
        <v>668532.07999999996</v>
      </c>
    </row>
    <row r="3344" spans="1:5" x14ac:dyDescent="0.2">
      <c r="A3344" s="135">
        <v>10597</v>
      </c>
      <c r="B3344" s="1926" t="s">
        <v>12944</v>
      </c>
      <c r="C3344" s="1926" t="s">
        <v>39</v>
      </c>
      <c r="D3344" s="1926" t="s">
        <v>46</v>
      </c>
      <c r="E3344" s="1662">
        <v>703716.26</v>
      </c>
    </row>
    <row r="3345" spans="1:5" x14ac:dyDescent="0.2">
      <c r="A3345" s="135">
        <v>39628</v>
      </c>
      <c r="B3345" s="1926" t="s">
        <v>12945</v>
      </c>
      <c r="C3345" s="1926" t="s">
        <v>39</v>
      </c>
      <c r="D3345" s="1926" t="s">
        <v>46</v>
      </c>
      <c r="E3345" s="1662">
        <v>2994.91</v>
      </c>
    </row>
    <row r="3346" spans="1:5" x14ac:dyDescent="0.2">
      <c r="A3346" s="135">
        <v>39404</v>
      </c>
      <c r="B3346" s="1926" t="s">
        <v>12946</v>
      </c>
      <c r="C3346" s="1926" t="s">
        <v>39</v>
      </c>
      <c r="D3346" s="1926" t="s">
        <v>46</v>
      </c>
      <c r="E3346" s="1662">
        <v>1485.08</v>
      </c>
    </row>
    <row r="3347" spans="1:5" x14ac:dyDescent="0.2">
      <c r="A3347" s="135">
        <v>39402</v>
      </c>
      <c r="B3347" s="1926" t="s">
        <v>12947</v>
      </c>
      <c r="C3347" s="1926" t="s">
        <v>39</v>
      </c>
      <c r="D3347" s="1926" t="s">
        <v>46</v>
      </c>
      <c r="E3347" s="1662">
        <v>1223.42</v>
      </c>
    </row>
    <row r="3348" spans="1:5" x14ac:dyDescent="0.2">
      <c r="A3348" s="135">
        <v>39403</v>
      </c>
      <c r="B3348" s="1926" t="s">
        <v>12948</v>
      </c>
      <c r="C3348" s="1926" t="s">
        <v>39</v>
      </c>
      <c r="D3348" s="1926" t="s">
        <v>46</v>
      </c>
      <c r="E3348" s="1662">
        <v>1196.81</v>
      </c>
    </row>
    <row r="3349" spans="1:5" x14ac:dyDescent="0.2">
      <c r="A3349" s="135">
        <v>4093</v>
      </c>
      <c r="B3349" s="1926" t="s">
        <v>12949</v>
      </c>
      <c r="C3349" s="1926" t="s">
        <v>42</v>
      </c>
      <c r="D3349" s="1926" t="s">
        <v>40</v>
      </c>
      <c r="E3349" s="1662">
        <v>11.62</v>
      </c>
    </row>
    <row r="3350" spans="1:5" x14ac:dyDescent="0.2">
      <c r="A3350" s="135">
        <v>10512</v>
      </c>
      <c r="B3350" s="1926" t="s">
        <v>12950</v>
      </c>
      <c r="C3350" s="1926" t="s">
        <v>51</v>
      </c>
      <c r="D3350" s="1926" t="s">
        <v>40</v>
      </c>
      <c r="E3350" s="1662">
        <v>2073.84</v>
      </c>
    </row>
    <row r="3351" spans="1:5" x14ac:dyDescent="0.2">
      <c r="A3351" s="135">
        <v>20020</v>
      </c>
      <c r="B3351" s="1926" t="s">
        <v>12951</v>
      </c>
      <c r="C3351" s="1926" t="s">
        <v>42</v>
      </c>
      <c r="D3351" s="1926" t="s">
        <v>40</v>
      </c>
      <c r="E3351" s="1662">
        <v>10.96</v>
      </c>
    </row>
    <row r="3352" spans="1:5" x14ac:dyDescent="0.2">
      <c r="A3352" s="135">
        <v>41038</v>
      </c>
      <c r="B3352" s="1926" t="s">
        <v>12952</v>
      </c>
      <c r="C3352" s="1926" t="s">
        <v>51</v>
      </c>
      <c r="D3352" s="1926" t="s">
        <v>40</v>
      </c>
      <c r="E3352" s="1662">
        <v>1956.16</v>
      </c>
    </row>
    <row r="3353" spans="1:5" x14ac:dyDescent="0.2">
      <c r="A3353" s="135">
        <v>4094</v>
      </c>
      <c r="B3353" s="1926" t="s">
        <v>12953</v>
      </c>
      <c r="C3353" s="1926" t="s">
        <v>42</v>
      </c>
      <c r="D3353" s="1926" t="s">
        <v>40</v>
      </c>
      <c r="E3353" s="1662">
        <v>15.51</v>
      </c>
    </row>
    <row r="3354" spans="1:5" x14ac:dyDescent="0.2">
      <c r="A3354" s="135">
        <v>40988</v>
      </c>
      <c r="B3354" s="1926" t="s">
        <v>12954</v>
      </c>
      <c r="C3354" s="1926" t="s">
        <v>51</v>
      </c>
      <c r="D3354" s="1926" t="s">
        <v>40</v>
      </c>
      <c r="E3354" s="1662">
        <v>2769.49</v>
      </c>
    </row>
    <row r="3355" spans="1:5" x14ac:dyDescent="0.2">
      <c r="A3355" s="135">
        <v>4095</v>
      </c>
      <c r="B3355" s="1926" t="s">
        <v>12955</v>
      </c>
      <c r="C3355" s="1926" t="s">
        <v>42</v>
      </c>
      <c r="D3355" s="1926" t="s">
        <v>40</v>
      </c>
      <c r="E3355" s="1662">
        <v>10.72</v>
      </c>
    </row>
    <row r="3356" spans="1:5" x14ac:dyDescent="0.2">
      <c r="A3356" s="135">
        <v>40990</v>
      </c>
      <c r="B3356" s="1926" t="s">
        <v>12956</v>
      </c>
      <c r="C3356" s="1926" t="s">
        <v>51</v>
      </c>
      <c r="D3356" s="1926" t="s">
        <v>40</v>
      </c>
      <c r="E3356" s="1662">
        <v>1913.47</v>
      </c>
    </row>
    <row r="3357" spans="1:5" x14ac:dyDescent="0.2">
      <c r="A3357" s="135">
        <v>4097</v>
      </c>
      <c r="B3357" s="1926" t="s">
        <v>12957</v>
      </c>
      <c r="C3357" s="1926" t="s">
        <v>42</v>
      </c>
      <c r="D3357" s="1926" t="s">
        <v>40</v>
      </c>
      <c r="E3357" s="1662">
        <v>10.65</v>
      </c>
    </row>
    <row r="3358" spans="1:5" x14ac:dyDescent="0.2">
      <c r="A3358" s="135">
        <v>40994</v>
      </c>
      <c r="B3358" s="1926" t="s">
        <v>12958</v>
      </c>
      <c r="C3358" s="1926" t="s">
        <v>51</v>
      </c>
      <c r="D3358" s="1926" t="s">
        <v>40</v>
      </c>
      <c r="E3358" s="1662">
        <v>1902.13</v>
      </c>
    </row>
    <row r="3359" spans="1:5" x14ac:dyDescent="0.2">
      <c r="A3359" s="135">
        <v>4096</v>
      </c>
      <c r="B3359" s="1926" t="s">
        <v>12959</v>
      </c>
      <c r="C3359" s="1926" t="s">
        <v>42</v>
      </c>
      <c r="D3359" s="1926" t="s">
        <v>40</v>
      </c>
      <c r="E3359" s="1662">
        <v>10.72</v>
      </c>
    </row>
    <row r="3360" spans="1:5" x14ac:dyDescent="0.2">
      <c r="A3360" s="135">
        <v>40992</v>
      </c>
      <c r="B3360" s="1926" t="s">
        <v>12960</v>
      </c>
      <c r="C3360" s="1926" t="s">
        <v>51</v>
      </c>
      <c r="D3360" s="1926" t="s">
        <v>40</v>
      </c>
      <c r="E3360" s="1662">
        <v>1913.47</v>
      </c>
    </row>
    <row r="3361" spans="1:5" x14ac:dyDescent="0.2">
      <c r="A3361" s="135">
        <v>13955</v>
      </c>
      <c r="B3361" s="1926" t="s">
        <v>12961</v>
      </c>
      <c r="C3361" s="1926" t="s">
        <v>39</v>
      </c>
      <c r="D3361" s="1926" t="s">
        <v>46</v>
      </c>
      <c r="E3361" s="1662">
        <v>2507.94</v>
      </c>
    </row>
    <row r="3362" spans="1:5" x14ac:dyDescent="0.2">
      <c r="A3362" s="135">
        <v>4114</v>
      </c>
      <c r="B3362" s="1926" t="s">
        <v>12962</v>
      </c>
      <c r="C3362" s="1926" t="s">
        <v>39</v>
      </c>
      <c r="D3362" s="1926" t="s">
        <v>40</v>
      </c>
      <c r="E3362" s="1662">
        <v>45.32</v>
      </c>
    </row>
    <row r="3363" spans="1:5" x14ac:dyDescent="0.2">
      <c r="A3363" s="135">
        <v>36797</v>
      </c>
      <c r="B3363" s="1926" t="s">
        <v>12963</v>
      </c>
      <c r="C3363" s="1926" t="s">
        <v>39</v>
      </c>
      <c r="D3363" s="1926" t="s">
        <v>40</v>
      </c>
      <c r="E3363" s="1662">
        <v>39.630000000000003</v>
      </c>
    </row>
    <row r="3364" spans="1:5" x14ac:dyDescent="0.2">
      <c r="A3364" s="135">
        <v>4107</v>
      </c>
      <c r="B3364" s="1926" t="s">
        <v>12964</v>
      </c>
      <c r="C3364" s="1926" t="s">
        <v>39</v>
      </c>
      <c r="D3364" s="1926" t="s">
        <v>40</v>
      </c>
      <c r="E3364" s="1662">
        <v>38.159999999999997</v>
      </c>
    </row>
    <row r="3365" spans="1:5" x14ac:dyDescent="0.2">
      <c r="A3365" s="135">
        <v>36799</v>
      </c>
      <c r="B3365" s="1926" t="s">
        <v>12965</v>
      </c>
      <c r="C3365" s="1926" t="s">
        <v>39</v>
      </c>
      <c r="D3365" s="1926" t="s">
        <v>40</v>
      </c>
      <c r="E3365" s="1662">
        <v>36.43</v>
      </c>
    </row>
    <row r="3366" spans="1:5" x14ac:dyDescent="0.2">
      <c r="A3366" s="135">
        <v>4108</v>
      </c>
      <c r="B3366" s="1926" t="s">
        <v>12966</v>
      </c>
      <c r="C3366" s="1926" t="s">
        <v>39</v>
      </c>
      <c r="D3366" s="1926" t="s">
        <v>40</v>
      </c>
      <c r="E3366" s="1662">
        <v>30.68</v>
      </c>
    </row>
    <row r="3367" spans="1:5" x14ac:dyDescent="0.2">
      <c r="A3367" s="135">
        <v>4102</v>
      </c>
      <c r="B3367" s="1926" t="s">
        <v>12967</v>
      </c>
      <c r="C3367" s="1926" t="s">
        <v>39</v>
      </c>
      <c r="D3367" s="1926" t="s">
        <v>43</v>
      </c>
      <c r="E3367" s="1662">
        <v>45.64</v>
      </c>
    </row>
    <row r="3368" spans="1:5" x14ac:dyDescent="0.2">
      <c r="A3368" s="135">
        <v>10826</v>
      </c>
      <c r="B3368" s="1926" t="s">
        <v>12968</v>
      </c>
      <c r="C3368" s="1926" t="s">
        <v>39</v>
      </c>
      <c r="D3368" s="1926" t="s">
        <v>40</v>
      </c>
      <c r="E3368" s="1662">
        <v>47.98</v>
      </c>
    </row>
    <row r="3369" spans="1:5" x14ac:dyDescent="0.2">
      <c r="A3369" s="135">
        <v>365</v>
      </c>
      <c r="B3369" s="1926" t="s">
        <v>12969</v>
      </c>
      <c r="C3369" s="1926" t="s">
        <v>39</v>
      </c>
      <c r="D3369" s="1926" t="s">
        <v>40</v>
      </c>
      <c r="E3369" s="1662">
        <v>29.75</v>
      </c>
    </row>
    <row r="3370" spans="1:5" x14ac:dyDescent="0.2">
      <c r="A3370" s="135">
        <v>38639</v>
      </c>
      <c r="B3370" s="1926" t="s">
        <v>12970</v>
      </c>
      <c r="C3370" s="1926" t="s">
        <v>39</v>
      </c>
      <c r="D3370" s="1926" t="s">
        <v>40</v>
      </c>
      <c r="E3370" s="1662">
        <v>115.17</v>
      </c>
    </row>
    <row r="3371" spans="1:5" x14ac:dyDescent="0.2">
      <c r="A3371" s="135">
        <v>38640</v>
      </c>
      <c r="B3371" s="1926" t="s">
        <v>12971</v>
      </c>
      <c r="C3371" s="1926" t="s">
        <v>39</v>
      </c>
      <c r="D3371" s="1926" t="s">
        <v>40</v>
      </c>
      <c r="E3371" s="1662">
        <v>1.72</v>
      </c>
    </row>
    <row r="3372" spans="1:5" x14ac:dyDescent="0.2">
      <c r="A3372" s="135">
        <v>358</v>
      </c>
      <c r="B3372" s="1926" t="s">
        <v>12972</v>
      </c>
      <c r="C3372" s="1926" t="s">
        <v>39</v>
      </c>
      <c r="D3372" s="1926" t="s">
        <v>40</v>
      </c>
      <c r="E3372" s="1662">
        <v>35.51</v>
      </c>
    </row>
    <row r="3373" spans="1:5" x14ac:dyDescent="0.2">
      <c r="A3373" s="135">
        <v>359</v>
      </c>
      <c r="B3373" s="1926" t="s">
        <v>12973</v>
      </c>
      <c r="C3373" s="1926" t="s">
        <v>39</v>
      </c>
      <c r="D3373" s="1926" t="s">
        <v>40</v>
      </c>
      <c r="E3373" s="1662">
        <v>72.94</v>
      </c>
    </row>
    <row r="3374" spans="1:5" x14ac:dyDescent="0.2">
      <c r="A3374" s="135">
        <v>38641</v>
      </c>
      <c r="B3374" s="1926" t="s">
        <v>12974</v>
      </c>
      <c r="C3374" s="1926" t="s">
        <v>39</v>
      </c>
      <c r="D3374" s="1926" t="s">
        <v>40</v>
      </c>
      <c r="E3374" s="1662">
        <v>71.98</v>
      </c>
    </row>
    <row r="3375" spans="1:5" x14ac:dyDescent="0.2">
      <c r="A3375" s="135">
        <v>360</v>
      </c>
      <c r="B3375" s="1926" t="s">
        <v>12975</v>
      </c>
      <c r="C3375" s="1926" t="s">
        <v>39</v>
      </c>
      <c r="D3375" s="1926" t="s">
        <v>43</v>
      </c>
      <c r="E3375" s="1662">
        <v>1.67</v>
      </c>
    </row>
    <row r="3376" spans="1:5" x14ac:dyDescent="0.2">
      <c r="A3376" s="135">
        <v>4127</v>
      </c>
      <c r="B3376" s="1926" t="s">
        <v>12976</v>
      </c>
      <c r="C3376" s="1926" t="s">
        <v>39</v>
      </c>
      <c r="D3376" s="1926" t="s">
        <v>46</v>
      </c>
      <c r="E3376" s="1662">
        <v>202.03</v>
      </c>
    </row>
    <row r="3377" spans="1:5" x14ac:dyDescent="0.2">
      <c r="A3377" s="135">
        <v>4154</v>
      </c>
      <c r="B3377" s="1926" t="s">
        <v>12977</v>
      </c>
      <c r="C3377" s="1926" t="s">
        <v>39</v>
      </c>
      <c r="D3377" s="1926" t="s">
        <v>46</v>
      </c>
      <c r="E3377" s="1662">
        <v>246.84</v>
      </c>
    </row>
    <row r="3378" spans="1:5" x14ac:dyDescent="0.2">
      <c r="A3378" s="135">
        <v>4168</v>
      </c>
      <c r="B3378" s="1926" t="s">
        <v>12978</v>
      </c>
      <c r="C3378" s="1926" t="s">
        <v>39</v>
      </c>
      <c r="D3378" s="1926" t="s">
        <v>46</v>
      </c>
      <c r="E3378" s="1662">
        <v>260.69</v>
      </c>
    </row>
    <row r="3379" spans="1:5" x14ac:dyDescent="0.2">
      <c r="A3379" s="135">
        <v>4161</v>
      </c>
      <c r="B3379" s="1926" t="s">
        <v>12979</v>
      </c>
      <c r="C3379" s="1926" t="s">
        <v>39</v>
      </c>
      <c r="D3379" s="1926" t="s">
        <v>46</v>
      </c>
      <c r="E3379" s="1662">
        <v>250.91</v>
      </c>
    </row>
    <row r="3380" spans="1:5" x14ac:dyDescent="0.2">
      <c r="A3380" s="135">
        <v>42430</v>
      </c>
      <c r="B3380" s="1926" t="s">
        <v>12980</v>
      </c>
      <c r="C3380" s="1926" t="s">
        <v>39</v>
      </c>
      <c r="D3380" s="1926" t="s">
        <v>46</v>
      </c>
      <c r="E3380" s="1662">
        <v>3683.17</v>
      </c>
    </row>
    <row r="3381" spans="1:5" x14ac:dyDescent="0.2">
      <c r="A3381" s="135">
        <v>4214</v>
      </c>
      <c r="B3381" s="1926" t="s">
        <v>12981</v>
      </c>
      <c r="C3381" s="1926" t="s">
        <v>39</v>
      </c>
      <c r="D3381" s="1926" t="s">
        <v>40</v>
      </c>
      <c r="E3381" s="1662">
        <v>6.89</v>
      </c>
    </row>
    <row r="3382" spans="1:5" x14ac:dyDescent="0.2">
      <c r="A3382" s="135">
        <v>4215</v>
      </c>
      <c r="B3382" s="1926" t="s">
        <v>12982</v>
      </c>
      <c r="C3382" s="1926" t="s">
        <v>39</v>
      </c>
      <c r="D3382" s="1926" t="s">
        <v>40</v>
      </c>
      <c r="E3382" s="1662">
        <v>4.53</v>
      </c>
    </row>
    <row r="3383" spans="1:5" x14ac:dyDescent="0.2">
      <c r="A3383" s="135">
        <v>4210</v>
      </c>
      <c r="B3383" s="1926" t="s">
        <v>12983</v>
      </c>
      <c r="C3383" s="1926" t="s">
        <v>39</v>
      </c>
      <c r="D3383" s="1926" t="s">
        <v>40</v>
      </c>
      <c r="E3383" s="1662">
        <v>0.76</v>
      </c>
    </row>
    <row r="3384" spans="1:5" x14ac:dyDescent="0.2">
      <c r="A3384" s="135">
        <v>4212</v>
      </c>
      <c r="B3384" s="1926" t="s">
        <v>12984</v>
      </c>
      <c r="C3384" s="1926" t="s">
        <v>39</v>
      </c>
      <c r="D3384" s="1926" t="s">
        <v>40</v>
      </c>
      <c r="E3384" s="1662">
        <v>2.19</v>
      </c>
    </row>
    <row r="3385" spans="1:5" x14ac:dyDescent="0.2">
      <c r="A3385" s="135">
        <v>4213</v>
      </c>
      <c r="B3385" s="1926" t="s">
        <v>12985</v>
      </c>
      <c r="C3385" s="1926" t="s">
        <v>39</v>
      </c>
      <c r="D3385" s="1926" t="s">
        <v>40</v>
      </c>
      <c r="E3385" s="1662">
        <v>9.7899999999999991</v>
      </c>
    </row>
    <row r="3386" spans="1:5" x14ac:dyDescent="0.2">
      <c r="A3386" s="135">
        <v>4211</v>
      </c>
      <c r="B3386" s="1926" t="s">
        <v>12986</v>
      </c>
      <c r="C3386" s="1926" t="s">
        <v>39</v>
      </c>
      <c r="D3386" s="1926" t="s">
        <v>40</v>
      </c>
      <c r="E3386" s="1662">
        <v>1.0900000000000001</v>
      </c>
    </row>
    <row r="3387" spans="1:5" x14ac:dyDescent="0.2">
      <c r="A3387" s="135">
        <v>4209</v>
      </c>
      <c r="B3387" s="1926" t="s">
        <v>12987</v>
      </c>
      <c r="C3387" s="1926" t="s">
        <v>39</v>
      </c>
      <c r="D3387" s="1926" t="s">
        <v>40</v>
      </c>
      <c r="E3387" s="1662">
        <v>12.56</v>
      </c>
    </row>
    <row r="3388" spans="1:5" x14ac:dyDescent="0.2">
      <c r="A3388" s="135">
        <v>4180</v>
      </c>
      <c r="B3388" s="1926" t="s">
        <v>12988</v>
      </c>
      <c r="C3388" s="1926" t="s">
        <v>39</v>
      </c>
      <c r="D3388" s="1926" t="s">
        <v>40</v>
      </c>
      <c r="E3388" s="1662">
        <v>9.4499999999999993</v>
      </c>
    </row>
    <row r="3389" spans="1:5" x14ac:dyDescent="0.2">
      <c r="A3389" s="135">
        <v>4177</v>
      </c>
      <c r="B3389" s="1926" t="s">
        <v>12989</v>
      </c>
      <c r="C3389" s="1926" t="s">
        <v>39</v>
      </c>
      <c r="D3389" s="1926" t="s">
        <v>40</v>
      </c>
      <c r="E3389" s="1662">
        <v>3.14</v>
      </c>
    </row>
    <row r="3390" spans="1:5" x14ac:dyDescent="0.2">
      <c r="A3390" s="135">
        <v>4179</v>
      </c>
      <c r="B3390" s="1926" t="s">
        <v>12990</v>
      </c>
      <c r="C3390" s="1926" t="s">
        <v>39</v>
      </c>
      <c r="D3390" s="1926" t="s">
        <v>40</v>
      </c>
      <c r="E3390" s="1662">
        <v>6.42</v>
      </c>
    </row>
    <row r="3391" spans="1:5" x14ac:dyDescent="0.2">
      <c r="A3391" s="135">
        <v>4208</v>
      </c>
      <c r="B3391" s="1926" t="s">
        <v>12991</v>
      </c>
      <c r="C3391" s="1926" t="s">
        <v>39</v>
      </c>
      <c r="D3391" s="1926" t="s">
        <v>40</v>
      </c>
      <c r="E3391" s="1662">
        <v>29.89</v>
      </c>
    </row>
    <row r="3392" spans="1:5" x14ac:dyDescent="0.2">
      <c r="A3392" s="135">
        <v>4181</v>
      </c>
      <c r="B3392" s="1926" t="s">
        <v>12992</v>
      </c>
      <c r="C3392" s="1926" t="s">
        <v>39</v>
      </c>
      <c r="D3392" s="1926" t="s">
        <v>40</v>
      </c>
      <c r="E3392" s="1662">
        <v>19.53</v>
      </c>
    </row>
    <row r="3393" spans="1:5" x14ac:dyDescent="0.2">
      <c r="A3393" s="135">
        <v>4178</v>
      </c>
      <c r="B3393" s="1926" t="s">
        <v>12993</v>
      </c>
      <c r="C3393" s="1926" t="s">
        <v>39</v>
      </c>
      <c r="D3393" s="1926" t="s">
        <v>40</v>
      </c>
      <c r="E3393" s="1662">
        <v>4.3499999999999996</v>
      </c>
    </row>
    <row r="3394" spans="1:5" x14ac:dyDescent="0.2">
      <c r="A3394" s="135">
        <v>4182</v>
      </c>
      <c r="B3394" s="1926" t="s">
        <v>12994</v>
      </c>
      <c r="C3394" s="1926" t="s">
        <v>39</v>
      </c>
      <c r="D3394" s="1926" t="s">
        <v>40</v>
      </c>
      <c r="E3394" s="1662">
        <v>48.63</v>
      </c>
    </row>
    <row r="3395" spans="1:5" x14ac:dyDescent="0.2">
      <c r="A3395" s="135">
        <v>4183</v>
      </c>
      <c r="B3395" s="1926" t="s">
        <v>12995</v>
      </c>
      <c r="C3395" s="1926" t="s">
        <v>39</v>
      </c>
      <c r="D3395" s="1926" t="s">
        <v>40</v>
      </c>
      <c r="E3395" s="1662">
        <v>78.290000000000006</v>
      </c>
    </row>
    <row r="3396" spans="1:5" x14ac:dyDescent="0.2">
      <c r="A3396" s="135">
        <v>4184</v>
      </c>
      <c r="B3396" s="1926" t="s">
        <v>12996</v>
      </c>
      <c r="C3396" s="1926" t="s">
        <v>39</v>
      </c>
      <c r="D3396" s="1926" t="s">
        <v>40</v>
      </c>
      <c r="E3396" s="1662">
        <v>172.83</v>
      </c>
    </row>
    <row r="3397" spans="1:5" x14ac:dyDescent="0.2">
      <c r="A3397" s="135">
        <v>4185</v>
      </c>
      <c r="B3397" s="1926" t="s">
        <v>12997</v>
      </c>
      <c r="C3397" s="1926" t="s">
        <v>39</v>
      </c>
      <c r="D3397" s="1926" t="s">
        <v>40</v>
      </c>
      <c r="E3397" s="1662">
        <v>287.16000000000003</v>
      </c>
    </row>
    <row r="3398" spans="1:5" x14ac:dyDescent="0.2">
      <c r="A3398" s="135">
        <v>4205</v>
      </c>
      <c r="B3398" s="1926" t="s">
        <v>12998</v>
      </c>
      <c r="C3398" s="1926" t="s">
        <v>39</v>
      </c>
      <c r="D3398" s="1926" t="s">
        <v>40</v>
      </c>
      <c r="E3398" s="1662">
        <v>16.579999999999998</v>
      </c>
    </row>
    <row r="3399" spans="1:5" x14ac:dyDescent="0.2">
      <c r="A3399" s="135">
        <v>4192</v>
      </c>
      <c r="B3399" s="1926" t="s">
        <v>12999</v>
      </c>
      <c r="C3399" s="1926" t="s">
        <v>39</v>
      </c>
      <c r="D3399" s="1926" t="s">
        <v>40</v>
      </c>
      <c r="E3399" s="1662">
        <v>16.579999999999998</v>
      </c>
    </row>
    <row r="3400" spans="1:5" x14ac:dyDescent="0.2">
      <c r="A3400" s="135">
        <v>4191</v>
      </c>
      <c r="B3400" s="1926" t="s">
        <v>13000</v>
      </c>
      <c r="C3400" s="1926" t="s">
        <v>39</v>
      </c>
      <c r="D3400" s="1926" t="s">
        <v>40</v>
      </c>
      <c r="E3400" s="1662">
        <v>16.579999999999998</v>
      </c>
    </row>
    <row r="3401" spans="1:5" x14ac:dyDescent="0.2">
      <c r="A3401" s="135">
        <v>4207</v>
      </c>
      <c r="B3401" s="1926" t="s">
        <v>13001</v>
      </c>
      <c r="C3401" s="1926" t="s">
        <v>39</v>
      </c>
      <c r="D3401" s="1926" t="s">
        <v>40</v>
      </c>
      <c r="E3401" s="1662">
        <v>13.34</v>
      </c>
    </row>
    <row r="3402" spans="1:5" x14ac:dyDescent="0.2">
      <c r="A3402" s="135">
        <v>4206</v>
      </c>
      <c r="B3402" s="1926" t="s">
        <v>13002</v>
      </c>
      <c r="C3402" s="1926" t="s">
        <v>39</v>
      </c>
      <c r="D3402" s="1926" t="s">
        <v>40</v>
      </c>
      <c r="E3402" s="1662">
        <v>12.96</v>
      </c>
    </row>
    <row r="3403" spans="1:5" x14ac:dyDescent="0.2">
      <c r="A3403" s="135">
        <v>4190</v>
      </c>
      <c r="B3403" s="1926" t="s">
        <v>13003</v>
      </c>
      <c r="C3403" s="1926" t="s">
        <v>39</v>
      </c>
      <c r="D3403" s="1926" t="s">
        <v>40</v>
      </c>
      <c r="E3403" s="1662">
        <v>12.96</v>
      </c>
    </row>
    <row r="3404" spans="1:5" x14ac:dyDescent="0.2">
      <c r="A3404" s="135">
        <v>4186</v>
      </c>
      <c r="B3404" s="1926" t="s">
        <v>13004</v>
      </c>
      <c r="C3404" s="1926" t="s">
        <v>39</v>
      </c>
      <c r="D3404" s="1926" t="s">
        <v>40</v>
      </c>
      <c r="E3404" s="1662">
        <v>3.83</v>
      </c>
    </row>
    <row r="3405" spans="1:5" x14ac:dyDescent="0.2">
      <c r="A3405" s="135">
        <v>4188</v>
      </c>
      <c r="B3405" s="1926" t="s">
        <v>13005</v>
      </c>
      <c r="C3405" s="1926" t="s">
        <v>39</v>
      </c>
      <c r="D3405" s="1926" t="s">
        <v>40</v>
      </c>
      <c r="E3405" s="1662">
        <v>7.82</v>
      </c>
    </row>
    <row r="3406" spans="1:5" x14ac:dyDescent="0.2">
      <c r="A3406" s="135">
        <v>4189</v>
      </c>
      <c r="B3406" s="1926" t="s">
        <v>13006</v>
      </c>
      <c r="C3406" s="1926" t="s">
        <v>39</v>
      </c>
      <c r="D3406" s="1926" t="s">
        <v>40</v>
      </c>
      <c r="E3406" s="1662">
        <v>7.82</v>
      </c>
    </row>
    <row r="3407" spans="1:5" x14ac:dyDescent="0.2">
      <c r="A3407" s="135">
        <v>4197</v>
      </c>
      <c r="B3407" s="1926" t="s">
        <v>13007</v>
      </c>
      <c r="C3407" s="1926" t="s">
        <v>39</v>
      </c>
      <c r="D3407" s="1926" t="s">
        <v>40</v>
      </c>
      <c r="E3407" s="1662">
        <v>41.41</v>
      </c>
    </row>
    <row r="3408" spans="1:5" x14ac:dyDescent="0.2">
      <c r="A3408" s="135">
        <v>4194</v>
      </c>
      <c r="B3408" s="1926" t="s">
        <v>13008</v>
      </c>
      <c r="C3408" s="1926" t="s">
        <v>39</v>
      </c>
      <c r="D3408" s="1926" t="s">
        <v>40</v>
      </c>
      <c r="E3408" s="1662">
        <v>25.02</v>
      </c>
    </row>
    <row r="3409" spans="1:5" x14ac:dyDescent="0.2">
      <c r="A3409" s="135">
        <v>4193</v>
      </c>
      <c r="B3409" s="1926" t="s">
        <v>13009</v>
      </c>
      <c r="C3409" s="1926" t="s">
        <v>39</v>
      </c>
      <c r="D3409" s="1926" t="s">
        <v>40</v>
      </c>
      <c r="E3409" s="1662">
        <v>25.02</v>
      </c>
    </row>
    <row r="3410" spans="1:5" x14ac:dyDescent="0.2">
      <c r="A3410" s="135">
        <v>4204</v>
      </c>
      <c r="B3410" s="1926" t="s">
        <v>13010</v>
      </c>
      <c r="C3410" s="1926" t="s">
        <v>39</v>
      </c>
      <c r="D3410" s="1926" t="s">
        <v>40</v>
      </c>
      <c r="E3410" s="1662">
        <v>25.02</v>
      </c>
    </row>
    <row r="3411" spans="1:5" x14ac:dyDescent="0.2">
      <c r="A3411" s="135">
        <v>4187</v>
      </c>
      <c r="B3411" s="1926" t="s">
        <v>13011</v>
      </c>
      <c r="C3411" s="1926" t="s">
        <v>39</v>
      </c>
      <c r="D3411" s="1926" t="s">
        <v>40</v>
      </c>
      <c r="E3411" s="1662">
        <v>4.9800000000000004</v>
      </c>
    </row>
    <row r="3412" spans="1:5" x14ac:dyDescent="0.2">
      <c r="A3412" s="135">
        <v>4202</v>
      </c>
      <c r="B3412" s="1926" t="s">
        <v>13012</v>
      </c>
      <c r="C3412" s="1926" t="s">
        <v>39</v>
      </c>
      <c r="D3412" s="1926" t="s">
        <v>40</v>
      </c>
      <c r="E3412" s="1662">
        <v>75.62</v>
      </c>
    </row>
    <row r="3413" spans="1:5" x14ac:dyDescent="0.2">
      <c r="A3413" s="135">
        <v>4203</v>
      </c>
      <c r="B3413" s="1926" t="s">
        <v>13013</v>
      </c>
      <c r="C3413" s="1926" t="s">
        <v>39</v>
      </c>
      <c r="D3413" s="1926" t="s">
        <v>40</v>
      </c>
      <c r="E3413" s="1662">
        <v>66.790000000000006</v>
      </c>
    </row>
    <row r="3414" spans="1:5" x14ac:dyDescent="0.2">
      <c r="A3414" s="135">
        <v>40368</v>
      </c>
      <c r="B3414" s="1926" t="s">
        <v>13014</v>
      </c>
      <c r="C3414" s="1926" t="s">
        <v>39</v>
      </c>
      <c r="D3414" s="1926" t="s">
        <v>46</v>
      </c>
      <c r="E3414" s="1662">
        <v>35</v>
      </c>
    </row>
    <row r="3415" spans="1:5" x14ac:dyDescent="0.2">
      <c r="A3415" s="135">
        <v>40365</v>
      </c>
      <c r="B3415" s="1926" t="s">
        <v>13015</v>
      </c>
      <c r="C3415" s="1926" t="s">
        <v>39</v>
      </c>
      <c r="D3415" s="1926" t="s">
        <v>46</v>
      </c>
      <c r="E3415" s="1662">
        <v>23.61</v>
      </c>
    </row>
    <row r="3416" spans="1:5" x14ac:dyDescent="0.2">
      <c r="A3416" s="135">
        <v>40356</v>
      </c>
      <c r="B3416" s="1926" t="s">
        <v>13016</v>
      </c>
      <c r="C3416" s="1926" t="s">
        <v>39</v>
      </c>
      <c r="D3416" s="1926" t="s">
        <v>46</v>
      </c>
      <c r="E3416" s="1662">
        <v>8.07</v>
      </c>
    </row>
    <row r="3417" spans="1:5" x14ac:dyDescent="0.2">
      <c r="A3417" s="135">
        <v>40362</v>
      </c>
      <c r="B3417" s="1926" t="s">
        <v>13017</v>
      </c>
      <c r="C3417" s="1926" t="s">
        <v>39</v>
      </c>
      <c r="D3417" s="1926" t="s">
        <v>46</v>
      </c>
      <c r="E3417" s="1662">
        <v>15.64</v>
      </c>
    </row>
    <row r="3418" spans="1:5" x14ac:dyDescent="0.2">
      <c r="A3418" s="135">
        <v>40374</v>
      </c>
      <c r="B3418" s="1926" t="s">
        <v>13018</v>
      </c>
      <c r="C3418" s="1926" t="s">
        <v>39</v>
      </c>
      <c r="D3418" s="1926" t="s">
        <v>46</v>
      </c>
      <c r="E3418" s="1662">
        <v>91.49</v>
      </c>
    </row>
    <row r="3419" spans="1:5" x14ac:dyDescent="0.2">
      <c r="A3419" s="135">
        <v>40371</v>
      </c>
      <c r="B3419" s="1926" t="s">
        <v>13019</v>
      </c>
      <c r="C3419" s="1926" t="s">
        <v>39</v>
      </c>
      <c r="D3419" s="1926" t="s">
        <v>46</v>
      </c>
      <c r="E3419" s="1662">
        <v>57.59</v>
      </c>
    </row>
    <row r="3420" spans="1:5" x14ac:dyDescent="0.2">
      <c r="A3420" s="135">
        <v>40359</v>
      </c>
      <c r="B3420" s="1926" t="s">
        <v>13020</v>
      </c>
      <c r="C3420" s="1926" t="s">
        <v>39</v>
      </c>
      <c r="D3420" s="1926" t="s">
        <v>46</v>
      </c>
      <c r="E3420" s="1662">
        <v>10.42</v>
      </c>
    </row>
    <row r="3421" spans="1:5" x14ac:dyDescent="0.2">
      <c r="A3421" s="135">
        <v>7595</v>
      </c>
      <c r="B3421" s="1926" t="s">
        <v>13021</v>
      </c>
      <c r="C3421" s="1926" t="s">
        <v>42</v>
      </c>
      <c r="D3421" s="1926" t="s">
        <v>40</v>
      </c>
      <c r="E3421" s="1662">
        <v>7.26</v>
      </c>
    </row>
    <row r="3422" spans="1:5" x14ac:dyDescent="0.2">
      <c r="A3422" s="135">
        <v>41094</v>
      </c>
      <c r="B3422" s="1926" t="s">
        <v>13022</v>
      </c>
      <c r="C3422" s="1926" t="s">
        <v>51</v>
      </c>
      <c r="D3422" s="1926" t="s">
        <v>40</v>
      </c>
      <c r="E3422" s="1662">
        <v>1297.3</v>
      </c>
    </row>
    <row r="3423" spans="1:5" x14ac:dyDescent="0.2">
      <c r="A3423" s="135">
        <v>39609</v>
      </c>
      <c r="B3423" s="1926" t="s">
        <v>13023</v>
      </c>
      <c r="C3423" s="1926" t="s">
        <v>39</v>
      </c>
      <c r="D3423" s="1926" t="s">
        <v>40</v>
      </c>
      <c r="E3423" s="1662">
        <v>53340.74</v>
      </c>
    </row>
    <row r="3424" spans="1:5" x14ac:dyDescent="0.2">
      <c r="A3424" s="135">
        <v>39610</v>
      </c>
      <c r="B3424" s="1926" t="s">
        <v>13024</v>
      </c>
      <c r="C3424" s="1926" t="s">
        <v>39</v>
      </c>
      <c r="D3424" s="1926" t="s">
        <v>40</v>
      </c>
      <c r="E3424" s="1662">
        <v>77860.83</v>
      </c>
    </row>
    <row r="3425" spans="1:5" x14ac:dyDescent="0.2">
      <c r="A3425" s="135">
        <v>39611</v>
      </c>
      <c r="B3425" s="1926" t="s">
        <v>13025</v>
      </c>
      <c r="C3425" s="1926" t="s">
        <v>39</v>
      </c>
      <c r="D3425" s="1926" t="s">
        <v>40</v>
      </c>
      <c r="E3425" s="1662">
        <v>94224.35</v>
      </c>
    </row>
    <row r="3426" spans="1:5" x14ac:dyDescent="0.2">
      <c r="A3426" s="135">
        <v>39612</v>
      </c>
      <c r="B3426" s="1926" t="s">
        <v>13026</v>
      </c>
      <c r="C3426" s="1926" t="s">
        <v>39</v>
      </c>
      <c r="D3426" s="1926" t="s">
        <v>40</v>
      </c>
      <c r="E3426" s="1662">
        <v>147604.57</v>
      </c>
    </row>
    <row r="3427" spans="1:5" x14ac:dyDescent="0.2">
      <c r="A3427" s="135">
        <v>39608</v>
      </c>
      <c r="B3427" s="1926" t="s">
        <v>13027</v>
      </c>
      <c r="C3427" s="1926" t="s">
        <v>39</v>
      </c>
      <c r="D3427" s="1926" t="s">
        <v>40</v>
      </c>
      <c r="E3427" s="1662">
        <v>42650.69</v>
      </c>
    </row>
    <row r="3428" spans="1:5" x14ac:dyDescent="0.2">
      <c r="A3428" s="135">
        <v>38175</v>
      </c>
      <c r="B3428" s="1926" t="s">
        <v>13028</v>
      </c>
      <c r="C3428" s="1926" t="s">
        <v>39</v>
      </c>
      <c r="D3428" s="1926" t="s">
        <v>40</v>
      </c>
      <c r="E3428" s="1662">
        <v>2.27</v>
      </c>
    </row>
    <row r="3429" spans="1:5" x14ac:dyDescent="0.2">
      <c r="A3429" s="135">
        <v>38176</v>
      </c>
      <c r="B3429" s="1926" t="s">
        <v>13029</v>
      </c>
      <c r="C3429" s="1926" t="s">
        <v>39</v>
      </c>
      <c r="D3429" s="1926" t="s">
        <v>40</v>
      </c>
      <c r="E3429" s="1662">
        <v>6.17</v>
      </c>
    </row>
    <row r="3430" spans="1:5" x14ac:dyDescent="0.2">
      <c r="A3430" s="135">
        <v>36152</v>
      </c>
      <c r="B3430" s="1926" t="s">
        <v>13030</v>
      </c>
      <c r="C3430" s="1926" t="s">
        <v>39</v>
      </c>
      <c r="D3430" s="1926" t="s">
        <v>40</v>
      </c>
      <c r="E3430" s="1662">
        <v>4.51</v>
      </c>
    </row>
    <row r="3431" spans="1:5" x14ac:dyDescent="0.2">
      <c r="A3431" s="135">
        <v>11138</v>
      </c>
      <c r="B3431" s="1926" t="s">
        <v>13031</v>
      </c>
      <c r="C3431" s="1926" t="s">
        <v>49</v>
      </c>
      <c r="D3431" s="1926" t="s">
        <v>40</v>
      </c>
      <c r="E3431" s="1662">
        <v>2.39</v>
      </c>
    </row>
    <row r="3432" spans="1:5" x14ac:dyDescent="0.2">
      <c r="A3432" s="135">
        <v>5333</v>
      </c>
      <c r="B3432" s="1926" t="s">
        <v>13032</v>
      </c>
      <c r="C3432" s="1926" t="s">
        <v>49</v>
      </c>
      <c r="D3432" s="1926" t="s">
        <v>40</v>
      </c>
      <c r="E3432" s="1662">
        <v>17.47</v>
      </c>
    </row>
    <row r="3433" spans="1:5" x14ac:dyDescent="0.2">
      <c r="A3433" s="135">
        <v>4221</v>
      </c>
      <c r="B3433" s="1926" t="s">
        <v>13033</v>
      </c>
      <c r="C3433" s="1926" t="s">
        <v>49</v>
      </c>
      <c r="D3433" s="1926" t="s">
        <v>43</v>
      </c>
      <c r="E3433" s="1662">
        <v>3.72</v>
      </c>
    </row>
    <row r="3434" spans="1:5" x14ac:dyDescent="0.2">
      <c r="A3434" s="135">
        <v>4227</v>
      </c>
      <c r="B3434" s="1926" t="s">
        <v>13034</v>
      </c>
      <c r="C3434" s="1926" t="s">
        <v>49</v>
      </c>
      <c r="D3434" s="1926" t="s">
        <v>43</v>
      </c>
      <c r="E3434" s="1662">
        <v>22.5</v>
      </c>
    </row>
    <row r="3435" spans="1:5" x14ac:dyDescent="0.2">
      <c r="A3435" s="135">
        <v>38170</v>
      </c>
      <c r="B3435" s="1926" t="s">
        <v>13035</v>
      </c>
      <c r="C3435" s="1926" t="s">
        <v>39</v>
      </c>
      <c r="D3435" s="1926" t="s">
        <v>40</v>
      </c>
      <c r="E3435" s="1662">
        <v>10.4</v>
      </c>
    </row>
    <row r="3436" spans="1:5" x14ac:dyDescent="0.2">
      <c r="A3436" s="135">
        <v>4252</v>
      </c>
      <c r="B3436" s="1926" t="s">
        <v>13036</v>
      </c>
      <c r="C3436" s="1926" t="s">
        <v>42</v>
      </c>
      <c r="D3436" s="1926" t="s">
        <v>40</v>
      </c>
      <c r="E3436" s="1662">
        <v>12.06</v>
      </c>
    </row>
    <row r="3437" spans="1:5" x14ac:dyDescent="0.2">
      <c r="A3437" s="135">
        <v>40980</v>
      </c>
      <c r="B3437" s="1926" t="s">
        <v>13037</v>
      </c>
      <c r="C3437" s="1926" t="s">
        <v>51</v>
      </c>
      <c r="D3437" s="1926" t="s">
        <v>40</v>
      </c>
      <c r="E3437" s="1662">
        <v>2153.91</v>
      </c>
    </row>
    <row r="3438" spans="1:5" x14ac:dyDescent="0.2">
      <c r="A3438" s="135">
        <v>4243</v>
      </c>
      <c r="B3438" s="1926" t="s">
        <v>13038</v>
      </c>
      <c r="C3438" s="1926" t="s">
        <v>42</v>
      </c>
      <c r="D3438" s="1926" t="s">
        <v>40</v>
      </c>
      <c r="E3438" s="1662">
        <v>10.47</v>
      </c>
    </row>
    <row r="3439" spans="1:5" x14ac:dyDescent="0.2">
      <c r="A3439" s="135">
        <v>41031</v>
      </c>
      <c r="B3439" s="1926" t="s">
        <v>13039</v>
      </c>
      <c r="C3439" s="1926" t="s">
        <v>51</v>
      </c>
      <c r="D3439" s="1926" t="s">
        <v>40</v>
      </c>
      <c r="E3439" s="1662">
        <v>1869.86</v>
      </c>
    </row>
    <row r="3440" spans="1:5" x14ac:dyDescent="0.2">
      <c r="A3440" s="135">
        <v>37666</v>
      </c>
      <c r="B3440" s="1926" t="s">
        <v>13040</v>
      </c>
      <c r="C3440" s="1926" t="s">
        <v>42</v>
      </c>
      <c r="D3440" s="1926" t="s">
        <v>40</v>
      </c>
      <c r="E3440" s="1662">
        <v>10.1</v>
      </c>
    </row>
    <row r="3441" spans="1:5" x14ac:dyDescent="0.2">
      <c r="A3441" s="135">
        <v>40986</v>
      </c>
      <c r="B3441" s="1926" t="s">
        <v>13041</v>
      </c>
      <c r="C3441" s="1926" t="s">
        <v>51</v>
      </c>
      <c r="D3441" s="1926" t="s">
        <v>40</v>
      </c>
      <c r="E3441" s="1662">
        <v>1804.48</v>
      </c>
    </row>
    <row r="3442" spans="1:5" x14ac:dyDescent="0.2">
      <c r="A3442" s="135">
        <v>4250</v>
      </c>
      <c r="B3442" s="1926" t="s">
        <v>13042</v>
      </c>
      <c r="C3442" s="1926" t="s">
        <v>42</v>
      </c>
      <c r="D3442" s="1926" t="s">
        <v>40</v>
      </c>
      <c r="E3442" s="1662">
        <v>10.74</v>
      </c>
    </row>
    <row r="3443" spans="1:5" x14ac:dyDescent="0.2">
      <c r="A3443" s="135">
        <v>40978</v>
      </c>
      <c r="B3443" s="1926" t="s">
        <v>13043</v>
      </c>
      <c r="C3443" s="1926" t="s">
        <v>51</v>
      </c>
      <c r="D3443" s="1926" t="s">
        <v>40</v>
      </c>
      <c r="E3443" s="1662">
        <v>1918.36</v>
      </c>
    </row>
    <row r="3444" spans="1:5" x14ac:dyDescent="0.2">
      <c r="A3444" s="135">
        <v>25960</v>
      </c>
      <c r="B3444" s="1926" t="s">
        <v>13044</v>
      </c>
      <c r="C3444" s="1926" t="s">
        <v>42</v>
      </c>
      <c r="D3444" s="1926" t="s">
        <v>40</v>
      </c>
      <c r="E3444" s="1662">
        <v>12.89</v>
      </c>
    </row>
    <row r="3445" spans="1:5" x14ac:dyDescent="0.2">
      <c r="A3445" s="135">
        <v>41043</v>
      </c>
      <c r="B3445" s="1926" t="s">
        <v>13045</v>
      </c>
      <c r="C3445" s="1926" t="s">
        <v>51</v>
      </c>
      <c r="D3445" s="1926" t="s">
        <v>40</v>
      </c>
      <c r="E3445" s="1662">
        <v>2301.37</v>
      </c>
    </row>
    <row r="3446" spans="1:5" x14ac:dyDescent="0.2">
      <c r="A3446" s="135">
        <v>4234</v>
      </c>
      <c r="B3446" s="1926" t="s">
        <v>13046</v>
      </c>
      <c r="C3446" s="1926" t="s">
        <v>42</v>
      </c>
      <c r="D3446" s="1926" t="s">
        <v>43</v>
      </c>
      <c r="E3446" s="1662">
        <v>14.14</v>
      </c>
    </row>
    <row r="3447" spans="1:5" x14ac:dyDescent="0.2">
      <c r="A3447" s="135">
        <v>40987</v>
      </c>
      <c r="B3447" s="1926" t="s">
        <v>13047</v>
      </c>
      <c r="C3447" s="1926" t="s">
        <v>51</v>
      </c>
      <c r="D3447" s="1926" t="s">
        <v>40</v>
      </c>
      <c r="E3447" s="1662">
        <v>2521.06</v>
      </c>
    </row>
    <row r="3448" spans="1:5" x14ac:dyDescent="0.2">
      <c r="A3448" s="135">
        <v>4253</v>
      </c>
      <c r="B3448" s="1926" t="s">
        <v>13048</v>
      </c>
      <c r="C3448" s="1926" t="s">
        <v>42</v>
      </c>
      <c r="D3448" s="1926" t="s">
        <v>40</v>
      </c>
      <c r="E3448" s="1662">
        <v>10.72</v>
      </c>
    </row>
    <row r="3449" spans="1:5" x14ac:dyDescent="0.2">
      <c r="A3449" s="135">
        <v>40981</v>
      </c>
      <c r="B3449" s="1926" t="s">
        <v>13049</v>
      </c>
      <c r="C3449" s="1926" t="s">
        <v>51</v>
      </c>
      <c r="D3449" s="1926" t="s">
        <v>40</v>
      </c>
      <c r="E3449" s="1662">
        <v>1913.47</v>
      </c>
    </row>
    <row r="3450" spans="1:5" x14ac:dyDescent="0.2">
      <c r="A3450" s="135">
        <v>4254</v>
      </c>
      <c r="B3450" s="1926" t="s">
        <v>13050</v>
      </c>
      <c r="C3450" s="1926" t="s">
        <v>42</v>
      </c>
      <c r="D3450" s="1926" t="s">
        <v>40</v>
      </c>
      <c r="E3450" s="1662">
        <v>10.72</v>
      </c>
    </row>
    <row r="3451" spans="1:5" x14ac:dyDescent="0.2">
      <c r="A3451" s="135">
        <v>41036</v>
      </c>
      <c r="B3451" s="1926" t="s">
        <v>13051</v>
      </c>
      <c r="C3451" s="1926" t="s">
        <v>51</v>
      </c>
      <c r="D3451" s="1926" t="s">
        <v>40</v>
      </c>
      <c r="E3451" s="1662">
        <v>1913.47</v>
      </c>
    </row>
    <row r="3452" spans="1:5" x14ac:dyDescent="0.2">
      <c r="A3452" s="135">
        <v>4251</v>
      </c>
      <c r="B3452" s="1926" t="s">
        <v>13052</v>
      </c>
      <c r="C3452" s="1926" t="s">
        <v>42</v>
      </c>
      <c r="D3452" s="1926" t="s">
        <v>40</v>
      </c>
      <c r="E3452" s="1662">
        <v>12.65</v>
      </c>
    </row>
    <row r="3453" spans="1:5" x14ac:dyDescent="0.2">
      <c r="A3453" s="135">
        <v>40979</v>
      </c>
      <c r="B3453" s="1926" t="s">
        <v>13053</v>
      </c>
      <c r="C3453" s="1926" t="s">
        <v>51</v>
      </c>
      <c r="D3453" s="1926" t="s">
        <v>40</v>
      </c>
      <c r="E3453" s="1662">
        <v>2256.91</v>
      </c>
    </row>
    <row r="3454" spans="1:5" x14ac:dyDescent="0.2">
      <c r="A3454" s="135">
        <v>4230</v>
      </c>
      <c r="B3454" s="1926" t="s">
        <v>13054</v>
      </c>
      <c r="C3454" s="1926" t="s">
        <v>42</v>
      </c>
      <c r="D3454" s="1926" t="s">
        <v>40</v>
      </c>
      <c r="E3454" s="1662">
        <v>10.74</v>
      </c>
    </row>
    <row r="3455" spans="1:5" x14ac:dyDescent="0.2">
      <c r="A3455" s="135">
        <v>40998</v>
      </c>
      <c r="B3455" s="1926" t="s">
        <v>13055</v>
      </c>
      <c r="C3455" s="1926" t="s">
        <v>51</v>
      </c>
      <c r="D3455" s="1926" t="s">
        <v>40</v>
      </c>
      <c r="E3455" s="1662">
        <v>1917.26</v>
      </c>
    </row>
    <row r="3456" spans="1:5" x14ac:dyDescent="0.2">
      <c r="A3456" s="135">
        <v>4257</v>
      </c>
      <c r="B3456" s="1926" t="s">
        <v>13056</v>
      </c>
      <c r="C3456" s="1926" t="s">
        <v>42</v>
      </c>
      <c r="D3456" s="1926" t="s">
        <v>40</v>
      </c>
      <c r="E3456" s="1662">
        <v>11.04</v>
      </c>
    </row>
    <row r="3457" spans="1:5" x14ac:dyDescent="0.2">
      <c r="A3457" s="135">
        <v>40982</v>
      </c>
      <c r="B3457" s="1926" t="s">
        <v>13057</v>
      </c>
      <c r="C3457" s="1926" t="s">
        <v>51</v>
      </c>
      <c r="D3457" s="1926" t="s">
        <v>40</v>
      </c>
      <c r="E3457" s="1662">
        <v>1969.52</v>
      </c>
    </row>
    <row r="3458" spans="1:5" x14ac:dyDescent="0.2">
      <c r="A3458" s="135">
        <v>4240</v>
      </c>
      <c r="B3458" s="1926" t="s">
        <v>13058</v>
      </c>
      <c r="C3458" s="1926" t="s">
        <v>42</v>
      </c>
      <c r="D3458" s="1926" t="s">
        <v>40</v>
      </c>
      <c r="E3458" s="1662">
        <v>13.11</v>
      </c>
    </row>
    <row r="3459" spans="1:5" x14ac:dyDescent="0.2">
      <c r="A3459" s="135">
        <v>41026</v>
      </c>
      <c r="B3459" s="1926" t="s">
        <v>13059</v>
      </c>
      <c r="C3459" s="1926" t="s">
        <v>51</v>
      </c>
      <c r="D3459" s="1926" t="s">
        <v>40</v>
      </c>
      <c r="E3459" s="1662">
        <v>2340.61</v>
      </c>
    </row>
    <row r="3460" spans="1:5" x14ac:dyDescent="0.2">
      <c r="A3460" s="135">
        <v>4239</v>
      </c>
      <c r="B3460" s="1926" t="s">
        <v>13060</v>
      </c>
      <c r="C3460" s="1926" t="s">
        <v>42</v>
      </c>
      <c r="D3460" s="1926" t="s">
        <v>40</v>
      </c>
      <c r="E3460" s="1662">
        <v>16.100000000000001</v>
      </c>
    </row>
    <row r="3461" spans="1:5" x14ac:dyDescent="0.2">
      <c r="A3461" s="135">
        <v>41024</v>
      </c>
      <c r="B3461" s="1926" t="s">
        <v>13061</v>
      </c>
      <c r="C3461" s="1926" t="s">
        <v>51</v>
      </c>
      <c r="D3461" s="1926" t="s">
        <v>40</v>
      </c>
      <c r="E3461" s="1662">
        <v>2871.48</v>
      </c>
    </row>
    <row r="3462" spans="1:5" x14ac:dyDescent="0.2">
      <c r="A3462" s="135">
        <v>4248</v>
      </c>
      <c r="B3462" s="1926" t="s">
        <v>13062</v>
      </c>
      <c r="C3462" s="1926" t="s">
        <v>42</v>
      </c>
      <c r="D3462" s="1926" t="s">
        <v>40</v>
      </c>
      <c r="E3462" s="1662">
        <v>12.26</v>
      </c>
    </row>
    <row r="3463" spans="1:5" x14ac:dyDescent="0.2">
      <c r="A3463" s="135">
        <v>41033</v>
      </c>
      <c r="B3463" s="1926" t="s">
        <v>13063</v>
      </c>
      <c r="C3463" s="1926" t="s">
        <v>51</v>
      </c>
      <c r="D3463" s="1926" t="s">
        <v>40</v>
      </c>
      <c r="E3463" s="1662">
        <v>2189</v>
      </c>
    </row>
    <row r="3464" spans="1:5" x14ac:dyDescent="0.2">
      <c r="A3464" s="135">
        <v>25959</v>
      </c>
      <c r="B3464" s="1926" t="s">
        <v>13064</v>
      </c>
      <c r="C3464" s="1926" t="s">
        <v>42</v>
      </c>
      <c r="D3464" s="1926" t="s">
        <v>40</v>
      </c>
      <c r="E3464" s="1662">
        <v>13.55</v>
      </c>
    </row>
    <row r="3465" spans="1:5" x14ac:dyDescent="0.2">
      <c r="A3465" s="135">
        <v>41040</v>
      </c>
      <c r="B3465" s="1926" t="s">
        <v>13065</v>
      </c>
      <c r="C3465" s="1926" t="s">
        <v>51</v>
      </c>
      <c r="D3465" s="1926" t="s">
        <v>40</v>
      </c>
      <c r="E3465" s="1662">
        <v>2416.44</v>
      </c>
    </row>
    <row r="3466" spans="1:5" x14ac:dyDescent="0.2">
      <c r="A3466" s="135">
        <v>4238</v>
      </c>
      <c r="B3466" s="1926" t="s">
        <v>13066</v>
      </c>
      <c r="C3466" s="1926" t="s">
        <v>42</v>
      </c>
      <c r="D3466" s="1926" t="s">
        <v>40</v>
      </c>
      <c r="E3466" s="1662">
        <v>10.82</v>
      </c>
    </row>
    <row r="3467" spans="1:5" x14ac:dyDescent="0.2">
      <c r="A3467" s="135">
        <v>41012</v>
      </c>
      <c r="B3467" s="1926" t="s">
        <v>13067</v>
      </c>
      <c r="C3467" s="1926" t="s">
        <v>51</v>
      </c>
      <c r="D3467" s="1926" t="s">
        <v>40</v>
      </c>
      <c r="E3467" s="1662">
        <v>1930.12</v>
      </c>
    </row>
    <row r="3468" spans="1:5" x14ac:dyDescent="0.2">
      <c r="A3468" s="135">
        <v>4237</v>
      </c>
      <c r="B3468" s="1926" t="s">
        <v>13068</v>
      </c>
      <c r="C3468" s="1926" t="s">
        <v>42</v>
      </c>
      <c r="D3468" s="1926" t="s">
        <v>40</v>
      </c>
      <c r="E3468" s="1662">
        <v>10.72</v>
      </c>
    </row>
    <row r="3469" spans="1:5" x14ac:dyDescent="0.2">
      <c r="A3469" s="135">
        <v>41002</v>
      </c>
      <c r="B3469" s="1926" t="s">
        <v>13069</v>
      </c>
      <c r="C3469" s="1926" t="s">
        <v>51</v>
      </c>
      <c r="D3469" s="1926" t="s">
        <v>40</v>
      </c>
      <c r="E3469" s="1662">
        <v>1913.47</v>
      </c>
    </row>
    <row r="3470" spans="1:5" x14ac:dyDescent="0.2">
      <c r="A3470" s="135">
        <v>4233</v>
      </c>
      <c r="B3470" s="1926" t="s">
        <v>13070</v>
      </c>
      <c r="C3470" s="1926" t="s">
        <v>42</v>
      </c>
      <c r="D3470" s="1926" t="s">
        <v>40</v>
      </c>
      <c r="E3470" s="1662">
        <v>11.62</v>
      </c>
    </row>
    <row r="3471" spans="1:5" x14ac:dyDescent="0.2">
      <c r="A3471" s="135">
        <v>41001</v>
      </c>
      <c r="B3471" s="1926" t="s">
        <v>13071</v>
      </c>
      <c r="C3471" s="1926" t="s">
        <v>51</v>
      </c>
      <c r="D3471" s="1926" t="s">
        <v>40</v>
      </c>
      <c r="E3471" s="1662">
        <v>2075.15</v>
      </c>
    </row>
    <row r="3472" spans="1:5" x14ac:dyDescent="0.2">
      <c r="A3472" s="135">
        <v>2</v>
      </c>
      <c r="B3472" s="1926" t="s">
        <v>13072</v>
      </c>
      <c r="C3472" s="1926" t="s">
        <v>44</v>
      </c>
      <c r="D3472" s="1926" t="s">
        <v>40</v>
      </c>
      <c r="E3472" s="1662">
        <v>8.76</v>
      </c>
    </row>
    <row r="3473" spans="1:5" x14ac:dyDescent="0.2">
      <c r="A3473" s="135">
        <v>36517</v>
      </c>
      <c r="B3473" s="1926" t="s">
        <v>13073</v>
      </c>
      <c r="C3473" s="1926" t="s">
        <v>39</v>
      </c>
      <c r="D3473" s="1926" t="s">
        <v>46</v>
      </c>
      <c r="E3473" s="1662">
        <v>341843.94</v>
      </c>
    </row>
    <row r="3474" spans="1:5" x14ac:dyDescent="0.2">
      <c r="A3474" s="135">
        <v>4262</v>
      </c>
      <c r="B3474" s="1926" t="s">
        <v>13074</v>
      </c>
      <c r="C3474" s="1926" t="s">
        <v>39</v>
      </c>
      <c r="D3474" s="1926" t="s">
        <v>46</v>
      </c>
      <c r="E3474" s="1662">
        <v>384959.4</v>
      </c>
    </row>
    <row r="3475" spans="1:5" x14ac:dyDescent="0.2">
      <c r="A3475" s="135">
        <v>4263</v>
      </c>
      <c r="B3475" s="1926" t="s">
        <v>13075</v>
      </c>
      <c r="C3475" s="1926" t="s">
        <v>39</v>
      </c>
      <c r="D3475" s="1926" t="s">
        <v>46</v>
      </c>
      <c r="E3475" s="1662">
        <v>533810.34</v>
      </c>
    </row>
    <row r="3476" spans="1:5" x14ac:dyDescent="0.2">
      <c r="A3476" s="135">
        <v>36518</v>
      </c>
      <c r="B3476" s="1926" t="s">
        <v>13076</v>
      </c>
      <c r="C3476" s="1926" t="s">
        <v>39</v>
      </c>
      <c r="D3476" s="1926" t="s">
        <v>46</v>
      </c>
      <c r="E3476" s="1662">
        <v>607722.54</v>
      </c>
    </row>
    <row r="3477" spans="1:5" x14ac:dyDescent="0.2">
      <c r="A3477" s="135">
        <v>14221</v>
      </c>
      <c r="B3477" s="1926" t="s">
        <v>13077</v>
      </c>
      <c r="C3477" s="1926" t="s">
        <v>39</v>
      </c>
      <c r="D3477" s="1926" t="s">
        <v>46</v>
      </c>
      <c r="E3477" s="1662">
        <v>354675.91</v>
      </c>
    </row>
    <row r="3478" spans="1:5" x14ac:dyDescent="0.2">
      <c r="A3478" s="135">
        <v>38402</v>
      </c>
      <c r="B3478" s="1926" t="s">
        <v>13078</v>
      </c>
      <c r="C3478" s="1926" t="s">
        <v>39</v>
      </c>
      <c r="D3478" s="1926" t="s">
        <v>40</v>
      </c>
      <c r="E3478" s="1662">
        <v>9.18</v>
      </c>
    </row>
    <row r="3479" spans="1:5" x14ac:dyDescent="0.2">
      <c r="A3479" s="135">
        <v>3412</v>
      </c>
      <c r="B3479" s="1926" t="s">
        <v>13079</v>
      </c>
      <c r="C3479" s="1926" t="s">
        <v>45</v>
      </c>
      <c r="D3479" s="1926" t="s">
        <v>46</v>
      </c>
      <c r="E3479" s="1662">
        <v>13.77</v>
      </c>
    </row>
    <row r="3480" spans="1:5" x14ac:dyDescent="0.2">
      <c r="A3480" s="135">
        <v>3413</v>
      </c>
      <c r="B3480" s="1926" t="s">
        <v>13080</v>
      </c>
      <c r="C3480" s="1926" t="s">
        <v>45</v>
      </c>
      <c r="D3480" s="1926" t="s">
        <v>46</v>
      </c>
      <c r="E3480" s="1662">
        <v>31</v>
      </c>
    </row>
    <row r="3481" spans="1:5" x14ac:dyDescent="0.2">
      <c r="A3481" s="135">
        <v>39744</v>
      </c>
      <c r="B3481" s="1926" t="s">
        <v>13081</v>
      </c>
      <c r="C3481" s="1926" t="s">
        <v>45</v>
      </c>
      <c r="D3481" s="1926" t="s">
        <v>46</v>
      </c>
      <c r="E3481" s="1662">
        <v>24.07</v>
      </c>
    </row>
    <row r="3482" spans="1:5" x14ac:dyDescent="0.2">
      <c r="A3482" s="135">
        <v>39745</v>
      </c>
      <c r="B3482" s="1926" t="s">
        <v>13082</v>
      </c>
      <c r="C3482" s="1926" t="s">
        <v>45</v>
      </c>
      <c r="D3482" s="1926" t="s">
        <v>46</v>
      </c>
      <c r="E3482" s="1662">
        <v>50.81</v>
      </c>
    </row>
    <row r="3483" spans="1:5" x14ac:dyDescent="0.2">
      <c r="A3483" s="135">
        <v>39637</v>
      </c>
      <c r="B3483" s="1926" t="s">
        <v>13083</v>
      </c>
      <c r="C3483" s="1926" t="s">
        <v>45</v>
      </c>
      <c r="D3483" s="1926" t="s">
        <v>40</v>
      </c>
      <c r="E3483" s="1662">
        <v>51.17</v>
      </c>
    </row>
    <row r="3484" spans="1:5" x14ac:dyDescent="0.2">
      <c r="A3484" s="135">
        <v>39638</v>
      </c>
      <c r="B3484" s="1926" t="s">
        <v>13084</v>
      </c>
      <c r="C3484" s="1926" t="s">
        <v>45</v>
      </c>
      <c r="D3484" s="1926" t="s">
        <v>40</v>
      </c>
      <c r="E3484" s="1662">
        <v>95.28</v>
      </c>
    </row>
    <row r="3485" spans="1:5" x14ac:dyDescent="0.2">
      <c r="A3485" s="135">
        <v>39639</v>
      </c>
      <c r="B3485" s="1926" t="s">
        <v>13085</v>
      </c>
      <c r="C3485" s="1926" t="s">
        <v>45</v>
      </c>
      <c r="D3485" s="1926" t="s">
        <v>40</v>
      </c>
      <c r="E3485" s="1662">
        <v>125.62</v>
      </c>
    </row>
    <row r="3486" spans="1:5" x14ac:dyDescent="0.2">
      <c r="A3486" s="135">
        <v>39517</v>
      </c>
      <c r="B3486" s="1926" t="s">
        <v>13086</v>
      </c>
      <c r="C3486" s="1926" t="s">
        <v>45</v>
      </c>
      <c r="D3486" s="1926" t="s">
        <v>46</v>
      </c>
      <c r="E3486" s="1662">
        <v>148.09</v>
      </c>
    </row>
    <row r="3487" spans="1:5" x14ac:dyDescent="0.2">
      <c r="A3487" s="135">
        <v>39518</v>
      </c>
      <c r="B3487" s="1926" t="s">
        <v>13087</v>
      </c>
      <c r="C3487" s="1926" t="s">
        <v>45</v>
      </c>
      <c r="D3487" s="1926" t="s">
        <v>46</v>
      </c>
      <c r="E3487" s="1662">
        <v>175.56</v>
      </c>
    </row>
    <row r="3488" spans="1:5" x14ac:dyDescent="0.2">
      <c r="A3488" s="135">
        <v>38366</v>
      </c>
      <c r="B3488" s="1926" t="s">
        <v>13088</v>
      </c>
      <c r="C3488" s="1926" t="s">
        <v>45</v>
      </c>
      <c r="D3488" s="1926" t="s">
        <v>40</v>
      </c>
      <c r="E3488" s="1662">
        <v>4.16</v>
      </c>
    </row>
    <row r="3489" spans="1:5" x14ac:dyDescent="0.2">
      <c r="A3489" s="135">
        <v>11703</v>
      </c>
      <c r="B3489" s="1926" t="s">
        <v>13089</v>
      </c>
      <c r="C3489" s="1926" t="s">
        <v>39</v>
      </c>
      <c r="D3489" s="1926" t="s">
        <v>40</v>
      </c>
      <c r="E3489" s="1662">
        <v>24.51</v>
      </c>
    </row>
    <row r="3490" spans="1:5" x14ac:dyDescent="0.2">
      <c r="A3490" s="135">
        <v>37400</v>
      </c>
      <c r="B3490" s="1926" t="s">
        <v>13090</v>
      </c>
      <c r="C3490" s="1926" t="s">
        <v>39</v>
      </c>
      <c r="D3490" s="1926" t="s">
        <v>40</v>
      </c>
      <c r="E3490" s="1662">
        <v>33.58</v>
      </c>
    </row>
    <row r="3491" spans="1:5" x14ac:dyDescent="0.2">
      <c r="A3491" s="135">
        <v>25400</v>
      </c>
      <c r="B3491" s="1926" t="s">
        <v>13091</v>
      </c>
      <c r="C3491" s="1926" t="s">
        <v>39</v>
      </c>
      <c r="D3491" s="1926" t="s">
        <v>40</v>
      </c>
      <c r="E3491" s="1662">
        <v>1619.24</v>
      </c>
    </row>
    <row r="3492" spans="1:5" x14ac:dyDescent="0.2">
      <c r="A3492" s="135">
        <v>4272</v>
      </c>
      <c r="B3492" s="1926" t="s">
        <v>13092</v>
      </c>
      <c r="C3492" s="1926" t="s">
        <v>39</v>
      </c>
      <c r="D3492" s="1926" t="s">
        <v>40</v>
      </c>
      <c r="E3492" s="1662">
        <v>100.03</v>
      </c>
    </row>
    <row r="3493" spans="1:5" x14ac:dyDescent="0.2">
      <c r="A3493" s="135">
        <v>4276</v>
      </c>
      <c r="B3493" s="1926" t="s">
        <v>13093</v>
      </c>
      <c r="C3493" s="1926" t="s">
        <v>39</v>
      </c>
      <c r="D3493" s="1926" t="s">
        <v>40</v>
      </c>
      <c r="E3493" s="1662">
        <v>295.25</v>
      </c>
    </row>
    <row r="3494" spans="1:5" x14ac:dyDescent="0.2">
      <c r="A3494" s="135">
        <v>4273</v>
      </c>
      <c r="B3494" s="1926" t="s">
        <v>13094</v>
      </c>
      <c r="C3494" s="1926" t="s">
        <v>39</v>
      </c>
      <c r="D3494" s="1926" t="s">
        <v>40</v>
      </c>
      <c r="E3494" s="1662">
        <v>490.46</v>
      </c>
    </row>
    <row r="3495" spans="1:5" x14ac:dyDescent="0.2">
      <c r="A3495" s="135">
        <v>4274</v>
      </c>
      <c r="B3495" s="1926" t="s">
        <v>13095</v>
      </c>
      <c r="C3495" s="1926" t="s">
        <v>39</v>
      </c>
      <c r="D3495" s="1926" t="s">
        <v>43</v>
      </c>
      <c r="E3495" s="1662">
        <v>113.73</v>
      </c>
    </row>
    <row r="3496" spans="1:5" x14ac:dyDescent="0.2">
      <c r="A3496" s="135">
        <v>39438</v>
      </c>
      <c r="B3496" s="1926" t="s">
        <v>13096</v>
      </c>
      <c r="C3496" s="1926" t="s">
        <v>39</v>
      </c>
      <c r="D3496" s="1926" t="s">
        <v>40</v>
      </c>
      <c r="E3496" s="1662">
        <v>0.19</v>
      </c>
    </row>
    <row r="3497" spans="1:5" x14ac:dyDescent="0.2">
      <c r="A3497" s="135">
        <v>11963</v>
      </c>
      <c r="B3497" s="1926" t="s">
        <v>13097</v>
      </c>
      <c r="C3497" s="1926" t="s">
        <v>39</v>
      </c>
      <c r="D3497" s="1926" t="s">
        <v>40</v>
      </c>
      <c r="E3497" s="1662">
        <v>6.99</v>
      </c>
    </row>
    <row r="3498" spans="1:5" x14ac:dyDescent="0.2">
      <c r="A3498" s="135">
        <v>11964</v>
      </c>
      <c r="B3498" s="1926" t="s">
        <v>13098</v>
      </c>
      <c r="C3498" s="1926" t="s">
        <v>39</v>
      </c>
      <c r="D3498" s="1926" t="s">
        <v>40</v>
      </c>
      <c r="E3498" s="1662">
        <v>1.76</v>
      </c>
    </row>
    <row r="3499" spans="1:5" x14ac:dyDescent="0.2">
      <c r="A3499" s="135">
        <v>4379</v>
      </c>
      <c r="B3499" s="1926" t="s">
        <v>13099</v>
      </c>
      <c r="C3499" s="1926" t="s">
        <v>39</v>
      </c>
      <c r="D3499" s="1926" t="s">
        <v>40</v>
      </c>
      <c r="E3499" s="1662">
        <v>0.03</v>
      </c>
    </row>
    <row r="3500" spans="1:5" x14ac:dyDescent="0.2">
      <c r="A3500" s="135">
        <v>4377</v>
      </c>
      <c r="B3500" s="1926" t="s">
        <v>13100</v>
      </c>
      <c r="C3500" s="1926" t="s">
        <v>39</v>
      </c>
      <c r="D3500" s="1926" t="s">
        <v>40</v>
      </c>
      <c r="E3500" s="1662">
        <v>0.13</v>
      </c>
    </row>
    <row r="3501" spans="1:5" x14ac:dyDescent="0.2">
      <c r="A3501" s="135">
        <v>4356</v>
      </c>
      <c r="B3501" s="1926" t="s">
        <v>13101</v>
      </c>
      <c r="C3501" s="1926" t="s">
        <v>39</v>
      </c>
      <c r="D3501" s="1926" t="s">
        <v>40</v>
      </c>
      <c r="E3501" s="1662">
        <v>0.19</v>
      </c>
    </row>
    <row r="3502" spans="1:5" x14ac:dyDescent="0.2">
      <c r="A3502" s="135">
        <v>13246</v>
      </c>
      <c r="B3502" s="1926" t="s">
        <v>13102</v>
      </c>
      <c r="C3502" s="1926" t="s">
        <v>39</v>
      </c>
      <c r="D3502" s="1926" t="s">
        <v>40</v>
      </c>
      <c r="E3502" s="1662">
        <v>0.33</v>
      </c>
    </row>
    <row r="3503" spans="1:5" x14ac:dyDescent="0.2">
      <c r="A3503" s="135">
        <v>4346</v>
      </c>
      <c r="B3503" s="1926" t="s">
        <v>13103</v>
      </c>
      <c r="C3503" s="1926" t="s">
        <v>39</v>
      </c>
      <c r="D3503" s="1926" t="s">
        <v>40</v>
      </c>
      <c r="E3503" s="1662">
        <v>7.49</v>
      </c>
    </row>
    <row r="3504" spans="1:5" x14ac:dyDescent="0.2">
      <c r="A3504" s="135">
        <v>11955</v>
      </c>
      <c r="B3504" s="1926" t="s">
        <v>13104</v>
      </c>
      <c r="C3504" s="1926" t="s">
        <v>39</v>
      </c>
      <c r="D3504" s="1926" t="s">
        <v>40</v>
      </c>
      <c r="E3504" s="1662">
        <v>3.28</v>
      </c>
    </row>
    <row r="3505" spans="1:5" x14ac:dyDescent="0.2">
      <c r="A3505" s="135">
        <v>11960</v>
      </c>
      <c r="B3505" s="1926" t="s">
        <v>13105</v>
      </c>
      <c r="C3505" s="1926" t="s">
        <v>39</v>
      </c>
      <c r="D3505" s="1926" t="s">
        <v>40</v>
      </c>
      <c r="E3505" s="1662">
        <v>0.11</v>
      </c>
    </row>
    <row r="3506" spans="1:5" x14ac:dyDescent="0.2">
      <c r="A3506" s="135">
        <v>4333</v>
      </c>
      <c r="B3506" s="1926" t="s">
        <v>13106</v>
      </c>
      <c r="C3506" s="1926" t="s">
        <v>39</v>
      </c>
      <c r="D3506" s="1926" t="s">
        <v>40</v>
      </c>
      <c r="E3506" s="1662">
        <v>0.19</v>
      </c>
    </row>
    <row r="3507" spans="1:5" x14ac:dyDescent="0.2">
      <c r="A3507" s="135">
        <v>4358</v>
      </c>
      <c r="B3507" s="1926" t="s">
        <v>13107</v>
      </c>
      <c r="C3507" s="1926" t="s">
        <v>39</v>
      </c>
      <c r="D3507" s="1926" t="s">
        <v>40</v>
      </c>
      <c r="E3507" s="1662">
        <v>1.5</v>
      </c>
    </row>
    <row r="3508" spans="1:5" x14ac:dyDescent="0.2">
      <c r="A3508" s="135">
        <v>39435</v>
      </c>
      <c r="B3508" s="1926" t="s">
        <v>13108</v>
      </c>
      <c r="C3508" s="1926" t="s">
        <v>39</v>
      </c>
      <c r="D3508" s="1926" t="s">
        <v>40</v>
      </c>
      <c r="E3508" s="1662">
        <v>7.0000000000000007E-2</v>
      </c>
    </row>
    <row r="3509" spans="1:5" x14ac:dyDescent="0.2">
      <c r="A3509" s="135">
        <v>39436</v>
      </c>
      <c r="B3509" s="1926" t="s">
        <v>13109</v>
      </c>
      <c r="C3509" s="1926" t="s">
        <v>39</v>
      </c>
      <c r="D3509" s="1926" t="s">
        <v>40</v>
      </c>
      <c r="E3509" s="1662">
        <v>0.13</v>
      </c>
    </row>
    <row r="3510" spans="1:5" x14ac:dyDescent="0.2">
      <c r="A3510" s="135">
        <v>39437</v>
      </c>
      <c r="B3510" s="1926" t="s">
        <v>13110</v>
      </c>
      <c r="C3510" s="1926" t="s">
        <v>39</v>
      </c>
      <c r="D3510" s="1926" t="s">
        <v>40</v>
      </c>
      <c r="E3510" s="1662">
        <v>0.17</v>
      </c>
    </row>
    <row r="3511" spans="1:5" x14ac:dyDescent="0.2">
      <c r="A3511" s="135">
        <v>39439</v>
      </c>
      <c r="B3511" s="1926" t="s">
        <v>13111</v>
      </c>
      <c r="C3511" s="1926" t="s">
        <v>39</v>
      </c>
      <c r="D3511" s="1926" t="s">
        <v>40</v>
      </c>
      <c r="E3511" s="1662">
        <v>0.11</v>
      </c>
    </row>
    <row r="3512" spans="1:5" x14ac:dyDescent="0.2">
      <c r="A3512" s="135">
        <v>39440</v>
      </c>
      <c r="B3512" s="1926" t="s">
        <v>13112</v>
      </c>
      <c r="C3512" s="1926" t="s">
        <v>39</v>
      </c>
      <c r="D3512" s="1926" t="s">
        <v>40</v>
      </c>
      <c r="E3512" s="1662">
        <v>0.15</v>
      </c>
    </row>
    <row r="3513" spans="1:5" x14ac:dyDescent="0.2">
      <c r="A3513" s="135">
        <v>39441</v>
      </c>
      <c r="B3513" s="1926" t="s">
        <v>13113</v>
      </c>
      <c r="C3513" s="1926" t="s">
        <v>39</v>
      </c>
      <c r="D3513" s="1926" t="s">
        <v>40</v>
      </c>
      <c r="E3513" s="1662">
        <v>0.19</v>
      </c>
    </row>
    <row r="3514" spans="1:5" x14ac:dyDescent="0.2">
      <c r="A3514" s="135">
        <v>39442</v>
      </c>
      <c r="B3514" s="1926" t="s">
        <v>13114</v>
      </c>
      <c r="C3514" s="1926" t="s">
        <v>39</v>
      </c>
      <c r="D3514" s="1926" t="s">
        <v>40</v>
      </c>
      <c r="E3514" s="1662">
        <v>0.13</v>
      </c>
    </row>
    <row r="3515" spans="1:5" x14ac:dyDescent="0.2">
      <c r="A3515" s="135">
        <v>39443</v>
      </c>
      <c r="B3515" s="1926" t="s">
        <v>13115</v>
      </c>
      <c r="C3515" s="1926" t="s">
        <v>39</v>
      </c>
      <c r="D3515" s="1926" t="s">
        <v>40</v>
      </c>
      <c r="E3515" s="1662">
        <v>0.18</v>
      </c>
    </row>
    <row r="3516" spans="1:5" x14ac:dyDescent="0.2">
      <c r="A3516" s="135">
        <v>4329</v>
      </c>
      <c r="B3516" s="1926" t="s">
        <v>13116</v>
      </c>
      <c r="C3516" s="1926" t="s">
        <v>39</v>
      </c>
      <c r="D3516" s="1926" t="s">
        <v>43</v>
      </c>
      <c r="E3516" s="1662">
        <v>1.6</v>
      </c>
    </row>
    <row r="3517" spans="1:5" x14ac:dyDescent="0.2">
      <c r="A3517" s="135">
        <v>4383</v>
      </c>
      <c r="B3517" s="1926" t="s">
        <v>13117</v>
      </c>
      <c r="C3517" s="1926" t="s">
        <v>39</v>
      </c>
      <c r="D3517" s="1926" t="s">
        <v>40</v>
      </c>
      <c r="E3517" s="1662">
        <v>14.46</v>
      </c>
    </row>
    <row r="3518" spans="1:5" x14ac:dyDescent="0.2">
      <c r="A3518" s="135">
        <v>4344</v>
      </c>
      <c r="B3518" s="1926" t="s">
        <v>13118</v>
      </c>
      <c r="C3518" s="1926" t="s">
        <v>39</v>
      </c>
      <c r="D3518" s="1926" t="s">
        <v>40</v>
      </c>
      <c r="E3518" s="1662">
        <v>15.16</v>
      </c>
    </row>
    <row r="3519" spans="1:5" x14ac:dyDescent="0.2">
      <c r="A3519" s="135">
        <v>436</v>
      </c>
      <c r="B3519" s="1926" t="s">
        <v>13119</v>
      </c>
      <c r="C3519" s="1926" t="s">
        <v>39</v>
      </c>
      <c r="D3519" s="1926" t="s">
        <v>46</v>
      </c>
      <c r="E3519" s="1662">
        <v>6.24</v>
      </c>
    </row>
    <row r="3520" spans="1:5" x14ac:dyDescent="0.2">
      <c r="A3520" s="135">
        <v>442</v>
      </c>
      <c r="B3520" s="1926" t="s">
        <v>13120</v>
      </c>
      <c r="C3520" s="1926" t="s">
        <v>39</v>
      </c>
      <c r="D3520" s="1926" t="s">
        <v>46</v>
      </c>
      <c r="E3520" s="1662">
        <v>3.69</v>
      </c>
    </row>
    <row r="3521" spans="1:5" x14ac:dyDescent="0.2">
      <c r="A3521" s="135">
        <v>11953</v>
      </c>
      <c r="B3521" s="1926" t="s">
        <v>13121</v>
      </c>
      <c r="C3521" s="1926" t="s">
        <v>39</v>
      </c>
      <c r="D3521" s="1926" t="s">
        <v>40</v>
      </c>
      <c r="E3521" s="1662">
        <v>2.4</v>
      </c>
    </row>
    <row r="3522" spans="1:5" x14ac:dyDescent="0.2">
      <c r="A3522" s="135">
        <v>4335</v>
      </c>
      <c r="B3522" s="1926" t="s">
        <v>13122</v>
      </c>
      <c r="C3522" s="1926" t="s">
        <v>39</v>
      </c>
      <c r="D3522" s="1926" t="s">
        <v>40</v>
      </c>
      <c r="E3522" s="1662">
        <v>10.18</v>
      </c>
    </row>
    <row r="3523" spans="1:5" x14ac:dyDescent="0.2">
      <c r="A3523" s="135">
        <v>4334</v>
      </c>
      <c r="B3523" s="1926" t="s">
        <v>13123</v>
      </c>
      <c r="C3523" s="1926" t="s">
        <v>39</v>
      </c>
      <c r="D3523" s="1926" t="s">
        <v>40</v>
      </c>
      <c r="E3523" s="1662">
        <v>13.96</v>
      </c>
    </row>
    <row r="3524" spans="1:5" x14ac:dyDescent="0.2">
      <c r="A3524" s="135">
        <v>4343</v>
      </c>
      <c r="B3524" s="1926" t="s">
        <v>13124</v>
      </c>
      <c r="C3524" s="1926" t="s">
        <v>39</v>
      </c>
      <c r="D3524" s="1926" t="s">
        <v>40</v>
      </c>
      <c r="E3524" s="1662">
        <v>3.43</v>
      </c>
    </row>
    <row r="3525" spans="1:5" x14ac:dyDescent="0.2">
      <c r="A3525" s="135">
        <v>430</v>
      </c>
      <c r="B3525" s="1926" t="s">
        <v>13125</v>
      </c>
      <c r="C3525" s="1926" t="s">
        <v>39</v>
      </c>
      <c r="D3525" s="1926" t="s">
        <v>46</v>
      </c>
      <c r="E3525" s="1662">
        <v>5.58</v>
      </c>
    </row>
    <row r="3526" spans="1:5" x14ac:dyDescent="0.2">
      <c r="A3526" s="135">
        <v>441</v>
      </c>
      <c r="B3526" s="1926" t="s">
        <v>13126</v>
      </c>
      <c r="C3526" s="1926" t="s">
        <v>39</v>
      </c>
      <c r="D3526" s="1926" t="s">
        <v>46</v>
      </c>
      <c r="E3526" s="1662">
        <v>6.15</v>
      </c>
    </row>
    <row r="3527" spans="1:5" x14ac:dyDescent="0.2">
      <c r="A3527" s="135">
        <v>431</v>
      </c>
      <c r="B3527" s="1926" t="s">
        <v>13127</v>
      </c>
      <c r="C3527" s="1926" t="s">
        <v>39</v>
      </c>
      <c r="D3527" s="1926" t="s">
        <v>46</v>
      </c>
      <c r="E3527" s="1662">
        <v>7.42</v>
      </c>
    </row>
    <row r="3528" spans="1:5" x14ac:dyDescent="0.2">
      <c r="A3528" s="135">
        <v>432</v>
      </c>
      <c r="B3528" s="1926" t="s">
        <v>13128</v>
      </c>
      <c r="C3528" s="1926" t="s">
        <v>39</v>
      </c>
      <c r="D3528" s="1926" t="s">
        <v>46</v>
      </c>
      <c r="E3528" s="1662">
        <v>8.19</v>
      </c>
    </row>
    <row r="3529" spans="1:5" x14ac:dyDescent="0.2">
      <c r="A3529" s="135">
        <v>429</v>
      </c>
      <c r="B3529" s="1926" t="s">
        <v>13129</v>
      </c>
      <c r="C3529" s="1926" t="s">
        <v>39</v>
      </c>
      <c r="D3529" s="1926" t="s">
        <v>46</v>
      </c>
      <c r="E3529" s="1662">
        <v>11.04</v>
      </c>
    </row>
    <row r="3530" spans="1:5" x14ac:dyDescent="0.2">
      <c r="A3530" s="135">
        <v>439</v>
      </c>
      <c r="B3530" s="1926" t="s">
        <v>13130</v>
      </c>
      <c r="C3530" s="1926" t="s">
        <v>39</v>
      </c>
      <c r="D3530" s="1926" t="s">
        <v>46</v>
      </c>
      <c r="E3530" s="1662">
        <v>9.41</v>
      </c>
    </row>
    <row r="3531" spans="1:5" x14ac:dyDescent="0.2">
      <c r="A3531" s="135">
        <v>433</v>
      </c>
      <c r="B3531" s="1926" t="s">
        <v>13131</v>
      </c>
      <c r="C3531" s="1926" t="s">
        <v>39</v>
      </c>
      <c r="D3531" s="1926" t="s">
        <v>46</v>
      </c>
      <c r="E3531" s="1662">
        <v>10.98</v>
      </c>
    </row>
    <row r="3532" spans="1:5" x14ac:dyDescent="0.2">
      <c r="A3532" s="135">
        <v>437</v>
      </c>
      <c r="B3532" s="1926" t="s">
        <v>13132</v>
      </c>
      <c r="C3532" s="1926" t="s">
        <v>39</v>
      </c>
      <c r="D3532" s="1926" t="s">
        <v>46</v>
      </c>
      <c r="E3532" s="1662">
        <v>14.59</v>
      </c>
    </row>
    <row r="3533" spans="1:5" x14ac:dyDescent="0.2">
      <c r="A3533" s="135">
        <v>11790</v>
      </c>
      <c r="B3533" s="1926" t="s">
        <v>13133</v>
      </c>
      <c r="C3533" s="1926" t="s">
        <v>39</v>
      </c>
      <c r="D3533" s="1926" t="s">
        <v>46</v>
      </c>
      <c r="E3533" s="1662">
        <v>16.55</v>
      </c>
    </row>
    <row r="3534" spans="1:5" x14ac:dyDescent="0.2">
      <c r="A3534" s="135">
        <v>428</v>
      </c>
      <c r="B3534" s="1926" t="s">
        <v>13134</v>
      </c>
      <c r="C3534" s="1926" t="s">
        <v>39</v>
      </c>
      <c r="D3534" s="1926" t="s">
        <v>46</v>
      </c>
      <c r="E3534" s="1662">
        <v>18</v>
      </c>
    </row>
    <row r="3535" spans="1:5" x14ac:dyDescent="0.2">
      <c r="A3535" s="135">
        <v>4384</v>
      </c>
      <c r="B3535" s="1926" t="s">
        <v>13135</v>
      </c>
      <c r="C3535" s="1926" t="s">
        <v>39</v>
      </c>
      <c r="D3535" s="1926" t="s">
        <v>40</v>
      </c>
      <c r="E3535" s="1662">
        <v>16.62</v>
      </c>
    </row>
    <row r="3536" spans="1:5" x14ac:dyDescent="0.2">
      <c r="A3536" s="135">
        <v>4351</v>
      </c>
      <c r="B3536" s="1926" t="s">
        <v>13136</v>
      </c>
      <c r="C3536" s="1926" t="s">
        <v>39</v>
      </c>
      <c r="D3536" s="1926" t="s">
        <v>40</v>
      </c>
      <c r="E3536" s="1662">
        <v>12.32</v>
      </c>
    </row>
    <row r="3537" spans="1:5" x14ac:dyDescent="0.2">
      <c r="A3537" s="135">
        <v>11054</v>
      </c>
      <c r="B3537" s="1926" t="s">
        <v>13137</v>
      </c>
      <c r="C3537" s="1926" t="s">
        <v>39</v>
      </c>
      <c r="D3537" s="1926" t="s">
        <v>40</v>
      </c>
      <c r="E3537" s="1662">
        <v>0.02</v>
      </c>
    </row>
    <row r="3538" spans="1:5" x14ac:dyDescent="0.2">
      <c r="A3538" s="135">
        <v>11055</v>
      </c>
      <c r="B3538" s="1926" t="s">
        <v>13138</v>
      </c>
      <c r="C3538" s="1926" t="s">
        <v>39</v>
      </c>
      <c r="D3538" s="1926" t="s">
        <v>40</v>
      </c>
      <c r="E3538" s="1662">
        <v>0.04</v>
      </c>
    </row>
    <row r="3539" spans="1:5" x14ac:dyDescent="0.2">
      <c r="A3539" s="135">
        <v>11056</v>
      </c>
      <c r="B3539" s="1926" t="s">
        <v>13139</v>
      </c>
      <c r="C3539" s="1926" t="s">
        <v>39</v>
      </c>
      <c r="D3539" s="1926" t="s">
        <v>40</v>
      </c>
      <c r="E3539" s="1662">
        <v>0.05</v>
      </c>
    </row>
    <row r="3540" spans="1:5" x14ac:dyDescent="0.2">
      <c r="A3540" s="135">
        <v>11057</v>
      </c>
      <c r="B3540" s="1926" t="s">
        <v>13140</v>
      </c>
      <c r="C3540" s="1926" t="s">
        <v>39</v>
      </c>
      <c r="D3540" s="1926" t="s">
        <v>40</v>
      </c>
      <c r="E3540" s="1662">
        <v>0.1</v>
      </c>
    </row>
    <row r="3541" spans="1:5" x14ac:dyDescent="0.2">
      <c r="A3541" s="135">
        <v>11059</v>
      </c>
      <c r="B3541" s="1926" t="s">
        <v>13141</v>
      </c>
      <c r="C3541" s="1926" t="s">
        <v>39</v>
      </c>
      <c r="D3541" s="1926" t="s">
        <v>40</v>
      </c>
      <c r="E3541" s="1662">
        <v>0.19</v>
      </c>
    </row>
    <row r="3542" spans="1:5" x14ac:dyDescent="0.2">
      <c r="A3542" s="135">
        <v>11058</v>
      </c>
      <c r="B3542" s="1926" t="s">
        <v>13142</v>
      </c>
      <c r="C3542" s="1926" t="s">
        <v>39</v>
      </c>
      <c r="D3542" s="1926" t="s">
        <v>40</v>
      </c>
      <c r="E3542" s="1662">
        <v>0.25</v>
      </c>
    </row>
    <row r="3543" spans="1:5" x14ac:dyDescent="0.2">
      <c r="A3543" s="135">
        <v>4380</v>
      </c>
      <c r="B3543" s="1926" t="s">
        <v>13143</v>
      </c>
      <c r="C3543" s="1926" t="s">
        <v>39</v>
      </c>
      <c r="D3543" s="1926" t="s">
        <v>40</v>
      </c>
      <c r="E3543" s="1662">
        <v>0.85</v>
      </c>
    </row>
    <row r="3544" spans="1:5" x14ac:dyDescent="0.2">
      <c r="A3544" s="135">
        <v>4299</v>
      </c>
      <c r="B3544" s="1926" t="s">
        <v>13144</v>
      </c>
      <c r="C3544" s="1926" t="s">
        <v>39</v>
      </c>
      <c r="D3544" s="1926" t="s">
        <v>43</v>
      </c>
      <c r="E3544" s="1662">
        <v>0.8</v>
      </c>
    </row>
    <row r="3545" spans="1:5" x14ac:dyDescent="0.2">
      <c r="A3545" s="135">
        <v>4304</v>
      </c>
      <c r="B3545" s="1926" t="s">
        <v>13145</v>
      </c>
      <c r="C3545" s="1926" t="s">
        <v>39</v>
      </c>
      <c r="D3545" s="1926" t="s">
        <v>40</v>
      </c>
      <c r="E3545" s="1662">
        <v>1.0900000000000001</v>
      </c>
    </row>
    <row r="3546" spans="1:5" x14ac:dyDescent="0.2">
      <c r="A3546" s="135">
        <v>4305</v>
      </c>
      <c r="B3546" s="1926" t="s">
        <v>13146</v>
      </c>
      <c r="C3546" s="1926" t="s">
        <v>39</v>
      </c>
      <c r="D3546" s="1926" t="s">
        <v>40</v>
      </c>
      <c r="E3546" s="1662">
        <v>1.26</v>
      </c>
    </row>
    <row r="3547" spans="1:5" x14ac:dyDescent="0.2">
      <c r="A3547" s="135">
        <v>4306</v>
      </c>
      <c r="B3547" s="1926" t="s">
        <v>13147</v>
      </c>
      <c r="C3547" s="1926" t="s">
        <v>39</v>
      </c>
      <c r="D3547" s="1926" t="s">
        <v>40</v>
      </c>
      <c r="E3547" s="1662">
        <v>1.47</v>
      </c>
    </row>
    <row r="3548" spans="1:5" x14ac:dyDescent="0.2">
      <c r="A3548" s="135">
        <v>4308</v>
      </c>
      <c r="B3548" s="1926" t="s">
        <v>13148</v>
      </c>
      <c r="C3548" s="1926" t="s">
        <v>39</v>
      </c>
      <c r="D3548" s="1926" t="s">
        <v>40</v>
      </c>
      <c r="E3548" s="1662">
        <v>3.04</v>
      </c>
    </row>
    <row r="3549" spans="1:5" x14ac:dyDescent="0.2">
      <c r="A3549" s="135">
        <v>4302</v>
      </c>
      <c r="B3549" s="1926" t="s">
        <v>13149</v>
      </c>
      <c r="C3549" s="1926" t="s">
        <v>39</v>
      </c>
      <c r="D3549" s="1926" t="s">
        <v>40</v>
      </c>
      <c r="E3549" s="1662">
        <v>2.2799999999999998</v>
      </c>
    </row>
    <row r="3550" spans="1:5" x14ac:dyDescent="0.2">
      <c r="A3550" s="135">
        <v>4300</v>
      </c>
      <c r="B3550" s="1926" t="s">
        <v>13150</v>
      </c>
      <c r="C3550" s="1926" t="s">
        <v>39</v>
      </c>
      <c r="D3550" s="1926" t="s">
        <v>40</v>
      </c>
      <c r="E3550" s="1662">
        <v>0.54</v>
      </c>
    </row>
    <row r="3551" spans="1:5" x14ac:dyDescent="0.2">
      <c r="A3551" s="135">
        <v>4301</v>
      </c>
      <c r="B3551" s="1926" t="s">
        <v>13151</v>
      </c>
      <c r="C3551" s="1926" t="s">
        <v>39</v>
      </c>
      <c r="D3551" s="1926" t="s">
        <v>40</v>
      </c>
      <c r="E3551" s="1662">
        <v>0.66</v>
      </c>
    </row>
    <row r="3552" spans="1:5" x14ac:dyDescent="0.2">
      <c r="A3552" s="135">
        <v>4320</v>
      </c>
      <c r="B3552" s="1926" t="s">
        <v>13152</v>
      </c>
      <c r="C3552" s="1926" t="s">
        <v>39</v>
      </c>
      <c r="D3552" s="1926" t="s">
        <v>40</v>
      </c>
      <c r="E3552" s="1662">
        <v>2.0099999999999998</v>
      </c>
    </row>
    <row r="3553" spans="1:5" x14ac:dyDescent="0.2">
      <c r="A3553" s="135">
        <v>4318</v>
      </c>
      <c r="B3553" s="1926" t="s">
        <v>13153</v>
      </c>
      <c r="C3553" s="1926" t="s">
        <v>39</v>
      </c>
      <c r="D3553" s="1926" t="s">
        <v>40</v>
      </c>
      <c r="E3553" s="1662">
        <v>0.98</v>
      </c>
    </row>
    <row r="3554" spans="1:5" x14ac:dyDescent="0.2">
      <c r="A3554" s="135">
        <v>40547</v>
      </c>
      <c r="B3554" s="1926" t="s">
        <v>13154</v>
      </c>
      <c r="C3554" s="1926" t="s">
        <v>60</v>
      </c>
      <c r="D3554" s="1926" t="s">
        <v>40</v>
      </c>
      <c r="E3554" s="1662">
        <v>20.2</v>
      </c>
    </row>
    <row r="3555" spans="1:5" x14ac:dyDescent="0.2">
      <c r="A3555" s="135">
        <v>11962</v>
      </c>
      <c r="B3555" s="1926" t="s">
        <v>13155</v>
      </c>
      <c r="C3555" s="1926" t="s">
        <v>39</v>
      </c>
      <c r="D3555" s="1926" t="s">
        <v>40</v>
      </c>
      <c r="E3555" s="1662">
        <v>0.16</v>
      </c>
    </row>
    <row r="3556" spans="1:5" x14ac:dyDescent="0.2">
      <c r="A3556" s="135">
        <v>4332</v>
      </c>
      <c r="B3556" s="1926" t="s">
        <v>13156</v>
      </c>
      <c r="C3556" s="1926" t="s">
        <v>39</v>
      </c>
      <c r="D3556" s="1926" t="s">
        <v>40</v>
      </c>
      <c r="E3556" s="1662">
        <v>0.8</v>
      </c>
    </row>
    <row r="3557" spans="1:5" x14ac:dyDescent="0.2">
      <c r="A3557" s="135">
        <v>4331</v>
      </c>
      <c r="B3557" s="1926" t="s">
        <v>13157</v>
      </c>
      <c r="C3557" s="1926" t="s">
        <v>39</v>
      </c>
      <c r="D3557" s="1926" t="s">
        <v>40</v>
      </c>
      <c r="E3557" s="1662">
        <v>3.03</v>
      </c>
    </row>
    <row r="3558" spans="1:5" x14ac:dyDescent="0.2">
      <c r="A3558" s="135">
        <v>4336</v>
      </c>
      <c r="B3558" s="1926" t="s">
        <v>13158</v>
      </c>
      <c r="C3558" s="1926" t="s">
        <v>39</v>
      </c>
      <c r="D3558" s="1926" t="s">
        <v>40</v>
      </c>
      <c r="E3558" s="1662">
        <v>3.88</v>
      </c>
    </row>
    <row r="3559" spans="1:5" x14ac:dyDescent="0.2">
      <c r="A3559" s="135">
        <v>13294</v>
      </c>
      <c r="B3559" s="1926" t="s">
        <v>13159</v>
      </c>
      <c r="C3559" s="1926" t="s">
        <v>39</v>
      </c>
      <c r="D3559" s="1926" t="s">
        <v>40</v>
      </c>
      <c r="E3559" s="1662">
        <v>1.1100000000000001</v>
      </c>
    </row>
    <row r="3560" spans="1:5" x14ac:dyDescent="0.2">
      <c r="A3560" s="135">
        <v>11948</v>
      </c>
      <c r="B3560" s="1926" t="s">
        <v>13160</v>
      </c>
      <c r="C3560" s="1926" t="s">
        <v>39</v>
      </c>
      <c r="D3560" s="1926" t="s">
        <v>40</v>
      </c>
      <c r="E3560" s="1662">
        <v>0.5</v>
      </c>
    </row>
    <row r="3561" spans="1:5" x14ac:dyDescent="0.2">
      <c r="A3561" s="135">
        <v>4382</v>
      </c>
      <c r="B3561" s="1926" t="s">
        <v>13161</v>
      </c>
      <c r="C3561" s="1926" t="s">
        <v>39</v>
      </c>
      <c r="D3561" s="1926" t="s">
        <v>40</v>
      </c>
      <c r="E3561" s="1662">
        <v>0.83</v>
      </c>
    </row>
    <row r="3562" spans="1:5" x14ac:dyDescent="0.2">
      <c r="A3562" s="135">
        <v>4354</v>
      </c>
      <c r="B3562" s="1926" t="s">
        <v>13162</v>
      </c>
      <c r="C3562" s="1926" t="s">
        <v>39</v>
      </c>
      <c r="D3562" s="1926" t="s">
        <v>40</v>
      </c>
      <c r="E3562" s="1662">
        <v>34.78</v>
      </c>
    </row>
    <row r="3563" spans="1:5" x14ac:dyDescent="0.2">
      <c r="A3563" s="135">
        <v>40839</v>
      </c>
      <c r="B3563" s="1926" t="s">
        <v>13163</v>
      </c>
      <c r="C3563" s="1926" t="s">
        <v>60</v>
      </c>
      <c r="D3563" s="1926" t="s">
        <v>40</v>
      </c>
      <c r="E3563" s="1662">
        <v>83.69</v>
      </c>
    </row>
    <row r="3564" spans="1:5" x14ac:dyDescent="0.2">
      <c r="A3564" s="135">
        <v>40552</v>
      </c>
      <c r="B3564" s="1926" t="s">
        <v>13164</v>
      </c>
      <c r="C3564" s="1926" t="s">
        <v>60</v>
      </c>
      <c r="D3564" s="1926" t="s">
        <v>40</v>
      </c>
      <c r="E3564" s="1662">
        <v>34.630000000000003</v>
      </c>
    </row>
    <row r="3565" spans="1:5" x14ac:dyDescent="0.2">
      <c r="A3565" s="135">
        <v>40549</v>
      </c>
      <c r="B3565" s="1926" t="s">
        <v>13165</v>
      </c>
      <c r="C3565" s="1926" t="s">
        <v>60</v>
      </c>
      <c r="D3565" s="1926" t="s">
        <v>40</v>
      </c>
      <c r="E3565" s="1662">
        <v>137.08000000000001</v>
      </c>
    </row>
    <row r="3566" spans="1:5" x14ac:dyDescent="0.2">
      <c r="A3566" s="135">
        <v>4385</v>
      </c>
      <c r="B3566" s="1926" t="s">
        <v>13166</v>
      </c>
      <c r="C3566" s="1926" t="s">
        <v>54</v>
      </c>
      <c r="D3566" s="1926" t="s">
        <v>46</v>
      </c>
      <c r="E3566" s="1662">
        <v>1212</v>
      </c>
    </row>
    <row r="3567" spans="1:5" x14ac:dyDescent="0.2">
      <c r="A3567" s="135">
        <v>38397</v>
      </c>
      <c r="B3567" s="1926" t="s">
        <v>13167</v>
      </c>
      <c r="C3567" s="1926" t="s">
        <v>48</v>
      </c>
      <c r="D3567" s="1926" t="s">
        <v>40</v>
      </c>
      <c r="E3567" s="1662">
        <v>4.68</v>
      </c>
    </row>
    <row r="3568" spans="1:5" x14ac:dyDescent="0.2">
      <c r="A3568" s="135">
        <v>20078</v>
      </c>
      <c r="B3568" s="1926" t="s">
        <v>13168</v>
      </c>
      <c r="C3568" s="1926" t="s">
        <v>39</v>
      </c>
      <c r="D3568" s="1926" t="s">
        <v>40</v>
      </c>
      <c r="E3568" s="1662">
        <v>20.8</v>
      </c>
    </row>
    <row r="3569" spans="1:5" x14ac:dyDescent="0.2">
      <c r="A3569" s="135">
        <v>20079</v>
      </c>
      <c r="B3569" s="1926" t="s">
        <v>13169</v>
      </c>
      <c r="C3569" s="1926" t="s">
        <v>39</v>
      </c>
      <c r="D3569" s="1926" t="s">
        <v>40</v>
      </c>
      <c r="E3569" s="1662">
        <v>129.75</v>
      </c>
    </row>
    <row r="3570" spans="1:5" x14ac:dyDescent="0.2">
      <c r="A3570" s="135">
        <v>39897</v>
      </c>
      <c r="B3570" s="1926" t="s">
        <v>13170</v>
      </c>
      <c r="C3570" s="1926" t="s">
        <v>39</v>
      </c>
      <c r="D3570" s="1926" t="s">
        <v>46</v>
      </c>
      <c r="E3570" s="1662">
        <v>33.61</v>
      </c>
    </row>
    <row r="3571" spans="1:5" x14ac:dyDescent="0.2">
      <c r="A3571" s="135">
        <v>118</v>
      </c>
      <c r="B3571" s="1926" t="s">
        <v>13171</v>
      </c>
      <c r="C3571" s="1926" t="s">
        <v>39</v>
      </c>
      <c r="D3571" s="1926" t="s">
        <v>40</v>
      </c>
      <c r="E3571" s="1662">
        <v>78.64</v>
      </c>
    </row>
    <row r="3572" spans="1:5" x14ac:dyDescent="0.2">
      <c r="A3572" s="135">
        <v>4396</v>
      </c>
      <c r="B3572" s="1926" t="s">
        <v>13172</v>
      </c>
      <c r="C3572" s="1926" t="s">
        <v>45</v>
      </c>
      <c r="D3572" s="1926" t="s">
        <v>43</v>
      </c>
      <c r="E3572" s="1662">
        <v>123.08</v>
      </c>
    </row>
    <row r="3573" spans="1:5" x14ac:dyDescent="0.2">
      <c r="A3573" s="135">
        <v>36881</v>
      </c>
      <c r="B3573" s="1926" t="s">
        <v>13173</v>
      </c>
      <c r="C3573" s="1926" t="s">
        <v>45</v>
      </c>
      <c r="D3573" s="1926" t="s">
        <v>40</v>
      </c>
      <c r="E3573" s="1662">
        <v>109.98</v>
      </c>
    </row>
    <row r="3574" spans="1:5" x14ac:dyDescent="0.2">
      <c r="A3574" s="135">
        <v>36882</v>
      </c>
      <c r="B3574" s="1926" t="s">
        <v>13174</v>
      </c>
      <c r="C3574" s="1926" t="s">
        <v>45</v>
      </c>
      <c r="D3574" s="1926" t="s">
        <v>40</v>
      </c>
      <c r="E3574" s="1662">
        <v>128.31</v>
      </c>
    </row>
    <row r="3575" spans="1:5" x14ac:dyDescent="0.2">
      <c r="A3575" s="135">
        <v>4397</v>
      </c>
      <c r="B3575" s="1926" t="s">
        <v>13175</v>
      </c>
      <c r="C3575" s="1926" t="s">
        <v>45</v>
      </c>
      <c r="D3575" s="1926" t="s">
        <v>40</v>
      </c>
      <c r="E3575" s="1662">
        <v>199.58</v>
      </c>
    </row>
    <row r="3576" spans="1:5" x14ac:dyDescent="0.2">
      <c r="A3576" s="135">
        <v>34754</v>
      </c>
      <c r="B3576" s="1926" t="s">
        <v>13176</v>
      </c>
      <c r="C3576" s="1926" t="s">
        <v>45</v>
      </c>
      <c r="D3576" s="1926" t="s">
        <v>40</v>
      </c>
      <c r="E3576" s="1662">
        <v>369.57</v>
      </c>
    </row>
    <row r="3577" spans="1:5" x14ac:dyDescent="0.2">
      <c r="A3577" s="135">
        <v>25962</v>
      </c>
      <c r="B3577" s="1926" t="s">
        <v>13177</v>
      </c>
      <c r="C3577" s="1926" t="s">
        <v>45</v>
      </c>
      <c r="D3577" s="1926" t="s">
        <v>40</v>
      </c>
      <c r="E3577" s="1662">
        <v>234.07</v>
      </c>
    </row>
    <row r="3578" spans="1:5" x14ac:dyDescent="0.2">
      <c r="A3578" s="135">
        <v>34752</v>
      </c>
      <c r="B3578" s="1926" t="s">
        <v>13178</v>
      </c>
      <c r="C3578" s="1926" t="s">
        <v>45</v>
      </c>
      <c r="D3578" s="1926" t="s">
        <v>40</v>
      </c>
      <c r="E3578" s="1662">
        <v>412.19</v>
      </c>
    </row>
    <row r="3579" spans="1:5" x14ac:dyDescent="0.2">
      <c r="A3579" s="135">
        <v>4751</v>
      </c>
      <c r="B3579" s="1926" t="s">
        <v>13179</v>
      </c>
      <c r="C3579" s="1926" t="s">
        <v>42</v>
      </c>
      <c r="D3579" s="1926" t="s">
        <v>40</v>
      </c>
      <c r="E3579" s="1662">
        <v>15.42</v>
      </c>
    </row>
    <row r="3580" spans="1:5" x14ac:dyDescent="0.2">
      <c r="A3580" s="135">
        <v>41066</v>
      </c>
      <c r="B3580" s="1926" t="s">
        <v>13180</v>
      </c>
      <c r="C3580" s="1926" t="s">
        <v>51</v>
      </c>
      <c r="D3580" s="1926" t="s">
        <v>40</v>
      </c>
      <c r="E3580" s="1662">
        <v>2752.77</v>
      </c>
    </row>
    <row r="3581" spans="1:5" x14ac:dyDescent="0.2">
      <c r="A3581" s="135">
        <v>39604</v>
      </c>
      <c r="B3581" s="1926" t="s">
        <v>13181</v>
      </c>
      <c r="C3581" s="1926" t="s">
        <v>39</v>
      </c>
      <c r="D3581" s="1926" t="s">
        <v>40</v>
      </c>
      <c r="E3581" s="1662">
        <v>10.029999999999999</v>
      </c>
    </row>
    <row r="3582" spans="1:5" x14ac:dyDescent="0.2">
      <c r="A3582" s="135">
        <v>39605</v>
      </c>
      <c r="B3582" s="1926" t="s">
        <v>13182</v>
      </c>
      <c r="C3582" s="1926" t="s">
        <v>39</v>
      </c>
      <c r="D3582" s="1926" t="s">
        <v>40</v>
      </c>
      <c r="E3582" s="1662">
        <v>13.92</v>
      </c>
    </row>
    <row r="3583" spans="1:5" x14ac:dyDescent="0.2">
      <c r="A3583" s="135">
        <v>39606</v>
      </c>
      <c r="B3583" s="1926" t="s">
        <v>13183</v>
      </c>
      <c r="C3583" s="1926" t="s">
        <v>39</v>
      </c>
      <c r="D3583" s="1926" t="s">
        <v>40</v>
      </c>
      <c r="E3583" s="1662">
        <v>17.68</v>
      </c>
    </row>
    <row r="3584" spans="1:5" x14ac:dyDescent="0.2">
      <c r="A3584" s="135">
        <v>39607</v>
      </c>
      <c r="B3584" s="1926" t="s">
        <v>13184</v>
      </c>
      <c r="C3584" s="1926" t="s">
        <v>39</v>
      </c>
      <c r="D3584" s="1926" t="s">
        <v>40</v>
      </c>
      <c r="E3584" s="1662">
        <v>20.28</v>
      </c>
    </row>
    <row r="3585" spans="1:5" x14ac:dyDescent="0.2">
      <c r="A3585" s="135">
        <v>39594</v>
      </c>
      <c r="B3585" s="1926" t="s">
        <v>13185</v>
      </c>
      <c r="C3585" s="1926" t="s">
        <v>39</v>
      </c>
      <c r="D3585" s="1926" t="s">
        <v>43</v>
      </c>
      <c r="E3585" s="1662">
        <v>192</v>
      </c>
    </row>
    <row r="3586" spans="1:5" x14ac:dyDescent="0.2">
      <c r="A3586" s="135">
        <v>39596</v>
      </c>
      <c r="B3586" s="1926" t="s">
        <v>13186</v>
      </c>
      <c r="C3586" s="1926" t="s">
        <v>39</v>
      </c>
      <c r="D3586" s="1926" t="s">
        <v>40</v>
      </c>
      <c r="E3586" s="1662">
        <v>334.65</v>
      </c>
    </row>
    <row r="3587" spans="1:5" x14ac:dyDescent="0.2">
      <c r="A3587" s="135">
        <v>39595</v>
      </c>
      <c r="B3587" s="1926" t="s">
        <v>13187</v>
      </c>
      <c r="C3587" s="1926" t="s">
        <v>39</v>
      </c>
      <c r="D3587" s="1926" t="s">
        <v>40</v>
      </c>
      <c r="E3587" s="1662">
        <v>280.91000000000003</v>
      </c>
    </row>
    <row r="3588" spans="1:5" x14ac:dyDescent="0.2">
      <c r="A3588" s="135">
        <v>39597</v>
      </c>
      <c r="B3588" s="1926" t="s">
        <v>13188</v>
      </c>
      <c r="C3588" s="1926" t="s">
        <v>39</v>
      </c>
      <c r="D3588" s="1926" t="s">
        <v>40</v>
      </c>
      <c r="E3588" s="1662">
        <v>451.29</v>
      </c>
    </row>
    <row r="3589" spans="1:5" x14ac:dyDescent="0.2">
      <c r="A3589" s="135">
        <v>20209</v>
      </c>
      <c r="B3589" s="1926" t="s">
        <v>13189</v>
      </c>
      <c r="C3589" s="1926" t="s">
        <v>47</v>
      </c>
      <c r="D3589" s="1926" t="s">
        <v>40</v>
      </c>
      <c r="E3589" s="1662">
        <v>16.73</v>
      </c>
    </row>
    <row r="3590" spans="1:5" x14ac:dyDescent="0.2">
      <c r="A3590" s="135">
        <v>4433</v>
      </c>
      <c r="B3590" s="1926" t="s">
        <v>13190</v>
      </c>
      <c r="C3590" s="1926" t="s">
        <v>47</v>
      </c>
      <c r="D3590" s="1926" t="s">
        <v>40</v>
      </c>
      <c r="E3590" s="1662">
        <v>12.17</v>
      </c>
    </row>
    <row r="3591" spans="1:5" x14ac:dyDescent="0.2">
      <c r="A3591" s="135">
        <v>10731</v>
      </c>
      <c r="B3591" s="1926" t="s">
        <v>13191</v>
      </c>
      <c r="C3591" s="1926" t="s">
        <v>45</v>
      </c>
      <c r="D3591" s="1926" t="s">
        <v>43</v>
      </c>
      <c r="E3591" s="1662">
        <v>24.86</v>
      </c>
    </row>
    <row r="3592" spans="1:5" x14ac:dyDescent="0.2">
      <c r="A3592" s="135">
        <v>4704</v>
      </c>
      <c r="B3592" s="1926" t="s">
        <v>13192</v>
      </c>
      <c r="C3592" s="1926" t="s">
        <v>45</v>
      </c>
      <c r="D3592" s="1926" t="s">
        <v>40</v>
      </c>
      <c r="E3592" s="1662">
        <v>22.43</v>
      </c>
    </row>
    <row r="3593" spans="1:5" x14ac:dyDescent="0.2">
      <c r="A3593" s="135">
        <v>10730</v>
      </c>
      <c r="B3593" s="1926" t="s">
        <v>13193</v>
      </c>
      <c r="C3593" s="1926" t="s">
        <v>45</v>
      </c>
      <c r="D3593" s="1926" t="s">
        <v>40</v>
      </c>
      <c r="E3593" s="1662">
        <v>24.03</v>
      </c>
    </row>
    <row r="3594" spans="1:5" x14ac:dyDescent="0.2">
      <c r="A3594" s="135">
        <v>4729</v>
      </c>
      <c r="B3594" s="1926" t="s">
        <v>13194</v>
      </c>
      <c r="C3594" s="1926" t="s">
        <v>44</v>
      </c>
      <c r="D3594" s="1926" t="s">
        <v>40</v>
      </c>
      <c r="E3594" s="1662">
        <v>94.48</v>
      </c>
    </row>
    <row r="3595" spans="1:5" x14ac:dyDescent="0.2">
      <c r="A3595" s="135">
        <v>4720</v>
      </c>
      <c r="B3595" s="1926" t="s">
        <v>13195</v>
      </c>
      <c r="C3595" s="1926" t="s">
        <v>44</v>
      </c>
      <c r="D3595" s="1926" t="s">
        <v>40</v>
      </c>
      <c r="E3595" s="1662">
        <v>103.31</v>
      </c>
    </row>
    <row r="3596" spans="1:5" x14ac:dyDescent="0.2">
      <c r="A3596" s="135">
        <v>4721</v>
      </c>
      <c r="B3596" s="1926" t="s">
        <v>13196</v>
      </c>
      <c r="C3596" s="1926" t="s">
        <v>44</v>
      </c>
      <c r="D3596" s="1926" t="s">
        <v>40</v>
      </c>
      <c r="E3596" s="1662">
        <v>80.91</v>
      </c>
    </row>
    <row r="3597" spans="1:5" x14ac:dyDescent="0.2">
      <c r="A3597" s="135">
        <v>4718</v>
      </c>
      <c r="B3597" s="1926" t="s">
        <v>13197</v>
      </c>
      <c r="C3597" s="1926" t="s">
        <v>44</v>
      </c>
      <c r="D3597" s="1926" t="s">
        <v>43</v>
      </c>
      <c r="E3597" s="1662">
        <v>80.91</v>
      </c>
    </row>
    <row r="3598" spans="1:5" x14ac:dyDescent="0.2">
      <c r="A3598" s="135">
        <v>4722</v>
      </c>
      <c r="B3598" s="1926" t="s">
        <v>13198</v>
      </c>
      <c r="C3598" s="1926" t="s">
        <v>44</v>
      </c>
      <c r="D3598" s="1926" t="s">
        <v>40</v>
      </c>
      <c r="E3598" s="1662">
        <v>80.91</v>
      </c>
    </row>
    <row r="3599" spans="1:5" x14ac:dyDescent="0.2">
      <c r="A3599" s="135">
        <v>4723</v>
      </c>
      <c r="B3599" s="1926" t="s">
        <v>13199</v>
      </c>
      <c r="C3599" s="1926" t="s">
        <v>44</v>
      </c>
      <c r="D3599" s="1926" t="s">
        <v>40</v>
      </c>
      <c r="E3599" s="1662">
        <v>88.27</v>
      </c>
    </row>
    <row r="3600" spans="1:5" x14ac:dyDescent="0.2">
      <c r="A3600" s="135">
        <v>4727</v>
      </c>
      <c r="B3600" s="1926" t="s">
        <v>13200</v>
      </c>
      <c r="C3600" s="1926" t="s">
        <v>44</v>
      </c>
      <c r="D3600" s="1926" t="s">
        <v>40</v>
      </c>
      <c r="E3600" s="1662">
        <v>90.72</v>
      </c>
    </row>
    <row r="3601" spans="1:5" x14ac:dyDescent="0.2">
      <c r="A3601" s="135">
        <v>4748</v>
      </c>
      <c r="B3601" s="1926" t="s">
        <v>13201</v>
      </c>
      <c r="C3601" s="1926" t="s">
        <v>44</v>
      </c>
      <c r="D3601" s="1926" t="s">
        <v>40</v>
      </c>
      <c r="E3601" s="1662">
        <v>87.53</v>
      </c>
    </row>
    <row r="3602" spans="1:5" x14ac:dyDescent="0.2">
      <c r="A3602" s="135">
        <v>4730</v>
      </c>
      <c r="B3602" s="1926" t="s">
        <v>13202</v>
      </c>
      <c r="C3602" s="1926" t="s">
        <v>44</v>
      </c>
      <c r="D3602" s="1926" t="s">
        <v>40</v>
      </c>
      <c r="E3602" s="1662">
        <v>84.59</v>
      </c>
    </row>
    <row r="3603" spans="1:5" x14ac:dyDescent="0.2">
      <c r="A3603" s="135">
        <v>13186</v>
      </c>
      <c r="B3603" s="1926" t="s">
        <v>13203</v>
      </c>
      <c r="C3603" s="1926" t="s">
        <v>44</v>
      </c>
      <c r="D3603" s="1926" t="s">
        <v>46</v>
      </c>
      <c r="E3603" s="1662">
        <v>72.08</v>
      </c>
    </row>
    <row r="3604" spans="1:5" x14ac:dyDescent="0.2">
      <c r="A3604" s="135">
        <v>10737</v>
      </c>
      <c r="B3604" s="1926" t="s">
        <v>13204</v>
      </c>
      <c r="C3604" s="1926" t="s">
        <v>45</v>
      </c>
      <c r="D3604" s="1926" t="s">
        <v>40</v>
      </c>
      <c r="E3604" s="1662">
        <v>78.12</v>
      </c>
    </row>
    <row r="3605" spans="1:5" x14ac:dyDescent="0.2">
      <c r="A3605" s="135">
        <v>10734</v>
      </c>
      <c r="B3605" s="1926" t="s">
        <v>13205</v>
      </c>
      <c r="C3605" s="1926" t="s">
        <v>45</v>
      </c>
      <c r="D3605" s="1926" t="s">
        <v>40</v>
      </c>
      <c r="E3605" s="1662">
        <v>46.47</v>
      </c>
    </row>
    <row r="3606" spans="1:5" x14ac:dyDescent="0.2">
      <c r="A3606" s="135">
        <v>4708</v>
      </c>
      <c r="B3606" s="1926" t="s">
        <v>13206</v>
      </c>
      <c r="C3606" s="1926" t="s">
        <v>45</v>
      </c>
      <c r="D3606" s="1926" t="s">
        <v>40</v>
      </c>
      <c r="E3606" s="1662">
        <v>90.14</v>
      </c>
    </row>
    <row r="3607" spans="1:5" x14ac:dyDescent="0.2">
      <c r="A3607" s="135">
        <v>4712</v>
      </c>
      <c r="B3607" s="1926" t="s">
        <v>13207</v>
      </c>
      <c r="C3607" s="1926" t="s">
        <v>45</v>
      </c>
      <c r="D3607" s="1926" t="s">
        <v>40</v>
      </c>
      <c r="E3607" s="1662">
        <v>44.07</v>
      </c>
    </row>
    <row r="3608" spans="1:5" x14ac:dyDescent="0.2">
      <c r="A3608" s="135">
        <v>4710</v>
      </c>
      <c r="B3608" s="1926" t="s">
        <v>13208</v>
      </c>
      <c r="C3608" s="1926" t="s">
        <v>45</v>
      </c>
      <c r="D3608" s="1926" t="s">
        <v>40</v>
      </c>
      <c r="E3608" s="1662">
        <v>141.32</v>
      </c>
    </row>
    <row r="3609" spans="1:5" x14ac:dyDescent="0.2">
      <c r="A3609" s="135">
        <v>4746</v>
      </c>
      <c r="B3609" s="1926" t="s">
        <v>13209</v>
      </c>
      <c r="C3609" s="1926" t="s">
        <v>44</v>
      </c>
      <c r="D3609" s="1926" t="s">
        <v>40</v>
      </c>
      <c r="E3609" s="1662">
        <v>78.459999999999994</v>
      </c>
    </row>
    <row r="3610" spans="1:5" x14ac:dyDescent="0.2">
      <c r="A3610" s="135">
        <v>4750</v>
      </c>
      <c r="B3610" s="1926" t="s">
        <v>13210</v>
      </c>
      <c r="C3610" s="1926" t="s">
        <v>42</v>
      </c>
      <c r="D3610" s="1926" t="s">
        <v>43</v>
      </c>
      <c r="E3610" s="1662">
        <v>14.14</v>
      </c>
    </row>
    <row r="3611" spans="1:5" x14ac:dyDescent="0.2">
      <c r="A3611" s="135">
        <v>41065</v>
      </c>
      <c r="B3611" s="1926" t="s">
        <v>13211</v>
      </c>
      <c r="C3611" s="1926" t="s">
        <v>51</v>
      </c>
      <c r="D3611" s="1926" t="s">
        <v>40</v>
      </c>
      <c r="E3611" s="1662">
        <v>2521.06</v>
      </c>
    </row>
    <row r="3612" spans="1:5" x14ac:dyDescent="0.2">
      <c r="A3612" s="135">
        <v>34747</v>
      </c>
      <c r="B3612" s="1926" t="s">
        <v>13212</v>
      </c>
      <c r="C3612" s="1926" t="s">
        <v>47</v>
      </c>
      <c r="D3612" s="1926" t="s">
        <v>40</v>
      </c>
      <c r="E3612" s="1662">
        <v>49.59</v>
      </c>
    </row>
    <row r="3613" spans="1:5" x14ac:dyDescent="0.2">
      <c r="A3613" s="135">
        <v>4826</v>
      </c>
      <c r="B3613" s="1926" t="s">
        <v>13213</v>
      </c>
      <c r="C3613" s="1926" t="s">
        <v>47</v>
      </c>
      <c r="D3613" s="1926" t="s">
        <v>40</v>
      </c>
      <c r="E3613" s="1662">
        <v>53.32</v>
      </c>
    </row>
    <row r="3614" spans="1:5" x14ac:dyDescent="0.2">
      <c r="A3614" s="135">
        <v>41975</v>
      </c>
      <c r="B3614" s="1926" t="s">
        <v>13214</v>
      </c>
      <c r="C3614" s="1926" t="s">
        <v>45</v>
      </c>
      <c r="D3614" s="1926" t="s">
        <v>46</v>
      </c>
      <c r="E3614" s="1662">
        <v>69.56</v>
      </c>
    </row>
    <row r="3615" spans="1:5" x14ac:dyDescent="0.2">
      <c r="A3615" s="135">
        <v>4825</v>
      </c>
      <c r="B3615" s="1926" t="s">
        <v>13215</v>
      </c>
      <c r="C3615" s="1926" t="s">
        <v>47</v>
      </c>
      <c r="D3615" s="1926" t="s">
        <v>40</v>
      </c>
      <c r="E3615" s="1662">
        <v>73.81</v>
      </c>
    </row>
    <row r="3616" spans="1:5" x14ac:dyDescent="0.2">
      <c r="A3616" s="135">
        <v>34744</v>
      </c>
      <c r="B3616" s="1926" t="s">
        <v>13216</v>
      </c>
      <c r="C3616" s="1926" t="s">
        <v>45</v>
      </c>
      <c r="D3616" s="1926" t="s">
        <v>40</v>
      </c>
      <c r="E3616" s="1662">
        <v>27.9</v>
      </c>
    </row>
    <row r="3617" spans="1:5" x14ac:dyDescent="0.2">
      <c r="A3617" s="135">
        <v>39430</v>
      </c>
      <c r="B3617" s="1926" t="s">
        <v>13217</v>
      </c>
      <c r="C3617" s="1926" t="s">
        <v>39</v>
      </c>
      <c r="D3617" s="1926" t="s">
        <v>40</v>
      </c>
      <c r="E3617" s="1662">
        <v>1.21</v>
      </c>
    </row>
    <row r="3618" spans="1:5" x14ac:dyDescent="0.2">
      <c r="A3618" s="135">
        <v>39573</v>
      </c>
      <c r="B3618" s="1926" t="s">
        <v>13218</v>
      </c>
      <c r="C3618" s="1926" t="s">
        <v>39</v>
      </c>
      <c r="D3618" s="1926" t="s">
        <v>40</v>
      </c>
      <c r="E3618" s="1662">
        <v>1.19</v>
      </c>
    </row>
    <row r="3619" spans="1:5" x14ac:dyDescent="0.2">
      <c r="A3619" s="135">
        <v>38410</v>
      </c>
      <c r="B3619" s="1926" t="s">
        <v>13219</v>
      </c>
      <c r="C3619" s="1926" t="s">
        <v>39</v>
      </c>
      <c r="D3619" s="1926" t="s">
        <v>40</v>
      </c>
      <c r="E3619" s="1662">
        <v>11150.93</v>
      </c>
    </row>
    <row r="3620" spans="1:5" x14ac:dyDescent="0.2">
      <c r="A3620" s="135">
        <v>41596</v>
      </c>
      <c r="B3620" s="1926" t="s">
        <v>13220</v>
      </c>
      <c r="C3620" s="1926" t="s">
        <v>48</v>
      </c>
      <c r="D3620" s="1926" t="s">
        <v>46</v>
      </c>
      <c r="E3620" s="1662">
        <v>6.21</v>
      </c>
    </row>
    <row r="3621" spans="1:5" x14ac:dyDescent="0.2">
      <c r="A3621" s="135">
        <v>41598</v>
      </c>
      <c r="B3621" s="1926" t="s">
        <v>13221</v>
      </c>
      <c r="C3621" s="1926" t="s">
        <v>48</v>
      </c>
      <c r="D3621" s="1926" t="s">
        <v>46</v>
      </c>
      <c r="E3621" s="1662">
        <v>6.21</v>
      </c>
    </row>
    <row r="3622" spans="1:5" x14ac:dyDescent="0.2">
      <c r="A3622" s="135">
        <v>41594</v>
      </c>
      <c r="B3622" s="1926" t="s">
        <v>13222</v>
      </c>
      <c r="C3622" s="1926" t="s">
        <v>48</v>
      </c>
      <c r="D3622" s="1926" t="s">
        <v>46</v>
      </c>
      <c r="E3622" s="1662">
        <v>6.31</v>
      </c>
    </row>
    <row r="3623" spans="1:5" x14ac:dyDescent="0.2">
      <c r="A3623" s="135">
        <v>43663</v>
      </c>
      <c r="B3623" s="1926" t="s">
        <v>13223</v>
      </c>
      <c r="C3623" s="1926" t="s">
        <v>48</v>
      </c>
      <c r="D3623" s="1926" t="s">
        <v>46</v>
      </c>
      <c r="E3623" s="1662">
        <v>5.2</v>
      </c>
    </row>
    <row r="3624" spans="1:5" x14ac:dyDescent="0.2">
      <c r="A3624" s="135">
        <v>4766</v>
      </c>
      <c r="B3624" s="1926" t="s">
        <v>13224</v>
      </c>
      <c r="C3624" s="1926" t="s">
        <v>48</v>
      </c>
      <c r="D3624" s="1926" t="s">
        <v>46</v>
      </c>
      <c r="E3624" s="1662">
        <v>4.9000000000000004</v>
      </c>
    </row>
    <row r="3625" spans="1:5" x14ac:dyDescent="0.2">
      <c r="A3625" s="135">
        <v>43664</v>
      </c>
      <c r="B3625" s="1926" t="s">
        <v>13225</v>
      </c>
      <c r="C3625" s="1926" t="s">
        <v>48</v>
      </c>
      <c r="D3625" s="1926" t="s">
        <v>46</v>
      </c>
      <c r="E3625" s="1662">
        <v>5.23</v>
      </c>
    </row>
    <row r="3626" spans="1:5" x14ac:dyDescent="0.2">
      <c r="A3626" s="135">
        <v>43082</v>
      </c>
      <c r="B3626" s="1926" t="s">
        <v>13226</v>
      </c>
      <c r="C3626" s="1926" t="s">
        <v>48</v>
      </c>
      <c r="D3626" s="1926" t="s">
        <v>46</v>
      </c>
      <c r="E3626" s="1662">
        <v>5.7</v>
      </c>
    </row>
    <row r="3627" spans="1:5" x14ac:dyDescent="0.2">
      <c r="A3627" s="135">
        <v>43665</v>
      </c>
      <c r="B3627" s="1926" t="s">
        <v>13227</v>
      </c>
      <c r="C3627" s="1926" t="s">
        <v>48</v>
      </c>
      <c r="D3627" s="1926" t="s">
        <v>46</v>
      </c>
      <c r="E3627" s="1662">
        <v>4.9000000000000004</v>
      </c>
    </row>
    <row r="3628" spans="1:5" x14ac:dyDescent="0.2">
      <c r="A3628" s="135">
        <v>10966</v>
      </c>
      <c r="B3628" s="1926" t="s">
        <v>13228</v>
      </c>
      <c r="C3628" s="1926" t="s">
        <v>48</v>
      </c>
      <c r="D3628" s="1926" t="s">
        <v>46</v>
      </c>
      <c r="E3628" s="1662">
        <v>5.2</v>
      </c>
    </row>
    <row r="3629" spans="1:5" x14ac:dyDescent="0.2">
      <c r="A3629" s="135">
        <v>43692</v>
      </c>
      <c r="B3629" s="1926" t="s">
        <v>13229</v>
      </c>
      <c r="C3629" s="1926" t="s">
        <v>48</v>
      </c>
      <c r="D3629" s="1926" t="s">
        <v>46</v>
      </c>
      <c r="E3629" s="1662">
        <v>5.2</v>
      </c>
    </row>
    <row r="3630" spans="1:5" x14ac:dyDescent="0.2">
      <c r="A3630" s="135">
        <v>43083</v>
      </c>
      <c r="B3630" s="1926" t="s">
        <v>13230</v>
      </c>
      <c r="C3630" s="1926" t="s">
        <v>48</v>
      </c>
      <c r="D3630" s="1926" t="s">
        <v>46</v>
      </c>
      <c r="E3630" s="1662">
        <v>4.93</v>
      </c>
    </row>
    <row r="3631" spans="1:5" x14ac:dyDescent="0.2">
      <c r="A3631" s="135">
        <v>40535</v>
      </c>
      <c r="B3631" s="1926" t="s">
        <v>13231</v>
      </c>
      <c r="C3631" s="1926" t="s">
        <v>48</v>
      </c>
      <c r="D3631" s="1926" t="s">
        <v>46</v>
      </c>
      <c r="E3631" s="1662">
        <v>4.93</v>
      </c>
    </row>
    <row r="3632" spans="1:5" x14ac:dyDescent="0.2">
      <c r="A3632" s="135">
        <v>39427</v>
      </c>
      <c r="B3632" s="1926" t="s">
        <v>13232</v>
      </c>
      <c r="C3632" s="1926" t="s">
        <v>47</v>
      </c>
      <c r="D3632" s="1926" t="s">
        <v>40</v>
      </c>
      <c r="E3632" s="1662">
        <v>3.21</v>
      </c>
    </row>
    <row r="3633" spans="1:5" x14ac:dyDescent="0.2">
      <c r="A3633" s="135">
        <v>39424</v>
      </c>
      <c r="B3633" s="1926" t="s">
        <v>13233</v>
      </c>
      <c r="C3633" s="1926" t="s">
        <v>47</v>
      </c>
      <c r="D3633" s="1926" t="s">
        <v>40</v>
      </c>
      <c r="E3633" s="1662">
        <v>1.91</v>
      </c>
    </row>
    <row r="3634" spans="1:5" x14ac:dyDescent="0.2">
      <c r="A3634" s="135">
        <v>39425</v>
      </c>
      <c r="B3634" s="1926" t="s">
        <v>13234</v>
      </c>
      <c r="C3634" s="1926" t="s">
        <v>47</v>
      </c>
      <c r="D3634" s="1926" t="s">
        <v>40</v>
      </c>
      <c r="E3634" s="1662">
        <v>1.88</v>
      </c>
    </row>
    <row r="3635" spans="1:5" x14ac:dyDescent="0.2">
      <c r="A3635" s="135">
        <v>40664</v>
      </c>
      <c r="B3635" s="1926" t="s">
        <v>13235</v>
      </c>
      <c r="C3635" s="1926" t="s">
        <v>48</v>
      </c>
      <c r="D3635" s="1926" t="s">
        <v>46</v>
      </c>
      <c r="E3635" s="1662">
        <v>10.130000000000001</v>
      </c>
    </row>
    <row r="3636" spans="1:5" x14ac:dyDescent="0.2">
      <c r="A3636" s="135">
        <v>34360</v>
      </c>
      <c r="B3636" s="1926" t="s">
        <v>13236</v>
      </c>
      <c r="C3636" s="1926" t="s">
        <v>48</v>
      </c>
      <c r="D3636" s="1926" t="s">
        <v>46</v>
      </c>
      <c r="E3636" s="1662">
        <v>26.01</v>
      </c>
    </row>
    <row r="3637" spans="1:5" x14ac:dyDescent="0.2">
      <c r="A3637" s="135">
        <v>20259</v>
      </c>
      <c r="B3637" s="1926" t="s">
        <v>13237</v>
      </c>
      <c r="C3637" s="1926" t="s">
        <v>47</v>
      </c>
      <c r="D3637" s="1926" t="s">
        <v>40</v>
      </c>
      <c r="E3637" s="1662">
        <v>8</v>
      </c>
    </row>
    <row r="3638" spans="1:5" x14ac:dyDescent="0.2">
      <c r="A3638" s="135">
        <v>14077</v>
      </c>
      <c r="B3638" s="1926" t="s">
        <v>13238</v>
      </c>
      <c r="C3638" s="1926" t="s">
        <v>47</v>
      </c>
      <c r="D3638" s="1926" t="s">
        <v>40</v>
      </c>
      <c r="E3638" s="1662">
        <v>122.44</v>
      </c>
    </row>
    <row r="3639" spans="1:5" x14ac:dyDescent="0.2">
      <c r="A3639" s="135">
        <v>3678</v>
      </c>
      <c r="B3639" s="1926" t="s">
        <v>13239</v>
      </c>
      <c r="C3639" s="1926" t="s">
        <v>47</v>
      </c>
      <c r="D3639" s="1926" t="s">
        <v>40</v>
      </c>
      <c r="E3639" s="1662">
        <v>55.34</v>
      </c>
    </row>
    <row r="3640" spans="1:5" x14ac:dyDescent="0.2">
      <c r="A3640" s="135">
        <v>39418</v>
      </c>
      <c r="B3640" s="1926" t="s">
        <v>13240</v>
      </c>
      <c r="C3640" s="1926" t="s">
        <v>47</v>
      </c>
      <c r="D3640" s="1926" t="s">
        <v>40</v>
      </c>
      <c r="E3640" s="1662">
        <v>3.59</v>
      </c>
    </row>
    <row r="3641" spans="1:5" x14ac:dyDescent="0.2">
      <c r="A3641" s="135">
        <v>39419</v>
      </c>
      <c r="B3641" s="1926" t="s">
        <v>13241</v>
      </c>
      <c r="C3641" s="1926" t="s">
        <v>47</v>
      </c>
      <c r="D3641" s="1926" t="s">
        <v>40</v>
      </c>
      <c r="E3641" s="1662">
        <v>4.37</v>
      </c>
    </row>
    <row r="3642" spans="1:5" x14ac:dyDescent="0.2">
      <c r="A3642" s="135">
        <v>39420</v>
      </c>
      <c r="B3642" s="1926" t="s">
        <v>13242</v>
      </c>
      <c r="C3642" s="1926" t="s">
        <v>47</v>
      </c>
      <c r="D3642" s="1926" t="s">
        <v>40</v>
      </c>
      <c r="E3642" s="1662">
        <v>4.82</v>
      </c>
    </row>
    <row r="3643" spans="1:5" x14ac:dyDescent="0.2">
      <c r="A3643" s="135">
        <v>39571</v>
      </c>
      <c r="B3643" s="1926" t="s">
        <v>13243</v>
      </c>
      <c r="C3643" s="1926" t="s">
        <v>47</v>
      </c>
      <c r="D3643" s="1926" t="s">
        <v>40</v>
      </c>
      <c r="E3643" s="1662">
        <v>2.91</v>
      </c>
    </row>
    <row r="3644" spans="1:5" x14ac:dyDescent="0.2">
      <c r="A3644" s="135">
        <v>39421</v>
      </c>
      <c r="B3644" s="1926" t="s">
        <v>13244</v>
      </c>
      <c r="C3644" s="1926" t="s">
        <v>47</v>
      </c>
      <c r="D3644" s="1926" t="s">
        <v>40</v>
      </c>
      <c r="E3644" s="1662">
        <v>4.25</v>
      </c>
    </row>
    <row r="3645" spans="1:5" x14ac:dyDescent="0.2">
      <c r="A3645" s="135">
        <v>39422</v>
      </c>
      <c r="B3645" s="1926" t="s">
        <v>13245</v>
      </c>
      <c r="C3645" s="1926" t="s">
        <v>47</v>
      </c>
      <c r="D3645" s="1926" t="s">
        <v>43</v>
      </c>
      <c r="E3645" s="1662">
        <v>4.96</v>
      </c>
    </row>
    <row r="3646" spans="1:5" x14ac:dyDescent="0.2">
      <c r="A3646" s="135">
        <v>39423</v>
      </c>
      <c r="B3646" s="1926" t="s">
        <v>13246</v>
      </c>
      <c r="C3646" s="1926" t="s">
        <v>47</v>
      </c>
      <c r="D3646" s="1926" t="s">
        <v>40</v>
      </c>
      <c r="E3646" s="1662">
        <v>5.76</v>
      </c>
    </row>
    <row r="3647" spans="1:5" x14ac:dyDescent="0.2">
      <c r="A3647" s="135">
        <v>39426</v>
      </c>
      <c r="B3647" s="1926" t="s">
        <v>13247</v>
      </c>
      <c r="C3647" s="1926" t="s">
        <v>47</v>
      </c>
      <c r="D3647" s="1926" t="s">
        <v>40</v>
      </c>
      <c r="E3647" s="1662">
        <v>12.94</v>
      </c>
    </row>
    <row r="3648" spans="1:5" x14ac:dyDescent="0.2">
      <c r="A3648" s="135">
        <v>39429</v>
      </c>
      <c r="B3648" s="1926" t="s">
        <v>13248</v>
      </c>
      <c r="C3648" s="1926" t="s">
        <v>47</v>
      </c>
      <c r="D3648" s="1926" t="s">
        <v>40</v>
      </c>
      <c r="E3648" s="1662">
        <v>4.08</v>
      </c>
    </row>
    <row r="3649" spans="1:5" x14ac:dyDescent="0.2">
      <c r="A3649" s="135">
        <v>39428</v>
      </c>
      <c r="B3649" s="1926" t="s">
        <v>13249</v>
      </c>
      <c r="C3649" s="1926" t="s">
        <v>47</v>
      </c>
      <c r="D3649" s="1926" t="s">
        <v>40</v>
      </c>
      <c r="E3649" s="1662">
        <v>3.12</v>
      </c>
    </row>
    <row r="3650" spans="1:5" x14ac:dyDescent="0.2">
      <c r="A3650" s="135">
        <v>39572</v>
      </c>
      <c r="B3650" s="1926" t="s">
        <v>13250</v>
      </c>
      <c r="C3650" s="1926" t="s">
        <v>47</v>
      </c>
      <c r="D3650" s="1926" t="s">
        <v>40</v>
      </c>
      <c r="E3650" s="1662">
        <v>2.7</v>
      </c>
    </row>
    <row r="3651" spans="1:5" x14ac:dyDescent="0.2">
      <c r="A3651" s="135">
        <v>39570</v>
      </c>
      <c r="B3651" s="1926" t="s">
        <v>13251</v>
      </c>
      <c r="C3651" s="1926" t="s">
        <v>47</v>
      </c>
      <c r="D3651" s="1926" t="s">
        <v>40</v>
      </c>
      <c r="E3651" s="1662">
        <v>2.86</v>
      </c>
    </row>
    <row r="3652" spans="1:5" x14ac:dyDescent="0.2">
      <c r="A3652" s="135">
        <v>39569</v>
      </c>
      <c r="B3652" s="1926" t="s">
        <v>13252</v>
      </c>
      <c r="C3652" s="1926" t="s">
        <v>47</v>
      </c>
      <c r="D3652" s="1926" t="s">
        <v>40</v>
      </c>
      <c r="E3652" s="1662">
        <v>2.83</v>
      </c>
    </row>
    <row r="3653" spans="1:5" x14ac:dyDescent="0.2">
      <c r="A3653" s="135">
        <v>11552</v>
      </c>
      <c r="B3653" s="1926" t="s">
        <v>13253</v>
      </c>
      <c r="C3653" s="1926" t="s">
        <v>47</v>
      </c>
      <c r="D3653" s="1926" t="s">
        <v>40</v>
      </c>
      <c r="E3653" s="1662">
        <v>7.86</v>
      </c>
    </row>
    <row r="3654" spans="1:5" x14ac:dyDescent="0.2">
      <c r="A3654" s="135">
        <v>40598</v>
      </c>
      <c r="B3654" s="1926" t="s">
        <v>13254</v>
      </c>
      <c r="C3654" s="1926" t="s">
        <v>48</v>
      </c>
      <c r="D3654" s="1926" t="s">
        <v>46</v>
      </c>
      <c r="E3654" s="1662">
        <v>4.8099999999999996</v>
      </c>
    </row>
    <row r="3655" spans="1:5" x14ac:dyDescent="0.2">
      <c r="A3655" s="135">
        <v>39029</v>
      </c>
      <c r="B3655" s="1926" t="s">
        <v>13255</v>
      </c>
      <c r="C3655" s="1926" t="s">
        <v>47</v>
      </c>
      <c r="D3655" s="1926" t="s">
        <v>40</v>
      </c>
      <c r="E3655" s="1662">
        <v>9.14</v>
      </c>
    </row>
    <row r="3656" spans="1:5" x14ac:dyDescent="0.2">
      <c r="A3656" s="135">
        <v>39028</v>
      </c>
      <c r="B3656" s="1926" t="s">
        <v>13256</v>
      </c>
      <c r="C3656" s="1926" t="s">
        <v>47</v>
      </c>
      <c r="D3656" s="1926" t="s">
        <v>40</v>
      </c>
      <c r="E3656" s="1662">
        <v>5.32</v>
      </c>
    </row>
    <row r="3657" spans="1:5" x14ac:dyDescent="0.2">
      <c r="A3657" s="135">
        <v>39328</v>
      </c>
      <c r="B3657" s="1926" t="s">
        <v>13257</v>
      </c>
      <c r="C3657" s="1926" t="s">
        <v>47</v>
      </c>
      <c r="D3657" s="1926" t="s">
        <v>40</v>
      </c>
      <c r="E3657" s="1662">
        <v>2.92</v>
      </c>
    </row>
    <row r="3658" spans="1:5" x14ac:dyDescent="0.2">
      <c r="A3658" s="135">
        <v>38541</v>
      </c>
      <c r="B3658" s="1926" t="s">
        <v>13258</v>
      </c>
      <c r="C3658" s="1926" t="s">
        <v>39</v>
      </c>
      <c r="D3658" s="1926" t="s">
        <v>46</v>
      </c>
      <c r="E3658" s="1662">
        <v>2036776.3</v>
      </c>
    </row>
    <row r="3659" spans="1:5" x14ac:dyDescent="0.2">
      <c r="A3659" s="135">
        <v>38542</v>
      </c>
      <c r="B3659" s="1926" t="s">
        <v>13259</v>
      </c>
      <c r="C3659" s="1926" t="s">
        <v>39</v>
      </c>
      <c r="D3659" s="1926" t="s">
        <v>46</v>
      </c>
      <c r="E3659" s="1662">
        <v>3167105.24</v>
      </c>
    </row>
    <row r="3660" spans="1:5" x14ac:dyDescent="0.2">
      <c r="A3660" s="135">
        <v>38543</v>
      </c>
      <c r="B3660" s="1926" t="s">
        <v>13260</v>
      </c>
      <c r="C3660" s="1926" t="s">
        <v>39</v>
      </c>
      <c r="D3660" s="1926" t="s">
        <v>46</v>
      </c>
      <c r="E3660" s="1662">
        <v>775394.75</v>
      </c>
    </row>
    <row r="3661" spans="1:5" x14ac:dyDescent="0.2">
      <c r="A3661" s="135">
        <v>40406</v>
      </c>
      <c r="B3661" s="1926" t="s">
        <v>13261</v>
      </c>
      <c r="C3661" s="1926" t="s">
        <v>39</v>
      </c>
      <c r="D3661" s="1926" t="s">
        <v>46</v>
      </c>
      <c r="E3661" s="1662">
        <v>44782.65</v>
      </c>
    </row>
    <row r="3662" spans="1:5" x14ac:dyDescent="0.2">
      <c r="A3662" s="135">
        <v>40789</v>
      </c>
      <c r="B3662" s="1926" t="s">
        <v>13262</v>
      </c>
      <c r="C3662" s="1926" t="s">
        <v>39</v>
      </c>
      <c r="D3662" s="1926" t="s">
        <v>46</v>
      </c>
      <c r="E3662" s="1662">
        <v>6453.64</v>
      </c>
    </row>
    <row r="3663" spans="1:5" x14ac:dyDescent="0.2">
      <c r="A3663" s="135">
        <v>40791</v>
      </c>
      <c r="B3663" s="1926" t="s">
        <v>13263</v>
      </c>
      <c r="C3663" s="1926" t="s">
        <v>39</v>
      </c>
      <c r="D3663" s="1926" t="s">
        <v>46</v>
      </c>
      <c r="E3663" s="1662">
        <v>20202.7</v>
      </c>
    </row>
    <row r="3664" spans="1:5" x14ac:dyDescent="0.2">
      <c r="A3664" s="135">
        <v>11651</v>
      </c>
      <c r="B3664" s="1926" t="s">
        <v>13264</v>
      </c>
      <c r="C3664" s="1926" t="s">
        <v>39</v>
      </c>
      <c r="D3664" s="1926" t="s">
        <v>46</v>
      </c>
      <c r="E3664" s="1662">
        <v>11049.14</v>
      </c>
    </row>
    <row r="3665" spans="1:5" x14ac:dyDescent="0.2">
      <c r="A3665" s="135">
        <v>42002</v>
      </c>
      <c r="B3665" s="1926" t="s">
        <v>13265</v>
      </c>
      <c r="C3665" s="1926" t="s">
        <v>39</v>
      </c>
      <c r="D3665" s="1926" t="s">
        <v>46</v>
      </c>
      <c r="E3665" s="1662">
        <v>664106.48</v>
      </c>
    </row>
    <row r="3666" spans="1:5" x14ac:dyDescent="0.2">
      <c r="A3666" s="135">
        <v>40435</v>
      </c>
      <c r="B3666" s="1926" t="s">
        <v>13266</v>
      </c>
      <c r="C3666" s="1926" t="s">
        <v>39</v>
      </c>
      <c r="D3666" s="1926" t="s">
        <v>46</v>
      </c>
      <c r="E3666" s="1662">
        <v>425375</v>
      </c>
    </row>
    <row r="3667" spans="1:5" x14ac:dyDescent="0.2">
      <c r="A3667" s="135">
        <v>39012</v>
      </c>
      <c r="B3667" s="1926" t="s">
        <v>13267</v>
      </c>
      <c r="C3667" s="1926" t="s">
        <v>39</v>
      </c>
      <c r="D3667" s="1926" t="s">
        <v>46</v>
      </c>
      <c r="E3667" s="1662">
        <v>443820</v>
      </c>
    </row>
    <row r="3668" spans="1:5" x14ac:dyDescent="0.2">
      <c r="A3668" s="135">
        <v>13617</v>
      </c>
      <c r="B3668" s="1926" t="s">
        <v>13268</v>
      </c>
      <c r="C3668" s="1926" t="s">
        <v>39</v>
      </c>
      <c r="D3668" s="1926" t="s">
        <v>40</v>
      </c>
      <c r="E3668" s="1662">
        <v>49571.67</v>
      </c>
    </row>
    <row r="3669" spans="1:5" x14ac:dyDescent="0.2">
      <c r="A3669" s="135">
        <v>5327</v>
      </c>
      <c r="B3669" s="1926" t="s">
        <v>13269</v>
      </c>
      <c r="C3669" s="1926" t="s">
        <v>48</v>
      </c>
      <c r="D3669" s="1926" t="s">
        <v>40</v>
      </c>
      <c r="E3669" s="1662">
        <v>27.72</v>
      </c>
    </row>
    <row r="3670" spans="1:5" x14ac:dyDescent="0.2">
      <c r="A3670" s="135">
        <v>35274</v>
      </c>
      <c r="B3670" s="1926" t="s">
        <v>13270</v>
      </c>
      <c r="C3670" s="1926" t="s">
        <v>47</v>
      </c>
      <c r="D3670" s="1926" t="s">
        <v>40</v>
      </c>
      <c r="E3670" s="1662">
        <v>37.43</v>
      </c>
    </row>
    <row r="3671" spans="1:5" x14ac:dyDescent="0.2">
      <c r="A3671" s="135">
        <v>35275</v>
      </c>
      <c r="B3671" s="1926" t="s">
        <v>13271</v>
      </c>
      <c r="C3671" s="1926" t="s">
        <v>47</v>
      </c>
      <c r="D3671" s="1926" t="s">
        <v>40</v>
      </c>
      <c r="E3671" s="1662">
        <v>79.95</v>
      </c>
    </row>
    <row r="3672" spans="1:5" x14ac:dyDescent="0.2">
      <c r="A3672" s="135">
        <v>35276</v>
      </c>
      <c r="B3672" s="1926" t="s">
        <v>13272</v>
      </c>
      <c r="C3672" s="1926" t="s">
        <v>47</v>
      </c>
      <c r="D3672" s="1926" t="s">
        <v>40</v>
      </c>
      <c r="E3672" s="1662">
        <v>130.72</v>
      </c>
    </row>
    <row r="3673" spans="1:5" x14ac:dyDescent="0.2">
      <c r="A3673" s="135">
        <v>38386</v>
      </c>
      <c r="B3673" s="1926" t="s">
        <v>13273</v>
      </c>
      <c r="C3673" s="1926" t="s">
        <v>39</v>
      </c>
      <c r="D3673" s="1926" t="s">
        <v>40</v>
      </c>
      <c r="E3673" s="1662">
        <v>3.98</v>
      </c>
    </row>
    <row r="3674" spans="1:5" x14ac:dyDescent="0.2">
      <c r="A3674" s="135">
        <v>11091</v>
      </c>
      <c r="B3674" s="1926" t="s">
        <v>13274</v>
      </c>
      <c r="C3674" s="1926" t="s">
        <v>39</v>
      </c>
      <c r="D3674" s="1926" t="s">
        <v>40</v>
      </c>
      <c r="E3674" s="1662">
        <v>0.97</v>
      </c>
    </row>
    <row r="3675" spans="1:5" x14ac:dyDescent="0.2">
      <c r="A3675" s="135">
        <v>37586</v>
      </c>
      <c r="B3675" s="1926" t="s">
        <v>13275</v>
      </c>
      <c r="C3675" s="1926" t="s">
        <v>60</v>
      </c>
      <c r="D3675" s="1926" t="s">
        <v>46</v>
      </c>
      <c r="E3675" s="1662">
        <v>32.619999999999997</v>
      </c>
    </row>
    <row r="3676" spans="1:5" x14ac:dyDescent="0.2">
      <c r="A3676" s="135">
        <v>37395</v>
      </c>
      <c r="B3676" s="1926" t="s">
        <v>13276</v>
      </c>
      <c r="C3676" s="1926" t="s">
        <v>60</v>
      </c>
      <c r="D3676" s="1926" t="s">
        <v>46</v>
      </c>
      <c r="E3676" s="1662">
        <v>28.05</v>
      </c>
    </row>
    <row r="3677" spans="1:5" x14ac:dyDescent="0.2">
      <c r="A3677" s="135">
        <v>14147</v>
      </c>
      <c r="B3677" s="1926" t="s">
        <v>13277</v>
      </c>
      <c r="C3677" s="1926" t="s">
        <v>60</v>
      </c>
      <c r="D3677" s="1926" t="s">
        <v>46</v>
      </c>
      <c r="E3677" s="1662">
        <v>37.21</v>
      </c>
    </row>
    <row r="3678" spans="1:5" x14ac:dyDescent="0.2">
      <c r="A3678" s="135">
        <v>37396</v>
      </c>
      <c r="B3678" s="1926" t="s">
        <v>13278</v>
      </c>
      <c r="C3678" s="1926" t="s">
        <v>60</v>
      </c>
      <c r="D3678" s="1926" t="s">
        <v>46</v>
      </c>
      <c r="E3678" s="1662">
        <v>22.95</v>
      </c>
    </row>
    <row r="3679" spans="1:5" x14ac:dyDescent="0.2">
      <c r="A3679" s="135">
        <v>37397</v>
      </c>
      <c r="B3679" s="1926" t="s">
        <v>13279</v>
      </c>
      <c r="C3679" s="1926" t="s">
        <v>60</v>
      </c>
      <c r="D3679" s="1926" t="s">
        <v>46</v>
      </c>
      <c r="E3679" s="1662">
        <v>24.04</v>
      </c>
    </row>
    <row r="3680" spans="1:5" x14ac:dyDescent="0.2">
      <c r="A3680" s="135">
        <v>444</v>
      </c>
      <c r="B3680" s="1926" t="s">
        <v>13280</v>
      </c>
      <c r="C3680" s="1926" t="s">
        <v>39</v>
      </c>
      <c r="D3680" s="1926" t="s">
        <v>46</v>
      </c>
      <c r="E3680" s="1662">
        <v>17.920000000000002</v>
      </c>
    </row>
    <row r="3681" spans="1:5" x14ac:dyDescent="0.2">
      <c r="A3681" s="135">
        <v>445</v>
      </c>
      <c r="B3681" s="1926" t="s">
        <v>13281</v>
      </c>
      <c r="C3681" s="1926" t="s">
        <v>39</v>
      </c>
      <c r="D3681" s="1926" t="s">
        <v>46</v>
      </c>
      <c r="E3681" s="1662">
        <v>24.52</v>
      </c>
    </row>
    <row r="3682" spans="1:5" x14ac:dyDescent="0.2">
      <c r="A3682" s="135">
        <v>4783</v>
      </c>
      <c r="B3682" s="1926" t="s">
        <v>13282</v>
      </c>
      <c r="C3682" s="1926" t="s">
        <v>42</v>
      </c>
      <c r="D3682" s="1926" t="s">
        <v>43</v>
      </c>
      <c r="E3682" s="1662">
        <v>14.14</v>
      </c>
    </row>
    <row r="3683" spans="1:5" x14ac:dyDescent="0.2">
      <c r="A3683" s="135">
        <v>41079</v>
      </c>
      <c r="B3683" s="1926" t="s">
        <v>13283</v>
      </c>
      <c r="C3683" s="1926" t="s">
        <v>51</v>
      </c>
      <c r="D3683" s="1926" t="s">
        <v>40</v>
      </c>
      <c r="E3683" s="1662">
        <v>2521.06</v>
      </c>
    </row>
    <row r="3684" spans="1:5" x14ac:dyDescent="0.2">
      <c r="A3684" s="135">
        <v>12874</v>
      </c>
      <c r="B3684" s="1926" t="s">
        <v>13284</v>
      </c>
      <c r="C3684" s="1926" t="s">
        <v>42</v>
      </c>
      <c r="D3684" s="1926" t="s">
        <v>40</v>
      </c>
      <c r="E3684" s="1662">
        <v>15.25</v>
      </c>
    </row>
    <row r="3685" spans="1:5" x14ac:dyDescent="0.2">
      <c r="A3685" s="135">
        <v>41082</v>
      </c>
      <c r="B3685" s="1926" t="s">
        <v>13285</v>
      </c>
      <c r="C3685" s="1926" t="s">
        <v>51</v>
      </c>
      <c r="D3685" s="1926" t="s">
        <v>40</v>
      </c>
      <c r="E3685" s="1662">
        <v>2720.89</v>
      </c>
    </row>
    <row r="3686" spans="1:5" x14ac:dyDescent="0.2">
      <c r="A3686" s="135">
        <v>4785</v>
      </c>
      <c r="B3686" s="1926" t="s">
        <v>13286</v>
      </c>
      <c r="C3686" s="1926" t="s">
        <v>42</v>
      </c>
      <c r="D3686" s="1926" t="s">
        <v>40</v>
      </c>
      <c r="E3686" s="1662">
        <v>15.2</v>
      </c>
    </row>
    <row r="3687" spans="1:5" x14ac:dyDescent="0.2">
      <c r="A3687" s="135">
        <v>41081</v>
      </c>
      <c r="B3687" s="1926" t="s">
        <v>13287</v>
      </c>
      <c r="C3687" s="1926" t="s">
        <v>51</v>
      </c>
      <c r="D3687" s="1926" t="s">
        <v>40</v>
      </c>
      <c r="E3687" s="1662">
        <v>2711.66</v>
      </c>
    </row>
    <row r="3688" spans="1:5" x14ac:dyDescent="0.2">
      <c r="A3688" s="135">
        <v>4801</v>
      </c>
      <c r="B3688" s="1926" t="s">
        <v>13288</v>
      </c>
      <c r="C3688" s="1926" t="s">
        <v>45</v>
      </c>
      <c r="D3688" s="1926" t="s">
        <v>40</v>
      </c>
      <c r="E3688" s="1662">
        <v>52.82</v>
      </c>
    </row>
    <row r="3689" spans="1:5" x14ac:dyDescent="0.2">
      <c r="A3689" s="135">
        <v>4794</v>
      </c>
      <c r="B3689" s="1926" t="s">
        <v>13289</v>
      </c>
      <c r="C3689" s="1926" t="s">
        <v>45</v>
      </c>
      <c r="D3689" s="1926" t="s">
        <v>40</v>
      </c>
      <c r="E3689" s="1662">
        <v>240.57</v>
      </c>
    </row>
    <row r="3690" spans="1:5" x14ac:dyDescent="0.2">
      <c r="A3690" s="135">
        <v>4796</v>
      </c>
      <c r="B3690" s="1926" t="s">
        <v>13290</v>
      </c>
      <c r="C3690" s="1926" t="s">
        <v>45</v>
      </c>
      <c r="D3690" s="1926" t="s">
        <v>40</v>
      </c>
      <c r="E3690" s="1662">
        <v>146.12</v>
      </c>
    </row>
    <row r="3691" spans="1:5" x14ac:dyDescent="0.2">
      <c r="A3691" s="135">
        <v>4800</v>
      </c>
      <c r="B3691" s="1926" t="s">
        <v>13291</v>
      </c>
      <c r="C3691" s="1926" t="s">
        <v>45</v>
      </c>
      <c r="D3691" s="1926" t="s">
        <v>40</v>
      </c>
      <c r="E3691" s="1662">
        <v>40.18</v>
      </c>
    </row>
    <row r="3692" spans="1:5" x14ac:dyDescent="0.2">
      <c r="A3692" s="135">
        <v>4795</v>
      </c>
      <c r="B3692" s="1926" t="s">
        <v>13292</v>
      </c>
      <c r="C3692" s="1926" t="s">
        <v>45</v>
      </c>
      <c r="D3692" s="1926" t="s">
        <v>40</v>
      </c>
      <c r="E3692" s="1662">
        <v>234.18</v>
      </c>
    </row>
    <row r="3693" spans="1:5" x14ac:dyDescent="0.2">
      <c r="A3693" s="135">
        <v>39694</v>
      </c>
      <c r="B3693" s="1926" t="s">
        <v>13293</v>
      </c>
      <c r="C3693" s="1926" t="s">
        <v>45</v>
      </c>
      <c r="D3693" s="1926" t="s">
        <v>40</v>
      </c>
      <c r="E3693" s="1662">
        <v>188.48</v>
      </c>
    </row>
    <row r="3694" spans="1:5" x14ac:dyDescent="0.2">
      <c r="A3694" s="135">
        <v>1292</v>
      </c>
      <c r="B3694" s="1926" t="s">
        <v>13294</v>
      </c>
      <c r="C3694" s="1926" t="s">
        <v>45</v>
      </c>
      <c r="D3694" s="1926" t="s">
        <v>40</v>
      </c>
      <c r="E3694" s="1662">
        <v>35.67</v>
      </c>
    </row>
    <row r="3695" spans="1:5" x14ac:dyDescent="0.2">
      <c r="A3695" s="135">
        <v>1287</v>
      </c>
      <c r="B3695" s="1926" t="s">
        <v>13295</v>
      </c>
      <c r="C3695" s="1926" t="s">
        <v>45</v>
      </c>
      <c r="D3695" s="1926" t="s">
        <v>43</v>
      </c>
      <c r="E3695" s="1662">
        <v>17.5</v>
      </c>
    </row>
    <row r="3696" spans="1:5" x14ac:dyDescent="0.2">
      <c r="A3696" s="135">
        <v>1297</v>
      </c>
      <c r="B3696" s="1926" t="s">
        <v>13296</v>
      </c>
      <c r="C3696" s="1926" t="s">
        <v>45</v>
      </c>
      <c r="D3696" s="1926" t="s">
        <v>40</v>
      </c>
      <c r="E3696" s="1662">
        <v>14.51</v>
      </c>
    </row>
    <row r="3697" spans="1:5" x14ac:dyDescent="0.2">
      <c r="A3697" s="135">
        <v>4786</v>
      </c>
      <c r="B3697" s="1926" t="s">
        <v>13297</v>
      </c>
      <c r="C3697" s="1926" t="s">
        <v>45</v>
      </c>
      <c r="D3697" s="1926" t="s">
        <v>46</v>
      </c>
      <c r="E3697" s="1662">
        <v>80</v>
      </c>
    </row>
    <row r="3698" spans="1:5" x14ac:dyDescent="0.2">
      <c r="A3698" s="135">
        <v>10840</v>
      </c>
      <c r="B3698" s="1926" t="s">
        <v>13298</v>
      </c>
      <c r="C3698" s="1926" t="s">
        <v>45</v>
      </c>
      <c r="D3698" s="1926" t="s">
        <v>43</v>
      </c>
      <c r="E3698" s="1662">
        <v>330</v>
      </c>
    </row>
    <row r="3699" spans="1:5" x14ac:dyDescent="0.2">
      <c r="A3699" s="135">
        <v>10841</v>
      </c>
      <c r="B3699" s="1926" t="s">
        <v>13299</v>
      </c>
      <c r="C3699" s="1926" t="s">
        <v>45</v>
      </c>
      <c r="D3699" s="1926" t="s">
        <v>40</v>
      </c>
      <c r="E3699" s="1662">
        <v>249.05</v>
      </c>
    </row>
    <row r="3700" spans="1:5" x14ac:dyDescent="0.2">
      <c r="A3700" s="135">
        <v>25980</v>
      </c>
      <c r="B3700" s="1926" t="s">
        <v>13300</v>
      </c>
      <c r="C3700" s="1926" t="s">
        <v>45</v>
      </c>
      <c r="D3700" s="1926" t="s">
        <v>40</v>
      </c>
      <c r="E3700" s="1662">
        <v>318.23</v>
      </c>
    </row>
    <row r="3701" spans="1:5" x14ac:dyDescent="0.2">
      <c r="A3701" s="135">
        <v>10842</v>
      </c>
      <c r="B3701" s="1926" t="s">
        <v>13301</v>
      </c>
      <c r="C3701" s="1926" t="s">
        <v>45</v>
      </c>
      <c r="D3701" s="1926" t="s">
        <v>40</v>
      </c>
      <c r="E3701" s="1662">
        <v>359.74</v>
      </c>
    </row>
    <row r="3702" spans="1:5" x14ac:dyDescent="0.2">
      <c r="A3702" s="135">
        <v>21108</v>
      </c>
      <c r="B3702" s="1926" t="s">
        <v>13302</v>
      </c>
      <c r="C3702" s="1926" t="s">
        <v>45</v>
      </c>
      <c r="D3702" s="1926" t="s">
        <v>40</v>
      </c>
      <c r="E3702" s="1662">
        <v>47.54</v>
      </c>
    </row>
    <row r="3703" spans="1:5" x14ac:dyDescent="0.2">
      <c r="A3703" s="135">
        <v>38180</v>
      </c>
      <c r="B3703" s="1926" t="s">
        <v>13303</v>
      </c>
      <c r="C3703" s="1926" t="s">
        <v>45</v>
      </c>
      <c r="D3703" s="1926" t="s">
        <v>40</v>
      </c>
      <c r="E3703" s="1662">
        <v>117.64</v>
      </c>
    </row>
    <row r="3704" spans="1:5" x14ac:dyDescent="0.2">
      <c r="A3704" s="135">
        <v>40648</v>
      </c>
      <c r="B3704" s="1926" t="s">
        <v>13304</v>
      </c>
      <c r="C3704" s="1926" t="s">
        <v>45</v>
      </c>
      <c r="D3704" s="1926" t="s">
        <v>46</v>
      </c>
      <c r="E3704" s="1662">
        <v>153.6</v>
      </c>
    </row>
    <row r="3705" spans="1:5" x14ac:dyDescent="0.2">
      <c r="A3705" s="135">
        <v>40649</v>
      </c>
      <c r="B3705" s="1926" t="s">
        <v>13305</v>
      </c>
      <c r="C3705" s="1926" t="s">
        <v>45</v>
      </c>
      <c r="D3705" s="1926" t="s">
        <v>46</v>
      </c>
      <c r="E3705" s="1662">
        <v>89.47</v>
      </c>
    </row>
    <row r="3706" spans="1:5" x14ac:dyDescent="0.2">
      <c r="A3706" s="135">
        <v>40650</v>
      </c>
      <c r="B3706" s="1926" t="s">
        <v>13306</v>
      </c>
      <c r="C3706" s="1926" t="s">
        <v>45</v>
      </c>
      <c r="D3706" s="1926" t="s">
        <v>46</v>
      </c>
      <c r="E3706" s="1662">
        <v>115.2</v>
      </c>
    </row>
    <row r="3707" spans="1:5" x14ac:dyDescent="0.2">
      <c r="A3707" s="135">
        <v>40651</v>
      </c>
      <c r="B3707" s="1926" t="s">
        <v>13307</v>
      </c>
      <c r="C3707" s="1926" t="s">
        <v>45</v>
      </c>
      <c r="D3707" s="1926" t="s">
        <v>46</v>
      </c>
      <c r="E3707" s="1662">
        <v>212.48</v>
      </c>
    </row>
    <row r="3708" spans="1:5" x14ac:dyDescent="0.2">
      <c r="A3708" s="135">
        <v>40652</v>
      </c>
      <c r="B3708" s="1926" t="s">
        <v>13308</v>
      </c>
      <c r="C3708" s="1926" t="s">
        <v>45</v>
      </c>
      <c r="D3708" s="1926" t="s">
        <v>46</v>
      </c>
      <c r="E3708" s="1662">
        <v>113.92</v>
      </c>
    </row>
    <row r="3709" spans="1:5" x14ac:dyDescent="0.2">
      <c r="A3709" s="135">
        <v>40647</v>
      </c>
      <c r="B3709" s="1926" t="s">
        <v>13309</v>
      </c>
      <c r="C3709" s="1926" t="s">
        <v>45</v>
      </c>
      <c r="D3709" s="1926" t="s">
        <v>46</v>
      </c>
      <c r="E3709" s="1662">
        <v>125.44</v>
      </c>
    </row>
    <row r="3710" spans="1:5" x14ac:dyDescent="0.2">
      <c r="A3710" s="135">
        <v>40653</v>
      </c>
      <c r="B3710" s="1926" t="s">
        <v>13310</v>
      </c>
      <c r="C3710" s="1926" t="s">
        <v>45</v>
      </c>
      <c r="D3710" s="1926" t="s">
        <v>46</v>
      </c>
      <c r="E3710" s="1662">
        <v>96</v>
      </c>
    </row>
    <row r="3711" spans="1:5" x14ac:dyDescent="0.2">
      <c r="A3711" s="135">
        <v>36178</v>
      </c>
      <c r="B3711" s="1926" t="s">
        <v>13311</v>
      </c>
      <c r="C3711" s="1926" t="s">
        <v>39</v>
      </c>
      <c r="D3711" s="1926" t="s">
        <v>40</v>
      </c>
      <c r="E3711" s="1662">
        <v>7.89</v>
      </c>
    </row>
    <row r="3712" spans="1:5" x14ac:dyDescent="0.2">
      <c r="A3712" s="135">
        <v>38195</v>
      </c>
      <c r="B3712" s="1926" t="s">
        <v>13312</v>
      </c>
      <c r="C3712" s="1926" t="s">
        <v>45</v>
      </c>
      <c r="D3712" s="1926" t="s">
        <v>40</v>
      </c>
      <c r="E3712" s="1662">
        <v>56.15</v>
      </c>
    </row>
    <row r="3713" spans="1:5" x14ac:dyDescent="0.2">
      <c r="A3713" s="135">
        <v>38181</v>
      </c>
      <c r="B3713" s="1926" t="s">
        <v>13313</v>
      </c>
      <c r="C3713" s="1926" t="s">
        <v>45</v>
      </c>
      <c r="D3713" s="1926" t="s">
        <v>40</v>
      </c>
      <c r="E3713" s="1662">
        <v>160.6</v>
      </c>
    </row>
    <row r="3714" spans="1:5" x14ac:dyDescent="0.2">
      <c r="A3714" s="135">
        <v>38182</v>
      </c>
      <c r="B3714" s="1926" t="s">
        <v>13314</v>
      </c>
      <c r="C3714" s="1926" t="s">
        <v>45</v>
      </c>
      <c r="D3714" s="1926" t="s">
        <v>40</v>
      </c>
      <c r="E3714" s="1662">
        <v>152.97999999999999</v>
      </c>
    </row>
    <row r="3715" spans="1:5" x14ac:dyDescent="0.2">
      <c r="A3715" s="135">
        <v>38186</v>
      </c>
      <c r="B3715" s="1926" t="s">
        <v>13315</v>
      </c>
      <c r="C3715" s="1926" t="s">
        <v>45</v>
      </c>
      <c r="D3715" s="1926" t="s">
        <v>40</v>
      </c>
      <c r="E3715" s="1662">
        <v>397.65</v>
      </c>
    </row>
    <row r="3716" spans="1:5" x14ac:dyDescent="0.2">
      <c r="A3716" s="135">
        <v>38185</v>
      </c>
      <c r="B3716" s="1926" t="s">
        <v>13316</v>
      </c>
      <c r="C3716" s="1926" t="s">
        <v>45</v>
      </c>
      <c r="D3716" s="1926" t="s">
        <v>40</v>
      </c>
      <c r="E3716" s="1662">
        <v>354.04</v>
      </c>
    </row>
    <row r="3717" spans="1:5" x14ac:dyDescent="0.2">
      <c r="A3717" s="135">
        <v>40654</v>
      </c>
      <c r="B3717" s="1926" t="s">
        <v>13317</v>
      </c>
      <c r="C3717" s="1926" t="s">
        <v>45</v>
      </c>
      <c r="D3717" s="1926" t="s">
        <v>46</v>
      </c>
      <c r="E3717" s="1662">
        <v>149.12</v>
      </c>
    </row>
    <row r="3718" spans="1:5" x14ac:dyDescent="0.2">
      <c r="A3718" s="135">
        <v>25981</v>
      </c>
      <c r="B3718" s="1926" t="s">
        <v>13318</v>
      </c>
      <c r="C3718" s="1926" t="s">
        <v>45</v>
      </c>
      <c r="D3718" s="1926" t="s">
        <v>40</v>
      </c>
      <c r="E3718" s="1662">
        <v>262.89</v>
      </c>
    </row>
    <row r="3719" spans="1:5" x14ac:dyDescent="0.2">
      <c r="A3719" s="135">
        <v>4822</v>
      </c>
      <c r="B3719" s="1926" t="s">
        <v>13319</v>
      </c>
      <c r="C3719" s="1926" t="s">
        <v>45</v>
      </c>
      <c r="D3719" s="1926" t="s">
        <v>40</v>
      </c>
      <c r="E3719" s="1662">
        <v>204.3</v>
      </c>
    </row>
    <row r="3720" spans="1:5" x14ac:dyDescent="0.2">
      <c r="A3720" s="135">
        <v>4818</v>
      </c>
      <c r="B3720" s="1926" t="s">
        <v>13320</v>
      </c>
      <c r="C3720" s="1926" t="s">
        <v>45</v>
      </c>
      <c r="D3720" s="1926" t="s">
        <v>43</v>
      </c>
      <c r="E3720" s="1662">
        <v>210</v>
      </c>
    </row>
    <row r="3721" spans="1:5" x14ac:dyDescent="0.2">
      <c r="A3721" s="135">
        <v>39567</v>
      </c>
      <c r="B3721" s="1926" t="s">
        <v>13321</v>
      </c>
      <c r="C3721" s="1926" t="s">
        <v>45</v>
      </c>
      <c r="D3721" s="1926" t="s">
        <v>40</v>
      </c>
      <c r="E3721" s="1662">
        <v>50.27</v>
      </c>
    </row>
    <row r="3722" spans="1:5" x14ac:dyDescent="0.2">
      <c r="A3722" s="135">
        <v>39566</v>
      </c>
      <c r="B3722" s="1926" t="s">
        <v>13322</v>
      </c>
      <c r="C3722" s="1926" t="s">
        <v>45</v>
      </c>
      <c r="D3722" s="1926" t="s">
        <v>40</v>
      </c>
      <c r="E3722" s="1662">
        <v>58.06</v>
      </c>
    </row>
    <row r="3723" spans="1:5" x14ac:dyDescent="0.2">
      <c r="A3723" s="135">
        <v>11062</v>
      </c>
      <c r="B3723" s="1926" t="s">
        <v>13323</v>
      </c>
      <c r="C3723" s="1926" t="s">
        <v>45</v>
      </c>
      <c r="D3723" s="1926" t="s">
        <v>40</v>
      </c>
      <c r="E3723" s="1662">
        <v>36.590000000000003</v>
      </c>
    </row>
    <row r="3724" spans="1:5" x14ac:dyDescent="0.2">
      <c r="A3724" s="135">
        <v>11063</v>
      </c>
      <c r="B3724" s="1926" t="s">
        <v>13324</v>
      </c>
      <c r="C3724" s="1926" t="s">
        <v>45</v>
      </c>
      <c r="D3724" s="1926" t="s">
        <v>40</v>
      </c>
      <c r="E3724" s="1662">
        <v>35.42</v>
      </c>
    </row>
    <row r="3725" spans="1:5" x14ac:dyDescent="0.2">
      <c r="A3725" s="135">
        <v>13521</v>
      </c>
      <c r="B3725" s="1926" t="s">
        <v>13325</v>
      </c>
      <c r="C3725" s="1926" t="s">
        <v>39</v>
      </c>
      <c r="D3725" s="1926" t="s">
        <v>40</v>
      </c>
      <c r="E3725" s="1662">
        <v>99</v>
      </c>
    </row>
    <row r="3726" spans="1:5" x14ac:dyDescent="0.2">
      <c r="A3726" s="135">
        <v>10851</v>
      </c>
      <c r="B3726" s="1926" t="s">
        <v>13326</v>
      </c>
      <c r="C3726" s="1926" t="s">
        <v>39</v>
      </c>
      <c r="D3726" s="1926" t="s">
        <v>46</v>
      </c>
      <c r="E3726" s="1662">
        <v>43.79</v>
      </c>
    </row>
    <row r="3727" spans="1:5" x14ac:dyDescent="0.2">
      <c r="A3727" s="135">
        <v>39515</v>
      </c>
      <c r="B3727" s="1926" t="s">
        <v>13327</v>
      </c>
      <c r="C3727" s="1926" t="s">
        <v>39</v>
      </c>
      <c r="D3727" s="1926" t="s">
        <v>46</v>
      </c>
      <c r="E3727" s="1662">
        <v>34.26</v>
      </c>
    </row>
    <row r="3728" spans="1:5" x14ac:dyDescent="0.2">
      <c r="A3728" s="135">
        <v>39516</v>
      </c>
      <c r="B3728" s="1926" t="s">
        <v>13328</v>
      </c>
      <c r="C3728" s="1926" t="s">
        <v>39</v>
      </c>
      <c r="D3728" s="1926" t="s">
        <v>46</v>
      </c>
      <c r="E3728" s="1662">
        <v>28.88</v>
      </c>
    </row>
    <row r="3729" spans="1:5" x14ac:dyDescent="0.2">
      <c r="A3729" s="135">
        <v>39514</v>
      </c>
      <c r="B3729" s="1926" t="s">
        <v>13329</v>
      </c>
      <c r="C3729" s="1926" t="s">
        <v>39</v>
      </c>
      <c r="D3729" s="1926" t="s">
        <v>46</v>
      </c>
      <c r="E3729" s="1662">
        <v>17.97</v>
      </c>
    </row>
    <row r="3730" spans="1:5" x14ac:dyDescent="0.2">
      <c r="A3730" s="135">
        <v>4812</v>
      </c>
      <c r="B3730" s="1926" t="s">
        <v>13330</v>
      </c>
      <c r="C3730" s="1926" t="s">
        <v>45</v>
      </c>
      <c r="D3730" s="1926" t="s">
        <v>43</v>
      </c>
      <c r="E3730" s="1662">
        <v>13.89</v>
      </c>
    </row>
    <row r="3731" spans="1:5" x14ac:dyDescent="0.2">
      <c r="A3731" s="135">
        <v>10849</v>
      </c>
      <c r="B3731" s="1926" t="s">
        <v>13331</v>
      </c>
      <c r="C3731" s="1926" t="s">
        <v>39</v>
      </c>
      <c r="D3731" s="1926" t="s">
        <v>40</v>
      </c>
      <c r="E3731" s="1662">
        <v>1440.01</v>
      </c>
    </row>
    <row r="3732" spans="1:5" x14ac:dyDescent="0.2">
      <c r="A3732" s="135">
        <v>10848</v>
      </c>
      <c r="B3732" s="1926" t="s">
        <v>13332</v>
      </c>
      <c r="C3732" s="1926" t="s">
        <v>39</v>
      </c>
      <c r="D3732" s="1926" t="s">
        <v>40</v>
      </c>
      <c r="E3732" s="1662">
        <v>904.5</v>
      </c>
    </row>
    <row r="3733" spans="1:5" x14ac:dyDescent="0.2">
      <c r="A3733" s="135">
        <v>4813</v>
      </c>
      <c r="B3733" s="1926" t="s">
        <v>13333</v>
      </c>
      <c r="C3733" s="1926" t="s">
        <v>45</v>
      </c>
      <c r="D3733" s="1926" t="s">
        <v>43</v>
      </c>
      <c r="E3733" s="1662">
        <v>300</v>
      </c>
    </row>
    <row r="3734" spans="1:5" x14ac:dyDescent="0.2">
      <c r="A3734" s="135">
        <v>37560</v>
      </c>
      <c r="B3734" s="1926" t="s">
        <v>13334</v>
      </c>
      <c r="C3734" s="1926" t="s">
        <v>39</v>
      </c>
      <c r="D3734" s="1926" t="s">
        <v>40</v>
      </c>
      <c r="E3734" s="1662">
        <v>49.21</v>
      </c>
    </row>
    <row r="3735" spans="1:5" x14ac:dyDescent="0.2">
      <c r="A3735" s="135">
        <v>37557</v>
      </c>
      <c r="B3735" s="1926" t="s">
        <v>13335</v>
      </c>
      <c r="C3735" s="1926" t="s">
        <v>39</v>
      </c>
      <c r="D3735" s="1926" t="s">
        <v>40</v>
      </c>
      <c r="E3735" s="1662">
        <v>14.94</v>
      </c>
    </row>
    <row r="3736" spans="1:5" x14ac:dyDescent="0.2">
      <c r="A3736" s="135">
        <v>37556</v>
      </c>
      <c r="B3736" s="1926" t="s">
        <v>13336</v>
      </c>
      <c r="C3736" s="1926" t="s">
        <v>39</v>
      </c>
      <c r="D3736" s="1926" t="s">
        <v>40</v>
      </c>
      <c r="E3736" s="1662">
        <v>28.91</v>
      </c>
    </row>
    <row r="3737" spans="1:5" x14ac:dyDescent="0.2">
      <c r="A3737" s="135">
        <v>37559</v>
      </c>
      <c r="B3737" s="1926" t="s">
        <v>13337</v>
      </c>
      <c r="C3737" s="1926" t="s">
        <v>39</v>
      </c>
      <c r="D3737" s="1926" t="s">
        <v>40</v>
      </c>
      <c r="E3737" s="1662">
        <v>35.47</v>
      </c>
    </row>
    <row r="3738" spans="1:5" x14ac:dyDescent="0.2">
      <c r="A3738" s="135">
        <v>37539</v>
      </c>
      <c r="B3738" s="1926" t="s">
        <v>13338</v>
      </c>
      <c r="C3738" s="1926" t="s">
        <v>39</v>
      </c>
      <c r="D3738" s="1926" t="s">
        <v>43</v>
      </c>
      <c r="E3738" s="1662">
        <v>25</v>
      </c>
    </row>
    <row r="3739" spans="1:5" x14ac:dyDescent="0.2">
      <c r="A3739" s="135">
        <v>37558</v>
      </c>
      <c r="B3739" s="1926" t="s">
        <v>13339</v>
      </c>
      <c r="C3739" s="1926" t="s">
        <v>39</v>
      </c>
      <c r="D3739" s="1926" t="s">
        <v>40</v>
      </c>
      <c r="E3739" s="1662">
        <v>46.61</v>
      </c>
    </row>
    <row r="3740" spans="1:5" x14ac:dyDescent="0.2">
      <c r="A3740" s="135">
        <v>34723</v>
      </c>
      <c r="B3740" s="1926" t="s">
        <v>13340</v>
      </c>
      <c r="C3740" s="1926" t="s">
        <v>45</v>
      </c>
      <c r="D3740" s="1926" t="s">
        <v>40</v>
      </c>
      <c r="E3740" s="1662">
        <v>693</v>
      </c>
    </row>
    <row r="3741" spans="1:5" x14ac:dyDescent="0.2">
      <c r="A3741" s="135">
        <v>34721</v>
      </c>
      <c r="B3741" s="1926" t="s">
        <v>13341</v>
      </c>
      <c r="C3741" s="1926" t="s">
        <v>45</v>
      </c>
      <c r="D3741" s="1926" t="s">
        <v>40</v>
      </c>
      <c r="E3741" s="1662">
        <v>864</v>
      </c>
    </row>
    <row r="3742" spans="1:5" x14ac:dyDescent="0.2">
      <c r="A3742" s="135">
        <v>4309</v>
      </c>
      <c r="B3742" s="1926" t="s">
        <v>13342</v>
      </c>
      <c r="C3742" s="1926" t="s">
        <v>39</v>
      </c>
      <c r="D3742" s="1926" t="s">
        <v>40</v>
      </c>
      <c r="E3742" s="1662">
        <v>4.38</v>
      </c>
    </row>
    <row r="3743" spans="1:5" x14ac:dyDescent="0.2">
      <c r="A3743" s="135">
        <v>4307</v>
      </c>
      <c r="B3743" s="1926" t="s">
        <v>13343</v>
      </c>
      <c r="C3743" s="1926" t="s">
        <v>39</v>
      </c>
      <c r="D3743" s="1926" t="s">
        <v>40</v>
      </c>
      <c r="E3743" s="1662">
        <v>7.49</v>
      </c>
    </row>
    <row r="3744" spans="1:5" x14ac:dyDescent="0.2">
      <c r="A3744" s="135">
        <v>10850</v>
      </c>
      <c r="B3744" s="1926" t="s">
        <v>13344</v>
      </c>
      <c r="C3744" s="1926" t="s">
        <v>39</v>
      </c>
      <c r="D3744" s="1926" t="s">
        <v>40</v>
      </c>
      <c r="E3744" s="1662">
        <v>45</v>
      </c>
    </row>
    <row r="3745" spans="1:5" x14ac:dyDescent="0.2">
      <c r="A3745" s="135">
        <v>42438</v>
      </c>
      <c r="B3745" s="1926" t="s">
        <v>13345</v>
      </c>
      <c r="C3745" s="1926" t="s">
        <v>39</v>
      </c>
      <c r="D3745" s="1926" t="s">
        <v>46</v>
      </c>
      <c r="E3745" s="1662">
        <v>1196.82</v>
      </c>
    </row>
    <row r="3746" spans="1:5" x14ac:dyDescent="0.2">
      <c r="A3746" s="135">
        <v>4792</v>
      </c>
      <c r="B3746" s="1926" t="s">
        <v>13346</v>
      </c>
      <c r="C3746" s="1926" t="s">
        <v>45</v>
      </c>
      <c r="D3746" s="1926" t="s">
        <v>40</v>
      </c>
      <c r="E3746" s="1662">
        <v>112.93</v>
      </c>
    </row>
    <row r="3747" spans="1:5" x14ac:dyDescent="0.2">
      <c r="A3747" s="135">
        <v>4790</v>
      </c>
      <c r="B3747" s="1926" t="s">
        <v>13347</v>
      </c>
      <c r="C3747" s="1926" t="s">
        <v>45</v>
      </c>
      <c r="D3747" s="1926" t="s">
        <v>43</v>
      </c>
      <c r="E3747" s="1662">
        <v>67.900000000000006</v>
      </c>
    </row>
    <row r="3748" spans="1:5" x14ac:dyDescent="0.2">
      <c r="A3748" s="135">
        <v>40671</v>
      </c>
      <c r="B3748" s="1926" t="s">
        <v>13348</v>
      </c>
      <c r="C3748" s="1926" t="s">
        <v>45</v>
      </c>
      <c r="D3748" s="1926" t="s">
        <v>40</v>
      </c>
      <c r="E3748" s="1662">
        <v>45.01</v>
      </c>
    </row>
    <row r="3749" spans="1:5" x14ac:dyDescent="0.2">
      <c r="A3749" s="135">
        <v>7552</v>
      </c>
      <c r="B3749" s="1926" t="s">
        <v>13349</v>
      </c>
      <c r="C3749" s="1926" t="s">
        <v>39</v>
      </c>
      <c r="D3749" s="1926" t="s">
        <v>46</v>
      </c>
      <c r="E3749" s="1662">
        <v>23.12</v>
      </c>
    </row>
    <row r="3750" spans="1:5" x14ac:dyDescent="0.2">
      <c r="A3750" s="135">
        <v>4893</v>
      </c>
      <c r="B3750" s="1926" t="s">
        <v>13350</v>
      </c>
      <c r="C3750" s="1926" t="s">
        <v>39</v>
      </c>
      <c r="D3750" s="1926" t="s">
        <v>40</v>
      </c>
      <c r="E3750" s="1662">
        <v>7.83</v>
      </c>
    </row>
    <row r="3751" spans="1:5" x14ac:dyDescent="0.2">
      <c r="A3751" s="135">
        <v>4894</v>
      </c>
      <c r="B3751" s="1926" t="s">
        <v>13351</v>
      </c>
      <c r="C3751" s="1926" t="s">
        <v>39</v>
      </c>
      <c r="D3751" s="1926" t="s">
        <v>40</v>
      </c>
      <c r="E3751" s="1662">
        <v>6.72</v>
      </c>
    </row>
    <row r="3752" spans="1:5" x14ac:dyDescent="0.2">
      <c r="A3752" s="135">
        <v>4888</v>
      </c>
      <c r="B3752" s="1926" t="s">
        <v>13352</v>
      </c>
      <c r="C3752" s="1926" t="s">
        <v>39</v>
      </c>
      <c r="D3752" s="1926" t="s">
        <v>40</v>
      </c>
      <c r="E3752" s="1662">
        <v>2.29</v>
      </c>
    </row>
    <row r="3753" spans="1:5" x14ac:dyDescent="0.2">
      <c r="A3753" s="135">
        <v>4890</v>
      </c>
      <c r="B3753" s="1926" t="s">
        <v>13353</v>
      </c>
      <c r="C3753" s="1926" t="s">
        <v>39</v>
      </c>
      <c r="D3753" s="1926" t="s">
        <v>40</v>
      </c>
      <c r="E3753" s="1662">
        <v>4.3</v>
      </c>
    </row>
    <row r="3754" spans="1:5" x14ac:dyDescent="0.2">
      <c r="A3754" s="135">
        <v>12411</v>
      </c>
      <c r="B3754" s="1926" t="s">
        <v>13354</v>
      </c>
      <c r="C3754" s="1926" t="s">
        <v>39</v>
      </c>
      <c r="D3754" s="1926" t="s">
        <v>40</v>
      </c>
      <c r="E3754" s="1662">
        <v>23.16</v>
      </c>
    </row>
    <row r="3755" spans="1:5" x14ac:dyDescent="0.2">
      <c r="A3755" s="135">
        <v>4891</v>
      </c>
      <c r="B3755" s="1926" t="s">
        <v>13355</v>
      </c>
      <c r="C3755" s="1926" t="s">
        <v>39</v>
      </c>
      <c r="D3755" s="1926" t="s">
        <v>40</v>
      </c>
      <c r="E3755" s="1662">
        <v>11.58</v>
      </c>
    </row>
    <row r="3756" spans="1:5" x14ac:dyDescent="0.2">
      <c r="A3756" s="135">
        <v>4889</v>
      </c>
      <c r="B3756" s="1926" t="s">
        <v>13356</v>
      </c>
      <c r="C3756" s="1926" t="s">
        <v>39</v>
      </c>
      <c r="D3756" s="1926" t="s">
        <v>40</v>
      </c>
      <c r="E3756" s="1662">
        <v>3.09</v>
      </c>
    </row>
    <row r="3757" spans="1:5" x14ac:dyDescent="0.2">
      <c r="A3757" s="135">
        <v>4892</v>
      </c>
      <c r="B3757" s="1926" t="s">
        <v>13357</v>
      </c>
      <c r="C3757" s="1926" t="s">
        <v>39</v>
      </c>
      <c r="D3757" s="1926" t="s">
        <v>40</v>
      </c>
      <c r="E3757" s="1662">
        <v>32.43</v>
      </c>
    </row>
    <row r="3758" spans="1:5" x14ac:dyDescent="0.2">
      <c r="A3758" s="135">
        <v>12412</v>
      </c>
      <c r="B3758" s="1926" t="s">
        <v>13358</v>
      </c>
      <c r="C3758" s="1926" t="s">
        <v>39</v>
      </c>
      <c r="D3758" s="1926" t="s">
        <v>40</v>
      </c>
      <c r="E3758" s="1662">
        <v>60.28</v>
      </c>
    </row>
    <row r="3759" spans="1:5" x14ac:dyDescent="0.2">
      <c r="A3759" s="135">
        <v>11073</v>
      </c>
      <c r="B3759" s="1926" t="s">
        <v>13359</v>
      </c>
      <c r="C3759" s="1926" t="s">
        <v>39</v>
      </c>
      <c r="D3759" s="1926" t="s">
        <v>40</v>
      </c>
      <c r="E3759" s="1662">
        <v>3.56</v>
      </c>
    </row>
    <row r="3760" spans="1:5" x14ac:dyDescent="0.2">
      <c r="A3760" s="135">
        <v>11071</v>
      </c>
      <c r="B3760" s="1926" t="s">
        <v>13360</v>
      </c>
      <c r="C3760" s="1926" t="s">
        <v>39</v>
      </c>
      <c r="D3760" s="1926" t="s">
        <v>40</v>
      </c>
      <c r="E3760" s="1662">
        <v>5.77</v>
      </c>
    </row>
    <row r="3761" spans="1:5" x14ac:dyDescent="0.2">
      <c r="A3761" s="135">
        <v>11072</v>
      </c>
      <c r="B3761" s="1926" t="s">
        <v>13361</v>
      </c>
      <c r="C3761" s="1926" t="s">
        <v>39</v>
      </c>
      <c r="D3761" s="1926" t="s">
        <v>40</v>
      </c>
      <c r="E3761" s="1662">
        <v>2.0099999999999998</v>
      </c>
    </row>
    <row r="3762" spans="1:5" x14ac:dyDescent="0.2">
      <c r="A3762" s="135">
        <v>4895</v>
      </c>
      <c r="B3762" s="1926" t="s">
        <v>13362</v>
      </c>
      <c r="C3762" s="1926" t="s">
        <v>39</v>
      </c>
      <c r="D3762" s="1926" t="s">
        <v>40</v>
      </c>
      <c r="E3762" s="1662">
        <v>0.41</v>
      </c>
    </row>
    <row r="3763" spans="1:5" x14ac:dyDescent="0.2">
      <c r="A3763" s="135">
        <v>4907</v>
      </c>
      <c r="B3763" s="1926" t="s">
        <v>13363</v>
      </c>
      <c r="C3763" s="1926" t="s">
        <v>39</v>
      </c>
      <c r="D3763" s="1926" t="s">
        <v>46</v>
      </c>
      <c r="E3763" s="1662">
        <v>19</v>
      </c>
    </row>
    <row r="3764" spans="1:5" x14ac:dyDescent="0.2">
      <c r="A3764" s="135">
        <v>4902</v>
      </c>
      <c r="B3764" s="1926" t="s">
        <v>13364</v>
      </c>
      <c r="C3764" s="1926" t="s">
        <v>39</v>
      </c>
      <c r="D3764" s="1926" t="s">
        <v>46</v>
      </c>
      <c r="E3764" s="1662">
        <v>43</v>
      </c>
    </row>
    <row r="3765" spans="1:5" x14ac:dyDescent="0.2">
      <c r="A3765" s="135">
        <v>4908</v>
      </c>
      <c r="B3765" s="1926" t="s">
        <v>13365</v>
      </c>
      <c r="C3765" s="1926" t="s">
        <v>39</v>
      </c>
      <c r="D3765" s="1926" t="s">
        <v>46</v>
      </c>
      <c r="E3765" s="1662">
        <v>87.33</v>
      </c>
    </row>
    <row r="3766" spans="1:5" x14ac:dyDescent="0.2">
      <c r="A3766" s="135">
        <v>4909</v>
      </c>
      <c r="B3766" s="1926" t="s">
        <v>13366</v>
      </c>
      <c r="C3766" s="1926" t="s">
        <v>39</v>
      </c>
      <c r="D3766" s="1926" t="s">
        <v>46</v>
      </c>
      <c r="E3766" s="1662">
        <v>168.65</v>
      </c>
    </row>
    <row r="3767" spans="1:5" x14ac:dyDescent="0.2">
      <c r="A3767" s="135">
        <v>4903</v>
      </c>
      <c r="B3767" s="1926" t="s">
        <v>13367</v>
      </c>
      <c r="C3767" s="1926" t="s">
        <v>39</v>
      </c>
      <c r="D3767" s="1926" t="s">
        <v>46</v>
      </c>
      <c r="E3767" s="1662">
        <v>495.9</v>
      </c>
    </row>
    <row r="3768" spans="1:5" x14ac:dyDescent="0.2">
      <c r="A3768" s="135">
        <v>4897</v>
      </c>
      <c r="B3768" s="1926" t="s">
        <v>13368</v>
      </c>
      <c r="C3768" s="1926" t="s">
        <v>39</v>
      </c>
      <c r="D3768" s="1926" t="s">
        <v>40</v>
      </c>
      <c r="E3768" s="1662">
        <v>1.74</v>
      </c>
    </row>
    <row r="3769" spans="1:5" x14ac:dyDescent="0.2">
      <c r="A3769" s="135">
        <v>4896</v>
      </c>
      <c r="B3769" s="1926" t="s">
        <v>13369</v>
      </c>
      <c r="C3769" s="1926" t="s">
        <v>39</v>
      </c>
      <c r="D3769" s="1926" t="s">
        <v>40</v>
      </c>
      <c r="E3769" s="1662">
        <v>0.62</v>
      </c>
    </row>
    <row r="3770" spans="1:5" x14ac:dyDescent="0.2">
      <c r="A3770" s="135">
        <v>4900</v>
      </c>
      <c r="B3770" s="1926" t="s">
        <v>13370</v>
      </c>
      <c r="C3770" s="1926" t="s">
        <v>39</v>
      </c>
      <c r="D3770" s="1926" t="s">
        <v>40</v>
      </c>
      <c r="E3770" s="1662">
        <v>5.17</v>
      </c>
    </row>
    <row r="3771" spans="1:5" x14ac:dyDescent="0.2">
      <c r="A3771" s="135">
        <v>4898</v>
      </c>
      <c r="B3771" s="1926" t="s">
        <v>13371</v>
      </c>
      <c r="C3771" s="1926" t="s">
        <v>39</v>
      </c>
      <c r="D3771" s="1926" t="s">
        <v>40</v>
      </c>
      <c r="E3771" s="1662">
        <v>1.93</v>
      </c>
    </row>
    <row r="3772" spans="1:5" x14ac:dyDescent="0.2">
      <c r="A3772" s="135">
        <v>4899</v>
      </c>
      <c r="B3772" s="1926" t="s">
        <v>13372</v>
      </c>
      <c r="C3772" s="1926" t="s">
        <v>39</v>
      </c>
      <c r="D3772" s="1926" t="s">
        <v>40</v>
      </c>
      <c r="E3772" s="1662">
        <v>7.1</v>
      </c>
    </row>
    <row r="3773" spans="1:5" x14ac:dyDescent="0.2">
      <c r="A3773" s="135">
        <v>11096</v>
      </c>
      <c r="B3773" s="1926" t="s">
        <v>13373</v>
      </c>
      <c r="C3773" s="1926" t="s">
        <v>48</v>
      </c>
      <c r="D3773" s="1926" t="s">
        <v>40</v>
      </c>
      <c r="E3773" s="1662">
        <v>0.41</v>
      </c>
    </row>
    <row r="3774" spans="1:5" x14ac:dyDescent="0.2">
      <c r="A3774" s="135">
        <v>4741</v>
      </c>
      <c r="B3774" s="1926" t="s">
        <v>13374</v>
      </c>
      <c r="C3774" s="1926" t="s">
        <v>44</v>
      </c>
      <c r="D3774" s="1926" t="s">
        <v>40</v>
      </c>
      <c r="E3774" s="1662">
        <v>77.239999999999995</v>
      </c>
    </row>
    <row r="3775" spans="1:5" x14ac:dyDescent="0.2">
      <c r="A3775" s="135">
        <v>4752</v>
      </c>
      <c r="B3775" s="1926" t="s">
        <v>13375</v>
      </c>
      <c r="C3775" s="1926" t="s">
        <v>42</v>
      </c>
      <c r="D3775" s="1926" t="s">
        <v>40</v>
      </c>
      <c r="E3775" s="1662">
        <v>9.44</v>
      </c>
    </row>
    <row r="3776" spans="1:5" x14ac:dyDescent="0.2">
      <c r="A3776" s="135">
        <v>41091</v>
      </c>
      <c r="B3776" s="1926" t="s">
        <v>13376</v>
      </c>
      <c r="C3776" s="1926" t="s">
        <v>51</v>
      </c>
      <c r="D3776" s="1926" t="s">
        <v>40</v>
      </c>
      <c r="E3776" s="1662">
        <v>1684.94</v>
      </c>
    </row>
    <row r="3777" spans="1:5" x14ac:dyDescent="0.2">
      <c r="A3777" s="135">
        <v>13954</v>
      </c>
      <c r="B3777" s="1926" t="s">
        <v>13377</v>
      </c>
      <c r="C3777" s="1926" t="s">
        <v>39</v>
      </c>
      <c r="D3777" s="1926" t="s">
        <v>46</v>
      </c>
      <c r="E3777" s="1662">
        <v>5928.07</v>
      </c>
    </row>
    <row r="3778" spans="1:5" x14ac:dyDescent="0.2">
      <c r="A3778" s="135">
        <v>3411</v>
      </c>
      <c r="B3778" s="1926" t="s">
        <v>13378</v>
      </c>
      <c r="C3778" s="1926" t="s">
        <v>48</v>
      </c>
      <c r="D3778" s="1926" t="s">
        <v>46</v>
      </c>
      <c r="E3778" s="1662">
        <v>38.659999999999997</v>
      </c>
    </row>
    <row r="3779" spans="1:5" x14ac:dyDescent="0.2">
      <c r="A3779" s="135">
        <v>39995</v>
      </c>
      <c r="B3779" s="1926" t="s">
        <v>13379</v>
      </c>
      <c r="C3779" s="1926" t="s">
        <v>44</v>
      </c>
      <c r="D3779" s="1926" t="s">
        <v>46</v>
      </c>
      <c r="E3779" s="1662">
        <v>297.42</v>
      </c>
    </row>
    <row r="3780" spans="1:5" x14ac:dyDescent="0.2">
      <c r="A3780" s="135">
        <v>11615</v>
      </c>
      <c r="B3780" s="1926" t="s">
        <v>13380</v>
      </c>
      <c r="C3780" s="1926" t="s">
        <v>45</v>
      </c>
      <c r="D3780" s="1926" t="s">
        <v>46</v>
      </c>
      <c r="E3780" s="1662">
        <v>2.52</v>
      </c>
    </row>
    <row r="3781" spans="1:5" x14ac:dyDescent="0.2">
      <c r="A3781" s="135">
        <v>3408</v>
      </c>
      <c r="B3781" s="1926" t="s">
        <v>13381</v>
      </c>
      <c r="C3781" s="1926" t="s">
        <v>45</v>
      </c>
      <c r="D3781" s="1926" t="s">
        <v>46</v>
      </c>
      <c r="E3781" s="1662">
        <v>6.7</v>
      </c>
    </row>
    <row r="3782" spans="1:5" x14ac:dyDescent="0.2">
      <c r="A3782" s="135">
        <v>3409</v>
      </c>
      <c r="B3782" s="1926" t="s">
        <v>13382</v>
      </c>
      <c r="C3782" s="1926" t="s">
        <v>45</v>
      </c>
      <c r="D3782" s="1926" t="s">
        <v>46</v>
      </c>
      <c r="E3782" s="1662">
        <v>16.75</v>
      </c>
    </row>
    <row r="3783" spans="1:5" x14ac:dyDescent="0.2">
      <c r="A3783" s="135">
        <v>11427</v>
      </c>
      <c r="B3783" s="1926" t="s">
        <v>13383</v>
      </c>
      <c r="C3783" s="1926" t="s">
        <v>48</v>
      </c>
      <c r="D3783" s="1926" t="s">
        <v>46</v>
      </c>
      <c r="E3783" s="1662">
        <v>76.66</v>
      </c>
    </row>
    <row r="3784" spans="1:5" x14ac:dyDescent="0.2">
      <c r="A3784" s="135">
        <v>4491</v>
      </c>
      <c r="B3784" s="1926" t="s">
        <v>13384</v>
      </c>
      <c r="C3784" s="1926" t="s">
        <v>47</v>
      </c>
      <c r="D3784" s="1926" t="s">
        <v>40</v>
      </c>
      <c r="E3784" s="1662">
        <v>3.56</v>
      </c>
    </row>
    <row r="3785" spans="1:5" x14ac:dyDescent="0.2">
      <c r="A3785" s="135">
        <v>26022</v>
      </c>
      <c r="B3785" s="1926" t="s">
        <v>13385</v>
      </c>
      <c r="C3785" s="1926" t="s">
        <v>39</v>
      </c>
      <c r="D3785" s="1926" t="s">
        <v>40</v>
      </c>
      <c r="E3785" s="1662">
        <v>182.97</v>
      </c>
    </row>
    <row r="3786" spans="1:5" x14ac:dyDescent="0.2">
      <c r="A3786" s="135">
        <v>421</v>
      </c>
      <c r="B3786" s="1926" t="s">
        <v>13386</v>
      </c>
      <c r="C3786" s="1926" t="s">
        <v>39</v>
      </c>
      <c r="D3786" s="1926" t="s">
        <v>46</v>
      </c>
      <c r="E3786" s="1662">
        <v>10.87</v>
      </c>
    </row>
    <row r="3787" spans="1:5" x14ac:dyDescent="0.2">
      <c r="A3787" s="135">
        <v>12362</v>
      </c>
      <c r="B3787" s="1926" t="s">
        <v>13387</v>
      </c>
      <c r="C3787" s="1926" t="s">
        <v>39</v>
      </c>
      <c r="D3787" s="1926" t="s">
        <v>46</v>
      </c>
      <c r="E3787" s="1662">
        <v>9.73</v>
      </c>
    </row>
    <row r="3788" spans="1:5" x14ac:dyDescent="0.2">
      <c r="A3788" s="135">
        <v>14148</v>
      </c>
      <c r="B3788" s="1926" t="s">
        <v>13388</v>
      </c>
      <c r="C3788" s="1926" t="s">
        <v>39</v>
      </c>
      <c r="D3788" s="1926" t="s">
        <v>46</v>
      </c>
      <c r="E3788" s="1662">
        <v>0.63</v>
      </c>
    </row>
    <row r="3789" spans="1:5" x14ac:dyDescent="0.2">
      <c r="A3789" s="135">
        <v>4341</v>
      </c>
      <c r="B3789" s="1926" t="s">
        <v>13389</v>
      </c>
      <c r="C3789" s="1926" t="s">
        <v>39</v>
      </c>
      <c r="D3789" s="1926" t="s">
        <v>40</v>
      </c>
      <c r="E3789" s="1662">
        <v>0.75</v>
      </c>
    </row>
    <row r="3790" spans="1:5" x14ac:dyDescent="0.2">
      <c r="A3790" s="135">
        <v>4337</v>
      </c>
      <c r="B3790" s="1926" t="s">
        <v>13390</v>
      </c>
      <c r="C3790" s="1926" t="s">
        <v>39</v>
      </c>
      <c r="D3790" s="1926" t="s">
        <v>40</v>
      </c>
      <c r="E3790" s="1662">
        <v>1.89</v>
      </c>
    </row>
    <row r="3791" spans="1:5" x14ac:dyDescent="0.2">
      <c r="A3791" s="135">
        <v>4339</v>
      </c>
      <c r="B3791" s="1926" t="s">
        <v>13391</v>
      </c>
      <c r="C3791" s="1926" t="s">
        <v>39</v>
      </c>
      <c r="D3791" s="1926" t="s">
        <v>40</v>
      </c>
      <c r="E3791" s="1662">
        <v>0.4</v>
      </c>
    </row>
    <row r="3792" spans="1:5" x14ac:dyDescent="0.2">
      <c r="A3792" s="135">
        <v>39997</v>
      </c>
      <c r="B3792" s="1926" t="s">
        <v>13392</v>
      </c>
      <c r="C3792" s="1926" t="s">
        <v>39</v>
      </c>
      <c r="D3792" s="1926" t="s">
        <v>40</v>
      </c>
      <c r="E3792" s="1662">
        <v>0.22</v>
      </c>
    </row>
    <row r="3793" spans="1:5" x14ac:dyDescent="0.2">
      <c r="A3793" s="135">
        <v>11971</v>
      </c>
      <c r="B3793" s="1926" t="s">
        <v>13393</v>
      </c>
      <c r="C3793" s="1926" t="s">
        <v>39</v>
      </c>
      <c r="D3793" s="1926" t="s">
        <v>40</v>
      </c>
      <c r="E3793" s="1662">
        <v>3.13</v>
      </c>
    </row>
    <row r="3794" spans="1:5" x14ac:dyDescent="0.2">
      <c r="A3794" s="135">
        <v>4342</v>
      </c>
      <c r="B3794" s="1926" t="s">
        <v>13394</v>
      </c>
      <c r="C3794" s="1926" t="s">
        <v>39</v>
      </c>
      <c r="D3794" s="1926" t="s">
        <v>40</v>
      </c>
      <c r="E3794" s="1662">
        <v>0.16</v>
      </c>
    </row>
    <row r="3795" spans="1:5" x14ac:dyDescent="0.2">
      <c r="A3795" s="135">
        <v>4330</v>
      </c>
      <c r="B3795" s="1926" t="s">
        <v>13395</v>
      </c>
      <c r="C3795" s="1926" t="s">
        <v>39</v>
      </c>
      <c r="D3795" s="1926" t="s">
        <v>40</v>
      </c>
      <c r="E3795" s="1662">
        <v>0.11</v>
      </c>
    </row>
    <row r="3796" spans="1:5" x14ac:dyDescent="0.2">
      <c r="A3796" s="135">
        <v>4340</v>
      </c>
      <c r="B3796" s="1926" t="s">
        <v>13396</v>
      </c>
      <c r="C3796" s="1926" t="s">
        <v>39</v>
      </c>
      <c r="D3796" s="1926" t="s">
        <v>40</v>
      </c>
      <c r="E3796" s="1662">
        <v>0.87</v>
      </c>
    </row>
    <row r="3797" spans="1:5" x14ac:dyDescent="0.2">
      <c r="A3797" s="135">
        <v>5088</v>
      </c>
      <c r="B3797" s="1926" t="s">
        <v>13397</v>
      </c>
      <c r="C3797" s="1926" t="s">
        <v>39</v>
      </c>
      <c r="D3797" s="1926" t="s">
        <v>40</v>
      </c>
      <c r="E3797" s="1662">
        <v>2.31</v>
      </c>
    </row>
    <row r="3798" spans="1:5" x14ac:dyDescent="0.2">
      <c r="A3798" s="135">
        <v>11154</v>
      </c>
      <c r="B3798" s="1926" t="s">
        <v>13398</v>
      </c>
      <c r="C3798" s="1926" t="s">
        <v>39</v>
      </c>
      <c r="D3798" s="1926" t="s">
        <v>40</v>
      </c>
      <c r="E3798" s="1662">
        <v>638.09</v>
      </c>
    </row>
    <row r="3799" spans="1:5" x14ac:dyDescent="0.2">
      <c r="A3799" s="135">
        <v>39021</v>
      </c>
      <c r="B3799" s="1926" t="s">
        <v>13399</v>
      </c>
      <c r="C3799" s="1926" t="s">
        <v>39</v>
      </c>
      <c r="D3799" s="1926" t="s">
        <v>40</v>
      </c>
      <c r="E3799" s="1662">
        <v>287.01</v>
      </c>
    </row>
    <row r="3800" spans="1:5" x14ac:dyDescent="0.2">
      <c r="A3800" s="135">
        <v>39022</v>
      </c>
      <c r="B3800" s="1926" t="s">
        <v>13400</v>
      </c>
      <c r="C3800" s="1926" t="s">
        <v>39</v>
      </c>
      <c r="D3800" s="1926" t="s">
        <v>43</v>
      </c>
      <c r="E3800" s="1662">
        <v>354.95</v>
      </c>
    </row>
    <row r="3801" spans="1:5" x14ac:dyDescent="0.2">
      <c r="A3801" s="135">
        <v>39024</v>
      </c>
      <c r="B3801" s="1926" t="s">
        <v>13401</v>
      </c>
      <c r="C3801" s="1926" t="s">
        <v>39</v>
      </c>
      <c r="D3801" s="1926" t="s">
        <v>46</v>
      </c>
      <c r="E3801" s="1662">
        <v>562.86</v>
      </c>
    </row>
    <row r="3802" spans="1:5" x14ac:dyDescent="0.2">
      <c r="A3802" s="135">
        <v>4914</v>
      </c>
      <c r="B3802" s="1926" t="s">
        <v>13402</v>
      </c>
      <c r="C3802" s="1926" t="s">
        <v>45</v>
      </c>
      <c r="D3802" s="1926" t="s">
        <v>46</v>
      </c>
      <c r="E3802" s="1662">
        <v>456.38</v>
      </c>
    </row>
    <row r="3803" spans="1:5" x14ac:dyDescent="0.2">
      <c r="A3803" s="135">
        <v>4917</v>
      </c>
      <c r="B3803" s="1926" t="s">
        <v>13403</v>
      </c>
      <c r="C3803" s="1926" t="s">
        <v>45</v>
      </c>
      <c r="D3803" s="1926" t="s">
        <v>46</v>
      </c>
      <c r="E3803" s="1662">
        <v>315.18</v>
      </c>
    </row>
    <row r="3804" spans="1:5" x14ac:dyDescent="0.2">
      <c r="A3804" s="135">
        <v>39025</v>
      </c>
      <c r="B3804" s="1926" t="s">
        <v>13404</v>
      </c>
      <c r="C3804" s="1926" t="s">
        <v>39</v>
      </c>
      <c r="D3804" s="1926" t="s">
        <v>46</v>
      </c>
      <c r="E3804" s="1662">
        <v>577.15</v>
      </c>
    </row>
    <row r="3805" spans="1:5" x14ac:dyDescent="0.2">
      <c r="A3805" s="135">
        <v>4930</v>
      </c>
      <c r="B3805" s="1926" t="s">
        <v>13405</v>
      </c>
      <c r="C3805" s="1926" t="s">
        <v>45</v>
      </c>
      <c r="D3805" s="1926" t="s">
        <v>40</v>
      </c>
      <c r="E3805" s="1662">
        <v>308.45</v>
      </c>
    </row>
    <row r="3806" spans="1:5" x14ac:dyDescent="0.2">
      <c r="A3806" s="135">
        <v>4922</v>
      </c>
      <c r="B3806" s="1926" t="s">
        <v>13406</v>
      </c>
      <c r="C3806" s="1926" t="s">
        <v>45</v>
      </c>
      <c r="D3806" s="1926" t="s">
        <v>46</v>
      </c>
      <c r="E3806" s="1662">
        <v>292.36</v>
      </c>
    </row>
    <row r="3807" spans="1:5" x14ac:dyDescent="0.2">
      <c r="A3807" s="135">
        <v>4911</v>
      </c>
      <c r="B3807" s="1926" t="s">
        <v>13407</v>
      </c>
      <c r="C3807" s="1926" t="s">
        <v>45</v>
      </c>
      <c r="D3807" s="1926" t="s">
        <v>40</v>
      </c>
      <c r="E3807" s="1662">
        <v>198.8</v>
      </c>
    </row>
    <row r="3808" spans="1:5" x14ac:dyDescent="0.2">
      <c r="A3808" s="135">
        <v>37518</v>
      </c>
      <c r="B3808" s="1926" t="s">
        <v>13408</v>
      </c>
      <c r="C3808" s="1926" t="s">
        <v>45</v>
      </c>
      <c r="D3808" s="1926" t="s">
        <v>40</v>
      </c>
      <c r="E3808" s="1662">
        <v>323.05</v>
      </c>
    </row>
    <row r="3809" spans="1:5" x14ac:dyDescent="0.2">
      <c r="A3809" s="135">
        <v>4910</v>
      </c>
      <c r="B3809" s="1926" t="s">
        <v>13409</v>
      </c>
      <c r="C3809" s="1926" t="s">
        <v>45</v>
      </c>
      <c r="D3809" s="1926" t="s">
        <v>40</v>
      </c>
      <c r="E3809" s="1662">
        <v>272.33</v>
      </c>
    </row>
    <row r="3810" spans="1:5" x14ac:dyDescent="0.2">
      <c r="A3810" s="135">
        <v>4943</v>
      </c>
      <c r="B3810" s="1926" t="s">
        <v>13410</v>
      </c>
      <c r="C3810" s="1926" t="s">
        <v>45</v>
      </c>
      <c r="D3810" s="1926" t="s">
        <v>40</v>
      </c>
      <c r="E3810" s="1662">
        <v>405.71</v>
      </c>
    </row>
    <row r="3811" spans="1:5" x14ac:dyDescent="0.2">
      <c r="A3811" s="135">
        <v>5002</v>
      </c>
      <c r="B3811" s="1926" t="s">
        <v>13411</v>
      </c>
      <c r="C3811" s="1926" t="s">
        <v>45</v>
      </c>
      <c r="D3811" s="1926" t="s">
        <v>46</v>
      </c>
      <c r="E3811" s="1662">
        <v>308.89999999999998</v>
      </c>
    </row>
    <row r="3812" spans="1:5" x14ac:dyDescent="0.2">
      <c r="A3812" s="135">
        <v>4977</v>
      </c>
      <c r="B3812" s="1926" t="s">
        <v>13412</v>
      </c>
      <c r="C3812" s="1926" t="s">
        <v>45</v>
      </c>
      <c r="D3812" s="1926" t="s">
        <v>46</v>
      </c>
      <c r="E3812" s="1662">
        <v>208.52</v>
      </c>
    </row>
    <row r="3813" spans="1:5" x14ac:dyDescent="0.2">
      <c r="A3813" s="135">
        <v>5028</v>
      </c>
      <c r="B3813" s="1926" t="s">
        <v>13413</v>
      </c>
      <c r="C3813" s="1926" t="s">
        <v>45</v>
      </c>
      <c r="D3813" s="1926" t="s">
        <v>46</v>
      </c>
      <c r="E3813" s="1662">
        <v>510.21</v>
      </c>
    </row>
    <row r="3814" spans="1:5" x14ac:dyDescent="0.2">
      <c r="A3814" s="135">
        <v>4998</v>
      </c>
      <c r="B3814" s="1926" t="s">
        <v>13414</v>
      </c>
      <c r="C3814" s="1926" t="s">
        <v>45</v>
      </c>
      <c r="D3814" s="1926" t="s">
        <v>46</v>
      </c>
      <c r="E3814" s="1662">
        <v>423.74</v>
      </c>
    </row>
    <row r="3815" spans="1:5" x14ac:dyDescent="0.2">
      <c r="A3815" s="135">
        <v>4969</v>
      </c>
      <c r="B3815" s="1926" t="s">
        <v>13415</v>
      </c>
      <c r="C3815" s="1926" t="s">
        <v>45</v>
      </c>
      <c r="D3815" s="1926" t="s">
        <v>46</v>
      </c>
      <c r="E3815" s="1662">
        <v>294.91000000000003</v>
      </c>
    </row>
    <row r="3816" spans="1:5" x14ac:dyDescent="0.2">
      <c r="A3816" s="135">
        <v>11364</v>
      </c>
      <c r="B3816" s="1926" t="s">
        <v>13416</v>
      </c>
      <c r="C3816" s="1926" t="s">
        <v>39</v>
      </c>
      <c r="D3816" s="1926" t="s">
        <v>40</v>
      </c>
      <c r="E3816" s="1662">
        <v>96.8</v>
      </c>
    </row>
    <row r="3817" spans="1:5" x14ac:dyDescent="0.2">
      <c r="A3817" s="135">
        <v>11365</v>
      </c>
      <c r="B3817" s="1926" t="s">
        <v>13417</v>
      </c>
      <c r="C3817" s="1926" t="s">
        <v>39</v>
      </c>
      <c r="D3817" s="1926" t="s">
        <v>40</v>
      </c>
      <c r="E3817" s="1662">
        <v>104.25</v>
      </c>
    </row>
    <row r="3818" spans="1:5" x14ac:dyDescent="0.2">
      <c r="A3818" s="135">
        <v>11366</v>
      </c>
      <c r="B3818" s="1926" t="s">
        <v>13418</v>
      </c>
      <c r="C3818" s="1926" t="s">
        <v>39</v>
      </c>
      <c r="D3818" s="1926" t="s">
        <v>40</v>
      </c>
      <c r="E3818" s="1662">
        <v>110.32</v>
      </c>
    </row>
    <row r="3819" spans="1:5" x14ac:dyDescent="0.2">
      <c r="A3819" s="135">
        <v>4989</v>
      </c>
      <c r="B3819" s="1926" t="s">
        <v>13419</v>
      </c>
      <c r="C3819" s="1926" t="s">
        <v>39</v>
      </c>
      <c r="D3819" s="1926" t="s">
        <v>40</v>
      </c>
      <c r="E3819" s="1662">
        <v>220.52</v>
      </c>
    </row>
    <row r="3820" spans="1:5" x14ac:dyDescent="0.2">
      <c r="A3820" s="135">
        <v>4982</v>
      </c>
      <c r="B3820" s="1926" t="s">
        <v>13420</v>
      </c>
      <c r="C3820" s="1926" t="s">
        <v>39</v>
      </c>
      <c r="D3820" s="1926" t="s">
        <v>40</v>
      </c>
      <c r="E3820" s="1662">
        <v>191.45</v>
      </c>
    </row>
    <row r="3821" spans="1:5" x14ac:dyDescent="0.2">
      <c r="A3821" s="135">
        <v>20322</v>
      </c>
      <c r="B3821" s="1926" t="s">
        <v>13421</v>
      </c>
      <c r="C3821" s="1926" t="s">
        <v>39</v>
      </c>
      <c r="D3821" s="1926" t="s">
        <v>40</v>
      </c>
      <c r="E3821" s="1662">
        <v>168.73</v>
      </c>
    </row>
    <row r="3822" spans="1:5" x14ac:dyDescent="0.2">
      <c r="A3822" s="135">
        <v>10553</v>
      </c>
      <c r="B3822" s="1926" t="s">
        <v>13422</v>
      </c>
      <c r="C3822" s="1926" t="s">
        <v>39</v>
      </c>
      <c r="D3822" s="1926" t="s">
        <v>40</v>
      </c>
      <c r="E3822" s="1662">
        <v>179.9</v>
      </c>
    </row>
    <row r="3823" spans="1:5" x14ac:dyDescent="0.2">
      <c r="A3823" s="135">
        <v>5020</v>
      </c>
      <c r="B3823" s="1926" t="s">
        <v>13423</v>
      </c>
      <c r="C3823" s="1926" t="s">
        <v>39</v>
      </c>
      <c r="D3823" s="1926" t="s">
        <v>40</v>
      </c>
      <c r="E3823" s="1662">
        <v>186.52</v>
      </c>
    </row>
    <row r="3824" spans="1:5" x14ac:dyDescent="0.2">
      <c r="A3824" s="135">
        <v>4962</v>
      </c>
      <c r="B3824" s="1926" t="s">
        <v>13424</v>
      </c>
      <c r="C3824" s="1926" t="s">
        <v>39</v>
      </c>
      <c r="D3824" s="1926" t="s">
        <v>40</v>
      </c>
      <c r="E3824" s="1662">
        <v>181.71</v>
      </c>
    </row>
    <row r="3825" spans="1:5" x14ac:dyDescent="0.2">
      <c r="A3825" s="135">
        <v>4981</v>
      </c>
      <c r="B3825" s="1926" t="s">
        <v>13425</v>
      </c>
      <c r="C3825" s="1926" t="s">
        <v>39</v>
      </c>
      <c r="D3825" s="1926" t="s">
        <v>43</v>
      </c>
      <c r="E3825" s="1662">
        <v>128.5</v>
      </c>
    </row>
    <row r="3826" spans="1:5" x14ac:dyDescent="0.2">
      <c r="A3826" s="135">
        <v>10554</v>
      </c>
      <c r="B3826" s="1926" t="s">
        <v>13426</v>
      </c>
      <c r="C3826" s="1926" t="s">
        <v>39</v>
      </c>
      <c r="D3826" s="1926" t="s">
        <v>40</v>
      </c>
      <c r="E3826" s="1662">
        <v>201.05</v>
      </c>
    </row>
    <row r="3827" spans="1:5" x14ac:dyDescent="0.2">
      <c r="A3827" s="135">
        <v>4964</v>
      </c>
      <c r="B3827" s="1926" t="s">
        <v>13427</v>
      </c>
      <c r="C3827" s="1926" t="s">
        <v>39</v>
      </c>
      <c r="D3827" s="1926" t="s">
        <v>40</v>
      </c>
      <c r="E3827" s="1662">
        <v>220.65</v>
      </c>
    </row>
    <row r="3828" spans="1:5" x14ac:dyDescent="0.2">
      <c r="A3828" s="135">
        <v>4992</v>
      </c>
      <c r="B3828" s="1926" t="s">
        <v>13428</v>
      </c>
      <c r="C3828" s="1926" t="s">
        <v>39</v>
      </c>
      <c r="D3828" s="1926" t="s">
        <v>40</v>
      </c>
      <c r="E3828" s="1662">
        <v>218.83</v>
      </c>
    </row>
    <row r="3829" spans="1:5" x14ac:dyDescent="0.2">
      <c r="A3829" s="135">
        <v>10555</v>
      </c>
      <c r="B3829" s="1926" t="s">
        <v>13429</v>
      </c>
      <c r="C3829" s="1926" t="s">
        <v>39</v>
      </c>
      <c r="D3829" s="1926" t="s">
        <v>40</v>
      </c>
      <c r="E3829" s="1662">
        <v>194.04</v>
      </c>
    </row>
    <row r="3830" spans="1:5" x14ac:dyDescent="0.2">
      <c r="A3830" s="135">
        <v>4987</v>
      </c>
      <c r="B3830" s="1926" t="s">
        <v>13430</v>
      </c>
      <c r="C3830" s="1926" t="s">
        <v>39</v>
      </c>
      <c r="D3830" s="1926" t="s">
        <v>40</v>
      </c>
      <c r="E3830" s="1662">
        <v>201.05</v>
      </c>
    </row>
    <row r="3831" spans="1:5" x14ac:dyDescent="0.2">
      <c r="A3831" s="135">
        <v>10556</v>
      </c>
      <c r="B3831" s="1926" t="s">
        <v>13431</v>
      </c>
      <c r="C3831" s="1926" t="s">
        <v>39</v>
      </c>
      <c r="D3831" s="1926" t="s">
        <v>40</v>
      </c>
      <c r="E3831" s="1662">
        <v>206.15</v>
      </c>
    </row>
    <row r="3832" spans="1:5" x14ac:dyDescent="0.2">
      <c r="A3832" s="135">
        <v>4958</v>
      </c>
      <c r="B3832" s="1926" t="s">
        <v>13432</v>
      </c>
      <c r="C3832" s="1926" t="s">
        <v>45</v>
      </c>
      <c r="D3832" s="1926" t="s">
        <v>40</v>
      </c>
      <c r="E3832" s="1662">
        <v>117.82</v>
      </c>
    </row>
    <row r="3833" spans="1:5" x14ac:dyDescent="0.2">
      <c r="A3833" s="135">
        <v>39502</v>
      </c>
      <c r="B3833" s="1926" t="s">
        <v>13433</v>
      </c>
      <c r="C3833" s="1926" t="s">
        <v>39</v>
      </c>
      <c r="D3833" s="1926" t="s">
        <v>40</v>
      </c>
      <c r="E3833" s="1662">
        <v>285.55</v>
      </c>
    </row>
    <row r="3834" spans="1:5" x14ac:dyDescent="0.2">
      <c r="A3834" s="135">
        <v>39504</v>
      </c>
      <c r="B3834" s="1926" t="s">
        <v>13434</v>
      </c>
      <c r="C3834" s="1926" t="s">
        <v>39</v>
      </c>
      <c r="D3834" s="1926" t="s">
        <v>40</v>
      </c>
      <c r="E3834" s="1662">
        <v>202.48</v>
      </c>
    </row>
    <row r="3835" spans="1:5" x14ac:dyDescent="0.2">
      <c r="A3835" s="135">
        <v>39503</v>
      </c>
      <c r="B3835" s="1926" t="s">
        <v>13435</v>
      </c>
      <c r="C3835" s="1926" t="s">
        <v>39</v>
      </c>
      <c r="D3835" s="1926" t="s">
        <v>40</v>
      </c>
      <c r="E3835" s="1662">
        <v>310.20999999999998</v>
      </c>
    </row>
    <row r="3836" spans="1:5" x14ac:dyDescent="0.2">
      <c r="A3836" s="135">
        <v>39505</v>
      </c>
      <c r="B3836" s="1926" t="s">
        <v>13436</v>
      </c>
      <c r="C3836" s="1926" t="s">
        <v>39</v>
      </c>
      <c r="D3836" s="1926" t="s">
        <v>40</v>
      </c>
      <c r="E3836" s="1662">
        <v>220.65</v>
      </c>
    </row>
    <row r="3837" spans="1:5" x14ac:dyDescent="0.2">
      <c r="A3837" s="135">
        <v>25969</v>
      </c>
      <c r="B3837" s="1926" t="s">
        <v>13437</v>
      </c>
      <c r="C3837" s="1926" t="s">
        <v>39</v>
      </c>
      <c r="D3837" s="1926" t="s">
        <v>46</v>
      </c>
      <c r="E3837" s="1662">
        <v>370.67</v>
      </c>
    </row>
    <row r="3838" spans="1:5" x14ac:dyDescent="0.2">
      <c r="A3838" s="135">
        <v>4944</v>
      </c>
      <c r="B3838" s="1926" t="s">
        <v>13438</v>
      </c>
      <c r="C3838" s="1926" t="s">
        <v>45</v>
      </c>
      <c r="D3838" s="1926" t="s">
        <v>40</v>
      </c>
      <c r="E3838" s="1662">
        <v>606.54</v>
      </c>
    </row>
    <row r="3839" spans="1:5" x14ac:dyDescent="0.2">
      <c r="A3839" s="135">
        <v>21102</v>
      </c>
      <c r="B3839" s="1926" t="s">
        <v>13439</v>
      </c>
      <c r="C3839" s="1926" t="s">
        <v>39</v>
      </c>
      <c r="D3839" s="1926" t="s">
        <v>40</v>
      </c>
      <c r="E3839" s="1662">
        <v>29.16</v>
      </c>
    </row>
    <row r="3840" spans="1:5" x14ac:dyDescent="0.2">
      <c r="A3840" s="135">
        <v>21101</v>
      </c>
      <c r="B3840" s="1926" t="s">
        <v>13440</v>
      </c>
      <c r="C3840" s="1926" t="s">
        <v>39</v>
      </c>
      <c r="D3840" s="1926" t="s">
        <v>40</v>
      </c>
      <c r="E3840" s="1662">
        <v>18.73</v>
      </c>
    </row>
    <row r="3841" spans="1:5" x14ac:dyDescent="0.2">
      <c r="A3841" s="135">
        <v>34713</v>
      </c>
      <c r="B3841" s="1926" t="s">
        <v>13441</v>
      </c>
      <c r="C3841" s="1926" t="s">
        <v>45</v>
      </c>
      <c r="D3841" s="1926" t="s">
        <v>40</v>
      </c>
      <c r="E3841" s="1662">
        <v>135.13999999999999</v>
      </c>
    </row>
    <row r="3842" spans="1:5" x14ac:dyDescent="0.2">
      <c r="A3842" s="135">
        <v>4947</v>
      </c>
      <c r="B3842" s="1926" t="s">
        <v>13442</v>
      </c>
      <c r="C3842" s="1926" t="s">
        <v>45</v>
      </c>
      <c r="D3842" s="1926" t="s">
        <v>40</v>
      </c>
      <c r="E3842" s="1662">
        <v>396.39</v>
      </c>
    </row>
    <row r="3843" spans="1:5" x14ac:dyDescent="0.2">
      <c r="A3843" s="135">
        <v>37563</v>
      </c>
      <c r="B3843" s="1926" t="s">
        <v>13443</v>
      </c>
      <c r="C3843" s="1926" t="s">
        <v>45</v>
      </c>
      <c r="D3843" s="1926" t="s">
        <v>40</v>
      </c>
      <c r="E3843" s="1662">
        <v>304.36</v>
      </c>
    </row>
    <row r="3844" spans="1:5" x14ac:dyDescent="0.2">
      <c r="A3844" s="135">
        <v>4948</v>
      </c>
      <c r="B3844" s="1926" t="s">
        <v>13444</v>
      </c>
      <c r="C3844" s="1926" t="s">
        <v>45</v>
      </c>
      <c r="D3844" s="1926" t="s">
        <v>40</v>
      </c>
      <c r="E3844" s="1662">
        <v>276.22000000000003</v>
      </c>
    </row>
    <row r="3845" spans="1:5" x14ac:dyDescent="0.2">
      <c r="A3845" s="135">
        <v>37561</v>
      </c>
      <c r="B3845" s="1926" t="s">
        <v>13445</v>
      </c>
      <c r="C3845" s="1926" t="s">
        <v>45</v>
      </c>
      <c r="D3845" s="1926" t="s">
        <v>40</v>
      </c>
      <c r="E3845" s="1662">
        <v>568.16999999999996</v>
      </c>
    </row>
    <row r="3846" spans="1:5" x14ac:dyDescent="0.2">
      <c r="A3846" s="135">
        <v>37562</v>
      </c>
      <c r="B3846" s="1926" t="s">
        <v>13446</v>
      </c>
      <c r="C3846" s="1926" t="s">
        <v>45</v>
      </c>
      <c r="D3846" s="1926" t="s">
        <v>40</v>
      </c>
      <c r="E3846" s="1662">
        <v>364.42</v>
      </c>
    </row>
    <row r="3847" spans="1:5" x14ac:dyDescent="0.2">
      <c r="A3847" s="135">
        <v>37585</v>
      </c>
      <c r="B3847" s="1926" t="s">
        <v>13447</v>
      </c>
      <c r="C3847" s="1926" t="s">
        <v>39</v>
      </c>
      <c r="D3847" s="1926" t="s">
        <v>46</v>
      </c>
      <c r="E3847" s="1662">
        <v>157.15</v>
      </c>
    </row>
    <row r="3848" spans="1:5" x14ac:dyDescent="0.2">
      <c r="A3848" s="135">
        <v>14164</v>
      </c>
      <c r="B3848" s="1926" t="s">
        <v>13448</v>
      </c>
      <c r="C3848" s="1926" t="s">
        <v>39</v>
      </c>
      <c r="D3848" s="1926" t="s">
        <v>46</v>
      </c>
      <c r="E3848" s="1662">
        <v>1112.6400000000001</v>
      </c>
    </row>
    <row r="3849" spans="1:5" x14ac:dyDescent="0.2">
      <c r="A3849" s="135">
        <v>14163</v>
      </c>
      <c r="B3849" s="1926" t="s">
        <v>13449</v>
      </c>
      <c r="C3849" s="1926" t="s">
        <v>39</v>
      </c>
      <c r="D3849" s="1926" t="s">
        <v>46</v>
      </c>
      <c r="E3849" s="1662">
        <v>1264.58</v>
      </c>
    </row>
    <row r="3850" spans="1:5" x14ac:dyDescent="0.2">
      <c r="A3850" s="135">
        <v>5051</v>
      </c>
      <c r="B3850" s="1926" t="s">
        <v>13450</v>
      </c>
      <c r="C3850" s="1926" t="s">
        <v>39</v>
      </c>
      <c r="D3850" s="1926" t="s">
        <v>46</v>
      </c>
      <c r="E3850" s="1662">
        <v>1075.51</v>
      </c>
    </row>
    <row r="3851" spans="1:5" x14ac:dyDescent="0.2">
      <c r="A3851" s="135">
        <v>14162</v>
      </c>
      <c r="B3851" s="1926" t="s">
        <v>13451</v>
      </c>
      <c r="C3851" s="1926" t="s">
        <v>39</v>
      </c>
      <c r="D3851" s="1926" t="s">
        <v>46</v>
      </c>
      <c r="E3851" s="1662">
        <v>1073.95</v>
      </c>
    </row>
    <row r="3852" spans="1:5" x14ac:dyDescent="0.2">
      <c r="A3852" s="135">
        <v>5052</v>
      </c>
      <c r="B3852" s="1926" t="s">
        <v>13452</v>
      </c>
      <c r="C3852" s="1926" t="s">
        <v>39</v>
      </c>
      <c r="D3852" s="1926" t="s">
        <v>46</v>
      </c>
      <c r="E3852" s="1662">
        <v>801.32</v>
      </c>
    </row>
    <row r="3853" spans="1:5" x14ac:dyDescent="0.2">
      <c r="A3853" s="135">
        <v>14166</v>
      </c>
      <c r="B3853" s="1926" t="s">
        <v>13453</v>
      </c>
      <c r="C3853" s="1926" t="s">
        <v>39</v>
      </c>
      <c r="D3853" s="1926" t="s">
        <v>46</v>
      </c>
      <c r="E3853" s="1662">
        <v>811.49</v>
      </c>
    </row>
    <row r="3854" spans="1:5" x14ac:dyDescent="0.2">
      <c r="A3854" s="135">
        <v>14165</v>
      </c>
      <c r="B3854" s="1926" t="s">
        <v>13454</v>
      </c>
      <c r="C3854" s="1926" t="s">
        <v>39</v>
      </c>
      <c r="D3854" s="1926" t="s">
        <v>46</v>
      </c>
      <c r="E3854" s="1662">
        <v>1124.21</v>
      </c>
    </row>
    <row r="3855" spans="1:5" x14ac:dyDescent="0.2">
      <c r="A3855" s="135">
        <v>5050</v>
      </c>
      <c r="B3855" s="1926" t="s">
        <v>13455</v>
      </c>
      <c r="C3855" s="1926" t="s">
        <v>39</v>
      </c>
      <c r="D3855" s="1926" t="s">
        <v>46</v>
      </c>
      <c r="E3855" s="1662">
        <v>276.69</v>
      </c>
    </row>
    <row r="3856" spans="1:5" x14ac:dyDescent="0.2">
      <c r="A3856" s="135">
        <v>12378</v>
      </c>
      <c r="B3856" s="1926" t="s">
        <v>13456</v>
      </c>
      <c r="C3856" s="1926" t="s">
        <v>39</v>
      </c>
      <c r="D3856" s="1926" t="s">
        <v>46</v>
      </c>
      <c r="E3856" s="1662">
        <v>657.69</v>
      </c>
    </row>
    <row r="3857" spans="1:5" x14ac:dyDescent="0.2">
      <c r="A3857" s="135">
        <v>12366</v>
      </c>
      <c r="B3857" s="1926" t="s">
        <v>13457</v>
      </c>
      <c r="C3857" s="1926" t="s">
        <v>39</v>
      </c>
      <c r="D3857" s="1926" t="s">
        <v>46</v>
      </c>
      <c r="E3857" s="1662">
        <v>540.11</v>
      </c>
    </row>
    <row r="3858" spans="1:5" x14ac:dyDescent="0.2">
      <c r="A3858" s="135">
        <v>5045</v>
      </c>
      <c r="B3858" s="1926" t="s">
        <v>13458</v>
      </c>
      <c r="C3858" s="1926" t="s">
        <v>39</v>
      </c>
      <c r="D3858" s="1926" t="s">
        <v>46</v>
      </c>
      <c r="E3858" s="1662">
        <v>752.13</v>
      </c>
    </row>
    <row r="3859" spans="1:5" x14ac:dyDescent="0.2">
      <c r="A3859" s="135">
        <v>5044</v>
      </c>
      <c r="B3859" s="1926" t="s">
        <v>13459</v>
      </c>
      <c r="C3859" s="1926" t="s">
        <v>39</v>
      </c>
      <c r="D3859" s="1926" t="s">
        <v>46</v>
      </c>
      <c r="E3859" s="1662">
        <v>530.64</v>
      </c>
    </row>
    <row r="3860" spans="1:5" x14ac:dyDescent="0.2">
      <c r="A3860" s="135">
        <v>5055</v>
      </c>
      <c r="B3860" s="1926" t="s">
        <v>13460</v>
      </c>
      <c r="C3860" s="1926" t="s">
        <v>39</v>
      </c>
      <c r="D3860" s="1926" t="s">
        <v>46</v>
      </c>
      <c r="E3860" s="1662">
        <v>754.43</v>
      </c>
    </row>
    <row r="3861" spans="1:5" x14ac:dyDescent="0.2">
      <c r="A3861" s="135">
        <v>5053</v>
      </c>
      <c r="B3861" s="1926" t="s">
        <v>13461</v>
      </c>
      <c r="C3861" s="1926" t="s">
        <v>39</v>
      </c>
      <c r="D3861" s="1926" t="s">
        <v>46</v>
      </c>
      <c r="E3861" s="1662">
        <v>587.19000000000005</v>
      </c>
    </row>
    <row r="3862" spans="1:5" x14ac:dyDescent="0.2">
      <c r="A3862" s="135">
        <v>5035</v>
      </c>
      <c r="B3862" s="1926" t="s">
        <v>13462</v>
      </c>
      <c r="C3862" s="1926" t="s">
        <v>39</v>
      </c>
      <c r="D3862" s="1926" t="s">
        <v>46</v>
      </c>
      <c r="E3862" s="1662">
        <v>960.05</v>
      </c>
    </row>
    <row r="3863" spans="1:5" x14ac:dyDescent="0.2">
      <c r="A3863" s="135">
        <v>5036</v>
      </c>
      <c r="B3863" s="1926" t="s">
        <v>13463</v>
      </c>
      <c r="C3863" s="1926" t="s">
        <v>39</v>
      </c>
      <c r="D3863" s="1926" t="s">
        <v>46</v>
      </c>
      <c r="E3863" s="1662">
        <v>1602.64</v>
      </c>
    </row>
    <row r="3864" spans="1:5" x14ac:dyDescent="0.2">
      <c r="A3864" s="135">
        <v>5059</v>
      </c>
      <c r="B3864" s="1926" t="s">
        <v>13464</v>
      </c>
      <c r="C3864" s="1926" t="s">
        <v>39</v>
      </c>
      <c r="D3864" s="1926" t="s">
        <v>46</v>
      </c>
      <c r="E3864" s="1662">
        <v>750.85</v>
      </c>
    </row>
    <row r="3865" spans="1:5" x14ac:dyDescent="0.2">
      <c r="A3865" s="135">
        <v>5034</v>
      </c>
      <c r="B3865" s="1926" t="s">
        <v>13465</v>
      </c>
      <c r="C3865" s="1926" t="s">
        <v>39</v>
      </c>
      <c r="D3865" s="1926" t="s">
        <v>46</v>
      </c>
      <c r="E3865" s="1662">
        <v>1036.0999999999999</v>
      </c>
    </row>
    <row r="3866" spans="1:5" x14ac:dyDescent="0.2">
      <c r="A3866" s="135">
        <v>5056</v>
      </c>
      <c r="B3866" s="1926" t="s">
        <v>13466</v>
      </c>
      <c r="C3866" s="1926" t="s">
        <v>39</v>
      </c>
      <c r="D3866" s="1926" t="s">
        <v>46</v>
      </c>
      <c r="E3866" s="1662">
        <v>805.07</v>
      </c>
    </row>
    <row r="3867" spans="1:5" x14ac:dyDescent="0.2">
      <c r="A3867" s="135">
        <v>5057</v>
      </c>
      <c r="B3867" s="1926" t="s">
        <v>13467</v>
      </c>
      <c r="C3867" s="1926" t="s">
        <v>39</v>
      </c>
      <c r="D3867" s="1926" t="s">
        <v>46</v>
      </c>
      <c r="E3867" s="1662">
        <v>645.66</v>
      </c>
    </row>
    <row r="3868" spans="1:5" x14ac:dyDescent="0.2">
      <c r="A3868" s="135">
        <v>5033</v>
      </c>
      <c r="B3868" s="1926" t="s">
        <v>13468</v>
      </c>
      <c r="C3868" s="1926" t="s">
        <v>39</v>
      </c>
      <c r="D3868" s="1926" t="s">
        <v>46</v>
      </c>
      <c r="E3868" s="1662">
        <v>536</v>
      </c>
    </row>
    <row r="3869" spans="1:5" x14ac:dyDescent="0.2">
      <c r="A3869" s="135">
        <v>5038</v>
      </c>
      <c r="B3869" s="1926" t="s">
        <v>13469</v>
      </c>
      <c r="C3869" s="1926" t="s">
        <v>39</v>
      </c>
      <c r="D3869" s="1926" t="s">
        <v>46</v>
      </c>
      <c r="E3869" s="1662">
        <v>436.84</v>
      </c>
    </row>
    <row r="3870" spans="1:5" x14ac:dyDescent="0.2">
      <c r="A3870" s="135">
        <v>12372</v>
      </c>
      <c r="B3870" s="1926" t="s">
        <v>13470</v>
      </c>
      <c r="C3870" s="1926" t="s">
        <v>39</v>
      </c>
      <c r="D3870" s="1926" t="s">
        <v>46</v>
      </c>
      <c r="E3870" s="1662">
        <v>575.66</v>
      </c>
    </row>
    <row r="3871" spans="1:5" x14ac:dyDescent="0.2">
      <c r="A3871" s="135">
        <v>13339</v>
      </c>
      <c r="B3871" s="1926" t="s">
        <v>13471</v>
      </c>
      <c r="C3871" s="1926" t="s">
        <v>39</v>
      </c>
      <c r="D3871" s="1926" t="s">
        <v>46</v>
      </c>
      <c r="E3871" s="1662">
        <v>855.78</v>
      </c>
    </row>
    <row r="3872" spans="1:5" x14ac:dyDescent="0.2">
      <c r="A3872" s="135">
        <v>12373</v>
      </c>
      <c r="B3872" s="1926" t="s">
        <v>13472</v>
      </c>
      <c r="C3872" s="1926" t="s">
        <v>39</v>
      </c>
      <c r="D3872" s="1926" t="s">
        <v>46</v>
      </c>
      <c r="E3872" s="1662">
        <v>896.19</v>
      </c>
    </row>
    <row r="3873" spans="1:5" x14ac:dyDescent="0.2">
      <c r="A3873" s="135">
        <v>12388</v>
      </c>
      <c r="B3873" s="1926" t="s">
        <v>13473</v>
      </c>
      <c r="C3873" s="1926" t="s">
        <v>39</v>
      </c>
      <c r="D3873" s="1926" t="s">
        <v>46</v>
      </c>
      <c r="E3873" s="1662">
        <v>163.78</v>
      </c>
    </row>
    <row r="3874" spans="1:5" x14ac:dyDescent="0.2">
      <c r="A3874" s="135">
        <v>34695</v>
      </c>
      <c r="B3874" s="1926" t="s">
        <v>13474</v>
      </c>
      <c r="C3874" s="1926" t="s">
        <v>39</v>
      </c>
      <c r="D3874" s="1926" t="s">
        <v>46</v>
      </c>
      <c r="E3874" s="1662">
        <v>616.4</v>
      </c>
    </row>
    <row r="3875" spans="1:5" x14ac:dyDescent="0.2">
      <c r="A3875" s="135">
        <v>34692</v>
      </c>
      <c r="B3875" s="1926" t="s">
        <v>13475</v>
      </c>
      <c r="C3875" s="1926" t="s">
        <v>39</v>
      </c>
      <c r="D3875" s="1926" t="s">
        <v>46</v>
      </c>
      <c r="E3875" s="1662">
        <v>1479.36</v>
      </c>
    </row>
    <row r="3876" spans="1:5" x14ac:dyDescent="0.2">
      <c r="A3876" s="135">
        <v>26028</v>
      </c>
      <c r="B3876" s="1926" t="s">
        <v>13476</v>
      </c>
      <c r="C3876" s="1926" t="s">
        <v>55</v>
      </c>
      <c r="D3876" s="1926" t="s">
        <v>40</v>
      </c>
      <c r="E3876" s="1662">
        <v>231.82</v>
      </c>
    </row>
    <row r="3877" spans="1:5" x14ac:dyDescent="0.2">
      <c r="A3877" s="135">
        <v>11844</v>
      </c>
      <c r="B3877" s="1926" t="s">
        <v>13477</v>
      </c>
      <c r="C3877" s="1926" t="s">
        <v>47</v>
      </c>
      <c r="D3877" s="1926" t="s">
        <v>40</v>
      </c>
      <c r="E3877" s="1662">
        <v>50.82</v>
      </c>
    </row>
    <row r="3878" spans="1:5" x14ac:dyDescent="0.2">
      <c r="A3878" s="135">
        <v>4465</v>
      </c>
      <c r="B3878" s="1926" t="s">
        <v>13478</v>
      </c>
      <c r="C3878" s="1926" t="s">
        <v>47</v>
      </c>
      <c r="D3878" s="1926" t="s">
        <v>40</v>
      </c>
      <c r="E3878" s="1662">
        <v>48.71</v>
      </c>
    </row>
    <row r="3879" spans="1:5" x14ac:dyDescent="0.2">
      <c r="A3879" s="135">
        <v>35273</v>
      </c>
      <c r="B3879" s="1926" t="s">
        <v>13479</v>
      </c>
      <c r="C3879" s="1926" t="s">
        <v>47</v>
      </c>
      <c r="D3879" s="1926" t="s">
        <v>40</v>
      </c>
      <c r="E3879" s="1662">
        <v>53.82</v>
      </c>
    </row>
    <row r="3880" spans="1:5" x14ac:dyDescent="0.2">
      <c r="A3880" s="135">
        <v>4470</v>
      </c>
      <c r="B3880" s="1926" t="s">
        <v>13480</v>
      </c>
      <c r="C3880" s="1926" t="s">
        <v>47</v>
      </c>
      <c r="D3880" s="1926" t="s">
        <v>40</v>
      </c>
      <c r="E3880" s="1662">
        <v>80.42</v>
      </c>
    </row>
    <row r="3881" spans="1:5" x14ac:dyDescent="0.2">
      <c r="A3881" s="135">
        <v>20204</v>
      </c>
      <c r="B3881" s="1926" t="s">
        <v>13481</v>
      </c>
      <c r="C3881" s="1926" t="s">
        <v>47</v>
      </c>
      <c r="D3881" s="1926" t="s">
        <v>40</v>
      </c>
      <c r="E3881" s="1662">
        <v>71.77</v>
      </c>
    </row>
    <row r="3882" spans="1:5" x14ac:dyDescent="0.2">
      <c r="A3882" s="135">
        <v>20208</v>
      </c>
      <c r="B3882" s="1926" t="s">
        <v>13482</v>
      </c>
      <c r="C3882" s="1926" t="s">
        <v>47</v>
      </c>
      <c r="D3882" s="1926" t="s">
        <v>40</v>
      </c>
      <c r="E3882" s="1662">
        <v>84.27</v>
      </c>
    </row>
    <row r="3883" spans="1:5" x14ac:dyDescent="0.2">
      <c r="A3883" s="135">
        <v>4437</v>
      </c>
      <c r="B3883" s="1926" t="s">
        <v>13483</v>
      </c>
      <c r="C3883" s="1926" t="s">
        <v>47</v>
      </c>
      <c r="D3883" s="1926" t="s">
        <v>40</v>
      </c>
      <c r="E3883" s="1662">
        <v>58.24</v>
      </c>
    </row>
    <row r="3884" spans="1:5" x14ac:dyDescent="0.2">
      <c r="A3884" s="135">
        <v>14580</v>
      </c>
      <c r="B3884" s="1926" t="s">
        <v>13484</v>
      </c>
      <c r="C3884" s="1926" t="s">
        <v>47</v>
      </c>
      <c r="D3884" s="1926" t="s">
        <v>40</v>
      </c>
      <c r="E3884" s="1662">
        <v>63.43</v>
      </c>
    </row>
    <row r="3885" spans="1:5" x14ac:dyDescent="0.2">
      <c r="A3885" s="135">
        <v>40304</v>
      </c>
      <c r="B3885" s="1926" t="s">
        <v>13485</v>
      </c>
      <c r="C3885" s="1926" t="s">
        <v>48</v>
      </c>
      <c r="D3885" s="1926" t="s">
        <v>40</v>
      </c>
      <c r="E3885" s="1662">
        <v>12.43</v>
      </c>
    </row>
    <row r="3886" spans="1:5" x14ac:dyDescent="0.2">
      <c r="A3886" s="135">
        <v>5065</v>
      </c>
      <c r="B3886" s="1926" t="s">
        <v>13486</v>
      </c>
      <c r="C3886" s="1926" t="s">
        <v>48</v>
      </c>
      <c r="D3886" s="1926" t="s">
        <v>40</v>
      </c>
      <c r="E3886" s="1662">
        <v>19.149999999999999</v>
      </c>
    </row>
    <row r="3887" spans="1:5" x14ac:dyDescent="0.2">
      <c r="A3887" s="135">
        <v>5072</v>
      </c>
      <c r="B3887" s="1926" t="s">
        <v>13487</v>
      </c>
      <c r="C3887" s="1926" t="s">
        <v>48</v>
      </c>
      <c r="D3887" s="1926" t="s">
        <v>40</v>
      </c>
      <c r="E3887" s="1662">
        <v>17.72</v>
      </c>
    </row>
    <row r="3888" spans="1:5" x14ac:dyDescent="0.2">
      <c r="A3888" s="135">
        <v>5066</v>
      </c>
      <c r="B3888" s="1926" t="s">
        <v>13488</v>
      </c>
      <c r="C3888" s="1926" t="s">
        <v>48</v>
      </c>
      <c r="D3888" s="1926" t="s">
        <v>40</v>
      </c>
      <c r="E3888" s="1662">
        <v>13.27</v>
      </c>
    </row>
    <row r="3889" spans="1:5" x14ac:dyDescent="0.2">
      <c r="A3889" s="135">
        <v>5063</v>
      </c>
      <c r="B3889" s="1926" t="s">
        <v>13489</v>
      </c>
      <c r="C3889" s="1926" t="s">
        <v>48</v>
      </c>
      <c r="D3889" s="1926" t="s">
        <v>40</v>
      </c>
      <c r="E3889" s="1662">
        <v>12.01</v>
      </c>
    </row>
    <row r="3890" spans="1:5" x14ac:dyDescent="0.2">
      <c r="A3890" s="135">
        <v>20247</v>
      </c>
      <c r="B3890" s="1926" t="s">
        <v>13490</v>
      </c>
      <c r="C3890" s="1926" t="s">
        <v>48</v>
      </c>
      <c r="D3890" s="1926" t="s">
        <v>40</v>
      </c>
      <c r="E3890" s="1662">
        <v>11.15</v>
      </c>
    </row>
    <row r="3891" spans="1:5" x14ac:dyDescent="0.2">
      <c r="A3891" s="135">
        <v>5074</v>
      </c>
      <c r="B3891" s="1926" t="s">
        <v>13491</v>
      </c>
      <c r="C3891" s="1926" t="s">
        <v>48</v>
      </c>
      <c r="D3891" s="1926" t="s">
        <v>40</v>
      </c>
      <c r="E3891" s="1662">
        <v>11.28</v>
      </c>
    </row>
    <row r="3892" spans="1:5" x14ac:dyDescent="0.2">
      <c r="A3892" s="135">
        <v>5067</v>
      </c>
      <c r="B3892" s="1926" t="s">
        <v>13492</v>
      </c>
      <c r="C3892" s="1926" t="s">
        <v>48</v>
      </c>
      <c r="D3892" s="1926" t="s">
        <v>40</v>
      </c>
      <c r="E3892" s="1662">
        <v>10.73</v>
      </c>
    </row>
    <row r="3893" spans="1:5" x14ac:dyDescent="0.2">
      <c r="A3893" s="135">
        <v>5078</v>
      </c>
      <c r="B3893" s="1926" t="s">
        <v>13493</v>
      </c>
      <c r="C3893" s="1926" t="s">
        <v>48</v>
      </c>
      <c r="D3893" s="1926" t="s">
        <v>40</v>
      </c>
      <c r="E3893" s="1662">
        <v>10.61</v>
      </c>
    </row>
    <row r="3894" spans="1:5" x14ac:dyDescent="0.2">
      <c r="A3894" s="135">
        <v>5068</v>
      </c>
      <c r="B3894" s="1926" t="s">
        <v>13494</v>
      </c>
      <c r="C3894" s="1926" t="s">
        <v>48</v>
      </c>
      <c r="D3894" s="1926" t="s">
        <v>40</v>
      </c>
      <c r="E3894" s="1662">
        <v>10.07</v>
      </c>
    </row>
    <row r="3895" spans="1:5" x14ac:dyDescent="0.2">
      <c r="A3895" s="135">
        <v>5073</v>
      </c>
      <c r="B3895" s="1926" t="s">
        <v>13495</v>
      </c>
      <c r="C3895" s="1926" t="s">
        <v>48</v>
      </c>
      <c r="D3895" s="1926" t="s">
        <v>40</v>
      </c>
      <c r="E3895" s="1662">
        <v>10.26</v>
      </c>
    </row>
    <row r="3896" spans="1:5" x14ac:dyDescent="0.2">
      <c r="A3896" s="135">
        <v>5069</v>
      </c>
      <c r="B3896" s="1926" t="s">
        <v>13496</v>
      </c>
      <c r="C3896" s="1926" t="s">
        <v>48</v>
      </c>
      <c r="D3896" s="1926" t="s">
        <v>40</v>
      </c>
      <c r="E3896" s="1662">
        <v>10.26</v>
      </c>
    </row>
    <row r="3897" spans="1:5" x14ac:dyDescent="0.2">
      <c r="A3897" s="135">
        <v>5070</v>
      </c>
      <c r="B3897" s="1926" t="s">
        <v>13497</v>
      </c>
      <c r="C3897" s="1926" t="s">
        <v>48</v>
      </c>
      <c r="D3897" s="1926" t="s">
        <v>40</v>
      </c>
      <c r="E3897" s="1662">
        <v>10.37</v>
      </c>
    </row>
    <row r="3898" spans="1:5" x14ac:dyDescent="0.2">
      <c r="A3898" s="135">
        <v>5071</v>
      </c>
      <c r="B3898" s="1926" t="s">
        <v>13498</v>
      </c>
      <c r="C3898" s="1926" t="s">
        <v>48</v>
      </c>
      <c r="D3898" s="1926" t="s">
        <v>40</v>
      </c>
      <c r="E3898" s="1662">
        <v>10.07</v>
      </c>
    </row>
    <row r="3899" spans="1:5" x14ac:dyDescent="0.2">
      <c r="A3899" s="135">
        <v>5061</v>
      </c>
      <c r="B3899" s="1926" t="s">
        <v>13499</v>
      </c>
      <c r="C3899" s="1926" t="s">
        <v>48</v>
      </c>
      <c r="D3899" s="1926" t="s">
        <v>43</v>
      </c>
      <c r="E3899" s="1662">
        <v>9.9</v>
      </c>
    </row>
    <row r="3900" spans="1:5" x14ac:dyDescent="0.2">
      <c r="A3900" s="135">
        <v>5075</v>
      </c>
      <c r="B3900" s="1926" t="s">
        <v>13500</v>
      </c>
      <c r="C3900" s="1926" t="s">
        <v>48</v>
      </c>
      <c r="D3900" s="1926" t="s">
        <v>40</v>
      </c>
      <c r="E3900" s="1662">
        <v>10.07</v>
      </c>
    </row>
    <row r="3901" spans="1:5" x14ac:dyDescent="0.2">
      <c r="A3901" s="135">
        <v>39027</v>
      </c>
      <c r="B3901" s="1926" t="s">
        <v>13501</v>
      </c>
      <c r="C3901" s="1926" t="s">
        <v>48</v>
      </c>
      <c r="D3901" s="1926" t="s">
        <v>40</v>
      </c>
      <c r="E3901" s="1662">
        <v>10.06</v>
      </c>
    </row>
    <row r="3902" spans="1:5" x14ac:dyDescent="0.2">
      <c r="A3902" s="135">
        <v>5062</v>
      </c>
      <c r="B3902" s="1926" t="s">
        <v>13502</v>
      </c>
      <c r="C3902" s="1926" t="s">
        <v>48</v>
      </c>
      <c r="D3902" s="1926" t="s">
        <v>40</v>
      </c>
      <c r="E3902" s="1662">
        <v>10.199999999999999</v>
      </c>
    </row>
    <row r="3903" spans="1:5" x14ac:dyDescent="0.2">
      <c r="A3903" s="135">
        <v>40568</v>
      </c>
      <c r="B3903" s="1926" t="s">
        <v>13503</v>
      </c>
      <c r="C3903" s="1926" t="s">
        <v>48</v>
      </c>
      <c r="D3903" s="1926" t="s">
        <v>40</v>
      </c>
      <c r="E3903" s="1662">
        <v>10.14</v>
      </c>
    </row>
    <row r="3904" spans="1:5" x14ac:dyDescent="0.2">
      <c r="A3904" s="135">
        <v>39026</v>
      </c>
      <c r="B3904" s="1926" t="s">
        <v>13504</v>
      </c>
      <c r="C3904" s="1926" t="s">
        <v>48</v>
      </c>
      <c r="D3904" s="1926" t="s">
        <v>40</v>
      </c>
      <c r="E3904" s="1662">
        <v>11.32</v>
      </c>
    </row>
    <row r="3905" spans="1:5" x14ac:dyDescent="0.2">
      <c r="A3905" s="135">
        <v>11572</v>
      </c>
      <c r="B3905" s="1926" t="s">
        <v>13505</v>
      </c>
      <c r="C3905" s="1926" t="s">
        <v>39</v>
      </c>
      <c r="D3905" s="1926" t="s">
        <v>40</v>
      </c>
      <c r="E3905" s="1662">
        <v>14.49</v>
      </c>
    </row>
    <row r="3906" spans="1:5" x14ac:dyDescent="0.2">
      <c r="A3906" s="135">
        <v>42431</v>
      </c>
      <c r="B3906" s="1926" t="s">
        <v>13506</v>
      </c>
      <c r="C3906" s="1926" t="s">
        <v>39</v>
      </c>
      <c r="D3906" s="1926" t="s">
        <v>46</v>
      </c>
      <c r="E3906" s="1662">
        <v>2265.61</v>
      </c>
    </row>
    <row r="3907" spans="1:5" x14ac:dyDescent="0.2">
      <c r="A3907" s="135">
        <v>11149</v>
      </c>
      <c r="B3907" s="1926" t="s">
        <v>13507</v>
      </c>
      <c r="C3907" s="1926" t="s">
        <v>61</v>
      </c>
      <c r="D3907" s="1926" t="s">
        <v>40</v>
      </c>
      <c r="E3907" s="1662">
        <v>162.69</v>
      </c>
    </row>
    <row r="3908" spans="1:5" x14ac:dyDescent="0.2">
      <c r="A3908" s="135">
        <v>511</v>
      </c>
      <c r="B3908" s="1926" t="s">
        <v>13508</v>
      </c>
      <c r="C3908" s="1926" t="s">
        <v>49</v>
      </c>
      <c r="D3908" s="1926" t="s">
        <v>46</v>
      </c>
      <c r="E3908" s="1662">
        <v>15.55</v>
      </c>
    </row>
    <row r="3909" spans="1:5" x14ac:dyDescent="0.2">
      <c r="A3909" s="135">
        <v>11174</v>
      </c>
      <c r="B3909" s="1926" t="s">
        <v>13509</v>
      </c>
      <c r="C3909" s="1926" t="s">
        <v>50</v>
      </c>
      <c r="D3909" s="1926" t="s">
        <v>40</v>
      </c>
      <c r="E3909" s="1662">
        <v>461.92</v>
      </c>
    </row>
    <row r="3910" spans="1:5" x14ac:dyDescent="0.2">
      <c r="A3910" s="135">
        <v>37540</v>
      </c>
      <c r="B3910" s="1926" t="s">
        <v>13510</v>
      </c>
      <c r="C3910" s="1926" t="s">
        <v>39</v>
      </c>
      <c r="D3910" s="1926" t="s">
        <v>40</v>
      </c>
      <c r="E3910" s="1662">
        <v>61960.29</v>
      </c>
    </row>
    <row r="3911" spans="1:5" x14ac:dyDescent="0.2">
      <c r="A3911" s="135">
        <v>37548</v>
      </c>
      <c r="B3911" s="1926" t="s">
        <v>13511</v>
      </c>
      <c r="C3911" s="1926" t="s">
        <v>39</v>
      </c>
      <c r="D3911" s="1926" t="s">
        <v>40</v>
      </c>
      <c r="E3911" s="1662">
        <v>82128.05</v>
      </c>
    </row>
    <row r="3912" spans="1:5" x14ac:dyDescent="0.2">
      <c r="A3912" s="135">
        <v>39828</v>
      </c>
      <c r="B3912" s="1926" t="s">
        <v>13512</v>
      </c>
      <c r="C3912" s="1926" t="s">
        <v>39</v>
      </c>
      <c r="D3912" s="1926" t="s">
        <v>40</v>
      </c>
      <c r="E3912" s="1662">
        <v>492.69</v>
      </c>
    </row>
    <row r="3913" spans="1:5" x14ac:dyDescent="0.2">
      <c r="A3913" s="135">
        <v>12273</v>
      </c>
      <c r="B3913" s="1926" t="s">
        <v>13513</v>
      </c>
      <c r="C3913" s="1926" t="s">
        <v>39</v>
      </c>
      <c r="D3913" s="1926" t="s">
        <v>46</v>
      </c>
      <c r="E3913" s="1662">
        <v>52.29</v>
      </c>
    </row>
    <row r="3914" spans="1:5" x14ac:dyDescent="0.2">
      <c r="A3914" s="135">
        <v>38392</v>
      </c>
      <c r="B3914" s="1926" t="s">
        <v>13514</v>
      </c>
      <c r="C3914" s="1926" t="s">
        <v>39</v>
      </c>
      <c r="D3914" s="1926" t="s">
        <v>40</v>
      </c>
      <c r="E3914" s="1662">
        <v>43.91</v>
      </c>
    </row>
    <row r="3915" spans="1:5" x14ac:dyDescent="0.2">
      <c r="A3915" s="135">
        <v>11735</v>
      </c>
      <c r="B3915" s="1926" t="s">
        <v>13515</v>
      </c>
      <c r="C3915" s="1926" t="s">
        <v>39</v>
      </c>
      <c r="D3915" s="1926" t="s">
        <v>40</v>
      </c>
      <c r="E3915" s="1662">
        <v>4.1100000000000003</v>
      </c>
    </row>
    <row r="3916" spans="1:5" x14ac:dyDescent="0.2">
      <c r="A3916" s="135">
        <v>11733</v>
      </c>
      <c r="B3916" s="1926" t="s">
        <v>13516</v>
      </c>
      <c r="C3916" s="1926" t="s">
        <v>39</v>
      </c>
      <c r="D3916" s="1926" t="s">
        <v>40</v>
      </c>
      <c r="E3916" s="1662">
        <v>2.0099999999999998</v>
      </c>
    </row>
    <row r="3917" spans="1:5" x14ac:dyDescent="0.2">
      <c r="A3917" s="135">
        <v>11734</v>
      </c>
      <c r="B3917" s="1926" t="s">
        <v>13517</v>
      </c>
      <c r="C3917" s="1926" t="s">
        <v>39</v>
      </c>
      <c r="D3917" s="1926" t="s">
        <v>40</v>
      </c>
      <c r="E3917" s="1662">
        <v>3.1</v>
      </c>
    </row>
    <row r="3918" spans="1:5" x14ac:dyDescent="0.2">
      <c r="A3918" s="135">
        <v>11737</v>
      </c>
      <c r="B3918" s="1926" t="s">
        <v>13518</v>
      </c>
      <c r="C3918" s="1926" t="s">
        <v>39</v>
      </c>
      <c r="D3918" s="1926" t="s">
        <v>40</v>
      </c>
      <c r="E3918" s="1662">
        <v>5.49</v>
      </c>
    </row>
    <row r="3919" spans="1:5" x14ac:dyDescent="0.2">
      <c r="A3919" s="135">
        <v>11738</v>
      </c>
      <c r="B3919" s="1926" t="s">
        <v>13519</v>
      </c>
      <c r="C3919" s="1926" t="s">
        <v>39</v>
      </c>
      <c r="D3919" s="1926" t="s">
        <v>40</v>
      </c>
      <c r="E3919" s="1662">
        <v>8.93</v>
      </c>
    </row>
    <row r="3920" spans="1:5" x14ac:dyDescent="0.2">
      <c r="A3920" s="135">
        <v>36143</v>
      </c>
      <c r="B3920" s="1926" t="s">
        <v>13520</v>
      </c>
      <c r="C3920" s="1926" t="s">
        <v>39</v>
      </c>
      <c r="D3920" s="1926" t="s">
        <v>40</v>
      </c>
      <c r="E3920" s="1662">
        <v>23.73</v>
      </c>
    </row>
    <row r="3921" spans="1:5" x14ac:dyDescent="0.2">
      <c r="A3921" s="135">
        <v>36142</v>
      </c>
      <c r="B3921" s="1926" t="s">
        <v>13521</v>
      </c>
      <c r="C3921" s="1926" t="s">
        <v>39</v>
      </c>
      <c r="D3921" s="1926" t="s">
        <v>40</v>
      </c>
      <c r="E3921" s="1662">
        <v>1.73</v>
      </c>
    </row>
    <row r="3922" spans="1:5" x14ac:dyDescent="0.2">
      <c r="A3922" s="135">
        <v>36146</v>
      </c>
      <c r="B3922" s="1926" t="s">
        <v>13522</v>
      </c>
      <c r="C3922" s="1926" t="s">
        <v>39</v>
      </c>
      <c r="D3922" s="1926" t="s">
        <v>40</v>
      </c>
      <c r="E3922" s="1662">
        <v>196.86</v>
      </c>
    </row>
    <row r="3923" spans="1:5" x14ac:dyDescent="0.2">
      <c r="A3923" s="135">
        <v>39015</v>
      </c>
      <c r="B3923" s="1926" t="s">
        <v>13523</v>
      </c>
      <c r="C3923" s="1926" t="s">
        <v>39</v>
      </c>
      <c r="D3923" s="1926" t="s">
        <v>46</v>
      </c>
      <c r="E3923" s="1662">
        <v>0.6</v>
      </c>
    </row>
    <row r="3924" spans="1:5" x14ac:dyDescent="0.2">
      <c r="A3924" s="135">
        <v>38377</v>
      </c>
      <c r="B3924" s="1926" t="s">
        <v>13524</v>
      </c>
      <c r="C3924" s="1926" t="s">
        <v>39</v>
      </c>
      <c r="D3924" s="1926" t="s">
        <v>40</v>
      </c>
      <c r="E3924" s="1662">
        <v>27.42</v>
      </c>
    </row>
    <row r="3925" spans="1:5" x14ac:dyDescent="0.2">
      <c r="A3925" s="135">
        <v>38376</v>
      </c>
      <c r="B3925" s="1926" t="s">
        <v>13525</v>
      </c>
      <c r="C3925" s="1926" t="s">
        <v>39</v>
      </c>
      <c r="D3925" s="1926" t="s">
        <v>40</v>
      </c>
      <c r="E3925" s="1662">
        <v>31.26</v>
      </c>
    </row>
    <row r="3926" spans="1:5" x14ac:dyDescent="0.2">
      <c r="A3926" s="135">
        <v>38116</v>
      </c>
      <c r="B3926" s="1926" t="s">
        <v>13526</v>
      </c>
      <c r="C3926" s="1926" t="s">
        <v>39</v>
      </c>
      <c r="D3926" s="1926" t="s">
        <v>40</v>
      </c>
      <c r="E3926" s="1662">
        <v>5.32</v>
      </c>
    </row>
    <row r="3927" spans="1:5" x14ac:dyDescent="0.2">
      <c r="A3927" s="135">
        <v>38066</v>
      </c>
      <c r="B3927" s="1926" t="s">
        <v>13527</v>
      </c>
      <c r="C3927" s="1926" t="s">
        <v>39</v>
      </c>
      <c r="D3927" s="1926" t="s">
        <v>40</v>
      </c>
      <c r="E3927" s="1662">
        <v>8.7899999999999991</v>
      </c>
    </row>
    <row r="3928" spans="1:5" x14ac:dyDescent="0.2">
      <c r="A3928" s="135">
        <v>38117</v>
      </c>
      <c r="B3928" s="1926" t="s">
        <v>13528</v>
      </c>
      <c r="C3928" s="1926" t="s">
        <v>39</v>
      </c>
      <c r="D3928" s="1926" t="s">
        <v>40</v>
      </c>
      <c r="E3928" s="1662">
        <v>9.07</v>
      </c>
    </row>
    <row r="3929" spans="1:5" x14ac:dyDescent="0.2">
      <c r="A3929" s="135">
        <v>38067</v>
      </c>
      <c r="B3929" s="1926" t="s">
        <v>13529</v>
      </c>
      <c r="C3929" s="1926" t="s">
        <v>39</v>
      </c>
      <c r="D3929" s="1926" t="s">
        <v>40</v>
      </c>
      <c r="E3929" s="1662">
        <v>12.37</v>
      </c>
    </row>
    <row r="3930" spans="1:5" x14ac:dyDescent="0.2">
      <c r="A3930" s="135">
        <v>41757</v>
      </c>
      <c r="B3930" s="1926" t="s">
        <v>13530</v>
      </c>
      <c r="C3930" s="1926" t="s">
        <v>39</v>
      </c>
      <c r="D3930" s="1926" t="s">
        <v>46</v>
      </c>
      <c r="E3930" s="1662">
        <v>3288.13</v>
      </c>
    </row>
    <row r="3931" spans="1:5" x14ac:dyDescent="0.2">
      <c r="A3931" s="135">
        <v>5080</v>
      </c>
      <c r="B3931" s="1926" t="s">
        <v>13531</v>
      </c>
      <c r="C3931" s="1926" t="s">
        <v>39</v>
      </c>
      <c r="D3931" s="1926" t="s">
        <v>40</v>
      </c>
      <c r="E3931" s="1662">
        <v>10.27</v>
      </c>
    </row>
    <row r="3932" spans="1:5" x14ac:dyDescent="0.2">
      <c r="A3932" s="135">
        <v>11522</v>
      </c>
      <c r="B3932" s="1926" t="s">
        <v>13532</v>
      </c>
      <c r="C3932" s="1926" t="s">
        <v>39</v>
      </c>
      <c r="D3932" s="1926" t="s">
        <v>40</v>
      </c>
      <c r="E3932" s="1662">
        <v>12.84</v>
      </c>
    </row>
    <row r="3933" spans="1:5" x14ac:dyDescent="0.2">
      <c r="A3933" s="135">
        <v>38168</v>
      </c>
      <c r="B3933" s="1926" t="s">
        <v>13533</v>
      </c>
      <c r="C3933" s="1926" t="s">
        <v>39</v>
      </c>
      <c r="D3933" s="1926" t="s">
        <v>40</v>
      </c>
      <c r="E3933" s="1662">
        <v>119.42</v>
      </c>
    </row>
    <row r="3934" spans="1:5" x14ac:dyDescent="0.2">
      <c r="A3934" s="135">
        <v>13393</v>
      </c>
      <c r="B3934" s="1926" t="s">
        <v>13534</v>
      </c>
      <c r="C3934" s="1926" t="s">
        <v>39</v>
      </c>
      <c r="D3934" s="1926" t="s">
        <v>40</v>
      </c>
      <c r="E3934" s="1662">
        <v>206.27</v>
      </c>
    </row>
    <row r="3935" spans="1:5" x14ac:dyDescent="0.2">
      <c r="A3935" s="135">
        <v>13395</v>
      </c>
      <c r="B3935" s="1926" t="s">
        <v>13535</v>
      </c>
      <c r="C3935" s="1926" t="s">
        <v>39</v>
      </c>
      <c r="D3935" s="1926" t="s">
        <v>40</v>
      </c>
      <c r="E3935" s="1662">
        <v>289.07</v>
      </c>
    </row>
    <row r="3936" spans="1:5" x14ac:dyDescent="0.2">
      <c r="A3936" s="135">
        <v>12039</v>
      </c>
      <c r="B3936" s="1926" t="s">
        <v>13536</v>
      </c>
      <c r="C3936" s="1926" t="s">
        <v>39</v>
      </c>
      <c r="D3936" s="1926" t="s">
        <v>40</v>
      </c>
      <c r="E3936" s="1662">
        <v>303.77999999999997</v>
      </c>
    </row>
    <row r="3937" spans="1:5" x14ac:dyDescent="0.2">
      <c r="A3937" s="135">
        <v>13396</v>
      </c>
      <c r="B3937" s="1926" t="s">
        <v>13537</v>
      </c>
      <c r="C3937" s="1926" t="s">
        <v>39</v>
      </c>
      <c r="D3937" s="1926" t="s">
        <v>40</v>
      </c>
      <c r="E3937" s="1662">
        <v>426.64</v>
      </c>
    </row>
    <row r="3938" spans="1:5" x14ac:dyDescent="0.2">
      <c r="A3938" s="135">
        <v>12041</v>
      </c>
      <c r="B3938" s="1926" t="s">
        <v>13538</v>
      </c>
      <c r="C3938" s="1926" t="s">
        <v>39</v>
      </c>
      <c r="D3938" s="1926" t="s">
        <v>40</v>
      </c>
      <c r="E3938" s="1662">
        <v>348.38</v>
      </c>
    </row>
    <row r="3939" spans="1:5" x14ac:dyDescent="0.2">
      <c r="A3939" s="135">
        <v>12043</v>
      </c>
      <c r="B3939" s="1926" t="s">
        <v>13539</v>
      </c>
      <c r="C3939" s="1926" t="s">
        <v>39</v>
      </c>
      <c r="D3939" s="1926" t="s">
        <v>40</v>
      </c>
      <c r="E3939" s="1662">
        <v>735.54</v>
      </c>
    </row>
    <row r="3940" spans="1:5" x14ac:dyDescent="0.2">
      <c r="A3940" s="135">
        <v>39762</v>
      </c>
      <c r="B3940" s="1926" t="s">
        <v>13540</v>
      </c>
      <c r="C3940" s="1926" t="s">
        <v>39</v>
      </c>
      <c r="D3940" s="1926" t="s">
        <v>40</v>
      </c>
      <c r="E3940" s="1662">
        <v>350.14</v>
      </c>
    </row>
    <row r="3941" spans="1:5" x14ac:dyDescent="0.2">
      <c r="A3941" s="135">
        <v>12042</v>
      </c>
      <c r="B3941" s="1926" t="s">
        <v>13541</v>
      </c>
      <c r="C3941" s="1926" t="s">
        <v>39</v>
      </c>
      <c r="D3941" s="1926" t="s">
        <v>40</v>
      </c>
      <c r="E3941" s="1662">
        <v>511.19</v>
      </c>
    </row>
    <row r="3942" spans="1:5" x14ac:dyDescent="0.2">
      <c r="A3942" s="135">
        <v>39763</v>
      </c>
      <c r="B3942" s="1926" t="s">
        <v>13542</v>
      </c>
      <c r="C3942" s="1926" t="s">
        <v>39</v>
      </c>
      <c r="D3942" s="1926" t="s">
        <v>40</v>
      </c>
      <c r="E3942" s="1662">
        <v>598.28</v>
      </c>
    </row>
    <row r="3943" spans="1:5" x14ac:dyDescent="0.2">
      <c r="A3943" s="135">
        <v>39756</v>
      </c>
      <c r="B3943" s="1926" t="s">
        <v>13543</v>
      </c>
      <c r="C3943" s="1926" t="s">
        <v>39</v>
      </c>
      <c r="D3943" s="1926" t="s">
        <v>40</v>
      </c>
      <c r="E3943" s="1662">
        <v>214.11</v>
      </c>
    </row>
    <row r="3944" spans="1:5" x14ac:dyDescent="0.2">
      <c r="A3944" s="135">
        <v>12038</v>
      </c>
      <c r="B3944" s="1926" t="s">
        <v>13544</v>
      </c>
      <c r="C3944" s="1926" t="s">
        <v>39</v>
      </c>
      <c r="D3944" s="1926" t="s">
        <v>40</v>
      </c>
      <c r="E3944" s="1662">
        <v>267.54000000000002</v>
      </c>
    </row>
    <row r="3945" spans="1:5" x14ac:dyDescent="0.2">
      <c r="A3945" s="135">
        <v>39757</v>
      </c>
      <c r="B3945" s="1926" t="s">
        <v>13545</v>
      </c>
      <c r="C3945" s="1926" t="s">
        <v>39</v>
      </c>
      <c r="D3945" s="1926" t="s">
        <v>40</v>
      </c>
      <c r="E3945" s="1662">
        <v>247.39</v>
      </c>
    </row>
    <row r="3946" spans="1:5" x14ac:dyDescent="0.2">
      <c r="A3946" s="135">
        <v>39758</v>
      </c>
      <c r="B3946" s="1926" t="s">
        <v>13546</v>
      </c>
      <c r="C3946" s="1926" t="s">
        <v>39</v>
      </c>
      <c r="D3946" s="1926" t="s">
        <v>40</v>
      </c>
      <c r="E3946" s="1662">
        <v>360.54</v>
      </c>
    </row>
    <row r="3947" spans="1:5" x14ac:dyDescent="0.2">
      <c r="A3947" s="135">
        <v>39759</v>
      </c>
      <c r="B3947" s="1926" t="s">
        <v>13547</v>
      </c>
      <c r="C3947" s="1926" t="s">
        <v>39</v>
      </c>
      <c r="D3947" s="1926" t="s">
        <v>40</v>
      </c>
      <c r="E3947" s="1662">
        <v>445.27</v>
      </c>
    </row>
    <row r="3948" spans="1:5" x14ac:dyDescent="0.2">
      <c r="A3948" s="135">
        <v>39760</v>
      </c>
      <c r="B3948" s="1926" t="s">
        <v>13548</v>
      </c>
      <c r="C3948" s="1926" t="s">
        <v>39</v>
      </c>
      <c r="D3948" s="1926" t="s">
        <v>40</v>
      </c>
      <c r="E3948" s="1662">
        <v>596.30999999999995</v>
      </c>
    </row>
    <row r="3949" spans="1:5" x14ac:dyDescent="0.2">
      <c r="A3949" s="135">
        <v>39761</v>
      </c>
      <c r="B3949" s="1926" t="s">
        <v>13549</v>
      </c>
      <c r="C3949" s="1926" t="s">
        <v>39</v>
      </c>
      <c r="D3949" s="1926" t="s">
        <v>40</v>
      </c>
      <c r="E3949" s="1662">
        <v>535.22</v>
      </c>
    </row>
    <row r="3950" spans="1:5" x14ac:dyDescent="0.2">
      <c r="A3950" s="135">
        <v>39805</v>
      </c>
      <c r="B3950" s="1926" t="s">
        <v>13550</v>
      </c>
      <c r="C3950" s="1926" t="s">
        <v>39</v>
      </c>
      <c r="D3950" s="1926" t="s">
        <v>40</v>
      </c>
      <c r="E3950" s="1662">
        <v>108.15</v>
      </c>
    </row>
    <row r="3951" spans="1:5" x14ac:dyDescent="0.2">
      <c r="A3951" s="135">
        <v>39806</v>
      </c>
      <c r="B3951" s="1926" t="s">
        <v>13551</v>
      </c>
      <c r="C3951" s="1926" t="s">
        <v>39</v>
      </c>
      <c r="D3951" s="1926" t="s">
        <v>40</v>
      </c>
      <c r="E3951" s="1662">
        <v>200.38</v>
      </c>
    </row>
    <row r="3952" spans="1:5" x14ac:dyDescent="0.2">
      <c r="A3952" s="135">
        <v>39807</v>
      </c>
      <c r="B3952" s="1926" t="s">
        <v>13552</v>
      </c>
      <c r="C3952" s="1926" t="s">
        <v>39</v>
      </c>
      <c r="D3952" s="1926" t="s">
        <v>40</v>
      </c>
      <c r="E3952" s="1662">
        <v>434.28</v>
      </c>
    </row>
    <row r="3953" spans="1:5" x14ac:dyDescent="0.2">
      <c r="A3953" s="135">
        <v>43100</v>
      </c>
      <c r="B3953" s="1926" t="s">
        <v>13553</v>
      </c>
      <c r="C3953" s="1926" t="s">
        <v>39</v>
      </c>
      <c r="D3953" s="1926" t="s">
        <v>40</v>
      </c>
      <c r="E3953" s="1662">
        <v>339.51</v>
      </c>
    </row>
    <row r="3954" spans="1:5" x14ac:dyDescent="0.2">
      <c r="A3954" s="135">
        <v>39804</v>
      </c>
      <c r="B3954" s="1926" t="s">
        <v>13554</v>
      </c>
      <c r="C3954" s="1926" t="s">
        <v>39</v>
      </c>
      <c r="D3954" s="1926" t="s">
        <v>40</v>
      </c>
      <c r="E3954" s="1662">
        <v>63.51</v>
      </c>
    </row>
    <row r="3955" spans="1:5" x14ac:dyDescent="0.2">
      <c r="A3955" s="135">
        <v>39796</v>
      </c>
      <c r="B3955" s="1926" t="s">
        <v>13555</v>
      </c>
      <c r="C3955" s="1926" t="s">
        <v>39</v>
      </c>
      <c r="D3955" s="1926" t="s">
        <v>40</v>
      </c>
      <c r="E3955" s="1662">
        <v>65.78</v>
      </c>
    </row>
    <row r="3956" spans="1:5" x14ac:dyDescent="0.2">
      <c r="A3956" s="135">
        <v>39797</v>
      </c>
      <c r="B3956" s="1926" t="s">
        <v>13556</v>
      </c>
      <c r="C3956" s="1926" t="s">
        <v>39</v>
      </c>
      <c r="D3956" s="1926" t="s">
        <v>43</v>
      </c>
      <c r="E3956" s="1662">
        <v>103.26</v>
      </c>
    </row>
    <row r="3957" spans="1:5" x14ac:dyDescent="0.2">
      <c r="A3957" s="135">
        <v>39798</v>
      </c>
      <c r="B3957" s="1926" t="s">
        <v>13557</v>
      </c>
      <c r="C3957" s="1926" t="s">
        <v>39</v>
      </c>
      <c r="D3957" s="1926" t="s">
        <v>40</v>
      </c>
      <c r="E3957" s="1662">
        <v>177.12</v>
      </c>
    </row>
    <row r="3958" spans="1:5" x14ac:dyDescent="0.2">
      <c r="A3958" s="135">
        <v>39794</v>
      </c>
      <c r="B3958" s="1926" t="s">
        <v>13558</v>
      </c>
      <c r="C3958" s="1926" t="s">
        <v>39</v>
      </c>
      <c r="D3958" s="1926" t="s">
        <v>40</v>
      </c>
      <c r="E3958" s="1662">
        <v>27.92</v>
      </c>
    </row>
    <row r="3959" spans="1:5" x14ac:dyDescent="0.2">
      <c r="A3959" s="135">
        <v>39795</v>
      </c>
      <c r="B3959" s="1926" t="s">
        <v>13559</v>
      </c>
      <c r="C3959" s="1926" t="s">
        <v>39</v>
      </c>
      <c r="D3959" s="1926" t="s">
        <v>40</v>
      </c>
      <c r="E3959" s="1662">
        <v>44.11</v>
      </c>
    </row>
    <row r="3960" spans="1:5" x14ac:dyDescent="0.2">
      <c r="A3960" s="135">
        <v>39799</v>
      </c>
      <c r="B3960" s="1926" t="s">
        <v>13560</v>
      </c>
      <c r="C3960" s="1926" t="s">
        <v>39</v>
      </c>
      <c r="D3960" s="1926" t="s">
        <v>40</v>
      </c>
      <c r="E3960" s="1662">
        <v>32.54</v>
      </c>
    </row>
    <row r="3961" spans="1:5" x14ac:dyDescent="0.2">
      <c r="A3961" s="135">
        <v>39801</v>
      </c>
      <c r="B3961" s="1926" t="s">
        <v>13561</v>
      </c>
      <c r="C3961" s="1926" t="s">
        <v>39</v>
      </c>
      <c r="D3961" s="1926" t="s">
        <v>40</v>
      </c>
      <c r="E3961" s="1662">
        <v>93.14</v>
      </c>
    </row>
    <row r="3962" spans="1:5" x14ac:dyDescent="0.2">
      <c r="A3962" s="135">
        <v>39802</v>
      </c>
      <c r="B3962" s="1926" t="s">
        <v>13562</v>
      </c>
      <c r="C3962" s="1926" t="s">
        <v>39</v>
      </c>
      <c r="D3962" s="1926" t="s">
        <v>40</v>
      </c>
      <c r="E3962" s="1662">
        <v>136.53</v>
      </c>
    </row>
    <row r="3963" spans="1:5" x14ac:dyDescent="0.2">
      <c r="A3963" s="135">
        <v>39803</v>
      </c>
      <c r="B3963" s="1926" t="s">
        <v>13563</v>
      </c>
      <c r="C3963" s="1926" t="s">
        <v>39</v>
      </c>
      <c r="D3963" s="1926" t="s">
        <v>40</v>
      </c>
      <c r="E3963" s="1662">
        <v>190.47</v>
      </c>
    </row>
    <row r="3964" spans="1:5" x14ac:dyDescent="0.2">
      <c r="A3964" s="135">
        <v>39800</v>
      </c>
      <c r="B3964" s="1926" t="s">
        <v>13564</v>
      </c>
      <c r="C3964" s="1926" t="s">
        <v>39</v>
      </c>
      <c r="D3964" s="1926" t="s">
        <v>40</v>
      </c>
      <c r="E3964" s="1662">
        <v>55.44</v>
      </c>
    </row>
    <row r="3965" spans="1:5" x14ac:dyDescent="0.2">
      <c r="A3965" s="135">
        <v>4224</v>
      </c>
      <c r="B3965" s="1926" t="s">
        <v>13565</v>
      </c>
      <c r="C3965" s="1926" t="s">
        <v>49</v>
      </c>
      <c r="D3965" s="1926" t="s">
        <v>40</v>
      </c>
      <c r="E3965" s="1662">
        <v>12.1</v>
      </c>
    </row>
    <row r="3966" spans="1:5" x14ac:dyDescent="0.2">
      <c r="A3966" s="135">
        <v>21059</v>
      </c>
      <c r="B3966" s="1926" t="s">
        <v>13566</v>
      </c>
      <c r="C3966" s="1926" t="s">
        <v>39</v>
      </c>
      <c r="D3966" s="1926" t="s">
        <v>46</v>
      </c>
      <c r="E3966" s="1662">
        <v>30.66</v>
      </c>
    </row>
    <row r="3967" spans="1:5" x14ac:dyDescent="0.2">
      <c r="A3967" s="135">
        <v>11234</v>
      </c>
      <c r="B3967" s="1926" t="s">
        <v>13567</v>
      </c>
      <c r="C3967" s="1926" t="s">
        <v>39</v>
      </c>
      <c r="D3967" s="1926" t="s">
        <v>46</v>
      </c>
      <c r="E3967" s="1662">
        <v>46.22</v>
      </c>
    </row>
    <row r="3968" spans="1:5" x14ac:dyDescent="0.2">
      <c r="A3968" s="135">
        <v>21060</v>
      </c>
      <c r="B3968" s="1926" t="s">
        <v>13568</v>
      </c>
      <c r="C3968" s="1926" t="s">
        <v>39</v>
      </c>
      <c r="D3968" s="1926" t="s">
        <v>46</v>
      </c>
      <c r="E3968" s="1662">
        <v>56.88</v>
      </c>
    </row>
    <row r="3969" spans="1:5" x14ac:dyDescent="0.2">
      <c r="A3969" s="135">
        <v>21061</v>
      </c>
      <c r="B3969" s="1926" t="s">
        <v>13569</v>
      </c>
      <c r="C3969" s="1926" t="s">
        <v>39</v>
      </c>
      <c r="D3969" s="1926" t="s">
        <v>46</v>
      </c>
      <c r="E3969" s="1662">
        <v>71.11</v>
      </c>
    </row>
    <row r="3970" spans="1:5" x14ac:dyDescent="0.2">
      <c r="A3970" s="135">
        <v>21062</v>
      </c>
      <c r="B3970" s="1926" t="s">
        <v>13570</v>
      </c>
      <c r="C3970" s="1926" t="s">
        <v>39</v>
      </c>
      <c r="D3970" s="1926" t="s">
        <v>46</v>
      </c>
      <c r="E3970" s="1662">
        <v>112</v>
      </c>
    </row>
    <row r="3971" spans="1:5" x14ac:dyDescent="0.2">
      <c r="A3971" s="135">
        <v>11708</v>
      </c>
      <c r="B3971" s="1926" t="s">
        <v>13571</v>
      </c>
      <c r="C3971" s="1926" t="s">
        <v>39</v>
      </c>
      <c r="D3971" s="1926" t="s">
        <v>46</v>
      </c>
      <c r="E3971" s="1662">
        <v>12.22</v>
      </c>
    </row>
    <row r="3972" spans="1:5" x14ac:dyDescent="0.2">
      <c r="A3972" s="135">
        <v>11709</v>
      </c>
      <c r="B3972" s="1926" t="s">
        <v>13572</v>
      </c>
      <c r="C3972" s="1926" t="s">
        <v>39</v>
      </c>
      <c r="D3972" s="1926" t="s">
        <v>46</v>
      </c>
      <c r="E3972" s="1662">
        <v>28.71</v>
      </c>
    </row>
    <row r="3973" spans="1:5" x14ac:dyDescent="0.2">
      <c r="A3973" s="135">
        <v>11710</v>
      </c>
      <c r="B3973" s="1926" t="s">
        <v>13573</v>
      </c>
      <c r="C3973" s="1926" t="s">
        <v>39</v>
      </c>
      <c r="D3973" s="1926" t="s">
        <v>46</v>
      </c>
      <c r="E3973" s="1662">
        <v>66</v>
      </c>
    </row>
    <row r="3974" spans="1:5" x14ac:dyDescent="0.2">
      <c r="A3974" s="135">
        <v>11707</v>
      </c>
      <c r="B3974" s="1926" t="s">
        <v>13574</v>
      </c>
      <c r="C3974" s="1926" t="s">
        <v>39</v>
      </c>
      <c r="D3974" s="1926" t="s">
        <v>46</v>
      </c>
      <c r="E3974" s="1662">
        <v>9.15</v>
      </c>
    </row>
    <row r="3975" spans="1:5" x14ac:dyDescent="0.2">
      <c r="A3975" s="135">
        <v>11739</v>
      </c>
      <c r="B3975" s="1926" t="s">
        <v>13575</v>
      </c>
      <c r="C3975" s="1926" t="s">
        <v>39</v>
      </c>
      <c r="D3975" s="1926" t="s">
        <v>40</v>
      </c>
      <c r="E3975" s="1662">
        <v>5.99</v>
      </c>
    </row>
    <row r="3976" spans="1:5" x14ac:dyDescent="0.2">
      <c r="A3976" s="135">
        <v>11711</v>
      </c>
      <c r="B3976" s="1926" t="s">
        <v>13576</v>
      </c>
      <c r="C3976" s="1926" t="s">
        <v>39</v>
      </c>
      <c r="D3976" s="1926" t="s">
        <v>40</v>
      </c>
      <c r="E3976" s="1662">
        <v>8.77</v>
      </c>
    </row>
    <row r="3977" spans="1:5" x14ac:dyDescent="0.2">
      <c r="A3977" s="135">
        <v>5102</v>
      </c>
      <c r="B3977" s="1926" t="s">
        <v>13577</v>
      </c>
      <c r="C3977" s="1926" t="s">
        <v>39</v>
      </c>
      <c r="D3977" s="1926" t="s">
        <v>40</v>
      </c>
      <c r="E3977" s="1662">
        <v>8.48</v>
      </c>
    </row>
    <row r="3978" spans="1:5" x14ac:dyDescent="0.2">
      <c r="A3978" s="135">
        <v>11741</v>
      </c>
      <c r="B3978" s="1926" t="s">
        <v>13578</v>
      </c>
      <c r="C3978" s="1926" t="s">
        <v>39</v>
      </c>
      <c r="D3978" s="1926" t="s">
        <v>40</v>
      </c>
      <c r="E3978" s="1662">
        <v>6.17</v>
      </c>
    </row>
    <row r="3979" spans="1:5" x14ac:dyDescent="0.2">
      <c r="A3979" s="135">
        <v>11743</v>
      </c>
      <c r="B3979" s="1926" t="s">
        <v>13579</v>
      </c>
      <c r="C3979" s="1926" t="s">
        <v>39</v>
      </c>
      <c r="D3979" s="1926" t="s">
        <v>40</v>
      </c>
      <c r="E3979" s="1662">
        <v>5.61</v>
      </c>
    </row>
    <row r="3980" spans="1:5" x14ac:dyDescent="0.2">
      <c r="A3980" s="135">
        <v>11745</v>
      </c>
      <c r="B3980" s="1926" t="s">
        <v>13580</v>
      </c>
      <c r="C3980" s="1926" t="s">
        <v>39</v>
      </c>
      <c r="D3980" s="1926" t="s">
        <v>40</v>
      </c>
      <c r="E3980" s="1662">
        <v>7.96</v>
      </c>
    </row>
    <row r="3981" spans="1:5" x14ac:dyDescent="0.2">
      <c r="A3981" s="135">
        <v>25961</v>
      </c>
      <c r="B3981" s="1926" t="s">
        <v>13581</v>
      </c>
      <c r="C3981" s="1926" t="s">
        <v>42</v>
      </c>
      <c r="D3981" s="1926" t="s">
        <v>40</v>
      </c>
      <c r="E3981" s="1662">
        <v>9.15</v>
      </c>
    </row>
    <row r="3982" spans="1:5" x14ac:dyDescent="0.2">
      <c r="A3982" s="135">
        <v>40985</v>
      </c>
      <c r="B3982" s="1926" t="s">
        <v>13582</v>
      </c>
      <c r="C3982" s="1926" t="s">
        <v>51</v>
      </c>
      <c r="D3982" s="1926" t="s">
        <v>40</v>
      </c>
      <c r="E3982" s="1662">
        <v>1634.49</v>
      </c>
    </row>
    <row r="3983" spans="1:5" x14ac:dyDescent="0.2">
      <c r="A3983" s="135">
        <v>1088</v>
      </c>
      <c r="B3983" s="1926" t="s">
        <v>13583</v>
      </c>
      <c r="C3983" s="1926" t="s">
        <v>39</v>
      </c>
      <c r="D3983" s="1926" t="s">
        <v>46</v>
      </c>
      <c r="E3983" s="1662">
        <v>13.89</v>
      </c>
    </row>
    <row r="3984" spans="1:5" x14ac:dyDescent="0.2">
      <c r="A3984" s="135">
        <v>1087</v>
      </c>
      <c r="B3984" s="1926" t="s">
        <v>13584</v>
      </c>
      <c r="C3984" s="1926" t="s">
        <v>39</v>
      </c>
      <c r="D3984" s="1926" t="s">
        <v>46</v>
      </c>
      <c r="E3984" s="1662">
        <v>17.350000000000001</v>
      </c>
    </row>
    <row r="3985" spans="1:5" x14ac:dyDescent="0.2">
      <c r="A3985" s="135">
        <v>38777</v>
      </c>
      <c r="B3985" s="1926" t="s">
        <v>13585</v>
      </c>
      <c r="C3985" s="1926" t="s">
        <v>39</v>
      </c>
      <c r="D3985" s="1926" t="s">
        <v>46</v>
      </c>
      <c r="E3985" s="1662">
        <v>34.56</v>
      </c>
    </row>
    <row r="3986" spans="1:5" x14ac:dyDescent="0.2">
      <c r="A3986" s="135">
        <v>1086</v>
      </c>
      <c r="B3986" s="1926" t="s">
        <v>13586</v>
      </c>
      <c r="C3986" s="1926" t="s">
        <v>39</v>
      </c>
      <c r="D3986" s="1926" t="s">
        <v>46</v>
      </c>
      <c r="E3986" s="1662">
        <v>18.239999999999998</v>
      </c>
    </row>
    <row r="3987" spans="1:5" x14ac:dyDescent="0.2">
      <c r="A3987" s="135">
        <v>1079</v>
      </c>
      <c r="B3987" s="1926" t="s">
        <v>13587</v>
      </c>
      <c r="C3987" s="1926" t="s">
        <v>39</v>
      </c>
      <c r="D3987" s="1926" t="s">
        <v>46</v>
      </c>
      <c r="E3987" s="1662">
        <v>18.850000000000001</v>
      </c>
    </row>
    <row r="3988" spans="1:5" x14ac:dyDescent="0.2">
      <c r="A3988" s="135">
        <v>39374</v>
      </c>
      <c r="B3988" s="1926" t="s">
        <v>13588</v>
      </c>
      <c r="C3988" s="1926" t="s">
        <v>39</v>
      </c>
      <c r="D3988" s="1926" t="s">
        <v>43</v>
      </c>
      <c r="E3988" s="1662">
        <v>154.9</v>
      </c>
    </row>
    <row r="3989" spans="1:5" x14ac:dyDescent="0.2">
      <c r="A3989" s="135">
        <v>1082</v>
      </c>
      <c r="B3989" s="1926" t="s">
        <v>13589</v>
      </c>
      <c r="C3989" s="1926" t="s">
        <v>39</v>
      </c>
      <c r="D3989" s="1926" t="s">
        <v>46</v>
      </c>
      <c r="E3989" s="1662">
        <v>118.54</v>
      </c>
    </row>
    <row r="3990" spans="1:5" x14ac:dyDescent="0.2">
      <c r="A3990" s="135">
        <v>12316</v>
      </c>
      <c r="B3990" s="1926" t="s">
        <v>13590</v>
      </c>
      <c r="C3990" s="1926" t="s">
        <v>39</v>
      </c>
      <c r="D3990" s="1926" t="s">
        <v>46</v>
      </c>
      <c r="E3990" s="1662">
        <v>54.33</v>
      </c>
    </row>
    <row r="3991" spans="1:5" x14ac:dyDescent="0.2">
      <c r="A3991" s="135">
        <v>12317</v>
      </c>
      <c r="B3991" s="1926" t="s">
        <v>13591</v>
      </c>
      <c r="C3991" s="1926" t="s">
        <v>39</v>
      </c>
      <c r="D3991" s="1926" t="s">
        <v>46</v>
      </c>
      <c r="E3991" s="1662">
        <v>64.790000000000006</v>
      </c>
    </row>
    <row r="3992" spans="1:5" x14ac:dyDescent="0.2">
      <c r="A3992" s="135">
        <v>12318</v>
      </c>
      <c r="B3992" s="1926" t="s">
        <v>13592</v>
      </c>
      <c r="C3992" s="1926" t="s">
        <v>39</v>
      </c>
      <c r="D3992" s="1926" t="s">
        <v>46</v>
      </c>
      <c r="E3992" s="1662">
        <v>74.64</v>
      </c>
    </row>
    <row r="3993" spans="1:5" x14ac:dyDescent="0.2">
      <c r="A3993" s="135">
        <v>5104</v>
      </c>
      <c r="B3993" s="1926" t="s">
        <v>13593</v>
      </c>
      <c r="C3993" s="1926" t="s">
        <v>48</v>
      </c>
      <c r="D3993" s="1926" t="s">
        <v>46</v>
      </c>
      <c r="E3993" s="1662">
        <v>42.41</v>
      </c>
    </row>
    <row r="3994" spans="1:5" x14ac:dyDescent="0.2">
      <c r="A3994" s="135">
        <v>26023</v>
      </c>
      <c r="B3994" s="1926" t="s">
        <v>13594</v>
      </c>
      <c r="C3994" s="1926" t="s">
        <v>39</v>
      </c>
      <c r="D3994" s="1926" t="s">
        <v>40</v>
      </c>
      <c r="E3994" s="1662">
        <v>65</v>
      </c>
    </row>
    <row r="3995" spans="1:5" x14ac:dyDescent="0.2">
      <c r="A3995" s="135">
        <v>2710</v>
      </c>
      <c r="B3995" s="1926" t="s">
        <v>13595</v>
      </c>
      <c r="C3995" s="1926" t="s">
        <v>39</v>
      </c>
      <c r="D3995" s="1926" t="s">
        <v>40</v>
      </c>
      <c r="E3995" s="1662">
        <v>51.91</v>
      </c>
    </row>
    <row r="3996" spans="1:5" x14ac:dyDescent="0.2">
      <c r="A3996" s="135">
        <v>14575</v>
      </c>
      <c r="B3996" s="1926" t="s">
        <v>13596</v>
      </c>
      <c r="C3996" s="1926" t="s">
        <v>39</v>
      </c>
      <c r="D3996" s="1926" t="s">
        <v>46</v>
      </c>
      <c r="E3996" s="1662">
        <v>3744123.33</v>
      </c>
    </row>
    <row r="3997" spans="1:5" x14ac:dyDescent="0.2">
      <c r="A3997" s="135">
        <v>20034</v>
      </c>
      <c r="B3997" s="1926" t="s">
        <v>13597</v>
      </c>
      <c r="C3997" s="1926" t="s">
        <v>39</v>
      </c>
      <c r="D3997" s="1926" t="s">
        <v>46</v>
      </c>
      <c r="E3997" s="1662">
        <v>62.13</v>
      </c>
    </row>
    <row r="3998" spans="1:5" x14ac:dyDescent="0.2">
      <c r="A3998" s="135">
        <v>20036</v>
      </c>
      <c r="B3998" s="1926" t="s">
        <v>13598</v>
      </c>
      <c r="C3998" s="1926" t="s">
        <v>39</v>
      </c>
      <c r="D3998" s="1926" t="s">
        <v>46</v>
      </c>
      <c r="E3998" s="1662">
        <v>119.51</v>
      </c>
    </row>
    <row r="3999" spans="1:5" x14ac:dyDescent="0.2">
      <c r="A3999" s="135">
        <v>20037</v>
      </c>
      <c r="B3999" s="1926" t="s">
        <v>13599</v>
      </c>
      <c r="C3999" s="1926" t="s">
        <v>39</v>
      </c>
      <c r="D3999" s="1926" t="s">
        <v>46</v>
      </c>
      <c r="E3999" s="1662">
        <v>225.42</v>
      </c>
    </row>
    <row r="4000" spans="1:5" x14ac:dyDescent="0.2">
      <c r="A4000" s="135">
        <v>20043</v>
      </c>
      <c r="B4000" s="1926" t="s">
        <v>13600</v>
      </c>
      <c r="C4000" s="1926" t="s">
        <v>39</v>
      </c>
      <c r="D4000" s="1926" t="s">
        <v>40</v>
      </c>
      <c r="E4000" s="1662">
        <v>4.84</v>
      </c>
    </row>
    <row r="4001" spans="1:5" x14ac:dyDescent="0.2">
      <c r="A4001" s="135">
        <v>20044</v>
      </c>
      <c r="B4001" s="1926" t="s">
        <v>13601</v>
      </c>
      <c r="C4001" s="1926" t="s">
        <v>39</v>
      </c>
      <c r="D4001" s="1926" t="s">
        <v>40</v>
      </c>
      <c r="E4001" s="1662">
        <v>5.66</v>
      </c>
    </row>
    <row r="4002" spans="1:5" x14ac:dyDescent="0.2">
      <c r="A4002" s="135">
        <v>20042</v>
      </c>
      <c r="B4002" s="1926" t="s">
        <v>13602</v>
      </c>
      <c r="C4002" s="1926" t="s">
        <v>39</v>
      </c>
      <c r="D4002" s="1926" t="s">
        <v>40</v>
      </c>
      <c r="E4002" s="1662">
        <v>4.0999999999999996</v>
      </c>
    </row>
    <row r="4003" spans="1:5" x14ac:dyDescent="0.2">
      <c r="A4003" s="135">
        <v>20046</v>
      </c>
      <c r="B4003" s="1926" t="s">
        <v>13603</v>
      </c>
      <c r="C4003" s="1926" t="s">
        <v>39</v>
      </c>
      <c r="D4003" s="1926" t="s">
        <v>40</v>
      </c>
      <c r="E4003" s="1662">
        <v>12.02</v>
      </c>
    </row>
    <row r="4004" spans="1:5" x14ac:dyDescent="0.2">
      <c r="A4004" s="135">
        <v>20047</v>
      </c>
      <c r="B4004" s="1926" t="s">
        <v>13604</v>
      </c>
      <c r="C4004" s="1926" t="s">
        <v>39</v>
      </c>
      <c r="D4004" s="1926" t="s">
        <v>40</v>
      </c>
      <c r="E4004" s="1662">
        <v>32.840000000000003</v>
      </c>
    </row>
    <row r="4005" spans="1:5" x14ac:dyDescent="0.2">
      <c r="A4005" s="135">
        <v>20045</v>
      </c>
      <c r="B4005" s="1926" t="s">
        <v>13605</v>
      </c>
      <c r="C4005" s="1926" t="s">
        <v>39</v>
      </c>
      <c r="D4005" s="1926" t="s">
        <v>40</v>
      </c>
      <c r="E4005" s="1662">
        <v>4.9400000000000004</v>
      </c>
    </row>
    <row r="4006" spans="1:5" x14ac:dyDescent="0.2">
      <c r="A4006" s="135">
        <v>20972</v>
      </c>
      <c r="B4006" s="1926" t="s">
        <v>13606</v>
      </c>
      <c r="C4006" s="1926" t="s">
        <v>39</v>
      </c>
      <c r="D4006" s="1926" t="s">
        <v>40</v>
      </c>
      <c r="E4006" s="1662">
        <v>79.8</v>
      </c>
    </row>
    <row r="4007" spans="1:5" x14ac:dyDescent="0.2">
      <c r="A4007" s="135">
        <v>20032</v>
      </c>
      <c r="B4007" s="1926" t="s">
        <v>13607</v>
      </c>
      <c r="C4007" s="1926" t="s">
        <v>39</v>
      </c>
      <c r="D4007" s="1926" t="s">
        <v>46</v>
      </c>
      <c r="E4007" s="1662">
        <v>47.4</v>
      </c>
    </row>
    <row r="4008" spans="1:5" x14ac:dyDescent="0.2">
      <c r="A4008" s="135">
        <v>11321</v>
      </c>
      <c r="B4008" s="1926" t="s">
        <v>13608</v>
      </c>
      <c r="C4008" s="1926" t="s">
        <v>39</v>
      </c>
      <c r="D4008" s="1926" t="s">
        <v>46</v>
      </c>
      <c r="E4008" s="1662">
        <v>21.61</v>
      </c>
    </row>
    <row r="4009" spans="1:5" x14ac:dyDescent="0.2">
      <c r="A4009" s="135">
        <v>11323</v>
      </c>
      <c r="B4009" s="1926" t="s">
        <v>13609</v>
      </c>
      <c r="C4009" s="1926" t="s">
        <v>39</v>
      </c>
      <c r="D4009" s="1926" t="s">
        <v>46</v>
      </c>
      <c r="E4009" s="1662">
        <v>24.85</v>
      </c>
    </row>
    <row r="4010" spans="1:5" x14ac:dyDescent="0.2">
      <c r="A4010" s="135">
        <v>20327</v>
      </c>
      <c r="B4010" s="1926" t="s">
        <v>13610</v>
      </c>
      <c r="C4010" s="1926" t="s">
        <v>39</v>
      </c>
      <c r="D4010" s="1926" t="s">
        <v>46</v>
      </c>
      <c r="E4010" s="1662">
        <v>14.1</v>
      </c>
    </row>
    <row r="4011" spans="1:5" x14ac:dyDescent="0.2">
      <c r="A4011" s="135">
        <v>25966</v>
      </c>
      <c r="B4011" s="1926" t="s">
        <v>13611</v>
      </c>
      <c r="C4011" s="1926" t="s">
        <v>49</v>
      </c>
      <c r="D4011" s="1926" t="s">
        <v>40</v>
      </c>
      <c r="E4011" s="1662">
        <v>15.46</v>
      </c>
    </row>
    <row r="4012" spans="1:5" x14ac:dyDescent="0.2">
      <c r="A4012" s="135">
        <v>13390</v>
      </c>
      <c r="B4012" s="1926" t="s">
        <v>13612</v>
      </c>
      <c r="C4012" s="1926" t="s">
        <v>39</v>
      </c>
      <c r="D4012" s="1926" t="s">
        <v>46</v>
      </c>
      <c r="E4012" s="1662">
        <v>68.569999999999993</v>
      </c>
    </row>
    <row r="4013" spans="1:5" x14ac:dyDescent="0.2">
      <c r="A4013" s="135">
        <v>6034</v>
      </c>
      <c r="B4013" s="1926" t="s">
        <v>13613</v>
      </c>
      <c r="C4013" s="1926" t="s">
        <v>39</v>
      </c>
      <c r="D4013" s="1926" t="s">
        <v>40</v>
      </c>
      <c r="E4013" s="1662">
        <v>14.28</v>
      </c>
    </row>
    <row r="4014" spans="1:5" x14ac:dyDescent="0.2">
      <c r="A4014" s="135">
        <v>6036</v>
      </c>
      <c r="B4014" s="1926" t="s">
        <v>13614</v>
      </c>
      <c r="C4014" s="1926" t="s">
        <v>39</v>
      </c>
      <c r="D4014" s="1926" t="s">
        <v>40</v>
      </c>
      <c r="E4014" s="1662">
        <v>19.45</v>
      </c>
    </row>
    <row r="4015" spans="1:5" x14ac:dyDescent="0.2">
      <c r="A4015" s="135">
        <v>6031</v>
      </c>
      <c r="B4015" s="1926" t="s">
        <v>13615</v>
      </c>
      <c r="C4015" s="1926" t="s">
        <v>39</v>
      </c>
      <c r="D4015" s="1926" t="s">
        <v>43</v>
      </c>
      <c r="E4015" s="1662">
        <v>22.86</v>
      </c>
    </row>
    <row r="4016" spans="1:5" x14ac:dyDescent="0.2">
      <c r="A4016" s="135">
        <v>6029</v>
      </c>
      <c r="B4016" s="1926" t="s">
        <v>13616</v>
      </c>
      <c r="C4016" s="1926" t="s">
        <v>39</v>
      </c>
      <c r="D4016" s="1926" t="s">
        <v>40</v>
      </c>
      <c r="E4016" s="1662">
        <v>23.1</v>
      </c>
    </row>
    <row r="4017" spans="1:5" x14ac:dyDescent="0.2">
      <c r="A4017" s="135">
        <v>6033</v>
      </c>
      <c r="B4017" s="1926" t="s">
        <v>13617</v>
      </c>
      <c r="C4017" s="1926" t="s">
        <v>39</v>
      </c>
      <c r="D4017" s="1926" t="s">
        <v>40</v>
      </c>
      <c r="E4017" s="1662">
        <v>30.45</v>
      </c>
    </row>
    <row r="4018" spans="1:5" x14ac:dyDescent="0.2">
      <c r="A4018" s="135">
        <v>11672</v>
      </c>
      <c r="B4018" s="1926" t="s">
        <v>13618</v>
      </c>
      <c r="C4018" s="1926" t="s">
        <v>39</v>
      </c>
      <c r="D4018" s="1926" t="s">
        <v>40</v>
      </c>
      <c r="E4018" s="1662">
        <v>66.23</v>
      </c>
    </row>
    <row r="4019" spans="1:5" x14ac:dyDescent="0.2">
      <c r="A4019" s="135">
        <v>11669</v>
      </c>
      <c r="B4019" s="1926" t="s">
        <v>13619</v>
      </c>
      <c r="C4019" s="1926" t="s">
        <v>39</v>
      </c>
      <c r="D4019" s="1926" t="s">
        <v>40</v>
      </c>
      <c r="E4019" s="1662">
        <v>63.08</v>
      </c>
    </row>
    <row r="4020" spans="1:5" x14ac:dyDescent="0.2">
      <c r="A4020" s="135">
        <v>11670</v>
      </c>
      <c r="B4020" s="1926" t="s">
        <v>13620</v>
      </c>
      <c r="C4020" s="1926" t="s">
        <v>39</v>
      </c>
      <c r="D4020" s="1926" t="s">
        <v>40</v>
      </c>
      <c r="E4020" s="1662">
        <v>24.16</v>
      </c>
    </row>
    <row r="4021" spans="1:5" x14ac:dyDescent="0.2">
      <c r="A4021" s="135">
        <v>20055</v>
      </c>
      <c r="B4021" s="1926" t="s">
        <v>13621</v>
      </c>
      <c r="C4021" s="1926" t="s">
        <v>39</v>
      </c>
      <c r="D4021" s="1926" t="s">
        <v>40</v>
      </c>
      <c r="E4021" s="1662">
        <v>47.24</v>
      </c>
    </row>
    <row r="4022" spans="1:5" x14ac:dyDescent="0.2">
      <c r="A4022" s="135">
        <v>11671</v>
      </c>
      <c r="B4022" s="1926" t="s">
        <v>13622</v>
      </c>
      <c r="C4022" s="1926" t="s">
        <v>39</v>
      </c>
      <c r="D4022" s="1926" t="s">
        <v>40</v>
      </c>
      <c r="E4022" s="1662">
        <v>101.37</v>
      </c>
    </row>
    <row r="4023" spans="1:5" x14ac:dyDescent="0.2">
      <c r="A4023" s="135">
        <v>6032</v>
      </c>
      <c r="B4023" s="1926" t="s">
        <v>13623</v>
      </c>
      <c r="C4023" s="1926" t="s">
        <v>39</v>
      </c>
      <c r="D4023" s="1926" t="s">
        <v>40</v>
      </c>
      <c r="E4023" s="1662">
        <v>28.95</v>
      </c>
    </row>
    <row r="4024" spans="1:5" x14ac:dyDescent="0.2">
      <c r="A4024" s="135">
        <v>11673</v>
      </c>
      <c r="B4024" s="1926" t="s">
        <v>13624</v>
      </c>
      <c r="C4024" s="1926" t="s">
        <v>39</v>
      </c>
      <c r="D4024" s="1926" t="s">
        <v>40</v>
      </c>
      <c r="E4024" s="1662">
        <v>22.8</v>
      </c>
    </row>
    <row r="4025" spans="1:5" x14ac:dyDescent="0.2">
      <c r="A4025" s="135">
        <v>11674</v>
      </c>
      <c r="B4025" s="1926" t="s">
        <v>13625</v>
      </c>
      <c r="C4025" s="1926" t="s">
        <v>39</v>
      </c>
      <c r="D4025" s="1926" t="s">
        <v>40</v>
      </c>
      <c r="E4025" s="1662">
        <v>29.36</v>
      </c>
    </row>
    <row r="4026" spans="1:5" x14ac:dyDescent="0.2">
      <c r="A4026" s="135">
        <v>11675</v>
      </c>
      <c r="B4026" s="1926" t="s">
        <v>13626</v>
      </c>
      <c r="C4026" s="1926" t="s">
        <v>39</v>
      </c>
      <c r="D4026" s="1926" t="s">
        <v>40</v>
      </c>
      <c r="E4026" s="1662">
        <v>46.61</v>
      </c>
    </row>
    <row r="4027" spans="1:5" x14ac:dyDescent="0.2">
      <c r="A4027" s="135">
        <v>11676</v>
      </c>
      <c r="B4027" s="1926" t="s">
        <v>13627</v>
      </c>
      <c r="C4027" s="1926" t="s">
        <v>39</v>
      </c>
      <c r="D4027" s="1926" t="s">
        <v>40</v>
      </c>
      <c r="E4027" s="1662">
        <v>62.34</v>
      </c>
    </row>
    <row r="4028" spans="1:5" x14ac:dyDescent="0.2">
      <c r="A4028" s="135">
        <v>11677</v>
      </c>
      <c r="B4028" s="1926" t="s">
        <v>13628</v>
      </c>
      <c r="C4028" s="1926" t="s">
        <v>39</v>
      </c>
      <c r="D4028" s="1926" t="s">
        <v>40</v>
      </c>
      <c r="E4028" s="1662">
        <v>64.38</v>
      </c>
    </row>
    <row r="4029" spans="1:5" x14ac:dyDescent="0.2">
      <c r="A4029" s="135">
        <v>11678</v>
      </c>
      <c r="B4029" s="1926" t="s">
        <v>13629</v>
      </c>
      <c r="C4029" s="1926" t="s">
        <v>39</v>
      </c>
      <c r="D4029" s="1926" t="s">
        <v>40</v>
      </c>
      <c r="E4029" s="1662">
        <v>117.91</v>
      </c>
    </row>
    <row r="4030" spans="1:5" x14ac:dyDescent="0.2">
      <c r="A4030" s="135">
        <v>6038</v>
      </c>
      <c r="B4030" s="1926" t="s">
        <v>13630</v>
      </c>
      <c r="C4030" s="1926" t="s">
        <v>39</v>
      </c>
      <c r="D4030" s="1926" t="s">
        <v>40</v>
      </c>
      <c r="E4030" s="1662">
        <v>7.48</v>
      </c>
    </row>
    <row r="4031" spans="1:5" x14ac:dyDescent="0.2">
      <c r="A4031" s="135">
        <v>11718</v>
      </c>
      <c r="B4031" s="1926" t="s">
        <v>13631</v>
      </c>
      <c r="C4031" s="1926" t="s">
        <v>39</v>
      </c>
      <c r="D4031" s="1926" t="s">
        <v>40</v>
      </c>
      <c r="E4031" s="1662">
        <v>21.33</v>
      </c>
    </row>
    <row r="4032" spans="1:5" x14ac:dyDescent="0.2">
      <c r="A4032" s="135">
        <v>6037</v>
      </c>
      <c r="B4032" s="1926" t="s">
        <v>13632</v>
      </c>
      <c r="C4032" s="1926" t="s">
        <v>39</v>
      </c>
      <c r="D4032" s="1926" t="s">
        <v>40</v>
      </c>
      <c r="E4032" s="1662">
        <v>15.56</v>
      </c>
    </row>
    <row r="4033" spans="1:5" x14ac:dyDescent="0.2">
      <c r="A4033" s="135">
        <v>11719</v>
      </c>
      <c r="B4033" s="1926" t="s">
        <v>13633</v>
      </c>
      <c r="C4033" s="1926" t="s">
        <v>39</v>
      </c>
      <c r="D4033" s="1926" t="s">
        <v>40</v>
      </c>
      <c r="E4033" s="1662">
        <v>17.3</v>
      </c>
    </row>
    <row r="4034" spans="1:5" x14ac:dyDescent="0.2">
      <c r="A4034" s="135">
        <v>6019</v>
      </c>
      <c r="B4034" s="1926" t="s">
        <v>13634</v>
      </c>
      <c r="C4034" s="1926" t="s">
        <v>39</v>
      </c>
      <c r="D4034" s="1926" t="s">
        <v>40</v>
      </c>
      <c r="E4034" s="1662">
        <v>44.26</v>
      </c>
    </row>
    <row r="4035" spans="1:5" x14ac:dyDescent="0.2">
      <c r="A4035" s="135">
        <v>6010</v>
      </c>
      <c r="B4035" s="1926" t="s">
        <v>13635</v>
      </c>
      <c r="C4035" s="1926" t="s">
        <v>39</v>
      </c>
      <c r="D4035" s="1926" t="s">
        <v>40</v>
      </c>
      <c r="E4035" s="1662">
        <v>76.16</v>
      </c>
    </row>
    <row r="4036" spans="1:5" x14ac:dyDescent="0.2">
      <c r="A4036" s="135">
        <v>6017</v>
      </c>
      <c r="B4036" s="1926" t="s">
        <v>13636</v>
      </c>
      <c r="C4036" s="1926" t="s">
        <v>39</v>
      </c>
      <c r="D4036" s="1926" t="s">
        <v>40</v>
      </c>
      <c r="E4036" s="1662">
        <v>60.32</v>
      </c>
    </row>
    <row r="4037" spans="1:5" x14ac:dyDescent="0.2">
      <c r="A4037" s="135">
        <v>6020</v>
      </c>
      <c r="B4037" s="1926" t="s">
        <v>13637</v>
      </c>
      <c r="C4037" s="1926" t="s">
        <v>39</v>
      </c>
      <c r="D4037" s="1926" t="s">
        <v>40</v>
      </c>
      <c r="E4037" s="1662">
        <v>26.58</v>
      </c>
    </row>
    <row r="4038" spans="1:5" x14ac:dyDescent="0.2">
      <c r="A4038" s="135">
        <v>6028</v>
      </c>
      <c r="B4038" s="1926" t="s">
        <v>13638</v>
      </c>
      <c r="C4038" s="1926" t="s">
        <v>39</v>
      </c>
      <c r="D4038" s="1926" t="s">
        <v>40</v>
      </c>
      <c r="E4038" s="1662">
        <v>106.08</v>
      </c>
    </row>
    <row r="4039" spans="1:5" x14ac:dyDescent="0.2">
      <c r="A4039" s="135">
        <v>6011</v>
      </c>
      <c r="B4039" s="1926" t="s">
        <v>13639</v>
      </c>
      <c r="C4039" s="1926" t="s">
        <v>39</v>
      </c>
      <c r="D4039" s="1926" t="s">
        <v>40</v>
      </c>
      <c r="E4039" s="1662">
        <v>220</v>
      </c>
    </row>
    <row r="4040" spans="1:5" x14ac:dyDescent="0.2">
      <c r="A4040" s="135">
        <v>6012</v>
      </c>
      <c r="B4040" s="1926" t="s">
        <v>13640</v>
      </c>
      <c r="C4040" s="1926" t="s">
        <v>39</v>
      </c>
      <c r="D4040" s="1926" t="s">
        <v>40</v>
      </c>
      <c r="E4040" s="1662">
        <v>266.33999999999997</v>
      </c>
    </row>
    <row r="4041" spans="1:5" x14ac:dyDescent="0.2">
      <c r="A4041" s="135">
        <v>6016</v>
      </c>
      <c r="B4041" s="1926" t="s">
        <v>13641</v>
      </c>
      <c r="C4041" s="1926" t="s">
        <v>39</v>
      </c>
      <c r="D4041" s="1926" t="s">
        <v>40</v>
      </c>
      <c r="E4041" s="1662">
        <v>28.04</v>
      </c>
    </row>
    <row r="4042" spans="1:5" x14ac:dyDescent="0.2">
      <c r="A4042" s="135">
        <v>6027</v>
      </c>
      <c r="B4042" s="1926" t="s">
        <v>13642</v>
      </c>
      <c r="C4042" s="1926" t="s">
        <v>39</v>
      </c>
      <c r="D4042" s="1926" t="s">
        <v>40</v>
      </c>
      <c r="E4042" s="1662">
        <v>554.97</v>
      </c>
    </row>
    <row r="4043" spans="1:5" x14ac:dyDescent="0.2">
      <c r="A4043" s="135">
        <v>6013</v>
      </c>
      <c r="B4043" s="1926" t="s">
        <v>13643</v>
      </c>
      <c r="C4043" s="1926" t="s">
        <v>39</v>
      </c>
      <c r="D4043" s="1926" t="s">
        <v>40</v>
      </c>
      <c r="E4043" s="1662">
        <v>83.74</v>
      </c>
    </row>
    <row r="4044" spans="1:5" x14ac:dyDescent="0.2">
      <c r="A4044" s="135">
        <v>6015</v>
      </c>
      <c r="B4044" s="1926" t="s">
        <v>13644</v>
      </c>
      <c r="C4044" s="1926" t="s">
        <v>39</v>
      </c>
      <c r="D4044" s="1926" t="s">
        <v>40</v>
      </c>
      <c r="E4044" s="1662">
        <v>121.78</v>
      </c>
    </row>
    <row r="4045" spans="1:5" x14ac:dyDescent="0.2">
      <c r="A4045" s="135">
        <v>6014</v>
      </c>
      <c r="B4045" s="1926" t="s">
        <v>13645</v>
      </c>
      <c r="C4045" s="1926" t="s">
        <v>39</v>
      </c>
      <c r="D4045" s="1926" t="s">
        <v>40</v>
      </c>
      <c r="E4045" s="1662">
        <v>116.43</v>
      </c>
    </row>
    <row r="4046" spans="1:5" x14ac:dyDescent="0.2">
      <c r="A4046" s="135">
        <v>6006</v>
      </c>
      <c r="B4046" s="1926" t="s">
        <v>13646</v>
      </c>
      <c r="C4046" s="1926" t="s">
        <v>39</v>
      </c>
      <c r="D4046" s="1926" t="s">
        <v>40</v>
      </c>
      <c r="E4046" s="1662">
        <v>60.64</v>
      </c>
    </row>
    <row r="4047" spans="1:5" x14ac:dyDescent="0.2">
      <c r="A4047" s="135">
        <v>6005</v>
      </c>
      <c r="B4047" s="1926" t="s">
        <v>13647</v>
      </c>
      <c r="C4047" s="1926" t="s">
        <v>39</v>
      </c>
      <c r="D4047" s="1926" t="s">
        <v>43</v>
      </c>
      <c r="E4047" s="1662">
        <v>68.41</v>
      </c>
    </row>
    <row r="4048" spans="1:5" x14ac:dyDescent="0.2">
      <c r="A4048" s="135">
        <v>11756</v>
      </c>
      <c r="B4048" s="1926" t="s">
        <v>13648</v>
      </c>
      <c r="C4048" s="1926" t="s">
        <v>39</v>
      </c>
      <c r="D4048" s="1926" t="s">
        <v>40</v>
      </c>
      <c r="E4048" s="1662">
        <v>32.67</v>
      </c>
    </row>
    <row r="4049" spans="1:5" x14ac:dyDescent="0.2">
      <c r="A4049" s="135">
        <v>10904</v>
      </c>
      <c r="B4049" s="1926" t="s">
        <v>13649</v>
      </c>
      <c r="C4049" s="1926" t="s">
        <v>39</v>
      </c>
      <c r="D4049" s="1926" t="s">
        <v>43</v>
      </c>
      <c r="E4049" s="1662">
        <v>111.73</v>
      </c>
    </row>
    <row r="4050" spans="1:5" x14ac:dyDescent="0.2">
      <c r="A4050" s="135">
        <v>11752</v>
      </c>
      <c r="B4050" s="1926" t="s">
        <v>13650</v>
      </c>
      <c r="C4050" s="1926" t="s">
        <v>39</v>
      </c>
      <c r="D4050" s="1926" t="s">
        <v>40</v>
      </c>
      <c r="E4050" s="1662">
        <v>18.84</v>
      </c>
    </row>
    <row r="4051" spans="1:5" x14ac:dyDescent="0.2">
      <c r="A4051" s="135">
        <v>11753</v>
      </c>
      <c r="B4051" s="1926" t="s">
        <v>13651</v>
      </c>
      <c r="C4051" s="1926" t="s">
        <v>39</v>
      </c>
      <c r="D4051" s="1926" t="s">
        <v>40</v>
      </c>
      <c r="E4051" s="1662">
        <v>22.49</v>
      </c>
    </row>
    <row r="4052" spans="1:5" x14ac:dyDescent="0.2">
      <c r="A4052" s="135">
        <v>6021</v>
      </c>
      <c r="B4052" s="1926" t="s">
        <v>13652</v>
      </c>
      <c r="C4052" s="1926" t="s">
        <v>39</v>
      </c>
      <c r="D4052" s="1926" t="s">
        <v>40</v>
      </c>
      <c r="E4052" s="1662">
        <v>62.42</v>
      </c>
    </row>
    <row r="4053" spans="1:5" x14ac:dyDescent="0.2">
      <c r="A4053" s="135">
        <v>6024</v>
      </c>
      <c r="B4053" s="1926" t="s">
        <v>13653</v>
      </c>
      <c r="C4053" s="1926" t="s">
        <v>39</v>
      </c>
      <c r="D4053" s="1926" t="s">
        <v>40</v>
      </c>
      <c r="E4053" s="1662">
        <v>64.52</v>
      </c>
    </row>
    <row r="4054" spans="1:5" x14ac:dyDescent="0.2">
      <c r="A4054" s="135">
        <v>38379</v>
      </c>
      <c r="B4054" s="1926" t="s">
        <v>13654</v>
      </c>
      <c r="C4054" s="1926" t="s">
        <v>47</v>
      </c>
      <c r="D4054" s="1926" t="s">
        <v>40</v>
      </c>
      <c r="E4054" s="1662">
        <v>36.68</v>
      </c>
    </row>
    <row r="4055" spans="1:5" x14ac:dyDescent="0.2">
      <c r="A4055" s="135">
        <v>13897</v>
      </c>
      <c r="B4055" s="1926" t="s">
        <v>13655</v>
      </c>
      <c r="C4055" s="1926" t="s">
        <v>39</v>
      </c>
      <c r="D4055" s="1926" t="s">
        <v>46</v>
      </c>
      <c r="E4055" s="1662">
        <v>5406.4</v>
      </c>
    </row>
    <row r="4056" spans="1:5" x14ac:dyDescent="0.2">
      <c r="A4056" s="135">
        <v>10640</v>
      </c>
      <c r="B4056" s="1926" t="s">
        <v>13656</v>
      </c>
      <c r="C4056" s="1926" t="s">
        <v>39</v>
      </c>
      <c r="D4056" s="1926" t="s">
        <v>46</v>
      </c>
      <c r="E4056" s="1662">
        <v>11709.12</v>
      </c>
    </row>
    <row r="4057" spans="1:5" x14ac:dyDescent="0.2">
      <c r="A4057" s="135">
        <v>11086</v>
      </c>
      <c r="B4057" s="1926" t="s">
        <v>13657</v>
      </c>
      <c r="C4057" s="1926" t="s">
        <v>44</v>
      </c>
      <c r="D4057" s="1926" t="s">
        <v>40</v>
      </c>
      <c r="E4057" s="1662">
        <v>72.739999999999995</v>
      </c>
    </row>
    <row r="4058" spans="1:5" x14ac:dyDescent="0.2">
      <c r="A4058" s="135">
        <v>34356</v>
      </c>
      <c r="B4058" s="1926" t="s">
        <v>13658</v>
      </c>
      <c r="C4058" s="1926" t="s">
        <v>48</v>
      </c>
      <c r="D4058" s="1926" t="s">
        <v>40</v>
      </c>
      <c r="E4058" s="1662">
        <v>2.29</v>
      </c>
    </row>
    <row r="4059" spans="1:5" x14ac:dyDescent="0.2">
      <c r="A4059" s="135">
        <v>34357</v>
      </c>
      <c r="B4059" s="1926" t="s">
        <v>13659</v>
      </c>
      <c r="C4059" s="1926" t="s">
        <v>48</v>
      </c>
      <c r="D4059" s="1926" t="s">
        <v>40</v>
      </c>
      <c r="E4059" s="1662">
        <v>2.54</v>
      </c>
    </row>
    <row r="4060" spans="1:5" x14ac:dyDescent="0.2">
      <c r="A4060" s="135">
        <v>37329</v>
      </c>
      <c r="B4060" s="1926" t="s">
        <v>13660</v>
      </c>
      <c r="C4060" s="1926" t="s">
        <v>48</v>
      </c>
      <c r="D4060" s="1926" t="s">
        <v>40</v>
      </c>
      <c r="E4060" s="1662">
        <v>35.44</v>
      </c>
    </row>
    <row r="4061" spans="1:5" x14ac:dyDescent="0.2">
      <c r="A4061" s="135">
        <v>37398</v>
      </c>
      <c r="B4061" s="1926" t="s">
        <v>13661</v>
      </c>
      <c r="C4061" s="1926" t="s">
        <v>48</v>
      </c>
      <c r="D4061" s="1926" t="s">
        <v>40</v>
      </c>
      <c r="E4061" s="1662">
        <v>45.36</v>
      </c>
    </row>
    <row r="4062" spans="1:5" x14ac:dyDescent="0.2">
      <c r="A4062" s="135">
        <v>2510</v>
      </c>
      <c r="B4062" s="1926" t="s">
        <v>13662</v>
      </c>
      <c r="C4062" s="1926" t="s">
        <v>39</v>
      </c>
      <c r="D4062" s="1926" t="s">
        <v>46</v>
      </c>
      <c r="E4062" s="1662">
        <v>17.170000000000002</v>
      </c>
    </row>
    <row r="4063" spans="1:5" x14ac:dyDescent="0.2">
      <c r="A4063" s="135">
        <v>12359</v>
      </c>
      <c r="B4063" s="1926" t="s">
        <v>13663</v>
      </c>
      <c r="C4063" s="1926" t="s">
        <v>39</v>
      </c>
      <c r="D4063" s="1926" t="s">
        <v>46</v>
      </c>
      <c r="E4063" s="1662">
        <v>109.33</v>
      </c>
    </row>
    <row r="4064" spans="1:5" x14ac:dyDescent="0.2">
      <c r="A4064" s="135">
        <v>5320</v>
      </c>
      <c r="B4064" s="1926" t="s">
        <v>13664</v>
      </c>
      <c r="C4064" s="1926" t="s">
        <v>49</v>
      </c>
      <c r="D4064" s="1926" t="s">
        <v>40</v>
      </c>
      <c r="E4064" s="1662">
        <v>30.92</v>
      </c>
    </row>
    <row r="4065" spans="1:5" x14ac:dyDescent="0.2">
      <c r="A4065" s="135">
        <v>7353</v>
      </c>
      <c r="B4065" s="1926" t="s">
        <v>13665</v>
      </c>
      <c r="C4065" s="1926" t="s">
        <v>49</v>
      </c>
      <c r="D4065" s="1926" t="s">
        <v>40</v>
      </c>
      <c r="E4065" s="1662">
        <v>23.88</v>
      </c>
    </row>
    <row r="4066" spans="1:5" x14ac:dyDescent="0.2">
      <c r="A4066" s="135">
        <v>36144</v>
      </c>
      <c r="B4066" s="1926" t="s">
        <v>13666</v>
      </c>
      <c r="C4066" s="1926" t="s">
        <v>39</v>
      </c>
      <c r="D4066" s="1926" t="s">
        <v>40</v>
      </c>
      <c r="E4066" s="1662">
        <v>1.29</v>
      </c>
    </row>
    <row r="4067" spans="1:5" x14ac:dyDescent="0.2">
      <c r="A4067" s="135">
        <v>10518</v>
      </c>
      <c r="B4067" s="1926" t="s">
        <v>13667</v>
      </c>
      <c r="C4067" s="1926" t="s">
        <v>39</v>
      </c>
      <c r="D4067" s="1926" t="s">
        <v>46</v>
      </c>
      <c r="E4067" s="1662">
        <v>67.66</v>
      </c>
    </row>
    <row r="4068" spans="1:5" x14ac:dyDescent="0.2">
      <c r="A4068" s="135">
        <v>36530</v>
      </c>
      <c r="B4068" s="1926" t="s">
        <v>13668</v>
      </c>
      <c r="C4068" s="1926" t="s">
        <v>39</v>
      </c>
      <c r="D4068" s="1926" t="s">
        <v>46</v>
      </c>
      <c r="E4068" s="1662">
        <v>218963.41</v>
      </c>
    </row>
    <row r="4069" spans="1:5" x14ac:dyDescent="0.2">
      <c r="A4069" s="135">
        <v>6046</v>
      </c>
      <c r="B4069" s="1926" t="s">
        <v>13669</v>
      </c>
      <c r="C4069" s="1926" t="s">
        <v>39</v>
      </c>
      <c r="D4069" s="1926" t="s">
        <v>46</v>
      </c>
      <c r="E4069" s="1662">
        <v>237500</v>
      </c>
    </row>
    <row r="4070" spans="1:5" x14ac:dyDescent="0.2">
      <c r="A4070" s="135">
        <v>36531</v>
      </c>
      <c r="B4070" s="1926" t="s">
        <v>13670</v>
      </c>
      <c r="C4070" s="1926" t="s">
        <v>39</v>
      </c>
      <c r="D4070" s="1926" t="s">
        <v>46</v>
      </c>
      <c r="E4070" s="1662">
        <v>246189</v>
      </c>
    </row>
    <row r="4071" spans="1:5" x14ac:dyDescent="0.2">
      <c r="A4071" s="135">
        <v>34684</v>
      </c>
      <c r="B4071" s="1926" t="s">
        <v>13671</v>
      </c>
      <c r="C4071" s="1926" t="s">
        <v>45</v>
      </c>
      <c r="D4071" s="1926" t="s">
        <v>46</v>
      </c>
      <c r="E4071" s="1662">
        <v>189.21</v>
      </c>
    </row>
    <row r="4072" spans="1:5" x14ac:dyDescent="0.2">
      <c r="A4072" s="135">
        <v>34683</v>
      </c>
      <c r="B4072" s="1926" t="s">
        <v>13672</v>
      </c>
      <c r="C4072" s="1926" t="s">
        <v>45</v>
      </c>
      <c r="D4072" s="1926" t="s">
        <v>46</v>
      </c>
      <c r="E4072" s="1662">
        <v>118.26</v>
      </c>
    </row>
    <row r="4073" spans="1:5" x14ac:dyDescent="0.2">
      <c r="A4073" s="135">
        <v>533</v>
      </c>
      <c r="B4073" s="1926" t="s">
        <v>13673</v>
      </c>
      <c r="C4073" s="1926" t="s">
        <v>45</v>
      </c>
      <c r="D4073" s="1926" t="s">
        <v>40</v>
      </c>
      <c r="E4073" s="1662">
        <v>16.46</v>
      </c>
    </row>
    <row r="4074" spans="1:5" x14ac:dyDescent="0.2">
      <c r="A4074" s="135">
        <v>10515</v>
      </c>
      <c r="B4074" s="1926" t="s">
        <v>13674</v>
      </c>
      <c r="C4074" s="1926" t="s">
        <v>45</v>
      </c>
      <c r="D4074" s="1926" t="s">
        <v>40</v>
      </c>
      <c r="E4074" s="1662">
        <v>42.46</v>
      </c>
    </row>
    <row r="4075" spans="1:5" x14ac:dyDescent="0.2">
      <c r="A4075" s="135">
        <v>536</v>
      </c>
      <c r="B4075" s="1926" t="s">
        <v>13675</v>
      </c>
      <c r="C4075" s="1926" t="s">
        <v>45</v>
      </c>
      <c r="D4075" s="1926" t="s">
        <v>43</v>
      </c>
      <c r="E4075" s="1662">
        <v>27.9</v>
      </c>
    </row>
    <row r="4076" spans="1:5" x14ac:dyDescent="0.2">
      <c r="A4076" s="135">
        <v>153</v>
      </c>
      <c r="B4076" s="1926" t="s">
        <v>13676</v>
      </c>
      <c r="C4076" s="1926" t="s">
        <v>49</v>
      </c>
      <c r="D4076" s="1926" t="s">
        <v>40</v>
      </c>
      <c r="E4076" s="1662">
        <v>64.2</v>
      </c>
    </row>
    <row r="4077" spans="1:5" x14ac:dyDescent="0.2">
      <c r="A4077" s="135">
        <v>34682</v>
      </c>
      <c r="B4077" s="1926" t="s">
        <v>13677</v>
      </c>
      <c r="C4077" s="1926" t="s">
        <v>45</v>
      </c>
      <c r="D4077" s="1926" t="s">
        <v>46</v>
      </c>
      <c r="E4077" s="1662">
        <v>90.43</v>
      </c>
    </row>
    <row r="4078" spans="1:5" x14ac:dyDescent="0.2">
      <c r="A4078" s="135">
        <v>20205</v>
      </c>
      <c r="B4078" s="1926" t="s">
        <v>13678</v>
      </c>
      <c r="C4078" s="1926" t="s">
        <v>47</v>
      </c>
      <c r="D4078" s="1926" t="s">
        <v>40</v>
      </c>
      <c r="E4078" s="1662">
        <v>2.59</v>
      </c>
    </row>
    <row r="4079" spans="1:5" x14ac:dyDescent="0.2">
      <c r="A4079" s="135">
        <v>4412</v>
      </c>
      <c r="B4079" s="1926" t="s">
        <v>13679</v>
      </c>
      <c r="C4079" s="1926" t="s">
        <v>47</v>
      </c>
      <c r="D4079" s="1926" t="s">
        <v>40</v>
      </c>
      <c r="E4079" s="1662">
        <v>1.64</v>
      </c>
    </row>
    <row r="4080" spans="1:5" x14ac:dyDescent="0.2">
      <c r="A4080" s="135">
        <v>4408</v>
      </c>
      <c r="B4080" s="1926" t="s">
        <v>13680</v>
      </c>
      <c r="C4080" s="1926" t="s">
        <v>47</v>
      </c>
      <c r="D4080" s="1926" t="s">
        <v>40</v>
      </c>
      <c r="E4080" s="1662">
        <v>2.2200000000000002</v>
      </c>
    </row>
    <row r="4081" spans="1:5" x14ac:dyDescent="0.2">
      <c r="A4081" s="135">
        <v>4505</v>
      </c>
      <c r="B4081" s="1926" t="s">
        <v>13681</v>
      </c>
      <c r="C4081" s="1926" t="s">
        <v>47</v>
      </c>
      <c r="D4081" s="1926" t="s">
        <v>40</v>
      </c>
      <c r="E4081" s="1662">
        <v>1.59</v>
      </c>
    </row>
    <row r="4082" spans="1:5" x14ac:dyDescent="0.2">
      <c r="A4082" s="135">
        <v>10559</v>
      </c>
      <c r="B4082" s="1926" t="s">
        <v>13682</v>
      </c>
      <c r="C4082" s="1926" t="s">
        <v>39</v>
      </c>
      <c r="D4082" s="1926" t="s">
        <v>46</v>
      </c>
      <c r="E4082" s="1662">
        <v>2559.5</v>
      </c>
    </row>
    <row r="4083" spans="1:5" x14ac:dyDescent="0.2">
      <c r="A4083" s="135">
        <v>10664</v>
      </c>
      <c r="B4083" s="1926" t="s">
        <v>13683</v>
      </c>
      <c r="C4083" s="1926" t="s">
        <v>39</v>
      </c>
      <c r="D4083" s="1926" t="s">
        <v>46</v>
      </c>
      <c r="E4083" s="1662">
        <v>6956.17</v>
      </c>
    </row>
    <row r="4084" spans="1:5" x14ac:dyDescent="0.2">
      <c r="A4084" s="135">
        <v>36250</v>
      </c>
      <c r="B4084" s="1926" t="s">
        <v>13684</v>
      </c>
      <c r="C4084" s="1926" t="s">
        <v>47</v>
      </c>
      <c r="D4084" s="1926" t="s">
        <v>40</v>
      </c>
      <c r="E4084" s="1662">
        <v>2.23</v>
      </c>
    </row>
    <row r="4085" spans="1:5" x14ac:dyDescent="0.2">
      <c r="A4085" s="135">
        <v>10857</v>
      </c>
      <c r="B4085" s="1926" t="s">
        <v>13685</v>
      </c>
      <c r="C4085" s="1926" t="s">
        <v>47</v>
      </c>
      <c r="D4085" s="1926" t="s">
        <v>40</v>
      </c>
      <c r="E4085" s="1662">
        <v>9.68</v>
      </c>
    </row>
    <row r="4086" spans="1:5" x14ac:dyDescent="0.2">
      <c r="A4086" s="135">
        <v>4803</v>
      </c>
      <c r="B4086" s="1926" t="s">
        <v>13686</v>
      </c>
      <c r="C4086" s="1926" t="s">
        <v>47</v>
      </c>
      <c r="D4086" s="1926" t="s">
        <v>40</v>
      </c>
      <c r="E4086" s="1662">
        <v>21.47</v>
      </c>
    </row>
    <row r="4087" spans="1:5" x14ac:dyDescent="0.2">
      <c r="A4087" s="135">
        <v>6186</v>
      </c>
      <c r="B4087" s="1926" t="s">
        <v>13687</v>
      </c>
      <c r="C4087" s="1926" t="s">
        <v>47</v>
      </c>
      <c r="D4087" s="1926" t="s">
        <v>46</v>
      </c>
      <c r="E4087" s="1662">
        <v>10.119999999999999</v>
      </c>
    </row>
    <row r="4088" spans="1:5" x14ac:dyDescent="0.2">
      <c r="A4088" s="135">
        <v>4829</v>
      </c>
      <c r="B4088" s="1926" t="s">
        <v>13688</v>
      </c>
      <c r="C4088" s="1926" t="s">
        <v>47</v>
      </c>
      <c r="D4088" s="1926" t="s">
        <v>40</v>
      </c>
      <c r="E4088" s="1662">
        <v>25</v>
      </c>
    </row>
    <row r="4089" spans="1:5" x14ac:dyDescent="0.2">
      <c r="A4089" s="135">
        <v>39829</v>
      </c>
      <c r="B4089" s="1926" t="s">
        <v>13689</v>
      </c>
      <c r="C4089" s="1926" t="s">
        <v>47</v>
      </c>
      <c r="D4089" s="1926" t="s">
        <v>43</v>
      </c>
      <c r="E4089" s="1662">
        <v>18</v>
      </c>
    </row>
    <row r="4090" spans="1:5" x14ac:dyDescent="0.2">
      <c r="A4090" s="135">
        <v>20231</v>
      </c>
      <c r="B4090" s="1926" t="s">
        <v>13690</v>
      </c>
      <c r="C4090" s="1926" t="s">
        <v>47</v>
      </c>
      <c r="D4090" s="1926" t="s">
        <v>40</v>
      </c>
      <c r="E4090" s="1662">
        <v>49.11</v>
      </c>
    </row>
    <row r="4091" spans="1:5" x14ac:dyDescent="0.2">
      <c r="A4091" s="135">
        <v>4804</v>
      </c>
      <c r="B4091" s="1926" t="s">
        <v>13691</v>
      </c>
      <c r="C4091" s="1926" t="s">
        <v>47</v>
      </c>
      <c r="D4091" s="1926" t="s">
        <v>40</v>
      </c>
      <c r="E4091" s="1662">
        <v>16.48</v>
      </c>
    </row>
    <row r="4092" spans="1:5" x14ac:dyDescent="0.2">
      <c r="A4092" s="135">
        <v>34680</v>
      </c>
      <c r="B4092" s="1926" t="s">
        <v>13692</v>
      </c>
      <c r="C4092" s="1926" t="s">
        <v>47</v>
      </c>
      <c r="D4092" s="1926" t="s">
        <v>46</v>
      </c>
      <c r="E4092" s="1662">
        <v>27.82</v>
      </c>
    </row>
    <row r="4093" spans="1:5" x14ac:dyDescent="0.2">
      <c r="A4093" s="135">
        <v>11573</v>
      </c>
      <c r="B4093" s="1926" t="s">
        <v>13693</v>
      </c>
      <c r="C4093" s="1926" t="s">
        <v>39</v>
      </c>
      <c r="D4093" s="1926" t="s">
        <v>40</v>
      </c>
      <c r="E4093" s="1662">
        <v>5.81</v>
      </c>
    </row>
    <row r="4094" spans="1:5" x14ac:dyDescent="0.2">
      <c r="A4094" s="135">
        <v>38401</v>
      </c>
      <c r="B4094" s="1926" t="s">
        <v>13694</v>
      </c>
      <c r="C4094" s="1926" t="s">
        <v>39</v>
      </c>
      <c r="D4094" s="1926" t="s">
        <v>40</v>
      </c>
      <c r="E4094" s="1662">
        <v>10.92</v>
      </c>
    </row>
    <row r="4095" spans="1:5" x14ac:dyDescent="0.2">
      <c r="A4095" s="135">
        <v>38179</v>
      </c>
      <c r="B4095" s="1926" t="s">
        <v>13695</v>
      </c>
      <c r="C4095" s="1926" t="s">
        <v>39</v>
      </c>
      <c r="D4095" s="1926" t="s">
        <v>40</v>
      </c>
      <c r="E4095" s="1662">
        <v>25.47</v>
      </c>
    </row>
    <row r="4096" spans="1:5" x14ac:dyDescent="0.2">
      <c r="A4096" s="135">
        <v>11575</v>
      </c>
      <c r="B4096" s="1926" t="s">
        <v>13696</v>
      </c>
      <c r="C4096" s="1926" t="s">
        <v>39</v>
      </c>
      <c r="D4096" s="1926" t="s">
        <v>40</v>
      </c>
      <c r="E4096" s="1662">
        <v>27.48</v>
      </c>
    </row>
    <row r="4097" spans="1:5" x14ac:dyDescent="0.2">
      <c r="A4097" s="135">
        <v>20256</v>
      </c>
      <c r="B4097" s="1926" t="s">
        <v>13697</v>
      </c>
      <c r="C4097" s="1926" t="s">
        <v>39</v>
      </c>
      <c r="D4097" s="1926" t="s">
        <v>40</v>
      </c>
      <c r="E4097" s="1662">
        <v>0.27</v>
      </c>
    </row>
    <row r="4098" spans="1:5" x14ac:dyDescent="0.2">
      <c r="A4098" s="135">
        <v>14511</v>
      </c>
      <c r="B4098" s="1926" t="s">
        <v>13698</v>
      </c>
      <c r="C4098" s="1926" t="s">
        <v>39</v>
      </c>
      <c r="D4098" s="1926" t="s">
        <v>46</v>
      </c>
      <c r="E4098" s="1662">
        <v>468765.64</v>
      </c>
    </row>
    <row r="4099" spans="1:5" x14ac:dyDescent="0.2">
      <c r="A4099" s="135">
        <v>10642</v>
      </c>
      <c r="B4099" s="1926" t="s">
        <v>13699</v>
      </c>
      <c r="C4099" s="1926" t="s">
        <v>39</v>
      </c>
      <c r="D4099" s="1926" t="s">
        <v>46</v>
      </c>
      <c r="E4099" s="1662">
        <v>441600</v>
      </c>
    </row>
    <row r="4100" spans="1:5" x14ac:dyDescent="0.2">
      <c r="A4100" s="135">
        <v>14489</v>
      </c>
      <c r="B4100" s="1926" t="s">
        <v>13700</v>
      </c>
      <c r="C4100" s="1926" t="s">
        <v>39</v>
      </c>
      <c r="D4100" s="1926" t="s">
        <v>46</v>
      </c>
      <c r="E4100" s="1662">
        <v>391690.98</v>
      </c>
    </row>
    <row r="4101" spans="1:5" x14ac:dyDescent="0.2">
      <c r="A4101" s="135">
        <v>14513</v>
      </c>
      <c r="B4101" s="1926" t="s">
        <v>13701</v>
      </c>
      <c r="C4101" s="1926" t="s">
        <v>39</v>
      </c>
      <c r="D4101" s="1926" t="s">
        <v>46</v>
      </c>
      <c r="E4101" s="1662">
        <v>293777.53000000003</v>
      </c>
    </row>
    <row r="4102" spans="1:5" x14ac:dyDescent="0.2">
      <c r="A4102" s="135">
        <v>13600</v>
      </c>
      <c r="B4102" s="1926" t="s">
        <v>13702</v>
      </c>
      <c r="C4102" s="1926" t="s">
        <v>39</v>
      </c>
      <c r="D4102" s="1926" t="s">
        <v>46</v>
      </c>
      <c r="E4102" s="1662">
        <v>379055.75</v>
      </c>
    </row>
    <row r="4103" spans="1:5" x14ac:dyDescent="0.2">
      <c r="A4103" s="135">
        <v>10646</v>
      </c>
      <c r="B4103" s="1926" t="s">
        <v>13703</v>
      </c>
      <c r="C4103" s="1926" t="s">
        <v>39</v>
      </c>
      <c r="D4103" s="1926" t="s">
        <v>46</v>
      </c>
      <c r="E4103" s="1662">
        <v>282560.8</v>
      </c>
    </row>
    <row r="4104" spans="1:5" x14ac:dyDescent="0.2">
      <c r="A4104" s="135">
        <v>6070</v>
      </c>
      <c r="B4104" s="1926" t="s">
        <v>13704</v>
      </c>
      <c r="C4104" s="1926" t="s">
        <v>39</v>
      </c>
      <c r="D4104" s="1926" t="s">
        <v>46</v>
      </c>
      <c r="E4104" s="1662">
        <v>386084.56</v>
      </c>
    </row>
    <row r="4105" spans="1:5" x14ac:dyDescent="0.2">
      <c r="A4105" s="135">
        <v>6069</v>
      </c>
      <c r="B4105" s="1926" t="s">
        <v>13705</v>
      </c>
      <c r="C4105" s="1926" t="s">
        <v>39</v>
      </c>
      <c r="D4105" s="1926" t="s">
        <v>46</v>
      </c>
      <c r="E4105" s="1662">
        <v>85291.9</v>
      </c>
    </row>
    <row r="4106" spans="1:5" x14ac:dyDescent="0.2">
      <c r="A4106" s="135">
        <v>14626</v>
      </c>
      <c r="B4106" s="1926" t="s">
        <v>13706</v>
      </c>
      <c r="C4106" s="1926" t="s">
        <v>39</v>
      </c>
      <c r="D4106" s="1926" t="s">
        <v>46</v>
      </c>
      <c r="E4106" s="1662">
        <v>422674.3</v>
      </c>
    </row>
    <row r="4107" spans="1:5" x14ac:dyDescent="0.2">
      <c r="A4107" s="135">
        <v>6067</v>
      </c>
      <c r="B4107" s="1926" t="s">
        <v>13707</v>
      </c>
      <c r="C4107" s="1926" t="s">
        <v>39</v>
      </c>
      <c r="D4107" s="1926" t="s">
        <v>46</v>
      </c>
      <c r="E4107" s="1662">
        <v>346971.43</v>
      </c>
    </row>
    <row r="4108" spans="1:5" x14ac:dyDescent="0.2">
      <c r="A4108" s="135">
        <v>38393</v>
      </c>
      <c r="B4108" s="1926" t="s">
        <v>13708</v>
      </c>
      <c r="C4108" s="1926" t="s">
        <v>39</v>
      </c>
      <c r="D4108" s="1926" t="s">
        <v>43</v>
      </c>
      <c r="E4108" s="1662">
        <v>12.3</v>
      </c>
    </row>
    <row r="4109" spans="1:5" x14ac:dyDescent="0.2">
      <c r="A4109" s="135">
        <v>38390</v>
      </c>
      <c r="B4109" s="1926" t="s">
        <v>13709</v>
      </c>
      <c r="C4109" s="1926" t="s">
        <v>39</v>
      </c>
      <c r="D4109" s="1926" t="s">
        <v>40</v>
      </c>
      <c r="E4109" s="1662">
        <v>27.28</v>
      </c>
    </row>
    <row r="4110" spans="1:5" x14ac:dyDescent="0.2">
      <c r="A4110" s="135">
        <v>36532</v>
      </c>
      <c r="B4110" s="1926" t="s">
        <v>13710</v>
      </c>
      <c r="C4110" s="1926" t="s">
        <v>39</v>
      </c>
      <c r="D4110" s="1926" t="s">
        <v>46</v>
      </c>
      <c r="E4110" s="1662">
        <v>17279.13</v>
      </c>
    </row>
    <row r="4111" spans="1:5" x14ac:dyDescent="0.2">
      <c r="A4111" s="135">
        <v>11578</v>
      </c>
      <c r="B4111" s="1926" t="s">
        <v>13711</v>
      </c>
      <c r="C4111" s="1926" t="s">
        <v>39</v>
      </c>
      <c r="D4111" s="1926" t="s">
        <v>40</v>
      </c>
      <c r="E4111" s="1662">
        <v>8.83</v>
      </c>
    </row>
    <row r="4112" spans="1:5" x14ac:dyDescent="0.2">
      <c r="A4112" s="135">
        <v>11577</v>
      </c>
      <c r="B4112" s="1926" t="s">
        <v>13712</v>
      </c>
      <c r="C4112" s="1926" t="s">
        <v>39</v>
      </c>
      <c r="D4112" s="1926" t="s">
        <v>40</v>
      </c>
      <c r="E4112" s="1662">
        <v>8.42</v>
      </c>
    </row>
    <row r="4113" spans="1:5" x14ac:dyDescent="0.2">
      <c r="A4113" s="135">
        <v>42432</v>
      </c>
      <c r="B4113" s="1926" t="s">
        <v>13713</v>
      </c>
      <c r="C4113" s="1926" t="s">
        <v>39</v>
      </c>
      <c r="D4113" s="1926" t="s">
        <v>46</v>
      </c>
      <c r="E4113" s="1662">
        <v>1387.94</v>
      </c>
    </row>
    <row r="4114" spans="1:5" x14ac:dyDescent="0.2">
      <c r="A4114" s="135">
        <v>42437</v>
      </c>
      <c r="B4114" s="1926" t="s">
        <v>13714</v>
      </c>
      <c r="C4114" s="1926" t="s">
        <v>39</v>
      </c>
      <c r="D4114" s="1926" t="s">
        <v>46</v>
      </c>
      <c r="E4114" s="1662">
        <v>1055.21</v>
      </c>
    </row>
    <row r="4115" spans="1:5" x14ac:dyDescent="0.2">
      <c r="A4115" s="135">
        <v>1116</v>
      </c>
      <c r="B4115" s="1926" t="s">
        <v>13715</v>
      </c>
      <c r="C4115" s="1926" t="s">
        <v>47</v>
      </c>
      <c r="D4115" s="1926" t="s">
        <v>40</v>
      </c>
      <c r="E4115" s="1662">
        <v>11.85</v>
      </c>
    </row>
    <row r="4116" spans="1:5" x14ac:dyDescent="0.2">
      <c r="A4116" s="135">
        <v>1115</v>
      </c>
      <c r="B4116" s="1926" t="s">
        <v>13716</v>
      </c>
      <c r="C4116" s="1926" t="s">
        <v>47</v>
      </c>
      <c r="D4116" s="1926" t="s">
        <v>40</v>
      </c>
      <c r="E4116" s="1662">
        <v>14.2</v>
      </c>
    </row>
    <row r="4117" spans="1:5" x14ac:dyDescent="0.2">
      <c r="A4117" s="135">
        <v>1113</v>
      </c>
      <c r="B4117" s="1926" t="s">
        <v>13717</v>
      </c>
      <c r="C4117" s="1926" t="s">
        <v>47</v>
      </c>
      <c r="D4117" s="1926" t="s">
        <v>40</v>
      </c>
      <c r="E4117" s="1662">
        <v>16.600000000000001</v>
      </c>
    </row>
    <row r="4118" spans="1:5" x14ac:dyDescent="0.2">
      <c r="A4118" s="135">
        <v>1114</v>
      </c>
      <c r="B4118" s="1926" t="s">
        <v>13718</v>
      </c>
      <c r="C4118" s="1926" t="s">
        <v>47</v>
      </c>
      <c r="D4118" s="1926" t="s">
        <v>40</v>
      </c>
      <c r="E4118" s="1662">
        <v>19.77</v>
      </c>
    </row>
    <row r="4119" spans="1:5" x14ac:dyDescent="0.2">
      <c r="A4119" s="135">
        <v>40873</v>
      </c>
      <c r="B4119" s="1926" t="s">
        <v>13719</v>
      </c>
      <c r="C4119" s="1926" t="s">
        <v>47</v>
      </c>
      <c r="D4119" s="1926" t="s">
        <v>40</v>
      </c>
      <c r="E4119" s="1662">
        <v>15.47</v>
      </c>
    </row>
    <row r="4120" spans="1:5" x14ac:dyDescent="0.2">
      <c r="A4120" s="135">
        <v>20214</v>
      </c>
      <c r="B4120" s="1926" t="s">
        <v>13720</v>
      </c>
      <c r="C4120" s="1926" t="s">
        <v>39</v>
      </c>
      <c r="D4120" s="1926" t="s">
        <v>40</v>
      </c>
      <c r="E4120" s="1662">
        <v>24.05</v>
      </c>
    </row>
    <row r="4121" spans="1:5" x14ac:dyDescent="0.2">
      <c r="A4121" s="135">
        <v>11064</v>
      </c>
      <c r="B4121" s="1926" t="s">
        <v>13721</v>
      </c>
      <c r="C4121" s="1926" t="s">
        <v>39</v>
      </c>
      <c r="D4121" s="1926" t="s">
        <v>40</v>
      </c>
      <c r="E4121" s="1662">
        <v>10.19</v>
      </c>
    </row>
    <row r="4122" spans="1:5" x14ac:dyDescent="0.2">
      <c r="A4122" s="135">
        <v>7237</v>
      </c>
      <c r="B4122" s="1926" t="s">
        <v>13722</v>
      </c>
      <c r="C4122" s="1926" t="s">
        <v>39</v>
      </c>
      <c r="D4122" s="1926" t="s">
        <v>40</v>
      </c>
      <c r="E4122" s="1662">
        <v>13.91</v>
      </c>
    </row>
    <row r="4123" spans="1:5" x14ac:dyDescent="0.2">
      <c r="A4123" s="135">
        <v>16</v>
      </c>
      <c r="B4123" s="1926" t="s">
        <v>13723</v>
      </c>
      <c r="C4123" s="1926" t="s">
        <v>48</v>
      </c>
      <c r="D4123" s="1926" t="s">
        <v>40</v>
      </c>
      <c r="E4123" s="1662">
        <v>6.45</v>
      </c>
    </row>
    <row r="4124" spans="1:5" x14ac:dyDescent="0.2">
      <c r="A4124" s="135">
        <v>11757</v>
      </c>
      <c r="B4124" s="1926" t="s">
        <v>13724</v>
      </c>
      <c r="C4124" s="1926" t="s">
        <v>39</v>
      </c>
      <c r="D4124" s="1926" t="s">
        <v>43</v>
      </c>
      <c r="E4124" s="1662">
        <v>23.9</v>
      </c>
    </row>
    <row r="4125" spans="1:5" x14ac:dyDescent="0.2">
      <c r="A4125" s="135">
        <v>11758</v>
      </c>
      <c r="B4125" s="1926" t="s">
        <v>13725</v>
      </c>
      <c r="C4125" s="1926" t="s">
        <v>39</v>
      </c>
      <c r="D4125" s="1926" t="s">
        <v>43</v>
      </c>
      <c r="E4125" s="1662">
        <v>32.26</v>
      </c>
    </row>
    <row r="4126" spans="1:5" x14ac:dyDescent="0.2">
      <c r="A4126" s="135">
        <v>37526</v>
      </c>
      <c r="B4126" s="1926" t="s">
        <v>13726</v>
      </c>
      <c r="C4126" s="1926" t="s">
        <v>39</v>
      </c>
      <c r="D4126" s="1926" t="s">
        <v>46</v>
      </c>
      <c r="E4126" s="1662">
        <v>2.66</v>
      </c>
    </row>
    <row r="4127" spans="1:5" x14ac:dyDescent="0.2">
      <c r="A4127" s="135">
        <v>6076</v>
      </c>
      <c r="B4127" s="1926" t="s">
        <v>13727</v>
      </c>
      <c r="C4127" s="1926" t="s">
        <v>44</v>
      </c>
      <c r="D4127" s="1926" t="s">
        <v>43</v>
      </c>
      <c r="E4127" s="1662">
        <v>54.41</v>
      </c>
    </row>
    <row r="4128" spans="1:5" x14ac:dyDescent="0.2">
      <c r="A4128" s="135">
        <v>13109</v>
      </c>
      <c r="B4128" s="1926" t="s">
        <v>13728</v>
      </c>
      <c r="C4128" s="1926" t="s">
        <v>39</v>
      </c>
      <c r="D4128" s="1926" t="s">
        <v>46</v>
      </c>
      <c r="E4128" s="1662">
        <v>175.12</v>
      </c>
    </row>
    <row r="4129" spans="1:5" x14ac:dyDescent="0.2">
      <c r="A4129" s="135">
        <v>13110</v>
      </c>
      <c r="B4129" s="1926" t="s">
        <v>13729</v>
      </c>
      <c r="C4129" s="1926" t="s">
        <v>39</v>
      </c>
      <c r="D4129" s="1926" t="s">
        <v>46</v>
      </c>
      <c r="E4129" s="1662">
        <v>230.47</v>
      </c>
    </row>
    <row r="4130" spans="1:5" x14ac:dyDescent="0.2">
      <c r="A4130" s="135">
        <v>7581</v>
      </c>
      <c r="B4130" s="1926" t="s">
        <v>13730</v>
      </c>
      <c r="C4130" s="1926" t="s">
        <v>39</v>
      </c>
      <c r="D4130" s="1926" t="s">
        <v>46</v>
      </c>
      <c r="E4130" s="1662">
        <v>2.57</v>
      </c>
    </row>
    <row r="4131" spans="1:5" x14ac:dyDescent="0.2">
      <c r="A4131" s="135">
        <v>20206</v>
      </c>
      <c r="B4131" s="1926" t="s">
        <v>13731</v>
      </c>
      <c r="C4131" s="1926" t="s">
        <v>47</v>
      </c>
      <c r="D4131" s="1926" t="s">
        <v>40</v>
      </c>
      <c r="E4131" s="1662">
        <v>7.67</v>
      </c>
    </row>
    <row r="4132" spans="1:5" x14ac:dyDescent="0.2">
      <c r="A4132" s="135">
        <v>4460</v>
      </c>
      <c r="B4132" s="1926" t="s">
        <v>13732</v>
      </c>
      <c r="C4132" s="1926" t="s">
        <v>47</v>
      </c>
      <c r="D4132" s="1926" t="s">
        <v>40</v>
      </c>
      <c r="E4132" s="1662">
        <v>9.2100000000000009</v>
      </c>
    </row>
    <row r="4133" spans="1:5" x14ac:dyDescent="0.2">
      <c r="A4133" s="135">
        <v>4417</v>
      </c>
      <c r="B4133" s="1926" t="s">
        <v>13733</v>
      </c>
      <c r="C4133" s="1926" t="s">
        <v>47</v>
      </c>
      <c r="D4133" s="1926" t="s">
        <v>40</v>
      </c>
      <c r="E4133" s="1662">
        <v>5.29</v>
      </c>
    </row>
    <row r="4134" spans="1:5" x14ac:dyDescent="0.2">
      <c r="A4134" s="135">
        <v>4517</v>
      </c>
      <c r="B4134" s="1926" t="s">
        <v>13734</v>
      </c>
      <c r="C4134" s="1926" t="s">
        <v>47</v>
      </c>
      <c r="D4134" s="1926" t="s">
        <v>40</v>
      </c>
      <c r="E4134" s="1662">
        <v>1.28</v>
      </c>
    </row>
    <row r="4135" spans="1:5" x14ac:dyDescent="0.2">
      <c r="A4135" s="135">
        <v>4512</v>
      </c>
      <c r="B4135" s="1926" t="s">
        <v>13735</v>
      </c>
      <c r="C4135" s="1926" t="s">
        <v>47</v>
      </c>
      <c r="D4135" s="1926" t="s">
        <v>40</v>
      </c>
      <c r="E4135" s="1662">
        <v>0.92</v>
      </c>
    </row>
    <row r="4136" spans="1:5" x14ac:dyDescent="0.2">
      <c r="A4136" s="135">
        <v>4415</v>
      </c>
      <c r="B4136" s="1926" t="s">
        <v>13736</v>
      </c>
      <c r="C4136" s="1926" t="s">
        <v>47</v>
      </c>
      <c r="D4136" s="1926" t="s">
        <v>40</v>
      </c>
      <c r="E4136" s="1662">
        <v>4.4400000000000004</v>
      </c>
    </row>
    <row r="4137" spans="1:5" x14ac:dyDescent="0.2">
      <c r="A4137" s="135">
        <v>37373</v>
      </c>
      <c r="B4137" s="1926" t="s">
        <v>13737</v>
      </c>
      <c r="C4137" s="1926" t="s">
        <v>42</v>
      </c>
      <c r="D4137" s="1926" t="s">
        <v>43</v>
      </c>
      <c r="E4137" s="1662">
        <v>7.0000000000000007E-2</v>
      </c>
    </row>
    <row r="4138" spans="1:5" x14ac:dyDescent="0.2">
      <c r="A4138" s="135">
        <v>40864</v>
      </c>
      <c r="B4138" s="1926" t="s">
        <v>13738</v>
      </c>
      <c r="C4138" s="1926" t="s">
        <v>51</v>
      </c>
      <c r="D4138" s="1926" t="s">
        <v>43</v>
      </c>
      <c r="E4138" s="1662">
        <v>13.07</v>
      </c>
    </row>
    <row r="4139" spans="1:5" x14ac:dyDescent="0.2">
      <c r="A4139" s="135">
        <v>4734</v>
      </c>
      <c r="B4139" s="1926" t="s">
        <v>13739</v>
      </c>
      <c r="C4139" s="1926" t="s">
        <v>44</v>
      </c>
      <c r="D4139" s="1926" t="s">
        <v>40</v>
      </c>
      <c r="E4139" s="1662">
        <v>103.52</v>
      </c>
    </row>
    <row r="4140" spans="1:5" x14ac:dyDescent="0.2">
      <c r="A4140" s="135">
        <v>6085</v>
      </c>
      <c r="B4140" s="1926" t="s">
        <v>13740</v>
      </c>
      <c r="C4140" s="1926" t="s">
        <v>49</v>
      </c>
      <c r="D4140" s="1926" t="s">
        <v>43</v>
      </c>
      <c r="E4140" s="1662">
        <v>7.75</v>
      </c>
    </row>
    <row r="4141" spans="1:5" x14ac:dyDescent="0.2">
      <c r="A4141" s="135">
        <v>38396</v>
      </c>
      <c r="B4141" s="1926" t="s">
        <v>13741</v>
      </c>
      <c r="C4141" s="1926" t="s">
        <v>39</v>
      </c>
      <c r="D4141" s="1926" t="s">
        <v>40</v>
      </c>
      <c r="E4141" s="1662">
        <v>489.34</v>
      </c>
    </row>
    <row r="4142" spans="1:5" x14ac:dyDescent="0.2">
      <c r="A4142" s="135">
        <v>6090</v>
      </c>
      <c r="B4142" s="1926" t="s">
        <v>13742</v>
      </c>
      <c r="C4142" s="1926" t="s">
        <v>49</v>
      </c>
      <c r="D4142" s="1926" t="s">
        <v>40</v>
      </c>
      <c r="E4142" s="1662">
        <v>14.72</v>
      </c>
    </row>
    <row r="4143" spans="1:5" x14ac:dyDescent="0.2">
      <c r="A4143" s="135">
        <v>11622</v>
      </c>
      <c r="B4143" s="1926" t="s">
        <v>13743</v>
      </c>
      <c r="C4143" s="1926" t="s">
        <v>48</v>
      </c>
      <c r="D4143" s="1926" t="s">
        <v>40</v>
      </c>
      <c r="E4143" s="1662">
        <v>48.38</v>
      </c>
    </row>
    <row r="4144" spans="1:5" x14ac:dyDescent="0.2">
      <c r="A4144" s="135">
        <v>6094</v>
      </c>
      <c r="B4144" s="1926" t="s">
        <v>13744</v>
      </c>
      <c r="C4144" s="1926" t="s">
        <v>48</v>
      </c>
      <c r="D4144" s="1926" t="s">
        <v>40</v>
      </c>
      <c r="E4144" s="1662">
        <v>24.9</v>
      </c>
    </row>
    <row r="4145" spans="1:5" x14ac:dyDescent="0.2">
      <c r="A4145" s="135">
        <v>43143</v>
      </c>
      <c r="B4145" s="1926" t="s">
        <v>13745</v>
      </c>
      <c r="C4145" s="1926" t="s">
        <v>49</v>
      </c>
      <c r="D4145" s="1926" t="s">
        <v>40</v>
      </c>
      <c r="E4145" s="1662">
        <v>18.27</v>
      </c>
    </row>
    <row r="4146" spans="1:5" x14ac:dyDescent="0.2">
      <c r="A4146" s="135">
        <v>7317</v>
      </c>
      <c r="B4146" s="1926" t="s">
        <v>13746</v>
      </c>
      <c r="C4146" s="1926" t="s">
        <v>48</v>
      </c>
      <c r="D4146" s="1926" t="s">
        <v>40</v>
      </c>
      <c r="E4146" s="1662">
        <v>30.37</v>
      </c>
    </row>
    <row r="4147" spans="1:5" x14ac:dyDescent="0.2">
      <c r="A4147" s="135">
        <v>142</v>
      </c>
      <c r="B4147" s="1926" t="s">
        <v>13747</v>
      </c>
      <c r="C4147" s="1926" t="s">
        <v>63</v>
      </c>
      <c r="D4147" s="1926" t="s">
        <v>40</v>
      </c>
      <c r="E4147" s="1662">
        <v>22.83</v>
      </c>
    </row>
    <row r="4148" spans="1:5" x14ac:dyDescent="0.2">
      <c r="A4148" s="135">
        <v>43142</v>
      </c>
      <c r="B4148" s="1926" t="s">
        <v>13748</v>
      </c>
      <c r="C4148" s="1926" t="s">
        <v>49</v>
      </c>
      <c r="D4148" s="1926" t="s">
        <v>40</v>
      </c>
      <c r="E4148" s="1662">
        <v>103.69</v>
      </c>
    </row>
    <row r="4149" spans="1:5" x14ac:dyDescent="0.2">
      <c r="A4149" s="135">
        <v>38123</v>
      </c>
      <c r="B4149" s="1926" t="s">
        <v>13749</v>
      </c>
      <c r="C4149" s="1926" t="s">
        <v>48</v>
      </c>
      <c r="D4149" s="1926" t="s">
        <v>43</v>
      </c>
      <c r="E4149" s="1662">
        <v>48.37</v>
      </c>
    </row>
    <row r="4150" spans="1:5" x14ac:dyDescent="0.2">
      <c r="A4150" s="135">
        <v>42701</v>
      </c>
      <c r="B4150" s="1926" t="s">
        <v>13750</v>
      </c>
      <c r="C4150" s="1926" t="s">
        <v>39</v>
      </c>
      <c r="D4150" s="1926" t="s">
        <v>46</v>
      </c>
      <c r="E4150" s="1662">
        <v>28.89</v>
      </c>
    </row>
    <row r="4151" spans="1:5" x14ac:dyDescent="0.2">
      <c r="A4151" s="135">
        <v>42702</v>
      </c>
      <c r="B4151" s="1926" t="s">
        <v>13751</v>
      </c>
      <c r="C4151" s="1926" t="s">
        <v>39</v>
      </c>
      <c r="D4151" s="1926" t="s">
        <v>46</v>
      </c>
      <c r="E4151" s="1662">
        <v>51.34</v>
      </c>
    </row>
    <row r="4152" spans="1:5" x14ac:dyDescent="0.2">
      <c r="A4152" s="135">
        <v>37955</v>
      </c>
      <c r="B4152" s="1926" t="s">
        <v>13752</v>
      </c>
      <c r="C4152" s="1926" t="s">
        <v>39</v>
      </c>
      <c r="D4152" s="1926" t="s">
        <v>46</v>
      </c>
      <c r="E4152" s="1662">
        <v>66.53</v>
      </c>
    </row>
    <row r="4153" spans="1:5" x14ac:dyDescent="0.2">
      <c r="A4153" s="135">
        <v>42699</v>
      </c>
      <c r="B4153" s="1926" t="s">
        <v>13753</v>
      </c>
      <c r="C4153" s="1926" t="s">
        <v>39</v>
      </c>
      <c r="D4153" s="1926" t="s">
        <v>46</v>
      </c>
      <c r="E4153" s="1662">
        <v>17.649999999999999</v>
      </c>
    </row>
    <row r="4154" spans="1:5" x14ac:dyDescent="0.2">
      <c r="A4154" s="135">
        <v>42700</v>
      </c>
      <c r="B4154" s="1926" t="s">
        <v>13754</v>
      </c>
      <c r="C4154" s="1926" t="s">
        <v>39</v>
      </c>
      <c r="D4154" s="1926" t="s">
        <v>46</v>
      </c>
      <c r="E4154" s="1662">
        <v>50.31</v>
      </c>
    </row>
    <row r="4155" spans="1:5" x14ac:dyDescent="0.2">
      <c r="A4155" s="135">
        <v>37743</v>
      </c>
      <c r="B4155" s="1926" t="s">
        <v>13755</v>
      </c>
      <c r="C4155" s="1926" t="s">
        <v>39</v>
      </c>
      <c r="D4155" s="1926" t="s">
        <v>46</v>
      </c>
      <c r="E4155" s="1662">
        <v>131739.35</v>
      </c>
    </row>
    <row r="4156" spans="1:5" x14ac:dyDescent="0.2">
      <c r="A4156" s="135">
        <v>37744</v>
      </c>
      <c r="B4156" s="1926" t="s">
        <v>13756</v>
      </c>
      <c r="C4156" s="1926" t="s">
        <v>39</v>
      </c>
      <c r="D4156" s="1926" t="s">
        <v>46</v>
      </c>
      <c r="E4156" s="1662">
        <v>154900.69</v>
      </c>
    </row>
    <row r="4157" spans="1:5" x14ac:dyDescent="0.2">
      <c r="A4157" s="135">
        <v>37741</v>
      </c>
      <c r="B4157" s="1926" t="s">
        <v>13757</v>
      </c>
      <c r="C4157" s="1926" t="s">
        <v>39</v>
      </c>
      <c r="D4157" s="1926" t="s">
        <v>46</v>
      </c>
      <c r="E4157" s="1662">
        <v>119789.87</v>
      </c>
    </row>
    <row r="4158" spans="1:5" x14ac:dyDescent="0.2">
      <c r="A4158" s="135">
        <v>39396</v>
      </c>
      <c r="B4158" s="1926" t="s">
        <v>13758</v>
      </c>
      <c r="C4158" s="1926" t="s">
        <v>39</v>
      </c>
      <c r="D4158" s="1926" t="s">
        <v>46</v>
      </c>
      <c r="E4158" s="1662">
        <v>33.630000000000003</v>
      </c>
    </row>
    <row r="4159" spans="1:5" x14ac:dyDescent="0.2">
      <c r="A4159" s="135">
        <v>39392</v>
      </c>
      <c r="B4159" s="1926" t="s">
        <v>13759</v>
      </c>
      <c r="C4159" s="1926" t="s">
        <v>39</v>
      </c>
      <c r="D4159" s="1926" t="s">
        <v>46</v>
      </c>
      <c r="E4159" s="1662">
        <v>37.93</v>
      </c>
    </row>
    <row r="4160" spans="1:5" x14ac:dyDescent="0.2">
      <c r="A4160" s="135">
        <v>39393</v>
      </c>
      <c r="B4160" s="1926" t="s">
        <v>13760</v>
      </c>
      <c r="C4160" s="1926" t="s">
        <v>39</v>
      </c>
      <c r="D4160" s="1926" t="s">
        <v>46</v>
      </c>
      <c r="E4160" s="1662">
        <v>23.46</v>
      </c>
    </row>
    <row r="4161" spans="1:5" x14ac:dyDescent="0.2">
      <c r="A4161" s="135">
        <v>39394</v>
      </c>
      <c r="B4161" s="1926" t="s">
        <v>13761</v>
      </c>
      <c r="C4161" s="1926" t="s">
        <v>39</v>
      </c>
      <c r="D4161" s="1926" t="s">
        <v>46</v>
      </c>
      <c r="E4161" s="1662">
        <v>26.4</v>
      </c>
    </row>
    <row r="4162" spans="1:5" x14ac:dyDescent="0.2">
      <c r="A4162" s="135">
        <v>39395</v>
      </c>
      <c r="B4162" s="1926" t="s">
        <v>13762</v>
      </c>
      <c r="C4162" s="1926" t="s">
        <v>39</v>
      </c>
      <c r="D4162" s="1926" t="s">
        <v>46</v>
      </c>
      <c r="E4162" s="1662">
        <v>24.55</v>
      </c>
    </row>
    <row r="4163" spans="1:5" x14ac:dyDescent="0.2">
      <c r="A4163" s="135">
        <v>14618</v>
      </c>
      <c r="B4163" s="1926" t="s">
        <v>13763</v>
      </c>
      <c r="C4163" s="1926" t="s">
        <v>39</v>
      </c>
      <c r="D4163" s="1926" t="s">
        <v>40</v>
      </c>
      <c r="E4163" s="1662">
        <v>891.4</v>
      </c>
    </row>
    <row r="4164" spans="1:5" x14ac:dyDescent="0.2">
      <c r="A4164" s="135">
        <v>40269</v>
      </c>
      <c r="B4164" s="1926" t="s">
        <v>13764</v>
      </c>
      <c r="C4164" s="1926" t="s">
        <v>39</v>
      </c>
      <c r="D4164" s="1926" t="s">
        <v>40</v>
      </c>
      <c r="E4164" s="1662">
        <v>3591.38</v>
      </c>
    </row>
    <row r="4165" spans="1:5" x14ac:dyDescent="0.2">
      <c r="A4165" s="135">
        <v>6110</v>
      </c>
      <c r="B4165" s="1926" t="s">
        <v>13765</v>
      </c>
      <c r="C4165" s="1926" t="s">
        <v>42</v>
      </c>
      <c r="D4165" s="1926" t="s">
        <v>40</v>
      </c>
      <c r="E4165" s="1662">
        <v>14.14</v>
      </c>
    </row>
    <row r="4166" spans="1:5" x14ac:dyDescent="0.2">
      <c r="A4166" s="135">
        <v>40910</v>
      </c>
      <c r="B4166" s="1926" t="s">
        <v>13766</v>
      </c>
      <c r="C4166" s="1926" t="s">
        <v>51</v>
      </c>
      <c r="D4166" s="1926" t="s">
        <v>40</v>
      </c>
      <c r="E4166" s="1662">
        <v>2521.06</v>
      </c>
    </row>
    <row r="4167" spans="1:5" x14ac:dyDescent="0.2">
      <c r="A4167" s="135">
        <v>6111</v>
      </c>
      <c r="B4167" s="1926" t="s">
        <v>13767</v>
      </c>
      <c r="C4167" s="1926" t="s">
        <v>42</v>
      </c>
      <c r="D4167" s="1926" t="s">
        <v>43</v>
      </c>
      <c r="E4167" s="1662">
        <v>9.1999999999999993</v>
      </c>
    </row>
    <row r="4168" spans="1:5" x14ac:dyDescent="0.2">
      <c r="A4168" s="135">
        <v>41084</v>
      </c>
      <c r="B4168" s="1926" t="s">
        <v>13768</v>
      </c>
      <c r="C4168" s="1926" t="s">
        <v>51</v>
      </c>
      <c r="D4168" s="1926" t="s">
        <v>40</v>
      </c>
      <c r="E4168" s="1662">
        <v>1641.46</v>
      </c>
    </row>
    <row r="4169" spans="1:5" x14ac:dyDescent="0.2">
      <c r="A4169" s="135">
        <v>25950</v>
      </c>
      <c r="B4169" s="1926" t="s">
        <v>13769</v>
      </c>
      <c r="C4169" s="1926" t="s">
        <v>44</v>
      </c>
      <c r="D4169" s="1926" t="s">
        <v>40</v>
      </c>
      <c r="E4169" s="1662">
        <v>31.05</v>
      </c>
    </row>
    <row r="4170" spans="1:5" x14ac:dyDescent="0.2">
      <c r="A4170" s="135">
        <v>38637</v>
      </c>
      <c r="B4170" s="1926" t="s">
        <v>13770</v>
      </c>
      <c r="C4170" s="1926" t="s">
        <v>39</v>
      </c>
      <c r="D4170" s="1926" t="s">
        <v>40</v>
      </c>
      <c r="E4170" s="1662">
        <v>140.38</v>
      </c>
    </row>
    <row r="4171" spans="1:5" x14ac:dyDescent="0.2">
      <c r="A4171" s="135">
        <v>6150</v>
      </c>
      <c r="B4171" s="1926" t="s">
        <v>13771</v>
      </c>
      <c r="C4171" s="1926" t="s">
        <v>39</v>
      </c>
      <c r="D4171" s="1926" t="s">
        <v>40</v>
      </c>
      <c r="E4171" s="1662">
        <v>142.1</v>
      </c>
    </row>
    <row r="4172" spans="1:5" x14ac:dyDescent="0.2">
      <c r="A4172" s="135">
        <v>6136</v>
      </c>
      <c r="B4172" s="1926" t="s">
        <v>13772</v>
      </c>
      <c r="C4172" s="1926" t="s">
        <v>39</v>
      </c>
      <c r="D4172" s="1926" t="s">
        <v>43</v>
      </c>
      <c r="E4172" s="1662">
        <v>111.7</v>
      </c>
    </row>
    <row r="4173" spans="1:5" x14ac:dyDescent="0.2">
      <c r="A4173" s="135">
        <v>38638</v>
      </c>
      <c r="B4173" s="1926" t="s">
        <v>13773</v>
      </c>
      <c r="C4173" s="1926" t="s">
        <v>39</v>
      </c>
      <c r="D4173" s="1926" t="s">
        <v>40</v>
      </c>
      <c r="E4173" s="1662">
        <v>118.29</v>
      </c>
    </row>
    <row r="4174" spans="1:5" x14ac:dyDescent="0.2">
      <c r="A4174" s="135">
        <v>20262</v>
      </c>
      <c r="B4174" s="1926" t="s">
        <v>13774</v>
      </c>
      <c r="C4174" s="1926" t="s">
        <v>39</v>
      </c>
      <c r="D4174" s="1926" t="s">
        <v>40</v>
      </c>
      <c r="E4174" s="1662">
        <v>8.5</v>
      </c>
    </row>
    <row r="4175" spans="1:5" x14ac:dyDescent="0.2">
      <c r="A4175" s="135">
        <v>6148</v>
      </c>
      <c r="B4175" s="1926" t="s">
        <v>13775</v>
      </c>
      <c r="C4175" s="1926" t="s">
        <v>39</v>
      </c>
      <c r="D4175" s="1926" t="s">
        <v>43</v>
      </c>
      <c r="E4175" s="1662">
        <v>6.9</v>
      </c>
    </row>
    <row r="4176" spans="1:5" x14ac:dyDescent="0.2">
      <c r="A4176" s="135">
        <v>6145</v>
      </c>
      <c r="B4176" s="1926" t="s">
        <v>13776</v>
      </c>
      <c r="C4176" s="1926" t="s">
        <v>39</v>
      </c>
      <c r="D4176" s="1926" t="s">
        <v>40</v>
      </c>
      <c r="E4176" s="1662">
        <v>12.38</v>
      </c>
    </row>
    <row r="4177" spans="1:5" x14ac:dyDescent="0.2">
      <c r="A4177" s="135">
        <v>6149</v>
      </c>
      <c r="B4177" s="1926" t="s">
        <v>13777</v>
      </c>
      <c r="C4177" s="1926" t="s">
        <v>39</v>
      </c>
      <c r="D4177" s="1926" t="s">
        <v>40</v>
      </c>
      <c r="E4177" s="1662">
        <v>11.68</v>
      </c>
    </row>
    <row r="4178" spans="1:5" x14ac:dyDescent="0.2">
      <c r="A4178" s="135">
        <v>6146</v>
      </c>
      <c r="B4178" s="1926" t="s">
        <v>13778</v>
      </c>
      <c r="C4178" s="1926" t="s">
        <v>39</v>
      </c>
      <c r="D4178" s="1926" t="s">
        <v>40</v>
      </c>
      <c r="E4178" s="1662">
        <v>12.4</v>
      </c>
    </row>
    <row r="4179" spans="1:5" x14ac:dyDescent="0.2">
      <c r="A4179" s="135">
        <v>26026</v>
      </c>
      <c r="B4179" s="1926" t="s">
        <v>13779</v>
      </c>
      <c r="C4179" s="1926" t="s">
        <v>48</v>
      </c>
      <c r="D4179" s="1926" t="s">
        <v>40</v>
      </c>
      <c r="E4179" s="1662">
        <v>1.92</v>
      </c>
    </row>
    <row r="4180" spans="1:5" x14ac:dyDescent="0.2">
      <c r="A4180" s="135">
        <v>39961</v>
      </c>
      <c r="B4180" s="1926" t="s">
        <v>13780</v>
      </c>
      <c r="C4180" s="1926" t="s">
        <v>39</v>
      </c>
      <c r="D4180" s="1926" t="s">
        <v>40</v>
      </c>
      <c r="E4180" s="1662">
        <v>15.08</v>
      </c>
    </row>
    <row r="4181" spans="1:5" x14ac:dyDescent="0.2">
      <c r="A4181" s="135">
        <v>42433</v>
      </c>
      <c r="B4181" s="1926" t="s">
        <v>13781</v>
      </c>
      <c r="C4181" s="1926" t="s">
        <v>39</v>
      </c>
      <c r="D4181" s="1926" t="s">
        <v>46</v>
      </c>
      <c r="E4181" s="1662">
        <v>2741.49</v>
      </c>
    </row>
    <row r="4182" spans="1:5" x14ac:dyDescent="0.2">
      <c r="A4182" s="135">
        <v>42434</v>
      </c>
      <c r="B4182" s="1926" t="s">
        <v>13782</v>
      </c>
      <c r="C4182" s="1926" t="s">
        <v>39</v>
      </c>
      <c r="D4182" s="1926" t="s">
        <v>46</v>
      </c>
      <c r="E4182" s="1662">
        <v>2962.58</v>
      </c>
    </row>
    <row r="4183" spans="1:5" x14ac:dyDescent="0.2">
      <c r="A4183" s="135">
        <v>42435</v>
      </c>
      <c r="B4183" s="1926" t="s">
        <v>13783</v>
      </c>
      <c r="C4183" s="1926" t="s">
        <v>39</v>
      </c>
      <c r="D4183" s="1926" t="s">
        <v>46</v>
      </c>
      <c r="E4183" s="1662">
        <v>1477.33</v>
      </c>
    </row>
    <row r="4184" spans="1:5" x14ac:dyDescent="0.2">
      <c r="A4184" s="135">
        <v>38061</v>
      </c>
      <c r="B4184" s="1926" t="s">
        <v>13784</v>
      </c>
      <c r="C4184" s="1926" t="s">
        <v>39</v>
      </c>
      <c r="D4184" s="1926" t="s">
        <v>40</v>
      </c>
      <c r="E4184" s="1662">
        <v>61.44</v>
      </c>
    </row>
    <row r="4185" spans="1:5" x14ac:dyDescent="0.2">
      <c r="A4185" s="135">
        <v>20250</v>
      </c>
      <c r="B4185" s="1926" t="s">
        <v>13785</v>
      </c>
      <c r="C4185" s="1926" t="s">
        <v>48</v>
      </c>
      <c r="D4185" s="1926" t="s">
        <v>46</v>
      </c>
      <c r="E4185" s="1662">
        <v>12</v>
      </c>
    </row>
    <row r="4186" spans="1:5" x14ac:dyDescent="0.2">
      <c r="A4186" s="135">
        <v>39965</v>
      </c>
      <c r="B4186" s="1926" t="s">
        <v>13786</v>
      </c>
      <c r="C4186" s="1926" t="s">
        <v>45</v>
      </c>
      <c r="D4186" s="1926" t="s">
        <v>46</v>
      </c>
      <c r="E4186" s="1662">
        <v>1325.85</v>
      </c>
    </row>
    <row r="4187" spans="1:5" x14ac:dyDescent="0.2">
      <c r="A4187" s="135">
        <v>39964</v>
      </c>
      <c r="B4187" s="1926" t="s">
        <v>13787</v>
      </c>
      <c r="C4187" s="1926" t="s">
        <v>45</v>
      </c>
      <c r="D4187" s="1926" t="s">
        <v>46</v>
      </c>
      <c r="E4187" s="1662">
        <v>1126.1600000000001</v>
      </c>
    </row>
    <row r="4188" spans="1:5" x14ac:dyDescent="0.2">
      <c r="A4188" s="135">
        <v>7</v>
      </c>
      <c r="B4188" s="1926" t="s">
        <v>13788</v>
      </c>
      <c r="C4188" s="1926" t="s">
        <v>48</v>
      </c>
      <c r="D4188" s="1926" t="s">
        <v>40</v>
      </c>
      <c r="E4188" s="1662">
        <v>10.71</v>
      </c>
    </row>
    <row r="4189" spans="1:5" x14ac:dyDescent="0.2">
      <c r="A4189" s="135">
        <v>13388</v>
      </c>
      <c r="B4189" s="1926" t="s">
        <v>13789</v>
      </c>
      <c r="C4189" s="1926" t="s">
        <v>48</v>
      </c>
      <c r="D4189" s="1926" t="s">
        <v>40</v>
      </c>
      <c r="E4189" s="1662">
        <v>87.01</v>
      </c>
    </row>
    <row r="4190" spans="1:5" x14ac:dyDescent="0.2">
      <c r="A4190" s="135">
        <v>39914</v>
      </c>
      <c r="B4190" s="1926" t="s">
        <v>13790</v>
      </c>
      <c r="C4190" s="1926" t="s">
        <v>48</v>
      </c>
      <c r="D4190" s="1926" t="s">
        <v>46</v>
      </c>
      <c r="E4190" s="1662">
        <v>158.88</v>
      </c>
    </row>
    <row r="4191" spans="1:5" x14ac:dyDescent="0.2">
      <c r="A4191" s="135">
        <v>12732</v>
      </c>
      <c r="B4191" s="1926" t="s">
        <v>13791</v>
      </c>
      <c r="C4191" s="1926" t="s">
        <v>39</v>
      </c>
      <c r="D4191" s="1926" t="s">
        <v>46</v>
      </c>
      <c r="E4191" s="1662">
        <v>183.32</v>
      </c>
    </row>
    <row r="4192" spans="1:5" x14ac:dyDescent="0.2">
      <c r="A4192" s="135">
        <v>6160</v>
      </c>
      <c r="B4192" s="1926" t="s">
        <v>13792</v>
      </c>
      <c r="C4192" s="1926" t="s">
        <v>42</v>
      </c>
      <c r="D4192" s="1926" t="s">
        <v>43</v>
      </c>
      <c r="E4192" s="1662">
        <v>14.14</v>
      </c>
    </row>
    <row r="4193" spans="1:5" x14ac:dyDescent="0.2">
      <c r="A4193" s="135">
        <v>41087</v>
      </c>
      <c r="B4193" s="1926" t="s">
        <v>13793</v>
      </c>
      <c r="C4193" s="1926" t="s">
        <v>51</v>
      </c>
      <c r="D4193" s="1926" t="s">
        <v>40</v>
      </c>
      <c r="E4193" s="1662">
        <v>2521.06</v>
      </c>
    </row>
    <row r="4194" spans="1:5" x14ac:dyDescent="0.2">
      <c r="A4194" s="135">
        <v>6166</v>
      </c>
      <c r="B4194" s="1926" t="s">
        <v>13794</v>
      </c>
      <c r="C4194" s="1926" t="s">
        <v>42</v>
      </c>
      <c r="D4194" s="1926" t="s">
        <v>40</v>
      </c>
      <c r="E4194" s="1662">
        <v>15.77</v>
      </c>
    </row>
    <row r="4195" spans="1:5" x14ac:dyDescent="0.2">
      <c r="A4195" s="135">
        <v>41088</v>
      </c>
      <c r="B4195" s="1926" t="s">
        <v>13795</v>
      </c>
      <c r="C4195" s="1926" t="s">
        <v>51</v>
      </c>
      <c r="D4195" s="1926" t="s">
        <v>40</v>
      </c>
      <c r="E4195" s="1662">
        <v>2814.48</v>
      </c>
    </row>
    <row r="4196" spans="1:5" x14ac:dyDescent="0.2">
      <c r="A4196" s="135">
        <v>20232</v>
      </c>
      <c r="B4196" s="1926" t="s">
        <v>13796</v>
      </c>
      <c r="C4196" s="1926" t="s">
        <v>47</v>
      </c>
      <c r="D4196" s="1926" t="s">
        <v>40</v>
      </c>
      <c r="E4196" s="1662">
        <v>69.52</v>
      </c>
    </row>
    <row r="4197" spans="1:5" x14ac:dyDescent="0.2">
      <c r="A4197" s="135">
        <v>10856</v>
      </c>
      <c r="B4197" s="1926" t="s">
        <v>13797</v>
      </c>
      <c r="C4197" s="1926" t="s">
        <v>47</v>
      </c>
      <c r="D4197" s="1926" t="s">
        <v>46</v>
      </c>
      <c r="E4197" s="1662">
        <v>76.52</v>
      </c>
    </row>
    <row r="4198" spans="1:5" x14ac:dyDescent="0.2">
      <c r="A4198" s="135">
        <v>4828</v>
      </c>
      <c r="B4198" s="1926" t="s">
        <v>13798</v>
      </c>
      <c r="C4198" s="1926" t="s">
        <v>47</v>
      </c>
      <c r="D4198" s="1926" t="s">
        <v>40</v>
      </c>
      <c r="E4198" s="1662">
        <v>37.31</v>
      </c>
    </row>
    <row r="4199" spans="1:5" x14ac:dyDescent="0.2">
      <c r="A4199" s="135">
        <v>20249</v>
      </c>
      <c r="B4199" s="1926" t="s">
        <v>13799</v>
      </c>
      <c r="C4199" s="1926" t="s">
        <v>47</v>
      </c>
      <c r="D4199" s="1926" t="s">
        <v>40</v>
      </c>
      <c r="E4199" s="1662">
        <v>20.43</v>
      </c>
    </row>
    <row r="4200" spans="1:5" x14ac:dyDescent="0.2">
      <c r="A4200" s="135">
        <v>11609</v>
      </c>
      <c r="B4200" s="1926" t="s">
        <v>13800</v>
      </c>
      <c r="C4200" s="1926" t="s">
        <v>49</v>
      </c>
      <c r="D4200" s="1926" t="s">
        <v>40</v>
      </c>
      <c r="E4200" s="1662">
        <v>8.0399999999999991</v>
      </c>
    </row>
    <row r="4201" spans="1:5" x14ac:dyDescent="0.2">
      <c r="A4201" s="135">
        <v>20083</v>
      </c>
      <c r="B4201" s="1926" t="s">
        <v>13801</v>
      </c>
      <c r="C4201" s="1926" t="s">
        <v>39</v>
      </c>
      <c r="D4201" s="1926" t="s">
        <v>40</v>
      </c>
      <c r="E4201" s="1662">
        <v>49.34</v>
      </c>
    </row>
    <row r="4202" spans="1:5" x14ac:dyDescent="0.2">
      <c r="A4202" s="135">
        <v>20082</v>
      </c>
      <c r="B4202" s="1926" t="s">
        <v>13802</v>
      </c>
      <c r="C4202" s="1926" t="s">
        <v>39</v>
      </c>
      <c r="D4202" s="1926" t="s">
        <v>40</v>
      </c>
      <c r="E4202" s="1662">
        <v>19.22</v>
      </c>
    </row>
    <row r="4203" spans="1:5" x14ac:dyDescent="0.2">
      <c r="A4203" s="135">
        <v>5318</v>
      </c>
      <c r="B4203" s="1926" t="s">
        <v>13803</v>
      </c>
      <c r="C4203" s="1926" t="s">
        <v>49</v>
      </c>
      <c r="D4203" s="1926" t="s">
        <v>43</v>
      </c>
      <c r="E4203" s="1662">
        <v>11.5</v>
      </c>
    </row>
    <row r="4204" spans="1:5" x14ac:dyDescent="0.2">
      <c r="A4204" s="135">
        <v>10691</v>
      </c>
      <c r="B4204" s="1926" t="s">
        <v>13804</v>
      </c>
      <c r="C4204" s="1926" t="s">
        <v>49</v>
      </c>
      <c r="D4204" s="1926" t="s">
        <v>40</v>
      </c>
      <c r="E4204" s="1662">
        <v>40.94</v>
      </c>
    </row>
    <row r="4205" spans="1:5" x14ac:dyDescent="0.2">
      <c r="A4205" s="135">
        <v>12295</v>
      </c>
      <c r="B4205" s="1926" t="s">
        <v>13805</v>
      </c>
      <c r="C4205" s="1926" t="s">
        <v>39</v>
      </c>
      <c r="D4205" s="1926" t="s">
        <v>40</v>
      </c>
      <c r="E4205" s="1662">
        <v>2.2999999999999998</v>
      </c>
    </row>
    <row r="4206" spans="1:5" x14ac:dyDescent="0.2">
      <c r="A4206" s="135">
        <v>12296</v>
      </c>
      <c r="B4206" s="1926" t="s">
        <v>13806</v>
      </c>
      <c r="C4206" s="1926" t="s">
        <v>39</v>
      </c>
      <c r="D4206" s="1926" t="s">
        <v>40</v>
      </c>
      <c r="E4206" s="1662">
        <v>2.98</v>
      </c>
    </row>
    <row r="4207" spans="1:5" x14ac:dyDescent="0.2">
      <c r="A4207" s="135">
        <v>12294</v>
      </c>
      <c r="B4207" s="1926" t="s">
        <v>13807</v>
      </c>
      <c r="C4207" s="1926" t="s">
        <v>39</v>
      </c>
      <c r="D4207" s="1926" t="s">
        <v>40</v>
      </c>
      <c r="E4207" s="1662">
        <v>7.16</v>
      </c>
    </row>
    <row r="4208" spans="1:5" x14ac:dyDescent="0.2">
      <c r="A4208" s="135">
        <v>14543</v>
      </c>
      <c r="B4208" s="1926" t="s">
        <v>13808</v>
      </c>
      <c r="C4208" s="1926" t="s">
        <v>39</v>
      </c>
      <c r="D4208" s="1926" t="s">
        <v>40</v>
      </c>
      <c r="E4208" s="1662">
        <v>5.1100000000000003</v>
      </c>
    </row>
    <row r="4209" spans="1:5" x14ac:dyDescent="0.2">
      <c r="A4209" s="135">
        <v>13329</v>
      </c>
      <c r="B4209" s="1926" t="s">
        <v>13809</v>
      </c>
      <c r="C4209" s="1926" t="s">
        <v>39</v>
      </c>
      <c r="D4209" s="1926" t="s">
        <v>43</v>
      </c>
      <c r="E4209" s="1662">
        <v>3</v>
      </c>
    </row>
    <row r="4210" spans="1:5" x14ac:dyDescent="0.2">
      <c r="A4210" s="135">
        <v>21044</v>
      </c>
      <c r="B4210" s="1926" t="s">
        <v>13810</v>
      </c>
      <c r="C4210" s="1926" t="s">
        <v>39</v>
      </c>
      <c r="D4210" s="1926" t="s">
        <v>40</v>
      </c>
      <c r="E4210" s="1662">
        <v>25.55</v>
      </c>
    </row>
    <row r="4211" spans="1:5" x14ac:dyDescent="0.2">
      <c r="A4211" s="135">
        <v>21045</v>
      </c>
      <c r="B4211" s="1926" t="s">
        <v>13811</v>
      </c>
      <c r="C4211" s="1926" t="s">
        <v>39</v>
      </c>
      <c r="D4211" s="1926" t="s">
        <v>40</v>
      </c>
      <c r="E4211" s="1662">
        <v>34.99</v>
      </c>
    </row>
    <row r="4212" spans="1:5" x14ac:dyDescent="0.2">
      <c r="A4212" s="135">
        <v>21040</v>
      </c>
      <c r="B4212" s="1926" t="s">
        <v>13812</v>
      </c>
      <c r="C4212" s="1926" t="s">
        <v>39</v>
      </c>
      <c r="D4212" s="1926" t="s">
        <v>43</v>
      </c>
      <c r="E4212" s="1662">
        <v>25</v>
      </c>
    </row>
    <row r="4213" spans="1:5" x14ac:dyDescent="0.2">
      <c r="A4213" s="135">
        <v>21041</v>
      </c>
      <c r="B4213" s="1926" t="s">
        <v>13813</v>
      </c>
      <c r="C4213" s="1926" t="s">
        <v>39</v>
      </c>
      <c r="D4213" s="1926" t="s">
        <v>40</v>
      </c>
      <c r="E4213" s="1662">
        <v>30.18</v>
      </c>
    </row>
    <row r="4214" spans="1:5" x14ac:dyDescent="0.2">
      <c r="A4214" s="135">
        <v>21047</v>
      </c>
      <c r="B4214" s="1926" t="s">
        <v>13814</v>
      </c>
      <c r="C4214" s="1926" t="s">
        <v>39</v>
      </c>
      <c r="D4214" s="1926" t="s">
        <v>40</v>
      </c>
      <c r="E4214" s="1662">
        <v>37.659999999999997</v>
      </c>
    </row>
    <row r="4215" spans="1:5" x14ac:dyDescent="0.2">
      <c r="A4215" s="135">
        <v>21043</v>
      </c>
      <c r="B4215" s="1926" t="s">
        <v>13815</v>
      </c>
      <c r="C4215" s="1926" t="s">
        <v>39</v>
      </c>
      <c r="D4215" s="1926" t="s">
        <v>40</v>
      </c>
      <c r="E4215" s="1662">
        <v>36.67</v>
      </c>
    </row>
    <row r="4216" spans="1:5" x14ac:dyDescent="0.2">
      <c r="A4216" s="135">
        <v>21042</v>
      </c>
      <c r="B4216" s="1926" t="s">
        <v>13816</v>
      </c>
      <c r="C4216" s="1926" t="s">
        <v>39</v>
      </c>
      <c r="D4216" s="1926" t="s">
        <v>40</v>
      </c>
      <c r="E4216" s="1662">
        <v>29.03</v>
      </c>
    </row>
    <row r="4217" spans="1:5" x14ac:dyDescent="0.2">
      <c r="A4217" s="135">
        <v>11895</v>
      </c>
      <c r="B4217" s="1926" t="s">
        <v>13817</v>
      </c>
      <c r="C4217" s="1926" t="s">
        <v>39</v>
      </c>
      <c r="D4217" s="1926" t="s">
        <v>40</v>
      </c>
      <c r="E4217" s="1662">
        <v>1095.6400000000001</v>
      </c>
    </row>
    <row r="4218" spans="1:5" x14ac:dyDescent="0.2">
      <c r="A4218" s="135">
        <v>11896</v>
      </c>
      <c r="B4218" s="1926" t="s">
        <v>13818</v>
      </c>
      <c r="C4218" s="1926" t="s">
        <v>39</v>
      </c>
      <c r="D4218" s="1926" t="s">
        <v>40</v>
      </c>
      <c r="E4218" s="1662">
        <v>5742.67</v>
      </c>
    </row>
    <row r="4219" spans="1:5" x14ac:dyDescent="0.2">
      <c r="A4219" s="135">
        <v>11897</v>
      </c>
      <c r="B4219" s="1926" t="s">
        <v>13819</v>
      </c>
      <c r="C4219" s="1926" t="s">
        <v>39</v>
      </c>
      <c r="D4219" s="1926" t="s">
        <v>40</v>
      </c>
      <c r="E4219" s="1662">
        <v>7493.17</v>
      </c>
    </row>
    <row r="4220" spans="1:5" x14ac:dyDescent="0.2">
      <c r="A4220" s="135">
        <v>11898</v>
      </c>
      <c r="B4220" s="1926" t="s">
        <v>13820</v>
      </c>
      <c r="C4220" s="1926" t="s">
        <v>39</v>
      </c>
      <c r="D4220" s="1926" t="s">
        <v>40</v>
      </c>
      <c r="E4220" s="1662">
        <v>7870.98</v>
      </c>
    </row>
    <row r="4221" spans="1:5" x14ac:dyDescent="0.2">
      <c r="A4221" s="135">
        <v>3282</v>
      </c>
      <c r="B4221" s="1926" t="s">
        <v>13821</v>
      </c>
      <c r="C4221" s="1926" t="s">
        <v>39</v>
      </c>
      <c r="D4221" s="1926" t="s">
        <v>40</v>
      </c>
      <c r="E4221" s="1662">
        <v>796.54</v>
      </c>
    </row>
    <row r="4222" spans="1:5" x14ac:dyDescent="0.2">
      <c r="A4222" s="135">
        <v>11899</v>
      </c>
      <c r="B4222" s="1926" t="s">
        <v>13822</v>
      </c>
      <c r="C4222" s="1926" t="s">
        <v>39</v>
      </c>
      <c r="D4222" s="1926" t="s">
        <v>40</v>
      </c>
      <c r="E4222" s="1662">
        <v>3885.11</v>
      </c>
    </row>
    <row r="4223" spans="1:5" x14ac:dyDescent="0.2">
      <c r="A4223" s="135">
        <v>11900</v>
      </c>
      <c r="B4223" s="1926" t="s">
        <v>13823</v>
      </c>
      <c r="C4223" s="1926" t="s">
        <v>39</v>
      </c>
      <c r="D4223" s="1926" t="s">
        <v>40</v>
      </c>
      <c r="E4223" s="1662">
        <v>5327.08</v>
      </c>
    </row>
    <row r="4224" spans="1:5" x14ac:dyDescent="0.2">
      <c r="A4224" s="135">
        <v>14149</v>
      </c>
      <c r="B4224" s="1926" t="s">
        <v>13824</v>
      </c>
      <c r="C4224" s="1926" t="s">
        <v>60</v>
      </c>
      <c r="D4224" s="1926" t="s">
        <v>46</v>
      </c>
      <c r="E4224" s="1662">
        <v>132.41999999999999</v>
      </c>
    </row>
    <row r="4225" spans="1:5" x14ac:dyDescent="0.2">
      <c r="A4225" s="135">
        <v>38099</v>
      </c>
      <c r="B4225" s="1926" t="s">
        <v>13825</v>
      </c>
      <c r="C4225" s="1926" t="s">
        <v>39</v>
      </c>
      <c r="D4225" s="1926" t="s">
        <v>40</v>
      </c>
      <c r="E4225" s="1662">
        <v>1.4</v>
      </c>
    </row>
    <row r="4226" spans="1:5" x14ac:dyDescent="0.2">
      <c r="A4226" s="135">
        <v>38100</v>
      </c>
      <c r="B4226" s="1926" t="s">
        <v>13826</v>
      </c>
      <c r="C4226" s="1926" t="s">
        <v>39</v>
      </c>
      <c r="D4226" s="1926" t="s">
        <v>40</v>
      </c>
      <c r="E4226" s="1662">
        <v>2.29</v>
      </c>
    </row>
    <row r="4227" spans="1:5" x14ac:dyDescent="0.2">
      <c r="A4227" s="135">
        <v>20061</v>
      </c>
      <c r="B4227" s="1926" t="s">
        <v>13827</v>
      </c>
      <c r="C4227" s="1926" t="s">
        <v>39</v>
      </c>
      <c r="D4227" s="1926" t="s">
        <v>46</v>
      </c>
      <c r="E4227" s="1662">
        <v>2.4300000000000002</v>
      </c>
    </row>
    <row r="4228" spans="1:5" x14ac:dyDescent="0.2">
      <c r="A4228" s="135">
        <v>7576</v>
      </c>
      <c r="B4228" s="1926" t="s">
        <v>13828</v>
      </c>
      <c r="C4228" s="1926" t="s">
        <v>39</v>
      </c>
      <c r="D4228" s="1926" t="s">
        <v>46</v>
      </c>
      <c r="E4228" s="1662">
        <v>105.5</v>
      </c>
    </row>
    <row r="4229" spans="1:5" x14ac:dyDescent="0.2">
      <c r="A4229" s="135">
        <v>3384</v>
      </c>
      <c r="B4229" s="1926" t="s">
        <v>13829</v>
      </c>
      <c r="C4229" s="1926" t="s">
        <v>39</v>
      </c>
      <c r="D4229" s="1926" t="s">
        <v>40</v>
      </c>
      <c r="E4229" s="1662">
        <v>5.66</v>
      </c>
    </row>
    <row r="4230" spans="1:5" x14ac:dyDescent="0.2">
      <c r="A4230" s="135">
        <v>7572</v>
      </c>
      <c r="B4230" s="1926" t="s">
        <v>13830</v>
      </c>
      <c r="C4230" s="1926" t="s">
        <v>39</v>
      </c>
      <c r="D4230" s="1926" t="s">
        <v>40</v>
      </c>
      <c r="E4230" s="1662">
        <v>9.82</v>
      </c>
    </row>
    <row r="4231" spans="1:5" x14ac:dyDescent="0.2">
      <c r="A4231" s="135">
        <v>3396</v>
      </c>
      <c r="B4231" s="1926" t="s">
        <v>13831</v>
      </c>
      <c r="C4231" s="1926" t="s">
        <v>39</v>
      </c>
      <c r="D4231" s="1926" t="s">
        <v>40</v>
      </c>
      <c r="E4231" s="1662">
        <v>6.96</v>
      </c>
    </row>
    <row r="4232" spans="1:5" x14ac:dyDescent="0.2">
      <c r="A4232" s="135">
        <v>37590</v>
      </c>
      <c r="B4232" s="1926" t="s">
        <v>13832</v>
      </c>
      <c r="C4232" s="1926" t="s">
        <v>39</v>
      </c>
      <c r="D4232" s="1926" t="s">
        <v>46</v>
      </c>
      <c r="E4232" s="1662">
        <v>9.61</v>
      </c>
    </row>
    <row r="4233" spans="1:5" x14ac:dyDescent="0.2">
      <c r="A4233" s="135">
        <v>37591</v>
      </c>
      <c r="B4233" s="1926" t="s">
        <v>13833</v>
      </c>
      <c r="C4233" s="1926" t="s">
        <v>39</v>
      </c>
      <c r="D4233" s="1926" t="s">
        <v>46</v>
      </c>
      <c r="E4233" s="1662">
        <v>11.55</v>
      </c>
    </row>
    <row r="4234" spans="1:5" x14ac:dyDescent="0.2">
      <c r="A4234" s="135">
        <v>12626</v>
      </c>
      <c r="B4234" s="1926" t="s">
        <v>13834</v>
      </c>
      <c r="C4234" s="1926" t="s">
        <v>39</v>
      </c>
      <c r="D4234" s="1926" t="s">
        <v>46</v>
      </c>
      <c r="E4234" s="1662">
        <v>11.66</v>
      </c>
    </row>
    <row r="4235" spans="1:5" x14ac:dyDescent="0.2">
      <c r="A4235" s="135">
        <v>11033</v>
      </c>
      <c r="B4235" s="1926" t="s">
        <v>13835</v>
      </c>
      <c r="C4235" s="1926" t="s">
        <v>39</v>
      </c>
      <c r="D4235" s="1926" t="s">
        <v>40</v>
      </c>
      <c r="E4235" s="1662">
        <v>4.1900000000000004</v>
      </c>
    </row>
    <row r="4236" spans="1:5" x14ac:dyDescent="0.2">
      <c r="A4236" s="135">
        <v>390</v>
      </c>
      <c r="B4236" s="1926" t="s">
        <v>13836</v>
      </c>
      <c r="C4236" s="1926" t="s">
        <v>39</v>
      </c>
      <c r="D4236" s="1926" t="s">
        <v>40</v>
      </c>
      <c r="E4236" s="1662">
        <v>13.98</v>
      </c>
    </row>
    <row r="4237" spans="1:5" x14ac:dyDescent="0.2">
      <c r="A4237" s="135">
        <v>42436</v>
      </c>
      <c r="B4237" s="1926" t="s">
        <v>13837</v>
      </c>
      <c r="C4237" s="1926" t="s">
        <v>39</v>
      </c>
      <c r="D4237" s="1926" t="s">
        <v>46</v>
      </c>
      <c r="E4237" s="1662">
        <v>1546.34</v>
      </c>
    </row>
    <row r="4238" spans="1:5" x14ac:dyDescent="0.2">
      <c r="A4238" s="135">
        <v>6178</v>
      </c>
      <c r="B4238" s="1926" t="s">
        <v>13838</v>
      </c>
      <c r="C4238" s="1926" t="s">
        <v>45</v>
      </c>
      <c r="D4238" s="1926" t="s">
        <v>46</v>
      </c>
      <c r="E4238" s="1662">
        <v>168.84</v>
      </c>
    </row>
    <row r="4239" spans="1:5" x14ac:dyDescent="0.2">
      <c r="A4239" s="135">
        <v>6180</v>
      </c>
      <c r="B4239" s="1926" t="s">
        <v>13839</v>
      </c>
      <c r="C4239" s="1926" t="s">
        <v>45</v>
      </c>
      <c r="D4239" s="1926" t="s">
        <v>46</v>
      </c>
      <c r="E4239" s="1662">
        <v>182.23</v>
      </c>
    </row>
    <row r="4240" spans="1:5" x14ac:dyDescent="0.2">
      <c r="A4240" s="135">
        <v>6182</v>
      </c>
      <c r="B4240" s="1926" t="s">
        <v>13840</v>
      </c>
      <c r="C4240" s="1926" t="s">
        <v>45</v>
      </c>
      <c r="D4240" s="1926" t="s">
        <v>46</v>
      </c>
      <c r="E4240" s="1662">
        <v>226.19</v>
      </c>
    </row>
    <row r="4241" spans="1:5" x14ac:dyDescent="0.2">
      <c r="A4241" s="135">
        <v>3993</v>
      </c>
      <c r="B4241" s="1926" t="s">
        <v>13841</v>
      </c>
      <c r="C4241" s="1926" t="s">
        <v>45</v>
      </c>
      <c r="D4241" s="1926" t="s">
        <v>40</v>
      </c>
      <c r="E4241" s="1662">
        <v>99.51</v>
      </c>
    </row>
    <row r="4242" spans="1:5" x14ac:dyDescent="0.2">
      <c r="A4242" s="135">
        <v>3990</v>
      </c>
      <c r="B4242" s="1926" t="s">
        <v>13842</v>
      </c>
      <c r="C4242" s="1926" t="s">
        <v>47</v>
      </c>
      <c r="D4242" s="1926" t="s">
        <v>40</v>
      </c>
      <c r="E4242" s="1662">
        <v>21.99</v>
      </c>
    </row>
    <row r="4243" spans="1:5" x14ac:dyDescent="0.2">
      <c r="A4243" s="135">
        <v>3992</v>
      </c>
      <c r="B4243" s="1926" t="s">
        <v>13843</v>
      </c>
      <c r="C4243" s="1926" t="s">
        <v>47</v>
      </c>
      <c r="D4243" s="1926" t="s">
        <v>40</v>
      </c>
      <c r="E4243" s="1662">
        <v>27</v>
      </c>
    </row>
    <row r="4244" spans="1:5" x14ac:dyDescent="0.2">
      <c r="A4244" s="135">
        <v>4509</v>
      </c>
      <c r="B4244" s="1926" t="s">
        <v>13844</v>
      </c>
      <c r="C4244" s="1926" t="s">
        <v>47</v>
      </c>
      <c r="D4244" s="1926" t="s">
        <v>40</v>
      </c>
      <c r="E4244" s="1662">
        <v>1.95</v>
      </c>
    </row>
    <row r="4245" spans="1:5" x14ac:dyDescent="0.2">
      <c r="A4245" s="135">
        <v>6194</v>
      </c>
      <c r="B4245" s="1926" t="s">
        <v>13845</v>
      </c>
      <c r="C4245" s="1926" t="s">
        <v>47</v>
      </c>
      <c r="D4245" s="1926" t="s">
        <v>40</v>
      </c>
      <c r="E4245" s="1662">
        <v>2.65</v>
      </c>
    </row>
    <row r="4246" spans="1:5" x14ac:dyDescent="0.2">
      <c r="A4246" s="135">
        <v>6193</v>
      </c>
      <c r="B4246" s="1926" t="s">
        <v>13846</v>
      </c>
      <c r="C4246" s="1926" t="s">
        <v>47</v>
      </c>
      <c r="D4246" s="1926" t="s">
        <v>40</v>
      </c>
      <c r="E4246" s="1662">
        <v>10.48</v>
      </c>
    </row>
    <row r="4247" spans="1:5" x14ac:dyDescent="0.2">
      <c r="A4247" s="135">
        <v>10567</v>
      </c>
      <c r="B4247" s="1926" t="s">
        <v>13847</v>
      </c>
      <c r="C4247" s="1926" t="s">
        <v>47</v>
      </c>
      <c r="D4247" s="1926" t="s">
        <v>40</v>
      </c>
      <c r="E4247" s="1662">
        <v>4.3899999999999997</v>
      </c>
    </row>
    <row r="4248" spans="1:5" x14ac:dyDescent="0.2">
      <c r="A4248" s="135">
        <v>6212</v>
      </c>
      <c r="B4248" s="1926" t="s">
        <v>13848</v>
      </c>
      <c r="C4248" s="1926" t="s">
        <v>47</v>
      </c>
      <c r="D4248" s="1926" t="s">
        <v>43</v>
      </c>
      <c r="E4248" s="1662">
        <v>7.2</v>
      </c>
    </row>
    <row r="4249" spans="1:5" x14ac:dyDescent="0.2">
      <c r="A4249" s="135">
        <v>6189</v>
      </c>
      <c r="B4249" s="1926" t="s">
        <v>13849</v>
      </c>
      <c r="C4249" s="1926" t="s">
        <v>47</v>
      </c>
      <c r="D4249" s="1926" t="s">
        <v>40</v>
      </c>
      <c r="E4249" s="1662">
        <v>15.32</v>
      </c>
    </row>
    <row r="4250" spans="1:5" x14ac:dyDescent="0.2">
      <c r="A4250" s="135">
        <v>6214</v>
      </c>
      <c r="B4250" s="1926" t="s">
        <v>13850</v>
      </c>
      <c r="C4250" s="1926" t="s">
        <v>45</v>
      </c>
      <c r="D4250" s="1926" t="s">
        <v>46</v>
      </c>
      <c r="E4250" s="1662">
        <v>105.76</v>
      </c>
    </row>
    <row r="4251" spans="1:5" x14ac:dyDescent="0.2">
      <c r="A4251" s="135">
        <v>36153</v>
      </c>
      <c r="B4251" s="1926" t="s">
        <v>13851</v>
      </c>
      <c r="C4251" s="1926" t="s">
        <v>39</v>
      </c>
      <c r="D4251" s="1926" t="s">
        <v>40</v>
      </c>
      <c r="E4251" s="1662">
        <v>154.88</v>
      </c>
    </row>
    <row r="4252" spans="1:5" x14ac:dyDescent="0.2">
      <c r="A4252" s="135">
        <v>10740</v>
      </c>
      <c r="B4252" s="1926" t="s">
        <v>13852</v>
      </c>
      <c r="C4252" s="1926" t="s">
        <v>39</v>
      </c>
      <c r="D4252" s="1926" t="s">
        <v>46</v>
      </c>
      <c r="E4252" s="1662">
        <v>9301.24</v>
      </c>
    </row>
    <row r="4253" spans="1:5" x14ac:dyDescent="0.2">
      <c r="A4253" s="135">
        <v>13914</v>
      </c>
      <c r="B4253" s="1926" t="s">
        <v>13853</v>
      </c>
      <c r="C4253" s="1926" t="s">
        <v>39</v>
      </c>
      <c r="D4253" s="1926" t="s">
        <v>46</v>
      </c>
      <c r="E4253" s="1662">
        <v>672.98</v>
      </c>
    </row>
    <row r="4254" spans="1:5" x14ac:dyDescent="0.2">
      <c r="A4254" s="135">
        <v>10742</v>
      </c>
      <c r="B4254" s="1926" t="s">
        <v>13854</v>
      </c>
      <c r="C4254" s="1926" t="s">
        <v>39</v>
      </c>
      <c r="D4254" s="1926" t="s">
        <v>46</v>
      </c>
      <c r="E4254" s="1662">
        <v>981.55</v>
      </c>
    </row>
    <row r="4255" spans="1:5" x14ac:dyDescent="0.2">
      <c r="A4255" s="135">
        <v>38465</v>
      </c>
      <c r="B4255" s="1926" t="s">
        <v>13855</v>
      </c>
      <c r="C4255" s="1926" t="s">
        <v>39</v>
      </c>
      <c r="D4255" s="1926" t="s">
        <v>40</v>
      </c>
      <c r="E4255" s="1662">
        <v>29.55</v>
      </c>
    </row>
    <row r="4256" spans="1:5" x14ac:dyDescent="0.2">
      <c r="A4256" s="135">
        <v>7543</v>
      </c>
      <c r="B4256" s="1926" t="s">
        <v>13856</v>
      </c>
      <c r="C4256" s="1926" t="s">
        <v>39</v>
      </c>
      <c r="D4256" s="1926" t="s">
        <v>40</v>
      </c>
      <c r="E4256" s="1662">
        <v>3.39</v>
      </c>
    </row>
    <row r="4257" spans="1:5" x14ac:dyDescent="0.2">
      <c r="A4257" s="135">
        <v>13255</v>
      </c>
      <c r="B4257" s="1926" t="s">
        <v>13857</v>
      </c>
      <c r="C4257" s="1926" t="s">
        <v>39</v>
      </c>
      <c r="D4257" s="1926" t="s">
        <v>40</v>
      </c>
      <c r="E4257" s="1662">
        <v>39.340000000000003</v>
      </c>
    </row>
    <row r="4258" spans="1:5" x14ac:dyDescent="0.2">
      <c r="A4258" s="135">
        <v>39352</v>
      </c>
      <c r="B4258" s="1926" t="s">
        <v>13858</v>
      </c>
      <c r="C4258" s="1926" t="s">
        <v>39</v>
      </c>
      <c r="D4258" s="1926" t="s">
        <v>40</v>
      </c>
      <c r="E4258" s="1662">
        <v>2.09</v>
      </c>
    </row>
    <row r="4259" spans="1:5" x14ac:dyDescent="0.2">
      <c r="A4259" s="135">
        <v>39346</v>
      </c>
      <c r="B4259" s="1926" t="s">
        <v>13859</v>
      </c>
      <c r="C4259" s="1926" t="s">
        <v>39</v>
      </c>
      <c r="D4259" s="1926" t="s">
        <v>40</v>
      </c>
      <c r="E4259" s="1662">
        <v>2.09</v>
      </c>
    </row>
    <row r="4260" spans="1:5" x14ac:dyDescent="0.2">
      <c r="A4260" s="135">
        <v>39350</v>
      </c>
      <c r="B4260" s="1926" t="s">
        <v>13860</v>
      </c>
      <c r="C4260" s="1926" t="s">
        <v>39</v>
      </c>
      <c r="D4260" s="1926" t="s">
        <v>40</v>
      </c>
      <c r="E4260" s="1662">
        <v>2.25</v>
      </c>
    </row>
    <row r="4261" spans="1:5" x14ac:dyDescent="0.2">
      <c r="A4261" s="135">
        <v>39351</v>
      </c>
      <c r="B4261" s="1926" t="s">
        <v>13861</v>
      </c>
      <c r="C4261" s="1926" t="s">
        <v>39</v>
      </c>
      <c r="D4261" s="1926" t="s">
        <v>40</v>
      </c>
      <c r="E4261" s="1662">
        <v>2.6</v>
      </c>
    </row>
    <row r="4262" spans="1:5" x14ac:dyDescent="0.2">
      <c r="A4262" s="135">
        <v>38952</v>
      </c>
      <c r="B4262" s="1926" t="s">
        <v>13862</v>
      </c>
      <c r="C4262" s="1926" t="s">
        <v>39</v>
      </c>
      <c r="D4262" s="1926" t="s">
        <v>46</v>
      </c>
      <c r="E4262" s="1662">
        <v>2.5299999999999998</v>
      </c>
    </row>
    <row r="4263" spans="1:5" x14ac:dyDescent="0.2">
      <c r="A4263" s="135">
        <v>38953</v>
      </c>
      <c r="B4263" s="1926" t="s">
        <v>13863</v>
      </c>
      <c r="C4263" s="1926" t="s">
        <v>39</v>
      </c>
      <c r="D4263" s="1926" t="s">
        <v>46</v>
      </c>
      <c r="E4263" s="1662">
        <v>3.98</v>
      </c>
    </row>
    <row r="4264" spans="1:5" x14ac:dyDescent="0.2">
      <c r="A4264" s="135">
        <v>38835</v>
      </c>
      <c r="B4264" s="1926" t="s">
        <v>13864</v>
      </c>
      <c r="C4264" s="1926" t="s">
        <v>39</v>
      </c>
      <c r="D4264" s="1926" t="s">
        <v>46</v>
      </c>
      <c r="E4264" s="1662">
        <v>3.57</v>
      </c>
    </row>
    <row r="4265" spans="1:5" x14ac:dyDescent="0.2">
      <c r="A4265" s="135">
        <v>38837</v>
      </c>
      <c r="B4265" s="1926" t="s">
        <v>13865</v>
      </c>
      <c r="C4265" s="1926" t="s">
        <v>39</v>
      </c>
      <c r="D4265" s="1926" t="s">
        <v>46</v>
      </c>
      <c r="E4265" s="1662">
        <v>9.31</v>
      </c>
    </row>
    <row r="4266" spans="1:5" x14ac:dyDescent="0.2">
      <c r="A4266" s="135">
        <v>38836</v>
      </c>
      <c r="B4266" s="1926" t="s">
        <v>13866</v>
      </c>
      <c r="C4266" s="1926" t="s">
        <v>39</v>
      </c>
      <c r="D4266" s="1926" t="s">
        <v>46</v>
      </c>
      <c r="E4266" s="1662">
        <v>5.15</v>
      </c>
    </row>
    <row r="4267" spans="1:5" x14ac:dyDescent="0.2">
      <c r="A4267" s="135">
        <v>2666</v>
      </c>
      <c r="B4267" s="1926" t="s">
        <v>13867</v>
      </c>
      <c r="C4267" s="1926" t="s">
        <v>39</v>
      </c>
      <c r="D4267" s="1926" t="s">
        <v>46</v>
      </c>
      <c r="E4267" s="1662">
        <v>5.26</v>
      </c>
    </row>
    <row r="4268" spans="1:5" x14ac:dyDescent="0.2">
      <c r="A4268" s="135">
        <v>2668</v>
      </c>
      <c r="B4268" s="1926" t="s">
        <v>13868</v>
      </c>
      <c r="C4268" s="1926" t="s">
        <v>39</v>
      </c>
      <c r="D4268" s="1926" t="s">
        <v>46</v>
      </c>
      <c r="E4268" s="1662">
        <v>6</v>
      </c>
    </row>
    <row r="4269" spans="1:5" x14ac:dyDescent="0.2">
      <c r="A4269" s="135">
        <v>2664</v>
      </c>
      <c r="B4269" s="1926" t="s">
        <v>13869</v>
      </c>
      <c r="C4269" s="1926" t="s">
        <v>39</v>
      </c>
      <c r="D4269" s="1926" t="s">
        <v>46</v>
      </c>
      <c r="E4269" s="1662">
        <v>8.85</v>
      </c>
    </row>
    <row r="4270" spans="1:5" x14ac:dyDescent="0.2">
      <c r="A4270" s="135">
        <v>2662</v>
      </c>
      <c r="B4270" s="1926" t="s">
        <v>13870</v>
      </c>
      <c r="C4270" s="1926" t="s">
        <v>39</v>
      </c>
      <c r="D4270" s="1926" t="s">
        <v>46</v>
      </c>
      <c r="E4270" s="1662">
        <v>10.86</v>
      </c>
    </row>
    <row r="4271" spans="1:5" x14ac:dyDescent="0.2">
      <c r="A4271" s="135">
        <v>20964</v>
      </c>
      <c r="B4271" s="1926" t="s">
        <v>13871</v>
      </c>
      <c r="C4271" s="1926" t="s">
        <v>39</v>
      </c>
      <c r="D4271" s="1926" t="s">
        <v>40</v>
      </c>
      <c r="E4271" s="1662">
        <v>43.62</v>
      </c>
    </row>
    <row r="4272" spans="1:5" x14ac:dyDescent="0.2">
      <c r="A4272" s="135">
        <v>10905</v>
      </c>
      <c r="B4272" s="1926" t="s">
        <v>13872</v>
      </c>
      <c r="C4272" s="1926" t="s">
        <v>39</v>
      </c>
      <c r="D4272" s="1926" t="s">
        <v>40</v>
      </c>
      <c r="E4272" s="1662">
        <v>58.52</v>
      </c>
    </row>
    <row r="4273" spans="1:5" x14ac:dyDescent="0.2">
      <c r="A4273" s="135">
        <v>42703</v>
      </c>
      <c r="B4273" s="1926" t="s">
        <v>13873</v>
      </c>
      <c r="C4273" s="1926" t="s">
        <v>39</v>
      </c>
      <c r="D4273" s="1926" t="s">
        <v>46</v>
      </c>
      <c r="E4273" s="1662">
        <v>56.54</v>
      </c>
    </row>
    <row r="4274" spans="1:5" x14ac:dyDescent="0.2">
      <c r="A4274" s="135">
        <v>42704</v>
      </c>
      <c r="B4274" s="1926" t="s">
        <v>13874</v>
      </c>
      <c r="C4274" s="1926" t="s">
        <v>39</v>
      </c>
      <c r="D4274" s="1926" t="s">
        <v>46</v>
      </c>
      <c r="E4274" s="1662">
        <v>86.8</v>
      </c>
    </row>
    <row r="4275" spans="1:5" x14ac:dyDescent="0.2">
      <c r="A4275" s="135">
        <v>42705</v>
      </c>
      <c r="B4275" s="1926" t="s">
        <v>13875</v>
      </c>
      <c r="C4275" s="1926" t="s">
        <v>39</v>
      </c>
      <c r="D4275" s="1926" t="s">
        <v>46</v>
      </c>
      <c r="E4275" s="1662">
        <v>110.74</v>
      </c>
    </row>
    <row r="4276" spans="1:5" x14ac:dyDescent="0.2">
      <c r="A4276" s="135">
        <v>42706</v>
      </c>
      <c r="B4276" s="1926" t="s">
        <v>13876</v>
      </c>
      <c r="C4276" s="1926" t="s">
        <v>39</v>
      </c>
      <c r="D4276" s="1926" t="s">
        <v>46</v>
      </c>
      <c r="E4276" s="1662">
        <v>137.15</v>
      </c>
    </row>
    <row r="4277" spans="1:5" x14ac:dyDescent="0.2">
      <c r="A4277" s="135">
        <v>11289</v>
      </c>
      <c r="B4277" s="1926" t="s">
        <v>13877</v>
      </c>
      <c r="C4277" s="1926" t="s">
        <v>39</v>
      </c>
      <c r="D4277" s="1926" t="s">
        <v>46</v>
      </c>
      <c r="E4277" s="1662">
        <v>49.77</v>
      </c>
    </row>
    <row r="4278" spans="1:5" x14ac:dyDescent="0.2">
      <c r="A4278" s="135">
        <v>11241</v>
      </c>
      <c r="B4278" s="1926" t="s">
        <v>13878</v>
      </c>
      <c r="C4278" s="1926" t="s">
        <v>39</v>
      </c>
      <c r="D4278" s="1926" t="s">
        <v>46</v>
      </c>
      <c r="E4278" s="1662">
        <v>124.44</v>
      </c>
    </row>
    <row r="4279" spans="1:5" x14ac:dyDescent="0.2">
      <c r="A4279" s="135">
        <v>11301</v>
      </c>
      <c r="B4279" s="1926" t="s">
        <v>13879</v>
      </c>
      <c r="C4279" s="1926" t="s">
        <v>39</v>
      </c>
      <c r="D4279" s="1926" t="s">
        <v>46</v>
      </c>
      <c r="E4279" s="1662">
        <v>315.55</v>
      </c>
    </row>
    <row r="4280" spans="1:5" x14ac:dyDescent="0.2">
      <c r="A4280" s="135">
        <v>21090</v>
      </c>
      <c r="B4280" s="1926" t="s">
        <v>13880</v>
      </c>
      <c r="C4280" s="1926" t="s">
        <v>39</v>
      </c>
      <c r="D4280" s="1926" t="s">
        <v>46</v>
      </c>
      <c r="E4280" s="1662">
        <v>386.67</v>
      </c>
    </row>
    <row r="4281" spans="1:5" x14ac:dyDescent="0.2">
      <c r="A4281" s="135">
        <v>14112</v>
      </c>
      <c r="B4281" s="1926" t="s">
        <v>13881</v>
      </c>
      <c r="C4281" s="1926" t="s">
        <v>39</v>
      </c>
      <c r="D4281" s="1926" t="s">
        <v>46</v>
      </c>
      <c r="E4281" s="1662">
        <v>161.33000000000001</v>
      </c>
    </row>
    <row r="4282" spans="1:5" x14ac:dyDescent="0.2">
      <c r="A4282" s="135">
        <v>11315</v>
      </c>
      <c r="B4282" s="1926" t="s">
        <v>13882</v>
      </c>
      <c r="C4282" s="1926" t="s">
        <v>39</v>
      </c>
      <c r="D4282" s="1926" t="s">
        <v>46</v>
      </c>
      <c r="E4282" s="1662">
        <v>75.55</v>
      </c>
    </row>
    <row r="4283" spans="1:5" x14ac:dyDescent="0.2">
      <c r="A4283" s="135">
        <v>11292</v>
      </c>
      <c r="B4283" s="1926" t="s">
        <v>13883</v>
      </c>
      <c r="C4283" s="1926" t="s">
        <v>39</v>
      </c>
      <c r="D4283" s="1926" t="s">
        <v>46</v>
      </c>
      <c r="E4283" s="1662">
        <v>176.89</v>
      </c>
    </row>
    <row r="4284" spans="1:5" x14ac:dyDescent="0.2">
      <c r="A4284" s="135">
        <v>21071</v>
      </c>
      <c r="B4284" s="1926" t="s">
        <v>13884</v>
      </c>
      <c r="C4284" s="1926" t="s">
        <v>39</v>
      </c>
      <c r="D4284" s="1926" t="s">
        <v>46</v>
      </c>
      <c r="E4284" s="1662">
        <v>115.55</v>
      </c>
    </row>
    <row r="4285" spans="1:5" x14ac:dyDescent="0.2">
      <c r="A4285" s="135">
        <v>11293</v>
      </c>
      <c r="B4285" s="1926" t="s">
        <v>13885</v>
      </c>
      <c r="C4285" s="1926" t="s">
        <v>39</v>
      </c>
      <c r="D4285" s="1926" t="s">
        <v>46</v>
      </c>
      <c r="E4285" s="1662">
        <v>195.55</v>
      </c>
    </row>
    <row r="4286" spans="1:5" x14ac:dyDescent="0.2">
      <c r="A4286" s="135">
        <v>11316</v>
      </c>
      <c r="B4286" s="1926" t="s">
        <v>13886</v>
      </c>
      <c r="C4286" s="1926" t="s">
        <v>39</v>
      </c>
      <c r="D4286" s="1926" t="s">
        <v>46</v>
      </c>
      <c r="E4286" s="1662">
        <v>248.89</v>
      </c>
    </row>
    <row r="4287" spans="1:5" x14ac:dyDescent="0.2">
      <c r="A4287" s="135">
        <v>6243</v>
      </c>
      <c r="B4287" s="1926" t="s">
        <v>13887</v>
      </c>
      <c r="C4287" s="1926" t="s">
        <v>39</v>
      </c>
      <c r="D4287" s="1926" t="s">
        <v>46</v>
      </c>
      <c r="E4287" s="1662">
        <v>286.67</v>
      </c>
    </row>
    <row r="4288" spans="1:5" x14ac:dyDescent="0.2">
      <c r="A4288" s="135">
        <v>21079</v>
      </c>
      <c r="B4288" s="1926" t="s">
        <v>13888</v>
      </c>
      <c r="C4288" s="1926" t="s">
        <v>39</v>
      </c>
      <c r="D4288" s="1926" t="s">
        <v>46</v>
      </c>
      <c r="E4288" s="1662">
        <v>341.78</v>
      </c>
    </row>
    <row r="4289" spans="1:5" x14ac:dyDescent="0.2">
      <c r="A4289" s="135">
        <v>6240</v>
      </c>
      <c r="B4289" s="1926" t="s">
        <v>13889</v>
      </c>
      <c r="C4289" s="1926" t="s">
        <v>39</v>
      </c>
      <c r="D4289" s="1926" t="s">
        <v>46</v>
      </c>
      <c r="E4289" s="1662">
        <v>379.55</v>
      </c>
    </row>
    <row r="4290" spans="1:5" x14ac:dyDescent="0.2">
      <c r="A4290" s="135">
        <v>11296</v>
      </c>
      <c r="B4290" s="1926" t="s">
        <v>13890</v>
      </c>
      <c r="C4290" s="1926" t="s">
        <v>39</v>
      </c>
      <c r="D4290" s="1926" t="s">
        <v>46</v>
      </c>
      <c r="E4290" s="1662">
        <v>1209.3399999999999</v>
      </c>
    </row>
    <row r="4291" spans="1:5" x14ac:dyDescent="0.2">
      <c r="A4291" s="135">
        <v>11299</v>
      </c>
      <c r="B4291" s="1926" t="s">
        <v>13891</v>
      </c>
      <c r="C4291" s="1926" t="s">
        <v>39</v>
      </c>
      <c r="D4291" s="1926" t="s">
        <v>46</v>
      </c>
      <c r="E4291" s="1662">
        <v>409.33</v>
      </c>
    </row>
    <row r="4292" spans="1:5" x14ac:dyDescent="0.2">
      <c r="A4292" s="135">
        <v>11066</v>
      </c>
      <c r="B4292" s="1926" t="s">
        <v>13892</v>
      </c>
      <c r="C4292" s="1926" t="s">
        <v>39</v>
      </c>
      <c r="D4292" s="1926" t="s">
        <v>40</v>
      </c>
      <c r="E4292" s="1662">
        <v>8.4600000000000009</v>
      </c>
    </row>
    <row r="4293" spans="1:5" x14ac:dyDescent="0.2">
      <c r="A4293" s="135">
        <v>11065</v>
      </c>
      <c r="B4293" s="1926" t="s">
        <v>13893</v>
      </c>
      <c r="C4293" s="1926" t="s">
        <v>39</v>
      </c>
      <c r="D4293" s="1926" t="s">
        <v>40</v>
      </c>
      <c r="E4293" s="1662">
        <v>9.6999999999999993</v>
      </c>
    </row>
    <row r="4294" spans="1:5" x14ac:dyDescent="0.2">
      <c r="A4294" s="135">
        <v>11688</v>
      </c>
      <c r="B4294" s="1926" t="s">
        <v>13894</v>
      </c>
      <c r="C4294" s="1926" t="s">
        <v>39</v>
      </c>
      <c r="D4294" s="1926" t="s">
        <v>40</v>
      </c>
      <c r="E4294" s="1662">
        <v>339.02</v>
      </c>
    </row>
    <row r="4295" spans="1:5" x14ac:dyDescent="0.2">
      <c r="A4295" s="135">
        <v>37736</v>
      </c>
      <c r="B4295" s="1926" t="s">
        <v>13895</v>
      </c>
      <c r="C4295" s="1926" t="s">
        <v>39</v>
      </c>
      <c r="D4295" s="1926" t="s">
        <v>46</v>
      </c>
      <c r="E4295" s="1662">
        <v>50000</v>
      </c>
    </row>
    <row r="4296" spans="1:5" x14ac:dyDescent="0.2">
      <c r="A4296" s="135">
        <v>37739</v>
      </c>
      <c r="B4296" s="1926" t="s">
        <v>13896</v>
      </c>
      <c r="C4296" s="1926" t="s">
        <v>39</v>
      </c>
      <c r="D4296" s="1926" t="s">
        <v>46</v>
      </c>
      <c r="E4296" s="1662">
        <v>61538.46</v>
      </c>
    </row>
    <row r="4297" spans="1:5" x14ac:dyDescent="0.2">
      <c r="A4297" s="135">
        <v>37740</v>
      </c>
      <c r="B4297" s="1926" t="s">
        <v>13897</v>
      </c>
      <c r="C4297" s="1926" t="s">
        <v>39</v>
      </c>
      <c r="D4297" s="1926" t="s">
        <v>46</v>
      </c>
      <c r="E4297" s="1662">
        <v>35117.050000000003</v>
      </c>
    </row>
    <row r="4298" spans="1:5" x14ac:dyDescent="0.2">
      <c r="A4298" s="135">
        <v>37738</v>
      </c>
      <c r="B4298" s="1926" t="s">
        <v>13898</v>
      </c>
      <c r="C4298" s="1926" t="s">
        <v>39</v>
      </c>
      <c r="D4298" s="1926" t="s">
        <v>46</v>
      </c>
      <c r="E4298" s="1662">
        <v>41722.410000000003</v>
      </c>
    </row>
    <row r="4299" spans="1:5" x14ac:dyDescent="0.2">
      <c r="A4299" s="135">
        <v>37737</v>
      </c>
      <c r="B4299" s="1926" t="s">
        <v>13899</v>
      </c>
      <c r="C4299" s="1926" t="s">
        <v>39</v>
      </c>
      <c r="D4299" s="1926" t="s">
        <v>46</v>
      </c>
      <c r="E4299" s="1662">
        <v>33193.980000000003</v>
      </c>
    </row>
    <row r="4300" spans="1:5" x14ac:dyDescent="0.2">
      <c r="A4300" s="135">
        <v>25014</v>
      </c>
      <c r="B4300" s="1926" t="s">
        <v>13900</v>
      </c>
      <c r="C4300" s="1926" t="s">
        <v>39</v>
      </c>
      <c r="D4300" s="1926" t="s">
        <v>46</v>
      </c>
      <c r="E4300" s="1662">
        <v>69523.41</v>
      </c>
    </row>
    <row r="4301" spans="1:5" x14ac:dyDescent="0.2">
      <c r="A4301" s="135">
        <v>25013</v>
      </c>
      <c r="B4301" s="1926" t="s">
        <v>13901</v>
      </c>
      <c r="C4301" s="1926" t="s">
        <v>39</v>
      </c>
      <c r="D4301" s="1926" t="s">
        <v>46</v>
      </c>
      <c r="E4301" s="1662">
        <v>72867.89</v>
      </c>
    </row>
    <row r="4302" spans="1:5" x14ac:dyDescent="0.2">
      <c r="A4302" s="135">
        <v>14405</v>
      </c>
      <c r="B4302" s="1926" t="s">
        <v>13902</v>
      </c>
      <c r="C4302" s="1926" t="s">
        <v>39</v>
      </c>
      <c r="D4302" s="1926" t="s">
        <v>46</v>
      </c>
      <c r="E4302" s="1662">
        <v>85535.11</v>
      </c>
    </row>
    <row r="4303" spans="1:5" x14ac:dyDescent="0.2">
      <c r="A4303" s="135">
        <v>36790</v>
      </c>
      <c r="B4303" s="1926" t="s">
        <v>13903</v>
      </c>
      <c r="C4303" s="1926" t="s">
        <v>39</v>
      </c>
      <c r="D4303" s="1926" t="s">
        <v>40</v>
      </c>
      <c r="E4303" s="1662">
        <v>204.63</v>
      </c>
    </row>
    <row r="4304" spans="1:5" x14ac:dyDescent="0.2">
      <c r="A4304" s="135">
        <v>20271</v>
      </c>
      <c r="B4304" s="1926" t="s">
        <v>13904</v>
      </c>
      <c r="C4304" s="1926" t="s">
        <v>39</v>
      </c>
      <c r="D4304" s="1926" t="s">
        <v>40</v>
      </c>
      <c r="E4304" s="1662">
        <v>489.45</v>
      </c>
    </row>
    <row r="4305" spans="1:5" x14ac:dyDescent="0.2">
      <c r="A4305" s="135">
        <v>10423</v>
      </c>
      <c r="B4305" s="1926" t="s">
        <v>13905</v>
      </c>
      <c r="C4305" s="1926" t="s">
        <v>39</v>
      </c>
      <c r="D4305" s="1926" t="s">
        <v>40</v>
      </c>
      <c r="E4305" s="1662">
        <v>303.57</v>
      </c>
    </row>
    <row r="4306" spans="1:5" x14ac:dyDescent="0.2">
      <c r="A4306" s="135">
        <v>37589</v>
      </c>
      <c r="B4306" s="1926" t="s">
        <v>13906</v>
      </c>
      <c r="C4306" s="1926" t="s">
        <v>39</v>
      </c>
      <c r="D4306" s="1926" t="s">
        <v>40</v>
      </c>
      <c r="E4306" s="1662">
        <v>250.72</v>
      </c>
    </row>
    <row r="4307" spans="1:5" x14ac:dyDescent="0.2">
      <c r="A4307" s="135">
        <v>11690</v>
      </c>
      <c r="B4307" s="1926" t="s">
        <v>13907</v>
      </c>
      <c r="C4307" s="1926" t="s">
        <v>39</v>
      </c>
      <c r="D4307" s="1926" t="s">
        <v>40</v>
      </c>
      <c r="E4307" s="1662">
        <v>133.19</v>
      </c>
    </row>
    <row r="4308" spans="1:5" x14ac:dyDescent="0.2">
      <c r="A4308" s="135">
        <v>20234</v>
      </c>
      <c r="B4308" s="1926" t="s">
        <v>13908</v>
      </c>
      <c r="C4308" s="1926" t="s">
        <v>39</v>
      </c>
      <c r="D4308" s="1926" t="s">
        <v>40</v>
      </c>
      <c r="E4308" s="1662">
        <v>168.55</v>
      </c>
    </row>
    <row r="4309" spans="1:5" x14ac:dyDescent="0.2">
      <c r="A4309" s="135">
        <v>4763</v>
      </c>
      <c r="B4309" s="1926" t="s">
        <v>13909</v>
      </c>
      <c r="C4309" s="1926" t="s">
        <v>42</v>
      </c>
      <c r="D4309" s="1926" t="s">
        <v>40</v>
      </c>
      <c r="E4309" s="1662">
        <v>17.34</v>
      </c>
    </row>
    <row r="4310" spans="1:5" x14ac:dyDescent="0.2">
      <c r="A4310" s="135">
        <v>41070</v>
      </c>
      <c r="B4310" s="1926" t="s">
        <v>13910</v>
      </c>
      <c r="C4310" s="1926" t="s">
        <v>51</v>
      </c>
      <c r="D4310" s="1926" t="s">
        <v>40</v>
      </c>
      <c r="E4310" s="1662">
        <v>3093.68</v>
      </c>
    </row>
    <row r="4311" spans="1:5" x14ac:dyDescent="0.2">
      <c r="A4311" s="135">
        <v>14583</v>
      </c>
      <c r="B4311" s="1926" t="s">
        <v>13911</v>
      </c>
      <c r="C4311" s="1926" t="s">
        <v>44</v>
      </c>
      <c r="D4311" s="1926" t="s">
        <v>40</v>
      </c>
      <c r="E4311" s="1662">
        <v>11.54</v>
      </c>
    </row>
    <row r="4312" spans="1:5" x14ac:dyDescent="0.2">
      <c r="A4312" s="135">
        <v>11457</v>
      </c>
      <c r="B4312" s="1926" t="s">
        <v>13912</v>
      </c>
      <c r="C4312" s="1926" t="s">
        <v>39</v>
      </c>
      <c r="D4312" s="1926" t="s">
        <v>40</v>
      </c>
      <c r="E4312" s="1662">
        <v>23.48</v>
      </c>
    </row>
    <row r="4313" spans="1:5" x14ac:dyDescent="0.2">
      <c r="A4313" s="135">
        <v>21121</v>
      </c>
      <c r="B4313" s="1926" t="s">
        <v>13913</v>
      </c>
      <c r="C4313" s="1926" t="s">
        <v>39</v>
      </c>
      <c r="D4313" s="1926" t="s">
        <v>40</v>
      </c>
      <c r="E4313" s="1662">
        <v>1.67</v>
      </c>
    </row>
    <row r="4314" spans="1:5" x14ac:dyDescent="0.2">
      <c r="A4314" s="135">
        <v>38010</v>
      </c>
      <c r="B4314" s="1926" t="s">
        <v>13914</v>
      </c>
      <c r="C4314" s="1926" t="s">
        <v>39</v>
      </c>
      <c r="D4314" s="1926" t="s">
        <v>40</v>
      </c>
      <c r="E4314" s="1662">
        <v>2.74</v>
      </c>
    </row>
    <row r="4315" spans="1:5" x14ac:dyDescent="0.2">
      <c r="A4315" s="135">
        <v>38011</v>
      </c>
      <c r="B4315" s="1926" t="s">
        <v>13915</v>
      </c>
      <c r="C4315" s="1926" t="s">
        <v>39</v>
      </c>
      <c r="D4315" s="1926" t="s">
        <v>40</v>
      </c>
      <c r="E4315" s="1662">
        <v>5.0599999999999996</v>
      </c>
    </row>
    <row r="4316" spans="1:5" x14ac:dyDescent="0.2">
      <c r="A4316" s="135">
        <v>38012</v>
      </c>
      <c r="B4316" s="1926" t="s">
        <v>13916</v>
      </c>
      <c r="C4316" s="1926" t="s">
        <v>39</v>
      </c>
      <c r="D4316" s="1926" t="s">
        <v>40</v>
      </c>
      <c r="E4316" s="1662">
        <v>17.3</v>
      </c>
    </row>
    <row r="4317" spans="1:5" x14ac:dyDescent="0.2">
      <c r="A4317" s="135">
        <v>38013</v>
      </c>
      <c r="B4317" s="1926" t="s">
        <v>13917</v>
      </c>
      <c r="C4317" s="1926" t="s">
        <v>39</v>
      </c>
      <c r="D4317" s="1926" t="s">
        <v>40</v>
      </c>
      <c r="E4317" s="1662">
        <v>22.46</v>
      </c>
    </row>
    <row r="4318" spans="1:5" x14ac:dyDescent="0.2">
      <c r="A4318" s="135">
        <v>38014</v>
      </c>
      <c r="B4318" s="1926" t="s">
        <v>13918</v>
      </c>
      <c r="C4318" s="1926" t="s">
        <v>39</v>
      </c>
      <c r="D4318" s="1926" t="s">
        <v>40</v>
      </c>
      <c r="E4318" s="1662">
        <v>36.549999999999997</v>
      </c>
    </row>
    <row r="4319" spans="1:5" x14ac:dyDescent="0.2">
      <c r="A4319" s="135">
        <v>38015</v>
      </c>
      <c r="B4319" s="1926" t="s">
        <v>13919</v>
      </c>
      <c r="C4319" s="1926" t="s">
        <v>39</v>
      </c>
      <c r="D4319" s="1926" t="s">
        <v>40</v>
      </c>
      <c r="E4319" s="1662">
        <v>88.27</v>
      </c>
    </row>
    <row r="4320" spans="1:5" x14ac:dyDescent="0.2">
      <c r="A4320" s="135">
        <v>38016</v>
      </c>
      <c r="B4320" s="1926" t="s">
        <v>13920</v>
      </c>
      <c r="C4320" s="1926" t="s">
        <v>39</v>
      </c>
      <c r="D4320" s="1926" t="s">
        <v>40</v>
      </c>
      <c r="E4320" s="1662">
        <v>107.41</v>
      </c>
    </row>
    <row r="4321" spans="1:5" x14ac:dyDescent="0.2">
      <c r="A4321" s="135">
        <v>12741</v>
      </c>
      <c r="B4321" s="1926" t="s">
        <v>13921</v>
      </c>
      <c r="C4321" s="1926" t="s">
        <v>39</v>
      </c>
      <c r="D4321" s="1926" t="s">
        <v>46</v>
      </c>
      <c r="E4321" s="1662">
        <v>880.28</v>
      </c>
    </row>
    <row r="4322" spans="1:5" x14ac:dyDescent="0.2">
      <c r="A4322" s="135">
        <v>12733</v>
      </c>
      <c r="B4322" s="1926" t="s">
        <v>13922</v>
      </c>
      <c r="C4322" s="1926" t="s">
        <v>39</v>
      </c>
      <c r="D4322" s="1926" t="s">
        <v>46</v>
      </c>
      <c r="E4322" s="1662">
        <v>4.43</v>
      </c>
    </row>
    <row r="4323" spans="1:5" x14ac:dyDescent="0.2">
      <c r="A4323" s="135">
        <v>12734</v>
      </c>
      <c r="B4323" s="1926" t="s">
        <v>13923</v>
      </c>
      <c r="C4323" s="1926" t="s">
        <v>39</v>
      </c>
      <c r="D4323" s="1926" t="s">
        <v>46</v>
      </c>
      <c r="E4323" s="1662">
        <v>9.44</v>
      </c>
    </row>
    <row r="4324" spans="1:5" x14ac:dyDescent="0.2">
      <c r="A4324" s="135">
        <v>12735</v>
      </c>
      <c r="B4324" s="1926" t="s">
        <v>13924</v>
      </c>
      <c r="C4324" s="1926" t="s">
        <v>39</v>
      </c>
      <c r="D4324" s="1926" t="s">
        <v>46</v>
      </c>
      <c r="E4324" s="1662">
        <v>15.53</v>
      </c>
    </row>
    <row r="4325" spans="1:5" x14ac:dyDescent="0.2">
      <c r="A4325" s="135">
        <v>12736</v>
      </c>
      <c r="B4325" s="1926" t="s">
        <v>13925</v>
      </c>
      <c r="C4325" s="1926" t="s">
        <v>39</v>
      </c>
      <c r="D4325" s="1926" t="s">
        <v>46</v>
      </c>
      <c r="E4325" s="1662">
        <v>35.5</v>
      </c>
    </row>
    <row r="4326" spans="1:5" x14ac:dyDescent="0.2">
      <c r="A4326" s="135">
        <v>12737</v>
      </c>
      <c r="B4326" s="1926" t="s">
        <v>13926</v>
      </c>
      <c r="C4326" s="1926" t="s">
        <v>39</v>
      </c>
      <c r="D4326" s="1926" t="s">
        <v>46</v>
      </c>
      <c r="E4326" s="1662">
        <v>45.74</v>
      </c>
    </row>
    <row r="4327" spans="1:5" x14ac:dyDescent="0.2">
      <c r="A4327" s="135">
        <v>12738</v>
      </c>
      <c r="B4327" s="1926" t="s">
        <v>13927</v>
      </c>
      <c r="C4327" s="1926" t="s">
        <v>39</v>
      </c>
      <c r="D4327" s="1926" t="s">
        <v>46</v>
      </c>
      <c r="E4327" s="1662">
        <v>90.4</v>
      </c>
    </row>
    <row r="4328" spans="1:5" x14ac:dyDescent="0.2">
      <c r="A4328" s="135">
        <v>12739</v>
      </c>
      <c r="B4328" s="1926" t="s">
        <v>13928</v>
      </c>
      <c r="C4328" s="1926" t="s">
        <v>39</v>
      </c>
      <c r="D4328" s="1926" t="s">
        <v>46</v>
      </c>
      <c r="E4328" s="1662">
        <v>257.33</v>
      </c>
    </row>
    <row r="4329" spans="1:5" x14ac:dyDescent="0.2">
      <c r="A4329" s="135">
        <v>12740</v>
      </c>
      <c r="B4329" s="1926" t="s">
        <v>13929</v>
      </c>
      <c r="C4329" s="1926" t="s">
        <v>39</v>
      </c>
      <c r="D4329" s="1926" t="s">
        <v>46</v>
      </c>
      <c r="E4329" s="1662">
        <v>402.6</v>
      </c>
    </row>
    <row r="4330" spans="1:5" x14ac:dyDescent="0.2">
      <c r="A4330" s="135">
        <v>6297</v>
      </c>
      <c r="B4330" s="1926" t="s">
        <v>13930</v>
      </c>
      <c r="C4330" s="1926" t="s">
        <v>39</v>
      </c>
      <c r="D4330" s="1926" t="s">
        <v>40</v>
      </c>
      <c r="E4330" s="1662">
        <v>23.27</v>
      </c>
    </row>
    <row r="4331" spans="1:5" x14ac:dyDescent="0.2">
      <c r="A4331" s="135">
        <v>6296</v>
      </c>
      <c r="B4331" s="1926" t="s">
        <v>13931</v>
      </c>
      <c r="C4331" s="1926" t="s">
        <v>39</v>
      </c>
      <c r="D4331" s="1926" t="s">
        <v>40</v>
      </c>
      <c r="E4331" s="1662">
        <v>18.37</v>
      </c>
    </row>
    <row r="4332" spans="1:5" x14ac:dyDescent="0.2">
      <c r="A4332" s="135">
        <v>6294</v>
      </c>
      <c r="B4332" s="1926" t="s">
        <v>13932</v>
      </c>
      <c r="C4332" s="1926" t="s">
        <v>39</v>
      </c>
      <c r="D4332" s="1926" t="s">
        <v>40</v>
      </c>
      <c r="E4332" s="1662">
        <v>5.23</v>
      </c>
    </row>
    <row r="4333" spans="1:5" x14ac:dyDescent="0.2">
      <c r="A4333" s="135">
        <v>6323</v>
      </c>
      <c r="B4333" s="1926" t="s">
        <v>13933</v>
      </c>
      <c r="C4333" s="1926" t="s">
        <v>39</v>
      </c>
      <c r="D4333" s="1926" t="s">
        <v>40</v>
      </c>
      <c r="E4333" s="1662">
        <v>12</v>
      </c>
    </row>
    <row r="4334" spans="1:5" x14ac:dyDescent="0.2">
      <c r="A4334" s="135">
        <v>6299</v>
      </c>
      <c r="B4334" s="1926" t="s">
        <v>13934</v>
      </c>
      <c r="C4334" s="1926" t="s">
        <v>39</v>
      </c>
      <c r="D4334" s="1926" t="s">
        <v>40</v>
      </c>
      <c r="E4334" s="1662">
        <v>69.989999999999995</v>
      </c>
    </row>
    <row r="4335" spans="1:5" x14ac:dyDescent="0.2">
      <c r="A4335" s="135">
        <v>6298</v>
      </c>
      <c r="B4335" s="1926" t="s">
        <v>13935</v>
      </c>
      <c r="C4335" s="1926" t="s">
        <v>39</v>
      </c>
      <c r="D4335" s="1926" t="s">
        <v>40</v>
      </c>
      <c r="E4335" s="1662">
        <v>36.86</v>
      </c>
    </row>
    <row r="4336" spans="1:5" x14ac:dyDescent="0.2">
      <c r="A4336" s="135">
        <v>6295</v>
      </c>
      <c r="B4336" s="1926" t="s">
        <v>13936</v>
      </c>
      <c r="C4336" s="1926" t="s">
        <v>39</v>
      </c>
      <c r="D4336" s="1926" t="s">
        <v>40</v>
      </c>
      <c r="E4336" s="1662">
        <v>7.45</v>
      </c>
    </row>
    <row r="4337" spans="1:5" x14ac:dyDescent="0.2">
      <c r="A4337" s="135">
        <v>6322</v>
      </c>
      <c r="B4337" s="1926" t="s">
        <v>13937</v>
      </c>
      <c r="C4337" s="1926" t="s">
        <v>39</v>
      </c>
      <c r="D4337" s="1926" t="s">
        <v>40</v>
      </c>
      <c r="E4337" s="1662">
        <v>93.74</v>
      </c>
    </row>
    <row r="4338" spans="1:5" x14ac:dyDescent="0.2">
      <c r="A4338" s="135">
        <v>6300</v>
      </c>
      <c r="B4338" s="1926" t="s">
        <v>13938</v>
      </c>
      <c r="C4338" s="1926" t="s">
        <v>39</v>
      </c>
      <c r="D4338" s="1926" t="s">
        <v>40</v>
      </c>
      <c r="E4338" s="1662">
        <v>172.83</v>
      </c>
    </row>
    <row r="4339" spans="1:5" x14ac:dyDescent="0.2">
      <c r="A4339" s="135">
        <v>6321</v>
      </c>
      <c r="B4339" s="1926" t="s">
        <v>13939</v>
      </c>
      <c r="C4339" s="1926" t="s">
        <v>39</v>
      </c>
      <c r="D4339" s="1926" t="s">
        <v>40</v>
      </c>
      <c r="E4339" s="1662">
        <v>246.88</v>
      </c>
    </row>
    <row r="4340" spans="1:5" x14ac:dyDescent="0.2">
      <c r="A4340" s="135">
        <v>6301</v>
      </c>
      <c r="B4340" s="1926" t="s">
        <v>13940</v>
      </c>
      <c r="C4340" s="1926" t="s">
        <v>39</v>
      </c>
      <c r="D4340" s="1926" t="s">
        <v>40</v>
      </c>
      <c r="E4340" s="1662">
        <v>578.66999999999996</v>
      </c>
    </row>
    <row r="4341" spans="1:5" x14ac:dyDescent="0.2">
      <c r="A4341" s="135">
        <v>7105</v>
      </c>
      <c r="B4341" s="1926" t="s">
        <v>13941</v>
      </c>
      <c r="C4341" s="1926" t="s">
        <v>39</v>
      </c>
      <c r="D4341" s="1926" t="s">
        <v>40</v>
      </c>
      <c r="E4341" s="1662">
        <v>26.14</v>
      </c>
    </row>
    <row r="4342" spans="1:5" x14ac:dyDescent="0.2">
      <c r="A4342" s="135">
        <v>20183</v>
      </c>
      <c r="B4342" s="1926" t="s">
        <v>13942</v>
      </c>
      <c r="C4342" s="1926" t="s">
        <v>39</v>
      </c>
      <c r="D4342" s="1926" t="s">
        <v>40</v>
      </c>
      <c r="E4342" s="1662">
        <v>34.409999999999997</v>
      </c>
    </row>
    <row r="4343" spans="1:5" x14ac:dyDescent="0.2">
      <c r="A4343" s="135">
        <v>38448</v>
      </c>
      <c r="B4343" s="1926" t="s">
        <v>13943</v>
      </c>
      <c r="C4343" s="1926" t="s">
        <v>39</v>
      </c>
      <c r="D4343" s="1926" t="s">
        <v>40</v>
      </c>
      <c r="E4343" s="1662">
        <v>161.69999999999999</v>
      </c>
    </row>
    <row r="4344" spans="1:5" x14ac:dyDescent="0.2">
      <c r="A4344" s="135">
        <v>20182</v>
      </c>
      <c r="B4344" s="1926" t="s">
        <v>13944</v>
      </c>
      <c r="C4344" s="1926" t="s">
        <v>39</v>
      </c>
      <c r="D4344" s="1926" t="s">
        <v>40</v>
      </c>
      <c r="E4344" s="1662">
        <v>19.64</v>
      </c>
    </row>
    <row r="4345" spans="1:5" x14ac:dyDescent="0.2">
      <c r="A4345" s="135">
        <v>7119</v>
      </c>
      <c r="B4345" s="1926" t="s">
        <v>13945</v>
      </c>
      <c r="C4345" s="1926" t="s">
        <v>39</v>
      </c>
      <c r="D4345" s="1926" t="s">
        <v>40</v>
      </c>
      <c r="E4345" s="1662">
        <v>7.22</v>
      </c>
    </row>
    <row r="4346" spans="1:5" x14ac:dyDescent="0.2">
      <c r="A4346" s="135">
        <v>7120</v>
      </c>
      <c r="B4346" s="1926" t="s">
        <v>13946</v>
      </c>
      <c r="C4346" s="1926" t="s">
        <v>39</v>
      </c>
      <c r="D4346" s="1926" t="s">
        <v>40</v>
      </c>
      <c r="E4346" s="1662">
        <v>4.95</v>
      </c>
    </row>
    <row r="4347" spans="1:5" x14ac:dyDescent="0.2">
      <c r="A4347" s="135">
        <v>6319</v>
      </c>
      <c r="B4347" s="1926" t="s">
        <v>13947</v>
      </c>
      <c r="C4347" s="1926" t="s">
        <v>39</v>
      </c>
      <c r="D4347" s="1926" t="s">
        <v>40</v>
      </c>
      <c r="E4347" s="1662">
        <v>27.34</v>
      </c>
    </row>
    <row r="4348" spans="1:5" x14ac:dyDescent="0.2">
      <c r="A4348" s="135">
        <v>6304</v>
      </c>
      <c r="B4348" s="1926" t="s">
        <v>13948</v>
      </c>
      <c r="C4348" s="1926" t="s">
        <v>39</v>
      </c>
      <c r="D4348" s="1926" t="s">
        <v>40</v>
      </c>
      <c r="E4348" s="1662">
        <v>27.34</v>
      </c>
    </row>
    <row r="4349" spans="1:5" x14ac:dyDescent="0.2">
      <c r="A4349" s="135">
        <v>21116</v>
      </c>
      <c r="B4349" s="1926" t="s">
        <v>13949</v>
      </c>
      <c r="C4349" s="1926" t="s">
        <v>39</v>
      </c>
      <c r="D4349" s="1926" t="s">
        <v>40</v>
      </c>
      <c r="E4349" s="1662">
        <v>20.7</v>
      </c>
    </row>
    <row r="4350" spans="1:5" x14ac:dyDescent="0.2">
      <c r="A4350" s="135">
        <v>6320</v>
      </c>
      <c r="B4350" s="1926" t="s">
        <v>13950</v>
      </c>
      <c r="C4350" s="1926" t="s">
        <v>39</v>
      </c>
      <c r="D4350" s="1926" t="s">
        <v>40</v>
      </c>
      <c r="E4350" s="1662">
        <v>14.08</v>
      </c>
    </row>
    <row r="4351" spans="1:5" x14ac:dyDescent="0.2">
      <c r="A4351" s="135">
        <v>6303</v>
      </c>
      <c r="B4351" s="1926" t="s">
        <v>13951</v>
      </c>
      <c r="C4351" s="1926" t="s">
        <v>39</v>
      </c>
      <c r="D4351" s="1926" t="s">
        <v>40</v>
      </c>
      <c r="E4351" s="1662">
        <v>14.08</v>
      </c>
    </row>
    <row r="4352" spans="1:5" x14ac:dyDescent="0.2">
      <c r="A4352" s="135">
        <v>6308</v>
      </c>
      <c r="B4352" s="1926" t="s">
        <v>13952</v>
      </c>
      <c r="C4352" s="1926" t="s">
        <v>39</v>
      </c>
      <c r="D4352" s="1926" t="s">
        <v>40</v>
      </c>
      <c r="E4352" s="1662">
        <v>75.650000000000006</v>
      </c>
    </row>
    <row r="4353" spans="1:5" x14ac:dyDescent="0.2">
      <c r="A4353" s="135">
        <v>6317</v>
      </c>
      <c r="B4353" s="1926" t="s">
        <v>13953</v>
      </c>
      <c r="C4353" s="1926" t="s">
        <v>39</v>
      </c>
      <c r="D4353" s="1926" t="s">
        <v>40</v>
      </c>
      <c r="E4353" s="1662">
        <v>75.650000000000006</v>
      </c>
    </row>
    <row r="4354" spans="1:5" x14ac:dyDescent="0.2">
      <c r="A4354" s="135">
        <v>6307</v>
      </c>
      <c r="B4354" s="1926" t="s">
        <v>13954</v>
      </c>
      <c r="C4354" s="1926" t="s">
        <v>39</v>
      </c>
      <c r="D4354" s="1926" t="s">
        <v>40</v>
      </c>
      <c r="E4354" s="1662">
        <v>75.650000000000006</v>
      </c>
    </row>
    <row r="4355" spans="1:5" x14ac:dyDescent="0.2">
      <c r="A4355" s="135">
        <v>6309</v>
      </c>
      <c r="B4355" s="1926" t="s">
        <v>13955</v>
      </c>
      <c r="C4355" s="1926" t="s">
        <v>39</v>
      </c>
      <c r="D4355" s="1926" t="s">
        <v>40</v>
      </c>
      <c r="E4355" s="1662">
        <v>77.849999999999994</v>
      </c>
    </row>
    <row r="4356" spans="1:5" x14ac:dyDescent="0.2">
      <c r="A4356" s="135">
        <v>6318</v>
      </c>
      <c r="B4356" s="1926" t="s">
        <v>13956</v>
      </c>
      <c r="C4356" s="1926" t="s">
        <v>39</v>
      </c>
      <c r="D4356" s="1926" t="s">
        <v>40</v>
      </c>
      <c r="E4356" s="1662">
        <v>40.81</v>
      </c>
    </row>
    <row r="4357" spans="1:5" x14ac:dyDescent="0.2">
      <c r="A4357" s="135">
        <v>6306</v>
      </c>
      <c r="B4357" s="1926" t="s">
        <v>13957</v>
      </c>
      <c r="C4357" s="1926" t="s">
        <v>39</v>
      </c>
      <c r="D4357" s="1926" t="s">
        <v>40</v>
      </c>
      <c r="E4357" s="1662">
        <v>40.81</v>
      </c>
    </row>
    <row r="4358" spans="1:5" x14ac:dyDescent="0.2">
      <c r="A4358" s="135">
        <v>6305</v>
      </c>
      <c r="B4358" s="1926" t="s">
        <v>13958</v>
      </c>
      <c r="C4358" s="1926" t="s">
        <v>39</v>
      </c>
      <c r="D4358" s="1926" t="s">
        <v>40</v>
      </c>
      <c r="E4358" s="1662">
        <v>40.81</v>
      </c>
    </row>
    <row r="4359" spans="1:5" x14ac:dyDescent="0.2">
      <c r="A4359" s="135">
        <v>6302</v>
      </c>
      <c r="B4359" s="1926" t="s">
        <v>13959</v>
      </c>
      <c r="C4359" s="1926" t="s">
        <v>39</v>
      </c>
      <c r="D4359" s="1926" t="s">
        <v>40</v>
      </c>
      <c r="E4359" s="1662">
        <v>8.65</v>
      </c>
    </row>
    <row r="4360" spans="1:5" x14ac:dyDescent="0.2">
      <c r="A4360" s="135">
        <v>6312</v>
      </c>
      <c r="B4360" s="1926" t="s">
        <v>13960</v>
      </c>
      <c r="C4360" s="1926" t="s">
        <v>39</v>
      </c>
      <c r="D4360" s="1926" t="s">
        <v>40</v>
      </c>
      <c r="E4360" s="1662">
        <v>108.82</v>
      </c>
    </row>
    <row r="4361" spans="1:5" x14ac:dyDescent="0.2">
      <c r="A4361" s="135">
        <v>6311</v>
      </c>
      <c r="B4361" s="1926" t="s">
        <v>13961</v>
      </c>
      <c r="C4361" s="1926" t="s">
        <v>39</v>
      </c>
      <c r="D4361" s="1926" t="s">
        <v>40</v>
      </c>
      <c r="E4361" s="1662">
        <v>108.82</v>
      </c>
    </row>
    <row r="4362" spans="1:5" x14ac:dyDescent="0.2">
      <c r="A4362" s="135">
        <v>6310</v>
      </c>
      <c r="B4362" s="1926" t="s">
        <v>13962</v>
      </c>
      <c r="C4362" s="1926" t="s">
        <v>39</v>
      </c>
      <c r="D4362" s="1926" t="s">
        <v>40</v>
      </c>
      <c r="E4362" s="1662">
        <v>108.82</v>
      </c>
    </row>
    <row r="4363" spans="1:5" x14ac:dyDescent="0.2">
      <c r="A4363" s="135">
        <v>6314</v>
      </c>
      <c r="B4363" s="1926" t="s">
        <v>13963</v>
      </c>
      <c r="C4363" s="1926" t="s">
        <v>39</v>
      </c>
      <c r="D4363" s="1926" t="s">
        <v>40</v>
      </c>
      <c r="E4363" s="1662">
        <v>108.82</v>
      </c>
    </row>
    <row r="4364" spans="1:5" x14ac:dyDescent="0.2">
      <c r="A4364" s="135">
        <v>6313</v>
      </c>
      <c r="B4364" s="1926" t="s">
        <v>13964</v>
      </c>
      <c r="C4364" s="1926" t="s">
        <v>39</v>
      </c>
      <c r="D4364" s="1926" t="s">
        <v>40</v>
      </c>
      <c r="E4364" s="1662">
        <v>108.82</v>
      </c>
    </row>
    <row r="4365" spans="1:5" x14ac:dyDescent="0.2">
      <c r="A4365" s="135">
        <v>6315</v>
      </c>
      <c r="B4365" s="1926" t="s">
        <v>13965</v>
      </c>
      <c r="C4365" s="1926" t="s">
        <v>39</v>
      </c>
      <c r="D4365" s="1926" t="s">
        <v>40</v>
      </c>
      <c r="E4365" s="1662">
        <v>206.04</v>
      </c>
    </row>
    <row r="4366" spans="1:5" x14ac:dyDescent="0.2">
      <c r="A4366" s="135">
        <v>6316</v>
      </c>
      <c r="B4366" s="1926" t="s">
        <v>13966</v>
      </c>
      <c r="C4366" s="1926" t="s">
        <v>39</v>
      </c>
      <c r="D4366" s="1926" t="s">
        <v>40</v>
      </c>
      <c r="E4366" s="1662">
        <v>206.04</v>
      </c>
    </row>
    <row r="4367" spans="1:5" x14ac:dyDescent="0.2">
      <c r="A4367" s="135">
        <v>38878</v>
      </c>
      <c r="B4367" s="1926" t="s">
        <v>13967</v>
      </c>
      <c r="C4367" s="1926" t="s">
        <v>39</v>
      </c>
      <c r="D4367" s="1926" t="s">
        <v>46</v>
      </c>
      <c r="E4367" s="1662">
        <v>13.09</v>
      </c>
    </row>
    <row r="4368" spans="1:5" x14ac:dyDescent="0.2">
      <c r="A4368" s="135">
        <v>38879</v>
      </c>
      <c r="B4368" s="1926" t="s">
        <v>13968</v>
      </c>
      <c r="C4368" s="1926" t="s">
        <v>39</v>
      </c>
      <c r="D4368" s="1926" t="s">
        <v>46</v>
      </c>
      <c r="E4368" s="1662">
        <v>24.54</v>
      </c>
    </row>
    <row r="4369" spans="1:5" x14ac:dyDescent="0.2">
      <c r="A4369" s="135">
        <v>38881</v>
      </c>
      <c r="B4369" s="1926" t="s">
        <v>13969</v>
      </c>
      <c r="C4369" s="1926" t="s">
        <v>39</v>
      </c>
      <c r="D4369" s="1926" t="s">
        <v>46</v>
      </c>
      <c r="E4369" s="1662">
        <v>12.84</v>
      </c>
    </row>
    <row r="4370" spans="1:5" x14ac:dyDescent="0.2">
      <c r="A4370" s="135">
        <v>38880</v>
      </c>
      <c r="B4370" s="1926" t="s">
        <v>13970</v>
      </c>
      <c r="C4370" s="1926" t="s">
        <v>39</v>
      </c>
      <c r="D4370" s="1926" t="s">
        <v>46</v>
      </c>
      <c r="E4370" s="1662">
        <v>13.46</v>
      </c>
    </row>
    <row r="4371" spans="1:5" x14ac:dyDescent="0.2">
      <c r="A4371" s="135">
        <v>38882</v>
      </c>
      <c r="B4371" s="1926" t="s">
        <v>13971</v>
      </c>
      <c r="C4371" s="1926" t="s">
        <v>39</v>
      </c>
      <c r="D4371" s="1926" t="s">
        <v>46</v>
      </c>
      <c r="E4371" s="1662">
        <v>13.94</v>
      </c>
    </row>
    <row r="4372" spans="1:5" x14ac:dyDescent="0.2">
      <c r="A4372" s="135">
        <v>38883</v>
      </c>
      <c r="B4372" s="1926" t="s">
        <v>13972</v>
      </c>
      <c r="C4372" s="1926" t="s">
        <v>39</v>
      </c>
      <c r="D4372" s="1926" t="s">
        <v>46</v>
      </c>
      <c r="E4372" s="1662">
        <v>20.61</v>
      </c>
    </row>
    <row r="4373" spans="1:5" x14ac:dyDescent="0.2">
      <c r="A4373" s="135">
        <v>38884</v>
      </c>
      <c r="B4373" s="1926" t="s">
        <v>13973</v>
      </c>
      <c r="C4373" s="1926" t="s">
        <v>39</v>
      </c>
      <c r="D4373" s="1926" t="s">
        <v>46</v>
      </c>
      <c r="E4373" s="1662">
        <v>22.38</v>
      </c>
    </row>
    <row r="4374" spans="1:5" x14ac:dyDescent="0.2">
      <c r="A4374" s="135">
        <v>38885</v>
      </c>
      <c r="B4374" s="1926" t="s">
        <v>13974</v>
      </c>
      <c r="C4374" s="1926" t="s">
        <v>39</v>
      </c>
      <c r="D4374" s="1926" t="s">
        <v>46</v>
      </c>
      <c r="E4374" s="1662">
        <v>21.65</v>
      </c>
    </row>
    <row r="4375" spans="1:5" x14ac:dyDescent="0.2">
      <c r="A4375" s="135">
        <v>38886</v>
      </c>
      <c r="B4375" s="1926" t="s">
        <v>13975</v>
      </c>
      <c r="C4375" s="1926" t="s">
        <v>39</v>
      </c>
      <c r="D4375" s="1926" t="s">
        <v>46</v>
      </c>
      <c r="E4375" s="1662">
        <v>23.36</v>
      </c>
    </row>
    <row r="4376" spans="1:5" x14ac:dyDescent="0.2">
      <c r="A4376" s="135">
        <v>38887</v>
      </c>
      <c r="B4376" s="1926" t="s">
        <v>13976</v>
      </c>
      <c r="C4376" s="1926" t="s">
        <v>39</v>
      </c>
      <c r="D4376" s="1926" t="s">
        <v>46</v>
      </c>
      <c r="E4376" s="1662">
        <v>20.98</v>
      </c>
    </row>
    <row r="4377" spans="1:5" x14ac:dyDescent="0.2">
      <c r="A4377" s="135">
        <v>38888</v>
      </c>
      <c r="B4377" s="1926" t="s">
        <v>13977</v>
      </c>
      <c r="C4377" s="1926" t="s">
        <v>39</v>
      </c>
      <c r="D4377" s="1926" t="s">
        <v>46</v>
      </c>
      <c r="E4377" s="1662">
        <v>24.95</v>
      </c>
    </row>
    <row r="4378" spans="1:5" x14ac:dyDescent="0.2">
      <c r="A4378" s="135">
        <v>38890</v>
      </c>
      <c r="B4378" s="1926" t="s">
        <v>13978</v>
      </c>
      <c r="C4378" s="1926" t="s">
        <v>39</v>
      </c>
      <c r="D4378" s="1926" t="s">
        <v>46</v>
      </c>
      <c r="E4378" s="1662">
        <v>37.08</v>
      </c>
    </row>
    <row r="4379" spans="1:5" x14ac:dyDescent="0.2">
      <c r="A4379" s="135">
        <v>38893</v>
      </c>
      <c r="B4379" s="1926" t="s">
        <v>13979</v>
      </c>
      <c r="C4379" s="1926" t="s">
        <v>39</v>
      </c>
      <c r="D4379" s="1926" t="s">
        <v>46</v>
      </c>
      <c r="E4379" s="1662">
        <v>29.82</v>
      </c>
    </row>
    <row r="4380" spans="1:5" x14ac:dyDescent="0.2">
      <c r="A4380" s="135">
        <v>38894</v>
      </c>
      <c r="B4380" s="1926" t="s">
        <v>13980</v>
      </c>
      <c r="C4380" s="1926" t="s">
        <v>39</v>
      </c>
      <c r="D4380" s="1926" t="s">
        <v>46</v>
      </c>
      <c r="E4380" s="1662">
        <v>37.869999999999997</v>
      </c>
    </row>
    <row r="4381" spans="1:5" x14ac:dyDescent="0.2">
      <c r="A4381" s="135">
        <v>38896</v>
      </c>
      <c r="B4381" s="1926" t="s">
        <v>13981</v>
      </c>
      <c r="C4381" s="1926" t="s">
        <v>39</v>
      </c>
      <c r="D4381" s="1926" t="s">
        <v>46</v>
      </c>
      <c r="E4381" s="1662">
        <v>38.619999999999997</v>
      </c>
    </row>
    <row r="4382" spans="1:5" x14ac:dyDescent="0.2">
      <c r="A4382" s="135">
        <v>39324</v>
      </c>
      <c r="B4382" s="1926" t="s">
        <v>13982</v>
      </c>
      <c r="C4382" s="1926" t="s">
        <v>39</v>
      </c>
      <c r="D4382" s="1926" t="s">
        <v>40</v>
      </c>
      <c r="E4382" s="1662">
        <v>3.72</v>
      </c>
    </row>
    <row r="4383" spans="1:5" x14ac:dyDescent="0.2">
      <c r="A4383" s="135">
        <v>39325</v>
      </c>
      <c r="B4383" s="1926" t="s">
        <v>13983</v>
      </c>
      <c r="C4383" s="1926" t="s">
        <v>39</v>
      </c>
      <c r="D4383" s="1926" t="s">
        <v>40</v>
      </c>
      <c r="E4383" s="1662">
        <v>5.63</v>
      </c>
    </row>
    <row r="4384" spans="1:5" x14ac:dyDescent="0.2">
      <c r="A4384" s="135">
        <v>39326</v>
      </c>
      <c r="B4384" s="1926" t="s">
        <v>13984</v>
      </c>
      <c r="C4384" s="1926" t="s">
        <v>39</v>
      </c>
      <c r="D4384" s="1926" t="s">
        <v>40</v>
      </c>
      <c r="E4384" s="1662">
        <v>14.5</v>
      </c>
    </row>
    <row r="4385" spans="1:5" x14ac:dyDescent="0.2">
      <c r="A4385" s="135">
        <v>39327</v>
      </c>
      <c r="B4385" s="1926" t="s">
        <v>13985</v>
      </c>
      <c r="C4385" s="1926" t="s">
        <v>39</v>
      </c>
      <c r="D4385" s="1926" t="s">
        <v>40</v>
      </c>
      <c r="E4385" s="1662">
        <v>21.96</v>
      </c>
    </row>
    <row r="4386" spans="1:5" x14ac:dyDescent="0.2">
      <c r="A4386" s="135">
        <v>20176</v>
      </c>
      <c r="B4386" s="1926" t="s">
        <v>13986</v>
      </c>
      <c r="C4386" s="1926" t="s">
        <v>39</v>
      </c>
      <c r="D4386" s="1926" t="s">
        <v>40</v>
      </c>
      <c r="E4386" s="1662">
        <v>29.65</v>
      </c>
    </row>
    <row r="4387" spans="1:5" x14ac:dyDescent="0.2">
      <c r="A4387" s="135">
        <v>11378</v>
      </c>
      <c r="B4387" s="1926" t="s">
        <v>13987</v>
      </c>
      <c r="C4387" s="1926" t="s">
        <v>39</v>
      </c>
      <c r="D4387" s="1926" t="s">
        <v>46</v>
      </c>
      <c r="E4387" s="1662">
        <v>67.59</v>
      </c>
    </row>
    <row r="4388" spans="1:5" x14ac:dyDescent="0.2">
      <c r="A4388" s="135">
        <v>11379</v>
      </c>
      <c r="B4388" s="1926" t="s">
        <v>13988</v>
      </c>
      <c r="C4388" s="1926" t="s">
        <v>39</v>
      </c>
      <c r="D4388" s="1926" t="s">
        <v>46</v>
      </c>
      <c r="E4388" s="1662">
        <v>57.12</v>
      </c>
    </row>
    <row r="4389" spans="1:5" x14ac:dyDescent="0.2">
      <c r="A4389" s="135">
        <v>11493</v>
      </c>
      <c r="B4389" s="1926" t="s">
        <v>13989</v>
      </c>
      <c r="C4389" s="1926" t="s">
        <v>39</v>
      </c>
      <c r="D4389" s="1926" t="s">
        <v>46</v>
      </c>
      <c r="E4389" s="1662">
        <v>32.94</v>
      </c>
    </row>
    <row r="4390" spans="1:5" x14ac:dyDescent="0.2">
      <c r="A4390" s="135">
        <v>42717</v>
      </c>
      <c r="B4390" s="1926" t="s">
        <v>13990</v>
      </c>
      <c r="C4390" s="1926" t="s">
        <v>39</v>
      </c>
      <c r="D4390" s="1926" t="s">
        <v>46</v>
      </c>
      <c r="E4390" s="1662">
        <v>336.48</v>
      </c>
    </row>
    <row r="4391" spans="1:5" x14ac:dyDescent="0.2">
      <c r="A4391" s="135">
        <v>42718</v>
      </c>
      <c r="B4391" s="1926" t="s">
        <v>13991</v>
      </c>
      <c r="C4391" s="1926" t="s">
        <v>39</v>
      </c>
      <c r="D4391" s="1926" t="s">
        <v>46</v>
      </c>
      <c r="E4391" s="1662">
        <v>373.56</v>
      </c>
    </row>
    <row r="4392" spans="1:5" x14ac:dyDescent="0.2">
      <c r="A4392" s="135">
        <v>7106</v>
      </c>
      <c r="B4392" s="1926" t="s">
        <v>13992</v>
      </c>
      <c r="C4392" s="1926" t="s">
        <v>39</v>
      </c>
      <c r="D4392" s="1926" t="s">
        <v>40</v>
      </c>
      <c r="E4392" s="1662">
        <v>117.53</v>
      </c>
    </row>
    <row r="4393" spans="1:5" x14ac:dyDescent="0.2">
      <c r="A4393" s="135">
        <v>7104</v>
      </c>
      <c r="B4393" s="1926" t="s">
        <v>13993</v>
      </c>
      <c r="C4393" s="1926" t="s">
        <v>39</v>
      </c>
      <c r="D4393" s="1926" t="s">
        <v>40</v>
      </c>
      <c r="E4393" s="1662">
        <v>2.4500000000000002</v>
      </c>
    </row>
    <row r="4394" spans="1:5" x14ac:dyDescent="0.2">
      <c r="A4394" s="135">
        <v>7136</v>
      </c>
      <c r="B4394" s="1926" t="s">
        <v>13994</v>
      </c>
      <c r="C4394" s="1926" t="s">
        <v>39</v>
      </c>
      <c r="D4394" s="1926" t="s">
        <v>40</v>
      </c>
      <c r="E4394" s="1662">
        <v>4.5999999999999996</v>
      </c>
    </row>
    <row r="4395" spans="1:5" x14ac:dyDescent="0.2">
      <c r="A4395" s="135">
        <v>7128</v>
      </c>
      <c r="B4395" s="1926" t="s">
        <v>13995</v>
      </c>
      <c r="C4395" s="1926" t="s">
        <v>39</v>
      </c>
      <c r="D4395" s="1926" t="s">
        <v>40</v>
      </c>
      <c r="E4395" s="1662">
        <v>7.55</v>
      </c>
    </row>
    <row r="4396" spans="1:5" x14ac:dyDescent="0.2">
      <c r="A4396" s="135">
        <v>7108</v>
      </c>
      <c r="B4396" s="1926" t="s">
        <v>13996</v>
      </c>
      <c r="C4396" s="1926" t="s">
        <v>39</v>
      </c>
      <c r="D4396" s="1926" t="s">
        <v>40</v>
      </c>
      <c r="E4396" s="1662">
        <v>8.08</v>
      </c>
    </row>
    <row r="4397" spans="1:5" x14ac:dyDescent="0.2">
      <c r="A4397" s="135">
        <v>7129</v>
      </c>
      <c r="B4397" s="1926" t="s">
        <v>13997</v>
      </c>
      <c r="C4397" s="1926" t="s">
        <v>39</v>
      </c>
      <c r="D4397" s="1926" t="s">
        <v>40</v>
      </c>
      <c r="E4397" s="1662">
        <v>6.71</v>
      </c>
    </row>
    <row r="4398" spans="1:5" x14ac:dyDescent="0.2">
      <c r="A4398" s="135">
        <v>7130</v>
      </c>
      <c r="B4398" s="1926" t="s">
        <v>13998</v>
      </c>
      <c r="C4398" s="1926" t="s">
        <v>39</v>
      </c>
      <c r="D4398" s="1926" t="s">
        <v>40</v>
      </c>
      <c r="E4398" s="1662">
        <v>10.95</v>
      </c>
    </row>
    <row r="4399" spans="1:5" x14ac:dyDescent="0.2">
      <c r="A4399" s="135">
        <v>7131</v>
      </c>
      <c r="B4399" s="1926" t="s">
        <v>13999</v>
      </c>
      <c r="C4399" s="1926" t="s">
        <v>39</v>
      </c>
      <c r="D4399" s="1926" t="s">
        <v>40</v>
      </c>
      <c r="E4399" s="1662">
        <v>13.43</v>
      </c>
    </row>
    <row r="4400" spans="1:5" x14ac:dyDescent="0.2">
      <c r="A4400" s="135">
        <v>7132</v>
      </c>
      <c r="B4400" s="1926" t="s">
        <v>14000</v>
      </c>
      <c r="C4400" s="1926" t="s">
        <v>39</v>
      </c>
      <c r="D4400" s="1926" t="s">
        <v>40</v>
      </c>
      <c r="E4400" s="1662">
        <v>37.29</v>
      </c>
    </row>
    <row r="4401" spans="1:5" x14ac:dyDescent="0.2">
      <c r="A4401" s="135">
        <v>7133</v>
      </c>
      <c r="B4401" s="1926" t="s">
        <v>14001</v>
      </c>
      <c r="C4401" s="1926" t="s">
        <v>39</v>
      </c>
      <c r="D4401" s="1926" t="s">
        <v>40</v>
      </c>
      <c r="E4401" s="1662">
        <v>57.93</v>
      </c>
    </row>
    <row r="4402" spans="1:5" x14ac:dyDescent="0.2">
      <c r="A4402" s="135">
        <v>37420</v>
      </c>
      <c r="B4402" s="1926" t="s">
        <v>14002</v>
      </c>
      <c r="C4402" s="1926" t="s">
        <v>39</v>
      </c>
      <c r="D4402" s="1926" t="s">
        <v>46</v>
      </c>
      <c r="E4402" s="1662">
        <v>33.61</v>
      </c>
    </row>
    <row r="4403" spans="1:5" x14ac:dyDescent="0.2">
      <c r="A4403" s="135">
        <v>37421</v>
      </c>
      <c r="B4403" s="1926" t="s">
        <v>14003</v>
      </c>
      <c r="C4403" s="1926" t="s">
        <v>39</v>
      </c>
      <c r="D4403" s="1926" t="s">
        <v>46</v>
      </c>
      <c r="E4403" s="1662">
        <v>45.93</v>
      </c>
    </row>
    <row r="4404" spans="1:5" x14ac:dyDescent="0.2">
      <c r="A4404" s="135">
        <v>37422</v>
      </c>
      <c r="B4404" s="1926" t="s">
        <v>14004</v>
      </c>
      <c r="C4404" s="1926" t="s">
        <v>39</v>
      </c>
      <c r="D4404" s="1926" t="s">
        <v>46</v>
      </c>
      <c r="E4404" s="1662">
        <v>42.99</v>
      </c>
    </row>
    <row r="4405" spans="1:5" x14ac:dyDescent="0.2">
      <c r="A4405" s="135">
        <v>37443</v>
      </c>
      <c r="B4405" s="1926" t="s">
        <v>14005</v>
      </c>
      <c r="C4405" s="1926" t="s">
        <v>39</v>
      </c>
      <c r="D4405" s="1926" t="s">
        <v>46</v>
      </c>
      <c r="E4405" s="1662">
        <v>139.5</v>
      </c>
    </row>
    <row r="4406" spans="1:5" x14ac:dyDescent="0.2">
      <c r="A4406" s="135">
        <v>37444</v>
      </c>
      <c r="B4406" s="1926" t="s">
        <v>14006</v>
      </c>
      <c r="C4406" s="1926" t="s">
        <v>39</v>
      </c>
      <c r="D4406" s="1926" t="s">
        <v>46</v>
      </c>
      <c r="E4406" s="1662">
        <v>141.87</v>
      </c>
    </row>
    <row r="4407" spans="1:5" x14ac:dyDescent="0.2">
      <c r="A4407" s="135">
        <v>37445</v>
      </c>
      <c r="B4407" s="1926" t="s">
        <v>14007</v>
      </c>
      <c r="C4407" s="1926" t="s">
        <v>39</v>
      </c>
      <c r="D4407" s="1926" t="s">
        <v>46</v>
      </c>
      <c r="E4407" s="1662">
        <v>215.04</v>
      </c>
    </row>
    <row r="4408" spans="1:5" x14ac:dyDescent="0.2">
      <c r="A4408" s="135">
        <v>37446</v>
      </c>
      <c r="B4408" s="1926" t="s">
        <v>14008</v>
      </c>
      <c r="C4408" s="1926" t="s">
        <v>39</v>
      </c>
      <c r="D4408" s="1926" t="s">
        <v>46</v>
      </c>
      <c r="E4408" s="1662">
        <v>234.43</v>
      </c>
    </row>
    <row r="4409" spans="1:5" x14ac:dyDescent="0.2">
      <c r="A4409" s="135">
        <v>37447</v>
      </c>
      <c r="B4409" s="1926" t="s">
        <v>14009</v>
      </c>
      <c r="C4409" s="1926" t="s">
        <v>39</v>
      </c>
      <c r="D4409" s="1926" t="s">
        <v>46</v>
      </c>
      <c r="E4409" s="1662">
        <v>238.1</v>
      </c>
    </row>
    <row r="4410" spans="1:5" x14ac:dyDescent="0.2">
      <c r="A4410" s="135">
        <v>37448</v>
      </c>
      <c r="B4410" s="1926" t="s">
        <v>14010</v>
      </c>
      <c r="C4410" s="1926" t="s">
        <v>39</v>
      </c>
      <c r="D4410" s="1926" t="s">
        <v>46</v>
      </c>
      <c r="E4410" s="1662">
        <v>326.58999999999997</v>
      </c>
    </row>
    <row r="4411" spans="1:5" x14ac:dyDescent="0.2">
      <c r="A4411" s="135">
        <v>37440</v>
      </c>
      <c r="B4411" s="1926" t="s">
        <v>14011</v>
      </c>
      <c r="C4411" s="1926" t="s">
        <v>39</v>
      </c>
      <c r="D4411" s="1926" t="s">
        <v>46</v>
      </c>
      <c r="E4411" s="1662">
        <v>110.73</v>
      </c>
    </row>
    <row r="4412" spans="1:5" x14ac:dyDescent="0.2">
      <c r="A4412" s="135">
        <v>37441</v>
      </c>
      <c r="B4412" s="1926" t="s">
        <v>14012</v>
      </c>
      <c r="C4412" s="1926" t="s">
        <v>39</v>
      </c>
      <c r="D4412" s="1926" t="s">
        <v>46</v>
      </c>
      <c r="E4412" s="1662">
        <v>110.73</v>
      </c>
    </row>
    <row r="4413" spans="1:5" x14ac:dyDescent="0.2">
      <c r="A4413" s="135">
        <v>37442</v>
      </c>
      <c r="B4413" s="1926" t="s">
        <v>14013</v>
      </c>
      <c r="C4413" s="1926" t="s">
        <v>39</v>
      </c>
      <c r="D4413" s="1926" t="s">
        <v>46</v>
      </c>
      <c r="E4413" s="1662">
        <v>133.37</v>
      </c>
    </row>
    <row r="4414" spans="1:5" x14ac:dyDescent="0.2">
      <c r="A4414" s="135">
        <v>38017</v>
      </c>
      <c r="B4414" s="1926" t="s">
        <v>14014</v>
      </c>
      <c r="C4414" s="1926" t="s">
        <v>39</v>
      </c>
      <c r="D4414" s="1926" t="s">
        <v>40</v>
      </c>
      <c r="E4414" s="1662">
        <v>5.29</v>
      </c>
    </row>
    <row r="4415" spans="1:5" x14ac:dyDescent="0.2">
      <c r="A4415" s="135">
        <v>38018</v>
      </c>
      <c r="B4415" s="1926" t="s">
        <v>14015</v>
      </c>
      <c r="C4415" s="1926" t="s">
        <v>39</v>
      </c>
      <c r="D4415" s="1926" t="s">
        <v>40</v>
      </c>
      <c r="E4415" s="1662">
        <v>5.83</v>
      </c>
    </row>
    <row r="4416" spans="1:5" x14ac:dyDescent="0.2">
      <c r="A4416" s="135">
        <v>39895</v>
      </c>
      <c r="B4416" s="1926" t="s">
        <v>14016</v>
      </c>
      <c r="C4416" s="1926" t="s">
        <v>39</v>
      </c>
      <c r="D4416" s="1926" t="s">
        <v>46</v>
      </c>
      <c r="E4416" s="1662">
        <v>31.98</v>
      </c>
    </row>
    <row r="4417" spans="1:5" x14ac:dyDescent="0.2">
      <c r="A4417" s="135">
        <v>39896</v>
      </c>
      <c r="B4417" s="1926" t="s">
        <v>14017</v>
      </c>
      <c r="C4417" s="1926" t="s">
        <v>39</v>
      </c>
      <c r="D4417" s="1926" t="s">
        <v>46</v>
      </c>
      <c r="E4417" s="1662">
        <v>46.87</v>
      </c>
    </row>
    <row r="4418" spans="1:5" x14ac:dyDescent="0.2">
      <c r="A4418" s="135">
        <v>38873</v>
      </c>
      <c r="B4418" s="1926" t="s">
        <v>14018</v>
      </c>
      <c r="C4418" s="1926" t="s">
        <v>39</v>
      </c>
      <c r="D4418" s="1926" t="s">
        <v>46</v>
      </c>
      <c r="E4418" s="1662">
        <v>11.61</v>
      </c>
    </row>
    <row r="4419" spans="1:5" x14ac:dyDescent="0.2">
      <c r="A4419" s="135">
        <v>38874</v>
      </c>
      <c r="B4419" s="1926" t="s">
        <v>14019</v>
      </c>
      <c r="C4419" s="1926" t="s">
        <v>39</v>
      </c>
      <c r="D4419" s="1926" t="s">
        <v>46</v>
      </c>
      <c r="E4419" s="1662">
        <v>14.12</v>
      </c>
    </row>
    <row r="4420" spans="1:5" x14ac:dyDescent="0.2">
      <c r="A4420" s="135">
        <v>38875</v>
      </c>
      <c r="B4420" s="1926" t="s">
        <v>14020</v>
      </c>
      <c r="C4420" s="1926" t="s">
        <v>39</v>
      </c>
      <c r="D4420" s="1926" t="s">
        <v>46</v>
      </c>
      <c r="E4420" s="1662">
        <v>24.96</v>
      </c>
    </row>
    <row r="4421" spans="1:5" x14ac:dyDescent="0.2">
      <c r="A4421" s="135">
        <v>38876</v>
      </c>
      <c r="B4421" s="1926" t="s">
        <v>14021</v>
      </c>
      <c r="C4421" s="1926" t="s">
        <v>39</v>
      </c>
      <c r="D4421" s="1926" t="s">
        <v>46</v>
      </c>
      <c r="E4421" s="1662">
        <v>33.58</v>
      </c>
    </row>
    <row r="4422" spans="1:5" x14ac:dyDescent="0.2">
      <c r="A4422" s="135">
        <v>39000</v>
      </c>
      <c r="B4422" s="1926" t="s">
        <v>14022</v>
      </c>
      <c r="C4422" s="1926" t="s">
        <v>39</v>
      </c>
      <c r="D4422" s="1926" t="s">
        <v>46</v>
      </c>
      <c r="E4422" s="1662">
        <v>23.79</v>
      </c>
    </row>
    <row r="4423" spans="1:5" x14ac:dyDescent="0.2">
      <c r="A4423" s="135">
        <v>38674</v>
      </c>
      <c r="B4423" s="1926" t="s">
        <v>14023</v>
      </c>
      <c r="C4423" s="1926" t="s">
        <v>39</v>
      </c>
      <c r="D4423" s="1926" t="s">
        <v>40</v>
      </c>
      <c r="E4423" s="1662">
        <v>18.39</v>
      </c>
    </row>
    <row r="4424" spans="1:5" x14ac:dyDescent="0.2">
      <c r="A4424" s="135">
        <v>38911</v>
      </c>
      <c r="B4424" s="1926" t="s">
        <v>14024</v>
      </c>
      <c r="C4424" s="1926" t="s">
        <v>39</v>
      </c>
      <c r="D4424" s="1926" t="s">
        <v>46</v>
      </c>
      <c r="E4424" s="1662">
        <v>41.64</v>
      </c>
    </row>
    <row r="4425" spans="1:5" x14ac:dyDescent="0.2">
      <c r="A4425" s="135">
        <v>38912</v>
      </c>
      <c r="B4425" s="1926" t="s">
        <v>14025</v>
      </c>
      <c r="C4425" s="1926" t="s">
        <v>39</v>
      </c>
      <c r="D4425" s="1926" t="s">
        <v>46</v>
      </c>
      <c r="E4425" s="1662">
        <v>52.93</v>
      </c>
    </row>
    <row r="4426" spans="1:5" x14ac:dyDescent="0.2">
      <c r="A4426" s="135">
        <v>38019</v>
      </c>
      <c r="B4426" s="1926" t="s">
        <v>14026</v>
      </c>
      <c r="C4426" s="1926" t="s">
        <v>39</v>
      </c>
      <c r="D4426" s="1926" t="s">
        <v>40</v>
      </c>
      <c r="E4426" s="1662">
        <v>4.6100000000000003</v>
      </c>
    </row>
    <row r="4427" spans="1:5" x14ac:dyDescent="0.2">
      <c r="A4427" s="135">
        <v>38020</v>
      </c>
      <c r="B4427" s="1926" t="s">
        <v>14027</v>
      </c>
      <c r="C4427" s="1926" t="s">
        <v>39</v>
      </c>
      <c r="D4427" s="1926" t="s">
        <v>40</v>
      </c>
      <c r="E4427" s="1662">
        <v>5.83</v>
      </c>
    </row>
    <row r="4428" spans="1:5" x14ac:dyDescent="0.2">
      <c r="A4428" s="135">
        <v>38454</v>
      </c>
      <c r="B4428" s="1926" t="s">
        <v>14028</v>
      </c>
      <c r="C4428" s="1926" t="s">
        <v>39</v>
      </c>
      <c r="D4428" s="1926" t="s">
        <v>46</v>
      </c>
      <c r="E4428" s="1662">
        <v>4.34</v>
      </c>
    </row>
    <row r="4429" spans="1:5" x14ac:dyDescent="0.2">
      <c r="A4429" s="135">
        <v>38455</v>
      </c>
      <c r="B4429" s="1926" t="s">
        <v>14029</v>
      </c>
      <c r="C4429" s="1926" t="s">
        <v>39</v>
      </c>
      <c r="D4429" s="1926" t="s">
        <v>46</v>
      </c>
      <c r="E4429" s="1662">
        <v>3.97</v>
      </c>
    </row>
    <row r="4430" spans="1:5" x14ac:dyDescent="0.2">
      <c r="A4430" s="135">
        <v>38462</v>
      </c>
      <c r="B4430" s="1926" t="s">
        <v>14030</v>
      </c>
      <c r="C4430" s="1926" t="s">
        <v>39</v>
      </c>
      <c r="D4430" s="1926" t="s">
        <v>46</v>
      </c>
      <c r="E4430" s="1662">
        <v>112.21</v>
      </c>
    </row>
    <row r="4431" spans="1:5" x14ac:dyDescent="0.2">
      <c r="A4431" s="135">
        <v>36362</v>
      </c>
      <c r="B4431" s="1926" t="s">
        <v>14031</v>
      </c>
      <c r="C4431" s="1926" t="s">
        <v>39</v>
      </c>
      <c r="D4431" s="1926" t="s">
        <v>46</v>
      </c>
      <c r="E4431" s="1662">
        <v>1.71</v>
      </c>
    </row>
    <row r="4432" spans="1:5" x14ac:dyDescent="0.2">
      <c r="A4432" s="135">
        <v>36298</v>
      </c>
      <c r="B4432" s="1926" t="s">
        <v>14032</v>
      </c>
      <c r="C4432" s="1926" t="s">
        <v>39</v>
      </c>
      <c r="D4432" s="1926" t="s">
        <v>46</v>
      </c>
      <c r="E4432" s="1662">
        <v>2.5299999999999998</v>
      </c>
    </row>
    <row r="4433" spans="1:5" x14ac:dyDescent="0.2">
      <c r="A4433" s="135">
        <v>38456</v>
      </c>
      <c r="B4433" s="1926" t="s">
        <v>14033</v>
      </c>
      <c r="C4433" s="1926" t="s">
        <v>39</v>
      </c>
      <c r="D4433" s="1926" t="s">
        <v>46</v>
      </c>
      <c r="E4433" s="1662">
        <v>4.13</v>
      </c>
    </row>
    <row r="4434" spans="1:5" x14ac:dyDescent="0.2">
      <c r="A4434" s="135">
        <v>38457</v>
      </c>
      <c r="B4434" s="1926" t="s">
        <v>14034</v>
      </c>
      <c r="C4434" s="1926" t="s">
        <v>39</v>
      </c>
      <c r="D4434" s="1926" t="s">
        <v>46</v>
      </c>
      <c r="E4434" s="1662">
        <v>9.3000000000000007</v>
      </c>
    </row>
    <row r="4435" spans="1:5" x14ac:dyDescent="0.2">
      <c r="A4435" s="135">
        <v>38458</v>
      </c>
      <c r="B4435" s="1926" t="s">
        <v>14035</v>
      </c>
      <c r="C4435" s="1926" t="s">
        <v>39</v>
      </c>
      <c r="D4435" s="1926" t="s">
        <v>46</v>
      </c>
      <c r="E4435" s="1662">
        <v>12.47</v>
      </c>
    </row>
    <row r="4436" spans="1:5" x14ac:dyDescent="0.2">
      <c r="A4436" s="135">
        <v>38459</v>
      </c>
      <c r="B4436" s="1926" t="s">
        <v>14036</v>
      </c>
      <c r="C4436" s="1926" t="s">
        <v>39</v>
      </c>
      <c r="D4436" s="1926" t="s">
        <v>46</v>
      </c>
      <c r="E4436" s="1662">
        <v>22.01</v>
      </c>
    </row>
    <row r="4437" spans="1:5" x14ac:dyDescent="0.2">
      <c r="A4437" s="135">
        <v>38460</v>
      </c>
      <c r="B4437" s="1926" t="s">
        <v>14037</v>
      </c>
      <c r="C4437" s="1926" t="s">
        <v>39</v>
      </c>
      <c r="D4437" s="1926" t="s">
        <v>46</v>
      </c>
      <c r="E4437" s="1662">
        <v>45.97</v>
      </c>
    </row>
    <row r="4438" spans="1:5" x14ac:dyDescent="0.2">
      <c r="A4438" s="135">
        <v>38461</v>
      </c>
      <c r="B4438" s="1926" t="s">
        <v>14038</v>
      </c>
      <c r="C4438" s="1926" t="s">
        <v>39</v>
      </c>
      <c r="D4438" s="1926" t="s">
        <v>46</v>
      </c>
      <c r="E4438" s="1662">
        <v>70.12</v>
      </c>
    </row>
    <row r="4439" spans="1:5" x14ac:dyDescent="0.2">
      <c r="A4439" s="135">
        <v>7094</v>
      </c>
      <c r="B4439" s="1926" t="s">
        <v>14039</v>
      </c>
      <c r="C4439" s="1926" t="s">
        <v>39</v>
      </c>
      <c r="D4439" s="1926" t="s">
        <v>40</v>
      </c>
      <c r="E4439" s="1662">
        <v>8.4700000000000006</v>
      </c>
    </row>
    <row r="4440" spans="1:5" x14ac:dyDescent="0.2">
      <c r="A4440" s="135">
        <v>7116</v>
      </c>
      <c r="B4440" s="1926" t="s">
        <v>14040</v>
      </c>
      <c r="C4440" s="1926" t="s">
        <v>39</v>
      </c>
      <c r="D4440" s="1926" t="s">
        <v>40</v>
      </c>
      <c r="E4440" s="1662">
        <v>2.21</v>
      </c>
    </row>
    <row r="4441" spans="1:5" x14ac:dyDescent="0.2">
      <c r="A4441" s="135">
        <v>7118</v>
      </c>
      <c r="B4441" s="1926" t="s">
        <v>14041</v>
      </c>
      <c r="C4441" s="1926" t="s">
        <v>39</v>
      </c>
      <c r="D4441" s="1926" t="s">
        <v>40</v>
      </c>
      <c r="E4441" s="1662">
        <v>18.690000000000001</v>
      </c>
    </row>
    <row r="4442" spans="1:5" x14ac:dyDescent="0.2">
      <c r="A4442" s="135">
        <v>7117</v>
      </c>
      <c r="B4442" s="1926" t="s">
        <v>14042</v>
      </c>
      <c r="C4442" s="1926" t="s">
        <v>39</v>
      </c>
      <c r="D4442" s="1926" t="s">
        <v>40</v>
      </c>
      <c r="E4442" s="1662">
        <v>16.61</v>
      </c>
    </row>
    <row r="4443" spans="1:5" x14ac:dyDescent="0.2">
      <c r="A4443" s="135">
        <v>7098</v>
      </c>
      <c r="B4443" s="1926" t="s">
        <v>14043</v>
      </c>
      <c r="C4443" s="1926" t="s">
        <v>39</v>
      </c>
      <c r="D4443" s="1926" t="s">
        <v>40</v>
      </c>
      <c r="E4443" s="1662">
        <v>2.31</v>
      </c>
    </row>
    <row r="4444" spans="1:5" x14ac:dyDescent="0.2">
      <c r="A4444" s="135">
        <v>7110</v>
      </c>
      <c r="B4444" s="1926" t="s">
        <v>14044</v>
      </c>
      <c r="C4444" s="1926" t="s">
        <v>39</v>
      </c>
      <c r="D4444" s="1926" t="s">
        <v>40</v>
      </c>
      <c r="E4444" s="1662">
        <v>40.64</v>
      </c>
    </row>
    <row r="4445" spans="1:5" x14ac:dyDescent="0.2">
      <c r="A4445" s="135">
        <v>7123</v>
      </c>
      <c r="B4445" s="1926" t="s">
        <v>14045</v>
      </c>
      <c r="C4445" s="1926" t="s">
        <v>39</v>
      </c>
      <c r="D4445" s="1926" t="s">
        <v>40</v>
      </c>
      <c r="E4445" s="1662">
        <v>2.98</v>
      </c>
    </row>
    <row r="4446" spans="1:5" x14ac:dyDescent="0.2">
      <c r="A4446" s="135">
        <v>7121</v>
      </c>
      <c r="B4446" s="1926" t="s">
        <v>14046</v>
      </c>
      <c r="C4446" s="1926" t="s">
        <v>39</v>
      </c>
      <c r="D4446" s="1926" t="s">
        <v>40</v>
      </c>
      <c r="E4446" s="1662">
        <v>7.34</v>
      </c>
    </row>
    <row r="4447" spans="1:5" x14ac:dyDescent="0.2">
      <c r="A4447" s="135">
        <v>7137</v>
      </c>
      <c r="B4447" s="1926" t="s">
        <v>14047</v>
      </c>
      <c r="C4447" s="1926" t="s">
        <v>39</v>
      </c>
      <c r="D4447" s="1926" t="s">
        <v>40</v>
      </c>
      <c r="E4447" s="1662">
        <v>6.61</v>
      </c>
    </row>
    <row r="4448" spans="1:5" x14ac:dyDescent="0.2">
      <c r="A4448" s="135">
        <v>7122</v>
      </c>
      <c r="B4448" s="1926" t="s">
        <v>14048</v>
      </c>
      <c r="C4448" s="1926" t="s">
        <v>39</v>
      </c>
      <c r="D4448" s="1926" t="s">
        <v>40</v>
      </c>
      <c r="E4448" s="1662">
        <v>8.26</v>
      </c>
    </row>
    <row r="4449" spans="1:5" x14ac:dyDescent="0.2">
      <c r="A4449" s="135">
        <v>7114</v>
      </c>
      <c r="B4449" s="1926" t="s">
        <v>14049</v>
      </c>
      <c r="C4449" s="1926" t="s">
        <v>39</v>
      </c>
      <c r="D4449" s="1926" t="s">
        <v>40</v>
      </c>
      <c r="E4449" s="1662">
        <v>12.73</v>
      </c>
    </row>
    <row r="4450" spans="1:5" x14ac:dyDescent="0.2">
      <c r="A4450" s="135">
        <v>7109</v>
      </c>
      <c r="B4450" s="1926" t="s">
        <v>14050</v>
      </c>
      <c r="C4450" s="1926" t="s">
        <v>39</v>
      </c>
      <c r="D4450" s="1926" t="s">
        <v>40</v>
      </c>
      <c r="E4450" s="1662">
        <v>2.23</v>
      </c>
    </row>
    <row r="4451" spans="1:5" x14ac:dyDescent="0.2">
      <c r="A4451" s="135">
        <v>7135</v>
      </c>
      <c r="B4451" s="1926" t="s">
        <v>14051</v>
      </c>
      <c r="C4451" s="1926" t="s">
        <v>39</v>
      </c>
      <c r="D4451" s="1926" t="s">
        <v>40</v>
      </c>
      <c r="E4451" s="1662">
        <v>3.48</v>
      </c>
    </row>
    <row r="4452" spans="1:5" x14ac:dyDescent="0.2">
      <c r="A4452" s="135">
        <v>37947</v>
      </c>
      <c r="B4452" s="1926" t="s">
        <v>14052</v>
      </c>
      <c r="C4452" s="1926" t="s">
        <v>39</v>
      </c>
      <c r="D4452" s="1926" t="s">
        <v>40</v>
      </c>
      <c r="E4452" s="1662">
        <v>3.52</v>
      </c>
    </row>
    <row r="4453" spans="1:5" x14ac:dyDescent="0.2">
      <c r="A4453" s="135">
        <v>7103</v>
      </c>
      <c r="B4453" s="1926" t="s">
        <v>14053</v>
      </c>
      <c r="C4453" s="1926" t="s">
        <v>39</v>
      </c>
      <c r="D4453" s="1926" t="s">
        <v>40</v>
      </c>
      <c r="E4453" s="1662">
        <v>8.08</v>
      </c>
    </row>
    <row r="4454" spans="1:5" x14ac:dyDescent="0.2">
      <c r="A4454" s="135">
        <v>40419</v>
      </c>
      <c r="B4454" s="1926" t="s">
        <v>14054</v>
      </c>
      <c r="C4454" s="1926" t="s">
        <v>39</v>
      </c>
      <c r="D4454" s="1926" t="s">
        <v>46</v>
      </c>
      <c r="E4454" s="1662">
        <v>24.14</v>
      </c>
    </row>
    <row r="4455" spans="1:5" x14ac:dyDescent="0.2">
      <c r="A4455" s="135">
        <v>40420</v>
      </c>
      <c r="B4455" s="1926" t="s">
        <v>14055</v>
      </c>
      <c r="C4455" s="1926" t="s">
        <v>39</v>
      </c>
      <c r="D4455" s="1926" t="s">
        <v>46</v>
      </c>
      <c r="E4455" s="1662">
        <v>35.22</v>
      </c>
    </row>
    <row r="4456" spans="1:5" x14ac:dyDescent="0.2">
      <c r="A4456" s="135">
        <v>40421</v>
      </c>
      <c r="B4456" s="1926" t="s">
        <v>14056</v>
      </c>
      <c r="C4456" s="1926" t="s">
        <v>39</v>
      </c>
      <c r="D4456" s="1926" t="s">
        <v>46</v>
      </c>
      <c r="E4456" s="1662">
        <v>37.5</v>
      </c>
    </row>
    <row r="4457" spans="1:5" x14ac:dyDescent="0.2">
      <c r="A4457" s="135">
        <v>7126</v>
      </c>
      <c r="B4457" s="1926" t="s">
        <v>14057</v>
      </c>
      <c r="C4457" s="1926" t="s">
        <v>39</v>
      </c>
      <c r="D4457" s="1926" t="s">
        <v>40</v>
      </c>
      <c r="E4457" s="1662">
        <v>16.95</v>
      </c>
    </row>
    <row r="4458" spans="1:5" x14ac:dyDescent="0.2">
      <c r="A4458" s="135">
        <v>38905</v>
      </c>
      <c r="B4458" s="1926" t="s">
        <v>14058</v>
      </c>
      <c r="C4458" s="1926" t="s">
        <v>39</v>
      </c>
      <c r="D4458" s="1926" t="s">
        <v>46</v>
      </c>
      <c r="E4458" s="1662">
        <v>13.05</v>
      </c>
    </row>
    <row r="4459" spans="1:5" x14ac:dyDescent="0.2">
      <c r="A4459" s="135">
        <v>38907</v>
      </c>
      <c r="B4459" s="1926" t="s">
        <v>14059</v>
      </c>
      <c r="C4459" s="1926" t="s">
        <v>39</v>
      </c>
      <c r="D4459" s="1926" t="s">
        <v>46</v>
      </c>
      <c r="E4459" s="1662">
        <v>13.88</v>
      </c>
    </row>
    <row r="4460" spans="1:5" x14ac:dyDescent="0.2">
      <c r="A4460" s="135">
        <v>38908</v>
      </c>
      <c r="B4460" s="1926" t="s">
        <v>14060</v>
      </c>
      <c r="C4460" s="1926" t="s">
        <v>39</v>
      </c>
      <c r="D4460" s="1926" t="s">
        <v>46</v>
      </c>
      <c r="E4460" s="1662">
        <v>15.62</v>
      </c>
    </row>
    <row r="4461" spans="1:5" x14ac:dyDescent="0.2">
      <c r="A4461" s="135">
        <v>38909</v>
      </c>
      <c r="B4461" s="1926" t="s">
        <v>14061</v>
      </c>
      <c r="C4461" s="1926" t="s">
        <v>39</v>
      </c>
      <c r="D4461" s="1926" t="s">
        <v>46</v>
      </c>
      <c r="E4461" s="1662">
        <v>22.46</v>
      </c>
    </row>
    <row r="4462" spans="1:5" x14ac:dyDescent="0.2">
      <c r="A4462" s="135">
        <v>38910</v>
      </c>
      <c r="B4462" s="1926" t="s">
        <v>14062</v>
      </c>
      <c r="C4462" s="1926" t="s">
        <v>39</v>
      </c>
      <c r="D4462" s="1926" t="s">
        <v>46</v>
      </c>
      <c r="E4462" s="1662">
        <v>24.26</v>
      </c>
    </row>
    <row r="4463" spans="1:5" x14ac:dyDescent="0.2">
      <c r="A4463" s="135">
        <v>38897</v>
      </c>
      <c r="B4463" s="1926" t="s">
        <v>14063</v>
      </c>
      <c r="C4463" s="1926" t="s">
        <v>39</v>
      </c>
      <c r="D4463" s="1926" t="s">
        <v>46</v>
      </c>
      <c r="E4463" s="1662">
        <v>13.1</v>
      </c>
    </row>
    <row r="4464" spans="1:5" x14ac:dyDescent="0.2">
      <c r="A4464" s="135">
        <v>38899</v>
      </c>
      <c r="B4464" s="1926" t="s">
        <v>14064</v>
      </c>
      <c r="C4464" s="1926" t="s">
        <v>39</v>
      </c>
      <c r="D4464" s="1926" t="s">
        <v>46</v>
      </c>
      <c r="E4464" s="1662">
        <v>14.74</v>
      </c>
    </row>
    <row r="4465" spans="1:5" x14ac:dyDescent="0.2">
      <c r="A4465" s="135">
        <v>38900</v>
      </c>
      <c r="B4465" s="1926" t="s">
        <v>14065</v>
      </c>
      <c r="C4465" s="1926" t="s">
        <v>39</v>
      </c>
      <c r="D4465" s="1926" t="s">
        <v>46</v>
      </c>
      <c r="E4465" s="1662">
        <v>15.37</v>
      </c>
    </row>
    <row r="4466" spans="1:5" x14ac:dyDescent="0.2">
      <c r="A4466" s="135">
        <v>38901</v>
      </c>
      <c r="B4466" s="1926" t="s">
        <v>14066</v>
      </c>
      <c r="C4466" s="1926" t="s">
        <v>39</v>
      </c>
      <c r="D4466" s="1926" t="s">
        <v>46</v>
      </c>
      <c r="E4466" s="1662">
        <v>25.14</v>
      </c>
    </row>
    <row r="4467" spans="1:5" x14ac:dyDescent="0.2">
      <c r="A4467" s="135">
        <v>38904</v>
      </c>
      <c r="B4467" s="1926" t="s">
        <v>14067</v>
      </c>
      <c r="C4467" s="1926" t="s">
        <v>39</v>
      </c>
      <c r="D4467" s="1926" t="s">
        <v>46</v>
      </c>
      <c r="E4467" s="1662">
        <v>40.840000000000003</v>
      </c>
    </row>
    <row r="4468" spans="1:5" x14ac:dyDescent="0.2">
      <c r="A4468" s="135">
        <v>38903</v>
      </c>
      <c r="B4468" s="1926" t="s">
        <v>14068</v>
      </c>
      <c r="C4468" s="1926" t="s">
        <v>39</v>
      </c>
      <c r="D4468" s="1926" t="s">
        <v>46</v>
      </c>
      <c r="E4468" s="1662">
        <v>40.58</v>
      </c>
    </row>
    <row r="4469" spans="1:5" x14ac:dyDescent="0.2">
      <c r="A4469" s="135">
        <v>7091</v>
      </c>
      <c r="B4469" s="1926" t="s">
        <v>14069</v>
      </c>
      <c r="C4469" s="1926" t="s">
        <v>39</v>
      </c>
      <c r="D4469" s="1926" t="s">
        <v>40</v>
      </c>
      <c r="E4469" s="1662">
        <v>10.44</v>
      </c>
    </row>
    <row r="4470" spans="1:5" x14ac:dyDescent="0.2">
      <c r="A4470" s="135">
        <v>11655</v>
      </c>
      <c r="B4470" s="1926" t="s">
        <v>14070</v>
      </c>
      <c r="C4470" s="1926" t="s">
        <v>39</v>
      </c>
      <c r="D4470" s="1926" t="s">
        <v>40</v>
      </c>
      <c r="E4470" s="1662">
        <v>9.9700000000000006</v>
      </c>
    </row>
    <row r="4471" spans="1:5" x14ac:dyDescent="0.2">
      <c r="A4471" s="135">
        <v>11656</v>
      </c>
      <c r="B4471" s="1926" t="s">
        <v>14071</v>
      </c>
      <c r="C4471" s="1926" t="s">
        <v>39</v>
      </c>
      <c r="D4471" s="1926" t="s">
        <v>40</v>
      </c>
      <c r="E4471" s="1662">
        <v>10.43</v>
      </c>
    </row>
    <row r="4472" spans="1:5" x14ac:dyDescent="0.2">
      <c r="A4472" s="135">
        <v>37948</v>
      </c>
      <c r="B4472" s="1926" t="s">
        <v>14072</v>
      </c>
      <c r="C4472" s="1926" t="s">
        <v>39</v>
      </c>
      <c r="D4472" s="1926" t="s">
        <v>40</v>
      </c>
      <c r="E4472" s="1662">
        <v>2.11</v>
      </c>
    </row>
    <row r="4473" spans="1:5" x14ac:dyDescent="0.2">
      <c r="A4473" s="135">
        <v>7097</v>
      </c>
      <c r="B4473" s="1926" t="s">
        <v>14073</v>
      </c>
      <c r="C4473" s="1926" t="s">
        <v>39</v>
      </c>
      <c r="D4473" s="1926" t="s">
        <v>40</v>
      </c>
      <c r="E4473" s="1662">
        <v>4.63</v>
      </c>
    </row>
    <row r="4474" spans="1:5" x14ac:dyDescent="0.2">
      <c r="A4474" s="135">
        <v>11657</v>
      </c>
      <c r="B4474" s="1926" t="s">
        <v>14074</v>
      </c>
      <c r="C4474" s="1926" t="s">
        <v>39</v>
      </c>
      <c r="D4474" s="1926" t="s">
        <v>40</v>
      </c>
      <c r="E4474" s="1662">
        <v>9.09</v>
      </c>
    </row>
    <row r="4475" spans="1:5" x14ac:dyDescent="0.2">
      <c r="A4475" s="135">
        <v>11658</v>
      </c>
      <c r="B4475" s="1926" t="s">
        <v>14075</v>
      </c>
      <c r="C4475" s="1926" t="s">
        <v>39</v>
      </c>
      <c r="D4475" s="1926" t="s">
        <v>40</v>
      </c>
      <c r="E4475" s="1662">
        <v>9.26</v>
      </c>
    </row>
    <row r="4476" spans="1:5" x14ac:dyDescent="0.2">
      <c r="A4476" s="135">
        <v>7146</v>
      </c>
      <c r="B4476" s="1926" t="s">
        <v>14076</v>
      </c>
      <c r="C4476" s="1926" t="s">
        <v>39</v>
      </c>
      <c r="D4476" s="1926" t="s">
        <v>40</v>
      </c>
      <c r="E4476" s="1662">
        <v>125.86</v>
      </c>
    </row>
    <row r="4477" spans="1:5" x14ac:dyDescent="0.2">
      <c r="A4477" s="135">
        <v>7138</v>
      </c>
      <c r="B4477" s="1926" t="s">
        <v>14077</v>
      </c>
      <c r="C4477" s="1926" t="s">
        <v>39</v>
      </c>
      <c r="D4477" s="1926" t="s">
        <v>40</v>
      </c>
      <c r="E4477" s="1662">
        <v>0.71</v>
      </c>
    </row>
    <row r="4478" spans="1:5" x14ac:dyDescent="0.2">
      <c r="A4478" s="135">
        <v>7139</v>
      </c>
      <c r="B4478" s="1926" t="s">
        <v>14078</v>
      </c>
      <c r="C4478" s="1926" t="s">
        <v>39</v>
      </c>
      <c r="D4478" s="1926" t="s">
        <v>40</v>
      </c>
      <c r="E4478" s="1662">
        <v>0.93</v>
      </c>
    </row>
    <row r="4479" spans="1:5" x14ac:dyDescent="0.2">
      <c r="A4479" s="135">
        <v>7140</v>
      </c>
      <c r="B4479" s="1926" t="s">
        <v>14079</v>
      </c>
      <c r="C4479" s="1926" t="s">
        <v>39</v>
      </c>
      <c r="D4479" s="1926" t="s">
        <v>40</v>
      </c>
      <c r="E4479" s="1662">
        <v>3.1</v>
      </c>
    </row>
    <row r="4480" spans="1:5" x14ac:dyDescent="0.2">
      <c r="A4480" s="135">
        <v>7141</v>
      </c>
      <c r="B4480" s="1926" t="s">
        <v>14080</v>
      </c>
      <c r="C4480" s="1926" t="s">
        <v>39</v>
      </c>
      <c r="D4480" s="1926" t="s">
        <v>40</v>
      </c>
      <c r="E4480" s="1662">
        <v>6.79</v>
      </c>
    </row>
    <row r="4481" spans="1:5" x14ac:dyDescent="0.2">
      <c r="A4481" s="135">
        <v>7143</v>
      </c>
      <c r="B4481" s="1926" t="s">
        <v>14081</v>
      </c>
      <c r="C4481" s="1926" t="s">
        <v>39</v>
      </c>
      <c r="D4481" s="1926" t="s">
        <v>40</v>
      </c>
      <c r="E4481" s="1662">
        <v>22.62</v>
      </c>
    </row>
    <row r="4482" spans="1:5" x14ac:dyDescent="0.2">
      <c r="A4482" s="135">
        <v>7144</v>
      </c>
      <c r="B4482" s="1926" t="s">
        <v>14082</v>
      </c>
      <c r="C4482" s="1926" t="s">
        <v>39</v>
      </c>
      <c r="D4482" s="1926" t="s">
        <v>40</v>
      </c>
      <c r="E4482" s="1662">
        <v>45.25</v>
      </c>
    </row>
    <row r="4483" spans="1:5" x14ac:dyDescent="0.2">
      <c r="A4483" s="135">
        <v>7145</v>
      </c>
      <c r="B4483" s="1926" t="s">
        <v>14083</v>
      </c>
      <c r="C4483" s="1926" t="s">
        <v>39</v>
      </c>
      <c r="D4483" s="1926" t="s">
        <v>40</v>
      </c>
      <c r="E4483" s="1662">
        <v>74.209999999999994</v>
      </c>
    </row>
    <row r="4484" spans="1:5" x14ac:dyDescent="0.2">
      <c r="A4484" s="135">
        <v>7142</v>
      </c>
      <c r="B4484" s="1926" t="s">
        <v>14084</v>
      </c>
      <c r="C4484" s="1926" t="s">
        <v>39</v>
      </c>
      <c r="D4484" s="1926" t="s">
        <v>40</v>
      </c>
      <c r="E4484" s="1662">
        <v>7.59</v>
      </c>
    </row>
    <row r="4485" spans="1:5" x14ac:dyDescent="0.2">
      <c r="A4485" s="135">
        <v>3593</v>
      </c>
      <c r="B4485" s="1926" t="s">
        <v>14085</v>
      </c>
      <c r="C4485" s="1926" t="s">
        <v>39</v>
      </c>
      <c r="D4485" s="1926" t="s">
        <v>40</v>
      </c>
      <c r="E4485" s="1662">
        <v>50.51</v>
      </c>
    </row>
    <row r="4486" spans="1:5" x14ac:dyDescent="0.2">
      <c r="A4486" s="135">
        <v>3588</v>
      </c>
      <c r="B4486" s="1926" t="s">
        <v>14086</v>
      </c>
      <c r="C4486" s="1926" t="s">
        <v>39</v>
      </c>
      <c r="D4486" s="1926" t="s">
        <v>40</v>
      </c>
      <c r="E4486" s="1662">
        <v>38.93</v>
      </c>
    </row>
    <row r="4487" spans="1:5" x14ac:dyDescent="0.2">
      <c r="A4487" s="135">
        <v>3585</v>
      </c>
      <c r="B4487" s="1926" t="s">
        <v>14087</v>
      </c>
      <c r="C4487" s="1926" t="s">
        <v>39</v>
      </c>
      <c r="D4487" s="1926" t="s">
        <v>40</v>
      </c>
      <c r="E4487" s="1662">
        <v>12.02</v>
      </c>
    </row>
    <row r="4488" spans="1:5" x14ac:dyDescent="0.2">
      <c r="A4488" s="135">
        <v>3587</v>
      </c>
      <c r="B4488" s="1926" t="s">
        <v>14088</v>
      </c>
      <c r="C4488" s="1926" t="s">
        <v>39</v>
      </c>
      <c r="D4488" s="1926" t="s">
        <v>40</v>
      </c>
      <c r="E4488" s="1662">
        <v>24.15</v>
      </c>
    </row>
    <row r="4489" spans="1:5" x14ac:dyDescent="0.2">
      <c r="A4489" s="135">
        <v>3590</v>
      </c>
      <c r="B4489" s="1926" t="s">
        <v>14089</v>
      </c>
      <c r="C4489" s="1926" t="s">
        <v>39</v>
      </c>
      <c r="D4489" s="1926" t="s">
        <v>40</v>
      </c>
      <c r="E4489" s="1662">
        <v>143.41</v>
      </c>
    </row>
    <row r="4490" spans="1:5" x14ac:dyDescent="0.2">
      <c r="A4490" s="135">
        <v>3589</v>
      </c>
      <c r="B4490" s="1926" t="s">
        <v>14090</v>
      </c>
      <c r="C4490" s="1926" t="s">
        <v>39</v>
      </c>
      <c r="D4490" s="1926" t="s">
        <v>40</v>
      </c>
      <c r="E4490" s="1662">
        <v>76.97</v>
      </c>
    </row>
    <row r="4491" spans="1:5" x14ac:dyDescent="0.2">
      <c r="A4491" s="135">
        <v>3586</v>
      </c>
      <c r="B4491" s="1926" t="s">
        <v>14091</v>
      </c>
      <c r="C4491" s="1926" t="s">
        <v>39</v>
      </c>
      <c r="D4491" s="1926" t="s">
        <v>40</v>
      </c>
      <c r="E4491" s="1662">
        <v>15.75</v>
      </c>
    </row>
    <row r="4492" spans="1:5" x14ac:dyDescent="0.2">
      <c r="A4492" s="135">
        <v>3592</v>
      </c>
      <c r="B4492" s="1926" t="s">
        <v>14092</v>
      </c>
      <c r="C4492" s="1926" t="s">
        <v>39</v>
      </c>
      <c r="D4492" s="1926" t="s">
        <v>40</v>
      </c>
      <c r="E4492" s="1662">
        <v>226.68</v>
      </c>
    </row>
    <row r="4493" spans="1:5" x14ac:dyDescent="0.2">
      <c r="A4493" s="135">
        <v>3591</v>
      </c>
      <c r="B4493" s="1926" t="s">
        <v>14093</v>
      </c>
      <c r="C4493" s="1926" t="s">
        <v>39</v>
      </c>
      <c r="D4493" s="1926" t="s">
        <v>40</v>
      </c>
      <c r="E4493" s="1662">
        <v>363.39</v>
      </c>
    </row>
    <row r="4494" spans="1:5" x14ac:dyDescent="0.2">
      <c r="A4494" s="135">
        <v>40396</v>
      </c>
      <c r="B4494" s="1926" t="s">
        <v>14094</v>
      </c>
      <c r="C4494" s="1926" t="s">
        <v>39</v>
      </c>
      <c r="D4494" s="1926" t="s">
        <v>46</v>
      </c>
      <c r="E4494" s="1662">
        <v>81.31</v>
      </c>
    </row>
    <row r="4495" spans="1:5" x14ac:dyDescent="0.2">
      <c r="A4495" s="135">
        <v>40395</v>
      </c>
      <c r="B4495" s="1926" t="s">
        <v>14095</v>
      </c>
      <c r="C4495" s="1926" t="s">
        <v>39</v>
      </c>
      <c r="D4495" s="1926" t="s">
        <v>46</v>
      </c>
      <c r="E4495" s="1662">
        <v>62.4</v>
      </c>
    </row>
    <row r="4496" spans="1:5" x14ac:dyDescent="0.2">
      <c r="A4496" s="135">
        <v>40392</v>
      </c>
      <c r="B4496" s="1926" t="s">
        <v>14096</v>
      </c>
      <c r="C4496" s="1926" t="s">
        <v>39</v>
      </c>
      <c r="D4496" s="1926" t="s">
        <v>46</v>
      </c>
      <c r="E4496" s="1662">
        <v>20.07</v>
      </c>
    </row>
    <row r="4497" spans="1:5" x14ac:dyDescent="0.2">
      <c r="A4497" s="135">
        <v>40394</v>
      </c>
      <c r="B4497" s="1926" t="s">
        <v>14097</v>
      </c>
      <c r="C4497" s="1926" t="s">
        <v>39</v>
      </c>
      <c r="D4497" s="1926" t="s">
        <v>46</v>
      </c>
      <c r="E4497" s="1662">
        <v>40.619999999999997</v>
      </c>
    </row>
    <row r="4498" spans="1:5" x14ac:dyDescent="0.2">
      <c r="A4498" s="135">
        <v>40398</v>
      </c>
      <c r="B4498" s="1926" t="s">
        <v>14098</v>
      </c>
      <c r="C4498" s="1926" t="s">
        <v>39</v>
      </c>
      <c r="D4498" s="1926" t="s">
        <v>46</v>
      </c>
      <c r="E4498" s="1662">
        <v>260.85000000000002</v>
      </c>
    </row>
    <row r="4499" spans="1:5" x14ac:dyDescent="0.2">
      <c r="A4499" s="135">
        <v>40397</v>
      </c>
      <c r="B4499" s="1926" t="s">
        <v>14099</v>
      </c>
      <c r="C4499" s="1926" t="s">
        <v>39</v>
      </c>
      <c r="D4499" s="1926" t="s">
        <v>46</v>
      </c>
      <c r="E4499" s="1662">
        <v>133.58000000000001</v>
      </c>
    </row>
    <row r="4500" spans="1:5" x14ac:dyDescent="0.2">
      <c r="A4500" s="135">
        <v>40393</v>
      </c>
      <c r="B4500" s="1926" t="s">
        <v>14100</v>
      </c>
      <c r="C4500" s="1926" t="s">
        <v>39</v>
      </c>
      <c r="D4500" s="1926" t="s">
        <v>46</v>
      </c>
      <c r="E4500" s="1662">
        <v>25.86</v>
      </c>
    </row>
    <row r="4501" spans="1:5" x14ac:dyDescent="0.2">
      <c r="A4501" s="135">
        <v>40399</v>
      </c>
      <c r="B4501" s="1926" t="s">
        <v>14101</v>
      </c>
      <c r="C4501" s="1926" t="s">
        <v>39</v>
      </c>
      <c r="D4501" s="1926" t="s">
        <v>46</v>
      </c>
      <c r="E4501" s="1662">
        <v>426.75</v>
      </c>
    </row>
    <row r="4502" spans="1:5" x14ac:dyDescent="0.2">
      <c r="A4502" s="135">
        <v>39322</v>
      </c>
      <c r="B4502" s="1926" t="s">
        <v>14102</v>
      </c>
      <c r="C4502" s="1926" t="s">
        <v>39</v>
      </c>
      <c r="D4502" s="1926" t="s">
        <v>46</v>
      </c>
      <c r="E4502" s="1662">
        <v>15.83</v>
      </c>
    </row>
    <row r="4503" spans="1:5" x14ac:dyDescent="0.2">
      <c r="A4503" s="135">
        <v>39289</v>
      </c>
      <c r="B4503" s="1926" t="s">
        <v>14103</v>
      </c>
      <c r="C4503" s="1926" t="s">
        <v>39</v>
      </c>
      <c r="D4503" s="1926" t="s">
        <v>46</v>
      </c>
      <c r="E4503" s="1662">
        <v>18.96</v>
      </c>
    </row>
    <row r="4504" spans="1:5" x14ac:dyDescent="0.2">
      <c r="A4504" s="135">
        <v>39290</v>
      </c>
      <c r="B4504" s="1926" t="s">
        <v>14104</v>
      </c>
      <c r="C4504" s="1926" t="s">
        <v>39</v>
      </c>
      <c r="D4504" s="1926" t="s">
        <v>46</v>
      </c>
      <c r="E4504" s="1662">
        <v>32.19</v>
      </c>
    </row>
    <row r="4505" spans="1:5" x14ac:dyDescent="0.2">
      <c r="A4505" s="135">
        <v>39291</v>
      </c>
      <c r="B4505" s="1926" t="s">
        <v>14105</v>
      </c>
      <c r="C4505" s="1926" t="s">
        <v>39</v>
      </c>
      <c r="D4505" s="1926" t="s">
        <v>46</v>
      </c>
      <c r="E4505" s="1662">
        <v>48.19</v>
      </c>
    </row>
    <row r="4506" spans="1:5" x14ac:dyDescent="0.2">
      <c r="A4506" s="135">
        <v>20174</v>
      </c>
      <c r="B4506" s="1926" t="s">
        <v>14106</v>
      </c>
      <c r="C4506" s="1926" t="s">
        <v>39</v>
      </c>
      <c r="D4506" s="1926" t="s">
        <v>40</v>
      </c>
      <c r="E4506" s="1662">
        <v>25.43</v>
      </c>
    </row>
    <row r="4507" spans="1:5" x14ac:dyDescent="0.2">
      <c r="A4507" s="135">
        <v>41892</v>
      </c>
      <c r="B4507" s="1926" t="s">
        <v>14107</v>
      </c>
      <c r="C4507" s="1926" t="s">
        <v>39</v>
      </c>
      <c r="D4507" s="1926" t="s">
        <v>46</v>
      </c>
      <c r="E4507" s="1662">
        <v>85.06</v>
      </c>
    </row>
    <row r="4508" spans="1:5" x14ac:dyDescent="0.2">
      <c r="A4508" s="135">
        <v>7048</v>
      </c>
      <c r="B4508" s="1926" t="s">
        <v>14108</v>
      </c>
      <c r="C4508" s="1926" t="s">
        <v>39</v>
      </c>
      <c r="D4508" s="1926" t="s">
        <v>46</v>
      </c>
      <c r="E4508" s="1662">
        <v>18.36</v>
      </c>
    </row>
    <row r="4509" spans="1:5" x14ac:dyDescent="0.2">
      <c r="A4509" s="135">
        <v>7088</v>
      </c>
      <c r="B4509" s="1926" t="s">
        <v>14109</v>
      </c>
      <c r="C4509" s="1926" t="s">
        <v>39</v>
      </c>
      <c r="D4509" s="1926" t="s">
        <v>46</v>
      </c>
      <c r="E4509" s="1662">
        <v>40.15</v>
      </c>
    </row>
    <row r="4510" spans="1:5" x14ac:dyDescent="0.2">
      <c r="A4510" s="135">
        <v>20179</v>
      </c>
      <c r="B4510" s="1926" t="s">
        <v>14110</v>
      </c>
      <c r="C4510" s="1926" t="s">
        <v>39</v>
      </c>
      <c r="D4510" s="1926" t="s">
        <v>40</v>
      </c>
      <c r="E4510" s="1662">
        <v>34.24</v>
      </c>
    </row>
    <row r="4511" spans="1:5" x14ac:dyDescent="0.2">
      <c r="A4511" s="135">
        <v>20178</v>
      </c>
      <c r="B4511" s="1926" t="s">
        <v>14111</v>
      </c>
      <c r="C4511" s="1926" t="s">
        <v>39</v>
      </c>
      <c r="D4511" s="1926" t="s">
        <v>40</v>
      </c>
      <c r="E4511" s="1662">
        <v>30.26</v>
      </c>
    </row>
    <row r="4512" spans="1:5" x14ac:dyDescent="0.2">
      <c r="A4512" s="135">
        <v>20180</v>
      </c>
      <c r="B4512" s="1926" t="s">
        <v>14112</v>
      </c>
      <c r="C4512" s="1926" t="s">
        <v>39</v>
      </c>
      <c r="D4512" s="1926" t="s">
        <v>40</v>
      </c>
      <c r="E4512" s="1662">
        <v>55.6</v>
      </c>
    </row>
    <row r="4513" spans="1:5" x14ac:dyDescent="0.2">
      <c r="A4513" s="135">
        <v>20181</v>
      </c>
      <c r="B4513" s="1926" t="s">
        <v>14113</v>
      </c>
      <c r="C4513" s="1926" t="s">
        <v>39</v>
      </c>
      <c r="D4513" s="1926" t="s">
        <v>40</v>
      </c>
      <c r="E4513" s="1662">
        <v>82.49</v>
      </c>
    </row>
    <row r="4514" spans="1:5" x14ac:dyDescent="0.2">
      <c r="A4514" s="135">
        <v>20177</v>
      </c>
      <c r="B4514" s="1926" t="s">
        <v>14114</v>
      </c>
      <c r="C4514" s="1926" t="s">
        <v>39</v>
      </c>
      <c r="D4514" s="1926" t="s">
        <v>40</v>
      </c>
      <c r="E4514" s="1662">
        <v>19.829999999999998</v>
      </c>
    </row>
    <row r="4515" spans="1:5" x14ac:dyDescent="0.2">
      <c r="A4515" s="135">
        <v>7082</v>
      </c>
      <c r="B4515" s="1926" t="s">
        <v>14115</v>
      </c>
      <c r="C4515" s="1926" t="s">
        <v>39</v>
      </c>
      <c r="D4515" s="1926" t="s">
        <v>46</v>
      </c>
      <c r="E4515" s="1662">
        <v>36.24</v>
      </c>
    </row>
    <row r="4516" spans="1:5" x14ac:dyDescent="0.2">
      <c r="A4516" s="135">
        <v>42707</v>
      </c>
      <c r="B4516" s="1926" t="s">
        <v>14116</v>
      </c>
      <c r="C4516" s="1926" t="s">
        <v>39</v>
      </c>
      <c r="D4516" s="1926" t="s">
        <v>46</v>
      </c>
      <c r="E4516" s="1662">
        <v>98.43</v>
      </c>
    </row>
    <row r="4517" spans="1:5" x14ac:dyDescent="0.2">
      <c r="A4517" s="135">
        <v>7069</v>
      </c>
      <c r="B4517" s="1926" t="s">
        <v>14117</v>
      </c>
      <c r="C4517" s="1926" t="s">
        <v>39</v>
      </c>
      <c r="D4517" s="1926" t="s">
        <v>46</v>
      </c>
      <c r="E4517" s="1662">
        <v>80.44</v>
      </c>
    </row>
    <row r="4518" spans="1:5" x14ac:dyDescent="0.2">
      <c r="A4518" s="135">
        <v>42708</v>
      </c>
      <c r="B4518" s="1926" t="s">
        <v>14118</v>
      </c>
      <c r="C4518" s="1926" t="s">
        <v>39</v>
      </c>
      <c r="D4518" s="1926" t="s">
        <v>46</v>
      </c>
      <c r="E4518" s="1662">
        <v>258.36</v>
      </c>
    </row>
    <row r="4519" spans="1:5" x14ac:dyDescent="0.2">
      <c r="A4519" s="135">
        <v>7070</v>
      </c>
      <c r="B4519" s="1926" t="s">
        <v>14119</v>
      </c>
      <c r="C4519" s="1926" t="s">
        <v>39</v>
      </c>
      <c r="D4519" s="1926" t="s">
        <v>46</v>
      </c>
      <c r="E4519" s="1662">
        <v>115.19</v>
      </c>
    </row>
    <row r="4520" spans="1:5" x14ac:dyDescent="0.2">
      <c r="A4520" s="135">
        <v>42709</v>
      </c>
      <c r="B4520" s="1926" t="s">
        <v>14120</v>
      </c>
      <c r="C4520" s="1926" t="s">
        <v>39</v>
      </c>
      <c r="D4520" s="1926" t="s">
        <v>46</v>
      </c>
      <c r="E4520" s="1662">
        <v>386.39</v>
      </c>
    </row>
    <row r="4521" spans="1:5" x14ac:dyDescent="0.2">
      <c r="A4521" s="135">
        <v>42710</v>
      </c>
      <c r="B4521" s="1926" t="s">
        <v>14121</v>
      </c>
      <c r="C4521" s="1926" t="s">
        <v>39</v>
      </c>
      <c r="D4521" s="1926" t="s">
        <v>46</v>
      </c>
      <c r="E4521" s="1662">
        <v>1110.7</v>
      </c>
    </row>
    <row r="4522" spans="1:5" x14ac:dyDescent="0.2">
      <c r="A4522" s="135">
        <v>42716</v>
      </c>
      <c r="B4522" s="1926" t="s">
        <v>14122</v>
      </c>
      <c r="C4522" s="1926" t="s">
        <v>39</v>
      </c>
      <c r="D4522" s="1926" t="s">
        <v>46</v>
      </c>
      <c r="E4522" s="1662">
        <v>1382.45</v>
      </c>
    </row>
    <row r="4523" spans="1:5" x14ac:dyDescent="0.2">
      <c r="A4523" s="135">
        <v>20172</v>
      </c>
      <c r="B4523" s="1926" t="s">
        <v>14123</v>
      </c>
      <c r="C4523" s="1926" t="s">
        <v>39</v>
      </c>
      <c r="D4523" s="1926" t="s">
        <v>46</v>
      </c>
      <c r="E4523" s="1662">
        <v>26.58</v>
      </c>
    </row>
    <row r="4524" spans="1:5" x14ac:dyDescent="0.2">
      <c r="A4524" s="135">
        <v>40945</v>
      </c>
      <c r="B4524" s="1926" t="s">
        <v>14124</v>
      </c>
      <c r="C4524" s="1926" t="s">
        <v>42</v>
      </c>
      <c r="D4524" s="1926" t="s">
        <v>40</v>
      </c>
      <c r="E4524" s="1662">
        <v>13.47</v>
      </c>
    </row>
    <row r="4525" spans="1:5" x14ac:dyDescent="0.2">
      <c r="A4525" s="135">
        <v>40946</v>
      </c>
      <c r="B4525" s="1926" t="s">
        <v>14125</v>
      </c>
      <c r="C4525" s="1926" t="s">
        <v>51</v>
      </c>
      <c r="D4525" s="1926" t="s">
        <v>40</v>
      </c>
      <c r="E4525" s="1662">
        <v>2404.86</v>
      </c>
    </row>
    <row r="4526" spans="1:5" x14ac:dyDescent="0.2">
      <c r="A4526" s="135">
        <v>7153</v>
      </c>
      <c r="B4526" s="1926" t="s">
        <v>14126</v>
      </c>
      <c r="C4526" s="1926" t="s">
        <v>42</v>
      </c>
      <c r="D4526" s="1926" t="s">
        <v>40</v>
      </c>
      <c r="E4526" s="1662">
        <v>38.42</v>
      </c>
    </row>
    <row r="4527" spans="1:5" x14ac:dyDescent="0.2">
      <c r="A4527" s="135">
        <v>41089</v>
      </c>
      <c r="B4527" s="1926" t="s">
        <v>14127</v>
      </c>
      <c r="C4527" s="1926" t="s">
        <v>51</v>
      </c>
      <c r="D4527" s="1926" t="s">
        <v>40</v>
      </c>
      <c r="E4527" s="1662">
        <v>6852.37</v>
      </c>
    </row>
    <row r="4528" spans="1:5" x14ac:dyDescent="0.2">
      <c r="A4528" s="135">
        <v>40943</v>
      </c>
      <c r="B4528" s="1926" t="s">
        <v>14128</v>
      </c>
      <c r="C4528" s="1926" t="s">
        <v>42</v>
      </c>
      <c r="D4528" s="1926" t="s">
        <v>40</v>
      </c>
      <c r="E4528" s="1662">
        <v>32.049999999999997</v>
      </c>
    </row>
    <row r="4529" spans="1:5" x14ac:dyDescent="0.2">
      <c r="A4529" s="135">
        <v>40944</v>
      </c>
      <c r="B4529" s="1926" t="s">
        <v>14129</v>
      </c>
      <c r="C4529" s="1926" t="s">
        <v>51</v>
      </c>
      <c r="D4529" s="1926" t="s">
        <v>40</v>
      </c>
      <c r="E4529" s="1662">
        <v>5718.95</v>
      </c>
    </row>
    <row r="4530" spans="1:5" x14ac:dyDescent="0.2">
      <c r="A4530" s="135">
        <v>6175</v>
      </c>
      <c r="B4530" s="1926" t="s">
        <v>14130</v>
      </c>
      <c r="C4530" s="1926" t="s">
        <v>42</v>
      </c>
      <c r="D4530" s="1926" t="s">
        <v>40</v>
      </c>
      <c r="E4530" s="1662">
        <v>18.7</v>
      </c>
    </row>
    <row r="4531" spans="1:5" x14ac:dyDescent="0.2">
      <c r="A4531" s="135">
        <v>41092</v>
      </c>
      <c r="B4531" s="1926" t="s">
        <v>14131</v>
      </c>
      <c r="C4531" s="1926" t="s">
        <v>51</v>
      </c>
      <c r="D4531" s="1926" t="s">
        <v>40</v>
      </c>
      <c r="E4531" s="1662">
        <v>3337.44</v>
      </c>
    </row>
    <row r="4532" spans="1:5" x14ac:dyDescent="0.2">
      <c r="A4532" s="135">
        <v>37712</v>
      </c>
      <c r="B4532" s="1926" t="s">
        <v>14132</v>
      </c>
      <c r="C4532" s="1926" t="s">
        <v>45</v>
      </c>
      <c r="D4532" s="1926" t="s">
        <v>46</v>
      </c>
      <c r="E4532" s="1662">
        <v>61.49</v>
      </c>
    </row>
    <row r="4533" spans="1:5" x14ac:dyDescent="0.2">
      <c r="A4533" s="135">
        <v>34547</v>
      </c>
      <c r="B4533" s="1926" t="s">
        <v>14133</v>
      </c>
      <c r="C4533" s="1926" t="s">
        <v>47</v>
      </c>
      <c r="D4533" s="1926" t="s">
        <v>40</v>
      </c>
      <c r="E4533" s="1662">
        <v>2.66</v>
      </c>
    </row>
    <row r="4534" spans="1:5" x14ac:dyDescent="0.2">
      <c r="A4534" s="135">
        <v>34548</v>
      </c>
      <c r="B4534" s="1926" t="s">
        <v>14134</v>
      </c>
      <c r="C4534" s="1926" t="s">
        <v>47</v>
      </c>
      <c r="D4534" s="1926" t="s">
        <v>40</v>
      </c>
      <c r="E4534" s="1662">
        <v>4.3600000000000003</v>
      </c>
    </row>
    <row r="4535" spans="1:5" x14ac:dyDescent="0.2">
      <c r="A4535" s="135">
        <v>34558</v>
      </c>
      <c r="B4535" s="1926" t="s">
        <v>14135</v>
      </c>
      <c r="C4535" s="1926" t="s">
        <v>47</v>
      </c>
      <c r="D4535" s="1926" t="s">
        <v>40</v>
      </c>
      <c r="E4535" s="1662">
        <v>2.16</v>
      </c>
    </row>
    <row r="4536" spans="1:5" x14ac:dyDescent="0.2">
      <c r="A4536" s="135">
        <v>34550</v>
      </c>
      <c r="B4536" s="1926" t="s">
        <v>14136</v>
      </c>
      <c r="C4536" s="1926" t="s">
        <v>47</v>
      </c>
      <c r="D4536" s="1926" t="s">
        <v>40</v>
      </c>
      <c r="E4536" s="1662">
        <v>1.1499999999999999</v>
      </c>
    </row>
    <row r="4537" spans="1:5" x14ac:dyDescent="0.2">
      <c r="A4537" s="135">
        <v>34557</v>
      </c>
      <c r="B4537" s="1926" t="s">
        <v>14137</v>
      </c>
      <c r="C4537" s="1926" t="s">
        <v>47</v>
      </c>
      <c r="D4537" s="1926" t="s">
        <v>40</v>
      </c>
      <c r="E4537" s="1662">
        <v>1.68</v>
      </c>
    </row>
    <row r="4538" spans="1:5" x14ac:dyDescent="0.2">
      <c r="A4538" s="135">
        <v>37411</v>
      </c>
      <c r="B4538" s="1926" t="s">
        <v>14138</v>
      </c>
      <c r="C4538" s="1926" t="s">
        <v>45</v>
      </c>
      <c r="D4538" s="1926" t="s">
        <v>40</v>
      </c>
      <c r="E4538" s="1662">
        <v>12.31</v>
      </c>
    </row>
    <row r="4539" spans="1:5" x14ac:dyDescent="0.2">
      <c r="A4539" s="135">
        <v>39508</v>
      </c>
      <c r="B4539" s="1926" t="s">
        <v>14139</v>
      </c>
      <c r="C4539" s="1926" t="s">
        <v>45</v>
      </c>
      <c r="D4539" s="1926" t="s">
        <v>40</v>
      </c>
      <c r="E4539" s="1662">
        <v>6.91</v>
      </c>
    </row>
    <row r="4540" spans="1:5" x14ac:dyDescent="0.2">
      <c r="A4540" s="135">
        <v>39507</v>
      </c>
      <c r="B4540" s="1926" t="s">
        <v>14140</v>
      </c>
      <c r="C4540" s="1926" t="s">
        <v>45</v>
      </c>
      <c r="D4540" s="1926" t="s">
        <v>40</v>
      </c>
      <c r="E4540" s="1662">
        <v>10.31</v>
      </c>
    </row>
    <row r="4541" spans="1:5" x14ac:dyDescent="0.2">
      <c r="A4541" s="135">
        <v>7155</v>
      </c>
      <c r="B4541" s="1926" t="s">
        <v>14141</v>
      </c>
      <c r="C4541" s="1926" t="s">
        <v>45</v>
      </c>
      <c r="D4541" s="1926" t="s">
        <v>40</v>
      </c>
      <c r="E4541" s="1662">
        <v>13.24</v>
      </c>
    </row>
    <row r="4542" spans="1:5" x14ac:dyDescent="0.2">
      <c r="A4542" s="135">
        <v>42406</v>
      </c>
      <c r="B4542" s="1926" t="s">
        <v>14142</v>
      </c>
      <c r="C4542" s="1926" t="s">
        <v>45</v>
      </c>
      <c r="D4542" s="1926" t="s">
        <v>40</v>
      </c>
      <c r="E4542" s="1662">
        <v>15.18</v>
      </c>
    </row>
    <row r="4543" spans="1:5" x14ac:dyDescent="0.2">
      <c r="A4543" s="135">
        <v>7156</v>
      </c>
      <c r="B4543" s="1926" t="s">
        <v>14143</v>
      </c>
      <c r="C4543" s="1926" t="s">
        <v>45</v>
      </c>
      <c r="D4543" s="1926" t="s">
        <v>43</v>
      </c>
      <c r="E4543" s="1662">
        <v>19</v>
      </c>
    </row>
    <row r="4544" spans="1:5" x14ac:dyDescent="0.2">
      <c r="A4544" s="135">
        <v>43127</v>
      </c>
      <c r="B4544" s="1926" t="s">
        <v>14144</v>
      </c>
      <c r="C4544" s="1926" t="s">
        <v>45</v>
      </c>
      <c r="D4544" s="1926" t="s">
        <v>40</v>
      </c>
      <c r="E4544" s="1662">
        <v>27.19</v>
      </c>
    </row>
    <row r="4545" spans="1:5" x14ac:dyDescent="0.2">
      <c r="A4545" s="135">
        <v>10917</v>
      </c>
      <c r="B4545" s="1926" t="s">
        <v>14145</v>
      </c>
      <c r="C4545" s="1926" t="s">
        <v>45</v>
      </c>
      <c r="D4545" s="1926" t="s">
        <v>40</v>
      </c>
      <c r="E4545" s="1662">
        <v>5.74</v>
      </c>
    </row>
    <row r="4546" spans="1:5" x14ac:dyDescent="0.2">
      <c r="A4546" s="135">
        <v>21141</v>
      </c>
      <c r="B4546" s="1926" t="s">
        <v>14146</v>
      </c>
      <c r="C4546" s="1926" t="s">
        <v>45</v>
      </c>
      <c r="D4546" s="1926" t="s">
        <v>40</v>
      </c>
      <c r="E4546" s="1662">
        <v>8.8800000000000008</v>
      </c>
    </row>
    <row r="4547" spans="1:5" x14ac:dyDescent="0.2">
      <c r="A4547" s="135">
        <v>39509</v>
      </c>
      <c r="B4547" s="1926" t="s">
        <v>14147</v>
      </c>
      <c r="C4547" s="1926" t="s">
        <v>45</v>
      </c>
      <c r="D4547" s="1926" t="s">
        <v>40</v>
      </c>
      <c r="E4547" s="1662">
        <v>8.5399999999999991</v>
      </c>
    </row>
    <row r="4548" spans="1:5" x14ac:dyDescent="0.2">
      <c r="A4548" s="135">
        <v>25988</v>
      </c>
      <c r="B4548" s="1926" t="s">
        <v>14148</v>
      </c>
      <c r="C4548" s="1926" t="s">
        <v>45</v>
      </c>
      <c r="D4548" s="1926" t="s">
        <v>46</v>
      </c>
      <c r="E4548" s="1662">
        <v>10.77</v>
      </c>
    </row>
    <row r="4549" spans="1:5" x14ac:dyDescent="0.2">
      <c r="A4549" s="135">
        <v>7167</v>
      </c>
      <c r="B4549" s="1926" t="s">
        <v>14149</v>
      </c>
      <c r="C4549" s="1926" t="s">
        <v>45</v>
      </c>
      <c r="D4549" s="1926" t="s">
        <v>40</v>
      </c>
      <c r="E4549" s="1662">
        <v>13.36</v>
      </c>
    </row>
    <row r="4550" spans="1:5" x14ac:dyDescent="0.2">
      <c r="A4550" s="135">
        <v>10928</v>
      </c>
      <c r="B4550" s="1926" t="s">
        <v>14150</v>
      </c>
      <c r="C4550" s="1926" t="s">
        <v>45</v>
      </c>
      <c r="D4550" s="1926" t="s">
        <v>40</v>
      </c>
      <c r="E4550" s="1662">
        <v>7.67</v>
      </c>
    </row>
    <row r="4551" spans="1:5" x14ac:dyDescent="0.2">
      <c r="A4551" s="135">
        <v>10933</v>
      </c>
      <c r="B4551" s="1926" t="s">
        <v>14151</v>
      </c>
      <c r="C4551" s="1926" t="s">
        <v>45</v>
      </c>
      <c r="D4551" s="1926" t="s">
        <v>40</v>
      </c>
      <c r="E4551" s="1662">
        <v>11.58</v>
      </c>
    </row>
    <row r="4552" spans="1:5" x14ac:dyDescent="0.2">
      <c r="A4552" s="135">
        <v>7158</v>
      </c>
      <c r="B4552" s="1926" t="s">
        <v>14152</v>
      </c>
      <c r="C4552" s="1926" t="s">
        <v>45</v>
      </c>
      <c r="D4552" s="1926" t="s">
        <v>43</v>
      </c>
      <c r="E4552" s="1662">
        <v>19.64</v>
      </c>
    </row>
    <row r="4553" spans="1:5" x14ac:dyDescent="0.2">
      <c r="A4553" s="135">
        <v>10927</v>
      </c>
      <c r="B4553" s="1926" t="s">
        <v>14153</v>
      </c>
      <c r="C4553" s="1926" t="s">
        <v>45</v>
      </c>
      <c r="D4553" s="1926" t="s">
        <v>40</v>
      </c>
      <c r="E4553" s="1662">
        <v>12.56</v>
      </c>
    </row>
    <row r="4554" spans="1:5" x14ac:dyDescent="0.2">
      <c r="A4554" s="135">
        <v>7162</v>
      </c>
      <c r="B4554" s="1926" t="s">
        <v>14154</v>
      </c>
      <c r="C4554" s="1926" t="s">
        <v>45</v>
      </c>
      <c r="D4554" s="1926" t="s">
        <v>40</v>
      </c>
      <c r="E4554" s="1662">
        <v>30.73</v>
      </c>
    </row>
    <row r="4555" spans="1:5" x14ac:dyDescent="0.2">
      <c r="A4555" s="135">
        <v>10932</v>
      </c>
      <c r="B4555" s="1926" t="s">
        <v>14155</v>
      </c>
      <c r="C4555" s="1926" t="s">
        <v>45</v>
      </c>
      <c r="D4555" s="1926" t="s">
        <v>40</v>
      </c>
      <c r="E4555" s="1662">
        <v>53.45</v>
      </c>
    </row>
    <row r="4556" spans="1:5" x14ac:dyDescent="0.2">
      <c r="A4556" s="135">
        <v>10937</v>
      </c>
      <c r="B4556" s="1926" t="s">
        <v>14156</v>
      </c>
      <c r="C4556" s="1926" t="s">
        <v>45</v>
      </c>
      <c r="D4556" s="1926" t="s">
        <v>40</v>
      </c>
      <c r="E4556" s="1662">
        <v>13.74</v>
      </c>
    </row>
    <row r="4557" spans="1:5" x14ac:dyDescent="0.2">
      <c r="A4557" s="135">
        <v>10935</v>
      </c>
      <c r="B4557" s="1926" t="s">
        <v>14157</v>
      </c>
      <c r="C4557" s="1926" t="s">
        <v>45</v>
      </c>
      <c r="D4557" s="1926" t="s">
        <v>40</v>
      </c>
      <c r="E4557" s="1662">
        <v>23.83</v>
      </c>
    </row>
    <row r="4558" spans="1:5" x14ac:dyDescent="0.2">
      <c r="A4558" s="135">
        <v>10931</v>
      </c>
      <c r="B4558" s="1926" t="s">
        <v>14158</v>
      </c>
      <c r="C4558" s="1926" t="s">
        <v>45</v>
      </c>
      <c r="D4558" s="1926" t="s">
        <v>40</v>
      </c>
      <c r="E4558" s="1662">
        <v>6.7</v>
      </c>
    </row>
    <row r="4559" spans="1:5" x14ac:dyDescent="0.2">
      <c r="A4559" s="135">
        <v>7164</v>
      </c>
      <c r="B4559" s="1926" t="s">
        <v>14159</v>
      </c>
      <c r="C4559" s="1926" t="s">
        <v>45</v>
      </c>
      <c r="D4559" s="1926" t="s">
        <v>40</v>
      </c>
      <c r="E4559" s="1662">
        <v>22.18</v>
      </c>
    </row>
    <row r="4560" spans="1:5" x14ac:dyDescent="0.2">
      <c r="A4560" s="135">
        <v>36887</v>
      </c>
      <c r="B4560" s="1926" t="s">
        <v>14160</v>
      </c>
      <c r="C4560" s="1926" t="s">
        <v>45</v>
      </c>
      <c r="D4560" s="1926" t="s">
        <v>46</v>
      </c>
      <c r="E4560" s="1662">
        <v>13.36</v>
      </c>
    </row>
    <row r="4561" spans="1:5" x14ac:dyDescent="0.2">
      <c r="A4561" s="135">
        <v>34630</v>
      </c>
      <c r="B4561" s="1926" t="s">
        <v>14161</v>
      </c>
      <c r="C4561" s="1926" t="s">
        <v>39</v>
      </c>
      <c r="D4561" s="1926" t="s">
        <v>46</v>
      </c>
      <c r="E4561" s="1662">
        <v>999.44</v>
      </c>
    </row>
    <row r="4562" spans="1:5" x14ac:dyDescent="0.2">
      <c r="A4562" s="135">
        <v>7161</v>
      </c>
      <c r="B4562" s="1926" t="s">
        <v>14162</v>
      </c>
      <c r="C4562" s="1926" t="s">
        <v>45</v>
      </c>
      <c r="D4562" s="1926" t="s">
        <v>40</v>
      </c>
      <c r="E4562" s="1662">
        <v>2.76</v>
      </c>
    </row>
    <row r="4563" spans="1:5" x14ac:dyDescent="0.2">
      <c r="A4563" s="135">
        <v>7170</v>
      </c>
      <c r="B4563" s="1926" t="s">
        <v>14163</v>
      </c>
      <c r="C4563" s="1926" t="s">
        <v>45</v>
      </c>
      <c r="D4563" s="1926" t="s">
        <v>46</v>
      </c>
      <c r="E4563" s="1662">
        <v>1.9</v>
      </c>
    </row>
    <row r="4564" spans="1:5" x14ac:dyDescent="0.2">
      <c r="A4564" s="135">
        <v>37524</v>
      </c>
      <c r="B4564" s="1926" t="s">
        <v>14164</v>
      </c>
      <c r="C4564" s="1926" t="s">
        <v>47</v>
      </c>
      <c r="D4564" s="1926" t="s">
        <v>46</v>
      </c>
      <c r="E4564" s="1662">
        <v>1.81</v>
      </c>
    </row>
    <row r="4565" spans="1:5" x14ac:dyDescent="0.2">
      <c r="A4565" s="135">
        <v>37525</v>
      </c>
      <c r="B4565" s="1926" t="s">
        <v>14165</v>
      </c>
      <c r="C4565" s="1926" t="s">
        <v>47</v>
      </c>
      <c r="D4565" s="1926" t="s">
        <v>46</v>
      </c>
      <c r="E4565" s="1662">
        <v>2.17</v>
      </c>
    </row>
    <row r="4566" spans="1:5" x14ac:dyDescent="0.2">
      <c r="A4566" s="135">
        <v>36789</v>
      </c>
      <c r="B4566" s="1926" t="s">
        <v>14166</v>
      </c>
      <c r="C4566" s="1926" t="s">
        <v>39</v>
      </c>
      <c r="D4566" s="1926" t="s">
        <v>40</v>
      </c>
      <c r="E4566" s="1662">
        <v>1.37</v>
      </c>
    </row>
    <row r="4567" spans="1:5" x14ac:dyDescent="0.2">
      <c r="A4567" s="135">
        <v>7173</v>
      </c>
      <c r="B4567" s="1926" t="s">
        <v>14167</v>
      </c>
      <c r="C4567" s="1926" t="s">
        <v>54</v>
      </c>
      <c r="D4567" s="1926" t="s">
        <v>43</v>
      </c>
      <c r="E4567" s="1662">
        <v>887.75</v>
      </c>
    </row>
    <row r="4568" spans="1:5" x14ac:dyDescent="0.2">
      <c r="A4568" s="135">
        <v>7175</v>
      </c>
      <c r="B4568" s="1926" t="s">
        <v>14168</v>
      </c>
      <c r="C4568" s="1926" t="s">
        <v>39</v>
      </c>
      <c r="D4568" s="1926" t="s">
        <v>40</v>
      </c>
      <c r="E4568" s="1662">
        <v>1</v>
      </c>
    </row>
    <row r="4569" spans="1:5" x14ac:dyDescent="0.2">
      <c r="A4569" s="135">
        <v>40865</v>
      </c>
      <c r="B4569" s="1926" t="s">
        <v>14169</v>
      </c>
      <c r="C4569" s="1926" t="s">
        <v>39</v>
      </c>
      <c r="D4569" s="1926" t="s">
        <v>40</v>
      </c>
      <c r="E4569" s="1662">
        <v>1.83</v>
      </c>
    </row>
    <row r="4570" spans="1:5" x14ac:dyDescent="0.2">
      <c r="A4570" s="135">
        <v>7184</v>
      </c>
      <c r="B4570" s="1926" t="s">
        <v>14170</v>
      </c>
      <c r="C4570" s="1926" t="s">
        <v>45</v>
      </c>
      <c r="D4570" s="1926" t="s">
        <v>46</v>
      </c>
      <c r="E4570" s="1662">
        <v>27.87</v>
      </c>
    </row>
    <row r="4571" spans="1:5" x14ac:dyDescent="0.2">
      <c r="A4571" s="135">
        <v>34458</v>
      </c>
      <c r="B4571" s="1926" t="s">
        <v>14171</v>
      </c>
      <c r="C4571" s="1926" t="s">
        <v>39</v>
      </c>
      <c r="D4571" s="1926" t="s">
        <v>40</v>
      </c>
      <c r="E4571" s="1662">
        <v>81.7</v>
      </c>
    </row>
    <row r="4572" spans="1:5" x14ac:dyDescent="0.2">
      <c r="A4572" s="135">
        <v>34464</v>
      </c>
      <c r="B4572" s="1926" t="s">
        <v>14172</v>
      </c>
      <c r="C4572" s="1926" t="s">
        <v>39</v>
      </c>
      <c r="D4572" s="1926" t="s">
        <v>40</v>
      </c>
      <c r="E4572" s="1662">
        <v>109.61</v>
      </c>
    </row>
    <row r="4573" spans="1:5" x14ac:dyDescent="0.2">
      <c r="A4573" s="135">
        <v>34468</v>
      </c>
      <c r="B4573" s="1926" t="s">
        <v>14173</v>
      </c>
      <c r="C4573" s="1926" t="s">
        <v>39</v>
      </c>
      <c r="D4573" s="1926" t="s">
        <v>40</v>
      </c>
      <c r="E4573" s="1662">
        <v>126.5</v>
      </c>
    </row>
    <row r="4574" spans="1:5" x14ac:dyDescent="0.2">
      <c r="A4574" s="135">
        <v>34473</v>
      </c>
      <c r="B4574" s="1926" t="s">
        <v>14174</v>
      </c>
      <c r="C4574" s="1926" t="s">
        <v>39</v>
      </c>
      <c r="D4574" s="1926" t="s">
        <v>40</v>
      </c>
      <c r="E4574" s="1662">
        <v>103.46</v>
      </c>
    </row>
    <row r="4575" spans="1:5" x14ac:dyDescent="0.2">
      <c r="A4575" s="135">
        <v>34480</v>
      </c>
      <c r="B4575" s="1926" t="s">
        <v>14175</v>
      </c>
      <c r="C4575" s="1926" t="s">
        <v>39</v>
      </c>
      <c r="D4575" s="1926" t="s">
        <v>40</v>
      </c>
      <c r="E4575" s="1662">
        <v>141.08000000000001</v>
      </c>
    </row>
    <row r="4576" spans="1:5" x14ac:dyDescent="0.2">
      <c r="A4576" s="135">
        <v>34486</v>
      </c>
      <c r="B4576" s="1926" t="s">
        <v>14176</v>
      </c>
      <c r="C4576" s="1926" t="s">
        <v>39</v>
      </c>
      <c r="D4576" s="1926" t="s">
        <v>40</v>
      </c>
      <c r="E4576" s="1662">
        <v>158.01</v>
      </c>
    </row>
    <row r="4577" spans="1:5" x14ac:dyDescent="0.2">
      <c r="A4577" s="135">
        <v>7202</v>
      </c>
      <c r="B4577" s="1926" t="s">
        <v>14177</v>
      </c>
      <c r="C4577" s="1926" t="s">
        <v>45</v>
      </c>
      <c r="D4577" s="1926" t="s">
        <v>40</v>
      </c>
      <c r="E4577" s="1662">
        <v>32.380000000000003</v>
      </c>
    </row>
    <row r="4578" spans="1:5" x14ac:dyDescent="0.2">
      <c r="A4578" s="135">
        <v>7190</v>
      </c>
      <c r="B4578" s="1926" t="s">
        <v>14178</v>
      </c>
      <c r="C4578" s="1926" t="s">
        <v>39</v>
      </c>
      <c r="D4578" s="1926" t="s">
        <v>40</v>
      </c>
      <c r="E4578" s="1662">
        <v>5.55</v>
      </c>
    </row>
    <row r="4579" spans="1:5" x14ac:dyDescent="0.2">
      <c r="A4579" s="135">
        <v>34417</v>
      </c>
      <c r="B4579" s="1926" t="s">
        <v>14179</v>
      </c>
      <c r="C4579" s="1926" t="s">
        <v>39</v>
      </c>
      <c r="D4579" s="1926" t="s">
        <v>40</v>
      </c>
      <c r="E4579" s="1662">
        <v>9.65</v>
      </c>
    </row>
    <row r="4580" spans="1:5" x14ac:dyDescent="0.2">
      <c r="A4580" s="135">
        <v>7191</v>
      </c>
      <c r="B4580" s="1926" t="s">
        <v>14180</v>
      </c>
      <c r="C4580" s="1926" t="s">
        <v>39</v>
      </c>
      <c r="D4580" s="1926" t="s">
        <v>40</v>
      </c>
      <c r="E4580" s="1662">
        <v>11.19</v>
      </c>
    </row>
    <row r="4581" spans="1:5" x14ac:dyDescent="0.2">
      <c r="A4581" s="135">
        <v>7213</v>
      </c>
      <c r="B4581" s="1926" t="s">
        <v>14180</v>
      </c>
      <c r="C4581" s="1926" t="s">
        <v>45</v>
      </c>
      <c r="D4581" s="1926" t="s">
        <v>40</v>
      </c>
      <c r="E4581" s="1662">
        <v>9.17</v>
      </c>
    </row>
    <row r="4582" spans="1:5" x14ac:dyDescent="0.2">
      <c r="A4582" s="135">
        <v>7195</v>
      </c>
      <c r="B4582" s="1926" t="s">
        <v>14181</v>
      </c>
      <c r="C4582" s="1926" t="s">
        <v>39</v>
      </c>
      <c r="D4582" s="1926" t="s">
        <v>40</v>
      </c>
      <c r="E4582" s="1662">
        <v>26.66</v>
      </c>
    </row>
    <row r="4583" spans="1:5" x14ac:dyDescent="0.2">
      <c r="A4583" s="135">
        <v>7186</v>
      </c>
      <c r="B4583" s="1926" t="s">
        <v>14182</v>
      </c>
      <c r="C4583" s="1926" t="s">
        <v>39</v>
      </c>
      <c r="D4583" s="1926" t="s">
        <v>43</v>
      </c>
      <c r="E4583" s="1662">
        <v>31.9</v>
      </c>
    </row>
    <row r="4584" spans="1:5" x14ac:dyDescent="0.2">
      <c r="A4584" s="135">
        <v>7194</v>
      </c>
      <c r="B4584" s="1926" t="s">
        <v>14183</v>
      </c>
      <c r="C4584" s="1926" t="s">
        <v>45</v>
      </c>
      <c r="D4584" s="1926" t="s">
        <v>40</v>
      </c>
      <c r="E4584" s="1662">
        <v>15.82</v>
      </c>
    </row>
    <row r="4585" spans="1:5" x14ac:dyDescent="0.2">
      <c r="A4585" s="135">
        <v>7207</v>
      </c>
      <c r="B4585" s="1926" t="s">
        <v>14183</v>
      </c>
      <c r="C4585" s="1926" t="s">
        <v>39</v>
      </c>
      <c r="D4585" s="1926" t="s">
        <v>40</v>
      </c>
      <c r="E4585" s="1662">
        <v>42.46</v>
      </c>
    </row>
    <row r="4586" spans="1:5" x14ac:dyDescent="0.2">
      <c r="A4586" s="135">
        <v>7197</v>
      </c>
      <c r="B4586" s="1926" t="s">
        <v>14184</v>
      </c>
      <c r="C4586" s="1926" t="s">
        <v>39</v>
      </c>
      <c r="D4586" s="1926" t="s">
        <v>40</v>
      </c>
      <c r="E4586" s="1662">
        <v>63.78</v>
      </c>
    </row>
    <row r="4587" spans="1:5" x14ac:dyDescent="0.2">
      <c r="A4587" s="135">
        <v>7192</v>
      </c>
      <c r="B4587" s="1926" t="s">
        <v>14185</v>
      </c>
      <c r="C4587" s="1926" t="s">
        <v>39</v>
      </c>
      <c r="D4587" s="1926" t="s">
        <v>40</v>
      </c>
      <c r="E4587" s="1662">
        <v>35.08</v>
      </c>
    </row>
    <row r="4588" spans="1:5" x14ac:dyDescent="0.2">
      <c r="A4588" s="135">
        <v>7193</v>
      </c>
      <c r="B4588" s="1926" t="s">
        <v>14186</v>
      </c>
      <c r="C4588" s="1926" t="s">
        <v>39</v>
      </c>
      <c r="D4588" s="1926" t="s">
        <v>40</v>
      </c>
      <c r="E4588" s="1662">
        <v>41.88</v>
      </c>
    </row>
    <row r="4589" spans="1:5" x14ac:dyDescent="0.2">
      <c r="A4589" s="135">
        <v>7189</v>
      </c>
      <c r="B4589" s="1926" t="s">
        <v>14187</v>
      </c>
      <c r="C4589" s="1926" t="s">
        <v>39</v>
      </c>
      <c r="D4589" s="1926" t="s">
        <v>40</v>
      </c>
      <c r="E4589" s="1662">
        <v>58.82</v>
      </c>
    </row>
    <row r="4590" spans="1:5" x14ac:dyDescent="0.2">
      <c r="A4590" s="135">
        <v>7198</v>
      </c>
      <c r="B4590" s="1926" t="s">
        <v>14188</v>
      </c>
      <c r="C4590" s="1926" t="s">
        <v>45</v>
      </c>
      <c r="D4590" s="1926" t="s">
        <v>40</v>
      </c>
      <c r="E4590" s="1662">
        <v>21.89</v>
      </c>
    </row>
    <row r="4591" spans="1:5" x14ac:dyDescent="0.2">
      <c r="A4591" s="135">
        <v>34402</v>
      </c>
      <c r="B4591" s="1926" t="s">
        <v>14188</v>
      </c>
      <c r="C4591" s="1926" t="s">
        <v>39</v>
      </c>
      <c r="D4591" s="1926" t="s">
        <v>40</v>
      </c>
      <c r="E4591" s="1662">
        <v>88.16</v>
      </c>
    </row>
    <row r="4592" spans="1:5" x14ac:dyDescent="0.2">
      <c r="A4592" s="135">
        <v>7245</v>
      </c>
      <c r="B4592" s="1926" t="s">
        <v>14189</v>
      </c>
      <c r="C4592" s="1926" t="s">
        <v>39</v>
      </c>
      <c r="D4592" s="1926" t="s">
        <v>40</v>
      </c>
      <c r="E4592" s="1662">
        <v>27.14</v>
      </c>
    </row>
    <row r="4593" spans="1:5" x14ac:dyDescent="0.2">
      <c r="A4593" s="135">
        <v>34425</v>
      </c>
      <c r="B4593" s="1926" t="s">
        <v>14190</v>
      </c>
      <c r="C4593" s="1926" t="s">
        <v>39</v>
      </c>
      <c r="D4593" s="1926" t="s">
        <v>40</v>
      </c>
      <c r="E4593" s="1662">
        <v>54.52</v>
      </c>
    </row>
    <row r="4594" spans="1:5" x14ac:dyDescent="0.2">
      <c r="A4594" s="135">
        <v>7223</v>
      </c>
      <c r="B4594" s="1926" t="s">
        <v>14191</v>
      </c>
      <c r="C4594" s="1926" t="s">
        <v>39</v>
      </c>
      <c r="D4594" s="1926" t="s">
        <v>40</v>
      </c>
      <c r="E4594" s="1662">
        <v>63.54</v>
      </c>
    </row>
    <row r="4595" spans="1:5" x14ac:dyDescent="0.2">
      <c r="A4595" s="135">
        <v>7234</v>
      </c>
      <c r="B4595" s="1926" t="s">
        <v>14192</v>
      </c>
      <c r="C4595" s="1926" t="s">
        <v>39</v>
      </c>
      <c r="D4595" s="1926" t="s">
        <v>40</v>
      </c>
      <c r="E4595" s="1662">
        <v>91.65</v>
      </c>
    </row>
    <row r="4596" spans="1:5" x14ac:dyDescent="0.2">
      <c r="A4596" s="135">
        <v>7224</v>
      </c>
      <c r="B4596" s="1926" t="s">
        <v>14193</v>
      </c>
      <c r="C4596" s="1926" t="s">
        <v>39</v>
      </c>
      <c r="D4596" s="1926" t="s">
        <v>40</v>
      </c>
      <c r="E4596" s="1662">
        <v>101.23</v>
      </c>
    </row>
    <row r="4597" spans="1:5" x14ac:dyDescent="0.2">
      <c r="A4597" s="135">
        <v>7221</v>
      </c>
      <c r="B4597" s="1926" t="s">
        <v>14194</v>
      </c>
      <c r="C4597" s="1926" t="s">
        <v>45</v>
      </c>
      <c r="D4597" s="1926" t="s">
        <v>40</v>
      </c>
      <c r="E4597" s="1662">
        <v>49.22</v>
      </c>
    </row>
    <row r="4598" spans="1:5" x14ac:dyDescent="0.2">
      <c r="A4598" s="135">
        <v>7210</v>
      </c>
      <c r="B4598" s="1926" t="s">
        <v>14194</v>
      </c>
      <c r="C4598" s="1926" t="s">
        <v>39</v>
      </c>
      <c r="D4598" s="1926" t="s">
        <v>40</v>
      </c>
      <c r="E4598" s="1662">
        <v>115.18</v>
      </c>
    </row>
    <row r="4599" spans="1:5" x14ac:dyDescent="0.2">
      <c r="A4599" s="135">
        <v>7225</v>
      </c>
      <c r="B4599" s="1926" t="s">
        <v>14195</v>
      </c>
      <c r="C4599" s="1926" t="s">
        <v>39</v>
      </c>
      <c r="D4599" s="1926" t="s">
        <v>40</v>
      </c>
      <c r="E4599" s="1662">
        <v>127.98</v>
      </c>
    </row>
    <row r="4600" spans="1:5" x14ac:dyDescent="0.2">
      <c r="A4600" s="135">
        <v>7226</v>
      </c>
      <c r="B4600" s="1926" t="s">
        <v>14196</v>
      </c>
      <c r="C4600" s="1926" t="s">
        <v>39</v>
      </c>
      <c r="D4600" s="1926" t="s">
        <v>40</v>
      </c>
      <c r="E4600" s="1662">
        <v>140.84</v>
      </c>
    </row>
    <row r="4601" spans="1:5" x14ac:dyDescent="0.2">
      <c r="A4601" s="135">
        <v>7236</v>
      </c>
      <c r="B4601" s="1926" t="s">
        <v>14197</v>
      </c>
      <c r="C4601" s="1926" t="s">
        <v>39</v>
      </c>
      <c r="D4601" s="1926" t="s">
        <v>40</v>
      </c>
      <c r="E4601" s="1662">
        <v>153.6</v>
      </c>
    </row>
    <row r="4602" spans="1:5" x14ac:dyDescent="0.2">
      <c r="A4602" s="135">
        <v>7227</v>
      </c>
      <c r="B4602" s="1926" t="s">
        <v>14198</v>
      </c>
      <c r="C4602" s="1926" t="s">
        <v>39</v>
      </c>
      <c r="D4602" s="1926" t="s">
        <v>40</v>
      </c>
      <c r="E4602" s="1662">
        <v>166.41</v>
      </c>
    </row>
    <row r="4603" spans="1:5" x14ac:dyDescent="0.2">
      <c r="A4603" s="135">
        <v>7212</v>
      </c>
      <c r="B4603" s="1926" t="s">
        <v>14199</v>
      </c>
      <c r="C4603" s="1926" t="s">
        <v>39</v>
      </c>
      <c r="D4603" s="1926" t="s">
        <v>40</v>
      </c>
      <c r="E4603" s="1662">
        <v>184.25</v>
      </c>
    </row>
    <row r="4604" spans="1:5" x14ac:dyDescent="0.2">
      <c r="A4604" s="135">
        <v>7229</v>
      </c>
      <c r="B4604" s="1926" t="s">
        <v>14200</v>
      </c>
      <c r="C4604" s="1926" t="s">
        <v>39</v>
      </c>
      <c r="D4604" s="1926" t="s">
        <v>40</v>
      </c>
      <c r="E4604" s="1662">
        <v>121.84</v>
      </c>
    </row>
    <row r="4605" spans="1:5" x14ac:dyDescent="0.2">
      <c r="A4605" s="135">
        <v>7230</v>
      </c>
      <c r="B4605" s="1926" t="s">
        <v>14201</v>
      </c>
      <c r="C4605" s="1926" t="s">
        <v>39</v>
      </c>
      <c r="D4605" s="1926" t="s">
        <v>40</v>
      </c>
      <c r="E4605" s="1662">
        <v>194.17</v>
      </c>
    </row>
    <row r="4606" spans="1:5" x14ac:dyDescent="0.2">
      <c r="A4606" s="135">
        <v>7231</v>
      </c>
      <c r="B4606" s="1926" t="s">
        <v>14202</v>
      </c>
      <c r="C4606" s="1926" t="s">
        <v>39</v>
      </c>
      <c r="D4606" s="1926" t="s">
        <v>40</v>
      </c>
      <c r="E4606" s="1662">
        <v>255</v>
      </c>
    </row>
    <row r="4607" spans="1:5" x14ac:dyDescent="0.2">
      <c r="A4607" s="135">
        <v>7220</v>
      </c>
      <c r="B4607" s="1926" t="s">
        <v>14203</v>
      </c>
      <c r="C4607" s="1926" t="s">
        <v>39</v>
      </c>
      <c r="D4607" s="1926" t="s">
        <v>40</v>
      </c>
      <c r="E4607" s="1662">
        <v>313.5</v>
      </c>
    </row>
    <row r="4608" spans="1:5" x14ac:dyDescent="0.2">
      <c r="A4608" s="135">
        <v>34447</v>
      </c>
      <c r="B4608" s="1926" t="s">
        <v>14204</v>
      </c>
      <c r="C4608" s="1926" t="s">
        <v>39</v>
      </c>
      <c r="D4608" s="1926" t="s">
        <v>40</v>
      </c>
      <c r="E4608" s="1662">
        <v>348.94</v>
      </c>
    </row>
    <row r="4609" spans="1:5" x14ac:dyDescent="0.2">
      <c r="A4609" s="135">
        <v>7233</v>
      </c>
      <c r="B4609" s="1926" t="s">
        <v>14205</v>
      </c>
      <c r="C4609" s="1926" t="s">
        <v>39</v>
      </c>
      <c r="D4609" s="1926" t="s">
        <v>40</v>
      </c>
      <c r="E4609" s="1662">
        <v>390.65</v>
      </c>
    </row>
    <row r="4610" spans="1:5" x14ac:dyDescent="0.2">
      <c r="A4610" s="135">
        <v>42172</v>
      </c>
      <c r="B4610" s="1926" t="s">
        <v>14206</v>
      </c>
      <c r="C4610" s="1926" t="s">
        <v>45</v>
      </c>
      <c r="D4610" s="1926" t="s">
        <v>46</v>
      </c>
      <c r="E4610" s="1662">
        <v>136.65</v>
      </c>
    </row>
    <row r="4611" spans="1:5" x14ac:dyDescent="0.2">
      <c r="A4611" s="135">
        <v>25007</v>
      </c>
      <c r="B4611" s="1926" t="s">
        <v>14207</v>
      </c>
      <c r="C4611" s="1926" t="s">
        <v>45</v>
      </c>
      <c r="D4611" s="1926" t="s">
        <v>46</v>
      </c>
      <c r="E4611" s="1662">
        <v>30.45</v>
      </c>
    </row>
    <row r="4612" spans="1:5" x14ac:dyDescent="0.2">
      <c r="A4612" s="135">
        <v>43071</v>
      </c>
      <c r="B4612" s="1926" t="s">
        <v>14208</v>
      </c>
      <c r="C4612" s="1926" t="s">
        <v>45</v>
      </c>
      <c r="D4612" s="1926" t="s">
        <v>46</v>
      </c>
      <c r="E4612" s="1662">
        <v>119.82</v>
      </c>
    </row>
    <row r="4613" spans="1:5" x14ac:dyDescent="0.2">
      <c r="A4613" s="135">
        <v>39520</v>
      </c>
      <c r="B4613" s="1926" t="s">
        <v>14209</v>
      </c>
      <c r="C4613" s="1926" t="s">
        <v>45</v>
      </c>
      <c r="D4613" s="1926" t="s">
        <v>46</v>
      </c>
      <c r="E4613" s="1662">
        <v>97.75</v>
      </c>
    </row>
    <row r="4614" spans="1:5" x14ac:dyDescent="0.2">
      <c r="A4614" s="135">
        <v>39521</v>
      </c>
      <c r="B4614" s="1926" t="s">
        <v>14210</v>
      </c>
      <c r="C4614" s="1926" t="s">
        <v>45</v>
      </c>
      <c r="D4614" s="1926" t="s">
        <v>46</v>
      </c>
      <c r="E4614" s="1662">
        <v>100.95</v>
      </c>
    </row>
    <row r="4615" spans="1:5" x14ac:dyDescent="0.2">
      <c r="A4615" s="135">
        <v>39522</v>
      </c>
      <c r="B4615" s="1926" t="s">
        <v>14211</v>
      </c>
      <c r="C4615" s="1926" t="s">
        <v>45</v>
      </c>
      <c r="D4615" s="1926" t="s">
        <v>46</v>
      </c>
      <c r="E4615" s="1662">
        <v>104.24</v>
      </c>
    </row>
    <row r="4616" spans="1:5" x14ac:dyDescent="0.2">
      <c r="A4616" s="135">
        <v>7243</v>
      </c>
      <c r="B4616" s="1926" t="s">
        <v>14212</v>
      </c>
      <c r="C4616" s="1926" t="s">
        <v>45</v>
      </c>
      <c r="D4616" s="1926" t="s">
        <v>46</v>
      </c>
      <c r="E4616" s="1662">
        <v>31.82</v>
      </c>
    </row>
    <row r="4617" spans="1:5" x14ac:dyDescent="0.2">
      <c r="A4617" s="135">
        <v>11067</v>
      </c>
      <c r="B4617" s="1926" t="s">
        <v>14213</v>
      </c>
      <c r="C4617" s="1926" t="s">
        <v>39</v>
      </c>
      <c r="D4617" s="1926" t="s">
        <v>46</v>
      </c>
      <c r="E4617" s="1662">
        <v>655.86</v>
      </c>
    </row>
    <row r="4618" spans="1:5" x14ac:dyDescent="0.2">
      <c r="A4618" s="135">
        <v>11068</v>
      </c>
      <c r="B4618" s="1926" t="s">
        <v>14214</v>
      </c>
      <c r="C4618" s="1926" t="s">
        <v>39</v>
      </c>
      <c r="D4618" s="1926" t="s">
        <v>46</v>
      </c>
      <c r="E4618" s="1662">
        <v>828.58</v>
      </c>
    </row>
    <row r="4619" spans="1:5" x14ac:dyDescent="0.2">
      <c r="A4619" s="135">
        <v>7246</v>
      </c>
      <c r="B4619" s="1926" t="s">
        <v>14215</v>
      </c>
      <c r="C4619" s="1926" t="s">
        <v>39</v>
      </c>
      <c r="D4619" s="1926" t="s">
        <v>40</v>
      </c>
      <c r="E4619" s="1662">
        <v>25.26</v>
      </c>
    </row>
    <row r="4620" spans="1:5" x14ac:dyDescent="0.2">
      <c r="A4620" s="135">
        <v>12869</v>
      </c>
      <c r="B4620" s="1926" t="s">
        <v>14216</v>
      </c>
      <c r="C4620" s="1926" t="s">
        <v>42</v>
      </c>
      <c r="D4620" s="1926" t="s">
        <v>40</v>
      </c>
      <c r="E4620" s="1662">
        <v>15.42</v>
      </c>
    </row>
    <row r="4621" spans="1:5" x14ac:dyDescent="0.2">
      <c r="A4621" s="135">
        <v>41097</v>
      </c>
      <c r="B4621" s="1926" t="s">
        <v>14217</v>
      </c>
      <c r="C4621" s="1926" t="s">
        <v>51</v>
      </c>
      <c r="D4621" s="1926" t="s">
        <v>40</v>
      </c>
      <c r="E4621" s="1662">
        <v>2752.77</v>
      </c>
    </row>
    <row r="4622" spans="1:5" x14ac:dyDescent="0.2">
      <c r="A4622" s="135">
        <v>1574</v>
      </c>
      <c r="B4622" s="1926" t="s">
        <v>14218</v>
      </c>
      <c r="C4622" s="1926" t="s">
        <v>39</v>
      </c>
      <c r="D4622" s="1926" t="s">
        <v>40</v>
      </c>
      <c r="E4622" s="1662">
        <v>1.03</v>
      </c>
    </row>
    <row r="4623" spans="1:5" x14ac:dyDescent="0.2">
      <c r="A4623" s="135">
        <v>1581</v>
      </c>
      <c r="B4623" s="1926" t="s">
        <v>14219</v>
      </c>
      <c r="C4623" s="1926" t="s">
        <v>39</v>
      </c>
      <c r="D4623" s="1926" t="s">
        <v>40</v>
      </c>
      <c r="E4623" s="1662">
        <v>7.15</v>
      </c>
    </row>
    <row r="4624" spans="1:5" x14ac:dyDescent="0.2">
      <c r="A4624" s="135">
        <v>1575</v>
      </c>
      <c r="B4624" s="1926" t="s">
        <v>14220</v>
      </c>
      <c r="C4624" s="1926" t="s">
        <v>39</v>
      </c>
      <c r="D4624" s="1926" t="s">
        <v>40</v>
      </c>
      <c r="E4624" s="1662">
        <v>1.22</v>
      </c>
    </row>
    <row r="4625" spans="1:5" x14ac:dyDescent="0.2">
      <c r="A4625" s="135">
        <v>1570</v>
      </c>
      <c r="B4625" s="1926" t="s">
        <v>14221</v>
      </c>
      <c r="C4625" s="1926" t="s">
        <v>39</v>
      </c>
      <c r="D4625" s="1926" t="s">
        <v>40</v>
      </c>
      <c r="E4625" s="1662">
        <v>0.61</v>
      </c>
    </row>
    <row r="4626" spans="1:5" x14ac:dyDescent="0.2">
      <c r="A4626" s="135">
        <v>1576</v>
      </c>
      <c r="B4626" s="1926" t="s">
        <v>14222</v>
      </c>
      <c r="C4626" s="1926" t="s">
        <v>39</v>
      </c>
      <c r="D4626" s="1926" t="s">
        <v>40</v>
      </c>
      <c r="E4626" s="1662">
        <v>1.69</v>
      </c>
    </row>
    <row r="4627" spans="1:5" x14ac:dyDescent="0.2">
      <c r="A4627" s="135">
        <v>1577</v>
      </c>
      <c r="B4627" s="1926" t="s">
        <v>14223</v>
      </c>
      <c r="C4627" s="1926" t="s">
        <v>39</v>
      </c>
      <c r="D4627" s="1926" t="s">
        <v>40</v>
      </c>
      <c r="E4627" s="1662">
        <v>1.91</v>
      </c>
    </row>
    <row r="4628" spans="1:5" x14ac:dyDescent="0.2">
      <c r="A4628" s="135">
        <v>1571</v>
      </c>
      <c r="B4628" s="1926" t="s">
        <v>14224</v>
      </c>
      <c r="C4628" s="1926" t="s">
        <v>39</v>
      </c>
      <c r="D4628" s="1926" t="s">
        <v>40</v>
      </c>
      <c r="E4628" s="1662">
        <v>0.8</v>
      </c>
    </row>
    <row r="4629" spans="1:5" x14ac:dyDescent="0.2">
      <c r="A4629" s="135">
        <v>1578</v>
      </c>
      <c r="B4629" s="1926" t="s">
        <v>14225</v>
      </c>
      <c r="C4629" s="1926" t="s">
        <v>39</v>
      </c>
      <c r="D4629" s="1926" t="s">
        <v>40</v>
      </c>
      <c r="E4629" s="1662">
        <v>3.31</v>
      </c>
    </row>
    <row r="4630" spans="1:5" x14ac:dyDescent="0.2">
      <c r="A4630" s="135">
        <v>1573</v>
      </c>
      <c r="B4630" s="1926" t="s">
        <v>14226</v>
      </c>
      <c r="C4630" s="1926" t="s">
        <v>39</v>
      </c>
      <c r="D4630" s="1926" t="s">
        <v>40</v>
      </c>
      <c r="E4630" s="1662">
        <v>0.95</v>
      </c>
    </row>
    <row r="4631" spans="1:5" x14ac:dyDescent="0.2">
      <c r="A4631" s="135">
        <v>1579</v>
      </c>
      <c r="B4631" s="1926" t="s">
        <v>14227</v>
      </c>
      <c r="C4631" s="1926" t="s">
        <v>39</v>
      </c>
      <c r="D4631" s="1926" t="s">
        <v>40</v>
      </c>
      <c r="E4631" s="1662">
        <v>4.13</v>
      </c>
    </row>
    <row r="4632" spans="1:5" x14ac:dyDescent="0.2">
      <c r="A4632" s="135">
        <v>1580</v>
      </c>
      <c r="B4632" s="1926" t="s">
        <v>14228</v>
      </c>
      <c r="C4632" s="1926" t="s">
        <v>39</v>
      </c>
      <c r="D4632" s="1926" t="s">
        <v>40</v>
      </c>
      <c r="E4632" s="1662">
        <v>5.08</v>
      </c>
    </row>
    <row r="4633" spans="1:5" x14ac:dyDescent="0.2">
      <c r="A4633" s="135">
        <v>7571</v>
      </c>
      <c r="B4633" s="1926" t="s">
        <v>14229</v>
      </c>
      <c r="C4633" s="1926" t="s">
        <v>39</v>
      </c>
      <c r="D4633" s="1926" t="s">
        <v>40</v>
      </c>
      <c r="E4633" s="1662">
        <v>11.98</v>
      </c>
    </row>
    <row r="4634" spans="1:5" x14ac:dyDescent="0.2">
      <c r="A4634" s="135">
        <v>39321</v>
      </c>
      <c r="B4634" s="1926" t="s">
        <v>14230</v>
      </c>
      <c r="C4634" s="1926" t="s">
        <v>39</v>
      </c>
      <c r="D4634" s="1926" t="s">
        <v>40</v>
      </c>
      <c r="E4634" s="1662">
        <v>11.49</v>
      </c>
    </row>
    <row r="4635" spans="1:5" x14ac:dyDescent="0.2">
      <c r="A4635" s="135">
        <v>39319</v>
      </c>
      <c r="B4635" s="1926" t="s">
        <v>14231</v>
      </c>
      <c r="C4635" s="1926" t="s">
        <v>39</v>
      </c>
      <c r="D4635" s="1926" t="s">
        <v>40</v>
      </c>
      <c r="E4635" s="1662">
        <v>4.49</v>
      </c>
    </row>
    <row r="4636" spans="1:5" x14ac:dyDescent="0.2">
      <c r="A4636" s="135">
        <v>39320</v>
      </c>
      <c r="B4636" s="1926" t="s">
        <v>14232</v>
      </c>
      <c r="C4636" s="1926" t="s">
        <v>39</v>
      </c>
      <c r="D4636" s="1926" t="s">
        <v>40</v>
      </c>
      <c r="E4636" s="1662">
        <v>7.46</v>
      </c>
    </row>
    <row r="4637" spans="1:5" x14ac:dyDescent="0.2">
      <c r="A4637" s="135">
        <v>1591</v>
      </c>
      <c r="B4637" s="1926" t="s">
        <v>14233</v>
      </c>
      <c r="C4637" s="1926" t="s">
        <v>39</v>
      </c>
      <c r="D4637" s="1926" t="s">
        <v>40</v>
      </c>
      <c r="E4637" s="1662">
        <v>15.77</v>
      </c>
    </row>
    <row r="4638" spans="1:5" x14ac:dyDescent="0.2">
      <c r="A4638" s="135">
        <v>1547</v>
      </c>
      <c r="B4638" s="1926" t="s">
        <v>14234</v>
      </c>
      <c r="C4638" s="1926" t="s">
        <v>39</v>
      </c>
      <c r="D4638" s="1926" t="s">
        <v>40</v>
      </c>
      <c r="E4638" s="1662">
        <v>82.65</v>
      </c>
    </row>
    <row r="4639" spans="1:5" x14ac:dyDescent="0.2">
      <c r="A4639" s="135">
        <v>38196</v>
      </c>
      <c r="B4639" s="1926" t="s">
        <v>14235</v>
      </c>
      <c r="C4639" s="1926" t="s">
        <v>39</v>
      </c>
      <c r="D4639" s="1926" t="s">
        <v>40</v>
      </c>
      <c r="E4639" s="1662">
        <v>16.09</v>
      </c>
    </row>
    <row r="4640" spans="1:5" x14ac:dyDescent="0.2">
      <c r="A4640" s="135">
        <v>1543</v>
      </c>
      <c r="B4640" s="1926" t="s">
        <v>14236</v>
      </c>
      <c r="C4640" s="1926" t="s">
        <v>39</v>
      </c>
      <c r="D4640" s="1926" t="s">
        <v>40</v>
      </c>
      <c r="E4640" s="1662">
        <v>17.100000000000001</v>
      </c>
    </row>
    <row r="4641" spans="1:5" x14ac:dyDescent="0.2">
      <c r="A4641" s="135">
        <v>1585</v>
      </c>
      <c r="B4641" s="1926" t="s">
        <v>14237</v>
      </c>
      <c r="C4641" s="1926" t="s">
        <v>39</v>
      </c>
      <c r="D4641" s="1926" t="s">
        <v>40</v>
      </c>
      <c r="E4641" s="1662">
        <v>3.31</v>
      </c>
    </row>
    <row r="4642" spans="1:5" x14ac:dyDescent="0.2">
      <c r="A4642" s="135">
        <v>1593</v>
      </c>
      <c r="B4642" s="1926" t="s">
        <v>14238</v>
      </c>
      <c r="C4642" s="1926" t="s">
        <v>39</v>
      </c>
      <c r="D4642" s="1926" t="s">
        <v>40</v>
      </c>
      <c r="E4642" s="1662">
        <v>17.59</v>
      </c>
    </row>
    <row r="4643" spans="1:5" x14ac:dyDescent="0.2">
      <c r="A4643" s="135">
        <v>11838</v>
      </c>
      <c r="B4643" s="1926" t="s">
        <v>14239</v>
      </c>
      <c r="C4643" s="1926" t="s">
        <v>39</v>
      </c>
      <c r="D4643" s="1926" t="s">
        <v>40</v>
      </c>
      <c r="E4643" s="1662">
        <v>23.21</v>
      </c>
    </row>
    <row r="4644" spans="1:5" x14ac:dyDescent="0.2">
      <c r="A4644" s="135">
        <v>1594</v>
      </c>
      <c r="B4644" s="1926" t="s">
        <v>14240</v>
      </c>
      <c r="C4644" s="1926" t="s">
        <v>39</v>
      </c>
      <c r="D4644" s="1926" t="s">
        <v>40</v>
      </c>
      <c r="E4644" s="1662">
        <v>23.46</v>
      </c>
    </row>
    <row r="4645" spans="1:5" x14ac:dyDescent="0.2">
      <c r="A4645" s="135">
        <v>1586</v>
      </c>
      <c r="B4645" s="1926" t="s">
        <v>14241</v>
      </c>
      <c r="C4645" s="1926" t="s">
        <v>39</v>
      </c>
      <c r="D4645" s="1926" t="s">
        <v>40</v>
      </c>
      <c r="E4645" s="1662">
        <v>4.1900000000000004</v>
      </c>
    </row>
    <row r="4646" spans="1:5" x14ac:dyDescent="0.2">
      <c r="A4646" s="135">
        <v>11839</v>
      </c>
      <c r="B4646" s="1926" t="s">
        <v>14242</v>
      </c>
      <c r="C4646" s="1926" t="s">
        <v>39</v>
      </c>
      <c r="D4646" s="1926" t="s">
        <v>40</v>
      </c>
      <c r="E4646" s="1662">
        <v>33.770000000000003</v>
      </c>
    </row>
    <row r="4647" spans="1:5" x14ac:dyDescent="0.2">
      <c r="A4647" s="135">
        <v>1587</v>
      </c>
      <c r="B4647" s="1926" t="s">
        <v>14243</v>
      </c>
      <c r="C4647" s="1926" t="s">
        <v>39</v>
      </c>
      <c r="D4647" s="1926" t="s">
        <v>40</v>
      </c>
      <c r="E4647" s="1662">
        <v>4.2699999999999996</v>
      </c>
    </row>
    <row r="4648" spans="1:5" x14ac:dyDescent="0.2">
      <c r="A4648" s="135">
        <v>1545</v>
      </c>
      <c r="B4648" s="1926" t="s">
        <v>14244</v>
      </c>
      <c r="C4648" s="1926" t="s">
        <v>39</v>
      </c>
      <c r="D4648" s="1926" t="s">
        <v>40</v>
      </c>
      <c r="E4648" s="1662">
        <v>40.53</v>
      </c>
    </row>
    <row r="4649" spans="1:5" x14ac:dyDescent="0.2">
      <c r="A4649" s="135">
        <v>1588</v>
      </c>
      <c r="B4649" s="1926" t="s">
        <v>14245</v>
      </c>
      <c r="C4649" s="1926" t="s">
        <v>39</v>
      </c>
      <c r="D4649" s="1926" t="s">
        <v>40</v>
      </c>
      <c r="E4649" s="1662">
        <v>5.85</v>
      </c>
    </row>
    <row r="4650" spans="1:5" x14ac:dyDescent="0.2">
      <c r="A4650" s="135">
        <v>1535</v>
      </c>
      <c r="B4650" s="1926" t="s">
        <v>14246</v>
      </c>
      <c r="C4650" s="1926" t="s">
        <v>39</v>
      </c>
      <c r="D4650" s="1926" t="s">
        <v>40</v>
      </c>
      <c r="E4650" s="1662">
        <v>3.37</v>
      </c>
    </row>
    <row r="4651" spans="1:5" x14ac:dyDescent="0.2">
      <c r="A4651" s="135">
        <v>1589</v>
      </c>
      <c r="B4651" s="1926" t="s">
        <v>14247</v>
      </c>
      <c r="C4651" s="1926" t="s">
        <v>39</v>
      </c>
      <c r="D4651" s="1926" t="s">
        <v>40</v>
      </c>
      <c r="E4651" s="1662">
        <v>6.04</v>
      </c>
    </row>
    <row r="4652" spans="1:5" x14ac:dyDescent="0.2">
      <c r="A4652" s="135">
        <v>1546</v>
      </c>
      <c r="B4652" s="1926" t="s">
        <v>14248</v>
      </c>
      <c r="C4652" s="1926" t="s">
        <v>39</v>
      </c>
      <c r="D4652" s="1926" t="s">
        <v>40</v>
      </c>
      <c r="E4652" s="1662">
        <v>68.39</v>
      </c>
    </row>
    <row r="4653" spans="1:5" x14ac:dyDescent="0.2">
      <c r="A4653" s="135">
        <v>1590</v>
      </c>
      <c r="B4653" s="1926" t="s">
        <v>14249</v>
      </c>
      <c r="C4653" s="1926" t="s">
        <v>39</v>
      </c>
      <c r="D4653" s="1926" t="s">
        <v>40</v>
      </c>
      <c r="E4653" s="1662">
        <v>10.63</v>
      </c>
    </row>
    <row r="4654" spans="1:5" x14ac:dyDescent="0.2">
      <c r="A4654" s="135">
        <v>1542</v>
      </c>
      <c r="B4654" s="1926" t="s">
        <v>14250</v>
      </c>
      <c r="C4654" s="1926" t="s">
        <v>39</v>
      </c>
      <c r="D4654" s="1926" t="s">
        <v>40</v>
      </c>
      <c r="E4654" s="1662">
        <v>14.09</v>
      </c>
    </row>
    <row r="4655" spans="1:5" x14ac:dyDescent="0.2">
      <c r="A4655" s="135">
        <v>38415</v>
      </c>
      <c r="B4655" s="1926" t="s">
        <v>14251</v>
      </c>
      <c r="C4655" s="1926" t="s">
        <v>39</v>
      </c>
      <c r="D4655" s="1926" t="s">
        <v>40</v>
      </c>
      <c r="E4655" s="1662">
        <v>661.01</v>
      </c>
    </row>
    <row r="4656" spans="1:5" x14ac:dyDescent="0.2">
      <c r="A4656" s="135">
        <v>38414</v>
      </c>
      <c r="B4656" s="1926" t="s">
        <v>14252</v>
      </c>
      <c r="C4656" s="1926" t="s">
        <v>39</v>
      </c>
      <c r="D4656" s="1926" t="s">
        <v>40</v>
      </c>
      <c r="E4656" s="1662">
        <v>927.73</v>
      </c>
    </row>
    <row r="4657" spans="1:5" x14ac:dyDescent="0.2">
      <c r="A4657" s="135">
        <v>38128</v>
      </c>
      <c r="B4657" s="1926" t="s">
        <v>14253</v>
      </c>
      <c r="C4657" s="1926" t="s">
        <v>48</v>
      </c>
      <c r="D4657" s="1926" t="s">
        <v>43</v>
      </c>
      <c r="E4657" s="1662">
        <v>0.5</v>
      </c>
    </row>
    <row r="4658" spans="1:5" x14ac:dyDescent="0.2">
      <c r="A4658" s="135">
        <v>7253</v>
      </c>
      <c r="B4658" s="1926" t="s">
        <v>14254</v>
      </c>
      <c r="C4658" s="1926" t="s">
        <v>44</v>
      </c>
      <c r="D4658" s="1926" t="s">
        <v>40</v>
      </c>
      <c r="E4658" s="1662">
        <v>107.14</v>
      </c>
    </row>
    <row r="4659" spans="1:5" x14ac:dyDescent="0.2">
      <c r="A4659" s="135">
        <v>4806</v>
      </c>
      <c r="B4659" s="1926" t="s">
        <v>14255</v>
      </c>
      <c r="C4659" s="1926" t="s">
        <v>47</v>
      </c>
      <c r="D4659" s="1926" t="s">
        <v>40</v>
      </c>
      <c r="E4659" s="1662">
        <v>12.47</v>
      </c>
    </row>
    <row r="4660" spans="1:5" x14ac:dyDescent="0.2">
      <c r="A4660" s="135">
        <v>34401</v>
      </c>
      <c r="B4660" s="1926" t="s">
        <v>14256</v>
      </c>
      <c r="C4660" s="1926" t="s">
        <v>39</v>
      </c>
      <c r="D4660" s="1926" t="s">
        <v>40</v>
      </c>
      <c r="E4660" s="1662">
        <v>0.98</v>
      </c>
    </row>
    <row r="4661" spans="1:5" x14ac:dyDescent="0.2">
      <c r="A4661" s="135">
        <v>7258</v>
      </c>
      <c r="B4661" s="1926" t="s">
        <v>14257</v>
      </c>
      <c r="C4661" s="1926" t="s">
        <v>39</v>
      </c>
      <c r="D4661" s="1926" t="s">
        <v>40</v>
      </c>
      <c r="E4661" s="1662">
        <v>0.31</v>
      </c>
    </row>
    <row r="4662" spans="1:5" x14ac:dyDescent="0.2">
      <c r="A4662" s="135">
        <v>7260</v>
      </c>
      <c r="B4662" s="1926" t="s">
        <v>14258</v>
      </c>
      <c r="C4662" s="1926" t="s">
        <v>39</v>
      </c>
      <c r="D4662" s="1926" t="s">
        <v>40</v>
      </c>
      <c r="E4662" s="1662">
        <v>0.95</v>
      </c>
    </row>
    <row r="4663" spans="1:5" x14ac:dyDescent="0.2">
      <c r="A4663" s="135">
        <v>7256</v>
      </c>
      <c r="B4663" s="1926" t="s">
        <v>14259</v>
      </c>
      <c r="C4663" s="1926" t="s">
        <v>39</v>
      </c>
      <c r="D4663" s="1926" t="s">
        <v>40</v>
      </c>
      <c r="E4663" s="1662">
        <v>0.55000000000000004</v>
      </c>
    </row>
    <row r="4664" spans="1:5" x14ac:dyDescent="0.2">
      <c r="A4664" s="135">
        <v>34400</v>
      </c>
      <c r="B4664" s="1926" t="s">
        <v>14260</v>
      </c>
      <c r="C4664" s="1926" t="s">
        <v>39</v>
      </c>
      <c r="D4664" s="1926" t="s">
        <v>40</v>
      </c>
      <c r="E4664" s="1662">
        <v>2.39</v>
      </c>
    </row>
    <row r="4665" spans="1:5" x14ac:dyDescent="0.2">
      <c r="A4665" s="135">
        <v>10617</v>
      </c>
      <c r="B4665" s="1926" t="s">
        <v>14261</v>
      </c>
      <c r="C4665" s="1926" t="s">
        <v>39</v>
      </c>
      <c r="D4665" s="1926" t="s">
        <v>40</v>
      </c>
      <c r="E4665" s="1662">
        <v>3.34</v>
      </c>
    </row>
    <row r="4666" spans="1:5" x14ac:dyDescent="0.2">
      <c r="A4666" s="135">
        <v>7274</v>
      </c>
      <c r="B4666" s="1926" t="s">
        <v>14262</v>
      </c>
      <c r="C4666" s="1926" t="s">
        <v>39</v>
      </c>
      <c r="D4666" s="1926" t="s">
        <v>46</v>
      </c>
      <c r="E4666" s="1662">
        <v>31.98</v>
      </c>
    </row>
    <row r="4667" spans="1:5" x14ac:dyDescent="0.2">
      <c r="A4667" s="135">
        <v>11663</v>
      </c>
      <c r="B4667" s="1926" t="s">
        <v>14263</v>
      </c>
      <c r="C4667" s="1926" t="s">
        <v>39</v>
      </c>
      <c r="D4667" s="1926" t="s">
        <v>46</v>
      </c>
      <c r="E4667" s="1662">
        <v>263.13</v>
      </c>
    </row>
    <row r="4668" spans="1:5" x14ac:dyDescent="0.2">
      <c r="A4668" s="135">
        <v>154</v>
      </c>
      <c r="B4668" s="1926" t="s">
        <v>14264</v>
      </c>
      <c r="C4668" s="1926" t="s">
        <v>49</v>
      </c>
      <c r="D4668" s="1926" t="s">
        <v>40</v>
      </c>
      <c r="E4668" s="1662">
        <v>48.26</v>
      </c>
    </row>
    <row r="4669" spans="1:5" x14ac:dyDescent="0.2">
      <c r="A4669" s="135">
        <v>38121</v>
      </c>
      <c r="B4669" s="1926" t="s">
        <v>14265</v>
      </c>
      <c r="C4669" s="1926" t="s">
        <v>49</v>
      </c>
      <c r="D4669" s="1926" t="s">
        <v>40</v>
      </c>
      <c r="E4669" s="1662">
        <v>14</v>
      </c>
    </row>
    <row r="4670" spans="1:5" x14ac:dyDescent="0.2">
      <c r="A4670" s="135">
        <v>7343</v>
      </c>
      <c r="B4670" s="1926" t="s">
        <v>14266</v>
      </c>
      <c r="C4670" s="1926" t="s">
        <v>49</v>
      </c>
      <c r="D4670" s="1926" t="s">
        <v>40</v>
      </c>
      <c r="E4670" s="1662">
        <v>14.18</v>
      </c>
    </row>
    <row r="4671" spans="1:5" x14ac:dyDescent="0.2">
      <c r="A4671" s="135">
        <v>7350</v>
      </c>
      <c r="B4671" s="1926" t="s">
        <v>14267</v>
      </c>
      <c r="C4671" s="1926" t="s">
        <v>49</v>
      </c>
      <c r="D4671" s="1926" t="s">
        <v>40</v>
      </c>
      <c r="E4671" s="1662">
        <v>24.53</v>
      </c>
    </row>
    <row r="4672" spans="1:5" x14ac:dyDescent="0.2">
      <c r="A4672" s="135">
        <v>7348</v>
      </c>
      <c r="B4672" s="1926" t="s">
        <v>14268</v>
      </c>
      <c r="C4672" s="1926" t="s">
        <v>49</v>
      </c>
      <c r="D4672" s="1926" t="s">
        <v>40</v>
      </c>
      <c r="E4672" s="1662">
        <v>13.76</v>
      </c>
    </row>
    <row r="4673" spans="1:5" x14ac:dyDescent="0.2">
      <c r="A4673" s="135">
        <v>7356</v>
      </c>
      <c r="B4673" s="1926" t="s">
        <v>14269</v>
      </c>
      <c r="C4673" s="1926" t="s">
        <v>49</v>
      </c>
      <c r="D4673" s="1926" t="s">
        <v>40</v>
      </c>
      <c r="E4673" s="1662">
        <v>20.62</v>
      </c>
    </row>
    <row r="4674" spans="1:5" x14ac:dyDescent="0.2">
      <c r="A4674" s="135">
        <v>7313</v>
      </c>
      <c r="B4674" s="1926" t="s">
        <v>14270</v>
      </c>
      <c r="C4674" s="1926" t="s">
        <v>49</v>
      </c>
      <c r="D4674" s="1926" t="s">
        <v>40</v>
      </c>
      <c r="E4674" s="1662">
        <v>16.04</v>
      </c>
    </row>
    <row r="4675" spans="1:5" x14ac:dyDescent="0.2">
      <c r="A4675" s="135">
        <v>7319</v>
      </c>
      <c r="B4675" s="1926" t="s">
        <v>14271</v>
      </c>
      <c r="C4675" s="1926" t="s">
        <v>49</v>
      </c>
      <c r="D4675" s="1926" t="s">
        <v>40</v>
      </c>
      <c r="E4675" s="1662">
        <v>9.18</v>
      </c>
    </row>
    <row r="4676" spans="1:5" x14ac:dyDescent="0.2">
      <c r="A4676" s="135">
        <v>38119</v>
      </c>
      <c r="B4676" s="1926" t="s">
        <v>14272</v>
      </c>
      <c r="C4676" s="1926" t="s">
        <v>49</v>
      </c>
      <c r="D4676" s="1926" t="s">
        <v>40</v>
      </c>
      <c r="E4676" s="1662">
        <v>70.2</v>
      </c>
    </row>
    <row r="4677" spans="1:5" x14ac:dyDescent="0.2">
      <c r="A4677" s="135">
        <v>7314</v>
      </c>
      <c r="B4677" s="1926" t="s">
        <v>14273</v>
      </c>
      <c r="C4677" s="1926" t="s">
        <v>49</v>
      </c>
      <c r="D4677" s="1926" t="s">
        <v>40</v>
      </c>
      <c r="E4677" s="1662">
        <v>75.650000000000006</v>
      </c>
    </row>
    <row r="4678" spans="1:5" x14ac:dyDescent="0.2">
      <c r="A4678" s="135">
        <v>38131</v>
      </c>
      <c r="B4678" s="1926" t="s">
        <v>14274</v>
      </c>
      <c r="C4678" s="1926" t="s">
        <v>49</v>
      </c>
      <c r="D4678" s="1926" t="s">
        <v>40</v>
      </c>
      <c r="E4678" s="1662">
        <v>70.83</v>
      </c>
    </row>
    <row r="4679" spans="1:5" x14ac:dyDescent="0.2">
      <c r="A4679" s="135">
        <v>7304</v>
      </c>
      <c r="B4679" s="1926" t="s">
        <v>14275</v>
      </c>
      <c r="C4679" s="1926" t="s">
        <v>49</v>
      </c>
      <c r="D4679" s="1926" t="s">
        <v>40</v>
      </c>
      <c r="E4679" s="1662">
        <v>59.3</v>
      </c>
    </row>
    <row r="4680" spans="1:5" x14ac:dyDescent="0.2">
      <c r="A4680" s="135">
        <v>7293</v>
      </c>
      <c r="B4680" s="1926" t="s">
        <v>14276</v>
      </c>
      <c r="C4680" s="1926" t="s">
        <v>49</v>
      </c>
      <c r="D4680" s="1926" t="s">
        <v>40</v>
      </c>
      <c r="E4680" s="1662">
        <v>26.59</v>
      </c>
    </row>
    <row r="4681" spans="1:5" x14ac:dyDescent="0.2">
      <c r="A4681" s="135">
        <v>7311</v>
      </c>
      <c r="B4681" s="1926" t="s">
        <v>14277</v>
      </c>
      <c r="C4681" s="1926" t="s">
        <v>49</v>
      </c>
      <c r="D4681" s="1926" t="s">
        <v>40</v>
      </c>
      <c r="E4681" s="1662">
        <v>25.72</v>
      </c>
    </row>
    <row r="4682" spans="1:5" x14ac:dyDescent="0.2">
      <c r="A4682" s="135">
        <v>7292</v>
      </c>
      <c r="B4682" s="1926" t="s">
        <v>14278</v>
      </c>
      <c r="C4682" s="1926" t="s">
        <v>49</v>
      </c>
      <c r="D4682" s="1926" t="s">
        <v>43</v>
      </c>
      <c r="E4682" s="1662">
        <v>24.97</v>
      </c>
    </row>
    <row r="4683" spans="1:5" x14ac:dyDescent="0.2">
      <c r="A4683" s="135">
        <v>7288</v>
      </c>
      <c r="B4683" s="1926" t="s">
        <v>14279</v>
      </c>
      <c r="C4683" s="1926" t="s">
        <v>49</v>
      </c>
      <c r="D4683" s="1926" t="s">
        <v>40</v>
      </c>
      <c r="E4683" s="1662">
        <v>28.3</v>
      </c>
    </row>
    <row r="4684" spans="1:5" x14ac:dyDescent="0.2">
      <c r="A4684" s="135">
        <v>35693</v>
      </c>
      <c r="B4684" s="1926" t="s">
        <v>14280</v>
      </c>
      <c r="C4684" s="1926" t="s">
        <v>49</v>
      </c>
      <c r="D4684" s="1926" t="s">
        <v>40</v>
      </c>
      <c r="E4684" s="1662">
        <v>9.4600000000000009</v>
      </c>
    </row>
    <row r="4685" spans="1:5" x14ac:dyDescent="0.2">
      <c r="A4685" s="135">
        <v>35692</v>
      </c>
      <c r="B4685" s="1926" t="s">
        <v>14281</v>
      </c>
      <c r="C4685" s="1926" t="s">
        <v>49</v>
      </c>
      <c r="D4685" s="1926" t="s">
        <v>40</v>
      </c>
      <c r="E4685" s="1662">
        <v>50.71</v>
      </c>
    </row>
    <row r="4686" spans="1:5" x14ac:dyDescent="0.2">
      <c r="A4686" s="135">
        <v>7342</v>
      </c>
      <c r="B4686" s="1926" t="s">
        <v>14282</v>
      </c>
      <c r="C4686" s="1926" t="s">
        <v>48</v>
      </c>
      <c r="D4686" s="1926" t="s">
        <v>40</v>
      </c>
      <c r="E4686" s="1662">
        <v>1.76</v>
      </c>
    </row>
    <row r="4687" spans="1:5" x14ac:dyDescent="0.2">
      <c r="A4687" s="135">
        <v>7306</v>
      </c>
      <c r="B4687" s="1926" t="s">
        <v>14283</v>
      </c>
      <c r="C4687" s="1926" t="s">
        <v>49</v>
      </c>
      <c r="D4687" s="1926" t="s">
        <v>40</v>
      </c>
      <c r="E4687" s="1662">
        <v>30.5</v>
      </c>
    </row>
    <row r="4688" spans="1:5" x14ac:dyDescent="0.2">
      <c r="A4688" s="135">
        <v>39574</v>
      </c>
      <c r="B4688" s="1926" t="s">
        <v>14284</v>
      </c>
      <c r="C4688" s="1926" t="s">
        <v>39</v>
      </c>
      <c r="D4688" s="1926" t="s">
        <v>40</v>
      </c>
      <c r="E4688" s="1662">
        <v>2.72</v>
      </c>
    </row>
    <row r="4689" spans="1:5" x14ac:dyDescent="0.2">
      <c r="A4689" s="135">
        <v>11060</v>
      </c>
      <c r="B4689" s="1926" t="s">
        <v>14285</v>
      </c>
      <c r="C4689" s="1926" t="s">
        <v>39</v>
      </c>
      <c r="D4689" s="1926" t="s">
        <v>40</v>
      </c>
      <c r="E4689" s="1662">
        <v>24.82</v>
      </c>
    </row>
    <row r="4690" spans="1:5" x14ac:dyDescent="0.2">
      <c r="A4690" s="135">
        <v>37401</v>
      </c>
      <c r="B4690" s="1926" t="s">
        <v>14286</v>
      </c>
      <c r="C4690" s="1926" t="s">
        <v>39</v>
      </c>
      <c r="D4690" s="1926" t="s">
        <v>40</v>
      </c>
      <c r="E4690" s="1662">
        <v>33.58</v>
      </c>
    </row>
    <row r="4691" spans="1:5" x14ac:dyDescent="0.2">
      <c r="A4691" s="135">
        <v>7525</v>
      </c>
      <c r="B4691" s="1926" t="s">
        <v>14287</v>
      </c>
      <c r="C4691" s="1926" t="s">
        <v>39</v>
      </c>
      <c r="D4691" s="1926" t="s">
        <v>40</v>
      </c>
      <c r="E4691" s="1662">
        <v>41.85</v>
      </c>
    </row>
    <row r="4692" spans="1:5" x14ac:dyDescent="0.2">
      <c r="A4692" s="135">
        <v>7524</v>
      </c>
      <c r="B4692" s="1926" t="s">
        <v>14288</v>
      </c>
      <c r="C4692" s="1926" t="s">
        <v>39</v>
      </c>
      <c r="D4692" s="1926" t="s">
        <v>40</v>
      </c>
      <c r="E4692" s="1662">
        <v>39.44</v>
      </c>
    </row>
    <row r="4693" spans="1:5" x14ac:dyDescent="0.2">
      <c r="A4693" s="135">
        <v>38105</v>
      </c>
      <c r="B4693" s="1926" t="s">
        <v>14289</v>
      </c>
      <c r="C4693" s="1926" t="s">
        <v>39</v>
      </c>
      <c r="D4693" s="1926" t="s">
        <v>40</v>
      </c>
      <c r="E4693" s="1662">
        <v>10.130000000000001</v>
      </c>
    </row>
    <row r="4694" spans="1:5" x14ac:dyDescent="0.2">
      <c r="A4694" s="135">
        <v>38084</v>
      </c>
      <c r="B4694" s="1926" t="s">
        <v>14290</v>
      </c>
      <c r="C4694" s="1926" t="s">
        <v>39</v>
      </c>
      <c r="D4694" s="1926" t="s">
        <v>40</v>
      </c>
      <c r="E4694" s="1662">
        <v>14.39</v>
      </c>
    </row>
    <row r="4695" spans="1:5" x14ac:dyDescent="0.2">
      <c r="A4695" s="135">
        <v>38103</v>
      </c>
      <c r="B4695" s="1926" t="s">
        <v>14291</v>
      </c>
      <c r="C4695" s="1926" t="s">
        <v>39</v>
      </c>
      <c r="D4695" s="1926" t="s">
        <v>40</v>
      </c>
      <c r="E4695" s="1662">
        <v>15.21</v>
      </c>
    </row>
    <row r="4696" spans="1:5" x14ac:dyDescent="0.2">
      <c r="A4696" s="135">
        <v>38082</v>
      </c>
      <c r="B4696" s="1926" t="s">
        <v>14292</v>
      </c>
      <c r="C4696" s="1926" t="s">
        <v>39</v>
      </c>
      <c r="D4696" s="1926" t="s">
        <v>40</v>
      </c>
      <c r="E4696" s="1662">
        <v>18.73</v>
      </c>
    </row>
    <row r="4697" spans="1:5" x14ac:dyDescent="0.2">
      <c r="A4697" s="135">
        <v>38104</v>
      </c>
      <c r="B4697" s="1926" t="s">
        <v>14293</v>
      </c>
      <c r="C4697" s="1926" t="s">
        <v>39</v>
      </c>
      <c r="D4697" s="1926" t="s">
        <v>40</v>
      </c>
      <c r="E4697" s="1662">
        <v>29.78</v>
      </c>
    </row>
    <row r="4698" spans="1:5" x14ac:dyDescent="0.2">
      <c r="A4698" s="135">
        <v>38083</v>
      </c>
      <c r="B4698" s="1926" t="s">
        <v>14294</v>
      </c>
      <c r="C4698" s="1926" t="s">
        <v>39</v>
      </c>
      <c r="D4698" s="1926" t="s">
        <v>40</v>
      </c>
      <c r="E4698" s="1662">
        <v>33.06</v>
      </c>
    </row>
    <row r="4699" spans="1:5" x14ac:dyDescent="0.2">
      <c r="A4699" s="135">
        <v>38101</v>
      </c>
      <c r="B4699" s="1926" t="s">
        <v>14295</v>
      </c>
      <c r="C4699" s="1926" t="s">
        <v>39</v>
      </c>
      <c r="D4699" s="1926" t="s">
        <v>40</v>
      </c>
      <c r="E4699" s="1662">
        <v>7.23</v>
      </c>
    </row>
    <row r="4700" spans="1:5" x14ac:dyDescent="0.2">
      <c r="A4700" s="135">
        <v>7528</v>
      </c>
      <c r="B4700" s="1926" t="s">
        <v>14296</v>
      </c>
      <c r="C4700" s="1926" t="s">
        <v>39</v>
      </c>
      <c r="D4700" s="1926" t="s">
        <v>43</v>
      </c>
      <c r="E4700" s="1662">
        <v>8.5</v>
      </c>
    </row>
    <row r="4701" spans="1:5" x14ac:dyDescent="0.2">
      <c r="A4701" s="135">
        <v>12147</v>
      </c>
      <c r="B4701" s="1926" t="s">
        <v>14297</v>
      </c>
      <c r="C4701" s="1926" t="s">
        <v>39</v>
      </c>
      <c r="D4701" s="1926" t="s">
        <v>40</v>
      </c>
      <c r="E4701" s="1662">
        <v>12.96</v>
      </c>
    </row>
    <row r="4702" spans="1:5" x14ac:dyDescent="0.2">
      <c r="A4702" s="135">
        <v>38075</v>
      </c>
      <c r="B4702" s="1926" t="s">
        <v>14298</v>
      </c>
      <c r="C4702" s="1926" t="s">
        <v>39</v>
      </c>
      <c r="D4702" s="1926" t="s">
        <v>40</v>
      </c>
      <c r="E4702" s="1662">
        <v>14.72</v>
      </c>
    </row>
    <row r="4703" spans="1:5" x14ac:dyDescent="0.2">
      <c r="A4703" s="135">
        <v>38102</v>
      </c>
      <c r="B4703" s="1926" t="s">
        <v>14299</v>
      </c>
      <c r="C4703" s="1926" t="s">
        <v>39</v>
      </c>
      <c r="D4703" s="1926" t="s">
        <v>40</v>
      </c>
      <c r="E4703" s="1662">
        <v>9.25</v>
      </c>
    </row>
    <row r="4704" spans="1:5" x14ac:dyDescent="0.2">
      <c r="A4704" s="135">
        <v>38076</v>
      </c>
      <c r="B4704" s="1926" t="s">
        <v>14300</v>
      </c>
      <c r="C4704" s="1926" t="s">
        <v>39</v>
      </c>
      <c r="D4704" s="1926" t="s">
        <v>40</v>
      </c>
      <c r="E4704" s="1662">
        <v>16.5</v>
      </c>
    </row>
    <row r="4705" spans="1:5" x14ac:dyDescent="0.2">
      <c r="A4705" s="135">
        <v>7592</v>
      </c>
      <c r="B4705" s="1926" t="s">
        <v>14301</v>
      </c>
      <c r="C4705" s="1926" t="s">
        <v>42</v>
      </c>
      <c r="D4705" s="1926" t="s">
        <v>43</v>
      </c>
      <c r="E4705" s="1662">
        <v>14.14</v>
      </c>
    </row>
    <row r="4706" spans="1:5" x14ac:dyDescent="0.2">
      <c r="A4706" s="135">
        <v>40820</v>
      </c>
      <c r="B4706" s="1926" t="s">
        <v>14302</v>
      </c>
      <c r="C4706" s="1926" t="s">
        <v>51</v>
      </c>
      <c r="D4706" s="1926" t="s">
        <v>40</v>
      </c>
      <c r="E4706" s="1662">
        <v>2521.06</v>
      </c>
    </row>
    <row r="4707" spans="1:5" x14ac:dyDescent="0.2">
      <c r="A4707" s="135">
        <v>11762</v>
      </c>
      <c r="B4707" s="1926" t="s">
        <v>14303</v>
      </c>
      <c r="C4707" s="1926" t="s">
        <v>39</v>
      </c>
      <c r="D4707" s="1926" t="s">
        <v>40</v>
      </c>
      <c r="E4707" s="1662">
        <v>53.34</v>
      </c>
    </row>
    <row r="4708" spans="1:5" x14ac:dyDescent="0.2">
      <c r="A4708" s="135">
        <v>13418</v>
      </c>
      <c r="B4708" s="1926" t="s">
        <v>14304</v>
      </c>
      <c r="C4708" s="1926" t="s">
        <v>39</v>
      </c>
      <c r="D4708" s="1926" t="s">
        <v>40</v>
      </c>
      <c r="E4708" s="1662">
        <v>14.9</v>
      </c>
    </row>
    <row r="4709" spans="1:5" x14ac:dyDescent="0.2">
      <c r="A4709" s="135">
        <v>13984</v>
      </c>
      <c r="B4709" s="1926" t="s">
        <v>14305</v>
      </c>
      <c r="C4709" s="1926" t="s">
        <v>39</v>
      </c>
      <c r="D4709" s="1926" t="s">
        <v>40</v>
      </c>
      <c r="E4709" s="1662">
        <v>37.28</v>
      </c>
    </row>
    <row r="4710" spans="1:5" x14ac:dyDescent="0.2">
      <c r="A4710" s="135">
        <v>11772</v>
      </c>
      <c r="B4710" s="1926" t="s">
        <v>14306</v>
      </c>
      <c r="C4710" s="1926" t="s">
        <v>39</v>
      </c>
      <c r="D4710" s="1926" t="s">
        <v>40</v>
      </c>
      <c r="E4710" s="1662">
        <v>90.53</v>
      </c>
    </row>
    <row r="4711" spans="1:5" x14ac:dyDescent="0.2">
      <c r="A4711" s="135">
        <v>36795</v>
      </c>
      <c r="B4711" s="1926" t="s">
        <v>14307</v>
      </c>
      <c r="C4711" s="1926" t="s">
        <v>39</v>
      </c>
      <c r="D4711" s="1926" t="s">
        <v>40</v>
      </c>
      <c r="E4711" s="1662">
        <v>582.28</v>
      </c>
    </row>
    <row r="4712" spans="1:5" x14ac:dyDescent="0.2">
      <c r="A4712" s="135">
        <v>36796</v>
      </c>
      <c r="B4712" s="1926" t="s">
        <v>14308</v>
      </c>
      <c r="C4712" s="1926" t="s">
        <v>39</v>
      </c>
      <c r="D4712" s="1926" t="s">
        <v>40</v>
      </c>
      <c r="E4712" s="1662">
        <v>149.91999999999999</v>
      </c>
    </row>
    <row r="4713" spans="1:5" x14ac:dyDescent="0.2">
      <c r="A4713" s="135">
        <v>36791</v>
      </c>
      <c r="B4713" s="1926" t="s">
        <v>14309</v>
      </c>
      <c r="C4713" s="1926" t="s">
        <v>39</v>
      </c>
      <c r="D4713" s="1926" t="s">
        <v>40</v>
      </c>
      <c r="E4713" s="1662">
        <v>77.239999999999995</v>
      </c>
    </row>
    <row r="4714" spans="1:5" x14ac:dyDescent="0.2">
      <c r="A4714" s="135">
        <v>13415</v>
      </c>
      <c r="B4714" s="1926" t="s">
        <v>14310</v>
      </c>
      <c r="C4714" s="1926" t="s">
        <v>39</v>
      </c>
      <c r="D4714" s="1926" t="s">
        <v>43</v>
      </c>
      <c r="E4714" s="1662">
        <v>44.9</v>
      </c>
    </row>
    <row r="4715" spans="1:5" x14ac:dyDescent="0.2">
      <c r="A4715" s="135">
        <v>36792</v>
      </c>
      <c r="B4715" s="1926" t="s">
        <v>14311</v>
      </c>
      <c r="C4715" s="1926" t="s">
        <v>39</v>
      </c>
      <c r="D4715" s="1926" t="s">
        <v>40</v>
      </c>
      <c r="E4715" s="1662">
        <v>147.65</v>
      </c>
    </row>
    <row r="4716" spans="1:5" x14ac:dyDescent="0.2">
      <c r="A4716" s="135">
        <v>11773</v>
      </c>
      <c r="B4716" s="1926" t="s">
        <v>14312</v>
      </c>
      <c r="C4716" s="1926" t="s">
        <v>39</v>
      </c>
      <c r="D4716" s="1926" t="s">
        <v>40</v>
      </c>
      <c r="E4716" s="1662">
        <v>86.43</v>
      </c>
    </row>
    <row r="4717" spans="1:5" x14ac:dyDescent="0.2">
      <c r="A4717" s="135">
        <v>11775</v>
      </c>
      <c r="B4717" s="1926" t="s">
        <v>14313</v>
      </c>
      <c r="C4717" s="1926" t="s">
        <v>39</v>
      </c>
      <c r="D4717" s="1926" t="s">
        <v>40</v>
      </c>
      <c r="E4717" s="1662">
        <v>90.25</v>
      </c>
    </row>
    <row r="4718" spans="1:5" x14ac:dyDescent="0.2">
      <c r="A4718" s="135">
        <v>13983</v>
      </c>
      <c r="B4718" s="1926" t="s">
        <v>14314</v>
      </c>
      <c r="C4718" s="1926" t="s">
        <v>39</v>
      </c>
      <c r="D4718" s="1926" t="s">
        <v>40</v>
      </c>
      <c r="E4718" s="1662">
        <v>46.11</v>
      </c>
    </row>
    <row r="4719" spans="1:5" x14ac:dyDescent="0.2">
      <c r="A4719" s="135">
        <v>13416</v>
      </c>
      <c r="B4719" s="1926" t="s">
        <v>14315</v>
      </c>
      <c r="C4719" s="1926" t="s">
        <v>39</v>
      </c>
      <c r="D4719" s="1926" t="s">
        <v>40</v>
      </c>
      <c r="E4719" s="1662">
        <v>37.18</v>
      </c>
    </row>
    <row r="4720" spans="1:5" x14ac:dyDescent="0.2">
      <c r="A4720" s="135">
        <v>13417</v>
      </c>
      <c r="B4720" s="1926" t="s">
        <v>14316</v>
      </c>
      <c r="C4720" s="1926" t="s">
        <v>39</v>
      </c>
      <c r="D4720" s="1926" t="s">
        <v>40</v>
      </c>
      <c r="E4720" s="1662">
        <v>32.799999999999997</v>
      </c>
    </row>
    <row r="4721" spans="1:5" x14ac:dyDescent="0.2">
      <c r="A4721" s="135">
        <v>7604</v>
      </c>
      <c r="B4721" s="1926" t="s">
        <v>14317</v>
      </c>
      <c r="C4721" s="1926" t="s">
        <v>39</v>
      </c>
      <c r="D4721" s="1926" t="s">
        <v>40</v>
      </c>
      <c r="E4721" s="1662">
        <v>14.2</v>
      </c>
    </row>
    <row r="4722" spans="1:5" x14ac:dyDescent="0.2">
      <c r="A4722" s="135">
        <v>11763</v>
      </c>
      <c r="B4722" s="1926" t="s">
        <v>14318</v>
      </c>
      <c r="C4722" s="1926" t="s">
        <v>39</v>
      </c>
      <c r="D4722" s="1926" t="s">
        <v>40</v>
      </c>
      <c r="E4722" s="1662">
        <v>124.61</v>
      </c>
    </row>
    <row r="4723" spans="1:5" x14ac:dyDescent="0.2">
      <c r="A4723" s="135">
        <v>11764</v>
      </c>
      <c r="B4723" s="1926" t="s">
        <v>14319</v>
      </c>
      <c r="C4723" s="1926" t="s">
        <v>39</v>
      </c>
      <c r="D4723" s="1926" t="s">
        <v>40</v>
      </c>
      <c r="E4723" s="1662">
        <v>133.1</v>
      </c>
    </row>
    <row r="4724" spans="1:5" x14ac:dyDescent="0.2">
      <c r="A4724" s="135">
        <v>11829</v>
      </c>
      <c r="B4724" s="1926" t="s">
        <v>14320</v>
      </c>
      <c r="C4724" s="1926" t="s">
        <v>39</v>
      </c>
      <c r="D4724" s="1926" t="s">
        <v>40</v>
      </c>
      <c r="E4724" s="1662">
        <v>31.9</v>
      </c>
    </row>
    <row r="4725" spans="1:5" x14ac:dyDescent="0.2">
      <c r="A4725" s="135">
        <v>11825</v>
      </c>
      <c r="B4725" s="1926" t="s">
        <v>14321</v>
      </c>
      <c r="C4725" s="1926" t="s">
        <v>39</v>
      </c>
      <c r="D4725" s="1926" t="s">
        <v>40</v>
      </c>
      <c r="E4725" s="1662">
        <v>54.69</v>
      </c>
    </row>
    <row r="4726" spans="1:5" x14ac:dyDescent="0.2">
      <c r="A4726" s="135">
        <v>11767</v>
      </c>
      <c r="B4726" s="1926" t="s">
        <v>14322</v>
      </c>
      <c r="C4726" s="1926" t="s">
        <v>39</v>
      </c>
      <c r="D4726" s="1926" t="s">
        <v>40</v>
      </c>
      <c r="E4726" s="1662">
        <v>220.92</v>
      </c>
    </row>
    <row r="4727" spans="1:5" x14ac:dyDescent="0.2">
      <c r="A4727" s="135">
        <v>11830</v>
      </c>
      <c r="B4727" s="1926" t="s">
        <v>14323</v>
      </c>
      <c r="C4727" s="1926" t="s">
        <v>39</v>
      </c>
      <c r="D4727" s="1926" t="s">
        <v>40</v>
      </c>
      <c r="E4727" s="1662">
        <v>34.47</v>
      </c>
    </row>
    <row r="4728" spans="1:5" x14ac:dyDescent="0.2">
      <c r="A4728" s="135">
        <v>11766</v>
      </c>
      <c r="B4728" s="1926" t="s">
        <v>14324</v>
      </c>
      <c r="C4728" s="1926" t="s">
        <v>39</v>
      </c>
      <c r="D4728" s="1926" t="s">
        <v>40</v>
      </c>
      <c r="E4728" s="1662">
        <v>61.27</v>
      </c>
    </row>
    <row r="4729" spans="1:5" x14ac:dyDescent="0.2">
      <c r="A4729" s="135">
        <v>11765</v>
      </c>
      <c r="B4729" s="1926" t="s">
        <v>14325</v>
      </c>
      <c r="C4729" s="1926" t="s">
        <v>39</v>
      </c>
      <c r="D4729" s="1926" t="s">
        <v>40</v>
      </c>
      <c r="E4729" s="1662">
        <v>83.44</v>
      </c>
    </row>
    <row r="4730" spans="1:5" x14ac:dyDescent="0.2">
      <c r="A4730" s="135">
        <v>11824</v>
      </c>
      <c r="B4730" s="1926" t="s">
        <v>14326</v>
      </c>
      <c r="C4730" s="1926" t="s">
        <v>39</v>
      </c>
      <c r="D4730" s="1926" t="s">
        <v>40</v>
      </c>
      <c r="E4730" s="1662">
        <v>63.2</v>
      </c>
    </row>
    <row r="4731" spans="1:5" x14ac:dyDescent="0.2">
      <c r="A4731" s="135">
        <v>11777</v>
      </c>
      <c r="B4731" s="1926" t="s">
        <v>14327</v>
      </c>
      <c r="C4731" s="1926" t="s">
        <v>39</v>
      </c>
      <c r="D4731" s="1926" t="s">
        <v>40</v>
      </c>
      <c r="E4731" s="1662">
        <v>113.62</v>
      </c>
    </row>
    <row r="4732" spans="1:5" x14ac:dyDescent="0.2">
      <c r="A4732" s="135">
        <v>7602</v>
      </c>
      <c r="B4732" s="1926" t="s">
        <v>14328</v>
      </c>
      <c r="C4732" s="1926" t="s">
        <v>39</v>
      </c>
      <c r="D4732" s="1926" t="s">
        <v>40</v>
      </c>
      <c r="E4732" s="1662">
        <v>14.08</v>
      </c>
    </row>
    <row r="4733" spans="1:5" x14ac:dyDescent="0.2">
      <c r="A4733" s="135">
        <v>7603</v>
      </c>
      <c r="B4733" s="1926" t="s">
        <v>14329</v>
      </c>
      <c r="C4733" s="1926" t="s">
        <v>39</v>
      </c>
      <c r="D4733" s="1926" t="s">
        <v>40</v>
      </c>
      <c r="E4733" s="1662">
        <v>13.65</v>
      </c>
    </row>
    <row r="4734" spans="1:5" x14ac:dyDescent="0.2">
      <c r="A4734" s="135">
        <v>11826</v>
      </c>
      <c r="B4734" s="1926" t="s">
        <v>14330</v>
      </c>
      <c r="C4734" s="1926" t="s">
        <v>39</v>
      </c>
      <c r="D4734" s="1926" t="s">
        <v>40</v>
      </c>
      <c r="E4734" s="1662">
        <v>53.08</v>
      </c>
    </row>
    <row r="4735" spans="1:5" x14ac:dyDescent="0.2">
      <c r="A4735" s="135">
        <v>7606</v>
      </c>
      <c r="B4735" s="1926" t="s">
        <v>14331</v>
      </c>
      <c r="C4735" s="1926" t="s">
        <v>39</v>
      </c>
      <c r="D4735" s="1926" t="s">
        <v>40</v>
      </c>
      <c r="E4735" s="1662">
        <v>55.31</v>
      </c>
    </row>
    <row r="4736" spans="1:5" x14ac:dyDescent="0.2">
      <c r="A4736" s="135">
        <v>40329</v>
      </c>
      <c r="B4736" s="1926" t="s">
        <v>14332</v>
      </c>
      <c r="C4736" s="1926" t="s">
        <v>39</v>
      </c>
      <c r="D4736" s="1926" t="s">
        <v>43</v>
      </c>
      <c r="E4736" s="1662">
        <v>26.75</v>
      </c>
    </row>
    <row r="4737" spans="1:5" x14ac:dyDescent="0.2">
      <c r="A4737" s="135">
        <v>11823</v>
      </c>
      <c r="B4737" s="1926" t="s">
        <v>14333</v>
      </c>
      <c r="C4737" s="1926" t="s">
        <v>39</v>
      </c>
      <c r="D4737" s="1926" t="s">
        <v>40</v>
      </c>
      <c r="E4737" s="1662">
        <v>11.56</v>
      </c>
    </row>
    <row r="4738" spans="1:5" x14ac:dyDescent="0.2">
      <c r="A4738" s="135">
        <v>11822</v>
      </c>
      <c r="B4738" s="1926" t="s">
        <v>14334</v>
      </c>
      <c r="C4738" s="1926" t="s">
        <v>39</v>
      </c>
      <c r="D4738" s="1926" t="s">
        <v>40</v>
      </c>
      <c r="E4738" s="1662">
        <v>23.08</v>
      </c>
    </row>
    <row r="4739" spans="1:5" x14ac:dyDescent="0.2">
      <c r="A4739" s="135">
        <v>11831</v>
      </c>
      <c r="B4739" s="1926" t="s">
        <v>14335</v>
      </c>
      <c r="C4739" s="1926" t="s">
        <v>39</v>
      </c>
      <c r="D4739" s="1926" t="s">
        <v>40</v>
      </c>
      <c r="E4739" s="1662">
        <v>17.52</v>
      </c>
    </row>
    <row r="4740" spans="1:5" x14ac:dyDescent="0.2">
      <c r="A4740" s="135">
        <v>7613</v>
      </c>
      <c r="B4740" s="1926" t="s">
        <v>14336</v>
      </c>
      <c r="C4740" s="1926" t="s">
        <v>39</v>
      </c>
      <c r="D4740" s="1926" t="s">
        <v>46</v>
      </c>
      <c r="E4740" s="1662">
        <v>52757.24</v>
      </c>
    </row>
    <row r="4741" spans="1:5" x14ac:dyDescent="0.2">
      <c r="A4741" s="135">
        <v>7619</v>
      </c>
      <c r="B4741" s="1926" t="s">
        <v>14337</v>
      </c>
      <c r="C4741" s="1926" t="s">
        <v>39</v>
      </c>
      <c r="D4741" s="1926" t="s">
        <v>46</v>
      </c>
      <c r="E4741" s="1662">
        <v>8155.14</v>
      </c>
    </row>
    <row r="4742" spans="1:5" x14ac:dyDescent="0.2">
      <c r="A4742" s="135">
        <v>12076</v>
      </c>
      <c r="B4742" s="1926" t="s">
        <v>14338</v>
      </c>
      <c r="C4742" s="1926" t="s">
        <v>39</v>
      </c>
      <c r="D4742" s="1926" t="s">
        <v>46</v>
      </c>
      <c r="E4742" s="1662">
        <v>3740.89</v>
      </c>
    </row>
    <row r="4743" spans="1:5" x14ac:dyDescent="0.2">
      <c r="A4743" s="135">
        <v>7614</v>
      </c>
      <c r="B4743" s="1926" t="s">
        <v>14339</v>
      </c>
      <c r="C4743" s="1926" t="s">
        <v>39</v>
      </c>
      <c r="D4743" s="1926" t="s">
        <v>46</v>
      </c>
      <c r="E4743" s="1662">
        <v>10285.57</v>
      </c>
    </row>
    <row r="4744" spans="1:5" x14ac:dyDescent="0.2">
      <c r="A4744" s="135">
        <v>7618</v>
      </c>
      <c r="B4744" s="1926" t="s">
        <v>14340</v>
      </c>
      <c r="C4744" s="1926" t="s">
        <v>39</v>
      </c>
      <c r="D4744" s="1926" t="s">
        <v>46</v>
      </c>
      <c r="E4744" s="1662">
        <v>66709.69</v>
      </c>
    </row>
    <row r="4745" spans="1:5" x14ac:dyDescent="0.2">
      <c r="A4745" s="135">
        <v>7620</v>
      </c>
      <c r="B4745" s="1926" t="s">
        <v>14341</v>
      </c>
      <c r="C4745" s="1926" t="s">
        <v>39</v>
      </c>
      <c r="D4745" s="1926" t="s">
        <v>46</v>
      </c>
      <c r="E4745" s="1662">
        <v>14429.14</v>
      </c>
    </row>
    <row r="4746" spans="1:5" x14ac:dyDescent="0.2">
      <c r="A4746" s="135">
        <v>7610</v>
      </c>
      <c r="B4746" s="1926" t="s">
        <v>14342</v>
      </c>
      <c r="C4746" s="1926" t="s">
        <v>39</v>
      </c>
      <c r="D4746" s="1926" t="s">
        <v>46</v>
      </c>
      <c r="E4746" s="1662">
        <v>4569.2299999999996</v>
      </c>
    </row>
    <row r="4747" spans="1:5" x14ac:dyDescent="0.2">
      <c r="A4747" s="135">
        <v>7615</v>
      </c>
      <c r="B4747" s="1926" t="s">
        <v>14343</v>
      </c>
      <c r="C4747" s="1926" t="s">
        <v>39</v>
      </c>
      <c r="D4747" s="1926" t="s">
        <v>46</v>
      </c>
      <c r="E4747" s="1662">
        <v>16834</v>
      </c>
    </row>
    <row r="4748" spans="1:5" x14ac:dyDescent="0.2">
      <c r="A4748" s="135">
        <v>7617</v>
      </c>
      <c r="B4748" s="1926" t="s">
        <v>14344</v>
      </c>
      <c r="C4748" s="1926" t="s">
        <v>39</v>
      </c>
      <c r="D4748" s="1926" t="s">
        <v>46</v>
      </c>
      <c r="E4748" s="1662">
        <v>5103.6400000000003</v>
      </c>
    </row>
    <row r="4749" spans="1:5" x14ac:dyDescent="0.2">
      <c r="A4749" s="135">
        <v>7616</v>
      </c>
      <c r="B4749" s="1926" t="s">
        <v>14345</v>
      </c>
      <c r="C4749" s="1926" t="s">
        <v>39</v>
      </c>
      <c r="D4749" s="1926" t="s">
        <v>46</v>
      </c>
      <c r="E4749" s="1662">
        <v>27470.42</v>
      </c>
    </row>
    <row r="4750" spans="1:5" x14ac:dyDescent="0.2">
      <c r="A4750" s="135">
        <v>7611</v>
      </c>
      <c r="B4750" s="1926" t="s">
        <v>14346</v>
      </c>
      <c r="C4750" s="1926" t="s">
        <v>39</v>
      </c>
      <c r="D4750" s="1926" t="s">
        <v>46</v>
      </c>
      <c r="E4750" s="1662">
        <v>6600</v>
      </c>
    </row>
    <row r="4751" spans="1:5" x14ac:dyDescent="0.2">
      <c r="A4751" s="135">
        <v>7612</v>
      </c>
      <c r="B4751" s="1926" t="s">
        <v>14347</v>
      </c>
      <c r="C4751" s="1926" t="s">
        <v>39</v>
      </c>
      <c r="D4751" s="1926" t="s">
        <v>46</v>
      </c>
      <c r="E4751" s="1662">
        <v>37680.379999999997</v>
      </c>
    </row>
    <row r="4752" spans="1:5" x14ac:dyDescent="0.2">
      <c r="A4752" s="135">
        <v>37371</v>
      </c>
      <c r="B4752" s="1926" t="s">
        <v>14348</v>
      </c>
      <c r="C4752" s="1926" t="s">
        <v>42</v>
      </c>
      <c r="D4752" s="1926" t="s">
        <v>43</v>
      </c>
      <c r="E4752" s="1662">
        <v>1.36</v>
      </c>
    </row>
    <row r="4753" spans="1:5" x14ac:dyDescent="0.2">
      <c r="A4753" s="135">
        <v>40861</v>
      </c>
      <c r="B4753" s="1926" t="s">
        <v>14349</v>
      </c>
      <c r="C4753" s="1926" t="s">
        <v>51</v>
      </c>
      <c r="D4753" s="1926" t="s">
        <v>43</v>
      </c>
      <c r="E4753" s="1662">
        <v>257.26</v>
      </c>
    </row>
    <row r="4754" spans="1:5" x14ac:dyDescent="0.2">
      <c r="A4754" s="135">
        <v>36510</v>
      </c>
      <c r="B4754" s="1926" t="s">
        <v>14350</v>
      </c>
      <c r="C4754" s="1926" t="s">
        <v>39</v>
      </c>
      <c r="D4754" s="1926" t="s">
        <v>46</v>
      </c>
      <c r="E4754" s="1662">
        <v>592354.71</v>
      </c>
    </row>
    <row r="4755" spans="1:5" x14ac:dyDescent="0.2">
      <c r="A4755" s="135">
        <v>25020</v>
      </c>
      <c r="B4755" s="1926" t="s">
        <v>14351</v>
      </c>
      <c r="C4755" s="1926" t="s">
        <v>39</v>
      </c>
      <c r="D4755" s="1926" t="s">
        <v>46</v>
      </c>
      <c r="E4755" s="1662">
        <v>2440293.0099999998</v>
      </c>
    </row>
    <row r="4756" spans="1:5" x14ac:dyDescent="0.2">
      <c r="A4756" s="135">
        <v>7622</v>
      </c>
      <c r="B4756" s="1926" t="s">
        <v>14352</v>
      </c>
      <c r="C4756" s="1926" t="s">
        <v>39</v>
      </c>
      <c r="D4756" s="1926" t="s">
        <v>46</v>
      </c>
      <c r="E4756" s="1662">
        <v>574670.65</v>
      </c>
    </row>
    <row r="4757" spans="1:5" x14ac:dyDescent="0.2">
      <c r="A4757" s="135">
        <v>7624</v>
      </c>
      <c r="B4757" s="1926" t="s">
        <v>14353</v>
      </c>
      <c r="C4757" s="1926" t="s">
        <v>39</v>
      </c>
      <c r="D4757" s="1926" t="s">
        <v>46</v>
      </c>
      <c r="E4757" s="1662">
        <v>745000</v>
      </c>
    </row>
    <row r="4758" spans="1:5" x14ac:dyDescent="0.2">
      <c r="A4758" s="135">
        <v>7625</v>
      </c>
      <c r="B4758" s="1926" t="s">
        <v>14354</v>
      </c>
      <c r="C4758" s="1926" t="s">
        <v>39</v>
      </c>
      <c r="D4758" s="1926" t="s">
        <v>46</v>
      </c>
      <c r="E4758" s="1662">
        <v>740443.35</v>
      </c>
    </row>
    <row r="4759" spans="1:5" x14ac:dyDescent="0.2">
      <c r="A4759" s="135">
        <v>7623</v>
      </c>
      <c r="B4759" s="1926" t="s">
        <v>14355</v>
      </c>
      <c r="C4759" s="1926" t="s">
        <v>39</v>
      </c>
      <c r="D4759" s="1926" t="s">
        <v>46</v>
      </c>
      <c r="E4759" s="1662">
        <v>2440293.0099999998</v>
      </c>
    </row>
    <row r="4760" spans="1:5" x14ac:dyDescent="0.2">
      <c r="A4760" s="135">
        <v>36508</v>
      </c>
      <c r="B4760" s="1926" t="s">
        <v>14356</v>
      </c>
      <c r="C4760" s="1926" t="s">
        <v>39</v>
      </c>
      <c r="D4760" s="1926" t="s">
        <v>46</v>
      </c>
      <c r="E4760" s="1662">
        <v>1097496.6000000001</v>
      </c>
    </row>
    <row r="4761" spans="1:5" x14ac:dyDescent="0.2">
      <c r="A4761" s="135">
        <v>36509</v>
      </c>
      <c r="B4761" s="1926" t="s">
        <v>14357</v>
      </c>
      <c r="C4761" s="1926" t="s">
        <v>39</v>
      </c>
      <c r="D4761" s="1926" t="s">
        <v>46</v>
      </c>
      <c r="E4761" s="1662">
        <v>601467.85</v>
      </c>
    </row>
    <row r="4762" spans="1:5" x14ac:dyDescent="0.2">
      <c r="A4762" s="135">
        <v>13238</v>
      </c>
      <c r="B4762" s="1926" t="s">
        <v>14358</v>
      </c>
      <c r="C4762" s="1926" t="s">
        <v>39</v>
      </c>
      <c r="D4762" s="1926" t="s">
        <v>46</v>
      </c>
      <c r="E4762" s="1662">
        <v>164859.79999999999</v>
      </c>
    </row>
    <row r="4763" spans="1:5" x14ac:dyDescent="0.2">
      <c r="A4763" s="135">
        <v>36511</v>
      </c>
      <c r="B4763" s="1926" t="s">
        <v>14359</v>
      </c>
      <c r="C4763" s="1926" t="s">
        <v>39</v>
      </c>
      <c r="D4763" s="1926" t="s">
        <v>46</v>
      </c>
      <c r="E4763" s="1662">
        <v>191028.02</v>
      </c>
    </row>
    <row r="4764" spans="1:5" x14ac:dyDescent="0.2">
      <c r="A4764" s="135">
        <v>36515</v>
      </c>
      <c r="B4764" s="1926" t="s">
        <v>14360</v>
      </c>
      <c r="C4764" s="1926" t="s">
        <v>39</v>
      </c>
      <c r="D4764" s="1926" t="s">
        <v>46</v>
      </c>
      <c r="E4764" s="1662">
        <v>56261.67</v>
      </c>
    </row>
    <row r="4765" spans="1:5" x14ac:dyDescent="0.2">
      <c r="A4765" s="135">
        <v>10598</v>
      </c>
      <c r="B4765" s="1926" t="s">
        <v>14361</v>
      </c>
      <c r="C4765" s="1926" t="s">
        <v>39</v>
      </c>
      <c r="D4765" s="1926" t="s">
        <v>46</v>
      </c>
      <c r="E4765" s="1662">
        <v>91236.81</v>
      </c>
    </row>
    <row r="4766" spans="1:5" x14ac:dyDescent="0.2">
      <c r="A4766" s="135">
        <v>7640</v>
      </c>
      <c r="B4766" s="1926" t="s">
        <v>14362</v>
      </c>
      <c r="C4766" s="1926" t="s">
        <v>39</v>
      </c>
      <c r="D4766" s="1926" t="s">
        <v>46</v>
      </c>
      <c r="E4766" s="1662">
        <v>140000</v>
      </c>
    </row>
    <row r="4767" spans="1:5" x14ac:dyDescent="0.2">
      <c r="A4767" s="135">
        <v>36513</v>
      </c>
      <c r="B4767" s="1926" t="s">
        <v>14363</v>
      </c>
      <c r="C4767" s="1926" t="s">
        <v>39</v>
      </c>
      <c r="D4767" s="1926" t="s">
        <v>46</v>
      </c>
      <c r="E4767" s="1662">
        <v>134864.47</v>
      </c>
    </row>
    <row r="4768" spans="1:5" x14ac:dyDescent="0.2">
      <c r="A4768" s="135">
        <v>36514</v>
      </c>
      <c r="B4768" s="1926" t="s">
        <v>14364</v>
      </c>
      <c r="C4768" s="1926" t="s">
        <v>39</v>
      </c>
      <c r="D4768" s="1926" t="s">
        <v>46</v>
      </c>
      <c r="E4768" s="1662">
        <v>150467.28</v>
      </c>
    </row>
    <row r="4769" spans="1:5" x14ac:dyDescent="0.2">
      <c r="A4769" s="135">
        <v>36149</v>
      </c>
      <c r="B4769" s="1926" t="s">
        <v>14365</v>
      </c>
      <c r="C4769" s="1926" t="s">
        <v>39</v>
      </c>
      <c r="D4769" s="1926" t="s">
        <v>40</v>
      </c>
      <c r="E4769" s="1662">
        <v>136.06</v>
      </c>
    </row>
    <row r="4770" spans="1:5" x14ac:dyDescent="0.2">
      <c r="A4770" s="135">
        <v>42407</v>
      </c>
      <c r="B4770" s="1926" t="s">
        <v>14366</v>
      </c>
      <c r="C4770" s="1926" t="s">
        <v>47</v>
      </c>
      <c r="D4770" s="1926" t="s">
        <v>40</v>
      </c>
      <c r="E4770" s="1662">
        <v>4.33</v>
      </c>
    </row>
    <row r="4771" spans="1:5" x14ac:dyDescent="0.2">
      <c r="A4771" s="135">
        <v>11581</v>
      </c>
      <c r="B4771" s="1926" t="s">
        <v>14367</v>
      </c>
      <c r="C4771" s="1926" t="s">
        <v>47</v>
      </c>
      <c r="D4771" s="1926" t="s">
        <v>40</v>
      </c>
      <c r="E4771" s="1662">
        <v>22.47</v>
      </c>
    </row>
    <row r="4772" spans="1:5" x14ac:dyDescent="0.2">
      <c r="A4772" s="135">
        <v>11580</v>
      </c>
      <c r="B4772" s="1926" t="s">
        <v>14368</v>
      </c>
      <c r="C4772" s="1926" t="s">
        <v>47</v>
      </c>
      <c r="D4772" s="1926" t="s">
        <v>40</v>
      </c>
      <c r="E4772" s="1662">
        <v>10.23</v>
      </c>
    </row>
    <row r="4773" spans="1:5" x14ac:dyDescent="0.2">
      <c r="A4773" s="135">
        <v>38177</v>
      </c>
      <c r="B4773" s="1926" t="s">
        <v>14369</v>
      </c>
      <c r="C4773" s="1926" t="s">
        <v>39</v>
      </c>
      <c r="D4773" s="1926" t="s">
        <v>40</v>
      </c>
      <c r="E4773" s="1662">
        <v>6.94</v>
      </c>
    </row>
    <row r="4774" spans="1:5" x14ac:dyDescent="0.2">
      <c r="A4774" s="135">
        <v>10743</v>
      </c>
      <c r="B4774" s="1926" t="s">
        <v>14370</v>
      </c>
      <c r="C4774" s="1926" t="s">
        <v>39</v>
      </c>
      <c r="D4774" s="1926" t="s">
        <v>46</v>
      </c>
      <c r="E4774" s="1662">
        <v>543.39</v>
      </c>
    </row>
    <row r="4775" spans="1:5" x14ac:dyDescent="0.2">
      <c r="A4775" s="135">
        <v>39848</v>
      </c>
      <c r="B4775" s="1926" t="s">
        <v>14371</v>
      </c>
      <c r="C4775" s="1926" t="s">
        <v>47</v>
      </c>
      <c r="D4775" s="1926" t="s">
        <v>46</v>
      </c>
      <c r="E4775" s="1662">
        <v>1.32</v>
      </c>
    </row>
    <row r="4776" spans="1:5" x14ac:dyDescent="0.2">
      <c r="A4776" s="135">
        <v>20999</v>
      </c>
      <c r="B4776" s="1926" t="s">
        <v>14372</v>
      </c>
      <c r="C4776" s="1926" t="s">
        <v>47</v>
      </c>
      <c r="D4776" s="1926" t="s">
        <v>46</v>
      </c>
      <c r="E4776" s="1662">
        <v>6.79</v>
      </c>
    </row>
    <row r="4777" spans="1:5" x14ac:dyDescent="0.2">
      <c r="A4777" s="135">
        <v>21001</v>
      </c>
      <c r="B4777" s="1926" t="s">
        <v>14373</v>
      </c>
      <c r="C4777" s="1926" t="s">
        <v>47</v>
      </c>
      <c r="D4777" s="1926" t="s">
        <v>46</v>
      </c>
      <c r="E4777" s="1662">
        <v>12.68</v>
      </c>
    </row>
    <row r="4778" spans="1:5" x14ac:dyDescent="0.2">
      <c r="A4778" s="135">
        <v>21003</v>
      </c>
      <c r="B4778" s="1926" t="s">
        <v>14374</v>
      </c>
      <c r="C4778" s="1926" t="s">
        <v>47</v>
      </c>
      <c r="D4778" s="1926" t="s">
        <v>46</v>
      </c>
      <c r="E4778" s="1662">
        <v>20.83</v>
      </c>
    </row>
    <row r="4779" spans="1:5" x14ac:dyDescent="0.2">
      <c r="A4779" s="135">
        <v>21006</v>
      </c>
      <c r="B4779" s="1926" t="s">
        <v>14375</v>
      </c>
      <c r="C4779" s="1926" t="s">
        <v>47</v>
      </c>
      <c r="D4779" s="1926" t="s">
        <v>46</v>
      </c>
      <c r="E4779" s="1662">
        <v>44.22</v>
      </c>
    </row>
    <row r="4780" spans="1:5" x14ac:dyDescent="0.2">
      <c r="A4780" s="135">
        <v>21019</v>
      </c>
      <c r="B4780" s="1926" t="s">
        <v>14376</v>
      </c>
      <c r="C4780" s="1926" t="s">
        <v>47</v>
      </c>
      <c r="D4780" s="1926" t="s">
        <v>46</v>
      </c>
      <c r="E4780" s="1662">
        <v>15.37</v>
      </c>
    </row>
    <row r="4781" spans="1:5" x14ac:dyDescent="0.2">
      <c r="A4781" s="135">
        <v>21021</v>
      </c>
      <c r="B4781" s="1926" t="s">
        <v>14377</v>
      </c>
      <c r="C4781" s="1926" t="s">
        <v>47</v>
      </c>
      <c r="D4781" s="1926" t="s">
        <v>46</v>
      </c>
      <c r="E4781" s="1662">
        <v>24.3</v>
      </c>
    </row>
    <row r="4782" spans="1:5" x14ac:dyDescent="0.2">
      <c r="A4782" s="135">
        <v>21024</v>
      </c>
      <c r="B4782" s="1926" t="s">
        <v>14378</v>
      </c>
      <c r="C4782" s="1926" t="s">
        <v>47</v>
      </c>
      <c r="D4782" s="1926" t="s">
        <v>46</v>
      </c>
      <c r="E4782" s="1662">
        <v>52.06</v>
      </c>
    </row>
    <row r="4783" spans="1:5" x14ac:dyDescent="0.2">
      <c r="A4783" s="135">
        <v>40624</v>
      </c>
      <c r="B4783" s="1926" t="s">
        <v>14379</v>
      </c>
      <c r="C4783" s="1926" t="s">
        <v>47</v>
      </c>
      <c r="D4783" s="1926" t="s">
        <v>46</v>
      </c>
      <c r="E4783" s="1662">
        <v>42.39</v>
      </c>
    </row>
    <row r="4784" spans="1:5" x14ac:dyDescent="0.2">
      <c r="A4784" s="135">
        <v>13127</v>
      </c>
      <c r="B4784" s="1926" t="s">
        <v>14380</v>
      </c>
      <c r="C4784" s="1926" t="s">
        <v>47</v>
      </c>
      <c r="D4784" s="1926" t="s">
        <v>46</v>
      </c>
      <c r="E4784" s="1662">
        <v>18.899999999999999</v>
      </c>
    </row>
    <row r="4785" spans="1:5" x14ac:dyDescent="0.2">
      <c r="A4785" s="135">
        <v>13137</v>
      </c>
      <c r="B4785" s="1926" t="s">
        <v>14381</v>
      </c>
      <c r="C4785" s="1926" t="s">
        <v>47</v>
      </c>
      <c r="D4785" s="1926" t="s">
        <v>46</v>
      </c>
      <c r="E4785" s="1662">
        <v>25.09</v>
      </c>
    </row>
    <row r="4786" spans="1:5" x14ac:dyDescent="0.2">
      <c r="A4786" s="135">
        <v>20989</v>
      </c>
      <c r="B4786" s="1926" t="s">
        <v>14382</v>
      </c>
      <c r="C4786" s="1926" t="s">
        <v>47</v>
      </c>
      <c r="D4786" s="1926" t="s">
        <v>46</v>
      </c>
      <c r="E4786" s="1662">
        <v>898.92</v>
      </c>
    </row>
    <row r="4787" spans="1:5" x14ac:dyDescent="0.2">
      <c r="A4787" s="135">
        <v>21147</v>
      </c>
      <c r="B4787" s="1926" t="s">
        <v>14383</v>
      </c>
      <c r="C4787" s="1926" t="s">
        <v>47</v>
      </c>
      <c r="D4787" s="1926" t="s">
        <v>46</v>
      </c>
      <c r="E4787" s="1662">
        <v>84.28</v>
      </c>
    </row>
    <row r="4788" spans="1:5" x14ac:dyDescent="0.2">
      <c r="A4788" s="135">
        <v>21148</v>
      </c>
      <c r="B4788" s="1926" t="s">
        <v>14384</v>
      </c>
      <c r="C4788" s="1926" t="s">
        <v>47</v>
      </c>
      <c r="D4788" s="1926" t="s">
        <v>46</v>
      </c>
      <c r="E4788" s="1662">
        <v>52.02</v>
      </c>
    </row>
    <row r="4789" spans="1:5" x14ac:dyDescent="0.2">
      <c r="A4789" s="135">
        <v>20984</v>
      </c>
      <c r="B4789" s="1926" t="s">
        <v>14385</v>
      </c>
      <c r="C4789" s="1926" t="s">
        <v>47</v>
      </c>
      <c r="D4789" s="1926" t="s">
        <v>46</v>
      </c>
      <c r="E4789" s="1662">
        <v>1724.85</v>
      </c>
    </row>
    <row r="4790" spans="1:5" x14ac:dyDescent="0.2">
      <c r="A4790" s="135">
        <v>13042</v>
      </c>
      <c r="B4790" s="1926" t="s">
        <v>14386</v>
      </c>
      <c r="C4790" s="1926" t="s">
        <v>47</v>
      </c>
      <c r="D4790" s="1926" t="s">
        <v>46</v>
      </c>
      <c r="E4790" s="1662">
        <v>955.82</v>
      </c>
    </row>
    <row r="4791" spans="1:5" x14ac:dyDescent="0.2">
      <c r="A4791" s="135">
        <v>21150</v>
      </c>
      <c r="B4791" s="1926" t="s">
        <v>14387</v>
      </c>
      <c r="C4791" s="1926" t="s">
        <v>47</v>
      </c>
      <c r="D4791" s="1926" t="s">
        <v>46</v>
      </c>
      <c r="E4791" s="1662">
        <v>25.79</v>
      </c>
    </row>
    <row r="4792" spans="1:5" x14ac:dyDescent="0.2">
      <c r="A4792" s="135">
        <v>13141</v>
      </c>
      <c r="B4792" s="1926" t="s">
        <v>14388</v>
      </c>
      <c r="C4792" s="1926" t="s">
        <v>47</v>
      </c>
      <c r="D4792" s="1926" t="s">
        <v>46</v>
      </c>
      <c r="E4792" s="1662">
        <v>32.5</v>
      </c>
    </row>
    <row r="4793" spans="1:5" x14ac:dyDescent="0.2">
      <c r="A4793" s="135">
        <v>21151</v>
      </c>
      <c r="B4793" s="1926" t="s">
        <v>14389</v>
      </c>
      <c r="C4793" s="1926" t="s">
        <v>47</v>
      </c>
      <c r="D4793" s="1926" t="s">
        <v>46</v>
      </c>
      <c r="E4793" s="1662">
        <v>154.38999999999999</v>
      </c>
    </row>
    <row r="4794" spans="1:5" x14ac:dyDescent="0.2">
      <c r="A4794" s="135">
        <v>13142</v>
      </c>
      <c r="B4794" s="1926" t="s">
        <v>14390</v>
      </c>
      <c r="C4794" s="1926" t="s">
        <v>47</v>
      </c>
      <c r="D4794" s="1926" t="s">
        <v>46</v>
      </c>
      <c r="E4794" s="1662">
        <v>220.72</v>
      </c>
    </row>
    <row r="4795" spans="1:5" x14ac:dyDescent="0.2">
      <c r="A4795" s="135">
        <v>20994</v>
      </c>
      <c r="B4795" s="1926" t="s">
        <v>14391</v>
      </c>
      <c r="C4795" s="1926" t="s">
        <v>47</v>
      </c>
      <c r="D4795" s="1926" t="s">
        <v>46</v>
      </c>
      <c r="E4795" s="1662">
        <v>416.15</v>
      </c>
    </row>
    <row r="4796" spans="1:5" x14ac:dyDescent="0.2">
      <c r="A4796" s="135">
        <v>7672</v>
      </c>
      <c r="B4796" s="1926" t="s">
        <v>14392</v>
      </c>
      <c r="C4796" s="1926" t="s">
        <v>47</v>
      </c>
      <c r="D4796" s="1926" t="s">
        <v>46</v>
      </c>
      <c r="E4796" s="1662">
        <v>272.62</v>
      </c>
    </row>
    <row r="4797" spans="1:5" x14ac:dyDescent="0.2">
      <c r="A4797" s="135">
        <v>20995</v>
      </c>
      <c r="B4797" s="1926" t="s">
        <v>14393</v>
      </c>
      <c r="C4797" s="1926" t="s">
        <v>47</v>
      </c>
      <c r="D4797" s="1926" t="s">
        <v>46</v>
      </c>
      <c r="E4797" s="1662">
        <v>546.9</v>
      </c>
    </row>
    <row r="4798" spans="1:5" x14ac:dyDescent="0.2">
      <c r="A4798" s="135">
        <v>7690</v>
      </c>
      <c r="B4798" s="1926" t="s">
        <v>14394</v>
      </c>
      <c r="C4798" s="1926" t="s">
        <v>47</v>
      </c>
      <c r="D4798" s="1926" t="s">
        <v>46</v>
      </c>
      <c r="E4798" s="1662">
        <v>316.31</v>
      </c>
    </row>
    <row r="4799" spans="1:5" x14ac:dyDescent="0.2">
      <c r="A4799" s="135">
        <v>20980</v>
      </c>
      <c r="B4799" s="1926" t="s">
        <v>14395</v>
      </c>
      <c r="C4799" s="1926" t="s">
        <v>47</v>
      </c>
      <c r="D4799" s="1926" t="s">
        <v>46</v>
      </c>
      <c r="E4799" s="1662">
        <v>345.06</v>
      </c>
    </row>
    <row r="4800" spans="1:5" x14ac:dyDescent="0.2">
      <c r="A4800" s="135">
        <v>7661</v>
      </c>
      <c r="B4800" s="1926" t="s">
        <v>14396</v>
      </c>
      <c r="C4800" s="1926" t="s">
        <v>47</v>
      </c>
      <c r="D4800" s="1926" t="s">
        <v>46</v>
      </c>
      <c r="E4800" s="1662">
        <v>410.48</v>
      </c>
    </row>
    <row r="4801" spans="1:5" x14ac:dyDescent="0.2">
      <c r="A4801" s="135">
        <v>21016</v>
      </c>
      <c r="B4801" s="1926" t="s">
        <v>14397</v>
      </c>
      <c r="C4801" s="1926" t="s">
        <v>47</v>
      </c>
      <c r="D4801" s="1926" t="s">
        <v>40</v>
      </c>
      <c r="E4801" s="1662">
        <v>107.72</v>
      </c>
    </row>
    <row r="4802" spans="1:5" x14ac:dyDescent="0.2">
      <c r="A4802" s="135">
        <v>21008</v>
      </c>
      <c r="B4802" s="1926" t="s">
        <v>14398</v>
      </c>
      <c r="C4802" s="1926" t="s">
        <v>47</v>
      </c>
      <c r="D4802" s="1926" t="s">
        <v>40</v>
      </c>
      <c r="E4802" s="1662">
        <v>12.58</v>
      </c>
    </row>
    <row r="4803" spans="1:5" x14ac:dyDescent="0.2">
      <c r="A4803" s="135">
        <v>21009</v>
      </c>
      <c r="B4803" s="1926" t="s">
        <v>14399</v>
      </c>
      <c r="C4803" s="1926" t="s">
        <v>47</v>
      </c>
      <c r="D4803" s="1926" t="s">
        <v>40</v>
      </c>
      <c r="E4803" s="1662">
        <v>16.38</v>
      </c>
    </row>
    <row r="4804" spans="1:5" x14ac:dyDescent="0.2">
      <c r="A4804" s="135">
        <v>21010</v>
      </c>
      <c r="B4804" s="1926" t="s">
        <v>14400</v>
      </c>
      <c r="C4804" s="1926" t="s">
        <v>47</v>
      </c>
      <c r="D4804" s="1926" t="s">
        <v>43</v>
      </c>
      <c r="E4804" s="1662">
        <v>22</v>
      </c>
    </row>
    <row r="4805" spans="1:5" x14ac:dyDescent="0.2">
      <c r="A4805" s="135">
        <v>21011</v>
      </c>
      <c r="B4805" s="1926" t="s">
        <v>14401</v>
      </c>
      <c r="C4805" s="1926" t="s">
        <v>47</v>
      </c>
      <c r="D4805" s="1926" t="s">
        <v>40</v>
      </c>
      <c r="E4805" s="1662">
        <v>32.06</v>
      </c>
    </row>
    <row r="4806" spans="1:5" x14ac:dyDescent="0.2">
      <c r="A4806" s="135">
        <v>21012</v>
      </c>
      <c r="B4806" s="1926" t="s">
        <v>14402</v>
      </c>
      <c r="C4806" s="1926" t="s">
        <v>47</v>
      </c>
      <c r="D4806" s="1926" t="s">
        <v>40</v>
      </c>
      <c r="E4806" s="1662">
        <v>35.43</v>
      </c>
    </row>
    <row r="4807" spans="1:5" x14ac:dyDescent="0.2">
      <c r="A4807" s="135">
        <v>21013</v>
      </c>
      <c r="B4807" s="1926" t="s">
        <v>14403</v>
      </c>
      <c r="C4807" s="1926" t="s">
        <v>47</v>
      </c>
      <c r="D4807" s="1926" t="s">
        <v>40</v>
      </c>
      <c r="E4807" s="1662">
        <v>46.24</v>
      </c>
    </row>
    <row r="4808" spans="1:5" x14ac:dyDescent="0.2">
      <c r="A4808" s="135">
        <v>21014</v>
      </c>
      <c r="B4808" s="1926" t="s">
        <v>14404</v>
      </c>
      <c r="C4808" s="1926" t="s">
        <v>47</v>
      </c>
      <c r="D4808" s="1926" t="s">
        <v>40</v>
      </c>
      <c r="E4808" s="1662">
        <v>64.7</v>
      </c>
    </row>
    <row r="4809" spans="1:5" x14ac:dyDescent="0.2">
      <c r="A4809" s="135">
        <v>21015</v>
      </c>
      <c r="B4809" s="1926" t="s">
        <v>14405</v>
      </c>
      <c r="C4809" s="1926" t="s">
        <v>47</v>
      </c>
      <c r="D4809" s="1926" t="s">
        <v>40</v>
      </c>
      <c r="E4809" s="1662">
        <v>74.33</v>
      </c>
    </row>
    <row r="4810" spans="1:5" x14ac:dyDescent="0.2">
      <c r="A4810" s="135">
        <v>7697</v>
      </c>
      <c r="B4810" s="1926" t="s">
        <v>14406</v>
      </c>
      <c r="C4810" s="1926" t="s">
        <v>47</v>
      </c>
      <c r="D4810" s="1926" t="s">
        <v>40</v>
      </c>
      <c r="E4810" s="1662">
        <v>35.47</v>
      </c>
    </row>
    <row r="4811" spans="1:5" x14ac:dyDescent="0.2">
      <c r="A4811" s="135">
        <v>7698</v>
      </c>
      <c r="B4811" s="1926" t="s">
        <v>14407</v>
      </c>
      <c r="C4811" s="1926" t="s">
        <v>47</v>
      </c>
      <c r="D4811" s="1926" t="s">
        <v>40</v>
      </c>
      <c r="E4811" s="1662">
        <v>30.53</v>
      </c>
    </row>
    <row r="4812" spans="1:5" x14ac:dyDescent="0.2">
      <c r="A4812" s="135">
        <v>7691</v>
      </c>
      <c r="B4812" s="1926" t="s">
        <v>14408</v>
      </c>
      <c r="C4812" s="1926" t="s">
        <v>47</v>
      </c>
      <c r="D4812" s="1926" t="s">
        <v>40</v>
      </c>
      <c r="E4812" s="1662">
        <v>12.9</v>
      </c>
    </row>
    <row r="4813" spans="1:5" x14ac:dyDescent="0.2">
      <c r="A4813" s="135">
        <v>40626</v>
      </c>
      <c r="B4813" s="1926" t="s">
        <v>14409</v>
      </c>
      <c r="C4813" s="1926" t="s">
        <v>47</v>
      </c>
      <c r="D4813" s="1926" t="s">
        <v>40</v>
      </c>
      <c r="E4813" s="1662">
        <v>24.21</v>
      </c>
    </row>
    <row r="4814" spans="1:5" x14ac:dyDescent="0.2">
      <c r="A4814" s="135">
        <v>7701</v>
      </c>
      <c r="B4814" s="1926" t="s">
        <v>14410</v>
      </c>
      <c r="C4814" s="1926" t="s">
        <v>47</v>
      </c>
      <c r="D4814" s="1926" t="s">
        <v>40</v>
      </c>
      <c r="E4814" s="1662">
        <v>63.47</v>
      </c>
    </row>
    <row r="4815" spans="1:5" x14ac:dyDescent="0.2">
      <c r="A4815" s="135">
        <v>7696</v>
      </c>
      <c r="B4815" s="1926" t="s">
        <v>14411</v>
      </c>
      <c r="C4815" s="1926" t="s">
        <v>47</v>
      </c>
      <c r="D4815" s="1926" t="s">
        <v>40</v>
      </c>
      <c r="E4815" s="1662">
        <v>51.15</v>
      </c>
    </row>
    <row r="4816" spans="1:5" x14ac:dyDescent="0.2">
      <c r="A4816" s="135">
        <v>7700</v>
      </c>
      <c r="B4816" s="1926" t="s">
        <v>14412</v>
      </c>
      <c r="C4816" s="1926" t="s">
        <v>47</v>
      </c>
      <c r="D4816" s="1926" t="s">
        <v>40</v>
      </c>
      <c r="E4816" s="1662">
        <v>16.309999999999999</v>
      </c>
    </row>
    <row r="4817" spans="1:5" x14ac:dyDescent="0.2">
      <c r="A4817" s="135">
        <v>7694</v>
      </c>
      <c r="B4817" s="1926" t="s">
        <v>14413</v>
      </c>
      <c r="C4817" s="1926" t="s">
        <v>47</v>
      </c>
      <c r="D4817" s="1926" t="s">
        <v>40</v>
      </c>
      <c r="E4817" s="1662">
        <v>85.41</v>
      </c>
    </row>
    <row r="4818" spans="1:5" x14ac:dyDescent="0.2">
      <c r="A4818" s="135">
        <v>7693</v>
      </c>
      <c r="B4818" s="1926" t="s">
        <v>14414</v>
      </c>
      <c r="C4818" s="1926" t="s">
        <v>47</v>
      </c>
      <c r="D4818" s="1926" t="s">
        <v>40</v>
      </c>
      <c r="E4818" s="1662">
        <v>117.63</v>
      </c>
    </row>
    <row r="4819" spans="1:5" x14ac:dyDescent="0.2">
      <c r="A4819" s="135">
        <v>7692</v>
      </c>
      <c r="B4819" s="1926" t="s">
        <v>14415</v>
      </c>
      <c r="C4819" s="1926" t="s">
        <v>47</v>
      </c>
      <c r="D4819" s="1926" t="s">
        <v>40</v>
      </c>
      <c r="E4819" s="1662">
        <v>176.12</v>
      </c>
    </row>
    <row r="4820" spans="1:5" x14ac:dyDescent="0.2">
      <c r="A4820" s="135">
        <v>7695</v>
      </c>
      <c r="B4820" s="1926" t="s">
        <v>14416</v>
      </c>
      <c r="C4820" s="1926" t="s">
        <v>47</v>
      </c>
      <c r="D4820" s="1926" t="s">
        <v>40</v>
      </c>
      <c r="E4820" s="1662">
        <v>191</v>
      </c>
    </row>
    <row r="4821" spans="1:5" x14ac:dyDescent="0.2">
      <c r="A4821" s="135">
        <v>13356</v>
      </c>
      <c r="B4821" s="1926" t="s">
        <v>14417</v>
      </c>
      <c r="C4821" s="1926" t="s">
        <v>47</v>
      </c>
      <c r="D4821" s="1926" t="s">
        <v>40</v>
      </c>
      <c r="E4821" s="1662">
        <v>13.85</v>
      </c>
    </row>
    <row r="4822" spans="1:5" x14ac:dyDescent="0.2">
      <c r="A4822" s="135">
        <v>36365</v>
      </c>
      <c r="B4822" s="1926" t="s">
        <v>14418</v>
      </c>
      <c r="C4822" s="1926" t="s">
        <v>47</v>
      </c>
      <c r="D4822" s="1926" t="s">
        <v>46</v>
      </c>
      <c r="E4822" s="1662">
        <v>19.57</v>
      </c>
    </row>
    <row r="4823" spans="1:5" x14ac:dyDescent="0.2">
      <c r="A4823" s="135">
        <v>41930</v>
      </c>
      <c r="B4823" s="1926" t="s">
        <v>14419</v>
      </c>
      <c r="C4823" s="1926" t="s">
        <v>47</v>
      </c>
      <c r="D4823" s="1926" t="s">
        <v>46</v>
      </c>
      <c r="E4823" s="1662">
        <v>63.35</v>
      </c>
    </row>
    <row r="4824" spans="1:5" x14ac:dyDescent="0.2">
      <c r="A4824" s="135">
        <v>41931</v>
      </c>
      <c r="B4824" s="1926" t="s">
        <v>14420</v>
      </c>
      <c r="C4824" s="1926" t="s">
        <v>47</v>
      </c>
      <c r="D4824" s="1926" t="s">
        <v>46</v>
      </c>
      <c r="E4824" s="1662">
        <v>108.02</v>
      </c>
    </row>
    <row r="4825" spans="1:5" x14ac:dyDescent="0.2">
      <c r="A4825" s="135">
        <v>41932</v>
      </c>
      <c r="B4825" s="1926" t="s">
        <v>14421</v>
      </c>
      <c r="C4825" s="1926" t="s">
        <v>47</v>
      </c>
      <c r="D4825" s="1926" t="s">
        <v>46</v>
      </c>
      <c r="E4825" s="1662">
        <v>174.48</v>
      </c>
    </row>
    <row r="4826" spans="1:5" x14ac:dyDescent="0.2">
      <c r="A4826" s="135">
        <v>41933</v>
      </c>
      <c r="B4826" s="1926" t="s">
        <v>14422</v>
      </c>
      <c r="C4826" s="1926" t="s">
        <v>47</v>
      </c>
      <c r="D4826" s="1926" t="s">
        <v>46</v>
      </c>
      <c r="E4826" s="1662">
        <v>216.09</v>
      </c>
    </row>
    <row r="4827" spans="1:5" x14ac:dyDescent="0.2">
      <c r="A4827" s="135">
        <v>41934</v>
      </c>
      <c r="B4827" s="1926" t="s">
        <v>14423</v>
      </c>
      <c r="C4827" s="1926" t="s">
        <v>47</v>
      </c>
      <c r="D4827" s="1926" t="s">
        <v>46</v>
      </c>
      <c r="E4827" s="1662">
        <v>279.89999999999998</v>
      </c>
    </row>
    <row r="4828" spans="1:5" x14ac:dyDescent="0.2">
      <c r="A4828" s="135">
        <v>41936</v>
      </c>
      <c r="B4828" s="1926" t="s">
        <v>14424</v>
      </c>
      <c r="C4828" s="1926" t="s">
        <v>47</v>
      </c>
      <c r="D4828" s="1926" t="s">
        <v>46</v>
      </c>
      <c r="E4828" s="1662">
        <v>42.2</v>
      </c>
    </row>
    <row r="4829" spans="1:5" x14ac:dyDescent="0.2">
      <c r="A4829" s="135">
        <v>7720</v>
      </c>
      <c r="B4829" s="1926" t="s">
        <v>14425</v>
      </c>
      <c r="C4829" s="1926" t="s">
        <v>47</v>
      </c>
      <c r="D4829" s="1926" t="s">
        <v>40</v>
      </c>
      <c r="E4829" s="1662">
        <v>512.54999999999995</v>
      </c>
    </row>
    <row r="4830" spans="1:5" x14ac:dyDescent="0.2">
      <c r="A4830" s="135">
        <v>40335</v>
      </c>
      <c r="B4830" s="1926" t="s">
        <v>14426</v>
      </c>
      <c r="C4830" s="1926" t="s">
        <v>47</v>
      </c>
      <c r="D4830" s="1926" t="s">
        <v>40</v>
      </c>
      <c r="E4830" s="1662">
        <v>104.4</v>
      </c>
    </row>
    <row r="4831" spans="1:5" x14ac:dyDescent="0.2">
      <c r="A4831" s="135">
        <v>7740</v>
      </c>
      <c r="B4831" s="1926" t="s">
        <v>14427</v>
      </c>
      <c r="C4831" s="1926" t="s">
        <v>47</v>
      </c>
      <c r="D4831" s="1926" t="s">
        <v>40</v>
      </c>
      <c r="E4831" s="1662">
        <v>142.43</v>
      </c>
    </row>
    <row r="4832" spans="1:5" x14ac:dyDescent="0.2">
      <c r="A4832" s="135">
        <v>7741</v>
      </c>
      <c r="B4832" s="1926" t="s">
        <v>14428</v>
      </c>
      <c r="C4832" s="1926" t="s">
        <v>47</v>
      </c>
      <c r="D4832" s="1926" t="s">
        <v>40</v>
      </c>
      <c r="E4832" s="1662">
        <v>179.76</v>
      </c>
    </row>
    <row r="4833" spans="1:5" x14ac:dyDescent="0.2">
      <c r="A4833" s="135">
        <v>7774</v>
      </c>
      <c r="B4833" s="1926" t="s">
        <v>14429</v>
      </c>
      <c r="C4833" s="1926" t="s">
        <v>47</v>
      </c>
      <c r="D4833" s="1926" t="s">
        <v>40</v>
      </c>
      <c r="E4833" s="1662">
        <v>241.98</v>
      </c>
    </row>
    <row r="4834" spans="1:5" x14ac:dyDescent="0.2">
      <c r="A4834" s="135">
        <v>7744</v>
      </c>
      <c r="B4834" s="1926" t="s">
        <v>14430</v>
      </c>
      <c r="C4834" s="1926" t="s">
        <v>47</v>
      </c>
      <c r="D4834" s="1926" t="s">
        <v>40</v>
      </c>
      <c r="E4834" s="1662">
        <v>278.94</v>
      </c>
    </row>
    <row r="4835" spans="1:5" x14ac:dyDescent="0.2">
      <c r="A4835" s="135">
        <v>7773</v>
      </c>
      <c r="B4835" s="1926" t="s">
        <v>14431</v>
      </c>
      <c r="C4835" s="1926" t="s">
        <v>47</v>
      </c>
      <c r="D4835" s="1926" t="s">
        <v>40</v>
      </c>
      <c r="E4835" s="1662">
        <v>347.39</v>
      </c>
    </row>
    <row r="4836" spans="1:5" x14ac:dyDescent="0.2">
      <c r="A4836" s="135">
        <v>7754</v>
      </c>
      <c r="B4836" s="1926" t="s">
        <v>14432</v>
      </c>
      <c r="C4836" s="1926" t="s">
        <v>47</v>
      </c>
      <c r="D4836" s="1926" t="s">
        <v>40</v>
      </c>
      <c r="E4836" s="1662">
        <v>472.08</v>
      </c>
    </row>
    <row r="4837" spans="1:5" x14ac:dyDescent="0.2">
      <c r="A4837" s="135">
        <v>7735</v>
      </c>
      <c r="B4837" s="1926" t="s">
        <v>14433</v>
      </c>
      <c r="C4837" s="1926" t="s">
        <v>47</v>
      </c>
      <c r="D4837" s="1926" t="s">
        <v>40</v>
      </c>
      <c r="E4837" s="1662">
        <v>647.04</v>
      </c>
    </row>
    <row r="4838" spans="1:5" x14ac:dyDescent="0.2">
      <c r="A4838" s="135">
        <v>7755</v>
      </c>
      <c r="B4838" s="1926" t="s">
        <v>14434</v>
      </c>
      <c r="C4838" s="1926" t="s">
        <v>47</v>
      </c>
      <c r="D4838" s="1926" t="s">
        <v>40</v>
      </c>
      <c r="E4838" s="1662">
        <v>173.52</v>
      </c>
    </row>
    <row r="4839" spans="1:5" x14ac:dyDescent="0.2">
      <c r="A4839" s="135">
        <v>7776</v>
      </c>
      <c r="B4839" s="1926" t="s">
        <v>14435</v>
      </c>
      <c r="C4839" s="1926" t="s">
        <v>47</v>
      </c>
      <c r="D4839" s="1926" t="s">
        <v>40</v>
      </c>
      <c r="E4839" s="1662">
        <v>225.84</v>
      </c>
    </row>
    <row r="4840" spans="1:5" x14ac:dyDescent="0.2">
      <c r="A4840" s="135">
        <v>7743</v>
      </c>
      <c r="B4840" s="1926" t="s">
        <v>14436</v>
      </c>
      <c r="C4840" s="1926" t="s">
        <v>47</v>
      </c>
      <c r="D4840" s="1926" t="s">
        <v>40</v>
      </c>
      <c r="E4840" s="1662">
        <v>298.24</v>
      </c>
    </row>
    <row r="4841" spans="1:5" x14ac:dyDescent="0.2">
      <c r="A4841" s="135">
        <v>7733</v>
      </c>
      <c r="B4841" s="1926" t="s">
        <v>14437</v>
      </c>
      <c r="C4841" s="1926" t="s">
        <v>47</v>
      </c>
      <c r="D4841" s="1926" t="s">
        <v>40</v>
      </c>
      <c r="E4841" s="1662">
        <v>332.57</v>
      </c>
    </row>
    <row r="4842" spans="1:5" x14ac:dyDescent="0.2">
      <c r="A4842" s="135">
        <v>7775</v>
      </c>
      <c r="B4842" s="1926" t="s">
        <v>14438</v>
      </c>
      <c r="C4842" s="1926" t="s">
        <v>47</v>
      </c>
      <c r="D4842" s="1926" t="s">
        <v>40</v>
      </c>
      <c r="E4842" s="1662">
        <v>409.16</v>
      </c>
    </row>
    <row r="4843" spans="1:5" x14ac:dyDescent="0.2">
      <c r="A4843" s="135">
        <v>7734</v>
      </c>
      <c r="B4843" s="1926" t="s">
        <v>14439</v>
      </c>
      <c r="C4843" s="1926" t="s">
        <v>47</v>
      </c>
      <c r="D4843" s="1926" t="s">
        <v>40</v>
      </c>
      <c r="E4843" s="1662">
        <v>591.52</v>
      </c>
    </row>
    <row r="4844" spans="1:5" x14ac:dyDescent="0.2">
      <c r="A4844" s="135">
        <v>7753</v>
      </c>
      <c r="B4844" s="1926" t="s">
        <v>14440</v>
      </c>
      <c r="C4844" s="1926" t="s">
        <v>47</v>
      </c>
      <c r="D4844" s="1926" t="s">
        <v>40</v>
      </c>
      <c r="E4844" s="1662">
        <v>299.91000000000003</v>
      </c>
    </row>
    <row r="4845" spans="1:5" x14ac:dyDescent="0.2">
      <c r="A4845" s="135">
        <v>13256</v>
      </c>
      <c r="B4845" s="1926" t="s">
        <v>14441</v>
      </c>
      <c r="C4845" s="1926" t="s">
        <v>47</v>
      </c>
      <c r="D4845" s="1926" t="s">
        <v>40</v>
      </c>
      <c r="E4845" s="1662">
        <v>350.1</v>
      </c>
    </row>
    <row r="4846" spans="1:5" x14ac:dyDescent="0.2">
      <c r="A4846" s="135">
        <v>7757</v>
      </c>
      <c r="B4846" s="1926" t="s">
        <v>14442</v>
      </c>
      <c r="C4846" s="1926" t="s">
        <v>47</v>
      </c>
      <c r="D4846" s="1926" t="s">
        <v>40</v>
      </c>
      <c r="E4846" s="1662">
        <v>425.03</v>
      </c>
    </row>
    <row r="4847" spans="1:5" x14ac:dyDescent="0.2">
      <c r="A4847" s="135">
        <v>7758</v>
      </c>
      <c r="B4847" s="1926" t="s">
        <v>14443</v>
      </c>
      <c r="C4847" s="1926" t="s">
        <v>47</v>
      </c>
      <c r="D4847" s="1926" t="s">
        <v>40</v>
      </c>
      <c r="E4847" s="1662">
        <v>632.19000000000005</v>
      </c>
    </row>
    <row r="4848" spans="1:5" x14ac:dyDescent="0.2">
      <c r="A4848" s="135">
        <v>7759</v>
      </c>
      <c r="B4848" s="1926" t="s">
        <v>14444</v>
      </c>
      <c r="C4848" s="1926" t="s">
        <v>47</v>
      </c>
      <c r="D4848" s="1926" t="s">
        <v>40</v>
      </c>
      <c r="E4848" s="1662">
        <v>1377.32</v>
      </c>
    </row>
    <row r="4849" spans="1:5" x14ac:dyDescent="0.2">
      <c r="A4849" s="135">
        <v>40334</v>
      </c>
      <c r="B4849" s="1926" t="s">
        <v>14445</v>
      </c>
      <c r="C4849" s="1926" t="s">
        <v>47</v>
      </c>
      <c r="D4849" s="1926" t="s">
        <v>40</v>
      </c>
      <c r="E4849" s="1662">
        <v>74.36</v>
      </c>
    </row>
    <row r="4850" spans="1:5" x14ac:dyDescent="0.2">
      <c r="A4850" s="135">
        <v>7745</v>
      </c>
      <c r="B4850" s="1926" t="s">
        <v>14446</v>
      </c>
      <c r="C4850" s="1926" t="s">
        <v>47</v>
      </c>
      <c r="D4850" s="1926" t="s">
        <v>40</v>
      </c>
      <c r="E4850" s="1662">
        <v>78.58</v>
      </c>
    </row>
    <row r="4851" spans="1:5" x14ac:dyDescent="0.2">
      <c r="A4851" s="135">
        <v>7714</v>
      </c>
      <c r="B4851" s="1926" t="s">
        <v>14447</v>
      </c>
      <c r="C4851" s="1926" t="s">
        <v>47</v>
      </c>
      <c r="D4851" s="1926" t="s">
        <v>40</v>
      </c>
      <c r="E4851" s="1662">
        <v>103.77</v>
      </c>
    </row>
    <row r="4852" spans="1:5" x14ac:dyDescent="0.2">
      <c r="A4852" s="135">
        <v>7725</v>
      </c>
      <c r="B4852" s="1926" t="s">
        <v>14448</v>
      </c>
      <c r="C4852" s="1926" t="s">
        <v>47</v>
      </c>
      <c r="D4852" s="1926" t="s">
        <v>43</v>
      </c>
      <c r="E4852" s="1662">
        <v>137.27000000000001</v>
      </c>
    </row>
    <row r="4853" spans="1:5" x14ac:dyDescent="0.2">
      <c r="A4853" s="135">
        <v>7742</v>
      </c>
      <c r="B4853" s="1926" t="s">
        <v>14449</v>
      </c>
      <c r="C4853" s="1926" t="s">
        <v>47</v>
      </c>
      <c r="D4853" s="1926" t="s">
        <v>40</v>
      </c>
      <c r="E4853" s="1662">
        <v>192.68</v>
      </c>
    </row>
    <row r="4854" spans="1:5" x14ac:dyDescent="0.2">
      <c r="A4854" s="135">
        <v>7750</v>
      </c>
      <c r="B4854" s="1926" t="s">
        <v>14450</v>
      </c>
      <c r="C4854" s="1926" t="s">
        <v>47</v>
      </c>
      <c r="D4854" s="1926" t="s">
        <v>40</v>
      </c>
      <c r="E4854" s="1662">
        <v>218.49</v>
      </c>
    </row>
    <row r="4855" spans="1:5" x14ac:dyDescent="0.2">
      <c r="A4855" s="135">
        <v>7756</v>
      </c>
      <c r="B4855" s="1926" t="s">
        <v>14451</v>
      </c>
      <c r="C4855" s="1926" t="s">
        <v>47</v>
      </c>
      <c r="D4855" s="1926" t="s">
        <v>40</v>
      </c>
      <c r="E4855" s="1662">
        <v>269.75</v>
      </c>
    </row>
    <row r="4856" spans="1:5" x14ac:dyDescent="0.2">
      <c r="A4856" s="135">
        <v>7765</v>
      </c>
      <c r="B4856" s="1926" t="s">
        <v>14452</v>
      </c>
      <c r="C4856" s="1926" t="s">
        <v>47</v>
      </c>
      <c r="D4856" s="1926" t="s">
        <v>40</v>
      </c>
      <c r="E4856" s="1662">
        <v>331.21</v>
      </c>
    </row>
    <row r="4857" spans="1:5" x14ac:dyDescent="0.2">
      <c r="A4857" s="135">
        <v>12569</v>
      </c>
      <c r="B4857" s="1926" t="s">
        <v>14453</v>
      </c>
      <c r="C4857" s="1926" t="s">
        <v>47</v>
      </c>
      <c r="D4857" s="1926" t="s">
        <v>40</v>
      </c>
      <c r="E4857" s="1662">
        <v>356.39</v>
      </c>
    </row>
    <row r="4858" spans="1:5" x14ac:dyDescent="0.2">
      <c r="A4858" s="135">
        <v>7766</v>
      </c>
      <c r="B4858" s="1926" t="s">
        <v>14454</v>
      </c>
      <c r="C4858" s="1926" t="s">
        <v>47</v>
      </c>
      <c r="D4858" s="1926" t="s">
        <v>40</v>
      </c>
      <c r="E4858" s="1662">
        <v>481.7</v>
      </c>
    </row>
    <row r="4859" spans="1:5" x14ac:dyDescent="0.2">
      <c r="A4859" s="135">
        <v>7767</v>
      </c>
      <c r="B4859" s="1926" t="s">
        <v>14455</v>
      </c>
      <c r="C4859" s="1926" t="s">
        <v>47</v>
      </c>
      <c r="D4859" s="1926" t="s">
        <v>40</v>
      </c>
      <c r="E4859" s="1662">
        <v>742.27</v>
      </c>
    </row>
    <row r="4860" spans="1:5" x14ac:dyDescent="0.2">
      <c r="A4860" s="135">
        <v>7727</v>
      </c>
      <c r="B4860" s="1926" t="s">
        <v>14456</v>
      </c>
      <c r="C4860" s="1926" t="s">
        <v>47</v>
      </c>
      <c r="D4860" s="1926" t="s">
        <v>40</v>
      </c>
      <c r="E4860" s="1662">
        <v>1611.97</v>
      </c>
    </row>
    <row r="4861" spans="1:5" x14ac:dyDescent="0.2">
      <c r="A4861" s="135">
        <v>7760</v>
      </c>
      <c r="B4861" s="1926" t="s">
        <v>14457</v>
      </c>
      <c r="C4861" s="1926" t="s">
        <v>47</v>
      </c>
      <c r="D4861" s="1926" t="s">
        <v>40</v>
      </c>
      <c r="E4861" s="1662">
        <v>78.2</v>
      </c>
    </row>
    <row r="4862" spans="1:5" x14ac:dyDescent="0.2">
      <c r="A4862" s="135">
        <v>7761</v>
      </c>
      <c r="B4862" s="1926" t="s">
        <v>14458</v>
      </c>
      <c r="C4862" s="1926" t="s">
        <v>47</v>
      </c>
      <c r="D4862" s="1926" t="s">
        <v>40</v>
      </c>
      <c r="E4862" s="1662">
        <v>83.11</v>
      </c>
    </row>
    <row r="4863" spans="1:5" x14ac:dyDescent="0.2">
      <c r="A4863" s="135">
        <v>7752</v>
      </c>
      <c r="B4863" s="1926" t="s">
        <v>14459</v>
      </c>
      <c r="C4863" s="1926" t="s">
        <v>47</v>
      </c>
      <c r="D4863" s="1926" t="s">
        <v>40</v>
      </c>
      <c r="E4863" s="1662">
        <v>100.68</v>
      </c>
    </row>
    <row r="4864" spans="1:5" x14ac:dyDescent="0.2">
      <c r="A4864" s="135">
        <v>7762</v>
      </c>
      <c r="B4864" s="1926" t="s">
        <v>14460</v>
      </c>
      <c r="C4864" s="1926" t="s">
        <v>47</v>
      </c>
      <c r="D4864" s="1926" t="s">
        <v>40</v>
      </c>
      <c r="E4864" s="1662">
        <v>131.72</v>
      </c>
    </row>
    <row r="4865" spans="1:5" x14ac:dyDescent="0.2">
      <c r="A4865" s="135">
        <v>7722</v>
      </c>
      <c r="B4865" s="1926" t="s">
        <v>14461</v>
      </c>
      <c r="C4865" s="1926" t="s">
        <v>47</v>
      </c>
      <c r="D4865" s="1926" t="s">
        <v>40</v>
      </c>
      <c r="E4865" s="1662">
        <v>203.12</v>
      </c>
    </row>
    <row r="4866" spans="1:5" x14ac:dyDescent="0.2">
      <c r="A4866" s="135">
        <v>7763</v>
      </c>
      <c r="B4866" s="1926" t="s">
        <v>14462</v>
      </c>
      <c r="C4866" s="1926" t="s">
        <v>47</v>
      </c>
      <c r="D4866" s="1926" t="s">
        <v>40</v>
      </c>
      <c r="E4866" s="1662">
        <v>226.36</v>
      </c>
    </row>
    <row r="4867" spans="1:5" x14ac:dyDescent="0.2">
      <c r="A4867" s="135">
        <v>7764</v>
      </c>
      <c r="B4867" s="1926" t="s">
        <v>14463</v>
      </c>
      <c r="C4867" s="1926" t="s">
        <v>47</v>
      </c>
      <c r="D4867" s="1926" t="s">
        <v>40</v>
      </c>
      <c r="E4867" s="1662">
        <v>340.02</v>
      </c>
    </row>
    <row r="4868" spans="1:5" x14ac:dyDescent="0.2">
      <c r="A4868" s="135">
        <v>12572</v>
      </c>
      <c r="B4868" s="1926" t="s">
        <v>14464</v>
      </c>
      <c r="C4868" s="1926" t="s">
        <v>47</v>
      </c>
      <c r="D4868" s="1926" t="s">
        <v>40</v>
      </c>
      <c r="E4868" s="1662">
        <v>445.81</v>
      </c>
    </row>
    <row r="4869" spans="1:5" x14ac:dyDescent="0.2">
      <c r="A4869" s="135">
        <v>12573</v>
      </c>
      <c r="B4869" s="1926" t="s">
        <v>14465</v>
      </c>
      <c r="C4869" s="1926" t="s">
        <v>47</v>
      </c>
      <c r="D4869" s="1926" t="s">
        <v>40</v>
      </c>
      <c r="E4869" s="1662">
        <v>468.48</v>
      </c>
    </row>
    <row r="4870" spans="1:5" x14ac:dyDescent="0.2">
      <c r="A4870" s="135">
        <v>12574</v>
      </c>
      <c r="B4870" s="1926" t="s">
        <v>14466</v>
      </c>
      <c r="C4870" s="1926" t="s">
        <v>47</v>
      </c>
      <c r="D4870" s="1926" t="s">
        <v>40</v>
      </c>
      <c r="E4870" s="1662">
        <v>608.74</v>
      </c>
    </row>
    <row r="4871" spans="1:5" x14ac:dyDescent="0.2">
      <c r="A4871" s="135">
        <v>12575</v>
      </c>
      <c r="B4871" s="1926" t="s">
        <v>14467</v>
      </c>
      <c r="C4871" s="1926" t="s">
        <v>47</v>
      </c>
      <c r="D4871" s="1926" t="s">
        <v>40</v>
      </c>
      <c r="E4871" s="1662">
        <v>893.51</v>
      </c>
    </row>
    <row r="4872" spans="1:5" x14ac:dyDescent="0.2">
      <c r="A4872" s="135">
        <v>12576</v>
      </c>
      <c r="B4872" s="1926" t="s">
        <v>14468</v>
      </c>
      <c r="C4872" s="1926" t="s">
        <v>47</v>
      </c>
      <c r="D4872" s="1926" t="s">
        <v>40</v>
      </c>
      <c r="E4872" s="1662">
        <v>94.45</v>
      </c>
    </row>
    <row r="4873" spans="1:5" x14ac:dyDescent="0.2">
      <c r="A4873" s="135">
        <v>12577</v>
      </c>
      <c r="B4873" s="1926" t="s">
        <v>14469</v>
      </c>
      <c r="C4873" s="1926" t="s">
        <v>47</v>
      </c>
      <c r="D4873" s="1926" t="s">
        <v>40</v>
      </c>
      <c r="E4873" s="1662">
        <v>122.15</v>
      </c>
    </row>
    <row r="4874" spans="1:5" x14ac:dyDescent="0.2">
      <c r="A4874" s="135">
        <v>12578</v>
      </c>
      <c r="B4874" s="1926" t="s">
        <v>14470</v>
      </c>
      <c r="C4874" s="1926" t="s">
        <v>47</v>
      </c>
      <c r="D4874" s="1926" t="s">
        <v>40</v>
      </c>
      <c r="E4874" s="1662">
        <v>163.84</v>
      </c>
    </row>
    <row r="4875" spans="1:5" x14ac:dyDescent="0.2">
      <c r="A4875" s="135">
        <v>12579</v>
      </c>
      <c r="B4875" s="1926" t="s">
        <v>14471</v>
      </c>
      <c r="C4875" s="1926" t="s">
        <v>47</v>
      </c>
      <c r="D4875" s="1926" t="s">
        <v>40</v>
      </c>
      <c r="E4875" s="1662">
        <v>239.91</v>
      </c>
    </row>
    <row r="4876" spans="1:5" x14ac:dyDescent="0.2">
      <c r="A4876" s="135">
        <v>12580</v>
      </c>
      <c r="B4876" s="1926" t="s">
        <v>14472</v>
      </c>
      <c r="C4876" s="1926" t="s">
        <v>47</v>
      </c>
      <c r="D4876" s="1926" t="s">
        <v>40</v>
      </c>
      <c r="E4876" s="1662">
        <v>309.7</v>
      </c>
    </row>
    <row r="4877" spans="1:5" x14ac:dyDescent="0.2">
      <c r="A4877" s="135">
        <v>12581</v>
      </c>
      <c r="B4877" s="1926" t="s">
        <v>14473</v>
      </c>
      <c r="C4877" s="1926" t="s">
        <v>47</v>
      </c>
      <c r="D4877" s="1926" t="s">
        <v>40</v>
      </c>
      <c r="E4877" s="1662">
        <v>423.77</v>
      </c>
    </row>
    <row r="4878" spans="1:5" x14ac:dyDescent="0.2">
      <c r="A4878" s="135">
        <v>41785</v>
      </c>
      <c r="B4878" s="1926" t="s">
        <v>14474</v>
      </c>
      <c r="C4878" s="1926" t="s">
        <v>47</v>
      </c>
      <c r="D4878" s="1926" t="s">
        <v>46</v>
      </c>
      <c r="E4878" s="1662">
        <v>1115.76</v>
      </c>
    </row>
    <row r="4879" spans="1:5" x14ac:dyDescent="0.2">
      <c r="A4879" s="135">
        <v>41781</v>
      </c>
      <c r="B4879" s="1926" t="s">
        <v>14475</v>
      </c>
      <c r="C4879" s="1926" t="s">
        <v>47</v>
      </c>
      <c r="D4879" s="1926" t="s">
        <v>46</v>
      </c>
      <c r="E4879" s="1662">
        <v>318.11</v>
      </c>
    </row>
    <row r="4880" spans="1:5" x14ac:dyDescent="0.2">
      <c r="A4880" s="135">
        <v>41783</v>
      </c>
      <c r="B4880" s="1926" t="s">
        <v>14476</v>
      </c>
      <c r="C4880" s="1926" t="s">
        <v>47</v>
      </c>
      <c r="D4880" s="1926" t="s">
        <v>46</v>
      </c>
      <c r="E4880" s="1662">
        <v>839.45</v>
      </c>
    </row>
    <row r="4881" spans="1:5" x14ac:dyDescent="0.2">
      <c r="A4881" s="135">
        <v>41786</v>
      </c>
      <c r="B4881" s="1926" t="s">
        <v>14477</v>
      </c>
      <c r="C4881" s="1926" t="s">
        <v>47</v>
      </c>
      <c r="D4881" s="1926" t="s">
        <v>46</v>
      </c>
      <c r="E4881" s="1662">
        <v>1751.18</v>
      </c>
    </row>
    <row r="4882" spans="1:5" x14ac:dyDescent="0.2">
      <c r="A4882" s="135">
        <v>41779</v>
      </c>
      <c r="B4882" s="1926" t="s">
        <v>14478</v>
      </c>
      <c r="C4882" s="1926" t="s">
        <v>47</v>
      </c>
      <c r="D4882" s="1926" t="s">
        <v>46</v>
      </c>
      <c r="E4882" s="1662">
        <v>122</v>
      </c>
    </row>
    <row r="4883" spans="1:5" x14ac:dyDescent="0.2">
      <c r="A4883" s="135">
        <v>41780</v>
      </c>
      <c r="B4883" s="1926" t="s">
        <v>14479</v>
      </c>
      <c r="C4883" s="1926" t="s">
        <v>47</v>
      </c>
      <c r="D4883" s="1926" t="s">
        <v>46</v>
      </c>
      <c r="E4883" s="1662">
        <v>144.30000000000001</v>
      </c>
    </row>
    <row r="4884" spans="1:5" x14ac:dyDescent="0.2">
      <c r="A4884" s="135">
        <v>41782</v>
      </c>
      <c r="B4884" s="1926" t="s">
        <v>14480</v>
      </c>
      <c r="C4884" s="1926" t="s">
        <v>47</v>
      </c>
      <c r="D4884" s="1926" t="s">
        <v>46</v>
      </c>
      <c r="E4884" s="1662">
        <v>594.85</v>
      </c>
    </row>
    <row r="4885" spans="1:5" x14ac:dyDescent="0.2">
      <c r="A4885" s="135">
        <v>38130</v>
      </c>
      <c r="B4885" s="1926" t="s">
        <v>14481</v>
      </c>
      <c r="C4885" s="1926" t="s">
        <v>47</v>
      </c>
      <c r="D4885" s="1926" t="s">
        <v>40</v>
      </c>
      <c r="E4885" s="1662">
        <v>21.49</v>
      </c>
    </row>
    <row r="4886" spans="1:5" x14ac:dyDescent="0.2">
      <c r="A4886" s="135">
        <v>21123</v>
      </c>
      <c r="B4886" s="1926" t="s">
        <v>14482</v>
      </c>
      <c r="C4886" s="1926" t="s">
        <v>47</v>
      </c>
      <c r="D4886" s="1926" t="s">
        <v>43</v>
      </c>
      <c r="E4886" s="1662">
        <v>6.1</v>
      </c>
    </row>
    <row r="4887" spans="1:5" x14ac:dyDescent="0.2">
      <c r="A4887" s="135">
        <v>21124</v>
      </c>
      <c r="B4887" s="1926" t="s">
        <v>14483</v>
      </c>
      <c r="C4887" s="1926" t="s">
        <v>47</v>
      </c>
      <c r="D4887" s="1926" t="s">
        <v>40</v>
      </c>
      <c r="E4887" s="1662">
        <v>10.81</v>
      </c>
    </row>
    <row r="4888" spans="1:5" x14ac:dyDescent="0.2">
      <c r="A4888" s="135">
        <v>21125</v>
      </c>
      <c r="B4888" s="1926" t="s">
        <v>14484</v>
      </c>
      <c r="C4888" s="1926" t="s">
        <v>47</v>
      </c>
      <c r="D4888" s="1926" t="s">
        <v>40</v>
      </c>
      <c r="E4888" s="1662">
        <v>17.36</v>
      </c>
    </row>
    <row r="4889" spans="1:5" x14ac:dyDescent="0.2">
      <c r="A4889" s="135">
        <v>38028</v>
      </c>
      <c r="B4889" s="1926" t="s">
        <v>14485</v>
      </c>
      <c r="C4889" s="1926" t="s">
        <v>47</v>
      </c>
      <c r="D4889" s="1926" t="s">
        <v>40</v>
      </c>
      <c r="E4889" s="1662">
        <v>29.45</v>
      </c>
    </row>
    <row r="4890" spans="1:5" x14ac:dyDescent="0.2">
      <c r="A4890" s="135">
        <v>38029</v>
      </c>
      <c r="B4890" s="1926" t="s">
        <v>14486</v>
      </c>
      <c r="C4890" s="1926" t="s">
        <v>47</v>
      </c>
      <c r="D4890" s="1926" t="s">
        <v>40</v>
      </c>
      <c r="E4890" s="1662">
        <v>44.9</v>
      </c>
    </row>
    <row r="4891" spans="1:5" x14ac:dyDescent="0.2">
      <c r="A4891" s="135">
        <v>38030</v>
      </c>
      <c r="B4891" s="1926" t="s">
        <v>14487</v>
      </c>
      <c r="C4891" s="1926" t="s">
        <v>47</v>
      </c>
      <c r="D4891" s="1926" t="s">
        <v>40</v>
      </c>
      <c r="E4891" s="1662">
        <v>68.97</v>
      </c>
    </row>
    <row r="4892" spans="1:5" x14ac:dyDescent="0.2">
      <c r="A4892" s="135">
        <v>38031</v>
      </c>
      <c r="B4892" s="1926" t="s">
        <v>14488</v>
      </c>
      <c r="C4892" s="1926" t="s">
        <v>47</v>
      </c>
      <c r="D4892" s="1926" t="s">
        <v>40</v>
      </c>
      <c r="E4892" s="1662">
        <v>109.3</v>
      </c>
    </row>
    <row r="4893" spans="1:5" x14ac:dyDescent="0.2">
      <c r="A4893" s="135">
        <v>39735</v>
      </c>
      <c r="B4893" s="1926" t="s">
        <v>14489</v>
      </c>
      <c r="C4893" s="1926" t="s">
        <v>47</v>
      </c>
      <c r="D4893" s="1926" t="s">
        <v>46</v>
      </c>
      <c r="E4893" s="1662">
        <v>65.19</v>
      </c>
    </row>
    <row r="4894" spans="1:5" x14ac:dyDescent="0.2">
      <c r="A4894" s="135">
        <v>39734</v>
      </c>
      <c r="B4894" s="1926" t="s">
        <v>14490</v>
      </c>
      <c r="C4894" s="1926" t="s">
        <v>47</v>
      </c>
      <c r="D4894" s="1926" t="s">
        <v>46</v>
      </c>
      <c r="E4894" s="1662">
        <v>77.319999999999993</v>
      </c>
    </row>
    <row r="4895" spans="1:5" x14ac:dyDescent="0.2">
      <c r="A4895" s="135">
        <v>39736</v>
      </c>
      <c r="B4895" s="1926" t="s">
        <v>14491</v>
      </c>
      <c r="C4895" s="1926" t="s">
        <v>47</v>
      </c>
      <c r="D4895" s="1926" t="s">
        <v>46</v>
      </c>
      <c r="E4895" s="1662">
        <v>88.24</v>
      </c>
    </row>
    <row r="4896" spans="1:5" x14ac:dyDescent="0.2">
      <c r="A4896" s="135">
        <v>39737</v>
      </c>
      <c r="B4896" s="1926" t="s">
        <v>14492</v>
      </c>
      <c r="C4896" s="1926" t="s">
        <v>47</v>
      </c>
      <c r="D4896" s="1926" t="s">
        <v>46</v>
      </c>
      <c r="E4896" s="1662">
        <v>11.87</v>
      </c>
    </row>
    <row r="4897" spans="1:5" x14ac:dyDescent="0.2">
      <c r="A4897" s="135">
        <v>39738</v>
      </c>
      <c r="B4897" s="1926" t="s">
        <v>14493</v>
      </c>
      <c r="C4897" s="1926" t="s">
        <v>47</v>
      </c>
      <c r="D4897" s="1926" t="s">
        <v>46</v>
      </c>
      <c r="E4897" s="1662">
        <v>4.29</v>
      </c>
    </row>
    <row r="4898" spans="1:5" x14ac:dyDescent="0.2">
      <c r="A4898" s="135">
        <v>39739</v>
      </c>
      <c r="B4898" s="1926" t="s">
        <v>14494</v>
      </c>
      <c r="C4898" s="1926" t="s">
        <v>47</v>
      </c>
      <c r="D4898" s="1926" t="s">
        <v>46</v>
      </c>
      <c r="E4898" s="1662">
        <v>61.02</v>
      </c>
    </row>
    <row r="4899" spans="1:5" x14ac:dyDescent="0.2">
      <c r="A4899" s="135">
        <v>39733</v>
      </c>
      <c r="B4899" s="1926" t="s">
        <v>14495</v>
      </c>
      <c r="C4899" s="1926" t="s">
        <v>47</v>
      </c>
      <c r="D4899" s="1926" t="s">
        <v>46</v>
      </c>
      <c r="E4899" s="1662">
        <v>105.6</v>
      </c>
    </row>
    <row r="4900" spans="1:5" x14ac:dyDescent="0.2">
      <c r="A4900" s="135">
        <v>39854</v>
      </c>
      <c r="B4900" s="1926" t="s">
        <v>14496</v>
      </c>
      <c r="C4900" s="1926" t="s">
        <v>47</v>
      </c>
      <c r="D4900" s="1926" t="s">
        <v>46</v>
      </c>
      <c r="E4900" s="1662">
        <v>107.1</v>
      </c>
    </row>
    <row r="4901" spans="1:5" x14ac:dyDescent="0.2">
      <c r="A4901" s="135">
        <v>39740</v>
      </c>
      <c r="B4901" s="1926" t="s">
        <v>14497</v>
      </c>
      <c r="C4901" s="1926" t="s">
        <v>47</v>
      </c>
      <c r="D4901" s="1926" t="s">
        <v>46</v>
      </c>
      <c r="E4901" s="1662">
        <v>58.6</v>
      </c>
    </row>
    <row r="4902" spans="1:5" x14ac:dyDescent="0.2">
      <c r="A4902" s="135">
        <v>39741</v>
      </c>
      <c r="B4902" s="1926" t="s">
        <v>14498</v>
      </c>
      <c r="C4902" s="1926" t="s">
        <v>47</v>
      </c>
      <c r="D4902" s="1926" t="s">
        <v>46</v>
      </c>
      <c r="E4902" s="1662">
        <v>10.8</v>
      </c>
    </row>
    <row r="4903" spans="1:5" x14ac:dyDescent="0.2">
      <c r="A4903" s="135">
        <v>39853</v>
      </c>
      <c r="B4903" s="1926" t="s">
        <v>14499</v>
      </c>
      <c r="C4903" s="1926" t="s">
        <v>47</v>
      </c>
      <c r="D4903" s="1926" t="s">
        <v>46</v>
      </c>
      <c r="E4903" s="1662">
        <v>14.18</v>
      </c>
    </row>
    <row r="4904" spans="1:5" x14ac:dyDescent="0.2">
      <c r="A4904" s="135">
        <v>39742</v>
      </c>
      <c r="B4904" s="1926" t="s">
        <v>14500</v>
      </c>
      <c r="C4904" s="1926" t="s">
        <v>47</v>
      </c>
      <c r="D4904" s="1926" t="s">
        <v>46</v>
      </c>
      <c r="E4904" s="1662">
        <v>47.1</v>
      </c>
    </row>
    <row r="4905" spans="1:5" x14ac:dyDescent="0.2">
      <c r="A4905" s="135">
        <v>39749</v>
      </c>
      <c r="B4905" s="1926" t="s">
        <v>14501</v>
      </c>
      <c r="C4905" s="1926" t="s">
        <v>47</v>
      </c>
      <c r="D4905" s="1926" t="s">
        <v>46</v>
      </c>
      <c r="E4905" s="1662">
        <v>61.79</v>
      </c>
    </row>
    <row r="4906" spans="1:5" x14ac:dyDescent="0.2">
      <c r="A4906" s="135">
        <v>39751</v>
      </c>
      <c r="B4906" s="1926" t="s">
        <v>14502</v>
      </c>
      <c r="C4906" s="1926" t="s">
        <v>47</v>
      </c>
      <c r="D4906" s="1926" t="s">
        <v>46</v>
      </c>
      <c r="E4906" s="1662">
        <v>112.29</v>
      </c>
    </row>
    <row r="4907" spans="1:5" x14ac:dyDescent="0.2">
      <c r="A4907" s="135">
        <v>39750</v>
      </c>
      <c r="B4907" s="1926" t="s">
        <v>14503</v>
      </c>
      <c r="C4907" s="1926" t="s">
        <v>47</v>
      </c>
      <c r="D4907" s="1926" t="s">
        <v>46</v>
      </c>
      <c r="E4907" s="1662">
        <v>93.33</v>
      </c>
    </row>
    <row r="4908" spans="1:5" x14ac:dyDescent="0.2">
      <c r="A4908" s="135">
        <v>39747</v>
      </c>
      <c r="B4908" s="1926" t="s">
        <v>14504</v>
      </c>
      <c r="C4908" s="1926" t="s">
        <v>47</v>
      </c>
      <c r="D4908" s="1926" t="s">
        <v>46</v>
      </c>
      <c r="E4908" s="1662">
        <v>30.02</v>
      </c>
    </row>
    <row r="4909" spans="1:5" x14ac:dyDescent="0.2">
      <c r="A4909" s="135">
        <v>39753</v>
      </c>
      <c r="B4909" s="1926" t="s">
        <v>14505</v>
      </c>
      <c r="C4909" s="1926" t="s">
        <v>47</v>
      </c>
      <c r="D4909" s="1926" t="s">
        <v>46</v>
      </c>
      <c r="E4909" s="1662">
        <v>206.69</v>
      </c>
    </row>
    <row r="4910" spans="1:5" x14ac:dyDescent="0.2">
      <c r="A4910" s="135">
        <v>39754</v>
      </c>
      <c r="B4910" s="1926" t="s">
        <v>14506</v>
      </c>
      <c r="C4910" s="1926" t="s">
        <v>47</v>
      </c>
      <c r="D4910" s="1926" t="s">
        <v>46</v>
      </c>
      <c r="E4910" s="1662">
        <v>304.51</v>
      </c>
    </row>
    <row r="4911" spans="1:5" x14ac:dyDescent="0.2">
      <c r="A4911" s="135">
        <v>39748</v>
      </c>
      <c r="B4911" s="1926" t="s">
        <v>14507</v>
      </c>
      <c r="C4911" s="1926" t="s">
        <v>47</v>
      </c>
      <c r="D4911" s="1926" t="s">
        <v>46</v>
      </c>
      <c r="E4911" s="1662">
        <v>48.57</v>
      </c>
    </row>
    <row r="4912" spans="1:5" x14ac:dyDescent="0.2">
      <c r="A4912" s="135">
        <v>39755</v>
      </c>
      <c r="B4912" s="1926" t="s">
        <v>14508</v>
      </c>
      <c r="C4912" s="1926" t="s">
        <v>47</v>
      </c>
      <c r="D4912" s="1926" t="s">
        <v>46</v>
      </c>
      <c r="E4912" s="1662">
        <v>461.71</v>
      </c>
    </row>
    <row r="4913" spans="1:5" x14ac:dyDescent="0.2">
      <c r="A4913" s="135">
        <v>12742</v>
      </c>
      <c r="B4913" s="1926" t="s">
        <v>14509</v>
      </c>
      <c r="C4913" s="1926" t="s">
        <v>47</v>
      </c>
      <c r="D4913" s="1926" t="s">
        <v>46</v>
      </c>
      <c r="E4913" s="1662">
        <v>365.6</v>
      </c>
    </row>
    <row r="4914" spans="1:5" x14ac:dyDescent="0.2">
      <c r="A4914" s="135">
        <v>12713</v>
      </c>
      <c r="B4914" s="1926" t="s">
        <v>14510</v>
      </c>
      <c r="C4914" s="1926" t="s">
        <v>47</v>
      </c>
      <c r="D4914" s="1926" t="s">
        <v>46</v>
      </c>
      <c r="E4914" s="1662">
        <v>19.39</v>
      </c>
    </row>
    <row r="4915" spans="1:5" x14ac:dyDescent="0.2">
      <c r="A4915" s="135">
        <v>12743</v>
      </c>
      <c r="B4915" s="1926" t="s">
        <v>14511</v>
      </c>
      <c r="C4915" s="1926" t="s">
        <v>47</v>
      </c>
      <c r="D4915" s="1926" t="s">
        <v>46</v>
      </c>
      <c r="E4915" s="1662">
        <v>33.35</v>
      </c>
    </row>
    <row r="4916" spans="1:5" x14ac:dyDescent="0.2">
      <c r="A4916" s="135">
        <v>12744</v>
      </c>
      <c r="B4916" s="1926" t="s">
        <v>14512</v>
      </c>
      <c r="C4916" s="1926" t="s">
        <v>47</v>
      </c>
      <c r="D4916" s="1926" t="s">
        <v>46</v>
      </c>
      <c r="E4916" s="1662">
        <v>42.33</v>
      </c>
    </row>
    <row r="4917" spans="1:5" x14ac:dyDescent="0.2">
      <c r="A4917" s="135">
        <v>12745</v>
      </c>
      <c r="B4917" s="1926" t="s">
        <v>14513</v>
      </c>
      <c r="C4917" s="1926" t="s">
        <v>47</v>
      </c>
      <c r="D4917" s="1926" t="s">
        <v>46</v>
      </c>
      <c r="E4917" s="1662">
        <v>61.47</v>
      </c>
    </row>
    <row r="4918" spans="1:5" x14ac:dyDescent="0.2">
      <c r="A4918" s="135">
        <v>12746</v>
      </c>
      <c r="B4918" s="1926" t="s">
        <v>14514</v>
      </c>
      <c r="C4918" s="1926" t="s">
        <v>47</v>
      </c>
      <c r="D4918" s="1926" t="s">
        <v>46</v>
      </c>
      <c r="E4918" s="1662">
        <v>83.01</v>
      </c>
    </row>
    <row r="4919" spans="1:5" x14ac:dyDescent="0.2">
      <c r="A4919" s="135">
        <v>12747</v>
      </c>
      <c r="B4919" s="1926" t="s">
        <v>14515</v>
      </c>
      <c r="C4919" s="1926" t="s">
        <v>47</v>
      </c>
      <c r="D4919" s="1926" t="s">
        <v>46</v>
      </c>
      <c r="E4919" s="1662">
        <v>120.39</v>
      </c>
    </row>
    <row r="4920" spans="1:5" x14ac:dyDescent="0.2">
      <c r="A4920" s="135">
        <v>12748</v>
      </c>
      <c r="B4920" s="1926" t="s">
        <v>14516</v>
      </c>
      <c r="C4920" s="1926" t="s">
        <v>47</v>
      </c>
      <c r="D4920" s="1926" t="s">
        <v>46</v>
      </c>
      <c r="E4920" s="1662">
        <v>169.6</v>
      </c>
    </row>
    <row r="4921" spans="1:5" x14ac:dyDescent="0.2">
      <c r="A4921" s="135">
        <v>12749</v>
      </c>
      <c r="B4921" s="1926" t="s">
        <v>14517</v>
      </c>
      <c r="C4921" s="1926" t="s">
        <v>47</v>
      </c>
      <c r="D4921" s="1926" t="s">
        <v>46</v>
      </c>
      <c r="E4921" s="1662">
        <v>247.94</v>
      </c>
    </row>
    <row r="4922" spans="1:5" x14ac:dyDescent="0.2">
      <c r="A4922" s="135">
        <v>39726</v>
      </c>
      <c r="B4922" s="1926" t="s">
        <v>14518</v>
      </c>
      <c r="C4922" s="1926" t="s">
        <v>47</v>
      </c>
      <c r="D4922" s="1926" t="s">
        <v>46</v>
      </c>
      <c r="E4922" s="1662">
        <v>81.430000000000007</v>
      </c>
    </row>
    <row r="4923" spans="1:5" x14ac:dyDescent="0.2">
      <c r="A4923" s="135">
        <v>39728</v>
      </c>
      <c r="B4923" s="1926" t="s">
        <v>14519</v>
      </c>
      <c r="C4923" s="1926" t="s">
        <v>47</v>
      </c>
      <c r="D4923" s="1926" t="s">
        <v>46</v>
      </c>
      <c r="E4923" s="1662">
        <v>143.13</v>
      </c>
    </row>
    <row r="4924" spans="1:5" x14ac:dyDescent="0.2">
      <c r="A4924" s="135">
        <v>39727</v>
      </c>
      <c r="B4924" s="1926" t="s">
        <v>14520</v>
      </c>
      <c r="C4924" s="1926" t="s">
        <v>47</v>
      </c>
      <c r="D4924" s="1926" t="s">
        <v>46</v>
      </c>
      <c r="E4924" s="1662">
        <v>117.78</v>
      </c>
    </row>
    <row r="4925" spans="1:5" x14ac:dyDescent="0.2">
      <c r="A4925" s="135">
        <v>39724</v>
      </c>
      <c r="B4925" s="1926" t="s">
        <v>14521</v>
      </c>
      <c r="C4925" s="1926" t="s">
        <v>47</v>
      </c>
      <c r="D4925" s="1926" t="s">
        <v>46</v>
      </c>
      <c r="E4925" s="1662">
        <v>36.06</v>
      </c>
    </row>
    <row r="4926" spans="1:5" x14ac:dyDescent="0.2">
      <c r="A4926" s="135">
        <v>39729</v>
      </c>
      <c r="B4926" s="1926" t="s">
        <v>14522</v>
      </c>
      <c r="C4926" s="1926" t="s">
        <v>47</v>
      </c>
      <c r="D4926" s="1926" t="s">
        <v>46</v>
      </c>
      <c r="E4926" s="1662">
        <v>198.2</v>
      </c>
    </row>
    <row r="4927" spans="1:5" x14ac:dyDescent="0.2">
      <c r="A4927" s="135">
        <v>39730</v>
      </c>
      <c r="B4927" s="1926" t="s">
        <v>14523</v>
      </c>
      <c r="C4927" s="1926" t="s">
        <v>47</v>
      </c>
      <c r="D4927" s="1926" t="s">
        <v>46</v>
      </c>
      <c r="E4927" s="1662">
        <v>257.16000000000003</v>
      </c>
    </row>
    <row r="4928" spans="1:5" x14ac:dyDescent="0.2">
      <c r="A4928" s="135">
        <v>39731</v>
      </c>
      <c r="B4928" s="1926" t="s">
        <v>14524</v>
      </c>
      <c r="C4928" s="1926" t="s">
        <v>47</v>
      </c>
      <c r="D4928" s="1926" t="s">
        <v>46</v>
      </c>
      <c r="E4928" s="1662">
        <v>380.88</v>
      </c>
    </row>
    <row r="4929" spans="1:5" x14ac:dyDescent="0.2">
      <c r="A4929" s="135">
        <v>39725</v>
      </c>
      <c r="B4929" s="1926" t="s">
        <v>14525</v>
      </c>
      <c r="C4929" s="1926" t="s">
        <v>47</v>
      </c>
      <c r="D4929" s="1926" t="s">
        <v>46</v>
      </c>
      <c r="E4929" s="1662">
        <v>58.78</v>
      </c>
    </row>
    <row r="4930" spans="1:5" x14ac:dyDescent="0.2">
      <c r="A4930" s="135">
        <v>39732</v>
      </c>
      <c r="B4930" s="1926" t="s">
        <v>14526</v>
      </c>
      <c r="C4930" s="1926" t="s">
        <v>47</v>
      </c>
      <c r="D4930" s="1926" t="s">
        <v>46</v>
      </c>
      <c r="E4930" s="1662">
        <v>560.63</v>
      </c>
    </row>
    <row r="4931" spans="1:5" x14ac:dyDescent="0.2">
      <c r="A4931" s="135">
        <v>39660</v>
      </c>
      <c r="B4931" s="1926" t="s">
        <v>14527</v>
      </c>
      <c r="C4931" s="1926" t="s">
        <v>47</v>
      </c>
      <c r="D4931" s="1926" t="s">
        <v>46</v>
      </c>
      <c r="E4931" s="1662">
        <v>25.54</v>
      </c>
    </row>
    <row r="4932" spans="1:5" x14ac:dyDescent="0.2">
      <c r="A4932" s="135">
        <v>39662</v>
      </c>
      <c r="B4932" s="1926" t="s">
        <v>14528</v>
      </c>
      <c r="C4932" s="1926" t="s">
        <v>47</v>
      </c>
      <c r="D4932" s="1926" t="s">
        <v>46</v>
      </c>
      <c r="E4932" s="1662">
        <v>12.24</v>
      </c>
    </row>
    <row r="4933" spans="1:5" x14ac:dyDescent="0.2">
      <c r="A4933" s="135">
        <v>39661</v>
      </c>
      <c r="B4933" s="1926" t="s">
        <v>14529</v>
      </c>
      <c r="C4933" s="1926" t="s">
        <v>47</v>
      </c>
      <c r="D4933" s="1926" t="s">
        <v>46</v>
      </c>
      <c r="E4933" s="1662">
        <v>8.35</v>
      </c>
    </row>
    <row r="4934" spans="1:5" x14ac:dyDescent="0.2">
      <c r="A4934" s="135">
        <v>39666</v>
      </c>
      <c r="B4934" s="1926" t="s">
        <v>14530</v>
      </c>
      <c r="C4934" s="1926" t="s">
        <v>47</v>
      </c>
      <c r="D4934" s="1926" t="s">
        <v>46</v>
      </c>
      <c r="E4934" s="1662">
        <v>38.43</v>
      </c>
    </row>
    <row r="4935" spans="1:5" x14ac:dyDescent="0.2">
      <c r="A4935" s="135">
        <v>39664</v>
      </c>
      <c r="B4935" s="1926" t="s">
        <v>14531</v>
      </c>
      <c r="C4935" s="1926" t="s">
        <v>47</v>
      </c>
      <c r="D4935" s="1926" t="s">
        <v>46</v>
      </c>
      <c r="E4935" s="1662">
        <v>18.829999999999998</v>
      </c>
    </row>
    <row r="4936" spans="1:5" x14ac:dyDescent="0.2">
      <c r="A4936" s="135">
        <v>39663</v>
      </c>
      <c r="B4936" s="1926" t="s">
        <v>14532</v>
      </c>
      <c r="C4936" s="1926" t="s">
        <v>47</v>
      </c>
      <c r="D4936" s="1926" t="s">
        <v>46</v>
      </c>
      <c r="E4936" s="1662">
        <v>15.06</v>
      </c>
    </row>
    <row r="4937" spans="1:5" x14ac:dyDescent="0.2">
      <c r="A4937" s="135">
        <v>39665</v>
      </c>
      <c r="B4937" s="1926" t="s">
        <v>14533</v>
      </c>
      <c r="C4937" s="1926" t="s">
        <v>47</v>
      </c>
      <c r="D4937" s="1926" t="s">
        <v>46</v>
      </c>
      <c r="E4937" s="1662">
        <v>31.77</v>
      </c>
    </row>
    <row r="4938" spans="1:5" x14ac:dyDescent="0.2">
      <c r="A4938" s="135">
        <v>39752</v>
      </c>
      <c r="B4938" s="1926" t="s">
        <v>14534</v>
      </c>
      <c r="C4938" s="1926" t="s">
        <v>47</v>
      </c>
      <c r="D4938" s="1926" t="s">
        <v>46</v>
      </c>
      <c r="E4938" s="1662">
        <v>159.77000000000001</v>
      </c>
    </row>
    <row r="4939" spans="1:5" x14ac:dyDescent="0.2">
      <c r="A4939" s="135">
        <v>12583</v>
      </c>
      <c r="B4939" s="1926" t="s">
        <v>14535</v>
      </c>
      <c r="C4939" s="1926" t="s">
        <v>47</v>
      </c>
      <c r="D4939" s="1926" t="s">
        <v>40</v>
      </c>
      <c r="E4939" s="1662">
        <v>27.94</v>
      </c>
    </row>
    <row r="4940" spans="1:5" x14ac:dyDescent="0.2">
      <c r="A4940" s="135">
        <v>12584</v>
      </c>
      <c r="B4940" s="1926" t="s">
        <v>14536</v>
      </c>
      <c r="C4940" s="1926" t="s">
        <v>47</v>
      </c>
      <c r="D4940" s="1926" t="s">
        <v>40</v>
      </c>
      <c r="E4940" s="1662">
        <v>26.89</v>
      </c>
    </row>
    <row r="4941" spans="1:5" x14ac:dyDescent="0.2">
      <c r="A4941" s="135">
        <v>13159</v>
      </c>
      <c r="B4941" s="1926" t="s">
        <v>14537</v>
      </c>
      <c r="C4941" s="1926" t="s">
        <v>47</v>
      </c>
      <c r="D4941" s="1926" t="s">
        <v>40</v>
      </c>
      <c r="E4941" s="1662">
        <v>81.45</v>
      </c>
    </row>
    <row r="4942" spans="1:5" x14ac:dyDescent="0.2">
      <c r="A4942" s="135">
        <v>13168</v>
      </c>
      <c r="B4942" s="1926" t="s">
        <v>14538</v>
      </c>
      <c r="C4942" s="1926" t="s">
        <v>47</v>
      </c>
      <c r="D4942" s="1926" t="s">
        <v>40</v>
      </c>
      <c r="E4942" s="1662">
        <v>122.48</v>
      </c>
    </row>
    <row r="4943" spans="1:5" x14ac:dyDescent="0.2">
      <c r="A4943" s="135">
        <v>13173</v>
      </c>
      <c r="B4943" s="1926" t="s">
        <v>14539</v>
      </c>
      <c r="C4943" s="1926" t="s">
        <v>47</v>
      </c>
      <c r="D4943" s="1926" t="s">
        <v>40</v>
      </c>
      <c r="E4943" s="1662">
        <v>151.02000000000001</v>
      </c>
    </row>
    <row r="4944" spans="1:5" x14ac:dyDescent="0.2">
      <c r="A4944" s="135">
        <v>37449</v>
      </c>
      <c r="B4944" s="1926" t="s">
        <v>14540</v>
      </c>
      <c r="C4944" s="1926" t="s">
        <v>47</v>
      </c>
      <c r="D4944" s="1926" t="s">
        <v>40</v>
      </c>
      <c r="E4944" s="1662">
        <v>24.97</v>
      </c>
    </row>
    <row r="4945" spans="1:5" x14ac:dyDescent="0.2">
      <c r="A4945" s="135">
        <v>37450</v>
      </c>
      <c r="B4945" s="1926" t="s">
        <v>14541</v>
      </c>
      <c r="C4945" s="1926" t="s">
        <v>47</v>
      </c>
      <c r="D4945" s="1926" t="s">
        <v>40</v>
      </c>
      <c r="E4945" s="1662">
        <v>30.44</v>
      </c>
    </row>
    <row r="4946" spans="1:5" x14ac:dyDescent="0.2">
      <c r="A4946" s="135">
        <v>37451</v>
      </c>
      <c r="B4946" s="1926" t="s">
        <v>14542</v>
      </c>
      <c r="C4946" s="1926" t="s">
        <v>47</v>
      </c>
      <c r="D4946" s="1926" t="s">
        <v>40</v>
      </c>
      <c r="E4946" s="1662">
        <v>46.61</v>
      </c>
    </row>
    <row r="4947" spans="1:5" x14ac:dyDescent="0.2">
      <c r="A4947" s="135">
        <v>37452</v>
      </c>
      <c r="B4947" s="1926" t="s">
        <v>14543</v>
      </c>
      <c r="C4947" s="1926" t="s">
        <v>47</v>
      </c>
      <c r="D4947" s="1926" t="s">
        <v>40</v>
      </c>
      <c r="E4947" s="1662">
        <v>61.83</v>
      </c>
    </row>
    <row r="4948" spans="1:5" x14ac:dyDescent="0.2">
      <c r="A4948" s="135">
        <v>37453</v>
      </c>
      <c r="B4948" s="1926" t="s">
        <v>14544</v>
      </c>
      <c r="C4948" s="1926" t="s">
        <v>47</v>
      </c>
      <c r="D4948" s="1926" t="s">
        <v>40</v>
      </c>
      <c r="E4948" s="1662">
        <v>77.59</v>
      </c>
    </row>
    <row r="4949" spans="1:5" x14ac:dyDescent="0.2">
      <c r="A4949" s="135">
        <v>7778</v>
      </c>
      <c r="B4949" s="1926" t="s">
        <v>14545</v>
      </c>
      <c r="C4949" s="1926" t="s">
        <v>47</v>
      </c>
      <c r="D4949" s="1926" t="s">
        <v>40</v>
      </c>
      <c r="E4949" s="1662">
        <v>29.13</v>
      </c>
    </row>
    <row r="4950" spans="1:5" x14ac:dyDescent="0.2">
      <c r="A4950" s="135">
        <v>7796</v>
      </c>
      <c r="B4950" s="1926" t="s">
        <v>14546</v>
      </c>
      <c r="C4950" s="1926" t="s">
        <v>47</v>
      </c>
      <c r="D4950" s="1926" t="s">
        <v>43</v>
      </c>
      <c r="E4950" s="1662">
        <v>35.08</v>
      </c>
    </row>
    <row r="4951" spans="1:5" x14ac:dyDescent="0.2">
      <c r="A4951" s="135">
        <v>7781</v>
      </c>
      <c r="B4951" s="1926" t="s">
        <v>14547</v>
      </c>
      <c r="C4951" s="1926" t="s">
        <v>47</v>
      </c>
      <c r="D4951" s="1926" t="s">
        <v>40</v>
      </c>
      <c r="E4951" s="1662">
        <v>46.37</v>
      </c>
    </row>
    <row r="4952" spans="1:5" x14ac:dyDescent="0.2">
      <c r="A4952" s="135">
        <v>7795</v>
      </c>
      <c r="B4952" s="1926" t="s">
        <v>14548</v>
      </c>
      <c r="C4952" s="1926" t="s">
        <v>47</v>
      </c>
      <c r="D4952" s="1926" t="s">
        <v>40</v>
      </c>
      <c r="E4952" s="1662">
        <v>67.180000000000007</v>
      </c>
    </row>
    <row r="4953" spans="1:5" x14ac:dyDescent="0.2">
      <c r="A4953" s="135">
        <v>7791</v>
      </c>
      <c r="B4953" s="1926" t="s">
        <v>14549</v>
      </c>
      <c r="C4953" s="1926" t="s">
        <v>47</v>
      </c>
      <c r="D4953" s="1926" t="s">
        <v>40</v>
      </c>
      <c r="E4953" s="1662">
        <v>85.61</v>
      </c>
    </row>
    <row r="4954" spans="1:5" x14ac:dyDescent="0.2">
      <c r="A4954" s="135">
        <v>7783</v>
      </c>
      <c r="B4954" s="1926" t="s">
        <v>14550</v>
      </c>
      <c r="C4954" s="1926" t="s">
        <v>47</v>
      </c>
      <c r="D4954" s="1926" t="s">
        <v>40</v>
      </c>
      <c r="E4954" s="1662">
        <v>32.700000000000003</v>
      </c>
    </row>
    <row r="4955" spans="1:5" x14ac:dyDescent="0.2">
      <c r="A4955" s="135">
        <v>7790</v>
      </c>
      <c r="B4955" s="1926" t="s">
        <v>14551</v>
      </c>
      <c r="C4955" s="1926" t="s">
        <v>47</v>
      </c>
      <c r="D4955" s="1926" t="s">
        <v>40</v>
      </c>
      <c r="E4955" s="1662">
        <v>38.049999999999997</v>
      </c>
    </row>
    <row r="4956" spans="1:5" x14ac:dyDescent="0.2">
      <c r="A4956" s="135">
        <v>7785</v>
      </c>
      <c r="B4956" s="1926" t="s">
        <v>14552</v>
      </c>
      <c r="C4956" s="1926" t="s">
        <v>47</v>
      </c>
      <c r="D4956" s="1926" t="s">
        <v>40</v>
      </c>
      <c r="E4956" s="1662">
        <v>49.94</v>
      </c>
    </row>
    <row r="4957" spans="1:5" x14ac:dyDescent="0.2">
      <c r="A4957" s="135">
        <v>7792</v>
      </c>
      <c r="B4957" s="1926" t="s">
        <v>14553</v>
      </c>
      <c r="C4957" s="1926" t="s">
        <v>47</v>
      </c>
      <c r="D4957" s="1926" t="s">
        <v>40</v>
      </c>
      <c r="E4957" s="1662">
        <v>72.53</v>
      </c>
    </row>
    <row r="4958" spans="1:5" x14ac:dyDescent="0.2">
      <c r="A4958" s="135">
        <v>7793</v>
      </c>
      <c r="B4958" s="1926" t="s">
        <v>14554</v>
      </c>
      <c r="C4958" s="1926" t="s">
        <v>47</v>
      </c>
      <c r="D4958" s="1926" t="s">
        <v>40</v>
      </c>
      <c r="E4958" s="1662">
        <v>93.61</v>
      </c>
    </row>
    <row r="4959" spans="1:5" x14ac:dyDescent="0.2">
      <c r="A4959" s="135">
        <v>12613</v>
      </c>
      <c r="B4959" s="1926" t="s">
        <v>14555</v>
      </c>
      <c r="C4959" s="1926" t="s">
        <v>39</v>
      </c>
      <c r="D4959" s="1926" t="s">
        <v>40</v>
      </c>
      <c r="E4959" s="1662">
        <v>15.23</v>
      </c>
    </row>
    <row r="4960" spans="1:5" x14ac:dyDescent="0.2">
      <c r="A4960" s="135">
        <v>1031</v>
      </c>
      <c r="B4960" s="1926" t="s">
        <v>14556</v>
      </c>
      <c r="C4960" s="1926" t="s">
        <v>39</v>
      </c>
      <c r="D4960" s="1926" t="s">
        <v>40</v>
      </c>
      <c r="E4960" s="1662">
        <v>8.39</v>
      </c>
    </row>
    <row r="4961" spans="1:5" x14ac:dyDescent="0.2">
      <c r="A4961" s="135">
        <v>39707</v>
      </c>
      <c r="B4961" s="1926" t="s">
        <v>14557</v>
      </c>
      <c r="C4961" s="1926" t="s">
        <v>47</v>
      </c>
      <c r="D4961" s="1926" t="s">
        <v>46</v>
      </c>
      <c r="E4961" s="1662">
        <v>2.6</v>
      </c>
    </row>
    <row r="4962" spans="1:5" x14ac:dyDescent="0.2">
      <c r="A4962" s="135">
        <v>39708</v>
      </c>
      <c r="B4962" s="1926" t="s">
        <v>14558</v>
      </c>
      <c r="C4962" s="1926" t="s">
        <v>47</v>
      </c>
      <c r="D4962" s="1926" t="s">
        <v>46</v>
      </c>
      <c r="E4962" s="1662">
        <v>2.52</v>
      </c>
    </row>
    <row r="4963" spans="1:5" x14ac:dyDescent="0.2">
      <c r="A4963" s="135">
        <v>39710</v>
      </c>
      <c r="B4963" s="1926" t="s">
        <v>14559</v>
      </c>
      <c r="C4963" s="1926" t="s">
        <v>47</v>
      </c>
      <c r="D4963" s="1926" t="s">
        <v>46</v>
      </c>
      <c r="E4963" s="1662">
        <v>1.77</v>
      </c>
    </row>
    <row r="4964" spans="1:5" x14ac:dyDescent="0.2">
      <c r="A4964" s="135">
        <v>39709</v>
      </c>
      <c r="B4964" s="1926" t="s">
        <v>14560</v>
      </c>
      <c r="C4964" s="1926" t="s">
        <v>47</v>
      </c>
      <c r="D4964" s="1926" t="s">
        <v>46</v>
      </c>
      <c r="E4964" s="1662">
        <v>2.46</v>
      </c>
    </row>
    <row r="4965" spans="1:5" x14ac:dyDescent="0.2">
      <c r="A4965" s="135">
        <v>39711</v>
      </c>
      <c r="B4965" s="1926" t="s">
        <v>14561</v>
      </c>
      <c r="C4965" s="1926" t="s">
        <v>47</v>
      </c>
      <c r="D4965" s="1926" t="s">
        <v>46</v>
      </c>
      <c r="E4965" s="1662">
        <v>2.76</v>
      </c>
    </row>
    <row r="4966" spans="1:5" x14ac:dyDescent="0.2">
      <c r="A4966" s="135">
        <v>39712</v>
      </c>
      <c r="B4966" s="1926" t="s">
        <v>14562</v>
      </c>
      <c r="C4966" s="1926" t="s">
        <v>47</v>
      </c>
      <c r="D4966" s="1926" t="s">
        <v>46</v>
      </c>
      <c r="E4966" s="1662">
        <v>0.97</v>
      </c>
    </row>
    <row r="4967" spans="1:5" x14ac:dyDescent="0.2">
      <c r="A4967" s="135">
        <v>39713</v>
      </c>
      <c r="B4967" s="1926" t="s">
        <v>14563</v>
      </c>
      <c r="C4967" s="1926" t="s">
        <v>47</v>
      </c>
      <c r="D4967" s="1926" t="s">
        <v>46</v>
      </c>
      <c r="E4967" s="1662">
        <v>0.76</v>
      </c>
    </row>
    <row r="4968" spans="1:5" x14ac:dyDescent="0.2">
      <c r="A4968" s="135">
        <v>39714</v>
      </c>
      <c r="B4968" s="1926" t="s">
        <v>14564</v>
      </c>
      <c r="C4968" s="1926" t="s">
        <v>47</v>
      </c>
      <c r="D4968" s="1926" t="s">
        <v>46</v>
      </c>
      <c r="E4968" s="1662">
        <v>1.75</v>
      </c>
    </row>
    <row r="4969" spans="1:5" x14ac:dyDescent="0.2">
      <c r="A4969" s="135">
        <v>39715</v>
      </c>
      <c r="B4969" s="1926" t="s">
        <v>14565</v>
      </c>
      <c r="C4969" s="1926" t="s">
        <v>47</v>
      </c>
      <c r="D4969" s="1926" t="s">
        <v>46</v>
      </c>
      <c r="E4969" s="1662">
        <v>1.25</v>
      </c>
    </row>
    <row r="4970" spans="1:5" x14ac:dyDescent="0.2">
      <c r="A4970" s="135">
        <v>39716</v>
      </c>
      <c r="B4970" s="1926" t="s">
        <v>14566</v>
      </c>
      <c r="C4970" s="1926" t="s">
        <v>47</v>
      </c>
      <c r="D4970" s="1926" t="s">
        <v>46</v>
      </c>
      <c r="E4970" s="1662">
        <v>0.94</v>
      </c>
    </row>
    <row r="4971" spans="1:5" x14ac:dyDescent="0.2">
      <c r="A4971" s="135">
        <v>39718</v>
      </c>
      <c r="B4971" s="1926" t="s">
        <v>14567</v>
      </c>
      <c r="C4971" s="1926" t="s">
        <v>47</v>
      </c>
      <c r="D4971" s="1926" t="s">
        <v>46</v>
      </c>
      <c r="E4971" s="1662">
        <v>1.61</v>
      </c>
    </row>
    <row r="4972" spans="1:5" x14ac:dyDescent="0.2">
      <c r="A4972" s="135">
        <v>9813</v>
      </c>
      <c r="B4972" s="1926" t="s">
        <v>14568</v>
      </c>
      <c r="C4972" s="1926" t="s">
        <v>47</v>
      </c>
      <c r="D4972" s="1926" t="s">
        <v>46</v>
      </c>
      <c r="E4972" s="1662">
        <v>3.79</v>
      </c>
    </row>
    <row r="4973" spans="1:5" x14ac:dyDescent="0.2">
      <c r="A4973" s="135">
        <v>9815</v>
      </c>
      <c r="B4973" s="1926" t="s">
        <v>14569</v>
      </c>
      <c r="C4973" s="1926" t="s">
        <v>47</v>
      </c>
      <c r="D4973" s="1926" t="s">
        <v>46</v>
      </c>
      <c r="E4973" s="1662">
        <v>7.48</v>
      </c>
    </row>
    <row r="4974" spans="1:5" x14ac:dyDescent="0.2">
      <c r="A4974" s="135">
        <v>25876</v>
      </c>
      <c r="B4974" s="1926" t="s">
        <v>14570</v>
      </c>
      <c r="C4974" s="1926" t="s">
        <v>47</v>
      </c>
      <c r="D4974" s="1926" t="s">
        <v>46</v>
      </c>
      <c r="E4974" s="1662">
        <v>3724.3</v>
      </c>
    </row>
    <row r="4975" spans="1:5" x14ac:dyDescent="0.2">
      <c r="A4975" s="135">
        <v>25888</v>
      </c>
      <c r="B4975" s="1926" t="s">
        <v>14571</v>
      </c>
      <c r="C4975" s="1926" t="s">
        <v>47</v>
      </c>
      <c r="D4975" s="1926" t="s">
        <v>46</v>
      </c>
      <c r="E4975" s="1662">
        <v>91.28</v>
      </c>
    </row>
    <row r="4976" spans="1:5" x14ac:dyDescent="0.2">
      <c r="A4976" s="135">
        <v>25874</v>
      </c>
      <c r="B4976" s="1926" t="s">
        <v>14572</v>
      </c>
      <c r="C4976" s="1926" t="s">
        <v>47</v>
      </c>
      <c r="D4976" s="1926" t="s">
        <v>46</v>
      </c>
      <c r="E4976" s="1662">
        <v>6531.87</v>
      </c>
    </row>
    <row r="4977" spans="1:5" x14ac:dyDescent="0.2">
      <c r="A4977" s="135">
        <v>25877</v>
      </c>
      <c r="B4977" s="1926" t="s">
        <v>14573</v>
      </c>
      <c r="C4977" s="1926" t="s">
        <v>47</v>
      </c>
      <c r="D4977" s="1926" t="s">
        <v>46</v>
      </c>
      <c r="E4977" s="1662">
        <v>8912.98</v>
      </c>
    </row>
    <row r="4978" spans="1:5" x14ac:dyDescent="0.2">
      <c r="A4978" s="135">
        <v>25878</v>
      </c>
      <c r="B4978" s="1926" t="s">
        <v>14574</v>
      </c>
      <c r="C4978" s="1926" t="s">
        <v>47</v>
      </c>
      <c r="D4978" s="1926" t="s">
        <v>46</v>
      </c>
      <c r="E4978" s="1662">
        <v>195.93</v>
      </c>
    </row>
    <row r="4979" spans="1:5" x14ac:dyDescent="0.2">
      <c r="A4979" s="135">
        <v>25879</v>
      </c>
      <c r="B4979" s="1926" t="s">
        <v>14575</v>
      </c>
      <c r="C4979" s="1926" t="s">
        <v>47</v>
      </c>
      <c r="D4979" s="1926" t="s">
        <v>46</v>
      </c>
      <c r="E4979" s="1662">
        <v>8455.02</v>
      </c>
    </row>
    <row r="4980" spans="1:5" x14ac:dyDescent="0.2">
      <c r="A4980" s="135">
        <v>25887</v>
      </c>
      <c r="B4980" s="1926" t="s">
        <v>14576</v>
      </c>
      <c r="C4980" s="1926" t="s">
        <v>47</v>
      </c>
      <c r="D4980" s="1926" t="s">
        <v>46</v>
      </c>
      <c r="E4980" s="1662">
        <v>3377.92</v>
      </c>
    </row>
    <row r="4981" spans="1:5" x14ac:dyDescent="0.2">
      <c r="A4981" s="135">
        <v>25880</v>
      </c>
      <c r="B4981" s="1926" t="s">
        <v>14577</v>
      </c>
      <c r="C4981" s="1926" t="s">
        <v>47</v>
      </c>
      <c r="D4981" s="1926" t="s">
        <v>46</v>
      </c>
      <c r="E4981" s="1662">
        <v>305.43</v>
      </c>
    </row>
    <row r="4982" spans="1:5" x14ac:dyDescent="0.2">
      <c r="A4982" s="135">
        <v>25881</v>
      </c>
      <c r="B4982" s="1926" t="s">
        <v>14578</v>
      </c>
      <c r="C4982" s="1926" t="s">
        <v>47</v>
      </c>
      <c r="D4982" s="1926" t="s">
        <v>46</v>
      </c>
      <c r="E4982" s="1662">
        <v>748.38</v>
      </c>
    </row>
    <row r="4983" spans="1:5" x14ac:dyDescent="0.2">
      <c r="A4983" s="135">
        <v>25882</v>
      </c>
      <c r="B4983" s="1926" t="s">
        <v>14579</v>
      </c>
      <c r="C4983" s="1926" t="s">
        <v>47</v>
      </c>
      <c r="D4983" s="1926" t="s">
        <v>46</v>
      </c>
      <c r="E4983" s="1662">
        <v>1205.3599999999999</v>
      </c>
    </row>
    <row r="4984" spans="1:5" x14ac:dyDescent="0.2">
      <c r="A4984" s="135">
        <v>25883</v>
      </c>
      <c r="B4984" s="1926" t="s">
        <v>14580</v>
      </c>
      <c r="C4984" s="1926" t="s">
        <v>47</v>
      </c>
      <c r="D4984" s="1926" t="s">
        <v>46</v>
      </c>
      <c r="E4984" s="1662">
        <v>19.440000000000001</v>
      </c>
    </row>
    <row r="4985" spans="1:5" x14ac:dyDescent="0.2">
      <c r="A4985" s="135">
        <v>25884</v>
      </c>
      <c r="B4985" s="1926" t="s">
        <v>14581</v>
      </c>
      <c r="C4985" s="1926" t="s">
        <v>47</v>
      </c>
      <c r="D4985" s="1926" t="s">
        <v>46</v>
      </c>
      <c r="E4985" s="1662">
        <v>2116.17</v>
      </c>
    </row>
    <row r="4986" spans="1:5" x14ac:dyDescent="0.2">
      <c r="A4986" s="135">
        <v>25885</v>
      </c>
      <c r="B4986" s="1926" t="s">
        <v>14582</v>
      </c>
      <c r="C4986" s="1926" t="s">
        <v>47</v>
      </c>
      <c r="D4986" s="1926" t="s">
        <v>46</v>
      </c>
      <c r="E4986" s="1662">
        <v>3147.35</v>
      </c>
    </row>
    <row r="4987" spans="1:5" x14ac:dyDescent="0.2">
      <c r="A4987" s="135">
        <v>25889</v>
      </c>
      <c r="B4987" s="1926" t="s">
        <v>14583</v>
      </c>
      <c r="C4987" s="1926" t="s">
        <v>47</v>
      </c>
      <c r="D4987" s="1926" t="s">
        <v>46</v>
      </c>
      <c r="E4987" s="1662">
        <v>1578.31</v>
      </c>
    </row>
    <row r="4988" spans="1:5" x14ac:dyDescent="0.2">
      <c r="A4988" s="135">
        <v>25886</v>
      </c>
      <c r="B4988" s="1926" t="s">
        <v>14584</v>
      </c>
      <c r="C4988" s="1926" t="s">
        <v>47</v>
      </c>
      <c r="D4988" s="1926" t="s">
        <v>46</v>
      </c>
      <c r="E4988" s="1662">
        <v>43.49</v>
      </c>
    </row>
    <row r="4989" spans="1:5" x14ac:dyDescent="0.2">
      <c r="A4989" s="135">
        <v>25875</v>
      </c>
      <c r="B4989" s="1926" t="s">
        <v>14585</v>
      </c>
      <c r="C4989" s="1926" t="s">
        <v>47</v>
      </c>
      <c r="D4989" s="1926" t="s">
        <v>46</v>
      </c>
      <c r="E4989" s="1662">
        <v>2059.17</v>
      </c>
    </row>
    <row r="4990" spans="1:5" x14ac:dyDescent="0.2">
      <c r="A4990" s="135">
        <v>9876</v>
      </c>
      <c r="B4990" s="1926" t="s">
        <v>14586</v>
      </c>
      <c r="C4990" s="1926" t="s">
        <v>47</v>
      </c>
      <c r="D4990" s="1926" t="s">
        <v>40</v>
      </c>
      <c r="E4990" s="1662">
        <v>14.66</v>
      </c>
    </row>
    <row r="4991" spans="1:5" x14ac:dyDescent="0.2">
      <c r="A4991" s="135">
        <v>9877</v>
      </c>
      <c r="B4991" s="1926" t="s">
        <v>14587</v>
      </c>
      <c r="C4991" s="1926" t="s">
        <v>47</v>
      </c>
      <c r="D4991" s="1926" t="s">
        <v>40</v>
      </c>
      <c r="E4991" s="1662">
        <v>51.35</v>
      </c>
    </row>
    <row r="4992" spans="1:5" x14ac:dyDescent="0.2">
      <c r="A4992" s="135">
        <v>9878</v>
      </c>
      <c r="B4992" s="1926" t="s">
        <v>14588</v>
      </c>
      <c r="C4992" s="1926" t="s">
        <v>47</v>
      </c>
      <c r="D4992" s="1926" t="s">
        <v>40</v>
      </c>
      <c r="E4992" s="1662">
        <v>66.89</v>
      </c>
    </row>
    <row r="4993" spans="1:5" x14ac:dyDescent="0.2">
      <c r="A4993" s="135">
        <v>9879</v>
      </c>
      <c r="B4993" s="1926" t="s">
        <v>14589</v>
      </c>
      <c r="C4993" s="1926" t="s">
        <v>47</v>
      </c>
      <c r="D4993" s="1926" t="s">
        <v>40</v>
      </c>
      <c r="E4993" s="1662">
        <v>159.65</v>
      </c>
    </row>
    <row r="4994" spans="1:5" x14ac:dyDescent="0.2">
      <c r="A4994" s="135">
        <v>42001</v>
      </c>
      <c r="B4994" s="1926" t="s">
        <v>14590</v>
      </c>
      <c r="C4994" s="1926" t="s">
        <v>47</v>
      </c>
      <c r="D4994" s="1926" t="s">
        <v>46</v>
      </c>
      <c r="E4994" s="1662">
        <v>363.28</v>
      </c>
    </row>
    <row r="4995" spans="1:5" x14ac:dyDescent="0.2">
      <c r="A4995" s="135">
        <v>41998</v>
      </c>
      <c r="B4995" s="1926" t="s">
        <v>14591</v>
      </c>
      <c r="C4995" s="1926" t="s">
        <v>47</v>
      </c>
      <c r="D4995" s="1926" t="s">
        <v>46</v>
      </c>
      <c r="E4995" s="1662">
        <v>895.23</v>
      </c>
    </row>
    <row r="4996" spans="1:5" x14ac:dyDescent="0.2">
      <c r="A4996" s="135">
        <v>41999</v>
      </c>
      <c r="B4996" s="1926" t="s">
        <v>14592</v>
      </c>
      <c r="C4996" s="1926" t="s">
        <v>47</v>
      </c>
      <c r="D4996" s="1926" t="s">
        <v>46</v>
      </c>
      <c r="E4996" s="1662">
        <v>1642.2</v>
      </c>
    </row>
    <row r="4997" spans="1:5" x14ac:dyDescent="0.2">
      <c r="A4997" s="135">
        <v>42000</v>
      </c>
      <c r="B4997" s="1926" t="s">
        <v>14593</v>
      </c>
      <c r="C4997" s="1926" t="s">
        <v>47</v>
      </c>
      <c r="D4997" s="1926" t="s">
        <v>46</v>
      </c>
      <c r="E4997" s="1662">
        <v>2804.37</v>
      </c>
    </row>
    <row r="4998" spans="1:5" x14ac:dyDescent="0.2">
      <c r="A4998" s="135">
        <v>38053</v>
      </c>
      <c r="B4998" s="1926" t="s">
        <v>14594</v>
      </c>
      <c r="C4998" s="1926" t="s">
        <v>47</v>
      </c>
      <c r="D4998" s="1926" t="s">
        <v>46</v>
      </c>
      <c r="E4998" s="1662">
        <v>9.08</v>
      </c>
    </row>
    <row r="4999" spans="1:5" x14ac:dyDescent="0.2">
      <c r="A4999" s="135">
        <v>38054</v>
      </c>
      <c r="B4999" s="1926" t="s">
        <v>14595</v>
      </c>
      <c r="C4999" s="1926" t="s">
        <v>47</v>
      </c>
      <c r="D4999" s="1926" t="s">
        <v>46</v>
      </c>
      <c r="E4999" s="1662">
        <v>15.62</v>
      </c>
    </row>
    <row r="5000" spans="1:5" x14ac:dyDescent="0.2">
      <c r="A5000" s="135">
        <v>38052</v>
      </c>
      <c r="B5000" s="1926" t="s">
        <v>14596</v>
      </c>
      <c r="C5000" s="1926" t="s">
        <v>47</v>
      </c>
      <c r="D5000" s="1926" t="s">
        <v>46</v>
      </c>
      <c r="E5000" s="1662">
        <v>4.4000000000000004</v>
      </c>
    </row>
    <row r="5001" spans="1:5" x14ac:dyDescent="0.2">
      <c r="A5001" s="135">
        <v>38051</v>
      </c>
      <c r="B5001" s="1926" t="s">
        <v>14597</v>
      </c>
      <c r="C5001" s="1926" t="s">
        <v>47</v>
      </c>
      <c r="D5001" s="1926" t="s">
        <v>46</v>
      </c>
      <c r="E5001" s="1662">
        <v>2.74</v>
      </c>
    </row>
    <row r="5002" spans="1:5" x14ac:dyDescent="0.2">
      <c r="A5002" s="135">
        <v>38787</v>
      </c>
      <c r="B5002" s="1926" t="s">
        <v>14598</v>
      </c>
      <c r="C5002" s="1926" t="s">
        <v>47</v>
      </c>
      <c r="D5002" s="1926" t="s">
        <v>46</v>
      </c>
      <c r="E5002" s="1662">
        <v>3.92</v>
      </c>
    </row>
    <row r="5003" spans="1:5" x14ac:dyDescent="0.2">
      <c r="A5003" s="135">
        <v>38825</v>
      </c>
      <c r="B5003" s="1926" t="s">
        <v>14599</v>
      </c>
      <c r="C5003" s="1926" t="s">
        <v>47</v>
      </c>
      <c r="D5003" s="1926" t="s">
        <v>46</v>
      </c>
      <c r="E5003" s="1662">
        <v>5.13</v>
      </c>
    </row>
    <row r="5004" spans="1:5" x14ac:dyDescent="0.2">
      <c r="A5004" s="135">
        <v>38826</v>
      </c>
      <c r="B5004" s="1926" t="s">
        <v>14600</v>
      </c>
      <c r="C5004" s="1926" t="s">
        <v>47</v>
      </c>
      <c r="D5004" s="1926" t="s">
        <v>46</v>
      </c>
      <c r="E5004" s="1662">
        <v>7.61</v>
      </c>
    </row>
    <row r="5005" spans="1:5" x14ac:dyDescent="0.2">
      <c r="A5005" s="135">
        <v>38827</v>
      </c>
      <c r="B5005" s="1926" t="s">
        <v>14601</v>
      </c>
      <c r="C5005" s="1926" t="s">
        <v>47</v>
      </c>
      <c r="D5005" s="1926" t="s">
        <v>46</v>
      </c>
      <c r="E5005" s="1662">
        <v>12.22</v>
      </c>
    </row>
    <row r="5006" spans="1:5" x14ac:dyDescent="0.2">
      <c r="A5006" s="135">
        <v>38830</v>
      </c>
      <c r="B5006" s="1926" t="s">
        <v>14602</v>
      </c>
      <c r="C5006" s="1926" t="s">
        <v>47</v>
      </c>
      <c r="D5006" s="1926" t="s">
        <v>46</v>
      </c>
      <c r="E5006" s="1662">
        <v>17.12</v>
      </c>
    </row>
    <row r="5007" spans="1:5" x14ac:dyDescent="0.2">
      <c r="A5007" s="135">
        <v>38828</v>
      </c>
      <c r="B5007" s="1926" t="s">
        <v>14603</v>
      </c>
      <c r="C5007" s="1926" t="s">
        <v>47</v>
      </c>
      <c r="D5007" s="1926" t="s">
        <v>46</v>
      </c>
      <c r="E5007" s="1662">
        <v>7.55</v>
      </c>
    </row>
    <row r="5008" spans="1:5" x14ac:dyDescent="0.2">
      <c r="A5008" s="135">
        <v>38829</v>
      </c>
      <c r="B5008" s="1926" t="s">
        <v>14604</v>
      </c>
      <c r="C5008" s="1926" t="s">
        <v>47</v>
      </c>
      <c r="D5008" s="1926" t="s">
        <v>46</v>
      </c>
      <c r="E5008" s="1662">
        <v>12.36</v>
      </c>
    </row>
    <row r="5009" spans="1:5" x14ac:dyDescent="0.2">
      <c r="A5009" s="135">
        <v>38831</v>
      </c>
      <c r="B5009" s="1926" t="s">
        <v>14605</v>
      </c>
      <c r="C5009" s="1926" t="s">
        <v>47</v>
      </c>
      <c r="D5009" s="1926" t="s">
        <v>46</v>
      </c>
      <c r="E5009" s="1662">
        <v>23.88</v>
      </c>
    </row>
    <row r="5010" spans="1:5" x14ac:dyDescent="0.2">
      <c r="A5010" s="135">
        <v>36274</v>
      </c>
      <c r="B5010" s="1926" t="s">
        <v>14606</v>
      </c>
      <c r="C5010" s="1926" t="s">
        <v>47</v>
      </c>
      <c r="D5010" s="1926" t="s">
        <v>46</v>
      </c>
      <c r="E5010" s="1662">
        <v>5.3</v>
      </c>
    </row>
    <row r="5011" spans="1:5" x14ac:dyDescent="0.2">
      <c r="A5011" s="135">
        <v>36278</v>
      </c>
      <c r="B5011" s="1926" t="s">
        <v>14607</v>
      </c>
      <c r="C5011" s="1926" t="s">
        <v>47</v>
      </c>
      <c r="D5011" s="1926" t="s">
        <v>46</v>
      </c>
      <c r="E5011" s="1662">
        <v>7.19</v>
      </c>
    </row>
    <row r="5012" spans="1:5" x14ac:dyDescent="0.2">
      <c r="A5012" s="135">
        <v>38977</v>
      </c>
      <c r="B5012" s="1926" t="s">
        <v>14608</v>
      </c>
      <c r="C5012" s="1926" t="s">
        <v>47</v>
      </c>
      <c r="D5012" s="1926" t="s">
        <v>46</v>
      </c>
      <c r="E5012" s="1662">
        <v>109.41</v>
      </c>
    </row>
    <row r="5013" spans="1:5" x14ac:dyDescent="0.2">
      <c r="A5013" s="135">
        <v>38971</v>
      </c>
      <c r="B5013" s="1926" t="s">
        <v>14609</v>
      </c>
      <c r="C5013" s="1926" t="s">
        <v>47</v>
      </c>
      <c r="D5013" s="1926" t="s">
        <v>46</v>
      </c>
      <c r="E5013" s="1662">
        <v>9.01</v>
      </c>
    </row>
    <row r="5014" spans="1:5" x14ac:dyDescent="0.2">
      <c r="A5014" s="135">
        <v>38972</v>
      </c>
      <c r="B5014" s="1926" t="s">
        <v>14610</v>
      </c>
      <c r="C5014" s="1926" t="s">
        <v>47</v>
      </c>
      <c r="D5014" s="1926" t="s">
        <v>46</v>
      </c>
      <c r="E5014" s="1662">
        <v>13.72</v>
      </c>
    </row>
    <row r="5015" spans="1:5" x14ac:dyDescent="0.2">
      <c r="A5015" s="135">
        <v>38973</v>
      </c>
      <c r="B5015" s="1926" t="s">
        <v>14611</v>
      </c>
      <c r="C5015" s="1926" t="s">
        <v>47</v>
      </c>
      <c r="D5015" s="1926" t="s">
        <v>46</v>
      </c>
      <c r="E5015" s="1662">
        <v>18.16</v>
      </c>
    </row>
    <row r="5016" spans="1:5" x14ac:dyDescent="0.2">
      <c r="A5016" s="135">
        <v>38974</v>
      </c>
      <c r="B5016" s="1926" t="s">
        <v>14612</v>
      </c>
      <c r="C5016" s="1926" t="s">
        <v>47</v>
      </c>
      <c r="D5016" s="1926" t="s">
        <v>46</v>
      </c>
      <c r="E5016" s="1662">
        <v>26.48</v>
      </c>
    </row>
    <row r="5017" spans="1:5" x14ac:dyDescent="0.2">
      <c r="A5017" s="135">
        <v>38975</v>
      </c>
      <c r="B5017" s="1926" t="s">
        <v>14613</v>
      </c>
      <c r="C5017" s="1926" t="s">
        <v>47</v>
      </c>
      <c r="D5017" s="1926" t="s">
        <v>46</v>
      </c>
      <c r="E5017" s="1662">
        <v>44.13</v>
      </c>
    </row>
    <row r="5018" spans="1:5" x14ac:dyDescent="0.2">
      <c r="A5018" s="135">
        <v>38976</v>
      </c>
      <c r="B5018" s="1926" t="s">
        <v>14614</v>
      </c>
      <c r="C5018" s="1926" t="s">
        <v>47</v>
      </c>
      <c r="D5018" s="1926" t="s">
        <v>46</v>
      </c>
      <c r="E5018" s="1662">
        <v>61.89</v>
      </c>
    </row>
    <row r="5019" spans="1:5" x14ac:dyDescent="0.2">
      <c r="A5019" s="135">
        <v>38986</v>
      </c>
      <c r="B5019" s="1926" t="s">
        <v>14615</v>
      </c>
      <c r="C5019" s="1926" t="s">
        <v>47</v>
      </c>
      <c r="D5019" s="1926" t="s">
        <v>46</v>
      </c>
      <c r="E5019" s="1662">
        <v>124.55</v>
      </c>
    </row>
    <row r="5020" spans="1:5" x14ac:dyDescent="0.2">
      <c r="A5020" s="135">
        <v>38978</v>
      </c>
      <c r="B5020" s="1926" t="s">
        <v>14616</v>
      </c>
      <c r="C5020" s="1926" t="s">
        <v>47</v>
      </c>
      <c r="D5020" s="1926" t="s">
        <v>46</v>
      </c>
      <c r="E5020" s="1662">
        <v>5.3</v>
      </c>
    </row>
    <row r="5021" spans="1:5" x14ac:dyDescent="0.2">
      <c r="A5021" s="135">
        <v>38979</v>
      </c>
      <c r="B5021" s="1926" t="s">
        <v>14617</v>
      </c>
      <c r="C5021" s="1926" t="s">
        <v>47</v>
      </c>
      <c r="D5021" s="1926" t="s">
        <v>46</v>
      </c>
      <c r="E5021" s="1662">
        <v>7.19</v>
      </c>
    </row>
    <row r="5022" spans="1:5" x14ac:dyDescent="0.2">
      <c r="A5022" s="135">
        <v>38980</v>
      </c>
      <c r="B5022" s="1926" t="s">
        <v>14618</v>
      </c>
      <c r="C5022" s="1926" t="s">
        <v>47</v>
      </c>
      <c r="D5022" s="1926" t="s">
        <v>46</v>
      </c>
      <c r="E5022" s="1662">
        <v>12.02</v>
      </c>
    </row>
    <row r="5023" spans="1:5" x14ac:dyDescent="0.2">
      <c r="A5023" s="135">
        <v>38981</v>
      </c>
      <c r="B5023" s="1926" t="s">
        <v>14619</v>
      </c>
      <c r="C5023" s="1926" t="s">
        <v>47</v>
      </c>
      <c r="D5023" s="1926" t="s">
        <v>46</v>
      </c>
      <c r="E5023" s="1662">
        <v>16.64</v>
      </c>
    </row>
    <row r="5024" spans="1:5" x14ac:dyDescent="0.2">
      <c r="A5024" s="135">
        <v>38982</v>
      </c>
      <c r="B5024" s="1926" t="s">
        <v>14620</v>
      </c>
      <c r="C5024" s="1926" t="s">
        <v>47</v>
      </c>
      <c r="D5024" s="1926" t="s">
        <v>46</v>
      </c>
      <c r="E5024" s="1662">
        <v>24.22</v>
      </c>
    </row>
    <row r="5025" spans="1:5" x14ac:dyDescent="0.2">
      <c r="A5025" s="135">
        <v>38983</v>
      </c>
      <c r="B5025" s="1926" t="s">
        <v>14621</v>
      </c>
      <c r="C5025" s="1926" t="s">
        <v>47</v>
      </c>
      <c r="D5025" s="1926" t="s">
        <v>46</v>
      </c>
      <c r="E5025" s="1662">
        <v>32.11</v>
      </c>
    </row>
    <row r="5026" spans="1:5" x14ac:dyDescent="0.2">
      <c r="A5026" s="135">
        <v>38984</v>
      </c>
      <c r="B5026" s="1926" t="s">
        <v>14622</v>
      </c>
      <c r="C5026" s="1926" t="s">
        <v>47</v>
      </c>
      <c r="D5026" s="1926" t="s">
        <v>46</v>
      </c>
      <c r="E5026" s="1662">
        <v>61.93</v>
      </c>
    </row>
    <row r="5027" spans="1:5" x14ac:dyDescent="0.2">
      <c r="A5027" s="135">
        <v>38985</v>
      </c>
      <c r="B5027" s="1926" t="s">
        <v>14623</v>
      </c>
      <c r="C5027" s="1926" t="s">
        <v>47</v>
      </c>
      <c r="D5027" s="1926" t="s">
        <v>46</v>
      </c>
      <c r="E5027" s="1662">
        <v>91.68</v>
      </c>
    </row>
    <row r="5028" spans="1:5" x14ac:dyDescent="0.2">
      <c r="A5028" s="135">
        <v>9836</v>
      </c>
      <c r="B5028" s="1926" t="s">
        <v>14624</v>
      </c>
      <c r="C5028" s="1926" t="s">
        <v>47</v>
      </c>
      <c r="D5028" s="1926" t="s">
        <v>43</v>
      </c>
      <c r="E5028" s="1662">
        <v>9.56</v>
      </c>
    </row>
    <row r="5029" spans="1:5" x14ac:dyDescent="0.2">
      <c r="A5029" s="135">
        <v>20065</v>
      </c>
      <c r="B5029" s="1926" t="s">
        <v>14625</v>
      </c>
      <c r="C5029" s="1926" t="s">
        <v>47</v>
      </c>
      <c r="D5029" s="1926" t="s">
        <v>40</v>
      </c>
      <c r="E5029" s="1662">
        <v>24.45</v>
      </c>
    </row>
    <row r="5030" spans="1:5" x14ac:dyDescent="0.2">
      <c r="A5030" s="135">
        <v>9835</v>
      </c>
      <c r="B5030" s="1926" t="s">
        <v>14626</v>
      </c>
      <c r="C5030" s="1926" t="s">
        <v>47</v>
      </c>
      <c r="D5030" s="1926" t="s">
        <v>40</v>
      </c>
      <c r="E5030" s="1662">
        <v>3.44</v>
      </c>
    </row>
    <row r="5031" spans="1:5" x14ac:dyDescent="0.2">
      <c r="A5031" s="135">
        <v>38032</v>
      </c>
      <c r="B5031" s="1926" t="s">
        <v>14627</v>
      </c>
      <c r="C5031" s="1926" t="s">
        <v>47</v>
      </c>
      <c r="D5031" s="1926" t="s">
        <v>46</v>
      </c>
      <c r="E5031" s="1662">
        <v>32.72</v>
      </c>
    </row>
    <row r="5032" spans="1:5" x14ac:dyDescent="0.2">
      <c r="A5032" s="135">
        <v>38033</v>
      </c>
      <c r="B5032" s="1926" t="s">
        <v>14628</v>
      </c>
      <c r="C5032" s="1926" t="s">
        <v>47</v>
      </c>
      <c r="D5032" s="1926" t="s">
        <v>46</v>
      </c>
      <c r="E5032" s="1662">
        <v>53.54</v>
      </c>
    </row>
    <row r="5033" spans="1:5" x14ac:dyDescent="0.2">
      <c r="A5033" s="135">
        <v>38034</v>
      </c>
      <c r="B5033" s="1926" t="s">
        <v>14629</v>
      </c>
      <c r="C5033" s="1926" t="s">
        <v>47</v>
      </c>
      <c r="D5033" s="1926" t="s">
        <v>46</v>
      </c>
      <c r="E5033" s="1662">
        <v>88.57</v>
      </c>
    </row>
    <row r="5034" spans="1:5" x14ac:dyDescent="0.2">
      <c r="A5034" s="135">
        <v>38035</v>
      </c>
      <c r="B5034" s="1926" t="s">
        <v>14630</v>
      </c>
      <c r="C5034" s="1926" t="s">
        <v>47</v>
      </c>
      <c r="D5034" s="1926" t="s">
        <v>46</v>
      </c>
      <c r="E5034" s="1662">
        <v>123.43</v>
      </c>
    </row>
    <row r="5035" spans="1:5" x14ac:dyDescent="0.2">
      <c r="A5035" s="135">
        <v>38036</v>
      </c>
      <c r="B5035" s="1926" t="s">
        <v>14631</v>
      </c>
      <c r="C5035" s="1926" t="s">
        <v>47</v>
      </c>
      <c r="D5035" s="1926" t="s">
        <v>46</v>
      </c>
      <c r="E5035" s="1662">
        <v>174.16</v>
      </c>
    </row>
    <row r="5036" spans="1:5" x14ac:dyDescent="0.2">
      <c r="A5036" s="135">
        <v>38037</v>
      </c>
      <c r="B5036" s="1926" t="s">
        <v>14632</v>
      </c>
      <c r="C5036" s="1926" t="s">
        <v>47</v>
      </c>
      <c r="D5036" s="1926" t="s">
        <v>46</v>
      </c>
      <c r="E5036" s="1662">
        <v>201.94</v>
      </c>
    </row>
    <row r="5037" spans="1:5" x14ac:dyDescent="0.2">
      <c r="A5037" s="135">
        <v>9850</v>
      </c>
      <c r="B5037" s="1926" t="s">
        <v>14633</v>
      </c>
      <c r="C5037" s="1926" t="s">
        <v>47</v>
      </c>
      <c r="D5037" s="1926" t="s">
        <v>46</v>
      </c>
      <c r="E5037" s="1662">
        <v>95.5</v>
      </c>
    </row>
    <row r="5038" spans="1:5" x14ac:dyDescent="0.2">
      <c r="A5038" s="135">
        <v>9853</v>
      </c>
      <c r="B5038" s="1926" t="s">
        <v>14634</v>
      </c>
      <c r="C5038" s="1926" t="s">
        <v>47</v>
      </c>
      <c r="D5038" s="1926" t="s">
        <v>46</v>
      </c>
      <c r="E5038" s="1662">
        <v>169.83</v>
      </c>
    </row>
    <row r="5039" spans="1:5" x14ac:dyDescent="0.2">
      <c r="A5039" s="135">
        <v>9854</v>
      </c>
      <c r="B5039" s="1926" t="s">
        <v>14635</v>
      </c>
      <c r="C5039" s="1926" t="s">
        <v>47</v>
      </c>
      <c r="D5039" s="1926" t="s">
        <v>46</v>
      </c>
      <c r="E5039" s="1662">
        <v>74.41</v>
      </c>
    </row>
    <row r="5040" spans="1:5" x14ac:dyDescent="0.2">
      <c r="A5040" s="135">
        <v>9851</v>
      </c>
      <c r="B5040" s="1926" t="s">
        <v>14636</v>
      </c>
      <c r="C5040" s="1926" t="s">
        <v>47</v>
      </c>
      <c r="D5040" s="1926" t="s">
        <v>46</v>
      </c>
      <c r="E5040" s="1662">
        <v>129.03</v>
      </c>
    </row>
    <row r="5041" spans="1:5" x14ac:dyDescent="0.2">
      <c r="A5041" s="135">
        <v>9855</v>
      </c>
      <c r="B5041" s="1926" t="s">
        <v>14637</v>
      </c>
      <c r="C5041" s="1926" t="s">
        <v>47</v>
      </c>
      <c r="D5041" s="1926" t="s">
        <v>46</v>
      </c>
      <c r="E5041" s="1662">
        <v>215.81</v>
      </c>
    </row>
    <row r="5042" spans="1:5" x14ac:dyDescent="0.2">
      <c r="A5042" s="135">
        <v>9825</v>
      </c>
      <c r="B5042" s="1926" t="s">
        <v>14638</v>
      </c>
      <c r="C5042" s="1926" t="s">
        <v>47</v>
      </c>
      <c r="D5042" s="1926" t="s">
        <v>46</v>
      </c>
      <c r="E5042" s="1662">
        <v>34.47</v>
      </c>
    </row>
    <row r="5043" spans="1:5" x14ac:dyDescent="0.2">
      <c r="A5043" s="135">
        <v>9828</v>
      </c>
      <c r="B5043" s="1926" t="s">
        <v>14639</v>
      </c>
      <c r="C5043" s="1926" t="s">
        <v>47</v>
      </c>
      <c r="D5043" s="1926" t="s">
        <v>46</v>
      </c>
      <c r="E5043" s="1662">
        <v>92.77</v>
      </c>
    </row>
    <row r="5044" spans="1:5" x14ac:dyDescent="0.2">
      <c r="A5044" s="135">
        <v>9829</v>
      </c>
      <c r="B5044" s="1926" t="s">
        <v>14640</v>
      </c>
      <c r="C5044" s="1926" t="s">
        <v>47</v>
      </c>
      <c r="D5044" s="1926" t="s">
        <v>46</v>
      </c>
      <c r="E5044" s="1662">
        <v>157.22</v>
      </c>
    </row>
    <row r="5045" spans="1:5" x14ac:dyDescent="0.2">
      <c r="A5045" s="135">
        <v>9826</v>
      </c>
      <c r="B5045" s="1926" t="s">
        <v>14641</v>
      </c>
      <c r="C5045" s="1926" t="s">
        <v>47</v>
      </c>
      <c r="D5045" s="1926" t="s">
        <v>46</v>
      </c>
      <c r="E5045" s="1662">
        <v>239.35</v>
      </c>
    </row>
    <row r="5046" spans="1:5" x14ac:dyDescent="0.2">
      <c r="A5046" s="135">
        <v>9827</v>
      </c>
      <c r="B5046" s="1926" t="s">
        <v>14642</v>
      </c>
      <c r="C5046" s="1926" t="s">
        <v>47</v>
      </c>
      <c r="D5046" s="1926" t="s">
        <v>46</v>
      </c>
      <c r="E5046" s="1662">
        <v>339.87</v>
      </c>
    </row>
    <row r="5047" spans="1:5" x14ac:dyDescent="0.2">
      <c r="A5047" s="135">
        <v>36374</v>
      </c>
      <c r="B5047" s="1926" t="s">
        <v>14643</v>
      </c>
      <c r="C5047" s="1926" t="s">
        <v>47</v>
      </c>
      <c r="D5047" s="1926" t="s">
        <v>46</v>
      </c>
      <c r="E5047" s="1662">
        <v>41.31</v>
      </c>
    </row>
    <row r="5048" spans="1:5" x14ac:dyDescent="0.2">
      <c r="A5048" s="135">
        <v>36084</v>
      </c>
      <c r="B5048" s="1926" t="s">
        <v>14644</v>
      </c>
      <c r="C5048" s="1926" t="s">
        <v>47</v>
      </c>
      <c r="D5048" s="1926" t="s">
        <v>46</v>
      </c>
      <c r="E5048" s="1662">
        <v>12.24</v>
      </c>
    </row>
    <row r="5049" spans="1:5" x14ac:dyDescent="0.2">
      <c r="A5049" s="135">
        <v>36373</v>
      </c>
      <c r="B5049" s="1926" t="s">
        <v>14645</v>
      </c>
      <c r="C5049" s="1926" t="s">
        <v>47</v>
      </c>
      <c r="D5049" s="1926" t="s">
        <v>46</v>
      </c>
      <c r="E5049" s="1662">
        <v>25.42</v>
      </c>
    </row>
    <row r="5050" spans="1:5" x14ac:dyDescent="0.2">
      <c r="A5050" s="135">
        <v>36377</v>
      </c>
      <c r="B5050" s="1926" t="s">
        <v>14646</v>
      </c>
      <c r="C5050" s="1926" t="s">
        <v>47</v>
      </c>
      <c r="D5050" s="1926" t="s">
        <v>46</v>
      </c>
      <c r="E5050" s="1662">
        <v>49.56</v>
      </c>
    </row>
    <row r="5051" spans="1:5" x14ac:dyDescent="0.2">
      <c r="A5051" s="135">
        <v>36375</v>
      </c>
      <c r="B5051" s="1926" t="s">
        <v>14647</v>
      </c>
      <c r="C5051" s="1926" t="s">
        <v>47</v>
      </c>
      <c r="D5051" s="1926" t="s">
        <v>46</v>
      </c>
      <c r="E5051" s="1662">
        <v>15.1</v>
      </c>
    </row>
    <row r="5052" spans="1:5" x14ac:dyDescent="0.2">
      <c r="A5052" s="135">
        <v>36376</v>
      </c>
      <c r="B5052" s="1926" t="s">
        <v>14648</v>
      </c>
      <c r="C5052" s="1926" t="s">
        <v>47</v>
      </c>
      <c r="D5052" s="1926" t="s">
        <v>46</v>
      </c>
      <c r="E5052" s="1662">
        <v>29.66</v>
      </c>
    </row>
    <row r="5053" spans="1:5" x14ac:dyDescent="0.2">
      <c r="A5053" s="135">
        <v>36380</v>
      </c>
      <c r="B5053" s="1926" t="s">
        <v>14649</v>
      </c>
      <c r="C5053" s="1926" t="s">
        <v>47</v>
      </c>
      <c r="D5053" s="1926" t="s">
        <v>46</v>
      </c>
      <c r="E5053" s="1662">
        <v>61.97</v>
      </c>
    </row>
    <row r="5054" spans="1:5" x14ac:dyDescent="0.2">
      <c r="A5054" s="135">
        <v>36378</v>
      </c>
      <c r="B5054" s="1926" t="s">
        <v>14650</v>
      </c>
      <c r="C5054" s="1926" t="s">
        <v>47</v>
      </c>
      <c r="D5054" s="1926" t="s">
        <v>46</v>
      </c>
      <c r="E5054" s="1662">
        <v>18.57</v>
      </c>
    </row>
    <row r="5055" spans="1:5" x14ac:dyDescent="0.2">
      <c r="A5055" s="135">
        <v>36379</v>
      </c>
      <c r="B5055" s="1926" t="s">
        <v>14651</v>
      </c>
      <c r="C5055" s="1926" t="s">
        <v>47</v>
      </c>
      <c r="D5055" s="1926" t="s">
        <v>46</v>
      </c>
      <c r="E5055" s="1662">
        <v>37.43</v>
      </c>
    </row>
    <row r="5056" spans="1:5" x14ac:dyDescent="0.2">
      <c r="A5056" s="135">
        <v>9859</v>
      </c>
      <c r="B5056" s="1926" t="s">
        <v>14652</v>
      </c>
      <c r="C5056" s="1926" t="s">
        <v>47</v>
      </c>
      <c r="D5056" s="1926" t="s">
        <v>40</v>
      </c>
      <c r="E5056" s="1662">
        <v>7.52</v>
      </c>
    </row>
    <row r="5057" spans="1:5" x14ac:dyDescent="0.2">
      <c r="A5057" s="135">
        <v>9838</v>
      </c>
      <c r="B5057" s="1926" t="s">
        <v>14653</v>
      </c>
      <c r="C5057" s="1926" t="s">
        <v>47</v>
      </c>
      <c r="D5057" s="1926" t="s">
        <v>40</v>
      </c>
      <c r="E5057" s="1662">
        <v>5.87</v>
      </c>
    </row>
    <row r="5058" spans="1:5" x14ac:dyDescent="0.2">
      <c r="A5058" s="135">
        <v>9837</v>
      </c>
      <c r="B5058" s="1926" t="s">
        <v>14654</v>
      </c>
      <c r="C5058" s="1926" t="s">
        <v>47</v>
      </c>
      <c r="D5058" s="1926" t="s">
        <v>40</v>
      </c>
      <c r="E5058" s="1662">
        <v>8.4700000000000006</v>
      </c>
    </row>
    <row r="5059" spans="1:5" x14ac:dyDescent="0.2">
      <c r="A5059" s="135">
        <v>9833</v>
      </c>
      <c r="B5059" s="1926" t="s">
        <v>14655</v>
      </c>
      <c r="C5059" s="1926" t="s">
        <v>47</v>
      </c>
      <c r="D5059" s="1926" t="s">
        <v>46</v>
      </c>
      <c r="E5059" s="1662">
        <v>8.2200000000000006</v>
      </c>
    </row>
    <row r="5060" spans="1:5" x14ac:dyDescent="0.2">
      <c r="A5060" s="135">
        <v>9830</v>
      </c>
      <c r="B5060" s="1926" t="s">
        <v>14656</v>
      </c>
      <c r="C5060" s="1926" t="s">
        <v>47</v>
      </c>
      <c r="D5060" s="1926" t="s">
        <v>46</v>
      </c>
      <c r="E5060" s="1662">
        <v>4.4000000000000004</v>
      </c>
    </row>
    <row r="5061" spans="1:5" x14ac:dyDescent="0.2">
      <c r="A5061" s="135">
        <v>9834</v>
      </c>
      <c r="B5061" s="1926" t="s">
        <v>14657</v>
      </c>
      <c r="C5061" s="1926" t="s">
        <v>47</v>
      </c>
      <c r="D5061" s="1926" t="s">
        <v>46</v>
      </c>
      <c r="E5061" s="1662">
        <v>22.88</v>
      </c>
    </row>
    <row r="5062" spans="1:5" x14ac:dyDescent="0.2">
      <c r="A5062" s="135">
        <v>9863</v>
      </c>
      <c r="B5062" s="1926" t="s">
        <v>14658</v>
      </c>
      <c r="C5062" s="1926" t="s">
        <v>47</v>
      </c>
      <c r="D5062" s="1926" t="s">
        <v>40</v>
      </c>
      <c r="E5062" s="1662">
        <v>54.28</v>
      </c>
    </row>
    <row r="5063" spans="1:5" x14ac:dyDescent="0.2">
      <c r="A5063" s="135">
        <v>9860</v>
      </c>
      <c r="B5063" s="1926" t="s">
        <v>14659</v>
      </c>
      <c r="C5063" s="1926" t="s">
        <v>47</v>
      </c>
      <c r="D5063" s="1926" t="s">
        <v>40</v>
      </c>
      <c r="E5063" s="1662">
        <v>34.85</v>
      </c>
    </row>
    <row r="5064" spans="1:5" x14ac:dyDescent="0.2">
      <c r="A5064" s="135">
        <v>9862</v>
      </c>
      <c r="B5064" s="1926" t="s">
        <v>14660</v>
      </c>
      <c r="C5064" s="1926" t="s">
        <v>47</v>
      </c>
      <c r="D5064" s="1926" t="s">
        <v>40</v>
      </c>
      <c r="E5064" s="1662">
        <v>24.59</v>
      </c>
    </row>
    <row r="5065" spans="1:5" x14ac:dyDescent="0.2">
      <c r="A5065" s="135">
        <v>9861</v>
      </c>
      <c r="B5065" s="1926" t="s">
        <v>14661</v>
      </c>
      <c r="C5065" s="1926" t="s">
        <v>47</v>
      </c>
      <c r="D5065" s="1926" t="s">
        <v>40</v>
      </c>
      <c r="E5065" s="1662">
        <v>19.760000000000002</v>
      </c>
    </row>
    <row r="5066" spans="1:5" x14ac:dyDescent="0.2">
      <c r="A5066" s="135">
        <v>9856</v>
      </c>
      <c r="B5066" s="1926" t="s">
        <v>14662</v>
      </c>
      <c r="C5066" s="1926" t="s">
        <v>47</v>
      </c>
      <c r="D5066" s="1926" t="s">
        <v>40</v>
      </c>
      <c r="E5066" s="1662">
        <v>5.31</v>
      </c>
    </row>
    <row r="5067" spans="1:5" x14ac:dyDescent="0.2">
      <c r="A5067" s="135">
        <v>9866</v>
      </c>
      <c r="B5067" s="1926" t="s">
        <v>14663</v>
      </c>
      <c r="C5067" s="1926" t="s">
        <v>47</v>
      </c>
      <c r="D5067" s="1926" t="s">
        <v>40</v>
      </c>
      <c r="E5067" s="1662">
        <v>14.59</v>
      </c>
    </row>
    <row r="5068" spans="1:5" x14ac:dyDescent="0.2">
      <c r="A5068" s="135">
        <v>9857</v>
      </c>
      <c r="B5068" s="1926" t="s">
        <v>14664</v>
      </c>
      <c r="C5068" s="1926" t="s">
        <v>47</v>
      </c>
      <c r="D5068" s="1926" t="s">
        <v>40</v>
      </c>
      <c r="E5068" s="1662">
        <v>70.2</v>
      </c>
    </row>
    <row r="5069" spans="1:5" x14ac:dyDescent="0.2">
      <c r="A5069" s="135">
        <v>9864</v>
      </c>
      <c r="B5069" s="1926" t="s">
        <v>14665</v>
      </c>
      <c r="C5069" s="1926" t="s">
        <v>47</v>
      </c>
      <c r="D5069" s="1926" t="s">
        <v>40</v>
      </c>
      <c r="E5069" s="1662">
        <v>84.75</v>
      </c>
    </row>
    <row r="5070" spans="1:5" x14ac:dyDescent="0.2">
      <c r="A5070" s="135">
        <v>9865</v>
      </c>
      <c r="B5070" s="1926" t="s">
        <v>14666</v>
      </c>
      <c r="C5070" s="1926" t="s">
        <v>47</v>
      </c>
      <c r="D5070" s="1926" t="s">
        <v>40</v>
      </c>
      <c r="E5070" s="1662">
        <v>121.88</v>
      </c>
    </row>
    <row r="5071" spans="1:5" x14ac:dyDescent="0.2">
      <c r="A5071" s="135">
        <v>9858</v>
      </c>
      <c r="B5071" s="1926" t="s">
        <v>14667</v>
      </c>
      <c r="C5071" s="1926" t="s">
        <v>47</v>
      </c>
      <c r="D5071" s="1926" t="s">
        <v>40</v>
      </c>
      <c r="E5071" s="1662">
        <v>127.78</v>
      </c>
    </row>
    <row r="5072" spans="1:5" x14ac:dyDescent="0.2">
      <c r="A5072" s="135">
        <v>9841</v>
      </c>
      <c r="B5072" s="1926" t="s">
        <v>14668</v>
      </c>
      <c r="C5072" s="1926" t="s">
        <v>47</v>
      </c>
      <c r="D5072" s="1926" t="s">
        <v>40</v>
      </c>
      <c r="E5072" s="1662">
        <v>23.59</v>
      </c>
    </row>
    <row r="5073" spans="1:5" x14ac:dyDescent="0.2">
      <c r="A5073" s="135">
        <v>9840</v>
      </c>
      <c r="B5073" s="1926" t="s">
        <v>14669</v>
      </c>
      <c r="C5073" s="1926" t="s">
        <v>47</v>
      </c>
      <c r="D5073" s="1926" t="s">
        <v>40</v>
      </c>
      <c r="E5073" s="1662">
        <v>47.95</v>
      </c>
    </row>
    <row r="5074" spans="1:5" x14ac:dyDescent="0.2">
      <c r="A5074" s="135">
        <v>20067</v>
      </c>
      <c r="B5074" s="1926" t="s">
        <v>14670</v>
      </c>
      <c r="C5074" s="1926" t="s">
        <v>47</v>
      </c>
      <c r="D5074" s="1926" t="s">
        <v>40</v>
      </c>
      <c r="E5074" s="1662">
        <v>8.24</v>
      </c>
    </row>
    <row r="5075" spans="1:5" x14ac:dyDescent="0.2">
      <c r="A5075" s="135">
        <v>20068</v>
      </c>
      <c r="B5075" s="1926" t="s">
        <v>14671</v>
      </c>
      <c r="C5075" s="1926" t="s">
        <v>47</v>
      </c>
      <c r="D5075" s="1926" t="s">
        <v>40</v>
      </c>
      <c r="E5075" s="1662">
        <v>10.27</v>
      </c>
    </row>
    <row r="5076" spans="1:5" x14ac:dyDescent="0.2">
      <c r="A5076" s="135">
        <v>9839</v>
      </c>
      <c r="B5076" s="1926" t="s">
        <v>14672</v>
      </c>
      <c r="C5076" s="1926" t="s">
        <v>47</v>
      </c>
      <c r="D5076" s="1926" t="s">
        <v>40</v>
      </c>
      <c r="E5076" s="1662">
        <v>13.47</v>
      </c>
    </row>
    <row r="5077" spans="1:5" x14ac:dyDescent="0.2">
      <c r="A5077" s="135">
        <v>9870</v>
      </c>
      <c r="B5077" s="1926" t="s">
        <v>14673</v>
      </c>
      <c r="C5077" s="1926" t="s">
        <v>47</v>
      </c>
      <c r="D5077" s="1926" t="s">
        <v>40</v>
      </c>
      <c r="E5077" s="1662">
        <v>59.19</v>
      </c>
    </row>
    <row r="5078" spans="1:5" x14ac:dyDescent="0.2">
      <c r="A5078" s="135">
        <v>9867</v>
      </c>
      <c r="B5078" s="1926" t="s">
        <v>14674</v>
      </c>
      <c r="C5078" s="1926" t="s">
        <v>47</v>
      </c>
      <c r="D5078" s="1926" t="s">
        <v>40</v>
      </c>
      <c r="E5078" s="1662">
        <v>2.17</v>
      </c>
    </row>
    <row r="5079" spans="1:5" x14ac:dyDescent="0.2">
      <c r="A5079" s="135">
        <v>9868</v>
      </c>
      <c r="B5079" s="1926" t="s">
        <v>14675</v>
      </c>
      <c r="C5079" s="1926" t="s">
        <v>47</v>
      </c>
      <c r="D5079" s="1926" t="s">
        <v>43</v>
      </c>
      <c r="E5079" s="1662">
        <v>2.79</v>
      </c>
    </row>
    <row r="5080" spans="1:5" x14ac:dyDescent="0.2">
      <c r="A5080" s="135">
        <v>9869</v>
      </c>
      <c r="B5080" s="1926" t="s">
        <v>14676</v>
      </c>
      <c r="C5080" s="1926" t="s">
        <v>47</v>
      </c>
      <c r="D5080" s="1926" t="s">
        <v>40</v>
      </c>
      <c r="E5080" s="1662">
        <v>6.26</v>
      </c>
    </row>
    <row r="5081" spans="1:5" x14ac:dyDescent="0.2">
      <c r="A5081" s="135">
        <v>9874</v>
      </c>
      <c r="B5081" s="1926" t="s">
        <v>14677</v>
      </c>
      <c r="C5081" s="1926" t="s">
        <v>47</v>
      </c>
      <c r="D5081" s="1926" t="s">
        <v>40</v>
      </c>
      <c r="E5081" s="1662">
        <v>9.1199999999999992</v>
      </c>
    </row>
    <row r="5082" spans="1:5" x14ac:dyDescent="0.2">
      <c r="A5082" s="135">
        <v>9875</v>
      </c>
      <c r="B5082" s="1926" t="s">
        <v>14678</v>
      </c>
      <c r="C5082" s="1926" t="s">
        <v>47</v>
      </c>
      <c r="D5082" s="1926" t="s">
        <v>40</v>
      </c>
      <c r="E5082" s="1662">
        <v>10.45</v>
      </c>
    </row>
    <row r="5083" spans="1:5" x14ac:dyDescent="0.2">
      <c r="A5083" s="135">
        <v>9873</v>
      </c>
      <c r="B5083" s="1926" t="s">
        <v>14679</v>
      </c>
      <c r="C5083" s="1926" t="s">
        <v>47</v>
      </c>
      <c r="D5083" s="1926" t="s">
        <v>40</v>
      </c>
      <c r="E5083" s="1662">
        <v>17.62</v>
      </c>
    </row>
    <row r="5084" spans="1:5" x14ac:dyDescent="0.2">
      <c r="A5084" s="135">
        <v>9871</v>
      </c>
      <c r="B5084" s="1926" t="s">
        <v>14680</v>
      </c>
      <c r="C5084" s="1926" t="s">
        <v>47</v>
      </c>
      <c r="D5084" s="1926" t="s">
        <v>40</v>
      </c>
      <c r="E5084" s="1662">
        <v>29.53</v>
      </c>
    </row>
    <row r="5085" spans="1:5" x14ac:dyDescent="0.2">
      <c r="A5085" s="135">
        <v>9872</v>
      </c>
      <c r="B5085" s="1926" t="s">
        <v>14681</v>
      </c>
      <c r="C5085" s="1926" t="s">
        <v>47</v>
      </c>
      <c r="D5085" s="1926" t="s">
        <v>40</v>
      </c>
      <c r="E5085" s="1662">
        <v>36.89</v>
      </c>
    </row>
    <row r="5086" spans="1:5" x14ac:dyDescent="0.2">
      <c r="A5086" s="135">
        <v>7667</v>
      </c>
      <c r="B5086" s="1926" t="s">
        <v>14682</v>
      </c>
      <c r="C5086" s="1926" t="s">
        <v>47</v>
      </c>
      <c r="D5086" s="1926" t="s">
        <v>46</v>
      </c>
      <c r="E5086" s="1662">
        <v>1535.49</v>
      </c>
    </row>
    <row r="5087" spans="1:5" x14ac:dyDescent="0.2">
      <c r="A5087" s="135">
        <v>7660</v>
      </c>
      <c r="B5087" s="1926" t="s">
        <v>14683</v>
      </c>
      <c r="C5087" s="1926" t="s">
        <v>47</v>
      </c>
      <c r="D5087" s="1926" t="s">
        <v>46</v>
      </c>
      <c r="E5087" s="1662">
        <v>1957.39</v>
      </c>
    </row>
    <row r="5088" spans="1:5" x14ac:dyDescent="0.2">
      <c r="A5088" s="135">
        <v>7676</v>
      </c>
      <c r="B5088" s="1926" t="s">
        <v>14684</v>
      </c>
      <c r="C5088" s="1926" t="s">
        <v>47</v>
      </c>
      <c r="D5088" s="1926" t="s">
        <v>46</v>
      </c>
      <c r="E5088" s="1662">
        <v>1979.76</v>
      </c>
    </row>
    <row r="5089" spans="1:5" x14ac:dyDescent="0.2">
      <c r="A5089" s="135">
        <v>12426</v>
      </c>
      <c r="B5089" s="1926" t="s">
        <v>14685</v>
      </c>
      <c r="C5089" s="1926" t="s">
        <v>39</v>
      </c>
      <c r="D5089" s="1926" t="s">
        <v>40</v>
      </c>
      <c r="E5089" s="1662">
        <v>25.23</v>
      </c>
    </row>
    <row r="5090" spans="1:5" x14ac:dyDescent="0.2">
      <c r="A5090" s="135">
        <v>12425</v>
      </c>
      <c r="B5090" s="1926" t="s">
        <v>14686</v>
      </c>
      <c r="C5090" s="1926" t="s">
        <v>39</v>
      </c>
      <c r="D5090" s="1926" t="s">
        <v>40</v>
      </c>
      <c r="E5090" s="1662">
        <v>34.67</v>
      </c>
    </row>
    <row r="5091" spans="1:5" x14ac:dyDescent="0.2">
      <c r="A5091" s="135">
        <v>12427</v>
      </c>
      <c r="B5091" s="1926" t="s">
        <v>14687</v>
      </c>
      <c r="C5091" s="1926" t="s">
        <v>39</v>
      </c>
      <c r="D5091" s="1926" t="s">
        <v>40</v>
      </c>
      <c r="E5091" s="1662">
        <v>143.91</v>
      </c>
    </row>
    <row r="5092" spans="1:5" x14ac:dyDescent="0.2">
      <c r="A5092" s="135">
        <v>12428</v>
      </c>
      <c r="B5092" s="1926" t="s">
        <v>14688</v>
      </c>
      <c r="C5092" s="1926" t="s">
        <v>39</v>
      </c>
      <c r="D5092" s="1926" t="s">
        <v>40</v>
      </c>
      <c r="E5092" s="1662">
        <v>92.37</v>
      </c>
    </row>
    <row r="5093" spans="1:5" x14ac:dyDescent="0.2">
      <c r="A5093" s="135">
        <v>12430</v>
      </c>
      <c r="B5093" s="1926" t="s">
        <v>14689</v>
      </c>
      <c r="C5093" s="1926" t="s">
        <v>39</v>
      </c>
      <c r="D5093" s="1926" t="s">
        <v>40</v>
      </c>
      <c r="E5093" s="1662">
        <v>30.94</v>
      </c>
    </row>
    <row r="5094" spans="1:5" x14ac:dyDescent="0.2">
      <c r="A5094" s="135">
        <v>12429</v>
      </c>
      <c r="B5094" s="1926" t="s">
        <v>14690</v>
      </c>
      <c r="C5094" s="1926" t="s">
        <v>39</v>
      </c>
      <c r="D5094" s="1926" t="s">
        <v>40</v>
      </c>
      <c r="E5094" s="1662">
        <v>232.7</v>
      </c>
    </row>
    <row r="5095" spans="1:5" x14ac:dyDescent="0.2">
      <c r="A5095" s="135">
        <v>12431</v>
      </c>
      <c r="B5095" s="1926" t="s">
        <v>14691</v>
      </c>
      <c r="C5095" s="1926" t="s">
        <v>39</v>
      </c>
      <c r="D5095" s="1926" t="s">
        <v>40</v>
      </c>
      <c r="E5095" s="1662">
        <v>396.02</v>
      </c>
    </row>
    <row r="5096" spans="1:5" x14ac:dyDescent="0.2">
      <c r="A5096" s="135">
        <v>12432</v>
      </c>
      <c r="B5096" s="1926" t="s">
        <v>14692</v>
      </c>
      <c r="C5096" s="1926" t="s">
        <v>39</v>
      </c>
      <c r="D5096" s="1926" t="s">
        <v>40</v>
      </c>
      <c r="E5096" s="1662">
        <v>81.45</v>
      </c>
    </row>
    <row r="5097" spans="1:5" x14ac:dyDescent="0.2">
      <c r="A5097" s="135">
        <v>12434</v>
      </c>
      <c r="B5097" s="1926" t="s">
        <v>14693</v>
      </c>
      <c r="C5097" s="1926" t="s">
        <v>39</v>
      </c>
      <c r="D5097" s="1926" t="s">
        <v>40</v>
      </c>
      <c r="E5097" s="1662">
        <v>26.54</v>
      </c>
    </row>
    <row r="5098" spans="1:5" x14ac:dyDescent="0.2">
      <c r="A5098" s="135">
        <v>12433</v>
      </c>
      <c r="B5098" s="1926" t="s">
        <v>14694</v>
      </c>
      <c r="C5098" s="1926" t="s">
        <v>39</v>
      </c>
      <c r="D5098" s="1926" t="s">
        <v>40</v>
      </c>
      <c r="E5098" s="1662">
        <v>51.85</v>
      </c>
    </row>
    <row r="5099" spans="1:5" x14ac:dyDescent="0.2">
      <c r="A5099" s="135">
        <v>12435</v>
      </c>
      <c r="B5099" s="1926" t="s">
        <v>14695</v>
      </c>
      <c r="C5099" s="1926" t="s">
        <v>39</v>
      </c>
      <c r="D5099" s="1926" t="s">
        <v>40</v>
      </c>
      <c r="E5099" s="1662">
        <v>160.46</v>
      </c>
    </row>
    <row r="5100" spans="1:5" x14ac:dyDescent="0.2">
      <c r="A5100" s="135">
        <v>12437</v>
      </c>
      <c r="B5100" s="1926" t="s">
        <v>14696</v>
      </c>
      <c r="C5100" s="1926" t="s">
        <v>39</v>
      </c>
      <c r="D5100" s="1926" t="s">
        <v>40</v>
      </c>
      <c r="E5100" s="1662">
        <v>129.6</v>
      </c>
    </row>
    <row r="5101" spans="1:5" x14ac:dyDescent="0.2">
      <c r="A5101" s="135">
        <v>12439</v>
      </c>
      <c r="B5101" s="1926" t="s">
        <v>14697</v>
      </c>
      <c r="C5101" s="1926" t="s">
        <v>39</v>
      </c>
      <c r="D5101" s="1926" t="s">
        <v>40</v>
      </c>
      <c r="E5101" s="1662">
        <v>41.59</v>
      </c>
    </row>
    <row r="5102" spans="1:5" x14ac:dyDescent="0.2">
      <c r="A5102" s="135">
        <v>12438</v>
      </c>
      <c r="B5102" s="1926" t="s">
        <v>14698</v>
      </c>
      <c r="C5102" s="1926" t="s">
        <v>39</v>
      </c>
      <c r="D5102" s="1926" t="s">
        <v>40</v>
      </c>
      <c r="E5102" s="1662">
        <v>234.53</v>
      </c>
    </row>
    <row r="5103" spans="1:5" x14ac:dyDescent="0.2">
      <c r="A5103" s="135">
        <v>12436</v>
      </c>
      <c r="B5103" s="1926" t="s">
        <v>14699</v>
      </c>
      <c r="C5103" s="1926" t="s">
        <v>39</v>
      </c>
      <c r="D5103" s="1926" t="s">
        <v>40</v>
      </c>
      <c r="E5103" s="1662">
        <v>296.26</v>
      </c>
    </row>
    <row r="5104" spans="1:5" x14ac:dyDescent="0.2">
      <c r="A5104" s="135">
        <v>36357</v>
      </c>
      <c r="B5104" s="1926" t="s">
        <v>14700</v>
      </c>
      <c r="C5104" s="1926" t="s">
        <v>39</v>
      </c>
      <c r="D5104" s="1926" t="s">
        <v>46</v>
      </c>
      <c r="E5104" s="1662">
        <v>94.29</v>
      </c>
    </row>
    <row r="5105" spans="1:5" x14ac:dyDescent="0.2">
      <c r="A5105" s="135">
        <v>12424</v>
      </c>
      <c r="B5105" s="1926" t="s">
        <v>14701</v>
      </c>
      <c r="C5105" s="1926" t="s">
        <v>39</v>
      </c>
      <c r="D5105" s="1926" t="s">
        <v>40</v>
      </c>
      <c r="E5105" s="1662">
        <v>53.38</v>
      </c>
    </row>
    <row r="5106" spans="1:5" x14ac:dyDescent="0.2">
      <c r="A5106" s="135">
        <v>12440</v>
      </c>
      <c r="B5106" s="1926" t="s">
        <v>14702</v>
      </c>
      <c r="C5106" s="1926" t="s">
        <v>39</v>
      </c>
      <c r="D5106" s="1926" t="s">
        <v>40</v>
      </c>
      <c r="E5106" s="1662">
        <v>51.6</v>
      </c>
    </row>
    <row r="5107" spans="1:5" x14ac:dyDescent="0.2">
      <c r="A5107" s="135">
        <v>9884</v>
      </c>
      <c r="B5107" s="1926" t="s">
        <v>14703</v>
      </c>
      <c r="C5107" s="1926" t="s">
        <v>39</v>
      </c>
      <c r="D5107" s="1926" t="s">
        <v>40</v>
      </c>
      <c r="E5107" s="1662">
        <v>38.49</v>
      </c>
    </row>
    <row r="5108" spans="1:5" x14ac:dyDescent="0.2">
      <c r="A5108" s="135">
        <v>9888</v>
      </c>
      <c r="B5108" s="1926" t="s">
        <v>14704</v>
      </c>
      <c r="C5108" s="1926" t="s">
        <v>39</v>
      </c>
      <c r="D5108" s="1926" t="s">
        <v>40</v>
      </c>
      <c r="E5108" s="1662">
        <v>30.92</v>
      </c>
    </row>
    <row r="5109" spans="1:5" x14ac:dyDescent="0.2">
      <c r="A5109" s="135">
        <v>9883</v>
      </c>
      <c r="B5109" s="1926" t="s">
        <v>14705</v>
      </c>
      <c r="C5109" s="1926" t="s">
        <v>39</v>
      </c>
      <c r="D5109" s="1926" t="s">
        <v>40</v>
      </c>
      <c r="E5109" s="1662">
        <v>13.49</v>
      </c>
    </row>
    <row r="5110" spans="1:5" x14ac:dyDescent="0.2">
      <c r="A5110" s="135">
        <v>9886</v>
      </c>
      <c r="B5110" s="1926" t="s">
        <v>14706</v>
      </c>
      <c r="C5110" s="1926" t="s">
        <v>39</v>
      </c>
      <c r="D5110" s="1926" t="s">
        <v>40</v>
      </c>
      <c r="E5110" s="1662">
        <v>18.48</v>
      </c>
    </row>
    <row r="5111" spans="1:5" x14ac:dyDescent="0.2">
      <c r="A5111" s="135">
        <v>9889</v>
      </c>
      <c r="B5111" s="1926" t="s">
        <v>14707</v>
      </c>
      <c r="C5111" s="1926" t="s">
        <v>39</v>
      </c>
      <c r="D5111" s="1926" t="s">
        <v>40</v>
      </c>
      <c r="E5111" s="1662">
        <v>93.64</v>
      </c>
    </row>
    <row r="5112" spans="1:5" x14ac:dyDescent="0.2">
      <c r="A5112" s="135">
        <v>9887</v>
      </c>
      <c r="B5112" s="1926" t="s">
        <v>14708</v>
      </c>
      <c r="C5112" s="1926" t="s">
        <v>39</v>
      </c>
      <c r="D5112" s="1926" t="s">
        <v>40</v>
      </c>
      <c r="E5112" s="1662">
        <v>56.59</v>
      </c>
    </row>
    <row r="5113" spans="1:5" x14ac:dyDescent="0.2">
      <c r="A5113" s="135">
        <v>9885</v>
      </c>
      <c r="B5113" s="1926" t="s">
        <v>14709</v>
      </c>
      <c r="C5113" s="1926" t="s">
        <v>39</v>
      </c>
      <c r="D5113" s="1926" t="s">
        <v>40</v>
      </c>
      <c r="E5113" s="1662">
        <v>17.87</v>
      </c>
    </row>
    <row r="5114" spans="1:5" x14ac:dyDescent="0.2">
      <c r="A5114" s="135">
        <v>9890</v>
      </c>
      <c r="B5114" s="1926" t="s">
        <v>14710</v>
      </c>
      <c r="C5114" s="1926" t="s">
        <v>39</v>
      </c>
      <c r="D5114" s="1926" t="s">
        <v>40</v>
      </c>
      <c r="E5114" s="1662">
        <v>145.07</v>
      </c>
    </row>
    <row r="5115" spans="1:5" x14ac:dyDescent="0.2">
      <c r="A5115" s="135">
        <v>9891</v>
      </c>
      <c r="B5115" s="1926" t="s">
        <v>14711</v>
      </c>
      <c r="C5115" s="1926" t="s">
        <v>39</v>
      </c>
      <c r="D5115" s="1926" t="s">
        <v>40</v>
      </c>
      <c r="E5115" s="1662">
        <v>203.65</v>
      </c>
    </row>
    <row r="5116" spans="1:5" x14ac:dyDescent="0.2">
      <c r="A5116" s="135">
        <v>39292</v>
      </c>
      <c r="B5116" s="1926" t="s">
        <v>14712</v>
      </c>
      <c r="C5116" s="1926" t="s">
        <v>39</v>
      </c>
      <c r="D5116" s="1926" t="s">
        <v>46</v>
      </c>
      <c r="E5116" s="1662">
        <v>7.33</v>
      </c>
    </row>
    <row r="5117" spans="1:5" x14ac:dyDescent="0.2">
      <c r="A5117" s="135">
        <v>39293</v>
      </c>
      <c r="B5117" s="1926" t="s">
        <v>14713</v>
      </c>
      <c r="C5117" s="1926" t="s">
        <v>39</v>
      </c>
      <c r="D5117" s="1926" t="s">
        <v>46</v>
      </c>
      <c r="E5117" s="1662">
        <v>11.84</v>
      </c>
    </row>
    <row r="5118" spans="1:5" x14ac:dyDescent="0.2">
      <c r="A5118" s="135">
        <v>39294</v>
      </c>
      <c r="B5118" s="1926" t="s">
        <v>14714</v>
      </c>
      <c r="C5118" s="1926" t="s">
        <v>39</v>
      </c>
      <c r="D5118" s="1926" t="s">
        <v>46</v>
      </c>
      <c r="E5118" s="1662">
        <v>11.84</v>
      </c>
    </row>
    <row r="5119" spans="1:5" x14ac:dyDescent="0.2">
      <c r="A5119" s="135">
        <v>39295</v>
      </c>
      <c r="B5119" s="1926" t="s">
        <v>14715</v>
      </c>
      <c r="C5119" s="1926" t="s">
        <v>39</v>
      </c>
      <c r="D5119" s="1926" t="s">
        <v>46</v>
      </c>
      <c r="E5119" s="1662">
        <v>20.190000000000001</v>
      </c>
    </row>
    <row r="5120" spans="1:5" x14ac:dyDescent="0.2">
      <c r="A5120" s="135">
        <v>36313</v>
      </c>
      <c r="B5120" s="1926" t="s">
        <v>14716</v>
      </c>
      <c r="C5120" s="1926" t="s">
        <v>39</v>
      </c>
      <c r="D5120" s="1926" t="s">
        <v>46</v>
      </c>
      <c r="E5120" s="1662">
        <v>22.35</v>
      </c>
    </row>
    <row r="5121" spans="1:5" x14ac:dyDescent="0.2">
      <c r="A5121" s="135">
        <v>36316</v>
      </c>
      <c r="B5121" s="1926" t="s">
        <v>14717</v>
      </c>
      <c r="C5121" s="1926" t="s">
        <v>39</v>
      </c>
      <c r="D5121" s="1926" t="s">
        <v>46</v>
      </c>
      <c r="E5121" s="1662">
        <v>27.11</v>
      </c>
    </row>
    <row r="5122" spans="1:5" x14ac:dyDescent="0.2">
      <c r="A5122" s="135">
        <v>64</v>
      </c>
      <c r="B5122" s="1926" t="s">
        <v>14718</v>
      </c>
      <c r="C5122" s="1926" t="s">
        <v>39</v>
      </c>
      <c r="D5122" s="1926" t="s">
        <v>46</v>
      </c>
      <c r="E5122" s="1662">
        <v>3.99</v>
      </c>
    </row>
    <row r="5123" spans="1:5" x14ac:dyDescent="0.2">
      <c r="A5123" s="135">
        <v>37423</v>
      </c>
      <c r="B5123" s="1926" t="s">
        <v>14719</v>
      </c>
      <c r="C5123" s="1926" t="s">
        <v>39</v>
      </c>
      <c r="D5123" s="1926" t="s">
        <v>46</v>
      </c>
      <c r="E5123" s="1662">
        <v>9.8699999999999992</v>
      </c>
    </row>
    <row r="5124" spans="1:5" x14ac:dyDescent="0.2">
      <c r="A5124" s="135">
        <v>39296</v>
      </c>
      <c r="B5124" s="1926" t="s">
        <v>14720</v>
      </c>
      <c r="C5124" s="1926" t="s">
        <v>39</v>
      </c>
      <c r="D5124" s="1926" t="s">
        <v>46</v>
      </c>
      <c r="E5124" s="1662">
        <v>5.67</v>
      </c>
    </row>
    <row r="5125" spans="1:5" x14ac:dyDescent="0.2">
      <c r="A5125" s="135">
        <v>39297</v>
      </c>
      <c r="B5125" s="1926" t="s">
        <v>14721</v>
      </c>
      <c r="C5125" s="1926" t="s">
        <v>39</v>
      </c>
      <c r="D5125" s="1926" t="s">
        <v>46</v>
      </c>
      <c r="E5125" s="1662">
        <v>8.1</v>
      </c>
    </row>
    <row r="5126" spans="1:5" x14ac:dyDescent="0.2">
      <c r="A5126" s="135">
        <v>39298</v>
      </c>
      <c r="B5126" s="1926" t="s">
        <v>14722</v>
      </c>
      <c r="C5126" s="1926" t="s">
        <v>39</v>
      </c>
      <c r="D5126" s="1926" t="s">
        <v>46</v>
      </c>
      <c r="E5126" s="1662">
        <v>14.27</v>
      </c>
    </row>
    <row r="5127" spans="1:5" x14ac:dyDescent="0.2">
      <c r="A5127" s="135">
        <v>39299</v>
      </c>
      <c r="B5127" s="1926" t="s">
        <v>14723</v>
      </c>
      <c r="C5127" s="1926" t="s">
        <v>39</v>
      </c>
      <c r="D5127" s="1926" t="s">
        <v>46</v>
      </c>
      <c r="E5127" s="1662">
        <v>24.29</v>
      </c>
    </row>
    <row r="5128" spans="1:5" x14ac:dyDescent="0.2">
      <c r="A5128" s="135">
        <v>9892</v>
      </c>
      <c r="B5128" s="1926" t="s">
        <v>14724</v>
      </c>
      <c r="C5128" s="1926" t="s">
        <v>39</v>
      </c>
      <c r="D5128" s="1926" t="s">
        <v>40</v>
      </c>
      <c r="E5128" s="1662">
        <v>4.74</v>
      </c>
    </row>
    <row r="5129" spans="1:5" x14ac:dyDescent="0.2">
      <c r="A5129" s="135">
        <v>9893</v>
      </c>
      <c r="B5129" s="1926" t="s">
        <v>14725</v>
      </c>
      <c r="C5129" s="1926" t="s">
        <v>39</v>
      </c>
      <c r="D5129" s="1926" t="s">
        <v>40</v>
      </c>
      <c r="E5129" s="1662">
        <v>64.38</v>
      </c>
    </row>
    <row r="5130" spans="1:5" x14ac:dyDescent="0.2">
      <c r="A5130" s="135">
        <v>9901</v>
      </c>
      <c r="B5130" s="1926" t="s">
        <v>14726</v>
      </c>
      <c r="C5130" s="1926" t="s">
        <v>39</v>
      </c>
      <c r="D5130" s="1926" t="s">
        <v>40</v>
      </c>
      <c r="E5130" s="1662">
        <v>28.57</v>
      </c>
    </row>
    <row r="5131" spans="1:5" x14ac:dyDescent="0.2">
      <c r="A5131" s="135">
        <v>9896</v>
      </c>
      <c r="B5131" s="1926" t="s">
        <v>14727</v>
      </c>
      <c r="C5131" s="1926" t="s">
        <v>39</v>
      </c>
      <c r="D5131" s="1926" t="s">
        <v>40</v>
      </c>
      <c r="E5131" s="1662">
        <v>25.75</v>
      </c>
    </row>
    <row r="5132" spans="1:5" x14ac:dyDescent="0.2">
      <c r="A5132" s="135">
        <v>9900</v>
      </c>
      <c r="B5132" s="1926" t="s">
        <v>14728</v>
      </c>
      <c r="C5132" s="1926" t="s">
        <v>39</v>
      </c>
      <c r="D5132" s="1926" t="s">
        <v>40</v>
      </c>
      <c r="E5132" s="1662">
        <v>15.62</v>
      </c>
    </row>
    <row r="5133" spans="1:5" x14ac:dyDescent="0.2">
      <c r="A5133" s="135">
        <v>9898</v>
      </c>
      <c r="B5133" s="1926" t="s">
        <v>14729</v>
      </c>
      <c r="C5133" s="1926" t="s">
        <v>39</v>
      </c>
      <c r="D5133" s="1926" t="s">
        <v>40</v>
      </c>
      <c r="E5133" s="1662">
        <v>132.38</v>
      </c>
    </row>
    <row r="5134" spans="1:5" x14ac:dyDescent="0.2">
      <c r="A5134" s="135">
        <v>9899</v>
      </c>
      <c r="B5134" s="1926" t="s">
        <v>14730</v>
      </c>
      <c r="C5134" s="1926" t="s">
        <v>39</v>
      </c>
      <c r="D5134" s="1926" t="s">
        <v>40</v>
      </c>
      <c r="E5134" s="1662">
        <v>8.5299999999999994</v>
      </c>
    </row>
    <row r="5135" spans="1:5" x14ac:dyDescent="0.2">
      <c r="A5135" s="135">
        <v>9902</v>
      </c>
      <c r="B5135" s="1926" t="s">
        <v>14731</v>
      </c>
      <c r="C5135" s="1926" t="s">
        <v>39</v>
      </c>
      <c r="D5135" s="1926" t="s">
        <v>40</v>
      </c>
      <c r="E5135" s="1662">
        <v>167.64</v>
      </c>
    </row>
    <row r="5136" spans="1:5" x14ac:dyDescent="0.2">
      <c r="A5136" s="135">
        <v>9908</v>
      </c>
      <c r="B5136" s="1926" t="s">
        <v>14732</v>
      </c>
      <c r="C5136" s="1926" t="s">
        <v>39</v>
      </c>
      <c r="D5136" s="1926" t="s">
        <v>40</v>
      </c>
      <c r="E5136" s="1662">
        <v>334.26</v>
      </c>
    </row>
    <row r="5137" spans="1:5" x14ac:dyDescent="0.2">
      <c r="A5137" s="135">
        <v>9905</v>
      </c>
      <c r="B5137" s="1926" t="s">
        <v>14733</v>
      </c>
      <c r="C5137" s="1926" t="s">
        <v>39</v>
      </c>
      <c r="D5137" s="1926" t="s">
        <v>40</v>
      </c>
      <c r="E5137" s="1662">
        <v>5.58</v>
      </c>
    </row>
    <row r="5138" spans="1:5" x14ac:dyDescent="0.2">
      <c r="A5138" s="135">
        <v>9906</v>
      </c>
      <c r="B5138" s="1926" t="s">
        <v>14734</v>
      </c>
      <c r="C5138" s="1926" t="s">
        <v>39</v>
      </c>
      <c r="D5138" s="1926" t="s">
        <v>40</v>
      </c>
      <c r="E5138" s="1662">
        <v>6.69</v>
      </c>
    </row>
    <row r="5139" spans="1:5" x14ac:dyDescent="0.2">
      <c r="A5139" s="135">
        <v>9895</v>
      </c>
      <c r="B5139" s="1926" t="s">
        <v>14735</v>
      </c>
      <c r="C5139" s="1926" t="s">
        <v>39</v>
      </c>
      <c r="D5139" s="1926" t="s">
        <v>40</v>
      </c>
      <c r="E5139" s="1662">
        <v>10.98</v>
      </c>
    </row>
    <row r="5140" spans="1:5" x14ac:dyDescent="0.2">
      <c r="A5140" s="135">
        <v>9894</v>
      </c>
      <c r="B5140" s="1926" t="s">
        <v>14736</v>
      </c>
      <c r="C5140" s="1926" t="s">
        <v>39</v>
      </c>
      <c r="D5140" s="1926" t="s">
        <v>40</v>
      </c>
      <c r="E5140" s="1662">
        <v>21.39</v>
      </c>
    </row>
    <row r="5141" spans="1:5" x14ac:dyDescent="0.2">
      <c r="A5141" s="135">
        <v>9897</v>
      </c>
      <c r="B5141" s="1926" t="s">
        <v>14737</v>
      </c>
      <c r="C5141" s="1926" t="s">
        <v>39</v>
      </c>
      <c r="D5141" s="1926" t="s">
        <v>40</v>
      </c>
      <c r="E5141" s="1662">
        <v>23.16</v>
      </c>
    </row>
    <row r="5142" spans="1:5" x14ac:dyDescent="0.2">
      <c r="A5142" s="135">
        <v>9910</v>
      </c>
      <c r="B5142" s="1926" t="s">
        <v>14738</v>
      </c>
      <c r="C5142" s="1926" t="s">
        <v>39</v>
      </c>
      <c r="D5142" s="1926" t="s">
        <v>40</v>
      </c>
      <c r="E5142" s="1662">
        <v>58.29</v>
      </c>
    </row>
    <row r="5143" spans="1:5" x14ac:dyDescent="0.2">
      <c r="A5143" s="135">
        <v>9909</v>
      </c>
      <c r="B5143" s="1926" t="s">
        <v>14739</v>
      </c>
      <c r="C5143" s="1926" t="s">
        <v>39</v>
      </c>
      <c r="D5143" s="1926" t="s">
        <v>40</v>
      </c>
      <c r="E5143" s="1662">
        <v>117.63</v>
      </c>
    </row>
    <row r="5144" spans="1:5" x14ac:dyDescent="0.2">
      <c r="A5144" s="135">
        <v>9907</v>
      </c>
      <c r="B5144" s="1926" t="s">
        <v>14740</v>
      </c>
      <c r="C5144" s="1926" t="s">
        <v>39</v>
      </c>
      <c r="D5144" s="1926" t="s">
        <v>40</v>
      </c>
      <c r="E5144" s="1662">
        <v>180.86</v>
      </c>
    </row>
    <row r="5145" spans="1:5" x14ac:dyDescent="0.2">
      <c r="A5145" s="135">
        <v>20973</v>
      </c>
      <c r="B5145" s="1926" t="s">
        <v>14741</v>
      </c>
      <c r="C5145" s="1926" t="s">
        <v>39</v>
      </c>
      <c r="D5145" s="1926" t="s">
        <v>40</v>
      </c>
      <c r="E5145" s="1662">
        <v>68.42</v>
      </c>
    </row>
    <row r="5146" spans="1:5" x14ac:dyDescent="0.2">
      <c r="A5146" s="135">
        <v>20974</v>
      </c>
      <c r="B5146" s="1926" t="s">
        <v>14742</v>
      </c>
      <c r="C5146" s="1926" t="s">
        <v>39</v>
      </c>
      <c r="D5146" s="1926" t="s">
        <v>40</v>
      </c>
      <c r="E5146" s="1662">
        <v>97.89</v>
      </c>
    </row>
    <row r="5147" spans="1:5" x14ac:dyDescent="0.2">
      <c r="A5147" s="135">
        <v>37989</v>
      </c>
      <c r="B5147" s="1926" t="s">
        <v>14743</v>
      </c>
      <c r="C5147" s="1926" t="s">
        <v>39</v>
      </c>
      <c r="D5147" s="1926" t="s">
        <v>40</v>
      </c>
      <c r="E5147" s="1662">
        <v>6.01</v>
      </c>
    </row>
    <row r="5148" spans="1:5" x14ac:dyDescent="0.2">
      <c r="A5148" s="135">
        <v>37990</v>
      </c>
      <c r="B5148" s="1926" t="s">
        <v>14744</v>
      </c>
      <c r="C5148" s="1926" t="s">
        <v>39</v>
      </c>
      <c r="D5148" s="1926" t="s">
        <v>40</v>
      </c>
      <c r="E5148" s="1662">
        <v>6.98</v>
      </c>
    </row>
    <row r="5149" spans="1:5" x14ac:dyDescent="0.2">
      <c r="A5149" s="135">
        <v>37991</v>
      </c>
      <c r="B5149" s="1926" t="s">
        <v>14745</v>
      </c>
      <c r="C5149" s="1926" t="s">
        <v>39</v>
      </c>
      <c r="D5149" s="1926" t="s">
        <v>40</v>
      </c>
      <c r="E5149" s="1662">
        <v>11.05</v>
      </c>
    </row>
    <row r="5150" spans="1:5" x14ac:dyDescent="0.2">
      <c r="A5150" s="135">
        <v>37992</v>
      </c>
      <c r="B5150" s="1926" t="s">
        <v>14746</v>
      </c>
      <c r="C5150" s="1926" t="s">
        <v>39</v>
      </c>
      <c r="D5150" s="1926" t="s">
        <v>40</v>
      </c>
      <c r="E5150" s="1662">
        <v>16.87</v>
      </c>
    </row>
    <row r="5151" spans="1:5" x14ac:dyDescent="0.2">
      <c r="A5151" s="135">
        <v>37993</v>
      </c>
      <c r="B5151" s="1926" t="s">
        <v>14747</v>
      </c>
      <c r="C5151" s="1926" t="s">
        <v>39</v>
      </c>
      <c r="D5151" s="1926" t="s">
        <v>40</v>
      </c>
      <c r="E5151" s="1662">
        <v>25.05</v>
      </c>
    </row>
    <row r="5152" spans="1:5" x14ac:dyDescent="0.2">
      <c r="A5152" s="135">
        <v>37994</v>
      </c>
      <c r="B5152" s="1926" t="s">
        <v>14748</v>
      </c>
      <c r="C5152" s="1926" t="s">
        <v>39</v>
      </c>
      <c r="D5152" s="1926" t="s">
        <v>40</v>
      </c>
      <c r="E5152" s="1662">
        <v>60.2</v>
      </c>
    </row>
    <row r="5153" spans="1:5" x14ac:dyDescent="0.2">
      <c r="A5153" s="135">
        <v>37995</v>
      </c>
      <c r="B5153" s="1926" t="s">
        <v>14749</v>
      </c>
      <c r="C5153" s="1926" t="s">
        <v>39</v>
      </c>
      <c r="D5153" s="1926" t="s">
        <v>40</v>
      </c>
      <c r="E5153" s="1662">
        <v>87.37</v>
      </c>
    </row>
    <row r="5154" spans="1:5" x14ac:dyDescent="0.2">
      <c r="A5154" s="135">
        <v>37996</v>
      </c>
      <c r="B5154" s="1926" t="s">
        <v>14750</v>
      </c>
      <c r="C5154" s="1926" t="s">
        <v>39</v>
      </c>
      <c r="D5154" s="1926" t="s">
        <v>40</v>
      </c>
      <c r="E5154" s="1662">
        <v>128.82</v>
      </c>
    </row>
    <row r="5155" spans="1:5" x14ac:dyDescent="0.2">
      <c r="A5155" s="135">
        <v>13883</v>
      </c>
      <c r="B5155" s="1926" t="s">
        <v>14751</v>
      </c>
      <c r="C5155" s="1926" t="s">
        <v>39</v>
      </c>
      <c r="D5155" s="1926" t="s">
        <v>46</v>
      </c>
      <c r="E5155" s="1662">
        <v>83655.820000000007</v>
      </c>
    </row>
    <row r="5156" spans="1:5" x14ac:dyDescent="0.2">
      <c r="A5156" s="135">
        <v>38604</v>
      </c>
      <c r="B5156" s="1926" t="s">
        <v>14752</v>
      </c>
      <c r="C5156" s="1926" t="s">
        <v>39</v>
      </c>
      <c r="D5156" s="1926" t="s">
        <v>46</v>
      </c>
      <c r="E5156" s="1662">
        <v>104192.22</v>
      </c>
    </row>
    <row r="5157" spans="1:5" x14ac:dyDescent="0.2">
      <c r="A5157" s="135">
        <v>10601</v>
      </c>
      <c r="B5157" s="1926" t="s">
        <v>14753</v>
      </c>
      <c r="C5157" s="1926" t="s">
        <v>39</v>
      </c>
      <c r="D5157" s="1926" t="s">
        <v>46</v>
      </c>
      <c r="E5157" s="1662">
        <v>2026746.48</v>
      </c>
    </row>
    <row r="5158" spans="1:5" x14ac:dyDescent="0.2">
      <c r="A5158" s="135">
        <v>26034</v>
      </c>
      <c r="B5158" s="1926" t="s">
        <v>14754</v>
      </c>
      <c r="C5158" s="1926" t="s">
        <v>39</v>
      </c>
      <c r="D5158" s="1926" t="s">
        <v>46</v>
      </c>
      <c r="E5158" s="1662">
        <v>5336351.95</v>
      </c>
    </row>
    <row r="5159" spans="1:5" x14ac:dyDescent="0.2">
      <c r="A5159" s="135">
        <v>13894</v>
      </c>
      <c r="B5159" s="1926" t="s">
        <v>14755</v>
      </c>
      <c r="C5159" s="1926" t="s">
        <v>39</v>
      </c>
      <c r="D5159" s="1926" t="s">
        <v>46</v>
      </c>
      <c r="E5159" s="1662">
        <v>392649.25</v>
      </c>
    </row>
    <row r="5160" spans="1:5" x14ac:dyDescent="0.2">
      <c r="A5160" s="135">
        <v>13895</v>
      </c>
      <c r="B5160" s="1926" t="s">
        <v>14756</v>
      </c>
      <c r="C5160" s="1926" t="s">
        <v>39</v>
      </c>
      <c r="D5160" s="1926" t="s">
        <v>46</v>
      </c>
      <c r="E5160" s="1662">
        <v>527982.35</v>
      </c>
    </row>
    <row r="5161" spans="1:5" x14ac:dyDescent="0.2">
      <c r="A5161" s="135">
        <v>13892</v>
      </c>
      <c r="B5161" s="1926" t="s">
        <v>14757</v>
      </c>
      <c r="C5161" s="1926" t="s">
        <v>39</v>
      </c>
      <c r="D5161" s="1926" t="s">
        <v>46</v>
      </c>
      <c r="E5161" s="1662">
        <v>647029.46</v>
      </c>
    </row>
    <row r="5162" spans="1:5" x14ac:dyDescent="0.2">
      <c r="A5162" s="135">
        <v>9914</v>
      </c>
      <c r="B5162" s="1926" t="s">
        <v>14758</v>
      </c>
      <c r="C5162" s="1926" t="s">
        <v>39</v>
      </c>
      <c r="D5162" s="1926" t="s">
        <v>46</v>
      </c>
      <c r="E5162" s="1662">
        <v>700000</v>
      </c>
    </row>
    <row r="5163" spans="1:5" x14ac:dyDescent="0.2">
      <c r="A5163" s="135">
        <v>36485</v>
      </c>
      <c r="B5163" s="1926" t="s">
        <v>14759</v>
      </c>
      <c r="C5163" s="1926" t="s">
        <v>39</v>
      </c>
      <c r="D5163" s="1926" t="s">
        <v>46</v>
      </c>
      <c r="E5163" s="1662">
        <v>424438.89</v>
      </c>
    </row>
    <row r="5164" spans="1:5" x14ac:dyDescent="0.2">
      <c r="A5164" s="135">
        <v>9912</v>
      </c>
      <c r="B5164" s="1926" t="s">
        <v>14760</v>
      </c>
      <c r="C5164" s="1926" t="s">
        <v>39</v>
      </c>
      <c r="D5164" s="1926" t="s">
        <v>46</v>
      </c>
      <c r="E5164" s="1662">
        <v>1650000</v>
      </c>
    </row>
    <row r="5165" spans="1:5" x14ac:dyDescent="0.2">
      <c r="A5165" s="135">
        <v>9921</v>
      </c>
      <c r="B5165" s="1926" t="s">
        <v>14761</v>
      </c>
      <c r="C5165" s="1926" t="s">
        <v>39</v>
      </c>
      <c r="D5165" s="1926" t="s">
        <v>46</v>
      </c>
      <c r="E5165" s="1662">
        <v>851148.04</v>
      </c>
    </row>
    <row r="5166" spans="1:5" x14ac:dyDescent="0.2">
      <c r="A5166" s="135">
        <v>21112</v>
      </c>
      <c r="B5166" s="1926" t="s">
        <v>14762</v>
      </c>
      <c r="C5166" s="1926" t="s">
        <v>39</v>
      </c>
      <c r="D5166" s="1926" t="s">
        <v>40</v>
      </c>
      <c r="E5166" s="1662">
        <v>152.55000000000001</v>
      </c>
    </row>
    <row r="5167" spans="1:5" x14ac:dyDescent="0.2">
      <c r="A5167" s="135">
        <v>10228</v>
      </c>
      <c r="B5167" s="1926" t="s">
        <v>14763</v>
      </c>
      <c r="C5167" s="1926" t="s">
        <v>39</v>
      </c>
      <c r="D5167" s="1926" t="s">
        <v>43</v>
      </c>
      <c r="E5167" s="1662">
        <v>177.22</v>
      </c>
    </row>
    <row r="5168" spans="1:5" x14ac:dyDescent="0.2">
      <c r="A5168" s="135">
        <v>11781</v>
      </c>
      <c r="B5168" s="1926" t="s">
        <v>14764</v>
      </c>
      <c r="C5168" s="1926" t="s">
        <v>39</v>
      </c>
      <c r="D5168" s="1926" t="s">
        <v>40</v>
      </c>
      <c r="E5168" s="1662">
        <v>143.57</v>
      </c>
    </row>
    <row r="5169" spans="1:5" x14ac:dyDescent="0.2">
      <c r="A5169" s="135">
        <v>11746</v>
      </c>
      <c r="B5169" s="1926" t="s">
        <v>14765</v>
      </c>
      <c r="C5169" s="1926" t="s">
        <v>39</v>
      </c>
      <c r="D5169" s="1926" t="s">
        <v>40</v>
      </c>
      <c r="E5169" s="1662">
        <v>62.1</v>
      </c>
    </row>
    <row r="5170" spans="1:5" x14ac:dyDescent="0.2">
      <c r="A5170" s="135">
        <v>11751</v>
      </c>
      <c r="B5170" s="1926" t="s">
        <v>14766</v>
      </c>
      <c r="C5170" s="1926" t="s">
        <v>39</v>
      </c>
      <c r="D5170" s="1926" t="s">
        <v>40</v>
      </c>
      <c r="E5170" s="1662">
        <v>111.53</v>
      </c>
    </row>
    <row r="5171" spans="1:5" x14ac:dyDescent="0.2">
      <c r="A5171" s="135">
        <v>11750</v>
      </c>
      <c r="B5171" s="1926" t="s">
        <v>14767</v>
      </c>
      <c r="C5171" s="1926" t="s">
        <v>39</v>
      </c>
      <c r="D5171" s="1926" t="s">
        <v>40</v>
      </c>
      <c r="E5171" s="1662">
        <v>92.56</v>
      </c>
    </row>
    <row r="5172" spans="1:5" x14ac:dyDescent="0.2">
      <c r="A5172" s="135">
        <v>11748</v>
      </c>
      <c r="B5172" s="1926" t="s">
        <v>14768</v>
      </c>
      <c r="C5172" s="1926" t="s">
        <v>39</v>
      </c>
      <c r="D5172" s="1926" t="s">
        <v>40</v>
      </c>
      <c r="E5172" s="1662">
        <v>39.85</v>
      </c>
    </row>
    <row r="5173" spans="1:5" x14ac:dyDescent="0.2">
      <c r="A5173" s="135">
        <v>11747</v>
      </c>
      <c r="B5173" s="1926" t="s">
        <v>14769</v>
      </c>
      <c r="C5173" s="1926" t="s">
        <v>39</v>
      </c>
      <c r="D5173" s="1926" t="s">
        <v>40</v>
      </c>
      <c r="E5173" s="1662">
        <v>171.98</v>
      </c>
    </row>
    <row r="5174" spans="1:5" x14ac:dyDescent="0.2">
      <c r="A5174" s="135">
        <v>11749</v>
      </c>
      <c r="B5174" s="1926" t="s">
        <v>14770</v>
      </c>
      <c r="C5174" s="1926" t="s">
        <v>39</v>
      </c>
      <c r="D5174" s="1926" t="s">
        <v>40</v>
      </c>
      <c r="E5174" s="1662">
        <v>46</v>
      </c>
    </row>
    <row r="5175" spans="1:5" x14ac:dyDescent="0.2">
      <c r="A5175" s="135">
        <v>10236</v>
      </c>
      <c r="B5175" s="1926" t="s">
        <v>14771</v>
      </c>
      <c r="C5175" s="1926" t="s">
        <v>39</v>
      </c>
      <c r="D5175" s="1926" t="s">
        <v>46</v>
      </c>
      <c r="E5175" s="1662">
        <v>62.04</v>
      </c>
    </row>
    <row r="5176" spans="1:5" x14ac:dyDescent="0.2">
      <c r="A5176" s="135">
        <v>10233</v>
      </c>
      <c r="B5176" s="1926" t="s">
        <v>14772</v>
      </c>
      <c r="C5176" s="1926" t="s">
        <v>39</v>
      </c>
      <c r="D5176" s="1926" t="s">
        <v>46</v>
      </c>
      <c r="E5176" s="1662">
        <v>58.13</v>
      </c>
    </row>
    <row r="5177" spans="1:5" x14ac:dyDescent="0.2">
      <c r="A5177" s="135">
        <v>10234</v>
      </c>
      <c r="B5177" s="1926" t="s">
        <v>14773</v>
      </c>
      <c r="C5177" s="1926" t="s">
        <v>39</v>
      </c>
      <c r="D5177" s="1926" t="s">
        <v>46</v>
      </c>
      <c r="E5177" s="1662">
        <v>36.619999999999997</v>
      </c>
    </row>
    <row r="5178" spans="1:5" x14ac:dyDescent="0.2">
      <c r="A5178" s="135">
        <v>10231</v>
      </c>
      <c r="B5178" s="1926" t="s">
        <v>14774</v>
      </c>
      <c r="C5178" s="1926" t="s">
        <v>39</v>
      </c>
      <c r="D5178" s="1926" t="s">
        <v>46</v>
      </c>
      <c r="E5178" s="1662">
        <v>167.93</v>
      </c>
    </row>
    <row r="5179" spans="1:5" x14ac:dyDescent="0.2">
      <c r="A5179" s="135">
        <v>10232</v>
      </c>
      <c r="B5179" s="1926" t="s">
        <v>14775</v>
      </c>
      <c r="C5179" s="1926" t="s">
        <v>39</v>
      </c>
      <c r="D5179" s="1926" t="s">
        <v>46</v>
      </c>
      <c r="E5179" s="1662">
        <v>93.97</v>
      </c>
    </row>
    <row r="5180" spans="1:5" x14ac:dyDescent="0.2">
      <c r="A5180" s="135">
        <v>10229</v>
      </c>
      <c r="B5180" s="1926" t="s">
        <v>14776</v>
      </c>
      <c r="C5180" s="1926" t="s">
        <v>39</v>
      </c>
      <c r="D5180" s="1926" t="s">
        <v>46</v>
      </c>
      <c r="E5180" s="1662">
        <v>33.119999999999997</v>
      </c>
    </row>
    <row r="5181" spans="1:5" x14ac:dyDescent="0.2">
      <c r="A5181" s="135">
        <v>10235</v>
      </c>
      <c r="B5181" s="1926" t="s">
        <v>14777</v>
      </c>
      <c r="C5181" s="1926" t="s">
        <v>39</v>
      </c>
      <c r="D5181" s="1926" t="s">
        <v>46</v>
      </c>
      <c r="E5181" s="1662">
        <v>230.22</v>
      </c>
    </row>
    <row r="5182" spans="1:5" x14ac:dyDescent="0.2">
      <c r="A5182" s="135">
        <v>10230</v>
      </c>
      <c r="B5182" s="1926" t="s">
        <v>14778</v>
      </c>
      <c r="C5182" s="1926" t="s">
        <v>39</v>
      </c>
      <c r="D5182" s="1926" t="s">
        <v>46</v>
      </c>
      <c r="E5182" s="1662">
        <v>405.17</v>
      </c>
    </row>
    <row r="5183" spans="1:5" x14ac:dyDescent="0.2">
      <c r="A5183" s="135">
        <v>10409</v>
      </c>
      <c r="B5183" s="1926" t="s">
        <v>14779</v>
      </c>
      <c r="C5183" s="1926" t="s">
        <v>39</v>
      </c>
      <c r="D5183" s="1926" t="s">
        <v>46</v>
      </c>
      <c r="E5183" s="1662">
        <v>120.37</v>
      </c>
    </row>
    <row r="5184" spans="1:5" x14ac:dyDescent="0.2">
      <c r="A5184" s="135">
        <v>10411</v>
      </c>
      <c r="B5184" s="1926" t="s">
        <v>14780</v>
      </c>
      <c r="C5184" s="1926" t="s">
        <v>39</v>
      </c>
      <c r="D5184" s="1926" t="s">
        <v>46</v>
      </c>
      <c r="E5184" s="1662">
        <v>107.71</v>
      </c>
    </row>
    <row r="5185" spans="1:5" x14ac:dyDescent="0.2">
      <c r="A5185" s="135">
        <v>10404</v>
      </c>
      <c r="B5185" s="1926" t="s">
        <v>14781</v>
      </c>
      <c r="C5185" s="1926" t="s">
        <v>39</v>
      </c>
      <c r="D5185" s="1926" t="s">
        <v>46</v>
      </c>
      <c r="E5185" s="1662">
        <v>43.68</v>
      </c>
    </row>
    <row r="5186" spans="1:5" x14ac:dyDescent="0.2">
      <c r="A5186" s="135">
        <v>10410</v>
      </c>
      <c r="B5186" s="1926" t="s">
        <v>14782</v>
      </c>
      <c r="C5186" s="1926" t="s">
        <v>39</v>
      </c>
      <c r="D5186" s="1926" t="s">
        <v>46</v>
      </c>
      <c r="E5186" s="1662">
        <v>71.95</v>
      </c>
    </row>
    <row r="5187" spans="1:5" x14ac:dyDescent="0.2">
      <c r="A5187" s="135">
        <v>10405</v>
      </c>
      <c r="B5187" s="1926" t="s">
        <v>14783</v>
      </c>
      <c r="C5187" s="1926" t="s">
        <v>39</v>
      </c>
      <c r="D5187" s="1926" t="s">
        <v>46</v>
      </c>
      <c r="E5187" s="1662">
        <v>241.16</v>
      </c>
    </row>
    <row r="5188" spans="1:5" x14ac:dyDescent="0.2">
      <c r="A5188" s="135">
        <v>10408</v>
      </c>
      <c r="B5188" s="1926" t="s">
        <v>14784</v>
      </c>
      <c r="C5188" s="1926" t="s">
        <v>39</v>
      </c>
      <c r="D5188" s="1926" t="s">
        <v>46</v>
      </c>
      <c r="E5188" s="1662">
        <v>168.64</v>
      </c>
    </row>
    <row r="5189" spans="1:5" x14ac:dyDescent="0.2">
      <c r="A5189" s="135">
        <v>10412</v>
      </c>
      <c r="B5189" s="1926" t="s">
        <v>14785</v>
      </c>
      <c r="C5189" s="1926" t="s">
        <v>39</v>
      </c>
      <c r="D5189" s="1926" t="s">
        <v>46</v>
      </c>
      <c r="E5189" s="1662">
        <v>52.93</v>
      </c>
    </row>
    <row r="5190" spans="1:5" x14ac:dyDescent="0.2">
      <c r="A5190" s="135">
        <v>10406</v>
      </c>
      <c r="B5190" s="1926" t="s">
        <v>14786</v>
      </c>
      <c r="C5190" s="1926" t="s">
        <v>39</v>
      </c>
      <c r="D5190" s="1926" t="s">
        <v>46</v>
      </c>
      <c r="E5190" s="1662">
        <v>333.1</v>
      </c>
    </row>
    <row r="5191" spans="1:5" x14ac:dyDescent="0.2">
      <c r="A5191" s="135">
        <v>10407</v>
      </c>
      <c r="B5191" s="1926" t="s">
        <v>14787</v>
      </c>
      <c r="C5191" s="1926" t="s">
        <v>39</v>
      </c>
      <c r="D5191" s="1926" t="s">
        <v>46</v>
      </c>
      <c r="E5191" s="1662">
        <v>516.63</v>
      </c>
    </row>
    <row r="5192" spans="1:5" x14ac:dyDescent="0.2">
      <c r="A5192" s="135">
        <v>10416</v>
      </c>
      <c r="B5192" s="1926" t="s">
        <v>14788</v>
      </c>
      <c r="C5192" s="1926" t="s">
        <v>39</v>
      </c>
      <c r="D5192" s="1926" t="s">
        <v>46</v>
      </c>
      <c r="E5192" s="1662">
        <v>64.08</v>
      </c>
    </row>
    <row r="5193" spans="1:5" x14ac:dyDescent="0.2">
      <c r="A5193" s="135">
        <v>10419</v>
      </c>
      <c r="B5193" s="1926" t="s">
        <v>14789</v>
      </c>
      <c r="C5193" s="1926" t="s">
        <v>39</v>
      </c>
      <c r="D5193" s="1926" t="s">
        <v>46</v>
      </c>
      <c r="E5193" s="1662">
        <v>55.62</v>
      </c>
    </row>
    <row r="5194" spans="1:5" x14ac:dyDescent="0.2">
      <c r="A5194" s="135">
        <v>21092</v>
      </c>
      <c r="B5194" s="1926" t="s">
        <v>14790</v>
      </c>
      <c r="C5194" s="1926" t="s">
        <v>39</v>
      </c>
      <c r="D5194" s="1926" t="s">
        <v>46</v>
      </c>
      <c r="E5194" s="1662">
        <v>31.8</v>
      </c>
    </row>
    <row r="5195" spans="1:5" x14ac:dyDescent="0.2">
      <c r="A5195" s="135">
        <v>10418</v>
      </c>
      <c r="B5195" s="1926" t="s">
        <v>14791</v>
      </c>
      <c r="C5195" s="1926" t="s">
        <v>39</v>
      </c>
      <c r="D5195" s="1926" t="s">
        <v>46</v>
      </c>
      <c r="E5195" s="1662">
        <v>37.07</v>
      </c>
    </row>
    <row r="5196" spans="1:5" x14ac:dyDescent="0.2">
      <c r="A5196" s="135">
        <v>12657</v>
      </c>
      <c r="B5196" s="1926" t="s">
        <v>14792</v>
      </c>
      <c r="C5196" s="1926" t="s">
        <v>39</v>
      </c>
      <c r="D5196" s="1926" t="s">
        <v>46</v>
      </c>
      <c r="E5196" s="1662">
        <v>149.62</v>
      </c>
    </row>
    <row r="5197" spans="1:5" x14ac:dyDescent="0.2">
      <c r="A5197" s="135">
        <v>10417</v>
      </c>
      <c r="B5197" s="1926" t="s">
        <v>14793</v>
      </c>
      <c r="C5197" s="1926" t="s">
        <v>39</v>
      </c>
      <c r="D5197" s="1926" t="s">
        <v>46</v>
      </c>
      <c r="E5197" s="1662">
        <v>93.37</v>
      </c>
    </row>
    <row r="5198" spans="1:5" x14ac:dyDescent="0.2">
      <c r="A5198" s="135">
        <v>10413</v>
      </c>
      <c r="B5198" s="1926" t="s">
        <v>14794</v>
      </c>
      <c r="C5198" s="1926" t="s">
        <v>39</v>
      </c>
      <c r="D5198" s="1926" t="s">
        <v>46</v>
      </c>
      <c r="E5198" s="1662">
        <v>33.93</v>
      </c>
    </row>
    <row r="5199" spans="1:5" x14ac:dyDescent="0.2">
      <c r="A5199" s="135">
        <v>10414</v>
      </c>
      <c r="B5199" s="1926" t="s">
        <v>14795</v>
      </c>
      <c r="C5199" s="1926" t="s">
        <v>39</v>
      </c>
      <c r="D5199" s="1926" t="s">
        <v>46</v>
      </c>
      <c r="E5199" s="1662">
        <v>204.31</v>
      </c>
    </row>
    <row r="5200" spans="1:5" x14ac:dyDescent="0.2">
      <c r="A5200" s="135">
        <v>10415</v>
      </c>
      <c r="B5200" s="1926" t="s">
        <v>14796</v>
      </c>
      <c r="C5200" s="1926" t="s">
        <v>39</v>
      </c>
      <c r="D5200" s="1926" t="s">
        <v>46</v>
      </c>
      <c r="E5200" s="1662">
        <v>354.6</v>
      </c>
    </row>
    <row r="5201" spans="1:5" x14ac:dyDescent="0.2">
      <c r="A5201" s="135">
        <v>38643</v>
      </c>
      <c r="B5201" s="1926" t="s">
        <v>14797</v>
      </c>
      <c r="C5201" s="1926" t="s">
        <v>39</v>
      </c>
      <c r="D5201" s="1926" t="s">
        <v>40</v>
      </c>
      <c r="E5201" s="1662">
        <v>27.92</v>
      </c>
    </row>
    <row r="5202" spans="1:5" x14ac:dyDescent="0.2">
      <c r="A5202" s="135">
        <v>6157</v>
      </c>
      <c r="B5202" s="1926" t="s">
        <v>14798</v>
      </c>
      <c r="C5202" s="1926" t="s">
        <v>39</v>
      </c>
      <c r="D5202" s="1926" t="s">
        <v>40</v>
      </c>
      <c r="E5202" s="1662">
        <v>38.14</v>
      </c>
    </row>
    <row r="5203" spans="1:5" x14ac:dyDescent="0.2">
      <c r="A5203" s="135">
        <v>37588</v>
      </c>
      <c r="B5203" s="1926" t="s">
        <v>14799</v>
      </c>
      <c r="C5203" s="1926" t="s">
        <v>39</v>
      </c>
      <c r="D5203" s="1926" t="s">
        <v>40</v>
      </c>
      <c r="E5203" s="1662">
        <v>20.29</v>
      </c>
    </row>
    <row r="5204" spans="1:5" x14ac:dyDescent="0.2">
      <c r="A5204" s="135">
        <v>6152</v>
      </c>
      <c r="B5204" s="1926" t="s">
        <v>14800</v>
      </c>
      <c r="C5204" s="1926" t="s">
        <v>39</v>
      </c>
      <c r="D5204" s="1926" t="s">
        <v>40</v>
      </c>
      <c r="E5204" s="1662">
        <v>2.64</v>
      </c>
    </row>
    <row r="5205" spans="1:5" x14ac:dyDescent="0.2">
      <c r="A5205" s="135">
        <v>6158</v>
      </c>
      <c r="B5205" s="1926" t="s">
        <v>14801</v>
      </c>
      <c r="C5205" s="1926" t="s">
        <v>39</v>
      </c>
      <c r="D5205" s="1926" t="s">
        <v>40</v>
      </c>
      <c r="E5205" s="1662">
        <v>3.19</v>
      </c>
    </row>
    <row r="5206" spans="1:5" x14ac:dyDescent="0.2">
      <c r="A5206" s="135">
        <v>6153</v>
      </c>
      <c r="B5206" s="1926" t="s">
        <v>14802</v>
      </c>
      <c r="C5206" s="1926" t="s">
        <v>39</v>
      </c>
      <c r="D5206" s="1926" t="s">
        <v>40</v>
      </c>
      <c r="E5206" s="1662">
        <v>2.48</v>
      </c>
    </row>
    <row r="5207" spans="1:5" x14ac:dyDescent="0.2">
      <c r="A5207" s="135">
        <v>6156</v>
      </c>
      <c r="B5207" s="1926" t="s">
        <v>14803</v>
      </c>
      <c r="C5207" s="1926" t="s">
        <v>39</v>
      </c>
      <c r="D5207" s="1926" t="s">
        <v>40</v>
      </c>
      <c r="E5207" s="1662">
        <v>3.15</v>
      </c>
    </row>
    <row r="5208" spans="1:5" x14ac:dyDescent="0.2">
      <c r="A5208" s="135">
        <v>6154</v>
      </c>
      <c r="B5208" s="1926" t="s">
        <v>14804</v>
      </c>
      <c r="C5208" s="1926" t="s">
        <v>39</v>
      </c>
      <c r="D5208" s="1926" t="s">
        <v>40</v>
      </c>
      <c r="E5208" s="1662">
        <v>5.93</v>
      </c>
    </row>
    <row r="5209" spans="1:5" x14ac:dyDescent="0.2">
      <c r="A5209" s="135">
        <v>6155</v>
      </c>
      <c r="B5209" s="1926" t="s">
        <v>14805</v>
      </c>
      <c r="C5209" s="1926" t="s">
        <v>39</v>
      </c>
      <c r="D5209" s="1926" t="s">
        <v>40</v>
      </c>
      <c r="E5209" s="1662">
        <v>12.28</v>
      </c>
    </row>
    <row r="5210" spans="1:5" x14ac:dyDescent="0.2">
      <c r="A5210" s="135">
        <v>38108</v>
      </c>
      <c r="B5210" s="1926" t="s">
        <v>14806</v>
      </c>
      <c r="C5210" s="1926" t="s">
        <v>39</v>
      </c>
      <c r="D5210" s="1926" t="s">
        <v>40</v>
      </c>
      <c r="E5210" s="1662">
        <v>44.27</v>
      </c>
    </row>
    <row r="5211" spans="1:5" x14ac:dyDescent="0.2">
      <c r="A5211" s="135">
        <v>38087</v>
      </c>
      <c r="B5211" s="1926" t="s">
        <v>14807</v>
      </c>
      <c r="C5211" s="1926" t="s">
        <v>39</v>
      </c>
      <c r="D5211" s="1926" t="s">
        <v>40</v>
      </c>
      <c r="E5211" s="1662">
        <v>56.94</v>
      </c>
    </row>
    <row r="5212" spans="1:5" x14ac:dyDescent="0.2">
      <c r="A5212" s="135">
        <v>38109</v>
      </c>
      <c r="B5212" s="1926" t="s">
        <v>14808</v>
      </c>
      <c r="C5212" s="1926" t="s">
        <v>39</v>
      </c>
      <c r="D5212" s="1926" t="s">
        <v>40</v>
      </c>
      <c r="E5212" s="1662">
        <v>70.75</v>
      </c>
    </row>
    <row r="5213" spans="1:5" x14ac:dyDescent="0.2">
      <c r="A5213" s="135">
        <v>38088</v>
      </c>
      <c r="B5213" s="1926" t="s">
        <v>14809</v>
      </c>
      <c r="C5213" s="1926" t="s">
        <v>39</v>
      </c>
      <c r="D5213" s="1926" t="s">
        <v>40</v>
      </c>
      <c r="E5213" s="1662">
        <v>74.39</v>
      </c>
    </row>
    <row r="5214" spans="1:5" x14ac:dyDescent="0.2">
      <c r="A5214" s="135">
        <v>38110</v>
      </c>
      <c r="B5214" s="1926" t="s">
        <v>14810</v>
      </c>
      <c r="C5214" s="1926" t="s">
        <v>39</v>
      </c>
      <c r="D5214" s="1926" t="s">
        <v>40</v>
      </c>
      <c r="E5214" s="1662">
        <v>27.21</v>
      </c>
    </row>
    <row r="5215" spans="1:5" x14ac:dyDescent="0.2">
      <c r="A5215" s="135">
        <v>38089</v>
      </c>
      <c r="B5215" s="1926" t="s">
        <v>14811</v>
      </c>
      <c r="C5215" s="1926" t="s">
        <v>39</v>
      </c>
      <c r="D5215" s="1926" t="s">
        <v>40</v>
      </c>
      <c r="E5215" s="1662">
        <v>47.42</v>
      </c>
    </row>
    <row r="5216" spans="1:5" x14ac:dyDescent="0.2">
      <c r="A5216" s="135">
        <v>38111</v>
      </c>
      <c r="B5216" s="1926" t="s">
        <v>14812</v>
      </c>
      <c r="C5216" s="1926" t="s">
        <v>39</v>
      </c>
      <c r="D5216" s="1926" t="s">
        <v>40</v>
      </c>
      <c r="E5216" s="1662">
        <v>30.43</v>
      </c>
    </row>
    <row r="5217" spans="1:5" x14ac:dyDescent="0.2">
      <c r="A5217" s="135">
        <v>38090</v>
      </c>
      <c r="B5217" s="1926" t="s">
        <v>14813</v>
      </c>
      <c r="C5217" s="1926" t="s">
        <v>39</v>
      </c>
      <c r="D5217" s="1926" t="s">
        <v>40</v>
      </c>
      <c r="E5217" s="1662">
        <v>49.01</v>
      </c>
    </row>
    <row r="5218" spans="1:5" x14ac:dyDescent="0.2">
      <c r="A5218" s="135">
        <v>11786</v>
      </c>
      <c r="B5218" s="1926" t="s">
        <v>14814</v>
      </c>
      <c r="C5218" s="1926" t="s">
        <v>39</v>
      </c>
      <c r="D5218" s="1926" t="s">
        <v>40</v>
      </c>
      <c r="E5218" s="1662">
        <v>252.49</v>
      </c>
    </row>
    <row r="5219" spans="1:5" x14ac:dyDescent="0.2">
      <c r="A5219" s="135">
        <v>13726</v>
      </c>
      <c r="B5219" s="1926" t="s">
        <v>14815</v>
      </c>
      <c r="C5219" s="1926" t="s">
        <v>39</v>
      </c>
      <c r="D5219" s="1926" t="s">
        <v>46</v>
      </c>
      <c r="E5219" s="1662">
        <v>35731.910000000003</v>
      </c>
    </row>
    <row r="5220" spans="1:5" x14ac:dyDescent="0.2">
      <c r="A5220" s="135">
        <v>38400</v>
      </c>
      <c r="B5220" s="1926" t="s">
        <v>14816</v>
      </c>
      <c r="C5220" s="1926" t="s">
        <v>39</v>
      </c>
      <c r="D5220" s="1926" t="s">
        <v>40</v>
      </c>
      <c r="E5220" s="1662">
        <v>15.28</v>
      </c>
    </row>
    <row r="5221" spans="1:5" x14ac:dyDescent="0.2">
      <c r="A5221" s="135">
        <v>12627</v>
      </c>
      <c r="B5221" s="1926" t="s">
        <v>14817</v>
      </c>
      <c r="C5221" s="1926" t="s">
        <v>39</v>
      </c>
      <c r="D5221" s="1926" t="s">
        <v>46</v>
      </c>
      <c r="E5221" s="1662">
        <v>0.33</v>
      </c>
    </row>
    <row r="5222" spans="1:5" x14ac:dyDescent="0.2">
      <c r="A5222" s="135">
        <v>6138</v>
      </c>
      <c r="B5222" s="1926" t="s">
        <v>14818</v>
      </c>
      <c r="C5222" s="1926" t="s">
        <v>39</v>
      </c>
      <c r="D5222" s="1926" t="s">
        <v>40</v>
      </c>
      <c r="E5222" s="1662">
        <v>1.89</v>
      </c>
    </row>
    <row r="5223" spans="1:5" x14ac:dyDescent="0.2">
      <c r="A5223" s="135">
        <v>39996</v>
      </c>
      <c r="B5223" s="1926" t="s">
        <v>14819</v>
      </c>
      <c r="C5223" s="1926" t="s">
        <v>47</v>
      </c>
      <c r="D5223" s="1926" t="s">
        <v>40</v>
      </c>
      <c r="E5223" s="1662">
        <v>2.04</v>
      </c>
    </row>
    <row r="5224" spans="1:5" x14ac:dyDescent="0.2">
      <c r="A5224" s="135">
        <v>10478</v>
      </c>
      <c r="B5224" s="1926" t="s">
        <v>14820</v>
      </c>
      <c r="C5224" s="1926" t="s">
        <v>49</v>
      </c>
      <c r="D5224" s="1926" t="s">
        <v>40</v>
      </c>
      <c r="E5224" s="1662">
        <v>29.13</v>
      </c>
    </row>
    <row r="5225" spans="1:5" x14ac:dyDescent="0.2">
      <c r="A5225" s="135">
        <v>10475</v>
      </c>
      <c r="B5225" s="1926" t="s">
        <v>14821</v>
      </c>
      <c r="C5225" s="1926" t="s">
        <v>49</v>
      </c>
      <c r="D5225" s="1926" t="s">
        <v>40</v>
      </c>
      <c r="E5225" s="1662">
        <v>25.62</v>
      </c>
    </row>
    <row r="5226" spans="1:5" x14ac:dyDescent="0.2">
      <c r="A5226" s="135">
        <v>10481</v>
      </c>
      <c r="B5226" s="1926" t="s">
        <v>14822</v>
      </c>
      <c r="C5226" s="1926" t="s">
        <v>49</v>
      </c>
      <c r="D5226" s="1926" t="s">
        <v>40</v>
      </c>
      <c r="E5226" s="1662">
        <v>27.94</v>
      </c>
    </row>
    <row r="5227" spans="1:5" x14ac:dyDescent="0.2">
      <c r="A5227" s="135">
        <v>4031</v>
      </c>
      <c r="B5227" s="1926" t="s">
        <v>14823</v>
      </c>
      <c r="C5227" s="1926" t="s">
        <v>45</v>
      </c>
      <c r="D5227" s="1926" t="s">
        <v>40</v>
      </c>
      <c r="E5227" s="1662">
        <v>24.99</v>
      </c>
    </row>
    <row r="5228" spans="1:5" x14ac:dyDescent="0.2">
      <c r="A5228" s="135">
        <v>4030</v>
      </c>
      <c r="B5228" s="1926" t="s">
        <v>14824</v>
      </c>
      <c r="C5228" s="1926" t="s">
        <v>45</v>
      </c>
      <c r="D5228" s="1926" t="s">
        <v>40</v>
      </c>
      <c r="E5228" s="1662">
        <v>5.31</v>
      </c>
    </row>
    <row r="5229" spans="1:5" x14ac:dyDescent="0.2">
      <c r="A5229" s="135">
        <v>39399</v>
      </c>
      <c r="B5229" s="1926" t="s">
        <v>14825</v>
      </c>
      <c r="C5229" s="1926" t="s">
        <v>39</v>
      </c>
      <c r="D5229" s="1926" t="s">
        <v>46</v>
      </c>
      <c r="E5229" s="1662">
        <v>975.91</v>
      </c>
    </row>
    <row r="5230" spans="1:5" x14ac:dyDescent="0.2">
      <c r="A5230" s="135">
        <v>39400</v>
      </c>
      <c r="B5230" s="1926" t="s">
        <v>14826</v>
      </c>
      <c r="C5230" s="1926" t="s">
        <v>39</v>
      </c>
      <c r="D5230" s="1926" t="s">
        <v>46</v>
      </c>
      <c r="E5230" s="1662">
        <v>1060.77</v>
      </c>
    </row>
    <row r="5231" spans="1:5" x14ac:dyDescent="0.2">
      <c r="A5231" s="135">
        <v>39401</v>
      </c>
      <c r="B5231" s="1926" t="s">
        <v>14827</v>
      </c>
      <c r="C5231" s="1926" t="s">
        <v>39</v>
      </c>
      <c r="D5231" s="1926" t="s">
        <v>46</v>
      </c>
      <c r="E5231" s="1662">
        <v>1189.93</v>
      </c>
    </row>
    <row r="5232" spans="1:5" x14ac:dyDescent="0.2">
      <c r="A5232" s="135">
        <v>11652</v>
      </c>
      <c r="B5232" s="1926" t="s">
        <v>14828</v>
      </c>
      <c r="C5232" s="1926" t="s">
        <v>39</v>
      </c>
      <c r="D5232" s="1926" t="s">
        <v>46</v>
      </c>
      <c r="E5232" s="1662">
        <v>2560</v>
      </c>
    </row>
    <row r="5233" spans="1:5" x14ac:dyDescent="0.2">
      <c r="A5233" s="135">
        <v>13896</v>
      </c>
      <c r="B5233" s="1926" t="s">
        <v>14829</v>
      </c>
      <c r="C5233" s="1926" t="s">
        <v>39</v>
      </c>
      <c r="D5233" s="1926" t="s">
        <v>46</v>
      </c>
      <c r="E5233" s="1662">
        <v>2296.54</v>
      </c>
    </row>
    <row r="5234" spans="1:5" x14ac:dyDescent="0.2">
      <c r="A5234" s="135">
        <v>13475</v>
      </c>
      <c r="B5234" s="1926" t="s">
        <v>14830</v>
      </c>
      <c r="C5234" s="1926" t="s">
        <v>39</v>
      </c>
      <c r="D5234" s="1926" t="s">
        <v>46</v>
      </c>
      <c r="E5234" s="1662">
        <v>2797.46</v>
      </c>
    </row>
    <row r="5235" spans="1:5" x14ac:dyDescent="0.2">
      <c r="A5235" s="135">
        <v>25971</v>
      </c>
      <c r="B5235" s="1926" t="s">
        <v>14831</v>
      </c>
      <c r="C5235" s="1926" t="s">
        <v>39</v>
      </c>
      <c r="D5235" s="1926" t="s">
        <v>46</v>
      </c>
      <c r="E5235" s="1662">
        <v>3005199.9</v>
      </c>
    </row>
    <row r="5236" spans="1:5" x14ac:dyDescent="0.2">
      <c r="A5236" s="135">
        <v>25970</v>
      </c>
      <c r="B5236" s="1926" t="s">
        <v>14832</v>
      </c>
      <c r="C5236" s="1926" t="s">
        <v>39</v>
      </c>
      <c r="D5236" s="1926" t="s">
        <v>46</v>
      </c>
      <c r="E5236" s="1662">
        <v>1265154.28</v>
      </c>
    </row>
    <row r="5237" spans="1:5" x14ac:dyDescent="0.2">
      <c r="A5237" s="135">
        <v>13476</v>
      </c>
      <c r="B5237" s="1926" t="s">
        <v>14833</v>
      </c>
      <c r="C5237" s="1926" t="s">
        <v>39</v>
      </c>
      <c r="D5237" s="1926" t="s">
        <v>46</v>
      </c>
      <c r="E5237" s="1662">
        <v>1274322.1499999999</v>
      </c>
    </row>
    <row r="5238" spans="1:5" x14ac:dyDescent="0.2">
      <c r="A5238" s="135">
        <v>10488</v>
      </c>
      <c r="B5238" s="1926" t="s">
        <v>14834</v>
      </c>
      <c r="C5238" s="1926" t="s">
        <v>39</v>
      </c>
      <c r="D5238" s="1926" t="s">
        <v>46</v>
      </c>
      <c r="E5238" s="1662">
        <v>1543855</v>
      </c>
    </row>
    <row r="5239" spans="1:5" x14ac:dyDescent="0.2">
      <c r="A5239" s="135">
        <v>13606</v>
      </c>
      <c r="B5239" s="1926" t="s">
        <v>14835</v>
      </c>
      <c r="C5239" s="1926" t="s">
        <v>39</v>
      </c>
      <c r="D5239" s="1926" t="s">
        <v>46</v>
      </c>
      <c r="E5239" s="1662">
        <v>1367833.45</v>
      </c>
    </row>
    <row r="5240" spans="1:5" x14ac:dyDescent="0.2">
      <c r="A5240" s="135">
        <v>10489</v>
      </c>
      <c r="B5240" s="1926" t="s">
        <v>14836</v>
      </c>
      <c r="C5240" s="1926" t="s">
        <v>42</v>
      </c>
      <c r="D5240" s="1926" t="s">
        <v>40</v>
      </c>
      <c r="E5240" s="1662">
        <v>12.85</v>
      </c>
    </row>
    <row r="5241" spans="1:5" x14ac:dyDescent="0.2">
      <c r="A5241" s="135">
        <v>41073</v>
      </c>
      <c r="B5241" s="1926" t="s">
        <v>14837</v>
      </c>
      <c r="C5241" s="1926" t="s">
        <v>51</v>
      </c>
      <c r="D5241" s="1926" t="s">
        <v>40</v>
      </c>
      <c r="E5241" s="1662">
        <v>2293.09</v>
      </c>
    </row>
    <row r="5242" spans="1:5" x14ac:dyDescent="0.2">
      <c r="A5242" s="135">
        <v>34391</v>
      </c>
      <c r="B5242" s="1926" t="s">
        <v>14838</v>
      </c>
      <c r="C5242" s="1926" t="s">
        <v>45</v>
      </c>
      <c r="D5242" s="1926" t="s">
        <v>46</v>
      </c>
      <c r="E5242" s="1662">
        <v>510.56</v>
      </c>
    </row>
    <row r="5243" spans="1:5" x14ac:dyDescent="0.2">
      <c r="A5243" s="135">
        <v>10496</v>
      </c>
      <c r="B5243" s="1926" t="s">
        <v>14839</v>
      </c>
      <c r="C5243" s="1926" t="s">
        <v>45</v>
      </c>
      <c r="D5243" s="1926" t="s">
        <v>46</v>
      </c>
      <c r="E5243" s="1662">
        <v>444.44</v>
      </c>
    </row>
    <row r="5244" spans="1:5" x14ac:dyDescent="0.2">
      <c r="A5244" s="135">
        <v>10497</v>
      </c>
      <c r="B5244" s="1926" t="s">
        <v>14840</v>
      </c>
      <c r="C5244" s="1926" t="s">
        <v>45</v>
      </c>
      <c r="D5244" s="1926" t="s">
        <v>46</v>
      </c>
      <c r="E5244" s="1662">
        <v>1155.55</v>
      </c>
    </row>
    <row r="5245" spans="1:5" x14ac:dyDescent="0.2">
      <c r="A5245" s="135">
        <v>10504</v>
      </c>
      <c r="B5245" s="1926" t="s">
        <v>14841</v>
      </c>
      <c r="C5245" s="1926" t="s">
        <v>45</v>
      </c>
      <c r="D5245" s="1926" t="s">
        <v>46</v>
      </c>
      <c r="E5245" s="1662">
        <v>1351.11</v>
      </c>
    </row>
    <row r="5246" spans="1:5" x14ac:dyDescent="0.2">
      <c r="A5246" s="135">
        <v>34390</v>
      </c>
      <c r="B5246" s="1926" t="s">
        <v>14842</v>
      </c>
      <c r="C5246" s="1926" t="s">
        <v>45</v>
      </c>
      <c r="D5246" s="1926" t="s">
        <v>46</v>
      </c>
      <c r="E5246" s="1662">
        <v>398.22</v>
      </c>
    </row>
    <row r="5247" spans="1:5" x14ac:dyDescent="0.2">
      <c r="A5247" s="135">
        <v>34389</v>
      </c>
      <c r="B5247" s="1926" t="s">
        <v>14843</v>
      </c>
      <c r="C5247" s="1926" t="s">
        <v>45</v>
      </c>
      <c r="D5247" s="1926" t="s">
        <v>46</v>
      </c>
      <c r="E5247" s="1662">
        <v>124.44</v>
      </c>
    </row>
    <row r="5248" spans="1:5" x14ac:dyDescent="0.2">
      <c r="A5248" s="135">
        <v>34388</v>
      </c>
      <c r="B5248" s="1926" t="s">
        <v>14844</v>
      </c>
      <c r="C5248" s="1926" t="s">
        <v>45</v>
      </c>
      <c r="D5248" s="1926" t="s">
        <v>46</v>
      </c>
      <c r="E5248" s="1662">
        <v>176.86</v>
      </c>
    </row>
    <row r="5249" spans="1:5" x14ac:dyDescent="0.2">
      <c r="A5249" s="135">
        <v>34387</v>
      </c>
      <c r="B5249" s="1926" t="s">
        <v>14845</v>
      </c>
      <c r="C5249" s="1926" t="s">
        <v>45</v>
      </c>
      <c r="D5249" s="1926" t="s">
        <v>46</v>
      </c>
      <c r="E5249" s="1662">
        <v>287.11</v>
      </c>
    </row>
    <row r="5250" spans="1:5" x14ac:dyDescent="0.2">
      <c r="A5250" s="135">
        <v>11188</v>
      </c>
      <c r="B5250" s="1926" t="s">
        <v>14846</v>
      </c>
      <c r="C5250" s="1926" t="s">
        <v>45</v>
      </c>
      <c r="D5250" s="1926" t="s">
        <v>46</v>
      </c>
      <c r="E5250" s="1662">
        <v>142.22</v>
      </c>
    </row>
    <row r="5251" spans="1:5" x14ac:dyDescent="0.2">
      <c r="A5251" s="135">
        <v>11189</v>
      </c>
      <c r="B5251" s="1926" t="s">
        <v>14847</v>
      </c>
      <c r="C5251" s="1926" t="s">
        <v>45</v>
      </c>
      <c r="D5251" s="1926" t="s">
        <v>46</v>
      </c>
      <c r="E5251" s="1662">
        <v>213.33</v>
      </c>
    </row>
    <row r="5252" spans="1:5" x14ac:dyDescent="0.2">
      <c r="A5252" s="135">
        <v>21107</v>
      </c>
      <c r="B5252" s="1926" t="s">
        <v>14848</v>
      </c>
      <c r="C5252" s="1926" t="s">
        <v>45</v>
      </c>
      <c r="D5252" s="1926" t="s">
        <v>46</v>
      </c>
      <c r="E5252" s="1662">
        <v>153.52000000000001</v>
      </c>
    </row>
    <row r="5253" spans="1:5" x14ac:dyDescent="0.2">
      <c r="A5253" s="135">
        <v>34386</v>
      </c>
      <c r="B5253" s="1926" t="s">
        <v>14849</v>
      </c>
      <c r="C5253" s="1926" t="s">
        <v>45</v>
      </c>
      <c r="D5253" s="1926" t="s">
        <v>46</v>
      </c>
      <c r="E5253" s="1662">
        <v>266.66000000000003</v>
      </c>
    </row>
    <row r="5254" spans="1:5" x14ac:dyDescent="0.2">
      <c r="A5254" s="135">
        <v>10490</v>
      </c>
      <c r="B5254" s="1926" t="s">
        <v>14850</v>
      </c>
      <c r="C5254" s="1926" t="s">
        <v>45</v>
      </c>
      <c r="D5254" s="1926" t="s">
        <v>46</v>
      </c>
      <c r="E5254" s="1662">
        <v>80</v>
      </c>
    </row>
    <row r="5255" spans="1:5" x14ac:dyDescent="0.2">
      <c r="A5255" s="135">
        <v>10492</v>
      </c>
      <c r="B5255" s="1926" t="s">
        <v>14851</v>
      </c>
      <c r="C5255" s="1926" t="s">
        <v>45</v>
      </c>
      <c r="D5255" s="1926" t="s">
        <v>46</v>
      </c>
      <c r="E5255" s="1662">
        <v>106.66</v>
      </c>
    </row>
    <row r="5256" spans="1:5" x14ac:dyDescent="0.2">
      <c r="A5256" s="135">
        <v>10493</v>
      </c>
      <c r="B5256" s="1926" t="s">
        <v>14852</v>
      </c>
      <c r="C5256" s="1926" t="s">
        <v>45</v>
      </c>
      <c r="D5256" s="1926" t="s">
        <v>46</v>
      </c>
      <c r="E5256" s="1662">
        <v>124.44</v>
      </c>
    </row>
    <row r="5257" spans="1:5" x14ac:dyDescent="0.2">
      <c r="A5257" s="135">
        <v>10491</v>
      </c>
      <c r="B5257" s="1926" t="s">
        <v>14853</v>
      </c>
      <c r="C5257" s="1926" t="s">
        <v>45</v>
      </c>
      <c r="D5257" s="1926" t="s">
        <v>46</v>
      </c>
      <c r="E5257" s="1662">
        <v>151.11000000000001</v>
      </c>
    </row>
    <row r="5258" spans="1:5" x14ac:dyDescent="0.2">
      <c r="A5258" s="135">
        <v>34385</v>
      </c>
      <c r="B5258" s="1926" t="s">
        <v>14854</v>
      </c>
      <c r="C5258" s="1926" t="s">
        <v>45</v>
      </c>
      <c r="D5258" s="1926" t="s">
        <v>46</v>
      </c>
      <c r="E5258" s="1662">
        <v>220.44</v>
      </c>
    </row>
    <row r="5259" spans="1:5" x14ac:dyDescent="0.2">
      <c r="A5259" s="135">
        <v>10499</v>
      </c>
      <c r="B5259" s="1926" t="s">
        <v>14855</v>
      </c>
      <c r="C5259" s="1926" t="s">
        <v>45</v>
      </c>
      <c r="D5259" s="1926" t="s">
        <v>46</v>
      </c>
      <c r="E5259" s="1662">
        <v>88.88</v>
      </c>
    </row>
    <row r="5260" spans="1:5" x14ac:dyDescent="0.2">
      <c r="A5260" s="135">
        <v>34384</v>
      </c>
      <c r="B5260" s="1926" t="s">
        <v>14856</v>
      </c>
      <c r="C5260" s="1926" t="s">
        <v>45</v>
      </c>
      <c r="D5260" s="1926" t="s">
        <v>46</v>
      </c>
      <c r="E5260" s="1662">
        <v>266.66000000000003</v>
      </c>
    </row>
    <row r="5261" spans="1:5" x14ac:dyDescent="0.2">
      <c r="A5261" s="135">
        <v>11185</v>
      </c>
      <c r="B5261" s="1926" t="s">
        <v>14857</v>
      </c>
      <c r="C5261" s="1926" t="s">
        <v>45</v>
      </c>
      <c r="D5261" s="1926" t="s">
        <v>46</v>
      </c>
      <c r="E5261" s="1662">
        <v>275.55</v>
      </c>
    </row>
    <row r="5262" spans="1:5" x14ac:dyDescent="0.2">
      <c r="A5262" s="135">
        <v>10507</v>
      </c>
      <c r="B5262" s="1926" t="s">
        <v>14858</v>
      </c>
      <c r="C5262" s="1926" t="s">
        <v>45</v>
      </c>
      <c r="D5262" s="1926" t="s">
        <v>40</v>
      </c>
      <c r="E5262" s="1662">
        <v>131.80000000000001</v>
      </c>
    </row>
    <row r="5263" spans="1:5" x14ac:dyDescent="0.2">
      <c r="A5263" s="135">
        <v>10505</v>
      </c>
      <c r="B5263" s="1926" t="s">
        <v>14859</v>
      </c>
      <c r="C5263" s="1926" t="s">
        <v>45</v>
      </c>
      <c r="D5263" s="1926" t="s">
        <v>40</v>
      </c>
      <c r="E5263" s="1662">
        <v>77.77</v>
      </c>
    </row>
    <row r="5264" spans="1:5" x14ac:dyDescent="0.2">
      <c r="A5264" s="135">
        <v>10506</v>
      </c>
      <c r="B5264" s="1926" t="s">
        <v>14860</v>
      </c>
      <c r="C5264" s="1926" t="s">
        <v>45</v>
      </c>
      <c r="D5264" s="1926" t="s">
        <v>40</v>
      </c>
      <c r="E5264" s="1662">
        <v>101.52</v>
      </c>
    </row>
    <row r="5265" spans="1:5" x14ac:dyDescent="0.2">
      <c r="A5265" s="135">
        <v>5031</v>
      </c>
      <c r="B5265" s="1926" t="s">
        <v>14861</v>
      </c>
      <c r="C5265" s="1926" t="s">
        <v>45</v>
      </c>
      <c r="D5265" s="1926" t="s">
        <v>43</v>
      </c>
      <c r="E5265" s="1662">
        <v>142.56</v>
      </c>
    </row>
    <row r="5266" spans="1:5" x14ac:dyDescent="0.2">
      <c r="A5266" s="135">
        <v>10502</v>
      </c>
      <c r="B5266" s="1926" t="s">
        <v>14862</v>
      </c>
      <c r="C5266" s="1926" t="s">
        <v>45</v>
      </c>
      <c r="D5266" s="1926" t="s">
        <v>40</v>
      </c>
      <c r="E5266" s="1662">
        <v>166.11</v>
      </c>
    </row>
    <row r="5267" spans="1:5" x14ac:dyDescent="0.2">
      <c r="A5267" s="135">
        <v>10501</v>
      </c>
      <c r="B5267" s="1926" t="s">
        <v>14863</v>
      </c>
      <c r="C5267" s="1926" t="s">
        <v>45</v>
      </c>
      <c r="D5267" s="1926" t="s">
        <v>40</v>
      </c>
      <c r="E5267" s="1662">
        <v>93.85</v>
      </c>
    </row>
    <row r="5268" spans="1:5" x14ac:dyDescent="0.2">
      <c r="A5268" s="135">
        <v>10503</v>
      </c>
      <c r="B5268" s="1926" t="s">
        <v>14864</v>
      </c>
      <c r="C5268" s="1926" t="s">
        <v>45</v>
      </c>
      <c r="D5268" s="1926" t="s">
        <v>40</v>
      </c>
      <c r="E5268" s="1662">
        <v>126.79</v>
      </c>
    </row>
    <row r="5269" spans="1:5" x14ac:dyDescent="0.2">
      <c r="A5269" s="135">
        <v>40270</v>
      </c>
      <c r="B5269" s="1926" t="s">
        <v>14865</v>
      </c>
      <c r="C5269" s="1926" t="s">
        <v>47</v>
      </c>
      <c r="D5269" s="1926" t="s">
        <v>46</v>
      </c>
      <c r="E5269" s="1662">
        <v>49.28</v>
      </c>
    </row>
    <row r="5270" spans="1:5" x14ac:dyDescent="0.2">
      <c r="A5270" s="135">
        <v>20213</v>
      </c>
      <c r="B5270" s="1926" t="s">
        <v>14866</v>
      </c>
      <c r="C5270" s="1926" t="s">
        <v>47</v>
      </c>
      <c r="D5270" s="1926" t="s">
        <v>40</v>
      </c>
      <c r="E5270" s="1662">
        <v>20.54</v>
      </c>
    </row>
    <row r="5271" spans="1:5" x14ac:dyDescent="0.2">
      <c r="A5271" s="135">
        <v>20211</v>
      </c>
      <c r="B5271" s="1926" t="s">
        <v>14867</v>
      </c>
      <c r="C5271" s="1926" t="s">
        <v>47</v>
      </c>
      <c r="D5271" s="1926" t="s">
        <v>40</v>
      </c>
      <c r="E5271" s="1662">
        <v>30.33</v>
      </c>
    </row>
    <row r="5272" spans="1:5" x14ac:dyDescent="0.2">
      <c r="A5272" s="135">
        <v>4472</v>
      </c>
      <c r="B5272" s="1926" t="s">
        <v>14868</v>
      </c>
      <c r="C5272" s="1926" t="s">
        <v>47</v>
      </c>
      <c r="D5272" s="1926" t="s">
        <v>40</v>
      </c>
      <c r="E5272" s="1662">
        <v>26.52</v>
      </c>
    </row>
    <row r="5273" spans="1:5" x14ac:dyDescent="0.2">
      <c r="A5273" s="135">
        <v>35272</v>
      </c>
      <c r="B5273" s="1926" t="s">
        <v>14869</v>
      </c>
      <c r="C5273" s="1926" t="s">
        <v>47</v>
      </c>
      <c r="D5273" s="1926" t="s">
        <v>40</v>
      </c>
      <c r="E5273" s="1662">
        <v>34.83</v>
      </c>
    </row>
    <row r="5274" spans="1:5" x14ac:dyDescent="0.2">
      <c r="A5274" s="135">
        <v>4448</v>
      </c>
      <c r="B5274" s="1926" t="s">
        <v>14870</v>
      </c>
      <c r="C5274" s="1926" t="s">
        <v>47</v>
      </c>
      <c r="D5274" s="1926" t="s">
        <v>40</v>
      </c>
      <c r="E5274" s="1662">
        <v>20.62</v>
      </c>
    </row>
    <row r="5275" spans="1:5" x14ac:dyDescent="0.2">
      <c r="A5275" s="135">
        <v>4425</v>
      </c>
      <c r="B5275" s="1926" t="s">
        <v>14871</v>
      </c>
      <c r="C5275" s="1926" t="s">
        <v>47</v>
      </c>
      <c r="D5275" s="1926" t="s">
        <v>40</v>
      </c>
      <c r="E5275" s="1662">
        <v>19.48</v>
      </c>
    </row>
    <row r="5276" spans="1:5" x14ac:dyDescent="0.2">
      <c r="A5276" s="135">
        <v>4481</v>
      </c>
      <c r="B5276" s="1926" t="s">
        <v>14872</v>
      </c>
      <c r="C5276" s="1926" t="s">
        <v>47</v>
      </c>
      <c r="D5276" s="1926" t="s">
        <v>40</v>
      </c>
      <c r="E5276" s="1662">
        <v>35.89</v>
      </c>
    </row>
    <row r="5277" spans="1:5" x14ac:dyDescent="0.2">
      <c r="A5277" s="135">
        <v>34345</v>
      </c>
      <c r="B5277" s="1926" t="s">
        <v>14873</v>
      </c>
      <c r="C5277" s="1926" t="s">
        <v>42</v>
      </c>
      <c r="D5277" s="1926" t="s">
        <v>40</v>
      </c>
      <c r="E5277" s="1662">
        <v>9.59</v>
      </c>
    </row>
    <row r="5278" spans="1:5" x14ac:dyDescent="0.2">
      <c r="A5278" s="135">
        <v>41096</v>
      </c>
      <c r="B5278" s="1926" t="s">
        <v>14874</v>
      </c>
      <c r="C5278" s="1926" t="s">
        <v>51</v>
      </c>
      <c r="D5278" s="1926" t="s">
        <v>40</v>
      </c>
      <c r="E5278" s="1662">
        <v>1711.31</v>
      </c>
    </row>
    <row r="5279" spans="1:5" x14ac:dyDescent="0.2">
      <c r="A5279" s="135">
        <v>41776</v>
      </c>
      <c r="B5279" s="1926" t="s">
        <v>14875</v>
      </c>
      <c r="C5279" s="1926" t="s">
        <v>42</v>
      </c>
      <c r="D5279" s="1926" t="s">
        <v>40</v>
      </c>
      <c r="E5279" s="1662">
        <v>13.14</v>
      </c>
    </row>
    <row r="5280" spans="1:5" x14ac:dyDescent="0.2">
      <c r="A5280" s="135">
        <v>11157</v>
      </c>
      <c r="B5280" s="1926" t="s">
        <v>14876</v>
      </c>
      <c r="C5280" s="1926" t="s">
        <v>61</v>
      </c>
      <c r="D5280" s="1926" t="s">
        <v>40</v>
      </c>
      <c r="E5280" s="1662">
        <v>131.76</v>
      </c>
    </row>
    <row r="5281" spans="1:1" x14ac:dyDescent="0.2">
      <c r="A5281" s="1926" t="s">
        <v>33</v>
      </c>
    </row>
    <row r="5282" spans="1:1" x14ac:dyDescent="0.2">
      <c r="A5282" s="1926" t="s">
        <v>14877</v>
      </c>
    </row>
  </sheetData>
  <pageMargins left="0.511811024" right="0.511811024" top="0.78740157499999996" bottom="0.78740157499999996" header="0.31496062000000002" footer="0.31496062000000002"/>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4"/>
  <dimension ref="A1:M6509"/>
  <sheetViews>
    <sheetView topLeftCell="D6028" zoomScale="85" zoomScaleNormal="85" workbookViewId="0">
      <selection activeCell="G6045" sqref="G6045"/>
    </sheetView>
  </sheetViews>
  <sheetFormatPr defaultRowHeight="12.75" x14ac:dyDescent="0.2"/>
  <cols>
    <col min="1" max="6" width="3.28515625" style="1926" customWidth="1"/>
    <col min="7" max="7" width="14" style="135" customWidth="1"/>
    <col min="8" max="8" width="161.42578125" style="1926" customWidth="1"/>
    <col min="9" max="9" width="8.140625" style="1926" customWidth="1"/>
    <col min="10" max="10" width="4.28515625" style="1926" customWidth="1"/>
    <col min="11" max="11" width="21.140625" style="72" customWidth="1"/>
    <col min="12" max="12" width="82" style="1926" customWidth="1"/>
    <col min="13" max="13" width="9.140625" style="1926"/>
    <col min="14" max="256" width="9.140625" style="638"/>
    <col min="257" max="257" width="70.28515625" style="638" customWidth="1"/>
    <col min="258" max="258" width="17.5703125" style="638" customWidth="1"/>
    <col min="259" max="259" width="70.28515625" style="638" customWidth="1"/>
    <col min="260" max="260" width="17.5703125" style="638" customWidth="1"/>
    <col min="261" max="261" width="15.28515625" style="638" customWidth="1"/>
    <col min="262" max="262" width="48.7109375" style="638" customWidth="1"/>
    <col min="263" max="263" width="24.5703125" style="638" customWidth="1"/>
    <col min="264" max="264" width="48.7109375" style="638" customWidth="1"/>
    <col min="265" max="265" width="8.140625" style="638" customWidth="1"/>
    <col min="266" max="266" width="38.7109375" style="638" customWidth="1"/>
    <col min="267" max="267" width="21.140625" style="638" customWidth="1"/>
    <col min="268" max="268" width="82" style="638" customWidth="1"/>
    <col min="269" max="512" width="9.140625" style="638"/>
    <col min="513" max="513" width="70.28515625" style="638" customWidth="1"/>
    <col min="514" max="514" width="17.5703125" style="638" customWidth="1"/>
    <col min="515" max="515" width="70.28515625" style="638" customWidth="1"/>
    <col min="516" max="516" width="17.5703125" style="638" customWidth="1"/>
    <col min="517" max="517" width="15.28515625" style="638" customWidth="1"/>
    <col min="518" max="518" width="48.7109375" style="638" customWidth="1"/>
    <col min="519" max="519" width="24.5703125" style="638" customWidth="1"/>
    <col min="520" max="520" width="48.7109375" style="638" customWidth="1"/>
    <col min="521" max="521" width="8.140625" style="638" customWidth="1"/>
    <col min="522" max="522" width="38.7109375" style="638" customWidth="1"/>
    <col min="523" max="523" width="21.140625" style="638" customWidth="1"/>
    <col min="524" max="524" width="82" style="638" customWidth="1"/>
    <col min="525" max="768" width="9.140625" style="638"/>
    <col min="769" max="769" width="70.28515625" style="638" customWidth="1"/>
    <col min="770" max="770" width="17.5703125" style="638" customWidth="1"/>
    <col min="771" max="771" width="70.28515625" style="638" customWidth="1"/>
    <col min="772" max="772" width="17.5703125" style="638" customWidth="1"/>
    <col min="773" max="773" width="15.28515625" style="638" customWidth="1"/>
    <col min="774" max="774" width="48.7109375" style="638" customWidth="1"/>
    <col min="775" max="775" width="24.5703125" style="638" customWidth="1"/>
    <col min="776" max="776" width="48.7109375" style="638" customWidth="1"/>
    <col min="777" max="777" width="8.140625" style="638" customWidth="1"/>
    <col min="778" max="778" width="38.7109375" style="638" customWidth="1"/>
    <col min="779" max="779" width="21.140625" style="638" customWidth="1"/>
    <col min="780" max="780" width="82" style="638" customWidth="1"/>
    <col min="781" max="1024" width="9.140625" style="638"/>
    <col min="1025" max="1025" width="70.28515625" style="638" customWidth="1"/>
    <col min="1026" max="1026" width="17.5703125" style="638" customWidth="1"/>
    <col min="1027" max="1027" width="70.28515625" style="638" customWidth="1"/>
    <col min="1028" max="1028" width="17.5703125" style="638" customWidth="1"/>
    <col min="1029" max="1029" width="15.28515625" style="638" customWidth="1"/>
    <col min="1030" max="1030" width="48.7109375" style="638" customWidth="1"/>
    <col min="1031" max="1031" width="24.5703125" style="638" customWidth="1"/>
    <col min="1032" max="1032" width="48.7109375" style="638" customWidth="1"/>
    <col min="1033" max="1033" width="8.140625" style="638" customWidth="1"/>
    <col min="1034" max="1034" width="38.7109375" style="638" customWidth="1"/>
    <col min="1035" max="1035" width="21.140625" style="638" customWidth="1"/>
    <col min="1036" max="1036" width="82" style="638" customWidth="1"/>
    <col min="1037" max="1280" width="9.140625" style="638"/>
    <col min="1281" max="1281" width="70.28515625" style="638" customWidth="1"/>
    <col min="1282" max="1282" width="17.5703125" style="638" customWidth="1"/>
    <col min="1283" max="1283" width="70.28515625" style="638" customWidth="1"/>
    <col min="1284" max="1284" width="17.5703125" style="638" customWidth="1"/>
    <col min="1285" max="1285" width="15.28515625" style="638" customWidth="1"/>
    <col min="1286" max="1286" width="48.7109375" style="638" customWidth="1"/>
    <col min="1287" max="1287" width="24.5703125" style="638" customWidth="1"/>
    <col min="1288" max="1288" width="48.7109375" style="638" customWidth="1"/>
    <col min="1289" max="1289" width="8.140625" style="638" customWidth="1"/>
    <col min="1290" max="1290" width="38.7109375" style="638" customWidth="1"/>
    <col min="1291" max="1291" width="21.140625" style="638" customWidth="1"/>
    <col min="1292" max="1292" width="82" style="638" customWidth="1"/>
    <col min="1293" max="1536" width="9.140625" style="638"/>
    <col min="1537" max="1537" width="70.28515625" style="638" customWidth="1"/>
    <col min="1538" max="1538" width="17.5703125" style="638" customWidth="1"/>
    <col min="1539" max="1539" width="70.28515625" style="638" customWidth="1"/>
    <col min="1540" max="1540" width="17.5703125" style="638" customWidth="1"/>
    <col min="1541" max="1541" width="15.28515625" style="638" customWidth="1"/>
    <col min="1542" max="1542" width="48.7109375" style="638" customWidth="1"/>
    <col min="1543" max="1543" width="24.5703125" style="638" customWidth="1"/>
    <col min="1544" max="1544" width="48.7109375" style="638" customWidth="1"/>
    <col min="1545" max="1545" width="8.140625" style="638" customWidth="1"/>
    <col min="1546" max="1546" width="38.7109375" style="638" customWidth="1"/>
    <col min="1547" max="1547" width="21.140625" style="638" customWidth="1"/>
    <col min="1548" max="1548" width="82" style="638" customWidth="1"/>
    <col min="1549" max="1792" width="9.140625" style="638"/>
    <col min="1793" max="1793" width="70.28515625" style="638" customWidth="1"/>
    <col min="1794" max="1794" width="17.5703125" style="638" customWidth="1"/>
    <col min="1795" max="1795" width="70.28515625" style="638" customWidth="1"/>
    <col min="1796" max="1796" width="17.5703125" style="638" customWidth="1"/>
    <col min="1797" max="1797" width="15.28515625" style="638" customWidth="1"/>
    <col min="1798" max="1798" width="48.7109375" style="638" customWidth="1"/>
    <col min="1799" max="1799" width="24.5703125" style="638" customWidth="1"/>
    <col min="1800" max="1800" width="48.7109375" style="638" customWidth="1"/>
    <col min="1801" max="1801" width="8.140625" style="638" customWidth="1"/>
    <col min="1802" max="1802" width="38.7109375" style="638" customWidth="1"/>
    <col min="1803" max="1803" width="21.140625" style="638" customWidth="1"/>
    <col min="1804" max="1804" width="82" style="638" customWidth="1"/>
    <col min="1805" max="2048" width="9.140625" style="638"/>
    <col min="2049" max="2049" width="70.28515625" style="638" customWidth="1"/>
    <col min="2050" max="2050" width="17.5703125" style="638" customWidth="1"/>
    <col min="2051" max="2051" width="70.28515625" style="638" customWidth="1"/>
    <col min="2052" max="2052" width="17.5703125" style="638" customWidth="1"/>
    <col min="2053" max="2053" width="15.28515625" style="638" customWidth="1"/>
    <col min="2054" max="2054" width="48.7109375" style="638" customWidth="1"/>
    <col min="2055" max="2055" width="24.5703125" style="638" customWidth="1"/>
    <col min="2056" max="2056" width="48.7109375" style="638" customWidth="1"/>
    <col min="2057" max="2057" width="8.140625" style="638" customWidth="1"/>
    <col min="2058" max="2058" width="38.7109375" style="638" customWidth="1"/>
    <col min="2059" max="2059" width="21.140625" style="638" customWidth="1"/>
    <col min="2060" max="2060" width="82" style="638" customWidth="1"/>
    <col min="2061" max="2304" width="9.140625" style="638"/>
    <col min="2305" max="2305" width="70.28515625" style="638" customWidth="1"/>
    <col min="2306" max="2306" width="17.5703125" style="638" customWidth="1"/>
    <col min="2307" max="2307" width="70.28515625" style="638" customWidth="1"/>
    <col min="2308" max="2308" width="17.5703125" style="638" customWidth="1"/>
    <col min="2309" max="2309" width="15.28515625" style="638" customWidth="1"/>
    <col min="2310" max="2310" width="48.7109375" style="638" customWidth="1"/>
    <col min="2311" max="2311" width="24.5703125" style="638" customWidth="1"/>
    <col min="2312" max="2312" width="48.7109375" style="638" customWidth="1"/>
    <col min="2313" max="2313" width="8.140625" style="638" customWidth="1"/>
    <col min="2314" max="2314" width="38.7109375" style="638" customWidth="1"/>
    <col min="2315" max="2315" width="21.140625" style="638" customWidth="1"/>
    <col min="2316" max="2316" width="82" style="638" customWidth="1"/>
    <col min="2317" max="2560" width="9.140625" style="638"/>
    <col min="2561" max="2561" width="70.28515625" style="638" customWidth="1"/>
    <col min="2562" max="2562" width="17.5703125" style="638" customWidth="1"/>
    <col min="2563" max="2563" width="70.28515625" style="638" customWidth="1"/>
    <col min="2564" max="2564" width="17.5703125" style="638" customWidth="1"/>
    <col min="2565" max="2565" width="15.28515625" style="638" customWidth="1"/>
    <col min="2566" max="2566" width="48.7109375" style="638" customWidth="1"/>
    <col min="2567" max="2567" width="24.5703125" style="638" customWidth="1"/>
    <col min="2568" max="2568" width="48.7109375" style="638" customWidth="1"/>
    <col min="2569" max="2569" width="8.140625" style="638" customWidth="1"/>
    <col min="2570" max="2570" width="38.7109375" style="638" customWidth="1"/>
    <col min="2571" max="2571" width="21.140625" style="638" customWidth="1"/>
    <col min="2572" max="2572" width="82" style="638" customWidth="1"/>
    <col min="2573" max="2816" width="9.140625" style="638"/>
    <col min="2817" max="2817" width="70.28515625" style="638" customWidth="1"/>
    <col min="2818" max="2818" width="17.5703125" style="638" customWidth="1"/>
    <col min="2819" max="2819" width="70.28515625" style="638" customWidth="1"/>
    <col min="2820" max="2820" width="17.5703125" style="638" customWidth="1"/>
    <col min="2821" max="2821" width="15.28515625" style="638" customWidth="1"/>
    <col min="2822" max="2822" width="48.7109375" style="638" customWidth="1"/>
    <col min="2823" max="2823" width="24.5703125" style="638" customWidth="1"/>
    <col min="2824" max="2824" width="48.7109375" style="638" customWidth="1"/>
    <col min="2825" max="2825" width="8.140625" style="638" customWidth="1"/>
    <col min="2826" max="2826" width="38.7109375" style="638" customWidth="1"/>
    <col min="2827" max="2827" width="21.140625" style="638" customWidth="1"/>
    <col min="2828" max="2828" width="82" style="638" customWidth="1"/>
    <col min="2829" max="3072" width="9.140625" style="638"/>
    <col min="3073" max="3073" width="70.28515625" style="638" customWidth="1"/>
    <col min="3074" max="3074" width="17.5703125" style="638" customWidth="1"/>
    <col min="3075" max="3075" width="70.28515625" style="638" customWidth="1"/>
    <col min="3076" max="3076" width="17.5703125" style="638" customWidth="1"/>
    <col min="3077" max="3077" width="15.28515625" style="638" customWidth="1"/>
    <col min="3078" max="3078" width="48.7109375" style="638" customWidth="1"/>
    <col min="3079" max="3079" width="24.5703125" style="638" customWidth="1"/>
    <col min="3080" max="3080" width="48.7109375" style="638" customWidth="1"/>
    <col min="3081" max="3081" width="8.140625" style="638" customWidth="1"/>
    <col min="3082" max="3082" width="38.7109375" style="638" customWidth="1"/>
    <col min="3083" max="3083" width="21.140625" style="638" customWidth="1"/>
    <col min="3084" max="3084" width="82" style="638" customWidth="1"/>
    <col min="3085" max="3328" width="9.140625" style="638"/>
    <col min="3329" max="3329" width="70.28515625" style="638" customWidth="1"/>
    <col min="3330" max="3330" width="17.5703125" style="638" customWidth="1"/>
    <col min="3331" max="3331" width="70.28515625" style="638" customWidth="1"/>
    <col min="3332" max="3332" width="17.5703125" style="638" customWidth="1"/>
    <col min="3333" max="3333" width="15.28515625" style="638" customWidth="1"/>
    <col min="3334" max="3334" width="48.7109375" style="638" customWidth="1"/>
    <col min="3335" max="3335" width="24.5703125" style="638" customWidth="1"/>
    <col min="3336" max="3336" width="48.7109375" style="638" customWidth="1"/>
    <col min="3337" max="3337" width="8.140625" style="638" customWidth="1"/>
    <col min="3338" max="3338" width="38.7109375" style="638" customWidth="1"/>
    <col min="3339" max="3339" width="21.140625" style="638" customWidth="1"/>
    <col min="3340" max="3340" width="82" style="638" customWidth="1"/>
    <col min="3341" max="3584" width="9.140625" style="638"/>
    <col min="3585" max="3585" width="70.28515625" style="638" customWidth="1"/>
    <col min="3586" max="3586" width="17.5703125" style="638" customWidth="1"/>
    <col min="3587" max="3587" width="70.28515625" style="638" customWidth="1"/>
    <col min="3588" max="3588" width="17.5703125" style="638" customWidth="1"/>
    <col min="3589" max="3589" width="15.28515625" style="638" customWidth="1"/>
    <col min="3590" max="3590" width="48.7109375" style="638" customWidth="1"/>
    <col min="3591" max="3591" width="24.5703125" style="638" customWidth="1"/>
    <col min="3592" max="3592" width="48.7109375" style="638" customWidth="1"/>
    <col min="3593" max="3593" width="8.140625" style="638" customWidth="1"/>
    <col min="3594" max="3594" width="38.7109375" style="638" customWidth="1"/>
    <col min="3595" max="3595" width="21.140625" style="638" customWidth="1"/>
    <col min="3596" max="3596" width="82" style="638" customWidth="1"/>
    <col min="3597" max="3840" width="9.140625" style="638"/>
    <col min="3841" max="3841" width="70.28515625" style="638" customWidth="1"/>
    <col min="3842" max="3842" width="17.5703125" style="638" customWidth="1"/>
    <col min="3843" max="3843" width="70.28515625" style="638" customWidth="1"/>
    <col min="3844" max="3844" width="17.5703125" style="638" customWidth="1"/>
    <col min="3845" max="3845" width="15.28515625" style="638" customWidth="1"/>
    <col min="3846" max="3846" width="48.7109375" style="638" customWidth="1"/>
    <col min="3847" max="3847" width="24.5703125" style="638" customWidth="1"/>
    <col min="3848" max="3848" width="48.7109375" style="638" customWidth="1"/>
    <col min="3849" max="3849" width="8.140625" style="638" customWidth="1"/>
    <col min="3850" max="3850" width="38.7109375" style="638" customWidth="1"/>
    <col min="3851" max="3851" width="21.140625" style="638" customWidth="1"/>
    <col min="3852" max="3852" width="82" style="638" customWidth="1"/>
    <col min="3853" max="4096" width="9.140625" style="638"/>
    <col min="4097" max="4097" width="70.28515625" style="638" customWidth="1"/>
    <col min="4098" max="4098" width="17.5703125" style="638" customWidth="1"/>
    <col min="4099" max="4099" width="70.28515625" style="638" customWidth="1"/>
    <col min="4100" max="4100" width="17.5703125" style="638" customWidth="1"/>
    <col min="4101" max="4101" width="15.28515625" style="638" customWidth="1"/>
    <col min="4102" max="4102" width="48.7109375" style="638" customWidth="1"/>
    <col min="4103" max="4103" width="24.5703125" style="638" customWidth="1"/>
    <col min="4104" max="4104" width="48.7109375" style="638" customWidth="1"/>
    <col min="4105" max="4105" width="8.140625" style="638" customWidth="1"/>
    <col min="4106" max="4106" width="38.7109375" style="638" customWidth="1"/>
    <col min="4107" max="4107" width="21.140625" style="638" customWidth="1"/>
    <col min="4108" max="4108" width="82" style="638" customWidth="1"/>
    <col min="4109" max="4352" width="9.140625" style="638"/>
    <col min="4353" max="4353" width="70.28515625" style="638" customWidth="1"/>
    <col min="4354" max="4354" width="17.5703125" style="638" customWidth="1"/>
    <col min="4355" max="4355" width="70.28515625" style="638" customWidth="1"/>
    <col min="4356" max="4356" width="17.5703125" style="638" customWidth="1"/>
    <col min="4357" max="4357" width="15.28515625" style="638" customWidth="1"/>
    <col min="4358" max="4358" width="48.7109375" style="638" customWidth="1"/>
    <col min="4359" max="4359" width="24.5703125" style="638" customWidth="1"/>
    <col min="4360" max="4360" width="48.7109375" style="638" customWidth="1"/>
    <col min="4361" max="4361" width="8.140625" style="638" customWidth="1"/>
    <col min="4362" max="4362" width="38.7109375" style="638" customWidth="1"/>
    <col min="4363" max="4363" width="21.140625" style="638" customWidth="1"/>
    <col min="4364" max="4364" width="82" style="638" customWidth="1"/>
    <col min="4365" max="4608" width="9.140625" style="638"/>
    <col min="4609" max="4609" width="70.28515625" style="638" customWidth="1"/>
    <col min="4610" max="4610" width="17.5703125" style="638" customWidth="1"/>
    <col min="4611" max="4611" width="70.28515625" style="638" customWidth="1"/>
    <col min="4612" max="4612" width="17.5703125" style="638" customWidth="1"/>
    <col min="4613" max="4613" width="15.28515625" style="638" customWidth="1"/>
    <col min="4614" max="4614" width="48.7109375" style="638" customWidth="1"/>
    <col min="4615" max="4615" width="24.5703125" style="638" customWidth="1"/>
    <col min="4616" max="4616" width="48.7109375" style="638" customWidth="1"/>
    <col min="4617" max="4617" width="8.140625" style="638" customWidth="1"/>
    <col min="4618" max="4618" width="38.7109375" style="638" customWidth="1"/>
    <col min="4619" max="4619" width="21.140625" style="638" customWidth="1"/>
    <col min="4620" max="4620" width="82" style="638" customWidth="1"/>
    <col min="4621" max="4864" width="9.140625" style="638"/>
    <col min="4865" max="4865" width="70.28515625" style="638" customWidth="1"/>
    <col min="4866" max="4866" width="17.5703125" style="638" customWidth="1"/>
    <col min="4867" max="4867" width="70.28515625" style="638" customWidth="1"/>
    <col min="4868" max="4868" width="17.5703125" style="638" customWidth="1"/>
    <col min="4869" max="4869" width="15.28515625" style="638" customWidth="1"/>
    <col min="4870" max="4870" width="48.7109375" style="638" customWidth="1"/>
    <col min="4871" max="4871" width="24.5703125" style="638" customWidth="1"/>
    <col min="4872" max="4872" width="48.7109375" style="638" customWidth="1"/>
    <col min="4873" max="4873" width="8.140625" style="638" customWidth="1"/>
    <col min="4874" max="4874" width="38.7109375" style="638" customWidth="1"/>
    <col min="4875" max="4875" width="21.140625" style="638" customWidth="1"/>
    <col min="4876" max="4876" width="82" style="638" customWidth="1"/>
    <col min="4877" max="5120" width="9.140625" style="638"/>
    <col min="5121" max="5121" width="70.28515625" style="638" customWidth="1"/>
    <col min="5122" max="5122" width="17.5703125" style="638" customWidth="1"/>
    <col min="5123" max="5123" width="70.28515625" style="638" customWidth="1"/>
    <col min="5124" max="5124" width="17.5703125" style="638" customWidth="1"/>
    <col min="5125" max="5125" width="15.28515625" style="638" customWidth="1"/>
    <col min="5126" max="5126" width="48.7109375" style="638" customWidth="1"/>
    <col min="5127" max="5127" width="24.5703125" style="638" customWidth="1"/>
    <col min="5128" max="5128" width="48.7109375" style="638" customWidth="1"/>
    <col min="5129" max="5129" width="8.140625" style="638" customWidth="1"/>
    <col min="5130" max="5130" width="38.7109375" style="638" customWidth="1"/>
    <col min="5131" max="5131" width="21.140625" style="638" customWidth="1"/>
    <col min="5132" max="5132" width="82" style="638" customWidth="1"/>
    <col min="5133" max="5376" width="9.140625" style="638"/>
    <col min="5377" max="5377" width="70.28515625" style="638" customWidth="1"/>
    <col min="5378" max="5378" width="17.5703125" style="638" customWidth="1"/>
    <col min="5379" max="5379" width="70.28515625" style="638" customWidth="1"/>
    <col min="5380" max="5380" width="17.5703125" style="638" customWidth="1"/>
    <col min="5381" max="5381" width="15.28515625" style="638" customWidth="1"/>
    <col min="5382" max="5382" width="48.7109375" style="638" customWidth="1"/>
    <col min="5383" max="5383" width="24.5703125" style="638" customWidth="1"/>
    <col min="5384" max="5384" width="48.7109375" style="638" customWidth="1"/>
    <col min="5385" max="5385" width="8.140625" style="638" customWidth="1"/>
    <col min="5386" max="5386" width="38.7109375" style="638" customWidth="1"/>
    <col min="5387" max="5387" width="21.140625" style="638" customWidth="1"/>
    <col min="5388" max="5388" width="82" style="638" customWidth="1"/>
    <col min="5389" max="5632" width="9.140625" style="638"/>
    <col min="5633" max="5633" width="70.28515625" style="638" customWidth="1"/>
    <col min="5634" max="5634" width="17.5703125" style="638" customWidth="1"/>
    <col min="5635" max="5635" width="70.28515625" style="638" customWidth="1"/>
    <col min="5636" max="5636" width="17.5703125" style="638" customWidth="1"/>
    <col min="5637" max="5637" width="15.28515625" style="638" customWidth="1"/>
    <col min="5638" max="5638" width="48.7109375" style="638" customWidth="1"/>
    <col min="5639" max="5639" width="24.5703125" style="638" customWidth="1"/>
    <col min="5640" max="5640" width="48.7109375" style="638" customWidth="1"/>
    <col min="5641" max="5641" width="8.140625" style="638" customWidth="1"/>
    <col min="5642" max="5642" width="38.7109375" style="638" customWidth="1"/>
    <col min="5643" max="5643" width="21.140625" style="638" customWidth="1"/>
    <col min="5644" max="5644" width="82" style="638" customWidth="1"/>
    <col min="5645" max="5888" width="9.140625" style="638"/>
    <col min="5889" max="5889" width="70.28515625" style="638" customWidth="1"/>
    <col min="5890" max="5890" width="17.5703125" style="638" customWidth="1"/>
    <col min="5891" max="5891" width="70.28515625" style="638" customWidth="1"/>
    <col min="5892" max="5892" width="17.5703125" style="638" customWidth="1"/>
    <col min="5893" max="5893" width="15.28515625" style="638" customWidth="1"/>
    <col min="5894" max="5894" width="48.7109375" style="638" customWidth="1"/>
    <col min="5895" max="5895" width="24.5703125" style="638" customWidth="1"/>
    <col min="5896" max="5896" width="48.7109375" style="638" customWidth="1"/>
    <col min="5897" max="5897" width="8.140625" style="638" customWidth="1"/>
    <col min="5898" max="5898" width="38.7109375" style="638" customWidth="1"/>
    <col min="5899" max="5899" width="21.140625" style="638" customWidth="1"/>
    <col min="5900" max="5900" width="82" style="638" customWidth="1"/>
    <col min="5901" max="6144" width="9.140625" style="638"/>
    <col min="6145" max="6145" width="70.28515625" style="638" customWidth="1"/>
    <col min="6146" max="6146" width="17.5703125" style="638" customWidth="1"/>
    <col min="6147" max="6147" width="70.28515625" style="638" customWidth="1"/>
    <col min="6148" max="6148" width="17.5703125" style="638" customWidth="1"/>
    <col min="6149" max="6149" width="15.28515625" style="638" customWidth="1"/>
    <col min="6150" max="6150" width="48.7109375" style="638" customWidth="1"/>
    <col min="6151" max="6151" width="24.5703125" style="638" customWidth="1"/>
    <col min="6152" max="6152" width="48.7109375" style="638" customWidth="1"/>
    <col min="6153" max="6153" width="8.140625" style="638" customWidth="1"/>
    <col min="6154" max="6154" width="38.7109375" style="638" customWidth="1"/>
    <col min="6155" max="6155" width="21.140625" style="638" customWidth="1"/>
    <col min="6156" max="6156" width="82" style="638" customWidth="1"/>
    <col min="6157" max="6400" width="9.140625" style="638"/>
    <col min="6401" max="6401" width="70.28515625" style="638" customWidth="1"/>
    <col min="6402" max="6402" width="17.5703125" style="638" customWidth="1"/>
    <col min="6403" max="6403" width="70.28515625" style="638" customWidth="1"/>
    <col min="6404" max="6404" width="17.5703125" style="638" customWidth="1"/>
    <col min="6405" max="6405" width="15.28515625" style="638" customWidth="1"/>
    <col min="6406" max="6406" width="48.7109375" style="638" customWidth="1"/>
    <col min="6407" max="6407" width="24.5703125" style="638" customWidth="1"/>
    <col min="6408" max="6408" width="48.7109375" style="638" customWidth="1"/>
    <col min="6409" max="6409" width="8.140625" style="638" customWidth="1"/>
    <col min="6410" max="6410" width="38.7109375" style="638" customWidth="1"/>
    <col min="6411" max="6411" width="21.140625" style="638" customWidth="1"/>
    <col min="6412" max="6412" width="82" style="638" customWidth="1"/>
    <col min="6413" max="6656" width="9.140625" style="638"/>
    <col min="6657" max="6657" width="70.28515625" style="638" customWidth="1"/>
    <col min="6658" max="6658" width="17.5703125" style="638" customWidth="1"/>
    <col min="6659" max="6659" width="70.28515625" style="638" customWidth="1"/>
    <col min="6660" max="6660" width="17.5703125" style="638" customWidth="1"/>
    <col min="6661" max="6661" width="15.28515625" style="638" customWidth="1"/>
    <col min="6662" max="6662" width="48.7109375" style="638" customWidth="1"/>
    <col min="6663" max="6663" width="24.5703125" style="638" customWidth="1"/>
    <col min="6664" max="6664" width="48.7109375" style="638" customWidth="1"/>
    <col min="6665" max="6665" width="8.140625" style="638" customWidth="1"/>
    <col min="6666" max="6666" width="38.7109375" style="638" customWidth="1"/>
    <col min="6667" max="6667" width="21.140625" style="638" customWidth="1"/>
    <col min="6668" max="6668" width="82" style="638" customWidth="1"/>
    <col min="6669" max="6912" width="9.140625" style="638"/>
    <col min="6913" max="6913" width="70.28515625" style="638" customWidth="1"/>
    <col min="6914" max="6914" width="17.5703125" style="638" customWidth="1"/>
    <col min="6915" max="6915" width="70.28515625" style="638" customWidth="1"/>
    <col min="6916" max="6916" width="17.5703125" style="638" customWidth="1"/>
    <col min="6917" max="6917" width="15.28515625" style="638" customWidth="1"/>
    <col min="6918" max="6918" width="48.7109375" style="638" customWidth="1"/>
    <col min="6919" max="6919" width="24.5703125" style="638" customWidth="1"/>
    <col min="6920" max="6920" width="48.7109375" style="638" customWidth="1"/>
    <col min="6921" max="6921" width="8.140625" style="638" customWidth="1"/>
    <col min="6922" max="6922" width="38.7109375" style="638" customWidth="1"/>
    <col min="6923" max="6923" width="21.140625" style="638" customWidth="1"/>
    <col min="6924" max="6924" width="82" style="638" customWidth="1"/>
    <col min="6925" max="7168" width="9.140625" style="638"/>
    <col min="7169" max="7169" width="70.28515625" style="638" customWidth="1"/>
    <col min="7170" max="7170" width="17.5703125" style="638" customWidth="1"/>
    <col min="7171" max="7171" width="70.28515625" style="638" customWidth="1"/>
    <col min="7172" max="7172" width="17.5703125" style="638" customWidth="1"/>
    <col min="7173" max="7173" width="15.28515625" style="638" customWidth="1"/>
    <col min="7174" max="7174" width="48.7109375" style="638" customWidth="1"/>
    <col min="7175" max="7175" width="24.5703125" style="638" customWidth="1"/>
    <col min="7176" max="7176" width="48.7109375" style="638" customWidth="1"/>
    <col min="7177" max="7177" width="8.140625" style="638" customWidth="1"/>
    <col min="7178" max="7178" width="38.7109375" style="638" customWidth="1"/>
    <col min="7179" max="7179" width="21.140625" style="638" customWidth="1"/>
    <col min="7180" max="7180" width="82" style="638" customWidth="1"/>
    <col min="7181" max="7424" width="9.140625" style="638"/>
    <col min="7425" max="7425" width="70.28515625" style="638" customWidth="1"/>
    <col min="7426" max="7426" width="17.5703125" style="638" customWidth="1"/>
    <col min="7427" max="7427" width="70.28515625" style="638" customWidth="1"/>
    <col min="7428" max="7428" width="17.5703125" style="638" customWidth="1"/>
    <col min="7429" max="7429" width="15.28515625" style="638" customWidth="1"/>
    <col min="7430" max="7430" width="48.7109375" style="638" customWidth="1"/>
    <col min="7431" max="7431" width="24.5703125" style="638" customWidth="1"/>
    <col min="7432" max="7432" width="48.7109375" style="638" customWidth="1"/>
    <col min="7433" max="7433" width="8.140625" style="638" customWidth="1"/>
    <col min="7434" max="7434" width="38.7109375" style="638" customWidth="1"/>
    <col min="7435" max="7435" width="21.140625" style="638" customWidth="1"/>
    <col min="7436" max="7436" width="82" style="638" customWidth="1"/>
    <col min="7437" max="7680" width="9.140625" style="638"/>
    <col min="7681" max="7681" width="70.28515625" style="638" customWidth="1"/>
    <col min="7682" max="7682" width="17.5703125" style="638" customWidth="1"/>
    <col min="7683" max="7683" width="70.28515625" style="638" customWidth="1"/>
    <col min="7684" max="7684" width="17.5703125" style="638" customWidth="1"/>
    <col min="7685" max="7685" width="15.28515625" style="638" customWidth="1"/>
    <col min="7686" max="7686" width="48.7109375" style="638" customWidth="1"/>
    <col min="7687" max="7687" width="24.5703125" style="638" customWidth="1"/>
    <col min="7688" max="7688" width="48.7109375" style="638" customWidth="1"/>
    <col min="7689" max="7689" width="8.140625" style="638" customWidth="1"/>
    <col min="7690" max="7690" width="38.7109375" style="638" customWidth="1"/>
    <col min="7691" max="7691" width="21.140625" style="638" customWidth="1"/>
    <col min="7692" max="7692" width="82" style="638" customWidth="1"/>
    <col min="7693" max="7936" width="9.140625" style="638"/>
    <col min="7937" max="7937" width="70.28515625" style="638" customWidth="1"/>
    <col min="7938" max="7938" width="17.5703125" style="638" customWidth="1"/>
    <col min="7939" max="7939" width="70.28515625" style="638" customWidth="1"/>
    <col min="7940" max="7940" width="17.5703125" style="638" customWidth="1"/>
    <col min="7941" max="7941" width="15.28515625" style="638" customWidth="1"/>
    <col min="7942" max="7942" width="48.7109375" style="638" customWidth="1"/>
    <col min="7943" max="7943" width="24.5703125" style="638" customWidth="1"/>
    <col min="7944" max="7944" width="48.7109375" style="638" customWidth="1"/>
    <col min="7945" max="7945" width="8.140625" style="638" customWidth="1"/>
    <col min="7946" max="7946" width="38.7109375" style="638" customWidth="1"/>
    <col min="7947" max="7947" width="21.140625" style="638" customWidth="1"/>
    <col min="7948" max="7948" width="82" style="638" customWidth="1"/>
    <col min="7949" max="8192" width="9.140625" style="638"/>
    <col min="8193" max="8193" width="70.28515625" style="638" customWidth="1"/>
    <col min="8194" max="8194" width="17.5703125" style="638" customWidth="1"/>
    <col min="8195" max="8195" width="70.28515625" style="638" customWidth="1"/>
    <col min="8196" max="8196" width="17.5703125" style="638" customWidth="1"/>
    <col min="8197" max="8197" width="15.28515625" style="638" customWidth="1"/>
    <col min="8198" max="8198" width="48.7109375" style="638" customWidth="1"/>
    <col min="8199" max="8199" width="24.5703125" style="638" customWidth="1"/>
    <col min="8200" max="8200" width="48.7109375" style="638" customWidth="1"/>
    <col min="8201" max="8201" width="8.140625" style="638" customWidth="1"/>
    <col min="8202" max="8202" width="38.7109375" style="638" customWidth="1"/>
    <col min="8203" max="8203" width="21.140625" style="638" customWidth="1"/>
    <col min="8204" max="8204" width="82" style="638" customWidth="1"/>
    <col min="8205" max="8448" width="9.140625" style="638"/>
    <col min="8449" max="8449" width="70.28515625" style="638" customWidth="1"/>
    <col min="8450" max="8450" width="17.5703125" style="638" customWidth="1"/>
    <col min="8451" max="8451" width="70.28515625" style="638" customWidth="1"/>
    <col min="8452" max="8452" width="17.5703125" style="638" customWidth="1"/>
    <col min="8453" max="8453" width="15.28515625" style="638" customWidth="1"/>
    <col min="8454" max="8454" width="48.7109375" style="638" customWidth="1"/>
    <col min="8455" max="8455" width="24.5703125" style="638" customWidth="1"/>
    <col min="8456" max="8456" width="48.7109375" style="638" customWidth="1"/>
    <col min="8457" max="8457" width="8.140625" style="638" customWidth="1"/>
    <col min="8458" max="8458" width="38.7109375" style="638" customWidth="1"/>
    <col min="8459" max="8459" width="21.140625" style="638" customWidth="1"/>
    <col min="8460" max="8460" width="82" style="638" customWidth="1"/>
    <col min="8461" max="8704" width="9.140625" style="638"/>
    <col min="8705" max="8705" width="70.28515625" style="638" customWidth="1"/>
    <col min="8706" max="8706" width="17.5703125" style="638" customWidth="1"/>
    <col min="8707" max="8707" width="70.28515625" style="638" customWidth="1"/>
    <col min="8708" max="8708" width="17.5703125" style="638" customWidth="1"/>
    <col min="8709" max="8709" width="15.28515625" style="638" customWidth="1"/>
    <col min="8710" max="8710" width="48.7109375" style="638" customWidth="1"/>
    <col min="8711" max="8711" width="24.5703125" style="638" customWidth="1"/>
    <col min="8712" max="8712" width="48.7109375" style="638" customWidth="1"/>
    <col min="8713" max="8713" width="8.140625" style="638" customWidth="1"/>
    <col min="8714" max="8714" width="38.7109375" style="638" customWidth="1"/>
    <col min="8715" max="8715" width="21.140625" style="638" customWidth="1"/>
    <col min="8716" max="8716" width="82" style="638" customWidth="1"/>
    <col min="8717" max="8960" width="9.140625" style="638"/>
    <col min="8961" max="8961" width="70.28515625" style="638" customWidth="1"/>
    <col min="8962" max="8962" width="17.5703125" style="638" customWidth="1"/>
    <col min="8963" max="8963" width="70.28515625" style="638" customWidth="1"/>
    <col min="8964" max="8964" width="17.5703125" style="638" customWidth="1"/>
    <col min="8965" max="8965" width="15.28515625" style="638" customWidth="1"/>
    <col min="8966" max="8966" width="48.7109375" style="638" customWidth="1"/>
    <col min="8967" max="8967" width="24.5703125" style="638" customWidth="1"/>
    <col min="8968" max="8968" width="48.7109375" style="638" customWidth="1"/>
    <col min="8969" max="8969" width="8.140625" style="638" customWidth="1"/>
    <col min="8970" max="8970" width="38.7109375" style="638" customWidth="1"/>
    <col min="8971" max="8971" width="21.140625" style="638" customWidth="1"/>
    <col min="8972" max="8972" width="82" style="638" customWidth="1"/>
    <col min="8973" max="9216" width="9.140625" style="638"/>
    <col min="9217" max="9217" width="70.28515625" style="638" customWidth="1"/>
    <col min="9218" max="9218" width="17.5703125" style="638" customWidth="1"/>
    <col min="9219" max="9219" width="70.28515625" style="638" customWidth="1"/>
    <col min="9220" max="9220" width="17.5703125" style="638" customWidth="1"/>
    <col min="9221" max="9221" width="15.28515625" style="638" customWidth="1"/>
    <col min="9222" max="9222" width="48.7109375" style="638" customWidth="1"/>
    <col min="9223" max="9223" width="24.5703125" style="638" customWidth="1"/>
    <col min="9224" max="9224" width="48.7109375" style="638" customWidth="1"/>
    <col min="9225" max="9225" width="8.140625" style="638" customWidth="1"/>
    <col min="9226" max="9226" width="38.7109375" style="638" customWidth="1"/>
    <col min="9227" max="9227" width="21.140625" style="638" customWidth="1"/>
    <col min="9228" max="9228" width="82" style="638" customWidth="1"/>
    <col min="9229" max="9472" width="9.140625" style="638"/>
    <col min="9473" max="9473" width="70.28515625" style="638" customWidth="1"/>
    <col min="9474" max="9474" width="17.5703125" style="638" customWidth="1"/>
    <col min="9475" max="9475" width="70.28515625" style="638" customWidth="1"/>
    <col min="9476" max="9476" width="17.5703125" style="638" customWidth="1"/>
    <col min="9477" max="9477" width="15.28515625" style="638" customWidth="1"/>
    <col min="9478" max="9478" width="48.7109375" style="638" customWidth="1"/>
    <col min="9479" max="9479" width="24.5703125" style="638" customWidth="1"/>
    <col min="9480" max="9480" width="48.7109375" style="638" customWidth="1"/>
    <col min="9481" max="9481" width="8.140625" style="638" customWidth="1"/>
    <col min="9482" max="9482" width="38.7109375" style="638" customWidth="1"/>
    <col min="9483" max="9483" width="21.140625" style="638" customWidth="1"/>
    <col min="9484" max="9484" width="82" style="638" customWidth="1"/>
    <col min="9485" max="9728" width="9.140625" style="638"/>
    <col min="9729" max="9729" width="70.28515625" style="638" customWidth="1"/>
    <col min="9730" max="9730" width="17.5703125" style="638" customWidth="1"/>
    <col min="9731" max="9731" width="70.28515625" style="638" customWidth="1"/>
    <col min="9732" max="9732" width="17.5703125" style="638" customWidth="1"/>
    <col min="9733" max="9733" width="15.28515625" style="638" customWidth="1"/>
    <col min="9734" max="9734" width="48.7109375" style="638" customWidth="1"/>
    <col min="9735" max="9735" width="24.5703125" style="638" customWidth="1"/>
    <col min="9736" max="9736" width="48.7109375" style="638" customWidth="1"/>
    <col min="9737" max="9737" width="8.140625" style="638" customWidth="1"/>
    <col min="9738" max="9738" width="38.7109375" style="638" customWidth="1"/>
    <col min="9739" max="9739" width="21.140625" style="638" customWidth="1"/>
    <col min="9740" max="9740" width="82" style="638" customWidth="1"/>
    <col min="9741" max="9984" width="9.140625" style="638"/>
    <col min="9985" max="9985" width="70.28515625" style="638" customWidth="1"/>
    <col min="9986" max="9986" width="17.5703125" style="638" customWidth="1"/>
    <col min="9987" max="9987" width="70.28515625" style="638" customWidth="1"/>
    <col min="9988" max="9988" width="17.5703125" style="638" customWidth="1"/>
    <col min="9989" max="9989" width="15.28515625" style="638" customWidth="1"/>
    <col min="9990" max="9990" width="48.7109375" style="638" customWidth="1"/>
    <col min="9991" max="9991" width="24.5703125" style="638" customWidth="1"/>
    <col min="9992" max="9992" width="48.7109375" style="638" customWidth="1"/>
    <col min="9993" max="9993" width="8.140625" style="638" customWidth="1"/>
    <col min="9994" max="9994" width="38.7109375" style="638" customWidth="1"/>
    <col min="9995" max="9995" width="21.140625" style="638" customWidth="1"/>
    <col min="9996" max="9996" width="82" style="638" customWidth="1"/>
    <col min="9997" max="10240" width="9.140625" style="638"/>
    <col min="10241" max="10241" width="70.28515625" style="638" customWidth="1"/>
    <col min="10242" max="10242" width="17.5703125" style="638" customWidth="1"/>
    <col min="10243" max="10243" width="70.28515625" style="638" customWidth="1"/>
    <col min="10244" max="10244" width="17.5703125" style="638" customWidth="1"/>
    <col min="10245" max="10245" width="15.28515625" style="638" customWidth="1"/>
    <col min="10246" max="10246" width="48.7109375" style="638" customWidth="1"/>
    <col min="10247" max="10247" width="24.5703125" style="638" customWidth="1"/>
    <col min="10248" max="10248" width="48.7109375" style="638" customWidth="1"/>
    <col min="10249" max="10249" width="8.140625" style="638" customWidth="1"/>
    <col min="10250" max="10250" width="38.7109375" style="638" customWidth="1"/>
    <col min="10251" max="10251" width="21.140625" style="638" customWidth="1"/>
    <col min="10252" max="10252" width="82" style="638" customWidth="1"/>
    <col min="10253" max="10496" width="9.140625" style="638"/>
    <col min="10497" max="10497" width="70.28515625" style="638" customWidth="1"/>
    <col min="10498" max="10498" width="17.5703125" style="638" customWidth="1"/>
    <col min="10499" max="10499" width="70.28515625" style="638" customWidth="1"/>
    <col min="10500" max="10500" width="17.5703125" style="638" customWidth="1"/>
    <col min="10501" max="10501" width="15.28515625" style="638" customWidth="1"/>
    <col min="10502" max="10502" width="48.7109375" style="638" customWidth="1"/>
    <col min="10503" max="10503" width="24.5703125" style="638" customWidth="1"/>
    <col min="10504" max="10504" width="48.7109375" style="638" customWidth="1"/>
    <col min="10505" max="10505" width="8.140625" style="638" customWidth="1"/>
    <col min="10506" max="10506" width="38.7109375" style="638" customWidth="1"/>
    <col min="10507" max="10507" width="21.140625" style="638" customWidth="1"/>
    <col min="10508" max="10508" width="82" style="638" customWidth="1"/>
    <col min="10509" max="10752" width="9.140625" style="638"/>
    <col min="10753" max="10753" width="70.28515625" style="638" customWidth="1"/>
    <col min="10754" max="10754" width="17.5703125" style="638" customWidth="1"/>
    <col min="10755" max="10755" width="70.28515625" style="638" customWidth="1"/>
    <col min="10756" max="10756" width="17.5703125" style="638" customWidth="1"/>
    <col min="10757" max="10757" width="15.28515625" style="638" customWidth="1"/>
    <col min="10758" max="10758" width="48.7109375" style="638" customWidth="1"/>
    <col min="10759" max="10759" width="24.5703125" style="638" customWidth="1"/>
    <col min="10760" max="10760" width="48.7109375" style="638" customWidth="1"/>
    <col min="10761" max="10761" width="8.140625" style="638" customWidth="1"/>
    <col min="10762" max="10762" width="38.7109375" style="638" customWidth="1"/>
    <col min="10763" max="10763" width="21.140625" style="638" customWidth="1"/>
    <col min="10764" max="10764" width="82" style="638" customWidth="1"/>
    <col min="10765" max="11008" width="9.140625" style="638"/>
    <col min="11009" max="11009" width="70.28515625" style="638" customWidth="1"/>
    <col min="11010" max="11010" width="17.5703125" style="638" customWidth="1"/>
    <col min="11011" max="11011" width="70.28515625" style="638" customWidth="1"/>
    <col min="11012" max="11012" width="17.5703125" style="638" customWidth="1"/>
    <col min="11013" max="11013" width="15.28515625" style="638" customWidth="1"/>
    <col min="11014" max="11014" width="48.7109375" style="638" customWidth="1"/>
    <col min="11015" max="11015" width="24.5703125" style="638" customWidth="1"/>
    <col min="11016" max="11016" width="48.7109375" style="638" customWidth="1"/>
    <col min="11017" max="11017" width="8.140625" style="638" customWidth="1"/>
    <col min="11018" max="11018" width="38.7109375" style="638" customWidth="1"/>
    <col min="11019" max="11019" width="21.140625" style="638" customWidth="1"/>
    <col min="11020" max="11020" width="82" style="638" customWidth="1"/>
    <col min="11021" max="11264" width="9.140625" style="638"/>
    <col min="11265" max="11265" width="70.28515625" style="638" customWidth="1"/>
    <col min="11266" max="11266" width="17.5703125" style="638" customWidth="1"/>
    <col min="11267" max="11267" width="70.28515625" style="638" customWidth="1"/>
    <col min="11268" max="11268" width="17.5703125" style="638" customWidth="1"/>
    <col min="11269" max="11269" width="15.28515625" style="638" customWidth="1"/>
    <col min="11270" max="11270" width="48.7109375" style="638" customWidth="1"/>
    <col min="11271" max="11271" width="24.5703125" style="638" customWidth="1"/>
    <col min="11272" max="11272" width="48.7109375" style="638" customWidth="1"/>
    <col min="11273" max="11273" width="8.140625" style="638" customWidth="1"/>
    <col min="11274" max="11274" width="38.7109375" style="638" customWidth="1"/>
    <col min="11275" max="11275" width="21.140625" style="638" customWidth="1"/>
    <col min="11276" max="11276" width="82" style="638" customWidth="1"/>
    <col min="11277" max="11520" width="9.140625" style="638"/>
    <col min="11521" max="11521" width="70.28515625" style="638" customWidth="1"/>
    <col min="11522" max="11522" width="17.5703125" style="638" customWidth="1"/>
    <col min="11523" max="11523" width="70.28515625" style="638" customWidth="1"/>
    <col min="11524" max="11524" width="17.5703125" style="638" customWidth="1"/>
    <col min="11525" max="11525" width="15.28515625" style="638" customWidth="1"/>
    <col min="11526" max="11526" width="48.7109375" style="638" customWidth="1"/>
    <col min="11527" max="11527" width="24.5703125" style="638" customWidth="1"/>
    <col min="11528" max="11528" width="48.7109375" style="638" customWidth="1"/>
    <col min="11529" max="11529" width="8.140625" style="638" customWidth="1"/>
    <col min="11530" max="11530" width="38.7109375" style="638" customWidth="1"/>
    <col min="11531" max="11531" width="21.140625" style="638" customWidth="1"/>
    <col min="11532" max="11532" width="82" style="638" customWidth="1"/>
    <col min="11533" max="11776" width="9.140625" style="638"/>
    <col min="11777" max="11777" width="70.28515625" style="638" customWidth="1"/>
    <col min="11778" max="11778" width="17.5703125" style="638" customWidth="1"/>
    <col min="11779" max="11779" width="70.28515625" style="638" customWidth="1"/>
    <col min="11780" max="11780" width="17.5703125" style="638" customWidth="1"/>
    <col min="11781" max="11781" width="15.28515625" style="638" customWidth="1"/>
    <col min="11782" max="11782" width="48.7109375" style="638" customWidth="1"/>
    <col min="11783" max="11783" width="24.5703125" style="638" customWidth="1"/>
    <col min="11784" max="11784" width="48.7109375" style="638" customWidth="1"/>
    <col min="11785" max="11785" width="8.140625" style="638" customWidth="1"/>
    <col min="11786" max="11786" width="38.7109375" style="638" customWidth="1"/>
    <col min="11787" max="11787" width="21.140625" style="638" customWidth="1"/>
    <col min="11788" max="11788" width="82" style="638" customWidth="1"/>
    <col min="11789" max="12032" width="9.140625" style="638"/>
    <col min="12033" max="12033" width="70.28515625" style="638" customWidth="1"/>
    <col min="12034" max="12034" width="17.5703125" style="638" customWidth="1"/>
    <col min="12035" max="12035" width="70.28515625" style="638" customWidth="1"/>
    <col min="12036" max="12036" width="17.5703125" style="638" customWidth="1"/>
    <col min="12037" max="12037" width="15.28515625" style="638" customWidth="1"/>
    <col min="12038" max="12038" width="48.7109375" style="638" customWidth="1"/>
    <col min="12039" max="12039" width="24.5703125" style="638" customWidth="1"/>
    <col min="12040" max="12040" width="48.7109375" style="638" customWidth="1"/>
    <col min="12041" max="12041" width="8.140625" style="638" customWidth="1"/>
    <col min="12042" max="12042" width="38.7109375" style="638" customWidth="1"/>
    <col min="12043" max="12043" width="21.140625" style="638" customWidth="1"/>
    <col min="12044" max="12044" width="82" style="638" customWidth="1"/>
    <col min="12045" max="12288" width="9.140625" style="638"/>
    <col min="12289" max="12289" width="70.28515625" style="638" customWidth="1"/>
    <col min="12290" max="12290" width="17.5703125" style="638" customWidth="1"/>
    <col min="12291" max="12291" width="70.28515625" style="638" customWidth="1"/>
    <col min="12292" max="12292" width="17.5703125" style="638" customWidth="1"/>
    <col min="12293" max="12293" width="15.28515625" style="638" customWidth="1"/>
    <col min="12294" max="12294" width="48.7109375" style="638" customWidth="1"/>
    <col min="12295" max="12295" width="24.5703125" style="638" customWidth="1"/>
    <col min="12296" max="12296" width="48.7109375" style="638" customWidth="1"/>
    <col min="12297" max="12297" width="8.140625" style="638" customWidth="1"/>
    <col min="12298" max="12298" width="38.7109375" style="638" customWidth="1"/>
    <col min="12299" max="12299" width="21.140625" style="638" customWidth="1"/>
    <col min="12300" max="12300" width="82" style="638" customWidth="1"/>
    <col min="12301" max="12544" width="9.140625" style="638"/>
    <col min="12545" max="12545" width="70.28515625" style="638" customWidth="1"/>
    <col min="12546" max="12546" width="17.5703125" style="638" customWidth="1"/>
    <col min="12547" max="12547" width="70.28515625" style="638" customWidth="1"/>
    <col min="12548" max="12548" width="17.5703125" style="638" customWidth="1"/>
    <col min="12549" max="12549" width="15.28515625" style="638" customWidth="1"/>
    <col min="12550" max="12550" width="48.7109375" style="638" customWidth="1"/>
    <col min="12551" max="12551" width="24.5703125" style="638" customWidth="1"/>
    <col min="12552" max="12552" width="48.7109375" style="638" customWidth="1"/>
    <col min="12553" max="12553" width="8.140625" style="638" customWidth="1"/>
    <col min="12554" max="12554" width="38.7109375" style="638" customWidth="1"/>
    <col min="12555" max="12555" width="21.140625" style="638" customWidth="1"/>
    <col min="12556" max="12556" width="82" style="638" customWidth="1"/>
    <col min="12557" max="12800" width="9.140625" style="638"/>
    <col min="12801" max="12801" width="70.28515625" style="638" customWidth="1"/>
    <col min="12802" max="12802" width="17.5703125" style="638" customWidth="1"/>
    <col min="12803" max="12803" width="70.28515625" style="638" customWidth="1"/>
    <col min="12804" max="12804" width="17.5703125" style="638" customWidth="1"/>
    <col min="12805" max="12805" width="15.28515625" style="638" customWidth="1"/>
    <col min="12806" max="12806" width="48.7109375" style="638" customWidth="1"/>
    <col min="12807" max="12807" width="24.5703125" style="638" customWidth="1"/>
    <col min="12808" max="12808" width="48.7109375" style="638" customWidth="1"/>
    <col min="12809" max="12809" width="8.140625" style="638" customWidth="1"/>
    <col min="12810" max="12810" width="38.7109375" style="638" customWidth="1"/>
    <col min="12811" max="12811" width="21.140625" style="638" customWidth="1"/>
    <col min="12812" max="12812" width="82" style="638" customWidth="1"/>
    <col min="12813" max="13056" width="9.140625" style="638"/>
    <col min="13057" max="13057" width="70.28515625" style="638" customWidth="1"/>
    <col min="13058" max="13058" width="17.5703125" style="638" customWidth="1"/>
    <col min="13059" max="13059" width="70.28515625" style="638" customWidth="1"/>
    <col min="13060" max="13060" width="17.5703125" style="638" customWidth="1"/>
    <col min="13061" max="13061" width="15.28515625" style="638" customWidth="1"/>
    <col min="13062" max="13062" width="48.7109375" style="638" customWidth="1"/>
    <col min="13063" max="13063" width="24.5703125" style="638" customWidth="1"/>
    <col min="13064" max="13064" width="48.7109375" style="638" customWidth="1"/>
    <col min="13065" max="13065" width="8.140625" style="638" customWidth="1"/>
    <col min="13066" max="13066" width="38.7109375" style="638" customWidth="1"/>
    <col min="13067" max="13067" width="21.140625" style="638" customWidth="1"/>
    <col min="13068" max="13068" width="82" style="638" customWidth="1"/>
    <col min="13069" max="13312" width="9.140625" style="638"/>
    <col min="13313" max="13313" width="70.28515625" style="638" customWidth="1"/>
    <col min="13314" max="13314" width="17.5703125" style="638" customWidth="1"/>
    <col min="13315" max="13315" width="70.28515625" style="638" customWidth="1"/>
    <col min="13316" max="13316" width="17.5703125" style="638" customWidth="1"/>
    <col min="13317" max="13317" width="15.28515625" style="638" customWidth="1"/>
    <col min="13318" max="13318" width="48.7109375" style="638" customWidth="1"/>
    <col min="13319" max="13319" width="24.5703125" style="638" customWidth="1"/>
    <col min="13320" max="13320" width="48.7109375" style="638" customWidth="1"/>
    <col min="13321" max="13321" width="8.140625" style="638" customWidth="1"/>
    <col min="13322" max="13322" width="38.7109375" style="638" customWidth="1"/>
    <col min="13323" max="13323" width="21.140625" style="638" customWidth="1"/>
    <col min="13324" max="13324" width="82" style="638" customWidth="1"/>
    <col min="13325" max="13568" width="9.140625" style="638"/>
    <col min="13569" max="13569" width="70.28515625" style="638" customWidth="1"/>
    <col min="13570" max="13570" width="17.5703125" style="638" customWidth="1"/>
    <col min="13571" max="13571" width="70.28515625" style="638" customWidth="1"/>
    <col min="13572" max="13572" width="17.5703125" style="638" customWidth="1"/>
    <col min="13573" max="13573" width="15.28515625" style="638" customWidth="1"/>
    <col min="13574" max="13574" width="48.7109375" style="638" customWidth="1"/>
    <col min="13575" max="13575" width="24.5703125" style="638" customWidth="1"/>
    <col min="13576" max="13576" width="48.7109375" style="638" customWidth="1"/>
    <col min="13577" max="13577" width="8.140625" style="638" customWidth="1"/>
    <col min="13578" max="13578" width="38.7109375" style="638" customWidth="1"/>
    <col min="13579" max="13579" width="21.140625" style="638" customWidth="1"/>
    <col min="13580" max="13580" width="82" style="638" customWidth="1"/>
    <col min="13581" max="13824" width="9.140625" style="638"/>
    <col min="13825" max="13825" width="70.28515625" style="638" customWidth="1"/>
    <col min="13826" max="13826" width="17.5703125" style="638" customWidth="1"/>
    <col min="13827" max="13827" width="70.28515625" style="638" customWidth="1"/>
    <col min="13828" max="13828" width="17.5703125" style="638" customWidth="1"/>
    <col min="13829" max="13829" width="15.28515625" style="638" customWidth="1"/>
    <col min="13830" max="13830" width="48.7109375" style="638" customWidth="1"/>
    <col min="13831" max="13831" width="24.5703125" style="638" customWidth="1"/>
    <col min="13832" max="13832" width="48.7109375" style="638" customWidth="1"/>
    <col min="13833" max="13833" width="8.140625" style="638" customWidth="1"/>
    <col min="13834" max="13834" width="38.7109375" style="638" customWidth="1"/>
    <col min="13835" max="13835" width="21.140625" style="638" customWidth="1"/>
    <col min="13836" max="13836" width="82" style="638" customWidth="1"/>
    <col min="13837" max="14080" width="9.140625" style="638"/>
    <col min="14081" max="14081" width="70.28515625" style="638" customWidth="1"/>
    <col min="14082" max="14082" width="17.5703125" style="638" customWidth="1"/>
    <col min="14083" max="14083" width="70.28515625" style="638" customWidth="1"/>
    <col min="14084" max="14084" width="17.5703125" style="638" customWidth="1"/>
    <col min="14085" max="14085" width="15.28515625" style="638" customWidth="1"/>
    <col min="14086" max="14086" width="48.7109375" style="638" customWidth="1"/>
    <col min="14087" max="14087" width="24.5703125" style="638" customWidth="1"/>
    <col min="14088" max="14088" width="48.7109375" style="638" customWidth="1"/>
    <col min="14089" max="14089" width="8.140625" style="638" customWidth="1"/>
    <col min="14090" max="14090" width="38.7109375" style="638" customWidth="1"/>
    <col min="14091" max="14091" width="21.140625" style="638" customWidth="1"/>
    <col min="14092" max="14092" width="82" style="638" customWidth="1"/>
    <col min="14093" max="14336" width="9.140625" style="638"/>
    <col min="14337" max="14337" width="70.28515625" style="638" customWidth="1"/>
    <col min="14338" max="14338" width="17.5703125" style="638" customWidth="1"/>
    <col min="14339" max="14339" width="70.28515625" style="638" customWidth="1"/>
    <col min="14340" max="14340" width="17.5703125" style="638" customWidth="1"/>
    <col min="14341" max="14341" width="15.28515625" style="638" customWidth="1"/>
    <col min="14342" max="14342" width="48.7109375" style="638" customWidth="1"/>
    <col min="14343" max="14343" width="24.5703125" style="638" customWidth="1"/>
    <col min="14344" max="14344" width="48.7109375" style="638" customWidth="1"/>
    <col min="14345" max="14345" width="8.140625" style="638" customWidth="1"/>
    <col min="14346" max="14346" width="38.7109375" style="638" customWidth="1"/>
    <col min="14347" max="14347" width="21.140625" style="638" customWidth="1"/>
    <col min="14348" max="14348" width="82" style="638" customWidth="1"/>
    <col min="14349" max="14592" width="9.140625" style="638"/>
    <col min="14593" max="14593" width="70.28515625" style="638" customWidth="1"/>
    <col min="14594" max="14594" width="17.5703125" style="638" customWidth="1"/>
    <col min="14595" max="14595" width="70.28515625" style="638" customWidth="1"/>
    <col min="14596" max="14596" width="17.5703125" style="638" customWidth="1"/>
    <col min="14597" max="14597" width="15.28515625" style="638" customWidth="1"/>
    <col min="14598" max="14598" width="48.7109375" style="638" customWidth="1"/>
    <col min="14599" max="14599" width="24.5703125" style="638" customWidth="1"/>
    <col min="14600" max="14600" width="48.7109375" style="638" customWidth="1"/>
    <col min="14601" max="14601" width="8.140625" style="638" customWidth="1"/>
    <col min="14602" max="14602" width="38.7109375" style="638" customWidth="1"/>
    <col min="14603" max="14603" width="21.140625" style="638" customWidth="1"/>
    <col min="14604" max="14604" width="82" style="638" customWidth="1"/>
    <col min="14605" max="14848" width="9.140625" style="638"/>
    <col min="14849" max="14849" width="70.28515625" style="638" customWidth="1"/>
    <col min="14850" max="14850" width="17.5703125" style="638" customWidth="1"/>
    <col min="14851" max="14851" width="70.28515625" style="638" customWidth="1"/>
    <col min="14852" max="14852" width="17.5703125" style="638" customWidth="1"/>
    <col min="14853" max="14853" width="15.28515625" style="638" customWidth="1"/>
    <col min="14854" max="14854" width="48.7109375" style="638" customWidth="1"/>
    <col min="14855" max="14855" width="24.5703125" style="638" customWidth="1"/>
    <col min="14856" max="14856" width="48.7109375" style="638" customWidth="1"/>
    <col min="14857" max="14857" width="8.140625" style="638" customWidth="1"/>
    <col min="14858" max="14858" width="38.7109375" style="638" customWidth="1"/>
    <col min="14859" max="14859" width="21.140625" style="638" customWidth="1"/>
    <col min="14860" max="14860" width="82" style="638" customWidth="1"/>
    <col min="14861" max="15104" width="9.140625" style="638"/>
    <col min="15105" max="15105" width="70.28515625" style="638" customWidth="1"/>
    <col min="15106" max="15106" width="17.5703125" style="638" customWidth="1"/>
    <col min="15107" max="15107" width="70.28515625" style="638" customWidth="1"/>
    <col min="15108" max="15108" width="17.5703125" style="638" customWidth="1"/>
    <col min="15109" max="15109" width="15.28515625" style="638" customWidth="1"/>
    <col min="15110" max="15110" width="48.7109375" style="638" customWidth="1"/>
    <col min="15111" max="15111" width="24.5703125" style="638" customWidth="1"/>
    <col min="15112" max="15112" width="48.7109375" style="638" customWidth="1"/>
    <col min="15113" max="15113" width="8.140625" style="638" customWidth="1"/>
    <col min="15114" max="15114" width="38.7109375" style="638" customWidth="1"/>
    <col min="15115" max="15115" width="21.140625" style="638" customWidth="1"/>
    <col min="15116" max="15116" width="82" style="638" customWidth="1"/>
    <col min="15117" max="15360" width="9.140625" style="638"/>
    <col min="15361" max="15361" width="70.28515625" style="638" customWidth="1"/>
    <col min="15362" max="15362" width="17.5703125" style="638" customWidth="1"/>
    <col min="15363" max="15363" width="70.28515625" style="638" customWidth="1"/>
    <col min="15364" max="15364" width="17.5703125" style="638" customWidth="1"/>
    <col min="15365" max="15365" width="15.28515625" style="638" customWidth="1"/>
    <col min="15366" max="15366" width="48.7109375" style="638" customWidth="1"/>
    <col min="15367" max="15367" width="24.5703125" style="638" customWidth="1"/>
    <col min="15368" max="15368" width="48.7109375" style="638" customWidth="1"/>
    <col min="15369" max="15369" width="8.140625" style="638" customWidth="1"/>
    <col min="15370" max="15370" width="38.7109375" style="638" customWidth="1"/>
    <col min="15371" max="15371" width="21.140625" style="638" customWidth="1"/>
    <col min="15372" max="15372" width="82" style="638" customWidth="1"/>
    <col min="15373" max="15616" width="9.140625" style="638"/>
    <col min="15617" max="15617" width="70.28515625" style="638" customWidth="1"/>
    <col min="15618" max="15618" width="17.5703125" style="638" customWidth="1"/>
    <col min="15619" max="15619" width="70.28515625" style="638" customWidth="1"/>
    <col min="15620" max="15620" width="17.5703125" style="638" customWidth="1"/>
    <col min="15621" max="15621" width="15.28515625" style="638" customWidth="1"/>
    <col min="15622" max="15622" width="48.7109375" style="638" customWidth="1"/>
    <col min="15623" max="15623" width="24.5703125" style="638" customWidth="1"/>
    <col min="15624" max="15624" width="48.7109375" style="638" customWidth="1"/>
    <col min="15625" max="15625" width="8.140625" style="638" customWidth="1"/>
    <col min="15626" max="15626" width="38.7109375" style="638" customWidth="1"/>
    <col min="15627" max="15627" width="21.140625" style="638" customWidth="1"/>
    <col min="15628" max="15628" width="82" style="638" customWidth="1"/>
    <col min="15629" max="15872" width="9.140625" style="638"/>
    <col min="15873" max="15873" width="70.28515625" style="638" customWidth="1"/>
    <col min="15874" max="15874" width="17.5703125" style="638" customWidth="1"/>
    <col min="15875" max="15875" width="70.28515625" style="638" customWidth="1"/>
    <col min="15876" max="15876" width="17.5703125" style="638" customWidth="1"/>
    <col min="15877" max="15877" width="15.28515625" style="638" customWidth="1"/>
    <col min="15878" max="15878" width="48.7109375" style="638" customWidth="1"/>
    <col min="15879" max="15879" width="24.5703125" style="638" customWidth="1"/>
    <col min="15880" max="15880" width="48.7109375" style="638" customWidth="1"/>
    <col min="15881" max="15881" width="8.140625" style="638" customWidth="1"/>
    <col min="15882" max="15882" width="38.7109375" style="638" customWidth="1"/>
    <col min="15883" max="15883" width="21.140625" style="638" customWidth="1"/>
    <col min="15884" max="15884" width="82" style="638" customWidth="1"/>
    <col min="15885" max="16128" width="9.140625" style="638"/>
    <col min="16129" max="16129" width="70.28515625" style="638" customWidth="1"/>
    <col min="16130" max="16130" width="17.5703125" style="638" customWidth="1"/>
    <col min="16131" max="16131" width="70.28515625" style="638" customWidth="1"/>
    <col min="16132" max="16132" width="17.5703125" style="638" customWidth="1"/>
    <col min="16133" max="16133" width="15.28515625" style="638" customWidth="1"/>
    <col min="16134" max="16134" width="48.7109375" style="638" customWidth="1"/>
    <col min="16135" max="16135" width="24.5703125" style="638" customWidth="1"/>
    <col min="16136" max="16136" width="48.7109375" style="638" customWidth="1"/>
    <col min="16137" max="16137" width="8.140625" style="638" customWidth="1"/>
    <col min="16138" max="16138" width="38.7109375" style="638" customWidth="1"/>
    <col min="16139" max="16139" width="21.140625" style="638" customWidth="1"/>
    <col min="16140" max="16140" width="82" style="638" customWidth="1"/>
    <col min="16141" max="16384" width="9.140625" style="638"/>
  </cols>
  <sheetData>
    <row r="1" spans="1:13" ht="13.5" x14ac:dyDescent="0.25">
      <c r="A1" s="2209" t="s">
        <v>14878</v>
      </c>
      <c r="B1" s="2210"/>
      <c r="C1" s="2210"/>
      <c r="D1" s="2210"/>
      <c r="E1" s="2210"/>
      <c r="F1" s="2210"/>
      <c r="G1" s="2210"/>
      <c r="H1" s="2210"/>
      <c r="I1" s="2210"/>
      <c r="J1" s="2210"/>
      <c r="K1" s="2210"/>
      <c r="L1" s="2210"/>
      <c r="M1" s="2210"/>
    </row>
    <row r="2" spans="1:13" ht="13.5" customHeight="1" x14ac:dyDescent="0.25">
      <c r="A2" s="2209" t="s">
        <v>9127</v>
      </c>
      <c r="B2" s="2210"/>
      <c r="C2" s="2210"/>
      <c r="D2" s="2210"/>
      <c r="E2" s="2210"/>
      <c r="F2" s="2210"/>
      <c r="G2" s="2210"/>
      <c r="H2" s="2210"/>
      <c r="I2" s="2210"/>
      <c r="J2" s="2210"/>
      <c r="K2" s="2210"/>
      <c r="L2" s="2210"/>
      <c r="M2" s="2210"/>
    </row>
    <row r="3" spans="1:13" ht="13.5" customHeight="1" x14ac:dyDescent="0.25">
      <c r="A3" s="2209" t="s">
        <v>14879</v>
      </c>
      <c r="B3" s="2210"/>
      <c r="C3" s="2210"/>
      <c r="D3" s="2210"/>
      <c r="E3" s="2210"/>
      <c r="F3" s="2210"/>
      <c r="G3" s="2210"/>
      <c r="H3" s="2210"/>
      <c r="I3" s="2210"/>
      <c r="J3" s="2210"/>
      <c r="K3" s="2210"/>
      <c r="L3" s="2210"/>
      <c r="M3" s="2210"/>
    </row>
    <row r="4" spans="1:13" ht="13.5" customHeight="1" x14ac:dyDescent="0.2">
      <c r="G4" s="1926"/>
      <c r="K4" s="1926"/>
    </row>
    <row r="5" spans="1:13" ht="13.5" x14ac:dyDescent="0.25">
      <c r="A5" s="1930" t="s">
        <v>4449</v>
      </c>
      <c r="B5" s="1930" t="s">
        <v>4450</v>
      </c>
      <c r="C5" s="1930" t="s">
        <v>4451</v>
      </c>
      <c r="D5" s="1930" t="s">
        <v>4452</v>
      </c>
      <c r="E5" s="1930" t="s">
        <v>4453</v>
      </c>
      <c r="F5" s="1930" t="s">
        <v>4454</v>
      </c>
      <c r="G5" s="1930" t="s">
        <v>132</v>
      </c>
      <c r="H5" s="1930" t="s">
        <v>133</v>
      </c>
      <c r="I5" s="1930" t="s">
        <v>31</v>
      </c>
      <c r="J5" s="1930" t="s">
        <v>134</v>
      </c>
      <c r="K5" s="1930" t="s">
        <v>123</v>
      </c>
      <c r="L5" s="1930" t="s">
        <v>135</v>
      </c>
    </row>
    <row r="6" spans="1:13" x14ac:dyDescent="0.2">
      <c r="G6" s="1926"/>
      <c r="K6" s="1926"/>
    </row>
    <row r="7" spans="1:13" ht="13.5" x14ac:dyDescent="0.25">
      <c r="A7" s="1930" t="s">
        <v>4455</v>
      </c>
      <c r="B7" s="1930" t="s">
        <v>4456</v>
      </c>
      <c r="C7" s="1930" t="s">
        <v>4457</v>
      </c>
      <c r="D7" s="1930" t="s">
        <v>4458</v>
      </c>
      <c r="E7" s="1931" t="s">
        <v>33</v>
      </c>
      <c r="F7" s="1930" t="s">
        <v>33</v>
      </c>
      <c r="G7" s="1932">
        <v>97141</v>
      </c>
      <c r="H7" s="1930" t="s">
        <v>4873</v>
      </c>
      <c r="I7" s="1930" t="s">
        <v>136</v>
      </c>
      <c r="J7" s="1930" t="s">
        <v>137</v>
      </c>
      <c r="K7" s="1933">
        <v>5.38</v>
      </c>
      <c r="L7" s="1930" t="s">
        <v>138</v>
      </c>
    </row>
    <row r="8" spans="1:13" ht="13.5" x14ac:dyDescent="0.25">
      <c r="A8" s="1930" t="s">
        <v>4455</v>
      </c>
      <c r="B8" s="1930" t="s">
        <v>4456</v>
      </c>
      <c r="C8" s="1930" t="s">
        <v>4457</v>
      </c>
      <c r="D8" s="1930" t="s">
        <v>4458</v>
      </c>
      <c r="E8" s="1931" t="s">
        <v>33</v>
      </c>
      <c r="F8" s="1930" t="s">
        <v>33</v>
      </c>
      <c r="G8" s="1932">
        <v>97142</v>
      </c>
      <c r="H8" s="1930" t="s">
        <v>4874</v>
      </c>
      <c r="I8" s="1930" t="s">
        <v>136</v>
      </c>
      <c r="J8" s="1930" t="s">
        <v>137</v>
      </c>
      <c r="K8" s="1933">
        <v>6.01</v>
      </c>
      <c r="L8" s="1930" t="s">
        <v>138</v>
      </c>
    </row>
    <row r="9" spans="1:13" ht="13.5" x14ac:dyDescent="0.25">
      <c r="A9" s="1930" t="s">
        <v>4455</v>
      </c>
      <c r="B9" s="1930" t="s">
        <v>4456</v>
      </c>
      <c r="C9" s="1930" t="s">
        <v>4457</v>
      </c>
      <c r="D9" s="1930" t="s">
        <v>4458</v>
      </c>
      <c r="E9" s="1931" t="s">
        <v>33</v>
      </c>
      <c r="F9" s="1930" t="s">
        <v>33</v>
      </c>
      <c r="G9" s="1932">
        <v>97143</v>
      </c>
      <c r="H9" s="1930" t="s">
        <v>4875</v>
      </c>
      <c r="I9" s="1930" t="s">
        <v>136</v>
      </c>
      <c r="J9" s="1930" t="s">
        <v>137</v>
      </c>
      <c r="K9" s="1933">
        <v>7.57</v>
      </c>
      <c r="L9" s="1930" t="s">
        <v>138</v>
      </c>
    </row>
    <row r="10" spans="1:13" ht="13.5" x14ac:dyDescent="0.25">
      <c r="A10" s="1930" t="s">
        <v>4455</v>
      </c>
      <c r="B10" s="1930" t="s">
        <v>4456</v>
      </c>
      <c r="C10" s="1930" t="s">
        <v>4457</v>
      </c>
      <c r="D10" s="1930" t="s">
        <v>4458</v>
      </c>
      <c r="E10" s="1931" t="s">
        <v>33</v>
      </c>
      <c r="F10" s="1930" t="s">
        <v>33</v>
      </c>
      <c r="G10" s="1932">
        <v>97144</v>
      </c>
      <c r="H10" s="1930" t="s">
        <v>4876</v>
      </c>
      <c r="I10" s="1930" t="s">
        <v>136</v>
      </c>
      <c r="J10" s="1930" t="s">
        <v>137</v>
      </c>
      <c r="K10" s="1933">
        <v>9.1300000000000008</v>
      </c>
      <c r="L10" s="1930" t="s">
        <v>138</v>
      </c>
    </row>
    <row r="11" spans="1:13" ht="13.5" x14ac:dyDescent="0.25">
      <c r="A11" s="1930" t="s">
        <v>4455</v>
      </c>
      <c r="B11" s="1930" t="s">
        <v>4456</v>
      </c>
      <c r="C11" s="1930" t="s">
        <v>4457</v>
      </c>
      <c r="D11" s="1930" t="s">
        <v>4458</v>
      </c>
      <c r="E11" s="1931" t="s">
        <v>33</v>
      </c>
      <c r="F11" s="1930" t="s">
        <v>33</v>
      </c>
      <c r="G11" s="1932">
        <v>97145</v>
      </c>
      <c r="H11" s="1930" t="s">
        <v>4877</v>
      </c>
      <c r="I11" s="1930" t="s">
        <v>136</v>
      </c>
      <c r="J11" s="1930" t="s">
        <v>137</v>
      </c>
      <c r="K11" s="1933">
        <v>10.72</v>
      </c>
      <c r="L11" s="1930" t="s">
        <v>138</v>
      </c>
    </row>
    <row r="12" spans="1:13" ht="13.5" x14ac:dyDescent="0.25">
      <c r="A12" s="1930" t="s">
        <v>4455</v>
      </c>
      <c r="B12" s="1930" t="s">
        <v>4456</v>
      </c>
      <c r="C12" s="1930" t="s">
        <v>4457</v>
      </c>
      <c r="D12" s="1930" t="s">
        <v>4458</v>
      </c>
      <c r="E12" s="1931" t="s">
        <v>33</v>
      </c>
      <c r="F12" s="1930" t="s">
        <v>33</v>
      </c>
      <c r="G12" s="1932">
        <v>97146</v>
      </c>
      <c r="H12" s="1930" t="s">
        <v>4878</v>
      </c>
      <c r="I12" s="1930" t="s">
        <v>136</v>
      </c>
      <c r="J12" s="1930" t="s">
        <v>137</v>
      </c>
      <c r="K12" s="1933">
        <v>12.29</v>
      </c>
      <c r="L12" s="1930" t="s">
        <v>138</v>
      </c>
    </row>
    <row r="13" spans="1:13" ht="13.5" x14ac:dyDescent="0.25">
      <c r="A13" s="1930" t="s">
        <v>4455</v>
      </c>
      <c r="B13" s="1930" t="s">
        <v>4456</v>
      </c>
      <c r="C13" s="1930" t="s">
        <v>4457</v>
      </c>
      <c r="D13" s="1930" t="s">
        <v>4458</v>
      </c>
      <c r="E13" s="1931" t="s">
        <v>33</v>
      </c>
      <c r="F13" s="1930" t="s">
        <v>33</v>
      </c>
      <c r="G13" s="1932">
        <v>97147</v>
      </c>
      <c r="H13" s="1930" t="s">
        <v>4879</v>
      </c>
      <c r="I13" s="1930" t="s">
        <v>136</v>
      </c>
      <c r="J13" s="1930" t="s">
        <v>137</v>
      </c>
      <c r="K13" s="1933">
        <v>13.87</v>
      </c>
      <c r="L13" s="1930" t="s">
        <v>138</v>
      </c>
    </row>
    <row r="14" spans="1:13" ht="13.5" x14ac:dyDescent="0.25">
      <c r="A14" s="1930" t="s">
        <v>4455</v>
      </c>
      <c r="B14" s="1930" t="s">
        <v>4456</v>
      </c>
      <c r="C14" s="1930" t="s">
        <v>4457</v>
      </c>
      <c r="D14" s="1930" t="s">
        <v>4458</v>
      </c>
      <c r="E14" s="1931" t="s">
        <v>33</v>
      </c>
      <c r="F14" s="1930" t="s">
        <v>33</v>
      </c>
      <c r="G14" s="1932">
        <v>97148</v>
      </c>
      <c r="H14" s="1930" t="s">
        <v>4880</v>
      </c>
      <c r="I14" s="1930" t="s">
        <v>136</v>
      </c>
      <c r="J14" s="1930" t="s">
        <v>137</v>
      </c>
      <c r="K14" s="1933">
        <v>15.46</v>
      </c>
      <c r="L14" s="1930" t="s">
        <v>138</v>
      </c>
    </row>
    <row r="15" spans="1:13" ht="13.5" x14ac:dyDescent="0.25">
      <c r="A15" s="1930" t="s">
        <v>4455</v>
      </c>
      <c r="B15" s="1930" t="s">
        <v>4456</v>
      </c>
      <c r="C15" s="1930" t="s">
        <v>4457</v>
      </c>
      <c r="D15" s="1930" t="s">
        <v>4458</v>
      </c>
      <c r="E15" s="1931" t="s">
        <v>33</v>
      </c>
      <c r="F15" s="1930" t="s">
        <v>33</v>
      </c>
      <c r="G15" s="1932">
        <v>97149</v>
      </c>
      <c r="H15" s="1930" t="s">
        <v>4881</v>
      </c>
      <c r="I15" s="1930" t="s">
        <v>136</v>
      </c>
      <c r="J15" s="1930" t="s">
        <v>137</v>
      </c>
      <c r="K15" s="1933">
        <v>17.04</v>
      </c>
      <c r="L15" s="1930" t="s">
        <v>138</v>
      </c>
    </row>
    <row r="16" spans="1:13" ht="13.5" x14ac:dyDescent="0.25">
      <c r="A16" s="1930" t="s">
        <v>4455</v>
      </c>
      <c r="B16" s="1930" t="s">
        <v>4456</v>
      </c>
      <c r="C16" s="1930" t="s">
        <v>4457</v>
      </c>
      <c r="D16" s="1930" t="s">
        <v>4458</v>
      </c>
      <c r="E16" s="1931" t="s">
        <v>33</v>
      </c>
      <c r="F16" s="1930" t="s">
        <v>33</v>
      </c>
      <c r="G16" s="1932">
        <v>97150</v>
      </c>
      <c r="H16" s="1930" t="s">
        <v>4882</v>
      </c>
      <c r="I16" s="1930" t="s">
        <v>136</v>
      </c>
      <c r="J16" s="1930" t="s">
        <v>137</v>
      </c>
      <c r="K16" s="1933">
        <v>20.61</v>
      </c>
      <c r="L16" s="1930" t="s">
        <v>138</v>
      </c>
    </row>
    <row r="17" spans="1:12" ht="13.5" x14ac:dyDescent="0.25">
      <c r="A17" s="1930" t="s">
        <v>4455</v>
      </c>
      <c r="B17" s="1930" t="s">
        <v>4456</v>
      </c>
      <c r="C17" s="1930" t="s">
        <v>4457</v>
      </c>
      <c r="D17" s="1930" t="s">
        <v>4458</v>
      </c>
      <c r="E17" s="1931" t="s">
        <v>33</v>
      </c>
      <c r="F17" s="1930" t="s">
        <v>33</v>
      </c>
      <c r="G17" s="1932">
        <v>97151</v>
      </c>
      <c r="H17" s="1930" t="s">
        <v>4883</v>
      </c>
      <c r="I17" s="1930" t="s">
        <v>136</v>
      </c>
      <c r="J17" s="1930" t="s">
        <v>137</v>
      </c>
      <c r="K17" s="1933">
        <v>24.1</v>
      </c>
      <c r="L17" s="1930" t="s">
        <v>138</v>
      </c>
    </row>
    <row r="18" spans="1:12" ht="13.5" x14ac:dyDescent="0.25">
      <c r="A18" s="1930" t="s">
        <v>4455</v>
      </c>
      <c r="B18" s="1930" t="s">
        <v>4456</v>
      </c>
      <c r="C18" s="1930" t="s">
        <v>4457</v>
      </c>
      <c r="D18" s="1930" t="s">
        <v>4458</v>
      </c>
      <c r="E18" s="1931" t="s">
        <v>33</v>
      </c>
      <c r="F18" s="1930" t="s">
        <v>33</v>
      </c>
      <c r="G18" s="1932">
        <v>97152</v>
      </c>
      <c r="H18" s="1930" t="s">
        <v>4884</v>
      </c>
      <c r="I18" s="1930" t="s">
        <v>136</v>
      </c>
      <c r="J18" s="1930" t="s">
        <v>137</v>
      </c>
      <c r="K18" s="1933">
        <v>27.38</v>
      </c>
      <c r="L18" s="1930" t="s">
        <v>138</v>
      </c>
    </row>
    <row r="19" spans="1:12" ht="13.5" x14ac:dyDescent="0.25">
      <c r="A19" s="1930" t="s">
        <v>4455</v>
      </c>
      <c r="B19" s="1930" t="s">
        <v>4456</v>
      </c>
      <c r="C19" s="1930" t="s">
        <v>4457</v>
      </c>
      <c r="D19" s="1930" t="s">
        <v>4458</v>
      </c>
      <c r="E19" s="1931" t="s">
        <v>33</v>
      </c>
      <c r="F19" s="1930" t="s">
        <v>33</v>
      </c>
      <c r="G19" s="1932">
        <v>97153</v>
      </c>
      <c r="H19" s="1930" t="s">
        <v>4885</v>
      </c>
      <c r="I19" s="1930" t="s">
        <v>136</v>
      </c>
      <c r="J19" s="1930" t="s">
        <v>137</v>
      </c>
      <c r="K19" s="1933">
        <v>30.77</v>
      </c>
      <c r="L19" s="1930" t="s">
        <v>138</v>
      </c>
    </row>
    <row r="20" spans="1:12" ht="13.5" x14ac:dyDescent="0.25">
      <c r="A20" s="1930" t="s">
        <v>4455</v>
      </c>
      <c r="B20" s="1930" t="s">
        <v>4456</v>
      </c>
      <c r="C20" s="1930" t="s">
        <v>4457</v>
      </c>
      <c r="D20" s="1930" t="s">
        <v>4458</v>
      </c>
      <c r="E20" s="1931" t="s">
        <v>33</v>
      </c>
      <c r="F20" s="1930" t="s">
        <v>33</v>
      </c>
      <c r="G20" s="1932">
        <v>97154</v>
      </c>
      <c r="H20" s="1930" t="s">
        <v>4886</v>
      </c>
      <c r="I20" s="1930" t="s">
        <v>136</v>
      </c>
      <c r="J20" s="1930" t="s">
        <v>137</v>
      </c>
      <c r="K20" s="1933">
        <v>34.200000000000003</v>
      </c>
      <c r="L20" s="1930" t="s">
        <v>138</v>
      </c>
    </row>
    <row r="21" spans="1:12" ht="13.5" x14ac:dyDescent="0.25">
      <c r="A21" s="1930" t="s">
        <v>4455</v>
      </c>
      <c r="B21" s="1930" t="s">
        <v>4456</v>
      </c>
      <c r="C21" s="1930" t="s">
        <v>4457</v>
      </c>
      <c r="D21" s="1930" t="s">
        <v>4458</v>
      </c>
      <c r="E21" s="1931" t="s">
        <v>33</v>
      </c>
      <c r="F21" s="1930" t="s">
        <v>33</v>
      </c>
      <c r="G21" s="1932">
        <v>97155</v>
      </c>
      <c r="H21" s="1930" t="s">
        <v>4887</v>
      </c>
      <c r="I21" s="1930" t="s">
        <v>136</v>
      </c>
      <c r="J21" s="1930" t="s">
        <v>137</v>
      </c>
      <c r="K21" s="1933">
        <v>37.619999999999997</v>
      </c>
      <c r="L21" s="1930" t="s">
        <v>138</v>
      </c>
    </row>
    <row r="22" spans="1:12" ht="13.5" x14ac:dyDescent="0.25">
      <c r="A22" s="1930" t="s">
        <v>4455</v>
      </c>
      <c r="B22" s="1930" t="s">
        <v>4456</v>
      </c>
      <c r="C22" s="1930" t="s">
        <v>4457</v>
      </c>
      <c r="D22" s="1930" t="s">
        <v>4458</v>
      </c>
      <c r="E22" s="1931" t="s">
        <v>33</v>
      </c>
      <c r="F22" s="1930" t="s">
        <v>33</v>
      </c>
      <c r="G22" s="1932">
        <v>97156</v>
      </c>
      <c r="H22" s="1930" t="s">
        <v>4888</v>
      </c>
      <c r="I22" s="1930" t="s">
        <v>136</v>
      </c>
      <c r="J22" s="1930" t="s">
        <v>137</v>
      </c>
      <c r="K22" s="1933">
        <v>44.81</v>
      </c>
      <c r="L22" s="1930" t="s">
        <v>138</v>
      </c>
    </row>
    <row r="23" spans="1:12" ht="13.5" x14ac:dyDescent="0.25">
      <c r="A23" s="1930" t="s">
        <v>4455</v>
      </c>
      <c r="B23" s="1930" t="s">
        <v>4456</v>
      </c>
      <c r="C23" s="1930" t="s">
        <v>4457</v>
      </c>
      <c r="D23" s="1930" t="s">
        <v>4458</v>
      </c>
      <c r="E23" s="1931" t="s">
        <v>33</v>
      </c>
      <c r="F23" s="1930" t="s">
        <v>33</v>
      </c>
      <c r="G23" s="1932">
        <v>97157</v>
      </c>
      <c r="H23" s="1930" t="s">
        <v>4889</v>
      </c>
      <c r="I23" s="1930" t="s">
        <v>136</v>
      </c>
      <c r="J23" s="1930" t="s">
        <v>137</v>
      </c>
      <c r="K23" s="1933">
        <v>3.27</v>
      </c>
      <c r="L23" s="1930" t="s">
        <v>138</v>
      </c>
    </row>
    <row r="24" spans="1:12" ht="13.5" x14ac:dyDescent="0.25">
      <c r="A24" s="1930" t="s">
        <v>4455</v>
      </c>
      <c r="B24" s="1930" t="s">
        <v>4456</v>
      </c>
      <c r="C24" s="1930" t="s">
        <v>4457</v>
      </c>
      <c r="D24" s="1930" t="s">
        <v>4458</v>
      </c>
      <c r="E24" s="1931" t="s">
        <v>33</v>
      </c>
      <c r="F24" s="1930" t="s">
        <v>33</v>
      </c>
      <c r="G24" s="1932">
        <v>97158</v>
      </c>
      <c r="H24" s="1930" t="s">
        <v>4890</v>
      </c>
      <c r="I24" s="1930" t="s">
        <v>136</v>
      </c>
      <c r="J24" s="1930" t="s">
        <v>137</v>
      </c>
      <c r="K24" s="1933">
        <v>3.67</v>
      </c>
      <c r="L24" s="1930" t="s">
        <v>138</v>
      </c>
    </row>
    <row r="25" spans="1:12" ht="13.5" x14ac:dyDescent="0.25">
      <c r="A25" s="1930" t="s">
        <v>4455</v>
      </c>
      <c r="B25" s="1930" t="s">
        <v>4456</v>
      </c>
      <c r="C25" s="1930" t="s">
        <v>4457</v>
      </c>
      <c r="D25" s="1930" t="s">
        <v>4458</v>
      </c>
      <c r="E25" s="1931" t="s">
        <v>33</v>
      </c>
      <c r="F25" s="1930" t="s">
        <v>33</v>
      </c>
      <c r="G25" s="1932">
        <v>97159</v>
      </c>
      <c r="H25" s="1930" t="s">
        <v>4891</v>
      </c>
      <c r="I25" s="1930" t="s">
        <v>136</v>
      </c>
      <c r="J25" s="1930" t="s">
        <v>137</v>
      </c>
      <c r="K25" s="1933">
        <v>4.6100000000000003</v>
      </c>
      <c r="L25" s="1930" t="s">
        <v>138</v>
      </c>
    </row>
    <row r="26" spans="1:12" ht="13.5" x14ac:dyDescent="0.25">
      <c r="A26" s="1930" t="s">
        <v>4455</v>
      </c>
      <c r="B26" s="1930" t="s">
        <v>4456</v>
      </c>
      <c r="C26" s="1930" t="s">
        <v>4457</v>
      </c>
      <c r="D26" s="1930" t="s">
        <v>4458</v>
      </c>
      <c r="E26" s="1931" t="s">
        <v>33</v>
      </c>
      <c r="F26" s="1930" t="s">
        <v>33</v>
      </c>
      <c r="G26" s="1932">
        <v>97160</v>
      </c>
      <c r="H26" s="1930" t="s">
        <v>4892</v>
      </c>
      <c r="I26" s="1930" t="s">
        <v>136</v>
      </c>
      <c r="J26" s="1930" t="s">
        <v>137</v>
      </c>
      <c r="K26" s="1933">
        <v>5.58</v>
      </c>
      <c r="L26" s="1930" t="s">
        <v>138</v>
      </c>
    </row>
    <row r="27" spans="1:12" ht="13.5" x14ac:dyDescent="0.25">
      <c r="A27" s="1930" t="s">
        <v>4455</v>
      </c>
      <c r="B27" s="1930" t="s">
        <v>4456</v>
      </c>
      <c r="C27" s="1930" t="s">
        <v>4457</v>
      </c>
      <c r="D27" s="1930" t="s">
        <v>4458</v>
      </c>
      <c r="E27" s="1931" t="s">
        <v>33</v>
      </c>
      <c r="F27" s="1930" t="s">
        <v>33</v>
      </c>
      <c r="G27" s="1932">
        <v>97161</v>
      </c>
      <c r="H27" s="1930" t="s">
        <v>4893</v>
      </c>
      <c r="I27" s="1930" t="s">
        <v>136</v>
      </c>
      <c r="J27" s="1930" t="s">
        <v>137</v>
      </c>
      <c r="K27" s="1933">
        <v>6.56</v>
      </c>
      <c r="L27" s="1930" t="s">
        <v>138</v>
      </c>
    </row>
    <row r="28" spans="1:12" ht="13.5" x14ac:dyDescent="0.25">
      <c r="A28" s="1930" t="s">
        <v>4455</v>
      </c>
      <c r="B28" s="1930" t="s">
        <v>4456</v>
      </c>
      <c r="C28" s="1930" t="s">
        <v>4457</v>
      </c>
      <c r="D28" s="1930" t="s">
        <v>4458</v>
      </c>
      <c r="E28" s="1931" t="s">
        <v>33</v>
      </c>
      <c r="F28" s="1930" t="s">
        <v>33</v>
      </c>
      <c r="G28" s="1932">
        <v>97162</v>
      </c>
      <c r="H28" s="1930" t="s">
        <v>4894</v>
      </c>
      <c r="I28" s="1930" t="s">
        <v>136</v>
      </c>
      <c r="J28" s="1930" t="s">
        <v>137</v>
      </c>
      <c r="K28" s="1933">
        <v>7.52</v>
      </c>
      <c r="L28" s="1930" t="s">
        <v>138</v>
      </c>
    </row>
    <row r="29" spans="1:12" ht="13.5" x14ac:dyDescent="0.25">
      <c r="A29" s="1930" t="s">
        <v>4455</v>
      </c>
      <c r="B29" s="1930" t="s">
        <v>4456</v>
      </c>
      <c r="C29" s="1930" t="s">
        <v>4457</v>
      </c>
      <c r="D29" s="1930" t="s">
        <v>4458</v>
      </c>
      <c r="E29" s="1931" t="s">
        <v>33</v>
      </c>
      <c r="F29" s="1930" t="s">
        <v>33</v>
      </c>
      <c r="G29" s="1932">
        <v>97163</v>
      </c>
      <c r="H29" s="1930" t="s">
        <v>4895</v>
      </c>
      <c r="I29" s="1930" t="s">
        <v>136</v>
      </c>
      <c r="J29" s="1930" t="s">
        <v>137</v>
      </c>
      <c r="K29" s="1933">
        <v>8.5</v>
      </c>
      <c r="L29" s="1930" t="s">
        <v>138</v>
      </c>
    </row>
    <row r="30" spans="1:12" ht="13.5" x14ac:dyDescent="0.25">
      <c r="A30" s="1930" t="s">
        <v>4455</v>
      </c>
      <c r="B30" s="1930" t="s">
        <v>4456</v>
      </c>
      <c r="C30" s="1930" t="s">
        <v>4457</v>
      </c>
      <c r="D30" s="1930" t="s">
        <v>4458</v>
      </c>
      <c r="E30" s="1931" t="s">
        <v>33</v>
      </c>
      <c r="F30" s="1930" t="s">
        <v>33</v>
      </c>
      <c r="G30" s="1932">
        <v>97164</v>
      </c>
      <c r="H30" s="1930" t="s">
        <v>4896</v>
      </c>
      <c r="I30" s="1930" t="s">
        <v>136</v>
      </c>
      <c r="J30" s="1930" t="s">
        <v>137</v>
      </c>
      <c r="K30" s="1933">
        <v>9.49</v>
      </c>
      <c r="L30" s="1930" t="s">
        <v>138</v>
      </c>
    </row>
    <row r="31" spans="1:12" ht="13.5" x14ac:dyDescent="0.25">
      <c r="A31" s="1930" t="s">
        <v>4455</v>
      </c>
      <c r="B31" s="1930" t="s">
        <v>4456</v>
      </c>
      <c r="C31" s="1930" t="s">
        <v>4457</v>
      </c>
      <c r="D31" s="1930" t="s">
        <v>4458</v>
      </c>
      <c r="E31" s="1931" t="s">
        <v>33</v>
      </c>
      <c r="F31" s="1930" t="s">
        <v>33</v>
      </c>
      <c r="G31" s="1932">
        <v>97165</v>
      </c>
      <c r="H31" s="1930" t="s">
        <v>4897</v>
      </c>
      <c r="I31" s="1930" t="s">
        <v>136</v>
      </c>
      <c r="J31" s="1930" t="s">
        <v>137</v>
      </c>
      <c r="K31" s="1933">
        <v>10.46</v>
      </c>
      <c r="L31" s="1930" t="s">
        <v>138</v>
      </c>
    </row>
    <row r="32" spans="1:12" ht="13.5" x14ac:dyDescent="0.25">
      <c r="A32" s="1930" t="s">
        <v>4455</v>
      </c>
      <c r="B32" s="1930" t="s">
        <v>4456</v>
      </c>
      <c r="C32" s="1930" t="s">
        <v>4457</v>
      </c>
      <c r="D32" s="1930" t="s">
        <v>4458</v>
      </c>
      <c r="E32" s="1931" t="s">
        <v>33</v>
      </c>
      <c r="F32" s="1930" t="s">
        <v>33</v>
      </c>
      <c r="G32" s="1932">
        <v>97166</v>
      </c>
      <c r="H32" s="1930" t="s">
        <v>4898</v>
      </c>
      <c r="I32" s="1930" t="s">
        <v>136</v>
      </c>
      <c r="J32" s="1930" t="s">
        <v>137</v>
      </c>
      <c r="K32" s="1933">
        <v>12.68</v>
      </c>
      <c r="L32" s="1930" t="s">
        <v>138</v>
      </c>
    </row>
    <row r="33" spans="1:12" ht="13.5" x14ac:dyDescent="0.25">
      <c r="A33" s="1930" t="s">
        <v>4455</v>
      </c>
      <c r="B33" s="1930" t="s">
        <v>4456</v>
      </c>
      <c r="C33" s="1930" t="s">
        <v>4457</v>
      </c>
      <c r="D33" s="1930" t="s">
        <v>4458</v>
      </c>
      <c r="E33" s="1931" t="s">
        <v>33</v>
      </c>
      <c r="F33" s="1930" t="s">
        <v>33</v>
      </c>
      <c r="G33" s="1932">
        <v>97167</v>
      </c>
      <c r="H33" s="1930" t="s">
        <v>4899</v>
      </c>
      <c r="I33" s="1930" t="s">
        <v>136</v>
      </c>
      <c r="J33" s="1930" t="s">
        <v>137</v>
      </c>
      <c r="K33" s="1933">
        <v>14.83</v>
      </c>
      <c r="L33" s="1930" t="s">
        <v>138</v>
      </c>
    </row>
    <row r="34" spans="1:12" ht="13.5" x14ac:dyDescent="0.25">
      <c r="A34" s="1930" t="s">
        <v>4455</v>
      </c>
      <c r="B34" s="1930" t="s">
        <v>4456</v>
      </c>
      <c r="C34" s="1930" t="s">
        <v>4457</v>
      </c>
      <c r="D34" s="1930" t="s">
        <v>4458</v>
      </c>
      <c r="E34" s="1931" t="s">
        <v>33</v>
      </c>
      <c r="F34" s="1930" t="s">
        <v>33</v>
      </c>
      <c r="G34" s="1932">
        <v>97168</v>
      </c>
      <c r="H34" s="1930" t="s">
        <v>4900</v>
      </c>
      <c r="I34" s="1930" t="s">
        <v>136</v>
      </c>
      <c r="J34" s="1930" t="s">
        <v>137</v>
      </c>
      <c r="K34" s="1933">
        <v>16.79</v>
      </c>
      <c r="L34" s="1930" t="s">
        <v>138</v>
      </c>
    </row>
    <row r="35" spans="1:12" ht="13.5" x14ac:dyDescent="0.25">
      <c r="A35" s="1930" t="s">
        <v>4455</v>
      </c>
      <c r="B35" s="1930" t="s">
        <v>4456</v>
      </c>
      <c r="C35" s="1930" t="s">
        <v>4457</v>
      </c>
      <c r="D35" s="1930" t="s">
        <v>4458</v>
      </c>
      <c r="E35" s="1931" t="s">
        <v>33</v>
      </c>
      <c r="F35" s="1930" t="s">
        <v>33</v>
      </c>
      <c r="G35" s="1932">
        <v>97169</v>
      </c>
      <c r="H35" s="1930" t="s">
        <v>4901</v>
      </c>
      <c r="I35" s="1930" t="s">
        <v>136</v>
      </c>
      <c r="J35" s="1930" t="s">
        <v>137</v>
      </c>
      <c r="K35" s="1933">
        <v>18.87</v>
      </c>
      <c r="L35" s="1930" t="s">
        <v>138</v>
      </c>
    </row>
    <row r="36" spans="1:12" ht="13.5" x14ac:dyDescent="0.25">
      <c r="A36" s="1930" t="s">
        <v>4455</v>
      </c>
      <c r="B36" s="1930" t="s">
        <v>4456</v>
      </c>
      <c r="C36" s="1930" t="s">
        <v>4457</v>
      </c>
      <c r="D36" s="1930" t="s">
        <v>4458</v>
      </c>
      <c r="E36" s="1931" t="s">
        <v>33</v>
      </c>
      <c r="F36" s="1930" t="s">
        <v>33</v>
      </c>
      <c r="G36" s="1932">
        <v>97170</v>
      </c>
      <c r="H36" s="1930" t="s">
        <v>4902</v>
      </c>
      <c r="I36" s="1930" t="s">
        <v>136</v>
      </c>
      <c r="J36" s="1930" t="s">
        <v>137</v>
      </c>
      <c r="K36" s="1933">
        <v>20.98</v>
      </c>
      <c r="L36" s="1930" t="s">
        <v>138</v>
      </c>
    </row>
    <row r="37" spans="1:12" ht="13.5" x14ac:dyDescent="0.25">
      <c r="A37" s="1930" t="s">
        <v>4455</v>
      </c>
      <c r="B37" s="1930" t="s">
        <v>4456</v>
      </c>
      <c r="C37" s="1930" t="s">
        <v>4457</v>
      </c>
      <c r="D37" s="1930" t="s">
        <v>4458</v>
      </c>
      <c r="E37" s="1931" t="s">
        <v>33</v>
      </c>
      <c r="F37" s="1930" t="s">
        <v>33</v>
      </c>
      <c r="G37" s="1932">
        <v>97171</v>
      </c>
      <c r="H37" s="1930" t="s">
        <v>4903</v>
      </c>
      <c r="I37" s="1930" t="s">
        <v>136</v>
      </c>
      <c r="J37" s="1930" t="s">
        <v>137</v>
      </c>
      <c r="K37" s="1933">
        <v>23.1</v>
      </c>
      <c r="L37" s="1930" t="s">
        <v>138</v>
      </c>
    </row>
    <row r="38" spans="1:12" ht="13.5" x14ac:dyDescent="0.25">
      <c r="A38" s="1930" t="s">
        <v>4455</v>
      </c>
      <c r="B38" s="1930" t="s">
        <v>4456</v>
      </c>
      <c r="C38" s="1930" t="s">
        <v>4457</v>
      </c>
      <c r="D38" s="1930" t="s">
        <v>4458</v>
      </c>
      <c r="E38" s="1931" t="s">
        <v>33</v>
      </c>
      <c r="F38" s="1930" t="s">
        <v>33</v>
      </c>
      <c r="G38" s="1932">
        <v>97172</v>
      </c>
      <c r="H38" s="1930" t="s">
        <v>4904</v>
      </c>
      <c r="I38" s="1930" t="s">
        <v>136</v>
      </c>
      <c r="J38" s="1930" t="s">
        <v>137</v>
      </c>
      <c r="K38" s="1933">
        <v>27.65</v>
      </c>
      <c r="L38" s="1930" t="s">
        <v>138</v>
      </c>
    </row>
    <row r="39" spans="1:12" ht="13.5" x14ac:dyDescent="0.25">
      <c r="A39" s="1930" t="s">
        <v>4455</v>
      </c>
      <c r="B39" s="1930" t="s">
        <v>4456</v>
      </c>
      <c r="C39" s="1930" t="s">
        <v>4905</v>
      </c>
      <c r="D39" s="1930" t="s">
        <v>4906</v>
      </c>
      <c r="E39" s="1931" t="s">
        <v>33</v>
      </c>
      <c r="F39" s="1930" t="s">
        <v>33</v>
      </c>
      <c r="G39" s="1932">
        <v>97173</v>
      </c>
      <c r="H39" s="1930" t="s">
        <v>4907</v>
      </c>
      <c r="I39" s="1930" t="s">
        <v>136</v>
      </c>
      <c r="J39" s="1930" t="s">
        <v>137</v>
      </c>
      <c r="K39" s="1933">
        <v>23.68</v>
      </c>
      <c r="L39" s="1930" t="s">
        <v>138</v>
      </c>
    </row>
    <row r="40" spans="1:12" ht="13.5" x14ac:dyDescent="0.25">
      <c r="A40" s="1930" t="s">
        <v>4455</v>
      </c>
      <c r="B40" s="1930" t="s">
        <v>4456</v>
      </c>
      <c r="C40" s="1930" t="s">
        <v>4905</v>
      </c>
      <c r="D40" s="1930" t="s">
        <v>4906</v>
      </c>
      <c r="E40" s="1931" t="s">
        <v>33</v>
      </c>
      <c r="F40" s="1930" t="s">
        <v>33</v>
      </c>
      <c r="G40" s="1932">
        <v>97174</v>
      </c>
      <c r="H40" s="1930" t="s">
        <v>4908</v>
      </c>
      <c r="I40" s="1930" t="s">
        <v>136</v>
      </c>
      <c r="J40" s="1930" t="s">
        <v>137</v>
      </c>
      <c r="K40" s="1933">
        <v>27.4</v>
      </c>
      <c r="L40" s="1930" t="s">
        <v>138</v>
      </c>
    </row>
    <row r="41" spans="1:12" ht="13.5" x14ac:dyDescent="0.25">
      <c r="A41" s="1930" t="s">
        <v>4455</v>
      </c>
      <c r="B41" s="1930" t="s">
        <v>4456</v>
      </c>
      <c r="C41" s="1930" t="s">
        <v>4905</v>
      </c>
      <c r="D41" s="1930" t="s">
        <v>4906</v>
      </c>
      <c r="E41" s="1931" t="s">
        <v>33</v>
      </c>
      <c r="F41" s="1930" t="s">
        <v>33</v>
      </c>
      <c r="G41" s="1932">
        <v>97175</v>
      </c>
      <c r="H41" s="1930" t="s">
        <v>4909</v>
      </c>
      <c r="I41" s="1930" t="s">
        <v>136</v>
      </c>
      <c r="J41" s="1930" t="s">
        <v>137</v>
      </c>
      <c r="K41" s="1933">
        <v>31.11</v>
      </c>
      <c r="L41" s="1930" t="s">
        <v>138</v>
      </c>
    </row>
    <row r="42" spans="1:12" ht="13.5" x14ac:dyDescent="0.25">
      <c r="A42" s="1930" t="s">
        <v>4455</v>
      </c>
      <c r="B42" s="1930" t="s">
        <v>4456</v>
      </c>
      <c r="C42" s="1930" t="s">
        <v>4905</v>
      </c>
      <c r="D42" s="1930" t="s">
        <v>4906</v>
      </c>
      <c r="E42" s="1931" t="s">
        <v>33</v>
      </c>
      <c r="F42" s="1930" t="s">
        <v>33</v>
      </c>
      <c r="G42" s="1932">
        <v>97176</v>
      </c>
      <c r="H42" s="1930" t="s">
        <v>4910</v>
      </c>
      <c r="I42" s="1930" t="s">
        <v>136</v>
      </c>
      <c r="J42" s="1930" t="s">
        <v>137</v>
      </c>
      <c r="K42" s="1933">
        <v>34.82</v>
      </c>
      <c r="L42" s="1930" t="s">
        <v>138</v>
      </c>
    </row>
    <row r="43" spans="1:12" ht="13.5" x14ac:dyDescent="0.25">
      <c r="A43" s="1930" t="s">
        <v>4455</v>
      </c>
      <c r="B43" s="1930" t="s">
        <v>4456</v>
      </c>
      <c r="C43" s="1930" t="s">
        <v>4905</v>
      </c>
      <c r="D43" s="1930" t="s">
        <v>4906</v>
      </c>
      <c r="E43" s="1931" t="s">
        <v>33</v>
      </c>
      <c r="F43" s="1930" t="s">
        <v>33</v>
      </c>
      <c r="G43" s="1932">
        <v>97177</v>
      </c>
      <c r="H43" s="1930" t="s">
        <v>4911</v>
      </c>
      <c r="I43" s="1930" t="s">
        <v>136</v>
      </c>
      <c r="J43" s="1930" t="s">
        <v>137</v>
      </c>
      <c r="K43" s="1933">
        <v>42.26</v>
      </c>
      <c r="L43" s="1930" t="s">
        <v>138</v>
      </c>
    </row>
    <row r="44" spans="1:12" ht="13.5" x14ac:dyDescent="0.25">
      <c r="A44" s="1930" t="s">
        <v>4455</v>
      </c>
      <c r="B44" s="1930" t="s">
        <v>4456</v>
      </c>
      <c r="C44" s="1930" t="s">
        <v>4905</v>
      </c>
      <c r="D44" s="1930" t="s">
        <v>4906</v>
      </c>
      <c r="E44" s="1931" t="s">
        <v>33</v>
      </c>
      <c r="F44" s="1930" t="s">
        <v>33</v>
      </c>
      <c r="G44" s="1932">
        <v>97178</v>
      </c>
      <c r="H44" s="1930" t="s">
        <v>4912</v>
      </c>
      <c r="I44" s="1930" t="s">
        <v>136</v>
      </c>
      <c r="J44" s="1930" t="s">
        <v>137</v>
      </c>
      <c r="K44" s="1933">
        <v>49.7</v>
      </c>
      <c r="L44" s="1930" t="s">
        <v>138</v>
      </c>
    </row>
    <row r="45" spans="1:12" ht="13.5" x14ac:dyDescent="0.25">
      <c r="A45" s="1930" t="s">
        <v>4455</v>
      </c>
      <c r="B45" s="1930" t="s">
        <v>4456</v>
      </c>
      <c r="C45" s="1930" t="s">
        <v>4905</v>
      </c>
      <c r="D45" s="1930" t="s">
        <v>4906</v>
      </c>
      <c r="E45" s="1931" t="s">
        <v>33</v>
      </c>
      <c r="F45" s="1930" t="s">
        <v>33</v>
      </c>
      <c r="G45" s="1932">
        <v>97179</v>
      </c>
      <c r="H45" s="1930" t="s">
        <v>4913</v>
      </c>
      <c r="I45" s="1930" t="s">
        <v>136</v>
      </c>
      <c r="J45" s="1930" t="s">
        <v>137</v>
      </c>
      <c r="K45" s="1933">
        <v>57.12</v>
      </c>
      <c r="L45" s="1930" t="s">
        <v>138</v>
      </c>
    </row>
    <row r="46" spans="1:12" ht="13.5" x14ac:dyDescent="0.25">
      <c r="A46" s="1930" t="s">
        <v>4455</v>
      </c>
      <c r="B46" s="1930" t="s">
        <v>4456</v>
      </c>
      <c r="C46" s="1930" t="s">
        <v>4905</v>
      </c>
      <c r="D46" s="1930" t="s">
        <v>4906</v>
      </c>
      <c r="E46" s="1931" t="s">
        <v>33</v>
      </c>
      <c r="F46" s="1930" t="s">
        <v>33</v>
      </c>
      <c r="G46" s="1932">
        <v>97180</v>
      </c>
      <c r="H46" s="1930" t="s">
        <v>4914</v>
      </c>
      <c r="I46" s="1930" t="s">
        <v>136</v>
      </c>
      <c r="J46" s="1930" t="s">
        <v>137</v>
      </c>
      <c r="K46" s="1933">
        <v>64.55</v>
      </c>
      <c r="L46" s="1930" t="s">
        <v>138</v>
      </c>
    </row>
    <row r="47" spans="1:12" ht="13.5" x14ac:dyDescent="0.25">
      <c r="A47" s="1930" t="s">
        <v>4455</v>
      </c>
      <c r="B47" s="1930" t="s">
        <v>4456</v>
      </c>
      <c r="C47" s="1930" t="s">
        <v>4905</v>
      </c>
      <c r="D47" s="1930" t="s">
        <v>4906</v>
      </c>
      <c r="E47" s="1931" t="s">
        <v>33</v>
      </c>
      <c r="F47" s="1930" t="s">
        <v>33</v>
      </c>
      <c r="G47" s="1932">
        <v>97181</v>
      </c>
      <c r="H47" s="1930" t="s">
        <v>4915</v>
      </c>
      <c r="I47" s="1930" t="s">
        <v>136</v>
      </c>
      <c r="J47" s="1930" t="s">
        <v>137</v>
      </c>
      <c r="K47" s="1933">
        <v>74.39</v>
      </c>
      <c r="L47" s="1930" t="s">
        <v>138</v>
      </c>
    </row>
    <row r="48" spans="1:12" ht="13.5" x14ac:dyDescent="0.25">
      <c r="A48" s="1930" t="s">
        <v>4455</v>
      </c>
      <c r="B48" s="1930" t="s">
        <v>4456</v>
      </c>
      <c r="C48" s="1930" t="s">
        <v>4905</v>
      </c>
      <c r="D48" s="1930" t="s">
        <v>4906</v>
      </c>
      <c r="E48" s="1931" t="s">
        <v>33</v>
      </c>
      <c r="F48" s="1930" t="s">
        <v>33</v>
      </c>
      <c r="G48" s="1932">
        <v>97182</v>
      </c>
      <c r="H48" s="1930" t="s">
        <v>4916</v>
      </c>
      <c r="I48" s="1930" t="s">
        <v>136</v>
      </c>
      <c r="J48" s="1930" t="s">
        <v>137</v>
      </c>
      <c r="K48" s="1933">
        <v>82.08</v>
      </c>
      <c r="L48" s="1930" t="s">
        <v>138</v>
      </c>
    </row>
    <row r="49" spans="1:12" ht="13.5" x14ac:dyDescent="0.25">
      <c r="A49" s="1930" t="s">
        <v>4455</v>
      </c>
      <c r="B49" s="1930" t="s">
        <v>4456</v>
      </c>
      <c r="C49" s="1930" t="s">
        <v>4905</v>
      </c>
      <c r="D49" s="1930" t="s">
        <v>4906</v>
      </c>
      <c r="E49" s="1931" t="s">
        <v>33</v>
      </c>
      <c r="F49" s="1930" t="s">
        <v>33</v>
      </c>
      <c r="G49" s="1932">
        <v>97183</v>
      </c>
      <c r="H49" s="1930" t="s">
        <v>4917</v>
      </c>
      <c r="I49" s="1930" t="s">
        <v>136</v>
      </c>
      <c r="J49" s="1930" t="s">
        <v>137</v>
      </c>
      <c r="K49" s="1933">
        <v>19.579999999999998</v>
      </c>
      <c r="L49" s="1930" t="s">
        <v>138</v>
      </c>
    </row>
    <row r="50" spans="1:12" ht="13.5" x14ac:dyDescent="0.25">
      <c r="A50" s="1930" t="s">
        <v>4455</v>
      </c>
      <c r="B50" s="1930" t="s">
        <v>4456</v>
      </c>
      <c r="C50" s="1930" t="s">
        <v>4905</v>
      </c>
      <c r="D50" s="1930" t="s">
        <v>4906</v>
      </c>
      <c r="E50" s="1931" t="s">
        <v>33</v>
      </c>
      <c r="F50" s="1930" t="s">
        <v>33</v>
      </c>
      <c r="G50" s="1932">
        <v>97184</v>
      </c>
      <c r="H50" s="1930" t="s">
        <v>4918</v>
      </c>
      <c r="I50" s="1930" t="s">
        <v>136</v>
      </c>
      <c r="J50" s="1930" t="s">
        <v>137</v>
      </c>
      <c r="K50" s="1933">
        <v>22.71</v>
      </c>
      <c r="L50" s="1930" t="s">
        <v>138</v>
      </c>
    </row>
    <row r="51" spans="1:12" ht="13.5" x14ac:dyDescent="0.25">
      <c r="A51" s="1930" t="s">
        <v>4455</v>
      </c>
      <c r="B51" s="1930" t="s">
        <v>4456</v>
      </c>
      <c r="C51" s="1930" t="s">
        <v>4905</v>
      </c>
      <c r="D51" s="1930" t="s">
        <v>4906</v>
      </c>
      <c r="E51" s="1931" t="s">
        <v>33</v>
      </c>
      <c r="F51" s="1930" t="s">
        <v>33</v>
      </c>
      <c r="G51" s="1932">
        <v>97185</v>
      </c>
      <c r="H51" s="1930" t="s">
        <v>4919</v>
      </c>
      <c r="I51" s="1930" t="s">
        <v>136</v>
      </c>
      <c r="J51" s="1930" t="s">
        <v>137</v>
      </c>
      <c r="K51" s="1933">
        <v>25.83</v>
      </c>
      <c r="L51" s="1930" t="s">
        <v>138</v>
      </c>
    </row>
    <row r="52" spans="1:12" ht="13.5" x14ac:dyDescent="0.25">
      <c r="A52" s="1930" t="s">
        <v>4455</v>
      </c>
      <c r="B52" s="1930" t="s">
        <v>4456</v>
      </c>
      <c r="C52" s="1930" t="s">
        <v>4905</v>
      </c>
      <c r="D52" s="1930" t="s">
        <v>4906</v>
      </c>
      <c r="E52" s="1931" t="s">
        <v>33</v>
      </c>
      <c r="F52" s="1930" t="s">
        <v>33</v>
      </c>
      <c r="G52" s="1932">
        <v>97186</v>
      </c>
      <c r="H52" s="1930" t="s">
        <v>4920</v>
      </c>
      <c r="I52" s="1930" t="s">
        <v>136</v>
      </c>
      <c r="J52" s="1930" t="s">
        <v>137</v>
      </c>
      <c r="K52" s="1933">
        <v>28.95</v>
      </c>
      <c r="L52" s="1930" t="s">
        <v>138</v>
      </c>
    </row>
    <row r="53" spans="1:12" ht="13.5" x14ac:dyDescent="0.25">
      <c r="A53" s="1930" t="s">
        <v>4455</v>
      </c>
      <c r="B53" s="1930" t="s">
        <v>4456</v>
      </c>
      <c r="C53" s="1930" t="s">
        <v>4905</v>
      </c>
      <c r="D53" s="1930" t="s">
        <v>4906</v>
      </c>
      <c r="E53" s="1931" t="s">
        <v>33</v>
      </c>
      <c r="F53" s="1930" t="s">
        <v>33</v>
      </c>
      <c r="G53" s="1932">
        <v>97187</v>
      </c>
      <c r="H53" s="1930" t="s">
        <v>6303</v>
      </c>
      <c r="I53" s="1930" t="s">
        <v>136</v>
      </c>
      <c r="J53" s="1930" t="s">
        <v>137</v>
      </c>
      <c r="K53" s="1933">
        <v>35.21</v>
      </c>
      <c r="L53" s="1930" t="s">
        <v>138</v>
      </c>
    </row>
    <row r="54" spans="1:12" ht="13.5" x14ac:dyDescent="0.25">
      <c r="A54" s="1930" t="s">
        <v>4455</v>
      </c>
      <c r="B54" s="1930" t="s">
        <v>4456</v>
      </c>
      <c r="C54" s="1930" t="s">
        <v>4905</v>
      </c>
      <c r="D54" s="1930" t="s">
        <v>4906</v>
      </c>
      <c r="E54" s="1931" t="s">
        <v>33</v>
      </c>
      <c r="F54" s="1930" t="s">
        <v>33</v>
      </c>
      <c r="G54" s="1932">
        <v>97188</v>
      </c>
      <c r="H54" s="1930" t="s">
        <v>4921</v>
      </c>
      <c r="I54" s="1930" t="s">
        <v>136</v>
      </c>
      <c r="J54" s="1930" t="s">
        <v>137</v>
      </c>
      <c r="K54" s="1933">
        <v>41.46</v>
      </c>
      <c r="L54" s="1930" t="s">
        <v>138</v>
      </c>
    </row>
    <row r="55" spans="1:12" ht="13.5" x14ac:dyDescent="0.25">
      <c r="A55" s="1930" t="s">
        <v>4455</v>
      </c>
      <c r="B55" s="1930" t="s">
        <v>4456</v>
      </c>
      <c r="C55" s="1930" t="s">
        <v>4905</v>
      </c>
      <c r="D55" s="1930" t="s">
        <v>4906</v>
      </c>
      <c r="E55" s="1931" t="s">
        <v>33</v>
      </c>
      <c r="F55" s="1930" t="s">
        <v>33</v>
      </c>
      <c r="G55" s="1932">
        <v>97189</v>
      </c>
      <c r="H55" s="1930" t="s">
        <v>4922</v>
      </c>
      <c r="I55" s="1930" t="s">
        <v>136</v>
      </c>
      <c r="J55" s="1930" t="s">
        <v>137</v>
      </c>
      <c r="K55" s="1933">
        <v>47.7</v>
      </c>
      <c r="L55" s="1930" t="s">
        <v>138</v>
      </c>
    </row>
    <row r="56" spans="1:12" ht="13.5" x14ac:dyDescent="0.25">
      <c r="A56" s="1930" t="s">
        <v>4455</v>
      </c>
      <c r="B56" s="1930" t="s">
        <v>4456</v>
      </c>
      <c r="C56" s="1930" t="s">
        <v>4905</v>
      </c>
      <c r="D56" s="1930" t="s">
        <v>4906</v>
      </c>
      <c r="E56" s="1931" t="s">
        <v>33</v>
      </c>
      <c r="F56" s="1930" t="s">
        <v>33</v>
      </c>
      <c r="G56" s="1932">
        <v>97190</v>
      </c>
      <c r="H56" s="1930" t="s">
        <v>4923</v>
      </c>
      <c r="I56" s="1930" t="s">
        <v>136</v>
      </c>
      <c r="J56" s="1930" t="s">
        <v>137</v>
      </c>
      <c r="K56" s="1933">
        <v>53.97</v>
      </c>
      <c r="L56" s="1930" t="s">
        <v>138</v>
      </c>
    </row>
    <row r="57" spans="1:12" ht="13.5" x14ac:dyDescent="0.25">
      <c r="A57" s="1930" t="s">
        <v>4455</v>
      </c>
      <c r="B57" s="1930" t="s">
        <v>4456</v>
      </c>
      <c r="C57" s="1930" t="s">
        <v>4905</v>
      </c>
      <c r="D57" s="1930" t="s">
        <v>4906</v>
      </c>
      <c r="E57" s="1931" t="s">
        <v>33</v>
      </c>
      <c r="F57" s="1930" t="s">
        <v>33</v>
      </c>
      <c r="G57" s="1932">
        <v>97191</v>
      </c>
      <c r="H57" s="1930" t="s">
        <v>4924</v>
      </c>
      <c r="I57" s="1930" t="s">
        <v>136</v>
      </c>
      <c r="J57" s="1930" t="s">
        <v>137</v>
      </c>
      <c r="K57" s="1933">
        <v>62.05</v>
      </c>
      <c r="L57" s="1930" t="s">
        <v>138</v>
      </c>
    </row>
    <row r="58" spans="1:12" ht="13.5" x14ac:dyDescent="0.25">
      <c r="A58" s="1930" t="s">
        <v>4455</v>
      </c>
      <c r="B58" s="1930" t="s">
        <v>4456</v>
      </c>
      <c r="C58" s="1930" t="s">
        <v>4905</v>
      </c>
      <c r="D58" s="1930" t="s">
        <v>4906</v>
      </c>
      <c r="E58" s="1931" t="s">
        <v>33</v>
      </c>
      <c r="F58" s="1930" t="s">
        <v>33</v>
      </c>
      <c r="G58" s="1932">
        <v>97192</v>
      </c>
      <c r="H58" s="1930" t="s">
        <v>4925</v>
      </c>
      <c r="I58" s="1930" t="s">
        <v>136</v>
      </c>
      <c r="J58" s="1930" t="s">
        <v>137</v>
      </c>
      <c r="K58" s="1933">
        <v>68.510000000000005</v>
      </c>
      <c r="L58" s="1930" t="s">
        <v>138</v>
      </c>
    </row>
    <row r="59" spans="1:12" ht="13.5" x14ac:dyDescent="0.25">
      <c r="A59" s="1930" t="s">
        <v>4455</v>
      </c>
      <c r="B59" s="1930" t="s">
        <v>4456</v>
      </c>
      <c r="C59" s="1930" t="s">
        <v>4459</v>
      </c>
      <c r="D59" s="1930" t="s">
        <v>4460</v>
      </c>
      <c r="E59" s="1931" t="s">
        <v>33</v>
      </c>
      <c r="F59" s="1930" t="s">
        <v>33</v>
      </c>
      <c r="G59" s="1932">
        <v>90694</v>
      </c>
      <c r="H59" s="1930" t="s">
        <v>139</v>
      </c>
      <c r="I59" s="1930" t="s">
        <v>136</v>
      </c>
      <c r="J59" s="1930" t="s">
        <v>137</v>
      </c>
      <c r="K59" s="1933">
        <v>22.6</v>
      </c>
      <c r="L59" s="1930" t="s">
        <v>138</v>
      </c>
    </row>
    <row r="60" spans="1:12" ht="13.5" x14ac:dyDescent="0.25">
      <c r="A60" s="1930" t="s">
        <v>4455</v>
      </c>
      <c r="B60" s="1930" t="s">
        <v>4456</v>
      </c>
      <c r="C60" s="1930" t="s">
        <v>4459</v>
      </c>
      <c r="D60" s="1930" t="s">
        <v>4460</v>
      </c>
      <c r="E60" s="1931" t="s">
        <v>33</v>
      </c>
      <c r="F60" s="1930" t="s">
        <v>33</v>
      </c>
      <c r="G60" s="1932">
        <v>90695</v>
      </c>
      <c r="H60" s="1930" t="s">
        <v>140</v>
      </c>
      <c r="I60" s="1930" t="s">
        <v>136</v>
      </c>
      <c r="J60" s="1930" t="s">
        <v>137</v>
      </c>
      <c r="K60" s="1933">
        <v>46.86</v>
      </c>
      <c r="L60" s="1930" t="s">
        <v>138</v>
      </c>
    </row>
    <row r="61" spans="1:12" ht="13.5" x14ac:dyDescent="0.25">
      <c r="A61" s="1930" t="s">
        <v>4455</v>
      </c>
      <c r="B61" s="1930" t="s">
        <v>4456</v>
      </c>
      <c r="C61" s="1930" t="s">
        <v>4459</v>
      </c>
      <c r="D61" s="1930" t="s">
        <v>4460</v>
      </c>
      <c r="E61" s="1931" t="s">
        <v>33</v>
      </c>
      <c r="F61" s="1930" t="s">
        <v>33</v>
      </c>
      <c r="G61" s="1932">
        <v>90696</v>
      </c>
      <c r="H61" s="1930" t="s">
        <v>141</v>
      </c>
      <c r="I61" s="1930" t="s">
        <v>136</v>
      </c>
      <c r="J61" s="1930" t="s">
        <v>137</v>
      </c>
      <c r="K61" s="1933">
        <v>69.52</v>
      </c>
      <c r="L61" s="1930" t="s">
        <v>138</v>
      </c>
    </row>
    <row r="62" spans="1:12" ht="13.5" x14ac:dyDescent="0.25">
      <c r="A62" s="1930" t="s">
        <v>4455</v>
      </c>
      <c r="B62" s="1930" t="s">
        <v>4456</v>
      </c>
      <c r="C62" s="1930" t="s">
        <v>4459</v>
      </c>
      <c r="D62" s="1930" t="s">
        <v>4460</v>
      </c>
      <c r="E62" s="1931" t="s">
        <v>33</v>
      </c>
      <c r="F62" s="1930" t="s">
        <v>33</v>
      </c>
      <c r="G62" s="1932">
        <v>90697</v>
      </c>
      <c r="H62" s="1930" t="s">
        <v>142</v>
      </c>
      <c r="I62" s="1930" t="s">
        <v>136</v>
      </c>
      <c r="J62" s="1930" t="s">
        <v>137</v>
      </c>
      <c r="K62" s="1933">
        <v>116.93</v>
      </c>
      <c r="L62" s="1930" t="s">
        <v>138</v>
      </c>
    </row>
    <row r="63" spans="1:12" ht="13.5" x14ac:dyDescent="0.25">
      <c r="A63" s="1930" t="s">
        <v>4455</v>
      </c>
      <c r="B63" s="1930" t="s">
        <v>4456</v>
      </c>
      <c r="C63" s="1930" t="s">
        <v>4459</v>
      </c>
      <c r="D63" s="1930" t="s">
        <v>4460</v>
      </c>
      <c r="E63" s="1931" t="s">
        <v>33</v>
      </c>
      <c r="F63" s="1930" t="s">
        <v>33</v>
      </c>
      <c r="G63" s="1932">
        <v>90698</v>
      </c>
      <c r="H63" s="1930" t="s">
        <v>143</v>
      </c>
      <c r="I63" s="1930" t="s">
        <v>136</v>
      </c>
      <c r="J63" s="1930" t="s">
        <v>137</v>
      </c>
      <c r="K63" s="1933">
        <v>187.22</v>
      </c>
      <c r="L63" s="1930" t="s">
        <v>138</v>
      </c>
    </row>
    <row r="64" spans="1:12" ht="13.5" x14ac:dyDescent="0.25">
      <c r="A64" s="1930" t="s">
        <v>4455</v>
      </c>
      <c r="B64" s="1930" t="s">
        <v>4456</v>
      </c>
      <c r="C64" s="1930" t="s">
        <v>4459</v>
      </c>
      <c r="D64" s="1930" t="s">
        <v>4460</v>
      </c>
      <c r="E64" s="1931" t="s">
        <v>33</v>
      </c>
      <c r="F64" s="1930" t="s">
        <v>33</v>
      </c>
      <c r="G64" s="1932">
        <v>90699</v>
      </c>
      <c r="H64" s="1930" t="s">
        <v>144</v>
      </c>
      <c r="I64" s="1930" t="s">
        <v>136</v>
      </c>
      <c r="J64" s="1930" t="s">
        <v>137</v>
      </c>
      <c r="K64" s="1933">
        <v>231.4</v>
      </c>
      <c r="L64" s="1930" t="s">
        <v>138</v>
      </c>
    </row>
    <row r="65" spans="1:12" ht="13.5" x14ac:dyDescent="0.25">
      <c r="A65" s="1930" t="s">
        <v>4455</v>
      </c>
      <c r="B65" s="1930" t="s">
        <v>4456</v>
      </c>
      <c r="C65" s="1930" t="s">
        <v>4459</v>
      </c>
      <c r="D65" s="1930" t="s">
        <v>4460</v>
      </c>
      <c r="E65" s="1931" t="s">
        <v>33</v>
      </c>
      <c r="F65" s="1930" t="s">
        <v>33</v>
      </c>
      <c r="G65" s="1932">
        <v>90700</v>
      </c>
      <c r="H65" s="1930" t="s">
        <v>145</v>
      </c>
      <c r="I65" s="1930" t="s">
        <v>136</v>
      </c>
      <c r="J65" s="1930" t="s">
        <v>137</v>
      </c>
      <c r="K65" s="1933">
        <v>303.75</v>
      </c>
      <c r="L65" s="1930" t="s">
        <v>138</v>
      </c>
    </row>
    <row r="66" spans="1:12" ht="13.5" x14ac:dyDescent="0.25">
      <c r="A66" s="1930" t="s">
        <v>4455</v>
      </c>
      <c r="B66" s="1930" t="s">
        <v>4456</v>
      </c>
      <c r="C66" s="1930" t="s">
        <v>4459</v>
      </c>
      <c r="D66" s="1930" t="s">
        <v>4460</v>
      </c>
      <c r="E66" s="1931" t="s">
        <v>33</v>
      </c>
      <c r="F66" s="1930" t="s">
        <v>33</v>
      </c>
      <c r="G66" s="1932">
        <v>90701</v>
      </c>
      <c r="H66" s="1930" t="s">
        <v>146</v>
      </c>
      <c r="I66" s="1930" t="s">
        <v>136</v>
      </c>
      <c r="J66" s="1930" t="s">
        <v>137</v>
      </c>
      <c r="K66" s="1933">
        <v>40.07</v>
      </c>
      <c r="L66" s="1930" t="s">
        <v>138</v>
      </c>
    </row>
    <row r="67" spans="1:12" ht="13.5" x14ac:dyDescent="0.25">
      <c r="A67" s="1930" t="s">
        <v>4455</v>
      </c>
      <c r="B67" s="1930" t="s">
        <v>4456</v>
      </c>
      <c r="C67" s="1930" t="s">
        <v>4459</v>
      </c>
      <c r="D67" s="1930" t="s">
        <v>4460</v>
      </c>
      <c r="E67" s="1931" t="s">
        <v>33</v>
      </c>
      <c r="F67" s="1930" t="s">
        <v>33</v>
      </c>
      <c r="G67" s="1932">
        <v>90702</v>
      </c>
      <c r="H67" s="1930" t="s">
        <v>147</v>
      </c>
      <c r="I67" s="1930" t="s">
        <v>136</v>
      </c>
      <c r="J67" s="1930" t="s">
        <v>137</v>
      </c>
      <c r="K67" s="1933">
        <v>62.65</v>
      </c>
      <c r="L67" s="1930" t="s">
        <v>138</v>
      </c>
    </row>
    <row r="68" spans="1:12" ht="13.5" x14ac:dyDescent="0.25">
      <c r="A68" s="1930" t="s">
        <v>4455</v>
      </c>
      <c r="B68" s="1930" t="s">
        <v>4456</v>
      </c>
      <c r="C68" s="1930" t="s">
        <v>4459</v>
      </c>
      <c r="D68" s="1930" t="s">
        <v>4460</v>
      </c>
      <c r="E68" s="1931" t="s">
        <v>33</v>
      </c>
      <c r="F68" s="1930" t="s">
        <v>33</v>
      </c>
      <c r="G68" s="1932">
        <v>90703</v>
      </c>
      <c r="H68" s="1930" t="s">
        <v>148</v>
      </c>
      <c r="I68" s="1930" t="s">
        <v>136</v>
      </c>
      <c r="J68" s="1930" t="s">
        <v>137</v>
      </c>
      <c r="K68" s="1933">
        <v>101.42</v>
      </c>
      <c r="L68" s="1930" t="s">
        <v>138</v>
      </c>
    </row>
    <row r="69" spans="1:12" ht="13.5" x14ac:dyDescent="0.25">
      <c r="A69" s="1930" t="s">
        <v>4455</v>
      </c>
      <c r="B69" s="1930" t="s">
        <v>4456</v>
      </c>
      <c r="C69" s="1930" t="s">
        <v>4459</v>
      </c>
      <c r="D69" s="1930" t="s">
        <v>4460</v>
      </c>
      <c r="E69" s="1931" t="s">
        <v>33</v>
      </c>
      <c r="F69" s="1930" t="s">
        <v>33</v>
      </c>
      <c r="G69" s="1932">
        <v>90704</v>
      </c>
      <c r="H69" s="1930" t="s">
        <v>149</v>
      </c>
      <c r="I69" s="1930" t="s">
        <v>136</v>
      </c>
      <c r="J69" s="1930" t="s">
        <v>137</v>
      </c>
      <c r="K69" s="1933">
        <v>139.52000000000001</v>
      </c>
      <c r="L69" s="1930" t="s">
        <v>138</v>
      </c>
    </row>
    <row r="70" spans="1:12" ht="13.5" x14ac:dyDescent="0.25">
      <c r="A70" s="1930" t="s">
        <v>4455</v>
      </c>
      <c r="B70" s="1930" t="s">
        <v>4456</v>
      </c>
      <c r="C70" s="1930" t="s">
        <v>4459</v>
      </c>
      <c r="D70" s="1930" t="s">
        <v>4460</v>
      </c>
      <c r="E70" s="1931" t="s">
        <v>33</v>
      </c>
      <c r="F70" s="1930" t="s">
        <v>33</v>
      </c>
      <c r="G70" s="1932">
        <v>90705</v>
      </c>
      <c r="H70" s="1930" t="s">
        <v>150</v>
      </c>
      <c r="I70" s="1930" t="s">
        <v>136</v>
      </c>
      <c r="J70" s="1930" t="s">
        <v>137</v>
      </c>
      <c r="K70" s="1933">
        <v>195.46</v>
      </c>
      <c r="L70" s="1930" t="s">
        <v>138</v>
      </c>
    </row>
    <row r="71" spans="1:12" ht="13.5" x14ac:dyDescent="0.25">
      <c r="A71" s="1930" t="s">
        <v>4455</v>
      </c>
      <c r="B71" s="1930" t="s">
        <v>4456</v>
      </c>
      <c r="C71" s="1930" t="s">
        <v>4459</v>
      </c>
      <c r="D71" s="1930" t="s">
        <v>4460</v>
      </c>
      <c r="E71" s="1931" t="s">
        <v>33</v>
      </c>
      <c r="F71" s="1930" t="s">
        <v>33</v>
      </c>
      <c r="G71" s="1932">
        <v>90706</v>
      </c>
      <c r="H71" s="1930" t="s">
        <v>151</v>
      </c>
      <c r="I71" s="1930" t="s">
        <v>136</v>
      </c>
      <c r="J71" s="1930" t="s">
        <v>137</v>
      </c>
      <c r="K71" s="1933">
        <v>233.73</v>
      </c>
      <c r="L71" s="1930" t="s">
        <v>138</v>
      </c>
    </row>
    <row r="72" spans="1:12" ht="13.5" x14ac:dyDescent="0.25">
      <c r="A72" s="1930" t="s">
        <v>4455</v>
      </c>
      <c r="B72" s="1930" t="s">
        <v>4456</v>
      </c>
      <c r="C72" s="1930" t="s">
        <v>4459</v>
      </c>
      <c r="D72" s="1930" t="s">
        <v>4460</v>
      </c>
      <c r="E72" s="1931" t="s">
        <v>33</v>
      </c>
      <c r="F72" s="1930" t="s">
        <v>33</v>
      </c>
      <c r="G72" s="1932">
        <v>90708</v>
      </c>
      <c r="H72" s="1930" t="s">
        <v>152</v>
      </c>
      <c r="I72" s="1930" t="s">
        <v>136</v>
      </c>
      <c r="J72" s="1930" t="s">
        <v>137</v>
      </c>
      <c r="K72" s="1933">
        <v>636.08000000000004</v>
      </c>
      <c r="L72" s="1930" t="s">
        <v>138</v>
      </c>
    </row>
    <row r="73" spans="1:12" ht="13.5" x14ac:dyDescent="0.25">
      <c r="A73" s="1930" t="s">
        <v>4455</v>
      </c>
      <c r="B73" s="1930" t="s">
        <v>4456</v>
      </c>
      <c r="C73" s="1930" t="s">
        <v>4459</v>
      </c>
      <c r="D73" s="1930" t="s">
        <v>4460</v>
      </c>
      <c r="E73" s="1931" t="s">
        <v>33</v>
      </c>
      <c r="F73" s="1930" t="s">
        <v>33</v>
      </c>
      <c r="G73" s="1932">
        <v>90709</v>
      </c>
      <c r="H73" s="1930" t="s">
        <v>153</v>
      </c>
      <c r="I73" s="1930" t="s">
        <v>136</v>
      </c>
      <c r="J73" s="1930" t="s">
        <v>137</v>
      </c>
      <c r="K73" s="1933">
        <v>24.06</v>
      </c>
      <c r="L73" s="1930" t="s">
        <v>138</v>
      </c>
    </row>
    <row r="74" spans="1:12" ht="13.5" x14ac:dyDescent="0.25">
      <c r="A74" s="1930" t="s">
        <v>4455</v>
      </c>
      <c r="B74" s="1930" t="s">
        <v>4456</v>
      </c>
      <c r="C74" s="1930" t="s">
        <v>4459</v>
      </c>
      <c r="D74" s="1930" t="s">
        <v>4460</v>
      </c>
      <c r="E74" s="1931" t="s">
        <v>33</v>
      </c>
      <c r="F74" s="1930" t="s">
        <v>33</v>
      </c>
      <c r="G74" s="1932">
        <v>90710</v>
      </c>
      <c r="H74" s="1930" t="s">
        <v>154</v>
      </c>
      <c r="I74" s="1930" t="s">
        <v>136</v>
      </c>
      <c r="J74" s="1930" t="s">
        <v>137</v>
      </c>
      <c r="K74" s="1933">
        <v>48.34</v>
      </c>
      <c r="L74" s="1930" t="s">
        <v>138</v>
      </c>
    </row>
    <row r="75" spans="1:12" ht="13.5" x14ac:dyDescent="0.25">
      <c r="A75" s="1930" t="s">
        <v>4455</v>
      </c>
      <c r="B75" s="1930" t="s">
        <v>4456</v>
      </c>
      <c r="C75" s="1930" t="s">
        <v>4459</v>
      </c>
      <c r="D75" s="1930" t="s">
        <v>4460</v>
      </c>
      <c r="E75" s="1931" t="s">
        <v>33</v>
      </c>
      <c r="F75" s="1930" t="s">
        <v>33</v>
      </c>
      <c r="G75" s="1932">
        <v>90711</v>
      </c>
      <c r="H75" s="1930" t="s">
        <v>155</v>
      </c>
      <c r="I75" s="1930" t="s">
        <v>136</v>
      </c>
      <c r="J75" s="1930" t="s">
        <v>137</v>
      </c>
      <c r="K75" s="1933">
        <v>70.989999999999995</v>
      </c>
      <c r="L75" s="1930" t="s">
        <v>138</v>
      </c>
    </row>
    <row r="76" spans="1:12" ht="13.5" x14ac:dyDescent="0.25">
      <c r="A76" s="1930" t="s">
        <v>4455</v>
      </c>
      <c r="B76" s="1930" t="s">
        <v>4456</v>
      </c>
      <c r="C76" s="1930" t="s">
        <v>4459</v>
      </c>
      <c r="D76" s="1930" t="s">
        <v>4460</v>
      </c>
      <c r="E76" s="1931" t="s">
        <v>33</v>
      </c>
      <c r="F76" s="1930" t="s">
        <v>33</v>
      </c>
      <c r="G76" s="1932">
        <v>90712</v>
      </c>
      <c r="H76" s="1930" t="s">
        <v>156</v>
      </c>
      <c r="I76" s="1930" t="s">
        <v>136</v>
      </c>
      <c r="J76" s="1930" t="s">
        <v>137</v>
      </c>
      <c r="K76" s="1933">
        <v>118.4</v>
      </c>
      <c r="L76" s="1930" t="s">
        <v>138</v>
      </c>
    </row>
    <row r="77" spans="1:12" ht="13.5" x14ac:dyDescent="0.25">
      <c r="A77" s="1930" t="s">
        <v>4455</v>
      </c>
      <c r="B77" s="1930" t="s">
        <v>4456</v>
      </c>
      <c r="C77" s="1930" t="s">
        <v>4459</v>
      </c>
      <c r="D77" s="1930" t="s">
        <v>4460</v>
      </c>
      <c r="E77" s="1931" t="s">
        <v>33</v>
      </c>
      <c r="F77" s="1930" t="s">
        <v>33</v>
      </c>
      <c r="G77" s="1932">
        <v>90713</v>
      </c>
      <c r="H77" s="1930" t="s">
        <v>157</v>
      </c>
      <c r="I77" s="1930" t="s">
        <v>136</v>
      </c>
      <c r="J77" s="1930" t="s">
        <v>137</v>
      </c>
      <c r="K77" s="1933">
        <v>188.68</v>
      </c>
      <c r="L77" s="1930" t="s">
        <v>138</v>
      </c>
    </row>
    <row r="78" spans="1:12" ht="13.5" x14ac:dyDescent="0.25">
      <c r="A78" s="1930" t="s">
        <v>4455</v>
      </c>
      <c r="B78" s="1930" t="s">
        <v>4456</v>
      </c>
      <c r="C78" s="1930" t="s">
        <v>4459</v>
      </c>
      <c r="D78" s="1930" t="s">
        <v>4460</v>
      </c>
      <c r="E78" s="1931" t="s">
        <v>33</v>
      </c>
      <c r="F78" s="1930" t="s">
        <v>33</v>
      </c>
      <c r="G78" s="1932">
        <v>90714</v>
      </c>
      <c r="H78" s="1930" t="s">
        <v>158</v>
      </c>
      <c r="I78" s="1930" t="s">
        <v>136</v>
      </c>
      <c r="J78" s="1930" t="s">
        <v>137</v>
      </c>
      <c r="K78" s="1933">
        <v>232.86</v>
      </c>
      <c r="L78" s="1930" t="s">
        <v>138</v>
      </c>
    </row>
    <row r="79" spans="1:12" ht="13.5" x14ac:dyDescent="0.25">
      <c r="A79" s="1930" t="s">
        <v>4455</v>
      </c>
      <c r="B79" s="1930" t="s">
        <v>4456</v>
      </c>
      <c r="C79" s="1930" t="s">
        <v>4459</v>
      </c>
      <c r="D79" s="1930" t="s">
        <v>4460</v>
      </c>
      <c r="E79" s="1931" t="s">
        <v>33</v>
      </c>
      <c r="F79" s="1930" t="s">
        <v>33</v>
      </c>
      <c r="G79" s="1932">
        <v>90715</v>
      </c>
      <c r="H79" s="1930" t="s">
        <v>159</v>
      </c>
      <c r="I79" s="1930" t="s">
        <v>136</v>
      </c>
      <c r="J79" s="1930" t="s">
        <v>137</v>
      </c>
      <c r="K79" s="1933">
        <v>306.85000000000002</v>
      </c>
      <c r="L79" s="1930" t="s">
        <v>138</v>
      </c>
    </row>
    <row r="80" spans="1:12" ht="13.5" x14ac:dyDescent="0.25">
      <c r="A80" s="1930" t="s">
        <v>4455</v>
      </c>
      <c r="B80" s="1930" t="s">
        <v>4456</v>
      </c>
      <c r="C80" s="1930" t="s">
        <v>4459</v>
      </c>
      <c r="D80" s="1930" t="s">
        <v>4460</v>
      </c>
      <c r="E80" s="1931" t="s">
        <v>33</v>
      </c>
      <c r="F80" s="1930" t="s">
        <v>33</v>
      </c>
      <c r="G80" s="1932">
        <v>90716</v>
      </c>
      <c r="H80" s="1930" t="s">
        <v>160</v>
      </c>
      <c r="I80" s="1930" t="s">
        <v>136</v>
      </c>
      <c r="J80" s="1930" t="s">
        <v>137</v>
      </c>
      <c r="K80" s="1933">
        <v>41.53</v>
      </c>
      <c r="L80" s="1930" t="s">
        <v>138</v>
      </c>
    </row>
    <row r="81" spans="1:12" ht="13.5" x14ac:dyDescent="0.25">
      <c r="A81" s="1930" t="s">
        <v>4455</v>
      </c>
      <c r="B81" s="1930" t="s">
        <v>4456</v>
      </c>
      <c r="C81" s="1930" t="s">
        <v>4459</v>
      </c>
      <c r="D81" s="1930" t="s">
        <v>4460</v>
      </c>
      <c r="E81" s="1931" t="s">
        <v>33</v>
      </c>
      <c r="F81" s="1930" t="s">
        <v>33</v>
      </c>
      <c r="G81" s="1932">
        <v>90717</v>
      </c>
      <c r="H81" s="1930" t="s">
        <v>161</v>
      </c>
      <c r="I81" s="1930" t="s">
        <v>136</v>
      </c>
      <c r="J81" s="1930" t="s">
        <v>137</v>
      </c>
      <c r="K81" s="1933">
        <v>64.11</v>
      </c>
      <c r="L81" s="1930" t="s">
        <v>138</v>
      </c>
    </row>
    <row r="82" spans="1:12" ht="13.5" x14ac:dyDescent="0.25">
      <c r="A82" s="1930" t="s">
        <v>4455</v>
      </c>
      <c r="B82" s="1930" t="s">
        <v>4456</v>
      </c>
      <c r="C82" s="1930" t="s">
        <v>4459</v>
      </c>
      <c r="D82" s="1930" t="s">
        <v>4460</v>
      </c>
      <c r="E82" s="1931" t="s">
        <v>33</v>
      </c>
      <c r="F82" s="1930" t="s">
        <v>33</v>
      </c>
      <c r="G82" s="1932">
        <v>90718</v>
      </c>
      <c r="H82" s="1930" t="s">
        <v>162</v>
      </c>
      <c r="I82" s="1930" t="s">
        <v>136</v>
      </c>
      <c r="J82" s="1930" t="s">
        <v>137</v>
      </c>
      <c r="K82" s="1933">
        <v>102.89</v>
      </c>
      <c r="L82" s="1930" t="s">
        <v>138</v>
      </c>
    </row>
    <row r="83" spans="1:12" ht="13.5" x14ac:dyDescent="0.25">
      <c r="A83" s="1930" t="s">
        <v>4455</v>
      </c>
      <c r="B83" s="1930" t="s">
        <v>4456</v>
      </c>
      <c r="C83" s="1930" t="s">
        <v>4459</v>
      </c>
      <c r="D83" s="1930" t="s">
        <v>4460</v>
      </c>
      <c r="E83" s="1931" t="s">
        <v>33</v>
      </c>
      <c r="F83" s="1930" t="s">
        <v>33</v>
      </c>
      <c r="G83" s="1932">
        <v>90719</v>
      </c>
      <c r="H83" s="1930" t="s">
        <v>163</v>
      </c>
      <c r="I83" s="1930" t="s">
        <v>136</v>
      </c>
      <c r="J83" s="1930" t="s">
        <v>137</v>
      </c>
      <c r="K83" s="1933">
        <v>140.99</v>
      </c>
      <c r="L83" s="1930" t="s">
        <v>138</v>
      </c>
    </row>
    <row r="84" spans="1:12" ht="13.5" x14ac:dyDescent="0.25">
      <c r="A84" s="1930" t="s">
        <v>4455</v>
      </c>
      <c r="B84" s="1930" t="s">
        <v>4456</v>
      </c>
      <c r="C84" s="1930" t="s">
        <v>4459</v>
      </c>
      <c r="D84" s="1930" t="s">
        <v>4460</v>
      </c>
      <c r="E84" s="1931" t="s">
        <v>33</v>
      </c>
      <c r="F84" s="1930" t="s">
        <v>33</v>
      </c>
      <c r="G84" s="1932">
        <v>90720</v>
      </c>
      <c r="H84" s="1930" t="s">
        <v>164</v>
      </c>
      <c r="I84" s="1930" t="s">
        <v>136</v>
      </c>
      <c r="J84" s="1930" t="s">
        <v>137</v>
      </c>
      <c r="K84" s="1933">
        <v>196.92</v>
      </c>
      <c r="L84" s="1930" t="s">
        <v>138</v>
      </c>
    </row>
    <row r="85" spans="1:12" ht="13.5" x14ac:dyDescent="0.25">
      <c r="A85" s="1930" t="s">
        <v>4455</v>
      </c>
      <c r="B85" s="1930" t="s">
        <v>4456</v>
      </c>
      <c r="C85" s="1930" t="s">
        <v>4459</v>
      </c>
      <c r="D85" s="1930" t="s">
        <v>4460</v>
      </c>
      <c r="E85" s="1931" t="s">
        <v>33</v>
      </c>
      <c r="F85" s="1930" t="s">
        <v>33</v>
      </c>
      <c r="G85" s="1932">
        <v>90721</v>
      </c>
      <c r="H85" s="1930" t="s">
        <v>165</v>
      </c>
      <c r="I85" s="1930" t="s">
        <v>136</v>
      </c>
      <c r="J85" s="1930" t="s">
        <v>137</v>
      </c>
      <c r="K85" s="1933">
        <v>236.86</v>
      </c>
      <c r="L85" s="1930" t="s">
        <v>138</v>
      </c>
    </row>
    <row r="86" spans="1:12" ht="13.5" x14ac:dyDescent="0.25">
      <c r="A86" s="1930" t="s">
        <v>4455</v>
      </c>
      <c r="B86" s="1930" t="s">
        <v>4456</v>
      </c>
      <c r="C86" s="1930" t="s">
        <v>4459</v>
      </c>
      <c r="D86" s="1930" t="s">
        <v>4460</v>
      </c>
      <c r="E86" s="1931" t="s">
        <v>33</v>
      </c>
      <c r="F86" s="1930" t="s">
        <v>33</v>
      </c>
      <c r="G86" s="1932">
        <v>90723</v>
      </c>
      <c r="H86" s="1930" t="s">
        <v>166</v>
      </c>
      <c r="I86" s="1930" t="s">
        <v>136</v>
      </c>
      <c r="J86" s="1930" t="s">
        <v>137</v>
      </c>
      <c r="K86" s="1933">
        <v>637.99</v>
      </c>
      <c r="L86" s="1930" t="s">
        <v>138</v>
      </c>
    </row>
    <row r="87" spans="1:12" ht="13.5" x14ac:dyDescent="0.25">
      <c r="A87" s="1930" t="s">
        <v>4455</v>
      </c>
      <c r="B87" s="1930" t="s">
        <v>4456</v>
      </c>
      <c r="C87" s="1930" t="s">
        <v>4459</v>
      </c>
      <c r="D87" s="1930" t="s">
        <v>4460</v>
      </c>
      <c r="E87" s="1931" t="s">
        <v>33</v>
      </c>
      <c r="F87" s="1930" t="s">
        <v>33</v>
      </c>
      <c r="G87" s="1932">
        <v>90724</v>
      </c>
      <c r="H87" s="1930" t="s">
        <v>167</v>
      </c>
      <c r="I87" s="1930" t="s">
        <v>168</v>
      </c>
      <c r="J87" s="1930" t="s">
        <v>320</v>
      </c>
      <c r="K87" s="1933">
        <v>17.27</v>
      </c>
      <c r="L87" s="1930" t="s">
        <v>138</v>
      </c>
    </row>
    <row r="88" spans="1:12" ht="13.5" x14ac:dyDescent="0.25">
      <c r="A88" s="1930" t="s">
        <v>4455</v>
      </c>
      <c r="B88" s="1930" t="s">
        <v>4456</v>
      </c>
      <c r="C88" s="1930" t="s">
        <v>4459</v>
      </c>
      <c r="D88" s="1930" t="s">
        <v>4460</v>
      </c>
      <c r="E88" s="1931" t="s">
        <v>33</v>
      </c>
      <c r="F88" s="1930" t="s">
        <v>33</v>
      </c>
      <c r="G88" s="1932">
        <v>90725</v>
      </c>
      <c r="H88" s="1930" t="s">
        <v>169</v>
      </c>
      <c r="I88" s="1930" t="s">
        <v>168</v>
      </c>
      <c r="J88" s="1930" t="s">
        <v>320</v>
      </c>
      <c r="K88" s="1933">
        <v>21.37</v>
      </c>
      <c r="L88" s="1930" t="s">
        <v>138</v>
      </c>
    </row>
    <row r="89" spans="1:12" ht="13.5" x14ac:dyDescent="0.25">
      <c r="A89" s="1930" t="s">
        <v>4455</v>
      </c>
      <c r="B89" s="1930" t="s">
        <v>4456</v>
      </c>
      <c r="C89" s="1930" t="s">
        <v>4459</v>
      </c>
      <c r="D89" s="1930" t="s">
        <v>4460</v>
      </c>
      <c r="E89" s="1931" t="s">
        <v>33</v>
      </c>
      <c r="F89" s="1930" t="s">
        <v>33</v>
      </c>
      <c r="G89" s="1932">
        <v>90726</v>
      </c>
      <c r="H89" s="1930" t="s">
        <v>170</v>
      </c>
      <c r="I89" s="1930" t="s">
        <v>168</v>
      </c>
      <c r="J89" s="1930" t="s">
        <v>320</v>
      </c>
      <c r="K89" s="1933">
        <v>25.46</v>
      </c>
      <c r="L89" s="1930" t="s">
        <v>138</v>
      </c>
    </row>
    <row r="90" spans="1:12" ht="13.5" x14ac:dyDescent="0.25">
      <c r="A90" s="1930" t="s">
        <v>4455</v>
      </c>
      <c r="B90" s="1930" t="s">
        <v>4456</v>
      </c>
      <c r="C90" s="1930" t="s">
        <v>4459</v>
      </c>
      <c r="D90" s="1930" t="s">
        <v>4460</v>
      </c>
      <c r="E90" s="1931" t="s">
        <v>33</v>
      </c>
      <c r="F90" s="1930" t="s">
        <v>33</v>
      </c>
      <c r="G90" s="1932">
        <v>90727</v>
      </c>
      <c r="H90" s="1930" t="s">
        <v>171</v>
      </c>
      <c r="I90" s="1930" t="s">
        <v>168</v>
      </c>
      <c r="J90" s="1930" t="s">
        <v>320</v>
      </c>
      <c r="K90" s="1933">
        <v>29.56</v>
      </c>
      <c r="L90" s="1930" t="s">
        <v>138</v>
      </c>
    </row>
    <row r="91" spans="1:12" ht="13.5" x14ac:dyDescent="0.25">
      <c r="A91" s="1930" t="s">
        <v>4455</v>
      </c>
      <c r="B91" s="1930" t="s">
        <v>4456</v>
      </c>
      <c r="C91" s="1930" t="s">
        <v>4459</v>
      </c>
      <c r="D91" s="1930" t="s">
        <v>4460</v>
      </c>
      <c r="E91" s="1931" t="s">
        <v>33</v>
      </c>
      <c r="F91" s="1930" t="s">
        <v>33</v>
      </c>
      <c r="G91" s="1932">
        <v>90728</v>
      </c>
      <c r="H91" s="1930" t="s">
        <v>172</v>
      </c>
      <c r="I91" s="1930" t="s">
        <v>168</v>
      </c>
      <c r="J91" s="1930" t="s">
        <v>320</v>
      </c>
      <c r="K91" s="1933">
        <v>33.65</v>
      </c>
      <c r="L91" s="1930" t="s">
        <v>138</v>
      </c>
    </row>
    <row r="92" spans="1:12" ht="13.5" x14ac:dyDescent="0.25">
      <c r="A92" s="1930" t="s">
        <v>4455</v>
      </c>
      <c r="B92" s="1930" t="s">
        <v>4456</v>
      </c>
      <c r="C92" s="1930" t="s">
        <v>4459</v>
      </c>
      <c r="D92" s="1930" t="s">
        <v>4460</v>
      </c>
      <c r="E92" s="1931" t="s">
        <v>33</v>
      </c>
      <c r="F92" s="1930" t="s">
        <v>33</v>
      </c>
      <c r="G92" s="1932">
        <v>90729</v>
      </c>
      <c r="H92" s="1930" t="s">
        <v>173</v>
      </c>
      <c r="I92" s="1930" t="s">
        <v>168</v>
      </c>
      <c r="J92" s="1930" t="s">
        <v>320</v>
      </c>
      <c r="K92" s="1933">
        <v>37.729999999999997</v>
      </c>
      <c r="L92" s="1930" t="s">
        <v>138</v>
      </c>
    </row>
    <row r="93" spans="1:12" ht="13.5" x14ac:dyDescent="0.25">
      <c r="A93" s="1930" t="s">
        <v>4455</v>
      </c>
      <c r="B93" s="1930" t="s">
        <v>4456</v>
      </c>
      <c r="C93" s="1930" t="s">
        <v>4459</v>
      </c>
      <c r="D93" s="1930" t="s">
        <v>4460</v>
      </c>
      <c r="E93" s="1931" t="s">
        <v>33</v>
      </c>
      <c r="F93" s="1930" t="s">
        <v>33</v>
      </c>
      <c r="G93" s="1932">
        <v>90730</v>
      </c>
      <c r="H93" s="1930" t="s">
        <v>174</v>
      </c>
      <c r="I93" s="1930" t="s">
        <v>168</v>
      </c>
      <c r="J93" s="1930" t="s">
        <v>320</v>
      </c>
      <c r="K93" s="1933">
        <v>41.87</v>
      </c>
      <c r="L93" s="1930" t="s">
        <v>138</v>
      </c>
    </row>
    <row r="94" spans="1:12" ht="13.5" x14ac:dyDescent="0.25">
      <c r="A94" s="1930" t="s">
        <v>4455</v>
      </c>
      <c r="B94" s="1930" t="s">
        <v>4456</v>
      </c>
      <c r="C94" s="1930" t="s">
        <v>4459</v>
      </c>
      <c r="D94" s="1930" t="s">
        <v>4460</v>
      </c>
      <c r="E94" s="1931" t="s">
        <v>33</v>
      </c>
      <c r="F94" s="1930" t="s">
        <v>33</v>
      </c>
      <c r="G94" s="1932">
        <v>90731</v>
      </c>
      <c r="H94" s="1930" t="s">
        <v>175</v>
      </c>
      <c r="I94" s="1930" t="s">
        <v>168</v>
      </c>
      <c r="J94" s="1930" t="s">
        <v>320</v>
      </c>
      <c r="K94" s="1933">
        <v>45.95</v>
      </c>
      <c r="L94" s="1930" t="s">
        <v>138</v>
      </c>
    </row>
    <row r="95" spans="1:12" ht="13.5" x14ac:dyDescent="0.25">
      <c r="A95" s="1930" t="s">
        <v>4455</v>
      </c>
      <c r="B95" s="1930" t="s">
        <v>4456</v>
      </c>
      <c r="C95" s="1930" t="s">
        <v>4459</v>
      </c>
      <c r="D95" s="1930" t="s">
        <v>4460</v>
      </c>
      <c r="E95" s="1931" t="s">
        <v>33</v>
      </c>
      <c r="F95" s="1930" t="s">
        <v>33</v>
      </c>
      <c r="G95" s="1932">
        <v>90732</v>
      </c>
      <c r="H95" s="1930" t="s">
        <v>176</v>
      </c>
      <c r="I95" s="1930" t="s">
        <v>168</v>
      </c>
      <c r="J95" s="1930" t="s">
        <v>320</v>
      </c>
      <c r="K95" s="1933">
        <v>58.23</v>
      </c>
      <c r="L95" s="1930" t="s">
        <v>138</v>
      </c>
    </row>
    <row r="96" spans="1:12" ht="13.5" x14ac:dyDescent="0.25">
      <c r="A96" s="1930" t="s">
        <v>4455</v>
      </c>
      <c r="B96" s="1930" t="s">
        <v>4456</v>
      </c>
      <c r="C96" s="1930" t="s">
        <v>4459</v>
      </c>
      <c r="D96" s="1930" t="s">
        <v>4460</v>
      </c>
      <c r="E96" s="1931" t="s">
        <v>33</v>
      </c>
      <c r="F96" s="1930" t="s">
        <v>33</v>
      </c>
      <c r="G96" s="1932">
        <v>90733</v>
      </c>
      <c r="H96" s="1930" t="s">
        <v>177</v>
      </c>
      <c r="I96" s="1930" t="s">
        <v>136</v>
      </c>
      <c r="J96" s="1930" t="s">
        <v>320</v>
      </c>
      <c r="K96" s="1933">
        <v>1.85</v>
      </c>
      <c r="L96" s="1930" t="s">
        <v>138</v>
      </c>
    </row>
    <row r="97" spans="1:12" ht="13.5" x14ac:dyDescent="0.25">
      <c r="A97" s="1930" t="s">
        <v>4455</v>
      </c>
      <c r="B97" s="1930" t="s">
        <v>4456</v>
      </c>
      <c r="C97" s="1930" t="s">
        <v>4459</v>
      </c>
      <c r="D97" s="1930" t="s">
        <v>4460</v>
      </c>
      <c r="E97" s="1931" t="s">
        <v>33</v>
      </c>
      <c r="F97" s="1930" t="s">
        <v>33</v>
      </c>
      <c r="G97" s="1932">
        <v>90734</v>
      </c>
      <c r="H97" s="1930" t="s">
        <v>178</v>
      </c>
      <c r="I97" s="1930" t="s">
        <v>136</v>
      </c>
      <c r="J97" s="1930" t="s">
        <v>320</v>
      </c>
      <c r="K97" s="1933">
        <v>2.25</v>
      </c>
      <c r="L97" s="1930" t="s">
        <v>138</v>
      </c>
    </row>
    <row r="98" spans="1:12" ht="13.5" x14ac:dyDescent="0.25">
      <c r="A98" s="1930" t="s">
        <v>4455</v>
      </c>
      <c r="B98" s="1930" t="s">
        <v>4456</v>
      </c>
      <c r="C98" s="1930" t="s">
        <v>4459</v>
      </c>
      <c r="D98" s="1930" t="s">
        <v>4460</v>
      </c>
      <c r="E98" s="1931" t="s">
        <v>33</v>
      </c>
      <c r="F98" s="1930" t="s">
        <v>33</v>
      </c>
      <c r="G98" s="1932">
        <v>90735</v>
      </c>
      <c r="H98" s="1930" t="s">
        <v>179</v>
      </c>
      <c r="I98" s="1930" t="s">
        <v>136</v>
      </c>
      <c r="J98" s="1930" t="s">
        <v>320</v>
      </c>
      <c r="K98" s="1933">
        <v>2.67</v>
      </c>
      <c r="L98" s="1930" t="s">
        <v>138</v>
      </c>
    </row>
    <row r="99" spans="1:12" ht="13.5" x14ac:dyDescent="0.25">
      <c r="A99" s="1930" t="s">
        <v>4455</v>
      </c>
      <c r="B99" s="1930" t="s">
        <v>4456</v>
      </c>
      <c r="C99" s="1930" t="s">
        <v>4459</v>
      </c>
      <c r="D99" s="1930" t="s">
        <v>4460</v>
      </c>
      <c r="E99" s="1931" t="s">
        <v>33</v>
      </c>
      <c r="F99" s="1930" t="s">
        <v>33</v>
      </c>
      <c r="G99" s="1932">
        <v>90736</v>
      </c>
      <c r="H99" s="1930" t="s">
        <v>180</v>
      </c>
      <c r="I99" s="1930" t="s">
        <v>136</v>
      </c>
      <c r="J99" s="1930" t="s">
        <v>320</v>
      </c>
      <c r="K99" s="1933">
        <v>3.08</v>
      </c>
      <c r="L99" s="1930" t="s">
        <v>138</v>
      </c>
    </row>
    <row r="100" spans="1:12" ht="13.5" x14ac:dyDescent="0.25">
      <c r="A100" s="1930" t="s">
        <v>4455</v>
      </c>
      <c r="B100" s="1930" t="s">
        <v>4456</v>
      </c>
      <c r="C100" s="1930" t="s">
        <v>4459</v>
      </c>
      <c r="D100" s="1930" t="s">
        <v>4460</v>
      </c>
      <c r="E100" s="1931" t="s">
        <v>33</v>
      </c>
      <c r="F100" s="1930" t="s">
        <v>33</v>
      </c>
      <c r="G100" s="1932">
        <v>90737</v>
      </c>
      <c r="H100" s="1930" t="s">
        <v>181</v>
      </c>
      <c r="I100" s="1930" t="s">
        <v>136</v>
      </c>
      <c r="J100" s="1930" t="s">
        <v>320</v>
      </c>
      <c r="K100" s="1933">
        <v>3.5</v>
      </c>
      <c r="L100" s="1930" t="s">
        <v>138</v>
      </c>
    </row>
    <row r="101" spans="1:12" ht="13.5" x14ac:dyDescent="0.25">
      <c r="A101" s="1930" t="s">
        <v>4455</v>
      </c>
      <c r="B101" s="1930" t="s">
        <v>4456</v>
      </c>
      <c r="C101" s="1930" t="s">
        <v>4459</v>
      </c>
      <c r="D101" s="1930" t="s">
        <v>4460</v>
      </c>
      <c r="E101" s="1931" t="s">
        <v>33</v>
      </c>
      <c r="F101" s="1930" t="s">
        <v>33</v>
      </c>
      <c r="G101" s="1932">
        <v>90738</v>
      </c>
      <c r="H101" s="1930" t="s">
        <v>182</v>
      </c>
      <c r="I101" s="1930" t="s">
        <v>136</v>
      </c>
      <c r="J101" s="1930" t="s">
        <v>320</v>
      </c>
      <c r="K101" s="1933">
        <v>3.91</v>
      </c>
      <c r="L101" s="1930" t="s">
        <v>138</v>
      </c>
    </row>
    <row r="102" spans="1:12" ht="13.5" x14ac:dyDescent="0.25">
      <c r="A102" s="1930" t="s">
        <v>4455</v>
      </c>
      <c r="B102" s="1930" t="s">
        <v>4456</v>
      </c>
      <c r="C102" s="1930" t="s">
        <v>4459</v>
      </c>
      <c r="D102" s="1930" t="s">
        <v>4460</v>
      </c>
      <c r="E102" s="1931" t="s">
        <v>33</v>
      </c>
      <c r="F102" s="1930" t="s">
        <v>33</v>
      </c>
      <c r="G102" s="1932">
        <v>90739</v>
      </c>
      <c r="H102" s="1930" t="s">
        <v>183</v>
      </c>
      <c r="I102" s="1930" t="s">
        <v>136</v>
      </c>
      <c r="J102" s="1930" t="s">
        <v>137</v>
      </c>
      <c r="K102" s="1933">
        <v>9.17</v>
      </c>
      <c r="L102" s="1930" t="s">
        <v>138</v>
      </c>
    </row>
    <row r="103" spans="1:12" ht="13.5" x14ac:dyDescent="0.25">
      <c r="A103" s="1930" t="s">
        <v>4455</v>
      </c>
      <c r="B103" s="1930" t="s">
        <v>4456</v>
      </c>
      <c r="C103" s="1930" t="s">
        <v>4459</v>
      </c>
      <c r="D103" s="1930" t="s">
        <v>4460</v>
      </c>
      <c r="E103" s="1931" t="s">
        <v>33</v>
      </c>
      <c r="F103" s="1930" t="s">
        <v>33</v>
      </c>
      <c r="G103" s="1932">
        <v>90740</v>
      </c>
      <c r="H103" s="1930" t="s">
        <v>184</v>
      </c>
      <c r="I103" s="1930" t="s">
        <v>136</v>
      </c>
      <c r="J103" s="1930" t="s">
        <v>320</v>
      </c>
      <c r="K103" s="1933">
        <v>4.12</v>
      </c>
      <c r="L103" s="1930" t="s">
        <v>138</v>
      </c>
    </row>
    <row r="104" spans="1:12" ht="13.5" x14ac:dyDescent="0.25">
      <c r="A104" s="1930" t="s">
        <v>4455</v>
      </c>
      <c r="B104" s="1930" t="s">
        <v>4456</v>
      </c>
      <c r="C104" s="1930" t="s">
        <v>4459</v>
      </c>
      <c r="D104" s="1930" t="s">
        <v>4460</v>
      </c>
      <c r="E104" s="1931" t="s">
        <v>33</v>
      </c>
      <c r="F104" s="1930" t="s">
        <v>33</v>
      </c>
      <c r="G104" s="1932">
        <v>90741</v>
      </c>
      <c r="H104" s="1930" t="s">
        <v>185</v>
      </c>
      <c r="I104" s="1930" t="s">
        <v>136</v>
      </c>
      <c r="J104" s="1930" t="s">
        <v>320</v>
      </c>
      <c r="K104" s="1933">
        <v>4.53</v>
      </c>
      <c r="L104" s="1930" t="s">
        <v>138</v>
      </c>
    </row>
    <row r="105" spans="1:12" ht="13.5" x14ac:dyDescent="0.25">
      <c r="A105" s="1930" t="s">
        <v>4455</v>
      </c>
      <c r="B105" s="1930" t="s">
        <v>4456</v>
      </c>
      <c r="C105" s="1930" t="s">
        <v>4459</v>
      </c>
      <c r="D105" s="1930" t="s">
        <v>4460</v>
      </c>
      <c r="E105" s="1931" t="s">
        <v>33</v>
      </c>
      <c r="F105" s="1930" t="s">
        <v>33</v>
      </c>
      <c r="G105" s="1932">
        <v>90742</v>
      </c>
      <c r="H105" s="1930" t="s">
        <v>186</v>
      </c>
      <c r="I105" s="1930" t="s">
        <v>136</v>
      </c>
      <c r="J105" s="1930" t="s">
        <v>320</v>
      </c>
      <c r="K105" s="1933">
        <v>4.9400000000000004</v>
      </c>
      <c r="L105" s="1930" t="s">
        <v>138</v>
      </c>
    </row>
    <row r="106" spans="1:12" ht="13.5" x14ac:dyDescent="0.25">
      <c r="A106" s="1930" t="s">
        <v>4455</v>
      </c>
      <c r="B106" s="1930" t="s">
        <v>4456</v>
      </c>
      <c r="C106" s="1930" t="s">
        <v>4459</v>
      </c>
      <c r="D106" s="1930" t="s">
        <v>4460</v>
      </c>
      <c r="E106" s="1931" t="s">
        <v>33</v>
      </c>
      <c r="F106" s="1930" t="s">
        <v>33</v>
      </c>
      <c r="G106" s="1932">
        <v>90743</v>
      </c>
      <c r="H106" s="1930" t="s">
        <v>187</v>
      </c>
      <c r="I106" s="1930" t="s">
        <v>136</v>
      </c>
      <c r="J106" s="1930" t="s">
        <v>320</v>
      </c>
      <c r="K106" s="1933">
        <v>5.35</v>
      </c>
      <c r="L106" s="1930" t="s">
        <v>138</v>
      </c>
    </row>
    <row r="107" spans="1:12" ht="13.5" x14ac:dyDescent="0.25">
      <c r="A107" s="1930" t="s">
        <v>4455</v>
      </c>
      <c r="B107" s="1930" t="s">
        <v>4456</v>
      </c>
      <c r="C107" s="1930" t="s">
        <v>4459</v>
      </c>
      <c r="D107" s="1930" t="s">
        <v>4460</v>
      </c>
      <c r="E107" s="1931" t="s">
        <v>33</v>
      </c>
      <c r="F107" s="1930" t="s">
        <v>33</v>
      </c>
      <c r="G107" s="1932">
        <v>90744</v>
      </c>
      <c r="H107" s="1930" t="s">
        <v>188</v>
      </c>
      <c r="I107" s="1930" t="s">
        <v>136</v>
      </c>
      <c r="J107" s="1930" t="s">
        <v>320</v>
      </c>
      <c r="K107" s="1933">
        <v>5.77</v>
      </c>
      <c r="L107" s="1930" t="s">
        <v>138</v>
      </c>
    </row>
    <row r="108" spans="1:12" ht="13.5" x14ac:dyDescent="0.25">
      <c r="A108" s="1930" t="s">
        <v>4455</v>
      </c>
      <c r="B108" s="1930" t="s">
        <v>4456</v>
      </c>
      <c r="C108" s="1930" t="s">
        <v>4459</v>
      </c>
      <c r="D108" s="1930" t="s">
        <v>4460</v>
      </c>
      <c r="E108" s="1931" t="s">
        <v>33</v>
      </c>
      <c r="F108" s="1930" t="s">
        <v>33</v>
      </c>
      <c r="G108" s="1932">
        <v>90745</v>
      </c>
      <c r="H108" s="1930" t="s">
        <v>189</v>
      </c>
      <c r="I108" s="1930" t="s">
        <v>136</v>
      </c>
      <c r="J108" s="1930" t="s">
        <v>137</v>
      </c>
      <c r="K108" s="1933">
        <v>13.11</v>
      </c>
      <c r="L108" s="1930" t="s">
        <v>138</v>
      </c>
    </row>
    <row r="109" spans="1:12" ht="13.5" x14ac:dyDescent="0.25">
      <c r="A109" s="1930" t="s">
        <v>4455</v>
      </c>
      <c r="B109" s="1930" t="s">
        <v>4456</v>
      </c>
      <c r="C109" s="1930" t="s">
        <v>4459</v>
      </c>
      <c r="D109" s="1930" t="s">
        <v>4460</v>
      </c>
      <c r="E109" s="1931" t="s">
        <v>33</v>
      </c>
      <c r="F109" s="1930" t="s">
        <v>33</v>
      </c>
      <c r="G109" s="1932">
        <v>90746</v>
      </c>
      <c r="H109" s="1930" t="s">
        <v>190</v>
      </c>
      <c r="I109" s="1930" t="s">
        <v>136</v>
      </c>
      <c r="J109" s="1930" t="s">
        <v>320</v>
      </c>
      <c r="K109" s="1933">
        <v>2.5</v>
      </c>
      <c r="L109" s="1930" t="s">
        <v>138</v>
      </c>
    </row>
    <row r="110" spans="1:12" ht="13.5" x14ac:dyDescent="0.25">
      <c r="A110" s="1930" t="s">
        <v>4455</v>
      </c>
      <c r="B110" s="1930" t="s">
        <v>4456</v>
      </c>
      <c r="C110" s="1930" t="s">
        <v>4459</v>
      </c>
      <c r="D110" s="1930" t="s">
        <v>4460</v>
      </c>
      <c r="E110" s="1931" t="s">
        <v>33</v>
      </c>
      <c r="F110" s="1930" t="s">
        <v>33</v>
      </c>
      <c r="G110" s="1932">
        <v>90747</v>
      </c>
      <c r="H110" s="1930" t="s">
        <v>191</v>
      </c>
      <c r="I110" s="1930" t="s">
        <v>136</v>
      </c>
      <c r="J110" s="1930" t="s">
        <v>137</v>
      </c>
      <c r="K110" s="1933">
        <v>10.050000000000001</v>
      </c>
      <c r="L110" s="1930" t="s">
        <v>138</v>
      </c>
    </row>
    <row r="111" spans="1:12" ht="13.5" x14ac:dyDescent="0.25">
      <c r="A111" s="1930" t="s">
        <v>4455</v>
      </c>
      <c r="B111" s="1930" t="s">
        <v>4456</v>
      </c>
      <c r="C111" s="1930" t="s">
        <v>4459</v>
      </c>
      <c r="D111" s="1930" t="s">
        <v>4460</v>
      </c>
      <c r="E111" s="1931" t="s">
        <v>33</v>
      </c>
      <c r="F111" s="1930" t="s">
        <v>33</v>
      </c>
      <c r="G111" s="1932">
        <v>90748</v>
      </c>
      <c r="H111" s="1930" t="s">
        <v>192</v>
      </c>
      <c r="I111" s="1930" t="s">
        <v>136</v>
      </c>
      <c r="J111" s="1930" t="s">
        <v>320</v>
      </c>
      <c r="K111" s="1933">
        <v>3.31</v>
      </c>
      <c r="L111" s="1930" t="s">
        <v>138</v>
      </c>
    </row>
    <row r="112" spans="1:12" ht="13.5" x14ac:dyDescent="0.25">
      <c r="A112" s="1930" t="s">
        <v>4455</v>
      </c>
      <c r="B112" s="1930" t="s">
        <v>4456</v>
      </c>
      <c r="C112" s="1930" t="s">
        <v>4459</v>
      </c>
      <c r="D112" s="1930" t="s">
        <v>4460</v>
      </c>
      <c r="E112" s="1931" t="s">
        <v>33</v>
      </c>
      <c r="F112" s="1930" t="s">
        <v>33</v>
      </c>
      <c r="G112" s="1932">
        <v>90749</v>
      </c>
      <c r="H112" s="1930" t="s">
        <v>193</v>
      </c>
      <c r="I112" s="1930" t="s">
        <v>136</v>
      </c>
      <c r="J112" s="1930" t="s">
        <v>320</v>
      </c>
      <c r="K112" s="1933">
        <v>3.73</v>
      </c>
      <c r="L112" s="1930" t="s">
        <v>138</v>
      </c>
    </row>
    <row r="113" spans="1:12" ht="13.5" x14ac:dyDescent="0.25">
      <c r="A113" s="1930" t="s">
        <v>4455</v>
      </c>
      <c r="B113" s="1930" t="s">
        <v>4456</v>
      </c>
      <c r="C113" s="1930" t="s">
        <v>4459</v>
      </c>
      <c r="D113" s="1930" t="s">
        <v>4460</v>
      </c>
      <c r="E113" s="1931" t="s">
        <v>33</v>
      </c>
      <c r="F113" s="1930" t="s">
        <v>33</v>
      </c>
      <c r="G113" s="1932">
        <v>90750</v>
      </c>
      <c r="H113" s="1930" t="s">
        <v>194</v>
      </c>
      <c r="I113" s="1930" t="s">
        <v>136</v>
      </c>
      <c r="J113" s="1930" t="s">
        <v>320</v>
      </c>
      <c r="K113" s="1933">
        <v>4.1399999999999997</v>
      </c>
      <c r="L113" s="1930" t="s">
        <v>138</v>
      </c>
    </row>
    <row r="114" spans="1:12" ht="13.5" x14ac:dyDescent="0.25">
      <c r="A114" s="1930" t="s">
        <v>4455</v>
      </c>
      <c r="B114" s="1930" t="s">
        <v>4456</v>
      </c>
      <c r="C114" s="1930" t="s">
        <v>4459</v>
      </c>
      <c r="D114" s="1930" t="s">
        <v>4460</v>
      </c>
      <c r="E114" s="1931" t="s">
        <v>33</v>
      </c>
      <c r="F114" s="1930" t="s">
        <v>33</v>
      </c>
      <c r="G114" s="1932">
        <v>90751</v>
      </c>
      <c r="H114" s="1930" t="s">
        <v>195</v>
      </c>
      <c r="I114" s="1930" t="s">
        <v>136</v>
      </c>
      <c r="J114" s="1930" t="s">
        <v>320</v>
      </c>
      <c r="K114" s="1933">
        <v>4.55</v>
      </c>
      <c r="L114" s="1930" t="s">
        <v>138</v>
      </c>
    </row>
    <row r="115" spans="1:12" ht="13.5" x14ac:dyDescent="0.25">
      <c r="A115" s="1930" t="s">
        <v>4455</v>
      </c>
      <c r="B115" s="1930" t="s">
        <v>4456</v>
      </c>
      <c r="C115" s="1930" t="s">
        <v>4459</v>
      </c>
      <c r="D115" s="1930" t="s">
        <v>4460</v>
      </c>
      <c r="E115" s="1931" t="s">
        <v>33</v>
      </c>
      <c r="F115" s="1930" t="s">
        <v>33</v>
      </c>
      <c r="G115" s="1932">
        <v>90752</v>
      </c>
      <c r="H115" s="1930" t="s">
        <v>196</v>
      </c>
      <c r="I115" s="1930" t="s">
        <v>136</v>
      </c>
      <c r="J115" s="1930" t="s">
        <v>320</v>
      </c>
      <c r="K115" s="1933">
        <v>4.96</v>
      </c>
      <c r="L115" s="1930" t="s">
        <v>138</v>
      </c>
    </row>
    <row r="116" spans="1:12" ht="13.5" x14ac:dyDescent="0.25">
      <c r="A116" s="1930" t="s">
        <v>4455</v>
      </c>
      <c r="B116" s="1930" t="s">
        <v>4456</v>
      </c>
      <c r="C116" s="1930" t="s">
        <v>4459</v>
      </c>
      <c r="D116" s="1930" t="s">
        <v>4460</v>
      </c>
      <c r="E116" s="1931" t="s">
        <v>33</v>
      </c>
      <c r="F116" s="1930" t="s">
        <v>33</v>
      </c>
      <c r="G116" s="1932">
        <v>90753</v>
      </c>
      <c r="H116" s="1930" t="s">
        <v>197</v>
      </c>
      <c r="I116" s="1930" t="s">
        <v>136</v>
      </c>
      <c r="J116" s="1930" t="s">
        <v>320</v>
      </c>
      <c r="K116" s="1933">
        <v>5.37</v>
      </c>
      <c r="L116" s="1930" t="s">
        <v>138</v>
      </c>
    </row>
    <row r="117" spans="1:12" ht="13.5" x14ac:dyDescent="0.25">
      <c r="A117" s="1930" t="s">
        <v>4455</v>
      </c>
      <c r="B117" s="1930" t="s">
        <v>4456</v>
      </c>
      <c r="C117" s="1930" t="s">
        <v>4459</v>
      </c>
      <c r="D117" s="1930" t="s">
        <v>4460</v>
      </c>
      <c r="E117" s="1931" t="s">
        <v>33</v>
      </c>
      <c r="F117" s="1930" t="s">
        <v>33</v>
      </c>
      <c r="G117" s="1932">
        <v>90754</v>
      </c>
      <c r="H117" s="1930" t="s">
        <v>198</v>
      </c>
      <c r="I117" s="1930" t="s">
        <v>136</v>
      </c>
      <c r="J117" s="1930" t="s">
        <v>137</v>
      </c>
      <c r="K117" s="1933">
        <v>12.27</v>
      </c>
      <c r="L117" s="1930" t="s">
        <v>138</v>
      </c>
    </row>
    <row r="118" spans="1:12" ht="13.5" x14ac:dyDescent="0.25">
      <c r="A118" s="1930" t="s">
        <v>4455</v>
      </c>
      <c r="B118" s="1930" t="s">
        <v>4456</v>
      </c>
      <c r="C118" s="1930" t="s">
        <v>4459</v>
      </c>
      <c r="D118" s="1930" t="s">
        <v>4460</v>
      </c>
      <c r="E118" s="1931" t="s">
        <v>33</v>
      </c>
      <c r="F118" s="1930" t="s">
        <v>33</v>
      </c>
      <c r="G118" s="1932">
        <v>90755</v>
      </c>
      <c r="H118" s="1930" t="s">
        <v>199</v>
      </c>
      <c r="I118" s="1930" t="s">
        <v>136</v>
      </c>
      <c r="J118" s="1930" t="s">
        <v>320</v>
      </c>
      <c r="K118" s="1933">
        <v>5.58</v>
      </c>
      <c r="L118" s="1930" t="s">
        <v>138</v>
      </c>
    </row>
    <row r="119" spans="1:12" ht="13.5" x14ac:dyDescent="0.25">
      <c r="A119" s="1930" t="s">
        <v>4455</v>
      </c>
      <c r="B119" s="1930" t="s">
        <v>4456</v>
      </c>
      <c r="C119" s="1930" t="s">
        <v>4459</v>
      </c>
      <c r="D119" s="1930" t="s">
        <v>4460</v>
      </c>
      <c r="E119" s="1931" t="s">
        <v>33</v>
      </c>
      <c r="F119" s="1930" t="s">
        <v>33</v>
      </c>
      <c r="G119" s="1932">
        <v>90756</v>
      </c>
      <c r="H119" s="1930" t="s">
        <v>200</v>
      </c>
      <c r="I119" s="1930" t="s">
        <v>136</v>
      </c>
      <c r="J119" s="1930" t="s">
        <v>320</v>
      </c>
      <c r="K119" s="1933">
        <v>5.99</v>
      </c>
      <c r="L119" s="1930" t="s">
        <v>138</v>
      </c>
    </row>
    <row r="120" spans="1:12" ht="13.5" x14ac:dyDescent="0.25">
      <c r="A120" s="1930" t="s">
        <v>4455</v>
      </c>
      <c r="B120" s="1930" t="s">
        <v>4456</v>
      </c>
      <c r="C120" s="1930" t="s">
        <v>4459</v>
      </c>
      <c r="D120" s="1930" t="s">
        <v>4460</v>
      </c>
      <c r="E120" s="1931" t="s">
        <v>33</v>
      </c>
      <c r="F120" s="1930" t="s">
        <v>33</v>
      </c>
      <c r="G120" s="1932">
        <v>90757</v>
      </c>
      <c r="H120" s="1930" t="s">
        <v>201</v>
      </c>
      <c r="I120" s="1930" t="s">
        <v>136</v>
      </c>
      <c r="J120" s="1930" t="s">
        <v>320</v>
      </c>
      <c r="K120" s="1933">
        <v>6.41</v>
      </c>
      <c r="L120" s="1930" t="s">
        <v>138</v>
      </c>
    </row>
    <row r="121" spans="1:12" ht="13.5" x14ac:dyDescent="0.25">
      <c r="A121" s="1930" t="s">
        <v>4455</v>
      </c>
      <c r="B121" s="1930" t="s">
        <v>4456</v>
      </c>
      <c r="C121" s="1930" t="s">
        <v>4459</v>
      </c>
      <c r="D121" s="1930" t="s">
        <v>4460</v>
      </c>
      <c r="E121" s="1931" t="s">
        <v>33</v>
      </c>
      <c r="F121" s="1930" t="s">
        <v>33</v>
      </c>
      <c r="G121" s="1932">
        <v>90758</v>
      </c>
      <c r="H121" s="1930" t="s">
        <v>202</v>
      </c>
      <c r="I121" s="1930" t="s">
        <v>136</v>
      </c>
      <c r="J121" s="1930" t="s">
        <v>320</v>
      </c>
      <c r="K121" s="1933">
        <v>6.82</v>
      </c>
      <c r="L121" s="1930" t="s">
        <v>138</v>
      </c>
    </row>
    <row r="122" spans="1:12" ht="13.5" x14ac:dyDescent="0.25">
      <c r="A122" s="1930" t="s">
        <v>4455</v>
      </c>
      <c r="B122" s="1930" t="s">
        <v>4456</v>
      </c>
      <c r="C122" s="1930" t="s">
        <v>4459</v>
      </c>
      <c r="D122" s="1930" t="s">
        <v>4460</v>
      </c>
      <c r="E122" s="1931" t="s">
        <v>33</v>
      </c>
      <c r="F122" s="1930" t="s">
        <v>33</v>
      </c>
      <c r="G122" s="1932">
        <v>90759</v>
      </c>
      <c r="H122" s="1930" t="s">
        <v>203</v>
      </c>
      <c r="I122" s="1930" t="s">
        <v>136</v>
      </c>
      <c r="J122" s="1930" t="s">
        <v>320</v>
      </c>
      <c r="K122" s="1933">
        <v>7.23</v>
      </c>
      <c r="L122" s="1930" t="s">
        <v>138</v>
      </c>
    </row>
    <row r="123" spans="1:12" ht="13.5" x14ac:dyDescent="0.25">
      <c r="A123" s="1930" t="s">
        <v>4455</v>
      </c>
      <c r="B123" s="1930" t="s">
        <v>4456</v>
      </c>
      <c r="C123" s="1930" t="s">
        <v>4459</v>
      </c>
      <c r="D123" s="1930" t="s">
        <v>4460</v>
      </c>
      <c r="E123" s="1931" t="s">
        <v>33</v>
      </c>
      <c r="F123" s="1930" t="s">
        <v>33</v>
      </c>
      <c r="G123" s="1932">
        <v>90760</v>
      </c>
      <c r="H123" s="1930" t="s">
        <v>204</v>
      </c>
      <c r="I123" s="1930" t="s">
        <v>136</v>
      </c>
      <c r="J123" s="1930" t="s">
        <v>137</v>
      </c>
      <c r="K123" s="1933">
        <v>16.239999999999998</v>
      </c>
      <c r="L123" s="1930" t="s">
        <v>138</v>
      </c>
    </row>
    <row r="124" spans="1:12" ht="13.5" x14ac:dyDescent="0.25">
      <c r="A124" s="1930" t="s">
        <v>4455</v>
      </c>
      <c r="B124" s="1930" t="s">
        <v>4456</v>
      </c>
      <c r="C124" s="1930" t="s">
        <v>4459</v>
      </c>
      <c r="D124" s="1930" t="s">
        <v>4460</v>
      </c>
      <c r="E124" s="1931" t="s">
        <v>33</v>
      </c>
      <c r="F124" s="1930" t="s">
        <v>33</v>
      </c>
      <c r="G124" s="1932">
        <v>90761</v>
      </c>
      <c r="H124" s="1930" t="s">
        <v>205</v>
      </c>
      <c r="I124" s="1930" t="s">
        <v>136</v>
      </c>
      <c r="J124" s="1930" t="s">
        <v>320</v>
      </c>
      <c r="K124" s="1933">
        <v>3.07</v>
      </c>
      <c r="L124" s="1930" t="s">
        <v>138</v>
      </c>
    </row>
    <row r="125" spans="1:12" ht="13.5" x14ac:dyDescent="0.25">
      <c r="A125" s="1930" t="s">
        <v>4455</v>
      </c>
      <c r="B125" s="1930" t="s">
        <v>4456</v>
      </c>
      <c r="C125" s="1930" t="s">
        <v>4459</v>
      </c>
      <c r="D125" s="1930" t="s">
        <v>4460</v>
      </c>
      <c r="E125" s="1931" t="s">
        <v>33</v>
      </c>
      <c r="F125" s="1930" t="s">
        <v>33</v>
      </c>
      <c r="G125" s="1932">
        <v>90762</v>
      </c>
      <c r="H125" s="1930" t="s">
        <v>206</v>
      </c>
      <c r="I125" s="1930" t="s">
        <v>136</v>
      </c>
      <c r="J125" s="1930" t="s">
        <v>137</v>
      </c>
      <c r="K125" s="1933">
        <v>11.96</v>
      </c>
      <c r="L125" s="1930" t="s">
        <v>138</v>
      </c>
    </row>
    <row r="126" spans="1:12" ht="13.5" x14ac:dyDescent="0.25">
      <c r="A126" s="1930" t="s">
        <v>4455</v>
      </c>
      <c r="B126" s="1930" t="s">
        <v>4456</v>
      </c>
      <c r="C126" s="1930" t="s">
        <v>4459</v>
      </c>
      <c r="D126" s="1930" t="s">
        <v>4460</v>
      </c>
      <c r="E126" s="1931" t="s">
        <v>33</v>
      </c>
      <c r="F126" s="1930" t="s">
        <v>33</v>
      </c>
      <c r="G126" s="1932">
        <v>94869</v>
      </c>
      <c r="H126" s="1930" t="s">
        <v>207</v>
      </c>
      <c r="I126" s="1930" t="s">
        <v>136</v>
      </c>
      <c r="J126" s="1930" t="s">
        <v>137</v>
      </c>
      <c r="K126" s="1933">
        <v>129.49</v>
      </c>
      <c r="L126" s="1930" t="s">
        <v>138</v>
      </c>
    </row>
    <row r="127" spans="1:12" ht="13.5" x14ac:dyDescent="0.25">
      <c r="A127" s="1930" t="s">
        <v>4455</v>
      </c>
      <c r="B127" s="1930" t="s">
        <v>4456</v>
      </c>
      <c r="C127" s="1930" t="s">
        <v>4459</v>
      </c>
      <c r="D127" s="1930" t="s">
        <v>4460</v>
      </c>
      <c r="E127" s="1931" t="s">
        <v>33</v>
      </c>
      <c r="F127" s="1930" t="s">
        <v>33</v>
      </c>
      <c r="G127" s="1932">
        <v>94870</v>
      </c>
      <c r="H127" s="1930" t="s">
        <v>208</v>
      </c>
      <c r="I127" s="1930" t="s">
        <v>136</v>
      </c>
      <c r="J127" s="1930" t="s">
        <v>320</v>
      </c>
      <c r="K127" s="1933">
        <v>0.61</v>
      </c>
      <c r="L127" s="1930" t="s">
        <v>138</v>
      </c>
    </row>
    <row r="128" spans="1:12" ht="13.5" x14ac:dyDescent="0.25">
      <c r="A128" s="1930" t="s">
        <v>4455</v>
      </c>
      <c r="B128" s="1930" t="s">
        <v>4456</v>
      </c>
      <c r="C128" s="1930" t="s">
        <v>4459</v>
      </c>
      <c r="D128" s="1930" t="s">
        <v>4460</v>
      </c>
      <c r="E128" s="1931" t="s">
        <v>33</v>
      </c>
      <c r="F128" s="1930" t="s">
        <v>33</v>
      </c>
      <c r="G128" s="1932">
        <v>94871</v>
      </c>
      <c r="H128" s="1930" t="s">
        <v>209</v>
      </c>
      <c r="I128" s="1930" t="s">
        <v>136</v>
      </c>
      <c r="J128" s="1930" t="s">
        <v>137</v>
      </c>
      <c r="K128" s="1933">
        <v>153.44</v>
      </c>
      <c r="L128" s="1930" t="s">
        <v>138</v>
      </c>
    </row>
    <row r="129" spans="1:12" ht="13.5" x14ac:dyDescent="0.25">
      <c r="A129" s="1930" t="s">
        <v>4455</v>
      </c>
      <c r="B129" s="1930" t="s">
        <v>4456</v>
      </c>
      <c r="C129" s="1930" t="s">
        <v>4459</v>
      </c>
      <c r="D129" s="1930" t="s">
        <v>4460</v>
      </c>
      <c r="E129" s="1931" t="s">
        <v>33</v>
      </c>
      <c r="F129" s="1930" t="s">
        <v>33</v>
      </c>
      <c r="G129" s="1932">
        <v>94872</v>
      </c>
      <c r="H129" s="1930" t="s">
        <v>210</v>
      </c>
      <c r="I129" s="1930" t="s">
        <v>136</v>
      </c>
      <c r="J129" s="1930" t="s">
        <v>320</v>
      </c>
      <c r="K129" s="1933">
        <v>1.07</v>
      </c>
      <c r="L129" s="1930" t="s">
        <v>138</v>
      </c>
    </row>
    <row r="130" spans="1:12" ht="13.5" x14ac:dyDescent="0.25">
      <c r="A130" s="1930" t="s">
        <v>4455</v>
      </c>
      <c r="B130" s="1930" t="s">
        <v>4456</v>
      </c>
      <c r="C130" s="1930" t="s">
        <v>4459</v>
      </c>
      <c r="D130" s="1930" t="s">
        <v>4460</v>
      </c>
      <c r="E130" s="1931" t="s">
        <v>33</v>
      </c>
      <c r="F130" s="1930" t="s">
        <v>33</v>
      </c>
      <c r="G130" s="1932">
        <v>94875</v>
      </c>
      <c r="H130" s="1930" t="s">
        <v>211</v>
      </c>
      <c r="I130" s="1930" t="s">
        <v>136</v>
      </c>
      <c r="J130" s="1930" t="s">
        <v>137</v>
      </c>
      <c r="K130" s="1933">
        <v>898.8</v>
      </c>
      <c r="L130" s="1930" t="s">
        <v>138</v>
      </c>
    </row>
    <row r="131" spans="1:12" ht="13.5" x14ac:dyDescent="0.25">
      <c r="A131" s="1930" t="s">
        <v>4455</v>
      </c>
      <c r="B131" s="1930" t="s">
        <v>4456</v>
      </c>
      <c r="C131" s="1930" t="s">
        <v>4459</v>
      </c>
      <c r="D131" s="1930" t="s">
        <v>4460</v>
      </c>
      <c r="E131" s="1931" t="s">
        <v>33</v>
      </c>
      <c r="F131" s="1930" t="s">
        <v>33</v>
      </c>
      <c r="G131" s="1932">
        <v>94876</v>
      </c>
      <c r="H131" s="1930" t="s">
        <v>212</v>
      </c>
      <c r="I131" s="1930" t="s">
        <v>136</v>
      </c>
      <c r="J131" s="1930" t="s">
        <v>137</v>
      </c>
      <c r="K131" s="1933">
        <v>15.22</v>
      </c>
      <c r="L131" s="1930" t="s">
        <v>138</v>
      </c>
    </row>
    <row r="132" spans="1:12" ht="13.5" x14ac:dyDescent="0.25">
      <c r="A132" s="1930" t="s">
        <v>4455</v>
      </c>
      <c r="B132" s="1930" t="s">
        <v>4456</v>
      </c>
      <c r="C132" s="1930" t="s">
        <v>4459</v>
      </c>
      <c r="D132" s="1930" t="s">
        <v>4460</v>
      </c>
      <c r="E132" s="1931" t="s">
        <v>33</v>
      </c>
      <c r="F132" s="1930" t="s">
        <v>33</v>
      </c>
      <c r="G132" s="1932">
        <v>94878</v>
      </c>
      <c r="H132" s="1930" t="s">
        <v>213</v>
      </c>
      <c r="I132" s="1930" t="s">
        <v>136</v>
      </c>
      <c r="J132" s="1930" t="s">
        <v>137</v>
      </c>
      <c r="K132" s="1933">
        <v>17.850000000000001</v>
      </c>
      <c r="L132" s="1930" t="s">
        <v>138</v>
      </c>
    </row>
    <row r="133" spans="1:12" ht="13.5" x14ac:dyDescent="0.25">
      <c r="A133" s="1930" t="s">
        <v>4455</v>
      </c>
      <c r="B133" s="1930" t="s">
        <v>4456</v>
      </c>
      <c r="C133" s="1930" t="s">
        <v>4459</v>
      </c>
      <c r="D133" s="1930" t="s">
        <v>4460</v>
      </c>
      <c r="E133" s="1931" t="s">
        <v>33</v>
      </c>
      <c r="F133" s="1930" t="s">
        <v>33</v>
      </c>
      <c r="G133" s="1932">
        <v>94879</v>
      </c>
      <c r="H133" s="1930" t="s">
        <v>214</v>
      </c>
      <c r="I133" s="1930" t="s">
        <v>136</v>
      </c>
      <c r="J133" s="1930" t="s">
        <v>137</v>
      </c>
      <c r="K133" s="1933">
        <v>1197.73</v>
      </c>
      <c r="L133" s="1930" t="s">
        <v>138</v>
      </c>
    </row>
    <row r="134" spans="1:12" ht="13.5" x14ac:dyDescent="0.25">
      <c r="A134" s="1930" t="s">
        <v>4455</v>
      </c>
      <c r="B134" s="1930" t="s">
        <v>4456</v>
      </c>
      <c r="C134" s="1930" t="s">
        <v>4459</v>
      </c>
      <c r="D134" s="1930" t="s">
        <v>4460</v>
      </c>
      <c r="E134" s="1931" t="s">
        <v>33</v>
      </c>
      <c r="F134" s="1930" t="s">
        <v>33</v>
      </c>
      <c r="G134" s="1932">
        <v>94880</v>
      </c>
      <c r="H134" s="1930" t="s">
        <v>215</v>
      </c>
      <c r="I134" s="1930" t="s">
        <v>136</v>
      </c>
      <c r="J134" s="1930" t="s">
        <v>137</v>
      </c>
      <c r="K134" s="1933">
        <v>21.86</v>
      </c>
      <c r="L134" s="1930" t="s">
        <v>138</v>
      </c>
    </row>
    <row r="135" spans="1:12" ht="13.5" x14ac:dyDescent="0.25">
      <c r="A135" s="1930" t="s">
        <v>4455</v>
      </c>
      <c r="B135" s="1930" t="s">
        <v>4456</v>
      </c>
      <c r="C135" s="1930" t="s">
        <v>4459</v>
      </c>
      <c r="D135" s="1930" t="s">
        <v>4460</v>
      </c>
      <c r="E135" s="1931" t="s">
        <v>33</v>
      </c>
      <c r="F135" s="1930" t="s">
        <v>33</v>
      </c>
      <c r="G135" s="1932">
        <v>94881</v>
      </c>
      <c r="H135" s="1930" t="s">
        <v>216</v>
      </c>
      <c r="I135" s="1930" t="s">
        <v>136</v>
      </c>
      <c r="J135" s="1930" t="s">
        <v>137</v>
      </c>
      <c r="K135" s="1933">
        <v>1868.98</v>
      </c>
      <c r="L135" s="1930" t="s">
        <v>138</v>
      </c>
    </row>
    <row r="136" spans="1:12" ht="13.5" x14ac:dyDescent="0.25">
      <c r="A136" s="1930" t="s">
        <v>4455</v>
      </c>
      <c r="B136" s="1930" t="s">
        <v>4456</v>
      </c>
      <c r="C136" s="1930" t="s">
        <v>4459</v>
      </c>
      <c r="D136" s="1930" t="s">
        <v>4460</v>
      </c>
      <c r="E136" s="1931" t="s">
        <v>33</v>
      </c>
      <c r="F136" s="1930" t="s">
        <v>33</v>
      </c>
      <c r="G136" s="1932">
        <v>94882</v>
      </c>
      <c r="H136" s="1930" t="s">
        <v>217</v>
      </c>
      <c r="I136" s="1930" t="s">
        <v>136</v>
      </c>
      <c r="J136" s="1930" t="s">
        <v>137</v>
      </c>
      <c r="K136" s="1933">
        <v>25.92</v>
      </c>
      <c r="L136" s="1930" t="s">
        <v>138</v>
      </c>
    </row>
    <row r="137" spans="1:12" ht="13.5" x14ac:dyDescent="0.25">
      <c r="A137" s="1930" t="s">
        <v>4455</v>
      </c>
      <c r="B137" s="1930" t="s">
        <v>4456</v>
      </c>
      <c r="C137" s="1930" t="s">
        <v>4459</v>
      </c>
      <c r="D137" s="1930" t="s">
        <v>4460</v>
      </c>
      <c r="E137" s="1931" t="s">
        <v>33</v>
      </c>
      <c r="F137" s="1930" t="s">
        <v>33</v>
      </c>
      <c r="G137" s="1932">
        <v>94884</v>
      </c>
      <c r="H137" s="1930" t="s">
        <v>218</v>
      </c>
      <c r="I137" s="1930" t="s">
        <v>136</v>
      </c>
      <c r="J137" s="1930" t="s">
        <v>137</v>
      </c>
      <c r="K137" s="1933">
        <v>34.18</v>
      </c>
      <c r="L137" s="1930" t="s">
        <v>138</v>
      </c>
    </row>
    <row r="138" spans="1:12" ht="13.5" x14ac:dyDescent="0.25">
      <c r="A138" s="1930" t="s">
        <v>4455</v>
      </c>
      <c r="B138" s="1930" t="s">
        <v>4456</v>
      </c>
      <c r="C138" s="1930" t="s">
        <v>4459</v>
      </c>
      <c r="D138" s="1930" t="s">
        <v>4460</v>
      </c>
      <c r="E138" s="1931" t="s">
        <v>33</v>
      </c>
      <c r="F138" s="1930" t="s">
        <v>33</v>
      </c>
      <c r="G138" s="1932">
        <v>94885</v>
      </c>
      <c r="H138" s="1930" t="s">
        <v>219</v>
      </c>
      <c r="I138" s="1930" t="s">
        <v>136</v>
      </c>
      <c r="J138" s="1930" t="s">
        <v>137</v>
      </c>
      <c r="K138" s="1933">
        <v>129.66</v>
      </c>
      <c r="L138" s="1930" t="s">
        <v>138</v>
      </c>
    </row>
    <row r="139" spans="1:12" ht="13.5" x14ac:dyDescent="0.25">
      <c r="A139" s="1930" t="s">
        <v>4455</v>
      </c>
      <c r="B139" s="1930" t="s">
        <v>4456</v>
      </c>
      <c r="C139" s="1930" t="s">
        <v>4459</v>
      </c>
      <c r="D139" s="1930" t="s">
        <v>4460</v>
      </c>
      <c r="E139" s="1931" t="s">
        <v>33</v>
      </c>
      <c r="F139" s="1930" t="s">
        <v>33</v>
      </c>
      <c r="G139" s="1932">
        <v>94886</v>
      </c>
      <c r="H139" s="1930" t="s">
        <v>220</v>
      </c>
      <c r="I139" s="1930" t="s">
        <v>136</v>
      </c>
      <c r="J139" s="1930" t="s">
        <v>320</v>
      </c>
      <c r="K139" s="1933">
        <v>0.78</v>
      </c>
      <c r="L139" s="1930" t="s">
        <v>138</v>
      </c>
    </row>
    <row r="140" spans="1:12" ht="13.5" x14ac:dyDescent="0.25">
      <c r="A140" s="1930" t="s">
        <v>4455</v>
      </c>
      <c r="B140" s="1930" t="s">
        <v>4456</v>
      </c>
      <c r="C140" s="1930" t="s">
        <v>4459</v>
      </c>
      <c r="D140" s="1930" t="s">
        <v>4460</v>
      </c>
      <c r="E140" s="1931" t="s">
        <v>33</v>
      </c>
      <c r="F140" s="1930" t="s">
        <v>33</v>
      </c>
      <c r="G140" s="1932">
        <v>94887</v>
      </c>
      <c r="H140" s="1930" t="s">
        <v>221</v>
      </c>
      <c r="I140" s="1930" t="s">
        <v>136</v>
      </c>
      <c r="J140" s="1930" t="s">
        <v>137</v>
      </c>
      <c r="K140" s="1933">
        <v>153.72999999999999</v>
      </c>
      <c r="L140" s="1930" t="s">
        <v>138</v>
      </c>
    </row>
    <row r="141" spans="1:12" ht="13.5" x14ac:dyDescent="0.25">
      <c r="A141" s="1930" t="s">
        <v>4455</v>
      </c>
      <c r="B141" s="1930" t="s">
        <v>4456</v>
      </c>
      <c r="C141" s="1930" t="s">
        <v>4459</v>
      </c>
      <c r="D141" s="1930" t="s">
        <v>4460</v>
      </c>
      <c r="E141" s="1931" t="s">
        <v>33</v>
      </c>
      <c r="F141" s="1930" t="s">
        <v>33</v>
      </c>
      <c r="G141" s="1932">
        <v>94888</v>
      </c>
      <c r="H141" s="1930" t="s">
        <v>222</v>
      </c>
      <c r="I141" s="1930" t="s">
        <v>136</v>
      </c>
      <c r="J141" s="1930" t="s">
        <v>320</v>
      </c>
      <c r="K141" s="1933">
        <v>1.36</v>
      </c>
      <c r="L141" s="1930" t="s">
        <v>138</v>
      </c>
    </row>
    <row r="142" spans="1:12" ht="13.5" x14ac:dyDescent="0.25">
      <c r="A142" s="1930" t="s">
        <v>4455</v>
      </c>
      <c r="B142" s="1930" t="s">
        <v>4456</v>
      </c>
      <c r="C142" s="1930" t="s">
        <v>4459</v>
      </c>
      <c r="D142" s="1930" t="s">
        <v>4460</v>
      </c>
      <c r="E142" s="1931" t="s">
        <v>33</v>
      </c>
      <c r="F142" s="1930" t="s">
        <v>33</v>
      </c>
      <c r="G142" s="1932">
        <v>94891</v>
      </c>
      <c r="H142" s="1930" t="s">
        <v>223</v>
      </c>
      <c r="I142" s="1930" t="s">
        <v>136</v>
      </c>
      <c r="J142" s="1930" t="s">
        <v>137</v>
      </c>
      <c r="K142" s="1933">
        <v>901.24</v>
      </c>
      <c r="L142" s="1930" t="s">
        <v>138</v>
      </c>
    </row>
    <row r="143" spans="1:12" ht="13.5" x14ac:dyDescent="0.25">
      <c r="A143" s="1930" t="s">
        <v>4455</v>
      </c>
      <c r="B143" s="1930" t="s">
        <v>4456</v>
      </c>
      <c r="C143" s="1930" t="s">
        <v>4459</v>
      </c>
      <c r="D143" s="1930" t="s">
        <v>4460</v>
      </c>
      <c r="E143" s="1931" t="s">
        <v>33</v>
      </c>
      <c r="F143" s="1930" t="s">
        <v>33</v>
      </c>
      <c r="G143" s="1932">
        <v>94892</v>
      </c>
      <c r="H143" s="1930" t="s">
        <v>224</v>
      </c>
      <c r="I143" s="1930" t="s">
        <v>136</v>
      </c>
      <c r="J143" s="1930" t="s">
        <v>137</v>
      </c>
      <c r="K143" s="1933">
        <v>17.66</v>
      </c>
      <c r="L143" s="1930" t="s">
        <v>138</v>
      </c>
    </row>
    <row r="144" spans="1:12" ht="13.5" x14ac:dyDescent="0.25">
      <c r="A144" s="1930" t="s">
        <v>4455</v>
      </c>
      <c r="B144" s="1930" t="s">
        <v>4456</v>
      </c>
      <c r="C144" s="1930" t="s">
        <v>4459</v>
      </c>
      <c r="D144" s="1930" t="s">
        <v>4460</v>
      </c>
      <c r="E144" s="1931" t="s">
        <v>33</v>
      </c>
      <c r="F144" s="1930" t="s">
        <v>33</v>
      </c>
      <c r="G144" s="1932">
        <v>94894</v>
      </c>
      <c r="H144" s="1930" t="s">
        <v>225</v>
      </c>
      <c r="I144" s="1930" t="s">
        <v>136</v>
      </c>
      <c r="J144" s="1930" t="s">
        <v>137</v>
      </c>
      <c r="K144" s="1933">
        <v>20.52</v>
      </c>
      <c r="L144" s="1930" t="s">
        <v>138</v>
      </c>
    </row>
    <row r="145" spans="1:12" ht="13.5" x14ac:dyDescent="0.25">
      <c r="A145" s="1930" t="s">
        <v>4455</v>
      </c>
      <c r="B145" s="1930" t="s">
        <v>4456</v>
      </c>
      <c r="C145" s="1930" t="s">
        <v>4459</v>
      </c>
      <c r="D145" s="1930" t="s">
        <v>4460</v>
      </c>
      <c r="E145" s="1931" t="s">
        <v>33</v>
      </c>
      <c r="F145" s="1930" t="s">
        <v>33</v>
      </c>
      <c r="G145" s="1932">
        <v>94895</v>
      </c>
      <c r="H145" s="1930" t="s">
        <v>226</v>
      </c>
      <c r="I145" s="1930" t="s">
        <v>136</v>
      </c>
      <c r="J145" s="1930" t="s">
        <v>137</v>
      </c>
      <c r="K145" s="1933">
        <v>1200.6500000000001</v>
      </c>
      <c r="L145" s="1930" t="s">
        <v>138</v>
      </c>
    </row>
    <row r="146" spans="1:12" ht="13.5" x14ac:dyDescent="0.25">
      <c r="A146" s="1930" t="s">
        <v>4455</v>
      </c>
      <c r="B146" s="1930" t="s">
        <v>4456</v>
      </c>
      <c r="C146" s="1930" t="s">
        <v>4459</v>
      </c>
      <c r="D146" s="1930" t="s">
        <v>4460</v>
      </c>
      <c r="E146" s="1931" t="s">
        <v>33</v>
      </c>
      <c r="F146" s="1930" t="s">
        <v>33</v>
      </c>
      <c r="G146" s="1932">
        <v>94896</v>
      </c>
      <c r="H146" s="1930" t="s">
        <v>227</v>
      </c>
      <c r="I146" s="1930" t="s">
        <v>136</v>
      </c>
      <c r="J146" s="1930" t="s">
        <v>137</v>
      </c>
      <c r="K146" s="1933">
        <v>24.78</v>
      </c>
      <c r="L146" s="1930" t="s">
        <v>138</v>
      </c>
    </row>
    <row r="147" spans="1:12" ht="13.5" x14ac:dyDescent="0.25">
      <c r="A147" s="1930" t="s">
        <v>4455</v>
      </c>
      <c r="B147" s="1930" t="s">
        <v>4456</v>
      </c>
      <c r="C147" s="1930" t="s">
        <v>4459</v>
      </c>
      <c r="D147" s="1930" t="s">
        <v>4460</v>
      </c>
      <c r="E147" s="1931" t="s">
        <v>33</v>
      </c>
      <c r="F147" s="1930" t="s">
        <v>33</v>
      </c>
      <c r="G147" s="1932">
        <v>94897</v>
      </c>
      <c r="H147" s="1930" t="s">
        <v>228</v>
      </c>
      <c r="I147" s="1930" t="s">
        <v>136</v>
      </c>
      <c r="J147" s="1930" t="s">
        <v>137</v>
      </c>
      <c r="K147" s="1933">
        <v>1872.13</v>
      </c>
      <c r="L147" s="1930" t="s">
        <v>138</v>
      </c>
    </row>
    <row r="148" spans="1:12" ht="13.5" x14ac:dyDescent="0.25">
      <c r="A148" s="1930" t="s">
        <v>4455</v>
      </c>
      <c r="B148" s="1930" t="s">
        <v>4456</v>
      </c>
      <c r="C148" s="1930" t="s">
        <v>4459</v>
      </c>
      <c r="D148" s="1930" t="s">
        <v>4460</v>
      </c>
      <c r="E148" s="1931" t="s">
        <v>33</v>
      </c>
      <c r="F148" s="1930" t="s">
        <v>33</v>
      </c>
      <c r="G148" s="1932">
        <v>94898</v>
      </c>
      <c r="H148" s="1930" t="s">
        <v>229</v>
      </c>
      <c r="I148" s="1930" t="s">
        <v>136</v>
      </c>
      <c r="J148" s="1930" t="s">
        <v>137</v>
      </c>
      <c r="K148" s="1933">
        <v>29.07</v>
      </c>
      <c r="L148" s="1930" t="s">
        <v>138</v>
      </c>
    </row>
    <row r="149" spans="1:12" ht="13.5" x14ac:dyDescent="0.25">
      <c r="A149" s="1930" t="s">
        <v>4455</v>
      </c>
      <c r="B149" s="1930" t="s">
        <v>4456</v>
      </c>
      <c r="C149" s="1930" t="s">
        <v>4459</v>
      </c>
      <c r="D149" s="1930" t="s">
        <v>4460</v>
      </c>
      <c r="E149" s="1931" t="s">
        <v>33</v>
      </c>
      <c r="F149" s="1930" t="s">
        <v>33</v>
      </c>
      <c r="G149" s="1932">
        <v>94900</v>
      </c>
      <c r="H149" s="1930" t="s">
        <v>230</v>
      </c>
      <c r="I149" s="1930" t="s">
        <v>136</v>
      </c>
      <c r="J149" s="1930" t="s">
        <v>137</v>
      </c>
      <c r="K149" s="1933">
        <v>37.61</v>
      </c>
      <c r="L149" s="1930" t="s">
        <v>138</v>
      </c>
    </row>
    <row r="150" spans="1:12" ht="13.5" x14ac:dyDescent="0.25">
      <c r="A150" s="1930" t="s">
        <v>4455</v>
      </c>
      <c r="B150" s="1930" t="s">
        <v>4456</v>
      </c>
      <c r="C150" s="1930" t="s">
        <v>4459</v>
      </c>
      <c r="D150" s="1930" t="s">
        <v>4460</v>
      </c>
      <c r="E150" s="1931" t="s">
        <v>33</v>
      </c>
      <c r="F150" s="1930" t="s">
        <v>33</v>
      </c>
      <c r="G150" s="1932">
        <v>97121</v>
      </c>
      <c r="H150" s="1930" t="s">
        <v>4926</v>
      </c>
      <c r="I150" s="1930" t="s">
        <v>136</v>
      </c>
      <c r="J150" s="1930" t="s">
        <v>320</v>
      </c>
      <c r="K150" s="1933">
        <v>1.39</v>
      </c>
      <c r="L150" s="1930" t="s">
        <v>138</v>
      </c>
    </row>
    <row r="151" spans="1:12" ht="13.5" x14ac:dyDescent="0.25">
      <c r="A151" s="1930" t="s">
        <v>4455</v>
      </c>
      <c r="B151" s="1930" t="s">
        <v>4456</v>
      </c>
      <c r="C151" s="1930" t="s">
        <v>4459</v>
      </c>
      <c r="D151" s="1930" t="s">
        <v>4460</v>
      </c>
      <c r="E151" s="1931" t="s">
        <v>33</v>
      </c>
      <c r="F151" s="1930" t="s">
        <v>33</v>
      </c>
      <c r="G151" s="1932">
        <v>97122</v>
      </c>
      <c r="H151" s="1930" t="s">
        <v>4927</v>
      </c>
      <c r="I151" s="1930" t="s">
        <v>136</v>
      </c>
      <c r="J151" s="1930" t="s">
        <v>320</v>
      </c>
      <c r="K151" s="1933">
        <v>1.94</v>
      </c>
      <c r="L151" s="1930" t="s">
        <v>138</v>
      </c>
    </row>
    <row r="152" spans="1:12" ht="13.5" x14ac:dyDescent="0.25">
      <c r="A152" s="1930" t="s">
        <v>4455</v>
      </c>
      <c r="B152" s="1930" t="s">
        <v>4456</v>
      </c>
      <c r="C152" s="1930" t="s">
        <v>4459</v>
      </c>
      <c r="D152" s="1930" t="s">
        <v>4460</v>
      </c>
      <c r="E152" s="1931" t="s">
        <v>33</v>
      </c>
      <c r="F152" s="1930" t="s">
        <v>33</v>
      </c>
      <c r="G152" s="1932">
        <v>97123</v>
      </c>
      <c r="H152" s="1930" t="s">
        <v>4928</v>
      </c>
      <c r="I152" s="1930" t="s">
        <v>136</v>
      </c>
      <c r="J152" s="1930" t="s">
        <v>320</v>
      </c>
      <c r="K152" s="1933">
        <v>2.46</v>
      </c>
      <c r="L152" s="1930" t="s">
        <v>138</v>
      </c>
    </row>
    <row r="153" spans="1:12" ht="13.5" x14ac:dyDescent="0.25">
      <c r="A153" s="1930" t="s">
        <v>4455</v>
      </c>
      <c r="B153" s="1930" t="s">
        <v>4456</v>
      </c>
      <c r="C153" s="1930" t="s">
        <v>4459</v>
      </c>
      <c r="D153" s="1930" t="s">
        <v>4460</v>
      </c>
      <c r="E153" s="1931" t="s">
        <v>33</v>
      </c>
      <c r="F153" s="1930" t="s">
        <v>33</v>
      </c>
      <c r="G153" s="1932">
        <v>97124</v>
      </c>
      <c r="H153" s="1930" t="s">
        <v>4929</v>
      </c>
      <c r="I153" s="1930" t="s">
        <v>136</v>
      </c>
      <c r="J153" s="1930" t="s">
        <v>320</v>
      </c>
      <c r="K153" s="1933">
        <v>0.61</v>
      </c>
      <c r="L153" s="1930" t="s">
        <v>138</v>
      </c>
    </row>
    <row r="154" spans="1:12" ht="13.5" x14ac:dyDescent="0.25">
      <c r="A154" s="1930" t="s">
        <v>4455</v>
      </c>
      <c r="B154" s="1930" t="s">
        <v>4456</v>
      </c>
      <c r="C154" s="1930" t="s">
        <v>4459</v>
      </c>
      <c r="D154" s="1930" t="s">
        <v>4460</v>
      </c>
      <c r="E154" s="1931" t="s">
        <v>33</v>
      </c>
      <c r="F154" s="1930" t="s">
        <v>33</v>
      </c>
      <c r="G154" s="1932">
        <v>97125</v>
      </c>
      <c r="H154" s="1930" t="s">
        <v>4930</v>
      </c>
      <c r="I154" s="1930" t="s">
        <v>136</v>
      </c>
      <c r="J154" s="1930" t="s">
        <v>320</v>
      </c>
      <c r="K154" s="1933">
        <v>0.89</v>
      </c>
      <c r="L154" s="1930" t="s">
        <v>138</v>
      </c>
    </row>
    <row r="155" spans="1:12" ht="13.5" x14ac:dyDescent="0.25">
      <c r="A155" s="1930" t="s">
        <v>4455</v>
      </c>
      <c r="B155" s="1930" t="s">
        <v>4456</v>
      </c>
      <c r="C155" s="1930" t="s">
        <v>4459</v>
      </c>
      <c r="D155" s="1930" t="s">
        <v>4460</v>
      </c>
      <c r="E155" s="1931" t="s">
        <v>33</v>
      </c>
      <c r="F155" s="1930" t="s">
        <v>33</v>
      </c>
      <c r="G155" s="1932">
        <v>97126</v>
      </c>
      <c r="H155" s="1930" t="s">
        <v>4931</v>
      </c>
      <c r="I155" s="1930" t="s">
        <v>136</v>
      </c>
      <c r="J155" s="1930" t="s">
        <v>320</v>
      </c>
      <c r="K155" s="1933">
        <v>1.1200000000000001</v>
      </c>
      <c r="L155" s="1930" t="s">
        <v>138</v>
      </c>
    </row>
    <row r="156" spans="1:12" ht="13.5" x14ac:dyDescent="0.25">
      <c r="A156" s="1930" t="s">
        <v>4455</v>
      </c>
      <c r="B156" s="1930" t="s">
        <v>4456</v>
      </c>
      <c r="C156" s="1930" t="s">
        <v>4461</v>
      </c>
      <c r="D156" s="1930" t="s">
        <v>4462</v>
      </c>
      <c r="E156" s="1931" t="s">
        <v>33</v>
      </c>
      <c r="F156" s="1930" t="s">
        <v>33</v>
      </c>
      <c r="G156" s="1932">
        <v>92833</v>
      </c>
      <c r="H156" s="1930" t="s">
        <v>231</v>
      </c>
      <c r="I156" s="1930" t="s">
        <v>136</v>
      </c>
      <c r="J156" s="1930" t="s">
        <v>137</v>
      </c>
      <c r="K156" s="1933">
        <v>142.37</v>
      </c>
      <c r="L156" s="1930" t="s">
        <v>138</v>
      </c>
    </row>
    <row r="157" spans="1:12" ht="13.5" x14ac:dyDescent="0.25">
      <c r="A157" s="1930" t="s">
        <v>4455</v>
      </c>
      <c r="B157" s="1930" t="s">
        <v>4456</v>
      </c>
      <c r="C157" s="1930" t="s">
        <v>4461</v>
      </c>
      <c r="D157" s="1930" t="s">
        <v>4462</v>
      </c>
      <c r="E157" s="1931" t="s">
        <v>33</v>
      </c>
      <c r="F157" s="1930" t="s">
        <v>33</v>
      </c>
      <c r="G157" s="1932">
        <v>92834</v>
      </c>
      <c r="H157" s="1930" t="s">
        <v>232</v>
      </c>
      <c r="I157" s="1930" t="s">
        <v>136</v>
      </c>
      <c r="J157" s="1930" t="s">
        <v>137</v>
      </c>
      <c r="K157" s="1933">
        <v>5.57</v>
      </c>
      <c r="L157" s="1930" t="s">
        <v>138</v>
      </c>
    </row>
    <row r="158" spans="1:12" ht="13.5" x14ac:dyDescent="0.25">
      <c r="A158" s="1930" t="s">
        <v>4455</v>
      </c>
      <c r="B158" s="1930" t="s">
        <v>4456</v>
      </c>
      <c r="C158" s="1930" t="s">
        <v>4461</v>
      </c>
      <c r="D158" s="1930" t="s">
        <v>4462</v>
      </c>
      <c r="E158" s="1931" t="s">
        <v>33</v>
      </c>
      <c r="F158" s="1930" t="s">
        <v>33</v>
      </c>
      <c r="G158" s="1932">
        <v>92835</v>
      </c>
      <c r="H158" s="1930" t="s">
        <v>233</v>
      </c>
      <c r="I158" s="1930" t="s">
        <v>136</v>
      </c>
      <c r="J158" s="1930" t="s">
        <v>137</v>
      </c>
      <c r="K158" s="1933">
        <v>188.48</v>
      </c>
      <c r="L158" s="1930" t="s">
        <v>138</v>
      </c>
    </row>
    <row r="159" spans="1:12" ht="13.5" x14ac:dyDescent="0.25">
      <c r="A159" s="1930" t="s">
        <v>4455</v>
      </c>
      <c r="B159" s="1930" t="s">
        <v>4456</v>
      </c>
      <c r="C159" s="1930" t="s">
        <v>4461</v>
      </c>
      <c r="D159" s="1930" t="s">
        <v>4462</v>
      </c>
      <c r="E159" s="1931" t="s">
        <v>33</v>
      </c>
      <c r="F159" s="1930" t="s">
        <v>33</v>
      </c>
      <c r="G159" s="1932">
        <v>92836</v>
      </c>
      <c r="H159" s="1930" t="s">
        <v>234</v>
      </c>
      <c r="I159" s="1930" t="s">
        <v>136</v>
      </c>
      <c r="J159" s="1930" t="s">
        <v>137</v>
      </c>
      <c r="K159" s="1933">
        <v>7.12</v>
      </c>
      <c r="L159" s="1930" t="s">
        <v>138</v>
      </c>
    </row>
    <row r="160" spans="1:12" ht="13.5" x14ac:dyDescent="0.25">
      <c r="A160" s="1930" t="s">
        <v>4455</v>
      </c>
      <c r="B160" s="1930" t="s">
        <v>4456</v>
      </c>
      <c r="C160" s="1930" t="s">
        <v>4461</v>
      </c>
      <c r="D160" s="1930" t="s">
        <v>4462</v>
      </c>
      <c r="E160" s="1931" t="s">
        <v>33</v>
      </c>
      <c r="F160" s="1930" t="s">
        <v>33</v>
      </c>
      <c r="G160" s="1932">
        <v>92837</v>
      </c>
      <c r="H160" s="1930" t="s">
        <v>235</v>
      </c>
      <c r="I160" s="1930" t="s">
        <v>136</v>
      </c>
      <c r="J160" s="1930" t="s">
        <v>137</v>
      </c>
      <c r="K160" s="1933">
        <v>237.64</v>
      </c>
      <c r="L160" s="1930" t="s">
        <v>138</v>
      </c>
    </row>
    <row r="161" spans="1:12" ht="13.5" x14ac:dyDescent="0.25">
      <c r="A161" s="1930" t="s">
        <v>4455</v>
      </c>
      <c r="B161" s="1930" t="s">
        <v>4456</v>
      </c>
      <c r="C161" s="1930" t="s">
        <v>4461</v>
      </c>
      <c r="D161" s="1930" t="s">
        <v>4462</v>
      </c>
      <c r="E161" s="1931" t="s">
        <v>33</v>
      </c>
      <c r="F161" s="1930" t="s">
        <v>33</v>
      </c>
      <c r="G161" s="1932">
        <v>92838</v>
      </c>
      <c r="H161" s="1930" t="s">
        <v>236</v>
      </c>
      <c r="I161" s="1930" t="s">
        <v>136</v>
      </c>
      <c r="J161" s="1930" t="s">
        <v>137</v>
      </c>
      <c r="K161" s="1933">
        <v>8.5500000000000007</v>
      </c>
      <c r="L161" s="1930" t="s">
        <v>138</v>
      </c>
    </row>
    <row r="162" spans="1:12" ht="13.5" x14ac:dyDescent="0.25">
      <c r="A162" s="1930" t="s">
        <v>4455</v>
      </c>
      <c r="B162" s="1930" t="s">
        <v>4456</v>
      </c>
      <c r="C162" s="1930" t="s">
        <v>4461</v>
      </c>
      <c r="D162" s="1930" t="s">
        <v>4462</v>
      </c>
      <c r="E162" s="1931" t="s">
        <v>33</v>
      </c>
      <c r="F162" s="1930" t="s">
        <v>33</v>
      </c>
      <c r="G162" s="1932">
        <v>92839</v>
      </c>
      <c r="H162" s="1930" t="s">
        <v>237</v>
      </c>
      <c r="I162" s="1930" t="s">
        <v>136</v>
      </c>
      <c r="J162" s="1930" t="s">
        <v>137</v>
      </c>
      <c r="K162" s="1933">
        <v>313.26</v>
      </c>
      <c r="L162" s="1930" t="s">
        <v>138</v>
      </c>
    </row>
    <row r="163" spans="1:12" ht="13.5" x14ac:dyDescent="0.25">
      <c r="A163" s="1930" t="s">
        <v>4455</v>
      </c>
      <c r="B163" s="1930" t="s">
        <v>4456</v>
      </c>
      <c r="C163" s="1930" t="s">
        <v>4461</v>
      </c>
      <c r="D163" s="1930" t="s">
        <v>4462</v>
      </c>
      <c r="E163" s="1931" t="s">
        <v>33</v>
      </c>
      <c r="F163" s="1930" t="s">
        <v>33</v>
      </c>
      <c r="G163" s="1932">
        <v>92840</v>
      </c>
      <c r="H163" s="1930" t="s">
        <v>238</v>
      </c>
      <c r="I163" s="1930" t="s">
        <v>136</v>
      </c>
      <c r="J163" s="1930" t="s">
        <v>137</v>
      </c>
      <c r="K163" s="1933">
        <v>10.119999999999999</v>
      </c>
      <c r="L163" s="1930" t="s">
        <v>138</v>
      </c>
    </row>
    <row r="164" spans="1:12" ht="13.5" x14ac:dyDescent="0.25">
      <c r="A164" s="1930" t="s">
        <v>4455</v>
      </c>
      <c r="B164" s="1930" t="s">
        <v>4456</v>
      </c>
      <c r="C164" s="1930" t="s">
        <v>4461</v>
      </c>
      <c r="D164" s="1930" t="s">
        <v>4462</v>
      </c>
      <c r="E164" s="1931" t="s">
        <v>33</v>
      </c>
      <c r="F164" s="1930" t="s">
        <v>33</v>
      </c>
      <c r="G164" s="1932">
        <v>92841</v>
      </c>
      <c r="H164" s="1930" t="s">
        <v>239</v>
      </c>
      <c r="I164" s="1930" t="s">
        <v>136</v>
      </c>
      <c r="J164" s="1930" t="s">
        <v>137</v>
      </c>
      <c r="K164" s="1933">
        <v>355.88</v>
      </c>
      <c r="L164" s="1930" t="s">
        <v>138</v>
      </c>
    </row>
    <row r="165" spans="1:12" ht="13.5" x14ac:dyDescent="0.25">
      <c r="A165" s="1930" t="s">
        <v>4455</v>
      </c>
      <c r="B165" s="1930" t="s">
        <v>4456</v>
      </c>
      <c r="C165" s="1930" t="s">
        <v>4461</v>
      </c>
      <c r="D165" s="1930" t="s">
        <v>4462</v>
      </c>
      <c r="E165" s="1931" t="s">
        <v>33</v>
      </c>
      <c r="F165" s="1930" t="s">
        <v>33</v>
      </c>
      <c r="G165" s="1932">
        <v>92842</v>
      </c>
      <c r="H165" s="1930" t="s">
        <v>240</v>
      </c>
      <c r="I165" s="1930" t="s">
        <v>136</v>
      </c>
      <c r="J165" s="1930" t="s">
        <v>137</v>
      </c>
      <c r="K165" s="1933">
        <v>11.57</v>
      </c>
      <c r="L165" s="1930" t="s">
        <v>138</v>
      </c>
    </row>
    <row r="166" spans="1:12" ht="13.5" x14ac:dyDescent="0.25">
      <c r="A166" s="1930" t="s">
        <v>4455</v>
      </c>
      <c r="B166" s="1930" t="s">
        <v>4456</v>
      </c>
      <c r="C166" s="1930" t="s">
        <v>4461</v>
      </c>
      <c r="D166" s="1930" t="s">
        <v>4462</v>
      </c>
      <c r="E166" s="1931" t="s">
        <v>33</v>
      </c>
      <c r="F166" s="1930" t="s">
        <v>33</v>
      </c>
      <c r="G166" s="1932">
        <v>92844</v>
      </c>
      <c r="H166" s="1930" t="s">
        <v>241</v>
      </c>
      <c r="I166" s="1930" t="s">
        <v>136</v>
      </c>
      <c r="J166" s="1930" t="s">
        <v>137</v>
      </c>
      <c r="K166" s="1933">
        <v>13.14</v>
      </c>
      <c r="L166" s="1930" t="s">
        <v>138</v>
      </c>
    </row>
    <row r="167" spans="1:12" ht="13.5" x14ac:dyDescent="0.25">
      <c r="A167" s="1930" t="s">
        <v>4455</v>
      </c>
      <c r="B167" s="1930" t="s">
        <v>4456</v>
      </c>
      <c r="C167" s="1930" t="s">
        <v>4461</v>
      </c>
      <c r="D167" s="1930" t="s">
        <v>4462</v>
      </c>
      <c r="E167" s="1931" t="s">
        <v>33</v>
      </c>
      <c r="F167" s="1930" t="s">
        <v>33</v>
      </c>
      <c r="G167" s="1932">
        <v>92846</v>
      </c>
      <c r="H167" s="1930" t="s">
        <v>242</v>
      </c>
      <c r="I167" s="1930" t="s">
        <v>136</v>
      </c>
      <c r="J167" s="1930" t="s">
        <v>137</v>
      </c>
      <c r="K167" s="1933">
        <v>14.58</v>
      </c>
      <c r="L167" s="1930" t="s">
        <v>138</v>
      </c>
    </row>
    <row r="168" spans="1:12" ht="13.5" x14ac:dyDescent="0.25">
      <c r="A168" s="1930" t="s">
        <v>4455</v>
      </c>
      <c r="B168" s="1930" t="s">
        <v>4456</v>
      </c>
      <c r="C168" s="1930" t="s">
        <v>4461</v>
      </c>
      <c r="D168" s="1930" t="s">
        <v>4462</v>
      </c>
      <c r="E168" s="1931" t="s">
        <v>33</v>
      </c>
      <c r="F168" s="1930" t="s">
        <v>33</v>
      </c>
      <c r="G168" s="1932">
        <v>92847</v>
      </c>
      <c r="H168" s="1930" t="s">
        <v>243</v>
      </c>
      <c r="I168" s="1930" t="s">
        <v>136</v>
      </c>
      <c r="J168" s="1930" t="s">
        <v>137</v>
      </c>
      <c r="K168" s="1933">
        <v>626.88</v>
      </c>
      <c r="L168" s="1930" t="s">
        <v>138</v>
      </c>
    </row>
    <row r="169" spans="1:12" ht="13.5" x14ac:dyDescent="0.25">
      <c r="A169" s="1930" t="s">
        <v>4455</v>
      </c>
      <c r="B169" s="1930" t="s">
        <v>4456</v>
      </c>
      <c r="C169" s="1930" t="s">
        <v>4461</v>
      </c>
      <c r="D169" s="1930" t="s">
        <v>4462</v>
      </c>
      <c r="E169" s="1931" t="s">
        <v>33</v>
      </c>
      <c r="F169" s="1930" t="s">
        <v>33</v>
      </c>
      <c r="G169" s="1932">
        <v>92848</v>
      </c>
      <c r="H169" s="1930" t="s">
        <v>244</v>
      </c>
      <c r="I169" s="1930" t="s">
        <v>136</v>
      </c>
      <c r="J169" s="1930" t="s">
        <v>137</v>
      </c>
      <c r="K169" s="1933">
        <v>16.170000000000002</v>
      </c>
      <c r="L169" s="1930" t="s">
        <v>138</v>
      </c>
    </row>
    <row r="170" spans="1:12" ht="13.5" x14ac:dyDescent="0.25">
      <c r="A170" s="1930" t="s">
        <v>4455</v>
      </c>
      <c r="B170" s="1930" t="s">
        <v>4456</v>
      </c>
      <c r="C170" s="1930" t="s">
        <v>4461</v>
      </c>
      <c r="D170" s="1930" t="s">
        <v>4462</v>
      </c>
      <c r="E170" s="1931" t="s">
        <v>33</v>
      </c>
      <c r="F170" s="1930" t="s">
        <v>33</v>
      </c>
      <c r="G170" s="1932">
        <v>92849</v>
      </c>
      <c r="H170" s="1930" t="s">
        <v>245</v>
      </c>
      <c r="I170" s="1930" t="s">
        <v>136</v>
      </c>
      <c r="J170" s="1930" t="s">
        <v>137</v>
      </c>
      <c r="K170" s="1933">
        <v>147.35</v>
      </c>
      <c r="L170" s="1930" t="s">
        <v>138</v>
      </c>
    </row>
    <row r="171" spans="1:12" ht="13.5" x14ac:dyDescent="0.25">
      <c r="A171" s="1930" t="s">
        <v>4455</v>
      </c>
      <c r="B171" s="1930" t="s">
        <v>4456</v>
      </c>
      <c r="C171" s="1930" t="s">
        <v>4461</v>
      </c>
      <c r="D171" s="1930" t="s">
        <v>4462</v>
      </c>
      <c r="E171" s="1931" t="s">
        <v>33</v>
      </c>
      <c r="F171" s="1930" t="s">
        <v>33</v>
      </c>
      <c r="G171" s="1932">
        <v>92850</v>
      </c>
      <c r="H171" s="1930" t="s">
        <v>246</v>
      </c>
      <c r="I171" s="1930" t="s">
        <v>136</v>
      </c>
      <c r="J171" s="1930" t="s">
        <v>137</v>
      </c>
      <c r="K171" s="1933">
        <v>10.54</v>
      </c>
      <c r="L171" s="1930" t="s">
        <v>138</v>
      </c>
    </row>
    <row r="172" spans="1:12" ht="13.5" x14ac:dyDescent="0.25">
      <c r="A172" s="1930" t="s">
        <v>4455</v>
      </c>
      <c r="B172" s="1930" t="s">
        <v>4456</v>
      </c>
      <c r="C172" s="1930" t="s">
        <v>4461</v>
      </c>
      <c r="D172" s="1930" t="s">
        <v>4462</v>
      </c>
      <c r="E172" s="1931" t="s">
        <v>33</v>
      </c>
      <c r="F172" s="1930" t="s">
        <v>33</v>
      </c>
      <c r="G172" s="1932">
        <v>92851</v>
      </c>
      <c r="H172" s="1930" t="s">
        <v>247</v>
      </c>
      <c r="I172" s="1930" t="s">
        <v>136</v>
      </c>
      <c r="J172" s="1930" t="s">
        <v>137</v>
      </c>
      <c r="K172" s="1933">
        <v>194.7</v>
      </c>
      <c r="L172" s="1930" t="s">
        <v>138</v>
      </c>
    </row>
    <row r="173" spans="1:12" ht="13.5" x14ac:dyDescent="0.25">
      <c r="A173" s="1930" t="s">
        <v>4455</v>
      </c>
      <c r="B173" s="1930" t="s">
        <v>4456</v>
      </c>
      <c r="C173" s="1930" t="s">
        <v>4461</v>
      </c>
      <c r="D173" s="1930" t="s">
        <v>4462</v>
      </c>
      <c r="E173" s="1931" t="s">
        <v>33</v>
      </c>
      <c r="F173" s="1930" t="s">
        <v>33</v>
      </c>
      <c r="G173" s="1932">
        <v>92852</v>
      </c>
      <c r="H173" s="1930" t="s">
        <v>248</v>
      </c>
      <c r="I173" s="1930" t="s">
        <v>136</v>
      </c>
      <c r="J173" s="1930" t="s">
        <v>137</v>
      </c>
      <c r="K173" s="1933">
        <v>13.32</v>
      </c>
      <c r="L173" s="1930" t="s">
        <v>138</v>
      </c>
    </row>
    <row r="174" spans="1:12" ht="13.5" x14ac:dyDescent="0.25">
      <c r="A174" s="1930" t="s">
        <v>4455</v>
      </c>
      <c r="B174" s="1930" t="s">
        <v>4456</v>
      </c>
      <c r="C174" s="1930" t="s">
        <v>4461</v>
      </c>
      <c r="D174" s="1930" t="s">
        <v>4462</v>
      </c>
      <c r="E174" s="1931" t="s">
        <v>33</v>
      </c>
      <c r="F174" s="1930" t="s">
        <v>33</v>
      </c>
      <c r="G174" s="1932">
        <v>92853</v>
      </c>
      <c r="H174" s="1930" t="s">
        <v>249</v>
      </c>
      <c r="I174" s="1930" t="s">
        <v>136</v>
      </c>
      <c r="J174" s="1930" t="s">
        <v>137</v>
      </c>
      <c r="K174" s="1933">
        <v>245.33</v>
      </c>
      <c r="L174" s="1930" t="s">
        <v>138</v>
      </c>
    </row>
    <row r="175" spans="1:12" ht="13.5" x14ac:dyDescent="0.25">
      <c r="A175" s="1930" t="s">
        <v>4455</v>
      </c>
      <c r="B175" s="1930" t="s">
        <v>4456</v>
      </c>
      <c r="C175" s="1930" t="s">
        <v>4461</v>
      </c>
      <c r="D175" s="1930" t="s">
        <v>4462</v>
      </c>
      <c r="E175" s="1931" t="s">
        <v>33</v>
      </c>
      <c r="F175" s="1930" t="s">
        <v>33</v>
      </c>
      <c r="G175" s="1932">
        <v>92854</v>
      </c>
      <c r="H175" s="1930" t="s">
        <v>250</v>
      </c>
      <c r="I175" s="1930" t="s">
        <v>136</v>
      </c>
      <c r="J175" s="1930" t="s">
        <v>137</v>
      </c>
      <c r="K175" s="1933">
        <v>16.23</v>
      </c>
      <c r="L175" s="1930" t="s">
        <v>138</v>
      </c>
    </row>
    <row r="176" spans="1:12" ht="13.5" x14ac:dyDescent="0.25">
      <c r="A176" s="1930" t="s">
        <v>4455</v>
      </c>
      <c r="B176" s="1930" t="s">
        <v>4456</v>
      </c>
      <c r="C176" s="1930" t="s">
        <v>4461</v>
      </c>
      <c r="D176" s="1930" t="s">
        <v>4462</v>
      </c>
      <c r="E176" s="1931" t="s">
        <v>33</v>
      </c>
      <c r="F176" s="1930" t="s">
        <v>33</v>
      </c>
      <c r="G176" s="1932">
        <v>92855</v>
      </c>
      <c r="H176" s="1930" t="s">
        <v>251</v>
      </c>
      <c r="I176" s="1930" t="s">
        <v>136</v>
      </c>
      <c r="J176" s="1930" t="s">
        <v>137</v>
      </c>
      <c r="K176" s="1933">
        <v>322.29000000000002</v>
      </c>
      <c r="L176" s="1930" t="s">
        <v>138</v>
      </c>
    </row>
    <row r="177" spans="1:12" ht="13.5" x14ac:dyDescent="0.25">
      <c r="A177" s="1930" t="s">
        <v>4455</v>
      </c>
      <c r="B177" s="1930" t="s">
        <v>4456</v>
      </c>
      <c r="C177" s="1930" t="s">
        <v>4461</v>
      </c>
      <c r="D177" s="1930" t="s">
        <v>4462</v>
      </c>
      <c r="E177" s="1931" t="s">
        <v>33</v>
      </c>
      <c r="F177" s="1930" t="s">
        <v>33</v>
      </c>
      <c r="G177" s="1932">
        <v>92856</v>
      </c>
      <c r="H177" s="1930" t="s">
        <v>252</v>
      </c>
      <c r="I177" s="1930" t="s">
        <v>136</v>
      </c>
      <c r="J177" s="1930" t="s">
        <v>137</v>
      </c>
      <c r="K177" s="1933">
        <v>19.13</v>
      </c>
      <c r="L177" s="1930" t="s">
        <v>138</v>
      </c>
    </row>
    <row r="178" spans="1:12" ht="13.5" x14ac:dyDescent="0.25">
      <c r="A178" s="1930" t="s">
        <v>4455</v>
      </c>
      <c r="B178" s="1930" t="s">
        <v>4456</v>
      </c>
      <c r="C178" s="1930" t="s">
        <v>4461</v>
      </c>
      <c r="D178" s="1930" t="s">
        <v>4462</v>
      </c>
      <c r="E178" s="1931" t="s">
        <v>33</v>
      </c>
      <c r="F178" s="1930" t="s">
        <v>33</v>
      </c>
      <c r="G178" s="1932">
        <v>92857</v>
      </c>
      <c r="H178" s="1930" t="s">
        <v>253</v>
      </c>
      <c r="I178" s="1930" t="s">
        <v>136</v>
      </c>
      <c r="J178" s="1930" t="s">
        <v>137</v>
      </c>
      <c r="K178" s="1933">
        <v>366.22</v>
      </c>
      <c r="L178" s="1930" t="s">
        <v>138</v>
      </c>
    </row>
    <row r="179" spans="1:12" ht="13.5" x14ac:dyDescent="0.25">
      <c r="A179" s="1930" t="s">
        <v>4455</v>
      </c>
      <c r="B179" s="1930" t="s">
        <v>4456</v>
      </c>
      <c r="C179" s="1930" t="s">
        <v>4461</v>
      </c>
      <c r="D179" s="1930" t="s">
        <v>4462</v>
      </c>
      <c r="E179" s="1931" t="s">
        <v>33</v>
      </c>
      <c r="F179" s="1930" t="s">
        <v>33</v>
      </c>
      <c r="G179" s="1932">
        <v>92858</v>
      </c>
      <c r="H179" s="1930" t="s">
        <v>254</v>
      </c>
      <c r="I179" s="1930" t="s">
        <v>136</v>
      </c>
      <c r="J179" s="1930" t="s">
        <v>137</v>
      </c>
      <c r="K179" s="1933">
        <v>21.9</v>
      </c>
      <c r="L179" s="1930" t="s">
        <v>138</v>
      </c>
    </row>
    <row r="180" spans="1:12" ht="13.5" x14ac:dyDescent="0.25">
      <c r="A180" s="1930" t="s">
        <v>4455</v>
      </c>
      <c r="B180" s="1930" t="s">
        <v>4456</v>
      </c>
      <c r="C180" s="1930" t="s">
        <v>4461</v>
      </c>
      <c r="D180" s="1930" t="s">
        <v>4462</v>
      </c>
      <c r="E180" s="1931" t="s">
        <v>33</v>
      </c>
      <c r="F180" s="1930" t="s">
        <v>33</v>
      </c>
      <c r="G180" s="1932">
        <v>92860</v>
      </c>
      <c r="H180" s="1930" t="s">
        <v>255</v>
      </c>
      <c r="I180" s="1930" t="s">
        <v>136</v>
      </c>
      <c r="J180" s="1930" t="s">
        <v>137</v>
      </c>
      <c r="K180" s="1933">
        <v>24.86</v>
      </c>
      <c r="L180" s="1930" t="s">
        <v>138</v>
      </c>
    </row>
    <row r="181" spans="1:12" ht="13.5" x14ac:dyDescent="0.25">
      <c r="A181" s="1930" t="s">
        <v>4455</v>
      </c>
      <c r="B181" s="1930" t="s">
        <v>4456</v>
      </c>
      <c r="C181" s="1930" t="s">
        <v>4461</v>
      </c>
      <c r="D181" s="1930" t="s">
        <v>4462</v>
      </c>
      <c r="E181" s="1931" t="s">
        <v>33</v>
      </c>
      <c r="F181" s="1930" t="s">
        <v>33</v>
      </c>
      <c r="G181" s="1932">
        <v>92862</v>
      </c>
      <c r="H181" s="1930" t="s">
        <v>256</v>
      </c>
      <c r="I181" s="1930" t="s">
        <v>136</v>
      </c>
      <c r="J181" s="1930" t="s">
        <v>137</v>
      </c>
      <c r="K181" s="1933">
        <v>27.75</v>
      </c>
      <c r="L181" s="1930" t="s">
        <v>138</v>
      </c>
    </row>
    <row r="182" spans="1:12" ht="13.5" x14ac:dyDescent="0.25">
      <c r="A182" s="1930" t="s">
        <v>4455</v>
      </c>
      <c r="B182" s="1930" t="s">
        <v>4456</v>
      </c>
      <c r="C182" s="1930" t="s">
        <v>4461</v>
      </c>
      <c r="D182" s="1930" t="s">
        <v>4462</v>
      </c>
      <c r="E182" s="1931" t="s">
        <v>33</v>
      </c>
      <c r="F182" s="1930" t="s">
        <v>33</v>
      </c>
      <c r="G182" s="1932">
        <v>92863</v>
      </c>
      <c r="H182" s="1930" t="s">
        <v>257</v>
      </c>
      <c r="I182" s="1930" t="s">
        <v>136</v>
      </c>
      <c r="J182" s="1930" t="s">
        <v>137</v>
      </c>
      <c r="K182" s="1933">
        <v>641.37</v>
      </c>
      <c r="L182" s="1930" t="s">
        <v>138</v>
      </c>
    </row>
    <row r="183" spans="1:12" ht="13.5" x14ac:dyDescent="0.25">
      <c r="A183" s="1930" t="s">
        <v>4455</v>
      </c>
      <c r="B183" s="1930" t="s">
        <v>4456</v>
      </c>
      <c r="C183" s="1930" t="s">
        <v>4461</v>
      </c>
      <c r="D183" s="1930" t="s">
        <v>4462</v>
      </c>
      <c r="E183" s="1931" t="s">
        <v>33</v>
      </c>
      <c r="F183" s="1930" t="s">
        <v>33</v>
      </c>
      <c r="G183" s="1932">
        <v>92864</v>
      </c>
      <c r="H183" s="1930" t="s">
        <v>258</v>
      </c>
      <c r="I183" s="1930" t="s">
        <v>136</v>
      </c>
      <c r="J183" s="1930" t="s">
        <v>137</v>
      </c>
      <c r="K183" s="1933">
        <v>30.64</v>
      </c>
      <c r="L183" s="1930" t="s">
        <v>138</v>
      </c>
    </row>
    <row r="184" spans="1:12" ht="13.5" x14ac:dyDescent="0.25">
      <c r="A184" s="1930" t="s">
        <v>4455</v>
      </c>
      <c r="B184" s="1930" t="s">
        <v>4456</v>
      </c>
      <c r="C184" s="1930" t="s">
        <v>4463</v>
      </c>
      <c r="D184" s="1930" t="s">
        <v>4464</v>
      </c>
      <c r="E184" s="1931" t="s">
        <v>33</v>
      </c>
      <c r="F184" s="1930" t="s">
        <v>33</v>
      </c>
      <c r="G184" s="1932">
        <v>92210</v>
      </c>
      <c r="H184" s="1930" t="s">
        <v>259</v>
      </c>
      <c r="I184" s="1930" t="s">
        <v>136</v>
      </c>
      <c r="J184" s="1930" t="s">
        <v>137</v>
      </c>
      <c r="K184" s="1933">
        <v>113.24</v>
      </c>
      <c r="L184" s="1930" t="s">
        <v>138</v>
      </c>
    </row>
    <row r="185" spans="1:12" ht="13.5" x14ac:dyDescent="0.25">
      <c r="A185" s="1930" t="s">
        <v>4455</v>
      </c>
      <c r="B185" s="1930" t="s">
        <v>4456</v>
      </c>
      <c r="C185" s="1930" t="s">
        <v>4463</v>
      </c>
      <c r="D185" s="1930" t="s">
        <v>4464</v>
      </c>
      <c r="E185" s="1931" t="s">
        <v>33</v>
      </c>
      <c r="F185" s="1930" t="s">
        <v>33</v>
      </c>
      <c r="G185" s="1932">
        <v>92211</v>
      </c>
      <c r="H185" s="1930" t="s">
        <v>260</v>
      </c>
      <c r="I185" s="1930" t="s">
        <v>136</v>
      </c>
      <c r="J185" s="1930" t="s">
        <v>137</v>
      </c>
      <c r="K185" s="1933">
        <v>146.24</v>
      </c>
      <c r="L185" s="1930" t="s">
        <v>138</v>
      </c>
    </row>
    <row r="186" spans="1:12" ht="13.5" x14ac:dyDescent="0.25">
      <c r="A186" s="1930" t="s">
        <v>4455</v>
      </c>
      <c r="B186" s="1930" t="s">
        <v>4456</v>
      </c>
      <c r="C186" s="1930" t="s">
        <v>4463</v>
      </c>
      <c r="D186" s="1930" t="s">
        <v>4464</v>
      </c>
      <c r="E186" s="1931" t="s">
        <v>33</v>
      </c>
      <c r="F186" s="1930" t="s">
        <v>33</v>
      </c>
      <c r="G186" s="1932">
        <v>92212</v>
      </c>
      <c r="H186" s="1930" t="s">
        <v>261</v>
      </c>
      <c r="I186" s="1930" t="s">
        <v>136</v>
      </c>
      <c r="J186" s="1930" t="s">
        <v>137</v>
      </c>
      <c r="K186" s="1933">
        <v>188.3</v>
      </c>
      <c r="L186" s="1930" t="s">
        <v>138</v>
      </c>
    </row>
    <row r="187" spans="1:12" ht="13.5" x14ac:dyDescent="0.25">
      <c r="A187" s="1930" t="s">
        <v>4455</v>
      </c>
      <c r="B187" s="1930" t="s">
        <v>4456</v>
      </c>
      <c r="C187" s="1930" t="s">
        <v>4463</v>
      </c>
      <c r="D187" s="1930" t="s">
        <v>4464</v>
      </c>
      <c r="E187" s="1931" t="s">
        <v>33</v>
      </c>
      <c r="F187" s="1930" t="s">
        <v>33</v>
      </c>
      <c r="G187" s="1932">
        <v>92213</v>
      </c>
      <c r="H187" s="1930" t="s">
        <v>262</v>
      </c>
      <c r="I187" s="1930" t="s">
        <v>136</v>
      </c>
      <c r="J187" s="1930" t="s">
        <v>137</v>
      </c>
      <c r="K187" s="1933">
        <v>252.84</v>
      </c>
      <c r="L187" s="1930" t="s">
        <v>138</v>
      </c>
    </row>
    <row r="188" spans="1:12" ht="13.5" x14ac:dyDescent="0.25">
      <c r="A188" s="1930" t="s">
        <v>4455</v>
      </c>
      <c r="B188" s="1930" t="s">
        <v>4456</v>
      </c>
      <c r="C188" s="1930" t="s">
        <v>4463</v>
      </c>
      <c r="D188" s="1930" t="s">
        <v>4464</v>
      </c>
      <c r="E188" s="1931" t="s">
        <v>33</v>
      </c>
      <c r="F188" s="1930" t="s">
        <v>33</v>
      </c>
      <c r="G188" s="1932">
        <v>92214</v>
      </c>
      <c r="H188" s="1930" t="s">
        <v>263</v>
      </c>
      <c r="I188" s="1930" t="s">
        <v>136</v>
      </c>
      <c r="J188" s="1930" t="s">
        <v>137</v>
      </c>
      <c r="K188" s="1933">
        <v>288.25</v>
      </c>
      <c r="L188" s="1930" t="s">
        <v>138</v>
      </c>
    </row>
    <row r="189" spans="1:12" ht="13.5" x14ac:dyDescent="0.25">
      <c r="A189" s="1930" t="s">
        <v>4455</v>
      </c>
      <c r="B189" s="1930" t="s">
        <v>4456</v>
      </c>
      <c r="C189" s="1930" t="s">
        <v>4463</v>
      </c>
      <c r="D189" s="1930" t="s">
        <v>4464</v>
      </c>
      <c r="E189" s="1931" t="s">
        <v>33</v>
      </c>
      <c r="F189" s="1930" t="s">
        <v>33</v>
      </c>
      <c r="G189" s="1932">
        <v>92215</v>
      </c>
      <c r="H189" s="1930" t="s">
        <v>264</v>
      </c>
      <c r="I189" s="1930" t="s">
        <v>136</v>
      </c>
      <c r="J189" s="1930" t="s">
        <v>137</v>
      </c>
      <c r="K189" s="1933">
        <v>350.33</v>
      </c>
      <c r="L189" s="1930" t="s">
        <v>138</v>
      </c>
    </row>
    <row r="190" spans="1:12" ht="13.5" x14ac:dyDescent="0.25">
      <c r="A190" s="1930" t="s">
        <v>4455</v>
      </c>
      <c r="B190" s="1930" t="s">
        <v>4456</v>
      </c>
      <c r="C190" s="1930" t="s">
        <v>4463</v>
      </c>
      <c r="D190" s="1930" t="s">
        <v>4464</v>
      </c>
      <c r="E190" s="1931" t="s">
        <v>33</v>
      </c>
      <c r="F190" s="1930" t="s">
        <v>33</v>
      </c>
      <c r="G190" s="1932">
        <v>92216</v>
      </c>
      <c r="H190" s="1930" t="s">
        <v>265</v>
      </c>
      <c r="I190" s="1930" t="s">
        <v>136</v>
      </c>
      <c r="J190" s="1930" t="s">
        <v>137</v>
      </c>
      <c r="K190" s="1933">
        <v>392.19</v>
      </c>
      <c r="L190" s="1930" t="s">
        <v>138</v>
      </c>
    </row>
    <row r="191" spans="1:12" ht="13.5" x14ac:dyDescent="0.25">
      <c r="A191" s="1930" t="s">
        <v>4455</v>
      </c>
      <c r="B191" s="1930" t="s">
        <v>4456</v>
      </c>
      <c r="C191" s="1930" t="s">
        <v>4463</v>
      </c>
      <c r="D191" s="1930" t="s">
        <v>4464</v>
      </c>
      <c r="E191" s="1931" t="s">
        <v>33</v>
      </c>
      <c r="F191" s="1930" t="s">
        <v>33</v>
      </c>
      <c r="G191" s="1932">
        <v>92219</v>
      </c>
      <c r="H191" s="1930" t="s">
        <v>266</v>
      </c>
      <c r="I191" s="1930" t="s">
        <v>136</v>
      </c>
      <c r="J191" s="1930" t="s">
        <v>137</v>
      </c>
      <c r="K191" s="1933">
        <v>119.45</v>
      </c>
      <c r="L191" s="1930" t="s">
        <v>138</v>
      </c>
    </row>
    <row r="192" spans="1:12" ht="13.5" x14ac:dyDescent="0.25">
      <c r="A192" s="1930" t="s">
        <v>4455</v>
      </c>
      <c r="B192" s="1930" t="s">
        <v>4456</v>
      </c>
      <c r="C192" s="1930" t="s">
        <v>4463</v>
      </c>
      <c r="D192" s="1930" t="s">
        <v>4464</v>
      </c>
      <c r="E192" s="1931" t="s">
        <v>33</v>
      </c>
      <c r="F192" s="1930" t="s">
        <v>33</v>
      </c>
      <c r="G192" s="1932">
        <v>92220</v>
      </c>
      <c r="H192" s="1930" t="s">
        <v>267</v>
      </c>
      <c r="I192" s="1930" t="s">
        <v>136</v>
      </c>
      <c r="J192" s="1930" t="s">
        <v>137</v>
      </c>
      <c r="K192" s="1933">
        <v>153.91999999999999</v>
      </c>
      <c r="L192" s="1930" t="s">
        <v>138</v>
      </c>
    </row>
    <row r="193" spans="1:12" ht="13.5" x14ac:dyDescent="0.25">
      <c r="A193" s="1930" t="s">
        <v>4455</v>
      </c>
      <c r="B193" s="1930" t="s">
        <v>4456</v>
      </c>
      <c r="C193" s="1930" t="s">
        <v>4463</v>
      </c>
      <c r="D193" s="1930" t="s">
        <v>4464</v>
      </c>
      <c r="E193" s="1931" t="s">
        <v>33</v>
      </c>
      <c r="F193" s="1930" t="s">
        <v>33</v>
      </c>
      <c r="G193" s="1932">
        <v>92221</v>
      </c>
      <c r="H193" s="1930" t="s">
        <v>268</v>
      </c>
      <c r="I193" s="1930" t="s">
        <v>136</v>
      </c>
      <c r="J193" s="1930" t="s">
        <v>137</v>
      </c>
      <c r="K193" s="1933">
        <v>197.3</v>
      </c>
      <c r="L193" s="1930" t="s">
        <v>138</v>
      </c>
    </row>
    <row r="194" spans="1:12" ht="13.5" x14ac:dyDescent="0.25">
      <c r="A194" s="1930" t="s">
        <v>4455</v>
      </c>
      <c r="B194" s="1930" t="s">
        <v>4456</v>
      </c>
      <c r="C194" s="1930" t="s">
        <v>4463</v>
      </c>
      <c r="D194" s="1930" t="s">
        <v>4464</v>
      </c>
      <c r="E194" s="1931" t="s">
        <v>33</v>
      </c>
      <c r="F194" s="1930" t="s">
        <v>33</v>
      </c>
      <c r="G194" s="1932">
        <v>92222</v>
      </c>
      <c r="H194" s="1930" t="s">
        <v>269</v>
      </c>
      <c r="I194" s="1930" t="s">
        <v>136</v>
      </c>
      <c r="J194" s="1930" t="s">
        <v>137</v>
      </c>
      <c r="K194" s="1933">
        <v>263.29000000000002</v>
      </c>
      <c r="L194" s="1930" t="s">
        <v>138</v>
      </c>
    </row>
    <row r="195" spans="1:12" ht="13.5" x14ac:dyDescent="0.25">
      <c r="A195" s="1930" t="s">
        <v>4455</v>
      </c>
      <c r="B195" s="1930" t="s">
        <v>4456</v>
      </c>
      <c r="C195" s="1930" t="s">
        <v>4463</v>
      </c>
      <c r="D195" s="1930" t="s">
        <v>4464</v>
      </c>
      <c r="E195" s="1931" t="s">
        <v>33</v>
      </c>
      <c r="F195" s="1930" t="s">
        <v>33</v>
      </c>
      <c r="G195" s="1932">
        <v>92223</v>
      </c>
      <c r="H195" s="1930" t="s">
        <v>270</v>
      </c>
      <c r="I195" s="1930" t="s">
        <v>136</v>
      </c>
      <c r="J195" s="1930" t="s">
        <v>137</v>
      </c>
      <c r="K195" s="1933">
        <v>299.95999999999998</v>
      </c>
      <c r="L195" s="1930" t="s">
        <v>138</v>
      </c>
    </row>
    <row r="196" spans="1:12" ht="13.5" x14ac:dyDescent="0.25">
      <c r="A196" s="1930" t="s">
        <v>4455</v>
      </c>
      <c r="B196" s="1930" t="s">
        <v>4456</v>
      </c>
      <c r="C196" s="1930" t="s">
        <v>4463</v>
      </c>
      <c r="D196" s="1930" t="s">
        <v>4464</v>
      </c>
      <c r="E196" s="1931" t="s">
        <v>33</v>
      </c>
      <c r="F196" s="1930" t="s">
        <v>33</v>
      </c>
      <c r="G196" s="1932">
        <v>92224</v>
      </c>
      <c r="H196" s="1930" t="s">
        <v>271</v>
      </c>
      <c r="I196" s="1930" t="s">
        <v>136</v>
      </c>
      <c r="J196" s="1930" t="s">
        <v>137</v>
      </c>
      <c r="K196" s="1933">
        <v>363.34</v>
      </c>
      <c r="L196" s="1930" t="s">
        <v>138</v>
      </c>
    </row>
    <row r="197" spans="1:12" ht="13.5" x14ac:dyDescent="0.25">
      <c r="A197" s="1930" t="s">
        <v>4455</v>
      </c>
      <c r="B197" s="1930" t="s">
        <v>4456</v>
      </c>
      <c r="C197" s="1930" t="s">
        <v>4463</v>
      </c>
      <c r="D197" s="1930" t="s">
        <v>4464</v>
      </c>
      <c r="E197" s="1931" t="s">
        <v>33</v>
      </c>
      <c r="F197" s="1930" t="s">
        <v>33</v>
      </c>
      <c r="G197" s="1932">
        <v>92226</v>
      </c>
      <c r="H197" s="1930" t="s">
        <v>272</v>
      </c>
      <c r="I197" s="1930" t="s">
        <v>136</v>
      </c>
      <c r="J197" s="1930" t="s">
        <v>137</v>
      </c>
      <c r="K197" s="1933">
        <v>406.72</v>
      </c>
      <c r="L197" s="1930" t="s">
        <v>138</v>
      </c>
    </row>
    <row r="198" spans="1:12" ht="13.5" x14ac:dyDescent="0.25">
      <c r="A198" s="1930" t="s">
        <v>4455</v>
      </c>
      <c r="B198" s="1930" t="s">
        <v>4456</v>
      </c>
      <c r="C198" s="1930" t="s">
        <v>4463</v>
      </c>
      <c r="D198" s="1930" t="s">
        <v>4464</v>
      </c>
      <c r="E198" s="1931" t="s">
        <v>33</v>
      </c>
      <c r="F198" s="1930" t="s">
        <v>33</v>
      </c>
      <c r="G198" s="1932">
        <v>92808</v>
      </c>
      <c r="H198" s="1930" t="s">
        <v>273</v>
      </c>
      <c r="I198" s="1930" t="s">
        <v>136</v>
      </c>
      <c r="J198" s="1930" t="s">
        <v>137</v>
      </c>
      <c r="K198" s="1933">
        <v>25.17</v>
      </c>
      <c r="L198" s="1930" t="s">
        <v>138</v>
      </c>
    </row>
    <row r="199" spans="1:12" ht="13.5" x14ac:dyDescent="0.25">
      <c r="A199" s="1930" t="s">
        <v>4455</v>
      </c>
      <c r="B199" s="1930" t="s">
        <v>4456</v>
      </c>
      <c r="C199" s="1930" t="s">
        <v>4463</v>
      </c>
      <c r="D199" s="1930" t="s">
        <v>4464</v>
      </c>
      <c r="E199" s="1931" t="s">
        <v>33</v>
      </c>
      <c r="F199" s="1930" t="s">
        <v>33</v>
      </c>
      <c r="G199" s="1932">
        <v>92809</v>
      </c>
      <c r="H199" s="1930" t="s">
        <v>274</v>
      </c>
      <c r="I199" s="1930" t="s">
        <v>136</v>
      </c>
      <c r="J199" s="1930" t="s">
        <v>137</v>
      </c>
      <c r="K199" s="1933">
        <v>32.31</v>
      </c>
      <c r="L199" s="1930" t="s">
        <v>138</v>
      </c>
    </row>
    <row r="200" spans="1:12" ht="13.5" x14ac:dyDescent="0.25">
      <c r="A200" s="1930" t="s">
        <v>4455</v>
      </c>
      <c r="B200" s="1930" t="s">
        <v>4456</v>
      </c>
      <c r="C200" s="1930" t="s">
        <v>4463</v>
      </c>
      <c r="D200" s="1930" t="s">
        <v>4464</v>
      </c>
      <c r="E200" s="1931" t="s">
        <v>33</v>
      </c>
      <c r="F200" s="1930" t="s">
        <v>33</v>
      </c>
      <c r="G200" s="1932">
        <v>92810</v>
      </c>
      <c r="H200" s="1930" t="s">
        <v>275</v>
      </c>
      <c r="I200" s="1930" t="s">
        <v>136</v>
      </c>
      <c r="J200" s="1930" t="s">
        <v>137</v>
      </c>
      <c r="K200" s="1933">
        <v>39.36</v>
      </c>
      <c r="L200" s="1930" t="s">
        <v>138</v>
      </c>
    </row>
    <row r="201" spans="1:12" ht="13.5" x14ac:dyDescent="0.25">
      <c r="A201" s="1930" t="s">
        <v>4455</v>
      </c>
      <c r="B201" s="1930" t="s">
        <v>4456</v>
      </c>
      <c r="C201" s="1930" t="s">
        <v>4463</v>
      </c>
      <c r="D201" s="1930" t="s">
        <v>4464</v>
      </c>
      <c r="E201" s="1931" t="s">
        <v>33</v>
      </c>
      <c r="F201" s="1930" t="s">
        <v>33</v>
      </c>
      <c r="G201" s="1932">
        <v>92811</v>
      </c>
      <c r="H201" s="1930" t="s">
        <v>276</v>
      </c>
      <c r="I201" s="1930" t="s">
        <v>136</v>
      </c>
      <c r="J201" s="1930" t="s">
        <v>137</v>
      </c>
      <c r="K201" s="1933">
        <v>46.92</v>
      </c>
      <c r="L201" s="1930" t="s">
        <v>138</v>
      </c>
    </row>
    <row r="202" spans="1:12" ht="13.5" x14ac:dyDescent="0.25">
      <c r="A202" s="1930" t="s">
        <v>4455</v>
      </c>
      <c r="B202" s="1930" t="s">
        <v>4456</v>
      </c>
      <c r="C202" s="1930" t="s">
        <v>4463</v>
      </c>
      <c r="D202" s="1930" t="s">
        <v>4464</v>
      </c>
      <c r="E202" s="1931" t="s">
        <v>33</v>
      </c>
      <c r="F202" s="1930" t="s">
        <v>33</v>
      </c>
      <c r="G202" s="1932">
        <v>92812</v>
      </c>
      <c r="H202" s="1930" t="s">
        <v>277</v>
      </c>
      <c r="I202" s="1930" t="s">
        <v>136</v>
      </c>
      <c r="J202" s="1930" t="s">
        <v>137</v>
      </c>
      <c r="K202" s="1933">
        <v>54.38</v>
      </c>
      <c r="L202" s="1930" t="s">
        <v>138</v>
      </c>
    </row>
    <row r="203" spans="1:12" ht="13.5" x14ac:dyDescent="0.25">
      <c r="A203" s="1930" t="s">
        <v>4455</v>
      </c>
      <c r="B203" s="1930" t="s">
        <v>4456</v>
      </c>
      <c r="C203" s="1930" t="s">
        <v>4463</v>
      </c>
      <c r="D203" s="1930" t="s">
        <v>4464</v>
      </c>
      <c r="E203" s="1931" t="s">
        <v>33</v>
      </c>
      <c r="F203" s="1930" t="s">
        <v>33</v>
      </c>
      <c r="G203" s="1932">
        <v>92813</v>
      </c>
      <c r="H203" s="1930" t="s">
        <v>278</v>
      </c>
      <c r="I203" s="1930" t="s">
        <v>136</v>
      </c>
      <c r="J203" s="1930" t="s">
        <v>137</v>
      </c>
      <c r="K203" s="1933">
        <v>63.21</v>
      </c>
      <c r="L203" s="1930" t="s">
        <v>138</v>
      </c>
    </row>
    <row r="204" spans="1:12" ht="13.5" x14ac:dyDescent="0.25">
      <c r="A204" s="1930" t="s">
        <v>4455</v>
      </c>
      <c r="B204" s="1930" t="s">
        <v>4456</v>
      </c>
      <c r="C204" s="1930" t="s">
        <v>4463</v>
      </c>
      <c r="D204" s="1930" t="s">
        <v>4464</v>
      </c>
      <c r="E204" s="1931" t="s">
        <v>33</v>
      </c>
      <c r="F204" s="1930" t="s">
        <v>33</v>
      </c>
      <c r="G204" s="1932">
        <v>92814</v>
      </c>
      <c r="H204" s="1930" t="s">
        <v>279</v>
      </c>
      <c r="I204" s="1930" t="s">
        <v>136</v>
      </c>
      <c r="J204" s="1930" t="s">
        <v>137</v>
      </c>
      <c r="K204" s="1933">
        <v>72.489999999999995</v>
      </c>
      <c r="L204" s="1930" t="s">
        <v>138</v>
      </c>
    </row>
    <row r="205" spans="1:12" ht="13.5" x14ac:dyDescent="0.25">
      <c r="A205" s="1930" t="s">
        <v>4455</v>
      </c>
      <c r="B205" s="1930" t="s">
        <v>4456</v>
      </c>
      <c r="C205" s="1930" t="s">
        <v>4463</v>
      </c>
      <c r="D205" s="1930" t="s">
        <v>4464</v>
      </c>
      <c r="E205" s="1931" t="s">
        <v>33</v>
      </c>
      <c r="F205" s="1930" t="s">
        <v>33</v>
      </c>
      <c r="G205" s="1932">
        <v>92815</v>
      </c>
      <c r="H205" s="1930" t="s">
        <v>280</v>
      </c>
      <c r="I205" s="1930" t="s">
        <v>136</v>
      </c>
      <c r="J205" s="1930" t="s">
        <v>137</v>
      </c>
      <c r="K205" s="1933">
        <v>83.29</v>
      </c>
      <c r="L205" s="1930" t="s">
        <v>138</v>
      </c>
    </row>
    <row r="206" spans="1:12" ht="13.5" x14ac:dyDescent="0.25">
      <c r="A206" s="1930" t="s">
        <v>4455</v>
      </c>
      <c r="B206" s="1930" t="s">
        <v>4456</v>
      </c>
      <c r="C206" s="1930" t="s">
        <v>4463</v>
      </c>
      <c r="D206" s="1930" t="s">
        <v>4464</v>
      </c>
      <c r="E206" s="1931" t="s">
        <v>33</v>
      </c>
      <c r="F206" s="1930" t="s">
        <v>33</v>
      </c>
      <c r="G206" s="1932">
        <v>92816</v>
      </c>
      <c r="H206" s="1930" t="s">
        <v>281</v>
      </c>
      <c r="I206" s="1930" t="s">
        <v>136</v>
      </c>
      <c r="J206" s="1930" t="s">
        <v>137</v>
      </c>
      <c r="K206" s="1933">
        <v>542.01</v>
      </c>
      <c r="L206" s="1930" t="s">
        <v>138</v>
      </c>
    </row>
    <row r="207" spans="1:12" ht="13.5" x14ac:dyDescent="0.25">
      <c r="A207" s="1930" t="s">
        <v>4455</v>
      </c>
      <c r="B207" s="1930" t="s">
        <v>4456</v>
      </c>
      <c r="C207" s="1930" t="s">
        <v>4463</v>
      </c>
      <c r="D207" s="1930" t="s">
        <v>4464</v>
      </c>
      <c r="E207" s="1931" t="s">
        <v>33</v>
      </c>
      <c r="F207" s="1930" t="s">
        <v>33</v>
      </c>
      <c r="G207" s="1932">
        <v>92817</v>
      </c>
      <c r="H207" s="1930" t="s">
        <v>282</v>
      </c>
      <c r="I207" s="1930" t="s">
        <v>136</v>
      </c>
      <c r="J207" s="1930" t="s">
        <v>137</v>
      </c>
      <c r="K207" s="1933">
        <v>104.23</v>
      </c>
      <c r="L207" s="1930" t="s">
        <v>138</v>
      </c>
    </row>
    <row r="208" spans="1:12" ht="13.5" x14ac:dyDescent="0.25">
      <c r="A208" s="1930" t="s">
        <v>4455</v>
      </c>
      <c r="B208" s="1930" t="s">
        <v>4456</v>
      </c>
      <c r="C208" s="1930" t="s">
        <v>4463</v>
      </c>
      <c r="D208" s="1930" t="s">
        <v>4464</v>
      </c>
      <c r="E208" s="1931" t="s">
        <v>33</v>
      </c>
      <c r="F208" s="1930" t="s">
        <v>33</v>
      </c>
      <c r="G208" s="1932">
        <v>92818</v>
      </c>
      <c r="H208" s="1930" t="s">
        <v>283</v>
      </c>
      <c r="I208" s="1930" t="s">
        <v>136</v>
      </c>
      <c r="J208" s="1930" t="s">
        <v>137</v>
      </c>
      <c r="K208" s="1933">
        <v>791.45</v>
      </c>
      <c r="L208" s="1930" t="s">
        <v>138</v>
      </c>
    </row>
    <row r="209" spans="1:12" ht="13.5" x14ac:dyDescent="0.25">
      <c r="A209" s="1930" t="s">
        <v>4455</v>
      </c>
      <c r="B209" s="1930" t="s">
        <v>4456</v>
      </c>
      <c r="C209" s="1930" t="s">
        <v>4463</v>
      </c>
      <c r="D209" s="1930" t="s">
        <v>4464</v>
      </c>
      <c r="E209" s="1931" t="s">
        <v>33</v>
      </c>
      <c r="F209" s="1930" t="s">
        <v>33</v>
      </c>
      <c r="G209" s="1932">
        <v>92819</v>
      </c>
      <c r="H209" s="1930" t="s">
        <v>284</v>
      </c>
      <c r="I209" s="1930" t="s">
        <v>136</v>
      </c>
      <c r="J209" s="1930" t="s">
        <v>137</v>
      </c>
      <c r="K209" s="1933">
        <v>140.30000000000001</v>
      </c>
      <c r="L209" s="1930" t="s">
        <v>138</v>
      </c>
    </row>
    <row r="210" spans="1:12" ht="13.5" x14ac:dyDescent="0.25">
      <c r="A210" s="1930" t="s">
        <v>4455</v>
      </c>
      <c r="B210" s="1930" t="s">
        <v>4456</v>
      </c>
      <c r="C210" s="1930" t="s">
        <v>4463</v>
      </c>
      <c r="D210" s="1930" t="s">
        <v>4464</v>
      </c>
      <c r="E210" s="1931" t="s">
        <v>33</v>
      </c>
      <c r="F210" s="1930" t="s">
        <v>33</v>
      </c>
      <c r="G210" s="1932">
        <v>92820</v>
      </c>
      <c r="H210" s="1930" t="s">
        <v>285</v>
      </c>
      <c r="I210" s="1930" t="s">
        <v>136</v>
      </c>
      <c r="J210" s="1930" t="s">
        <v>137</v>
      </c>
      <c r="K210" s="1933">
        <v>30.02</v>
      </c>
      <c r="L210" s="1930" t="s">
        <v>138</v>
      </c>
    </row>
    <row r="211" spans="1:12" ht="13.5" x14ac:dyDescent="0.25">
      <c r="A211" s="1930" t="s">
        <v>4455</v>
      </c>
      <c r="B211" s="1930" t="s">
        <v>4456</v>
      </c>
      <c r="C211" s="1930" t="s">
        <v>4463</v>
      </c>
      <c r="D211" s="1930" t="s">
        <v>4464</v>
      </c>
      <c r="E211" s="1931" t="s">
        <v>33</v>
      </c>
      <c r="F211" s="1930" t="s">
        <v>33</v>
      </c>
      <c r="G211" s="1932">
        <v>92821</v>
      </c>
      <c r="H211" s="1930" t="s">
        <v>286</v>
      </c>
      <c r="I211" s="1930" t="s">
        <v>136</v>
      </c>
      <c r="J211" s="1930" t="s">
        <v>137</v>
      </c>
      <c r="K211" s="1933">
        <v>38.520000000000003</v>
      </c>
      <c r="L211" s="1930" t="s">
        <v>138</v>
      </c>
    </row>
    <row r="212" spans="1:12" ht="13.5" x14ac:dyDescent="0.25">
      <c r="A212" s="1930" t="s">
        <v>4455</v>
      </c>
      <c r="B212" s="1930" t="s">
        <v>4456</v>
      </c>
      <c r="C212" s="1930" t="s">
        <v>4463</v>
      </c>
      <c r="D212" s="1930" t="s">
        <v>4464</v>
      </c>
      <c r="E212" s="1931" t="s">
        <v>33</v>
      </c>
      <c r="F212" s="1930" t="s">
        <v>33</v>
      </c>
      <c r="G212" s="1932">
        <v>92822</v>
      </c>
      <c r="H212" s="1930" t="s">
        <v>287</v>
      </c>
      <c r="I212" s="1930" t="s">
        <v>136</v>
      </c>
      <c r="J212" s="1930" t="s">
        <v>137</v>
      </c>
      <c r="K212" s="1933">
        <v>47.04</v>
      </c>
      <c r="L212" s="1930" t="s">
        <v>138</v>
      </c>
    </row>
    <row r="213" spans="1:12" ht="13.5" x14ac:dyDescent="0.25">
      <c r="A213" s="1930" t="s">
        <v>4455</v>
      </c>
      <c r="B213" s="1930" t="s">
        <v>4456</v>
      </c>
      <c r="C213" s="1930" t="s">
        <v>4463</v>
      </c>
      <c r="D213" s="1930" t="s">
        <v>4464</v>
      </c>
      <c r="E213" s="1931" t="s">
        <v>33</v>
      </c>
      <c r="F213" s="1930" t="s">
        <v>33</v>
      </c>
      <c r="G213" s="1932">
        <v>92824</v>
      </c>
      <c r="H213" s="1930" t="s">
        <v>288</v>
      </c>
      <c r="I213" s="1930" t="s">
        <v>136</v>
      </c>
      <c r="J213" s="1930" t="s">
        <v>137</v>
      </c>
      <c r="K213" s="1933">
        <v>55.92</v>
      </c>
      <c r="L213" s="1930" t="s">
        <v>138</v>
      </c>
    </row>
    <row r="214" spans="1:12" ht="13.5" x14ac:dyDescent="0.25">
      <c r="A214" s="1930" t="s">
        <v>4455</v>
      </c>
      <c r="B214" s="1930" t="s">
        <v>4456</v>
      </c>
      <c r="C214" s="1930" t="s">
        <v>4463</v>
      </c>
      <c r="D214" s="1930" t="s">
        <v>4464</v>
      </c>
      <c r="E214" s="1931" t="s">
        <v>33</v>
      </c>
      <c r="F214" s="1930" t="s">
        <v>33</v>
      </c>
      <c r="G214" s="1932">
        <v>92825</v>
      </c>
      <c r="H214" s="1930" t="s">
        <v>289</v>
      </c>
      <c r="I214" s="1930" t="s">
        <v>136</v>
      </c>
      <c r="J214" s="1930" t="s">
        <v>137</v>
      </c>
      <c r="K214" s="1933">
        <v>64.83</v>
      </c>
      <c r="L214" s="1930" t="s">
        <v>138</v>
      </c>
    </row>
    <row r="215" spans="1:12" ht="13.5" x14ac:dyDescent="0.25">
      <c r="A215" s="1930" t="s">
        <v>4455</v>
      </c>
      <c r="B215" s="1930" t="s">
        <v>4456</v>
      </c>
      <c r="C215" s="1930" t="s">
        <v>4463</v>
      </c>
      <c r="D215" s="1930" t="s">
        <v>4464</v>
      </c>
      <c r="E215" s="1931" t="s">
        <v>33</v>
      </c>
      <c r="F215" s="1930" t="s">
        <v>33</v>
      </c>
      <c r="G215" s="1932">
        <v>92826</v>
      </c>
      <c r="H215" s="1930" t="s">
        <v>290</v>
      </c>
      <c r="I215" s="1930" t="s">
        <v>136</v>
      </c>
      <c r="J215" s="1930" t="s">
        <v>137</v>
      </c>
      <c r="K215" s="1933">
        <v>74.92</v>
      </c>
      <c r="L215" s="1930" t="s">
        <v>138</v>
      </c>
    </row>
    <row r="216" spans="1:12" ht="13.5" x14ac:dyDescent="0.25">
      <c r="A216" s="1930" t="s">
        <v>4455</v>
      </c>
      <c r="B216" s="1930" t="s">
        <v>4456</v>
      </c>
      <c r="C216" s="1930" t="s">
        <v>4463</v>
      </c>
      <c r="D216" s="1930" t="s">
        <v>4464</v>
      </c>
      <c r="E216" s="1931" t="s">
        <v>33</v>
      </c>
      <c r="F216" s="1930" t="s">
        <v>33</v>
      </c>
      <c r="G216" s="1932">
        <v>92827</v>
      </c>
      <c r="H216" s="1930" t="s">
        <v>291</v>
      </c>
      <c r="I216" s="1930" t="s">
        <v>136</v>
      </c>
      <c r="J216" s="1930" t="s">
        <v>137</v>
      </c>
      <c r="K216" s="1933">
        <v>85.5</v>
      </c>
      <c r="L216" s="1930" t="s">
        <v>138</v>
      </c>
    </row>
    <row r="217" spans="1:12" ht="13.5" x14ac:dyDescent="0.25">
      <c r="A217" s="1930" t="s">
        <v>4455</v>
      </c>
      <c r="B217" s="1930" t="s">
        <v>4456</v>
      </c>
      <c r="C217" s="1930" t="s">
        <v>4463</v>
      </c>
      <c r="D217" s="1930" t="s">
        <v>4464</v>
      </c>
      <c r="E217" s="1931" t="s">
        <v>33</v>
      </c>
      <c r="F217" s="1930" t="s">
        <v>33</v>
      </c>
      <c r="G217" s="1932">
        <v>92828</v>
      </c>
      <c r="H217" s="1930" t="s">
        <v>292</v>
      </c>
      <c r="I217" s="1930" t="s">
        <v>136</v>
      </c>
      <c r="J217" s="1930" t="s">
        <v>137</v>
      </c>
      <c r="K217" s="1933">
        <v>97.82</v>
      </c>
      <c r="L217" s="1930" t="s">
        <v>138</v>
      </c>
    </row>
    <row r="218" spans="1:12" ht="13.5" x14ac:dyDescent="0.25">
      <c r="A218" s="1930" t="s">
        <v>4455</v>
      </c>
      <c r="B218" s="1930" t="s">
        <v>4456</v>
      </c>
      <c r="C218" s="1930" t="s">
        <v>4463</v>
      </c>
      <c r="D218" s="1930" t="s">
        <v>4464</v>
      </c>
      <c r="E218" s="1931" t="s">
        <v>33</v>
      </c>
      <c r="F218" s="1930" t="s">
        <v>33</v>
      </c>
      <c r="G218" s="1932">
        <v>92829</v>
      </c>
      <c r="H218" s="1930" t="s">
        <v>293</v>
      </c>
      <c r="I218" s="1930" t="s">
        <v>136</v>
      </c>
      <c r="J218" s="1930" t="s">
        <v>137</v>
      </c>
      <c r="K218" s="1933">
        <v>559.13</v>
      </c>
      <c r="L218" s="1930" t="s">
        <v>138</v>
      </c>
    </row>
    <row r="219" spans="1:12" ht="13.5" x14ac:dyDescent="0.25">
      <c r="A219" s="1930" t="s">
        <v>4455</v>
      </c>
      <c r="B219" s="1930" t="s">
        <v>4456</v>
      </c>
      <c r="C219" s="1930" t="s">
        <v>4463</v>
      </c>
      <c r="D219" s="1930" t="s">
        <v>4464</v>
      </c>
      <c r="E219" s="1931" t="s">
        <v>33</v>
      </c>
      <c r="F219" s="1930" t="s">
        <v>33</v>
      </c>
      <c r="G219" s="1932">
        <v>92830</v>
      </c>
      <c r="H219" s="1930" t="s">
        <v>294</v>
      </c>
      <c r="I219" s="1930" t="s">
        <v>136</v>
      </c>
      <c r="J219" s="1930" t="s">
        <v>137</v>
      </c>
      <c r="K219" s="1933">
        <v>121.35</v>
      </c>
      <c r="L219" s="1930" t="s">
        <v>138</v>
      </c>
    </row>
    <row r="220" spans="1:12" ht="13.5" x14ac:dyDescent="0.25">
      <c r="A220" s="1930" t="s">
        <v>4455</v>
      </c>
      <c r="B220" s="1930" t="s">
        <v>4456</v>
      </c>
      <c r="C220" s="1930" t="s">
        <v>4463</v>
      </c>
      <c r="D220" s="1930" t="s">
        <v>4464</v>
      </c>
      <c r="E220" s="1931" t="s">
        <v>33</v>
      </c>
      <c r="F220" s="1930" t="s">
        <v>33</v>
      </c>
      <c r="G220" s="1932">
        <v>92831</v>
      </c>
      <c r="H220" s="1930" t="s">
        <v>295</v>
      </c>
      <c r="I220" s="1930" t="s">
        <v>136</v>
      </c>
      <c r="J220" s="1930" t="s">
        <v>137</v>
      </c>
      <c r="K220" s="1933">
        <v>812.48</v>
      </c>
      <c r="L220" s="1930" t="s">
        <v>138</v>
      </c>
    </row>
    <row r="221" spans="1:12" ht="13.5" x14ac:dyDescent="0.25">
      <c r="A221" s="1930" t="s">
        <v>4455</v>
      </c>
      <c r="B221" s="1930" t="s">
        <v>4456</v>
      </c>
      <c r="C221" s="1930" t="s">
        <v>4463</v>
      </c>
      <c r="D221" s="1930" t="s">
        <v>4464</v>
      </c>
      <c r="E221" s="1931" t="s">
        <v>33</v>
      </c>
      <c r="F221" s="1930" t="s">
        <v>33</v>
      </c>
      <c r="G221" s="1932">
        <v>92832</v>
      </c>
      <c r="H221" s="1930" t="s">
        <v>296</v>
      </c>
      <c r="I221" s="1930" t="s">
        <v>136</v>
      </c>
      <c r="J221" s="1930" t="s">
        <v>137</v>
      </c>
      <c r="K221" s="1933">
        <v>161.33000000000001</v>
      </c>
      <c r="L221" s="1930" t="s">
        <v>138</v>
      </c>
    </row>
    <row r="222" spans="1:12" ht="13.5" x14ac:dyDescent="0.25">
      <c r="A222" s="1930" t="s">
        <v>4455</v>
      </c>
      <c r="B222" s="1930" t="s">
        <v>4456</v>
      </c>
      <c r="C222" s="1930" t="s">
        <v>4463</v>
      </c>
      <c r="D222" s="1930" t="s">
        <v>4464</v>
      </c>
      <c r="E222" s="1931" t="s">
        <v>33</v>
      </c>
      <c r="F222" s="1930" t="s">
        <v>33</v>
      </c>
      <c r="G222" s="1932">
        <v>95565</v>
      </c>
      <c r="H222" s="1930" t="s">
        <v>297</v>
      </c>
      <c r="I222" s="1930" t="s">
        <v>136</v>
      </c>
      <c r="J222" s="1930" t="s">
        <v>137</v>
      </c>
      <c r="K222" s="1933">
        <v>101.81</v>
      </c>
      <c r="L222" s="1930" t="s">
        <v>138</v>
      </c>
    </row>
    <row r="223" spans="1:12" ht="13.5" x14ac:dyDescent="0.25">
      <c r="A223" s="1930" t="s">
        <v>4455</v>
      </c>
      <c r="B223" s="1930" t="s">
        <v>4456</v>
      </c>
      <c r="C223" s="1930" t="s">
        <v>4463</v>
      </c>
      <c r="D223" s="1930" t="s">
        <v>4464</v>
      </c>
      <c r="E223" s="1931" t="s">
        <v>33</v>
      </c>
      <c r="F223" s="1930" t="s">
        <v>33</v>
      </c>
      <c r="G223" s="1932">
        <v>95566</v>
      </c>
      <c r="H223" s="1930" t="s">
        <v>298</v>
      </c>
      <c r="I223" s="1930" t="s">
        <v>136</v>
      </c>
      <c r="J223" s="1930" t="s">
        <v>137</v>
      </c>
      <c r="K223" s="1933">
        <v>106.67</v>
      </c>
      <c r="L223" s="1930" t="s">
        <v>138</v>
      </c>
    </row>
    <row r="224" spans="1:12" ht="13.5" x14ac:dyDescent="0.25">
      <c r="A224" s="1930" t="s">
        <v>4455</v>
      </c>
      <c r="B224" s="1930" t="s">
        <v>4456</v>
      </c>
      <c r="C224" s="1930" t="s">
        <v>4463</v>
      </c>
      <c r="D224" s="1930" t="s">
        <v>4464</v>
      </c>
      <c r="E224" s="1931" t="s">
        <v>33</v>
      </c>
      <c r="F224" s="1930" t="s">
        <v>33</v>
      </c>
      <c r="G224" s="1932">
        <v>95567</v>
      </c>
      <c r="H224" s="1930" t="s">
        <v>299</v>
      </c>
      <c r="I224" s="1930" t="s">
        <v>136</v>
      </c>
      <c r="J224" s="1930" t="s">
        <v>137</v>
      </c>
      <c r="K224" s="1933">
        <v>61.35</v>
      </c>
      <c r="L224" s="1930" t="s">
        <v>138</v>
      </c>
    </row>
    <row r="225" spans="1:12" ht="13.5" x14ac:dyDescent="0.25">
      <c r="A225" s="1930" t="s">
        <v>4455</v>
      </c>
      <c r="B225" s="1930" t="s">
        <v>4456</v>
      </c>
      <c r="C225" s="1930" t="s">
        <v>4463</v>
      </c>
      <c r="D225" s="1930" t="s">
        <v>4464</v>
      </c>
      <c r="E225" s="1931" t="s">
        <v>33</v>
      </c>
      <c r="F225" s="1930" t="s">
        <v>33</v>
      </c>
      <c r="G225" s="1932">
        <v>95568</v>
      </c>
      <c r="H225" s="1930" t="s">
        <v>300</v>
      </c>
      <c r="I225" s="1930" t="s">
        <v>136</v>
      </c>
      <c r="J225" s="1930" t="s">
        <v>137</v>
      </c>
      <c r="K225" s="1933">
        <v>80.13</v>
      </c>
      <c r="L225" s="1930" t="s">
        <v>138</v>
      </c>
    </row>
    <row r="226" spans="1:12" ht="13.5" x14ac:dyDescent="0.25">
      <c r="A226" s="1930" t="s">
        <v>4455</v>
      </c>
      <c r="B226" s="1930" t="s">
        <v>4456</v>
      </c>
      <c r="C226" s="1930" t="s">
        <v>4463</v>
      </c>
      <c r="D226" s="1930" t="s">
        <v>4464</v>
      </c>
      <c r="E226" s="1931" t="s">
        <v>33</v>
      </c>
      <c r="F226" s="1930" t="s">
        <v>33</v>
      </c>
      <c r="G226" s="1932">
        <v>95569</v>
      </c>
      <c r="H226" s="1930" t="s">
        <v>301</v>
      </c>
      <c r="I226" s="1930" t="s">
        <v>136</v>
      </c>
      <c r="J226" s="1930" t="s">
        <v>137</v>
      </c>
      <c r="K226" s="1933">
        <v>108.62</v>
      </c>
      <c r="L226" s="1930" t="s">
        <v>138</v>
      </c>
    </row>
    <row r="227" spans="1:12" ht="13.5" x14ac:dyDescent="0.25">
      <c r="A227" s="1930" t="s">
        <v>4455</v>
      </c>
      <c r="B227" s="1930" t="s">
        <v>4456</v>
      </c>
      <c r="C227" s="1930" t="s">
        <v>4463</v>
      </c>
      <c r="D227" s="1930" t="s">
        <v>4464</v>
      </c>
      <c r="E227" s="1931" t="s">
        <v>33</v>
      </c>
      <c r="F227" s="1930" t="s">
        <v>33</v>
      </c>
      <c r="G227" s="1932">
        <v>95570</v>
      </c>
      <c r="H227" s="1930" t="s">
        <v>302</v>
      </c>
      <c r="I227" s="1930" t="s">
        <v>136</v>
      </c>
      <c r="J227" s="1930" t="s">
        <v>137</v>
      </c>
      <c r="K227" s="1933">
        <v>66.209999999999994</v>
      </c>
      <c r="L227" s="1930" t="s">
        <v>138</v>
      </c>
    </row>
    <row r="228" spans="1:12" ht="13.5" x14ac:dyDescent="0.25">
      <c r="A228" s="1930" t="s">
        <v>4455</v>
      </c>
      <c r="B228" s="1930" t="s">
        <v>4456</v>
      </c>
      <c r="C228" s="1930" t="s">
        <v>4463</v>
      </c>
      <c r="D228" s="1930" t="s">
        <v>4464</v>
      </c>
      <c r="E228" s="1931" t="s">
        <v>33</v>
      </c>
      <c r="F228" s="1930" t="s">
        <v>33</v>
      </c>
      <c r="G228" s="1932">
        <v>95571</v>
      </c>
      <c r="H228" s="1930" t="s">
        <v>303</v>
      </c>
      <c r="I228" s="1930" t="s">
        <v>136</v>
      </c>
      <c r="J228" s="1930" t="s">
        <v>137</v>
      </c>
      <c r="K228" s="1933">
        <v>86.35</v>
      </c>
      <c r="L228" s="1930" t="s">
        <v>138</v>
      </c>
    </row>
    <row r="229" spans="1:12" ht="13.5" x14ac:dyDescent="0.25">
      <c r="A229" s="1930" t="s">
        <v>4455</v>
      </c>
      <c r="B229" s="1930" t="s">
        <v>4456</v>
      </c>
      <c r="C229" s="1930" t="s">
        <v>4463</v>
      </c>
      <c r="D229" s="1930" t="s">
        <v>4464</v>
      </c>
      <c r="E229" s="1931" t="s">
        <v>33</v>
      </c>
      <c r="F229" s="1930" t="s">
        <v>33</v>
      </c>
      <c r="G229" s="1932">
        <v>95572</v>
      </c>
      <c r="H229" s="1930" t="s">
        <v>304</v>
      </c>
      <c r="I229" s="1930" t="s">
        <v>136</v>
      </c>
      <c r="J229" s="1930" t="s">
        <v>137</v>
      </c>
      <c r="K229" s="1933">
        <v>116.32</v>
      </c>
      <c r="L229" s="1930" t="s">
        <v>138</v>
      </c>
    </row>
    <row r="230" spans="1:12" ht="13.5" x14ac:dyDescent="0.25">
      <c r="A230" s="1930" t="s">
        <v>4455</v>
      </c>
      <c r="B230" s="1930" t="s">
        <v>4456</v>
      </c>
      <c r="C230" s="1930" t="s">
        <v>4932</v>
      </c>
      <c r="D230" s="1930" t="s">
        <v>4933</v>
      </c>
      <c r="E230" s="1931" t="s">
        <v>33</v>
      </c>
      <c r="F230" s="1930" t="s">
        <v>33</v>
      </c>
      <c r="G230" s="1932">
        <v>97127</v>
      </c>
      <c r="H230" s="1930" t="s">
        <v>4934</v>
      </c>
      <c r="I230" s="1930" t="s">
        <v>136</v>
      </c>
      <c r="J230" s="1930" t="s">
        <v>320</v>
      </c>
      <c r="K230" s="1933">
        <v>3.55</v>
      </c>
      <c r="L230" s="1930" t="s">
        <v>138</v>
      </c>
    </row>
    <row r="231" spans="1:12" ht="13.5" x14ac:dyDescent="0.25">
      <c r="A231" s="1930" t="s">
        <v>4455</v>
      </c>
      <c r="B231" s="1930" t="s">
        <v>4456</v>
      </c>
      <c r="C231" s="1930" t="s">
        <v>4932</v>
      </c>
      <c r="D231" s="1930" t="s">
        <v>4933</v>
      </c>
      <c r="E231" s="1931" t="s">
        <v>33</v>
      </c>
      <c r="F231" s="1930" t="s">
        <v>33</v>
      </c>
      <c r="G231" s="1932">
        <v>97128</v>
      </c>
      <c r="H231" s="1930" t="s">
        <v>4935</v>
      </c>
      <c r="I231" s="1930" t="s">
        <v>136</v>
      </c>
      <c r="J231" s="1930" t="s">
        <v>137</v>
      </c>
      <c r="K231" s="1933">
        <v>6.76</v>
      </c>
      <c r="L231" s="1930" t="s">
        <v>138</v>
      </c>
    </row>
    <row r="232" spans="1:12" ht="13.5" x14ac:dyDescent="0.25">
      <c r="A232" s="1930" t="s">
        <v>4455</v>
      </c>
      <c r="B232" s="1930" t="s">
        <v>4456</v>
      </c>
      <c r="C232" s="1930" t="s">
        <v>4932</v>
      </c>
      <c r="D232" s="1930" t="s">
        <v>4933</v>
      </c>
      <c r="E232" s="1931" t="s">
        <v>33</v>
      </c>
      <c r="F232" s="1930" t="s">
        <v>33</v>
      </c>
      <c r="G232" s="1932">
        <v>97129</v>
      </c>
      <c r="H232" s="1930" t="s">
        <v>4936</v>
      </c>
      <c r="I232" s="1930" t="s">
        <v>136</v>
      </c>
      <c r="J232" s="1930" t="s">
        <v>137</v>
      </c>
      <c r="K232" s="1933">
        <v>8.31</v>
      </c>
      <c r="L232" s="1930" t="s">
        <v>138</v>
      </c>
    </row>
    <row r="233" spans="1:12" ht="13.5" x14ac:dyDescent="0.25">
      <c r="A233" s="1930" t="s">
        <v>4455</v>
      </c>
      <c r="B233" s="1930" t="s">
        <v>4456</v>
      </c>
      <c r="C233" s="1930" t="s">
        <v>4932</v>
      </c>
      <c r="D233" s="1930" t="s">
        <v>4933</v>
      </c>
      <c r="E233" s="1931" t="s">
        <v>33</v>
      </c>
      <c r="F233" s="1930" t="s">
        <v>33</v>
      </c>
      <c r="G233" s="1932">
        <v>97130</v>
      </c>
      <c r="H233" s="1930" t="s">
        <v>4937</v>
      </c>
      <c r="I233" s="1930" t="s">
        <v>136</v>
      </c>
      <c r="J233" s="1930" t="s">
        <v>137</v>
      </c>
      <c r="K233" s="1933">
        <v>9.8699999999999992</v>
      </c>
      <c r="L233" s="1930" t="s">
        <v>138</v>
      </c>
    </row>
    <row r="234" spans="1:12" ht="13.5" x14ac:dyDescent="0.25">
      <c r="A234" s="1930" t="s">
        <v>4455</v>
      </c>
      <c r="B234" s="1930" t="s">
        <v>4456</v>
      </c>
      <c r="C234" s="1930" t="s">
        <v>4932</v>
      </c>
      <c r="D234" s="1930" t="s">
        <v>4933</v>
      </c>
      <c r="E234" s="1931" t="s">
        <v>33</v>
      </c>
      <c r="F234" s="1930" t="s">
        <v>33</v>
      </c>
      <c r="G234" s="1932">
        <v>97131</v>
      </c>
      <c r="H234" s="1930" t="s">
        <v>4938</v>
      </c>
      <c r="I234" s="1930" t="s">
        <v>136</v>
      </c>
      <c r="J234" s="1930" t="s">
        <v>137</v>
      </c>
      <c r="K234" s="1933">
        <v>11.42</v>
      </c>
      <c r="L234" s="1930" t="s">
        <v>138</v>
      </c>
    </row>
    <row r="235" spans="1:12" ht="13.5" x14ac:dyDescent="0.25">
      <c r="A235" s="1930" t="s">
        <v>4455</v>
      </c>
      <c r="B235" s="1930" t="s">
        <v>4456</v>
      </c>
      <c r="C235" s="1930" t="s">
        <v>4932</v>
      </c>
      <c r="D235" s="1930" t="s">
        <v>4933</v>
      </c>
      <c r="E235" s="1931" t="s">
        <v>33</v>
      </c>
      <c r="F235" s="1930" t="s">
        <v>33</v>
      </c>
      <c r="G235" s="1932">
        <v>97132</v>
      </c>
      <c r="H235" s="1930" t="s">
        <v>4939</v>
      </c>
      <c r="I235" s="1930" t="s">
        <v>136</v>
      </c>
      <c r="J235" s="1930" t="s">
        <v>137</v>
      </c>
      <c r="K235" s="1933">
        <v>12.97</v>
      </c>
      <c r="L235" s="1930" t="s">
        <v>138</v>
      </c>
    </row>
    <row r="236" spans="1:12" ht="13.5" x14ac:dyDescent="0.25">
      <c r="A236" s="1930" t="s">
        <v>4455</v>
      </c>
      <c r="B236" s="1930" t="s">
        <v>4456</v>
      </c>
      <c r="C236" s="1930" t="s">
        <v>4932</v>
      </c>
      <c r="D236" s="1930" t="s">
        <v>4933</v>
      </c>
      <c r="E236" s="1931" t="s">
        <v>33</v>
      </c>
      <c r="F236" s="1930" t="s">
        <v>33</v>
      </c>
      <c r="G236" s="1932">
        <v>97133</v>
      </c>
      <c r="H236" s="1930" t="s">
        <v>4940</v>
      </c>
      <c r="I236" s="1930" t="s">
        <v>136</v>
      </c>
      <c r="J236" s="1930" t="s">
        <v>137</v>
      </c>
      <c r="K236" s="1933">
        <v>16.09</v>
      </c>
      <c r="L236" s="1930" t="s">
        <v>138</v>
      </c>
    </row>
    <row r="237" spans="1:12" ht="13.5" x14ac:dyDescent="0.25">
      <c r="A237" s="1930" t="s">
        <v>4455</v>
      </c>
      <c r="B237" s="1930" t="s">
        <v>4456</v>
      </c>
      <c r="C237" s="1930" t="s">
        <v>4932</v>
      </c>
      <c r="D237" s="1930" t="s">
        <v>4933</v>
      </c>
      <c r="E237" s="1931" t="s">
        <v>33</v>
      </c>
      <c r="F237" s="1930" t="s">
        <v>33</v>
      </c>
      <c r="G237" s="1932">
        <v>97134</v>
      </c>
      <c r="H237" s="1930" t="s">
        <v>4941</v>
      </c>
      <c r="I237" s="1930" t="s">
        <v>136</v>
      </c>
      <c r="J237" s="1930" t="s">
        <v>320</v>
      </c>
      <c r="K237" s="1933">
        <v>1.64</v>
      </c>
      <c r="L237" s="1930" t="s">
        <v>138</v>
      </c>
    </row>
    <row r="238" spans="1:12" ht="13.5" x14ac:dyDescent="0.25">
      <c r="A238" s="1930" t="s">
        <v>4455</v>
      </c>
      <c r="B238" s="1930" t="s">
        <v>4456</v>
      </c>
      <c r="C238" s="1930" t="s">
        <v>4932</v>
      </c>
      <c r="D238" s="1930" t="s">
        <v>4933</v>
      </c>
      <c r="E238" s="1931" t="s">
        <v>33</v>
      </c>
      <c r="F238" s="1930" t="s">
        <v>33</v>
      </c>
      <c r="G238" s="1932">
        <v>97135</v>
      </c>
      <c r="H238" s="1930" t="s">
        <v>4942</v>
      </c>
      <c r="I238" s="1930" t="s">
        <v>136</v>
      </c>
      <c r="J238" s="1930" t="s">
        <v>137</v>
      </c>
      <c r="K238" s="1933">
        <v>3.43</v>
      </c>
      <c r="L238" s="1930" t="s">
        <v>138</v>
      </c>
    </row>
    <row r="239" spans="1:12" ht="13.5" x14ac:dyDescent="0.25">
      <c r="A239" s="1930" t="s">
        <v>4455</v>
      </c>
      <c r="B239" s="1930" t="s">
        <v>4456</v>
      </c>
      <c r="C239" s="1930" t="s">
        <v>4932</v>
      </c>
      <c r="D239" s="1930" t="s">
        <v>4933</v>
      </c>
      <c r="E239" s="1931" t="s">
        <v>33</v>
      </c>
      <c r="F239" s="1930" t="s">
        <v>33</v>
      </c>
      <c r="G239" s="1932">
        <v>97136</v>
      </c>
      <c r="H239" s="1930" t="s">
        <v>4943</v>
      </c>
      <c r="I239" s="1930" t="s">
        <v>136</v>
      </c>
      <c r="J239" s="1930" t="s">
        <v>137</v>
      </c>
      <c r="K239" s="1933">
        <v>4.22</v>
      </c>
      <c r="L239" s="1930" t="s">
        <v>138</v>
      </c>
    </row>
    <row r="240" spans="1:12" ht="13.5" x14ac:dyDescent="0.25">
      <c r="A240" s="1930" t="s">
        <v>4455</v>
      </c>
      <c r="B240" s="1930" t="s">
        <v>4456</v>
      </c>
      <c r="C240" s="1930" t="s">
        <v>4932</v>
      </c>
      <c r="D240" s="1930" t="s">
        <v>4933</v>
      </c>
      <c r="E240" s="1931" t="s">
        <v>33</v>
      </c>
      <c r="F240" s="1930" t="s">
        <v>33</v>
      </c>
      <c r="G240" s="1932">
        <v>97137</v>
      </c>
      <c r="H240" s="1930" t="s">
        <v>4944</v>
      </c>
      <c r="I240" s="1930" t="s">
        <v>136</v>
      </c>
      <c r="J240" s="1930" t="s">
        <v>137</v>
      </c>
      <c r="K240" s="1933">
        <v>5.0199999999999996</v>
      </c>
      <c r="L240" s="1930" t="s">
        <v>138</v>
      </c>
    </row>
    <row r="241" spans="1:12" ht="13.5" x14ac:dyDescent="0.25">
      <c r="A241" s="1930" t="s">
        <v>4455</v>
      </c>
      <c r="B241" s="1930" t="s">
        <v>4456</v>
      </c>
      <c r="C241" s="1930" t="s">
        <v>4932</v>
      </c>
      <c r="D241" s="1930" t="s">
        <v>4933</v>
      </c>
      <c r="E241" s="1931" t="s">
        <v>33</v>
      </c>
      <c r="F241" s="1930" t="s">
        <v>33</v>
      </c>
      <c r="G241" s="1932">
        <v>97138</v>
      </c>
      <c r="H241" s="1930" t="s">
        <v>4945</v>
      </c>
      <c r="I241" s="1930" t="s">
        <v>136</v>
      </c>
      <c r="J241" s="1930" t="s">
        <v>137</v>
      </c>
      <c r="K241" s="1933">
        <v>5.81</v>
      </c>
      <c r="L241" s="1930" t="s">
        <v>138</v>
      </c>
    </row>
    <row r="242" spans="1:12" ht="13.5" x14ac:dyDescent="0.25">
      <c r="A242" s="1930" t="s">
        <v>4455</v>
      </c>
      <c r="B242" s="1930" t="s">
        <v>4456</v>
      </c>
      <c r="C242" s="1930" t="s">
        <v>4932</v>
      </c>
      <c r="D242" s="1930" t="s">
        <v>4933</v>
      </c>
      <c r="E242" s="1931" t="s">
        <v>33</v>
      </c>
      <c r="F242" s="1930" t="s">
        <v>33</v>
      </c>
      <c r="G242" s="1932">
        <v>97139</v>
      </c>
      <c r="H242" s="1930" t="s">
        <v>4946</v>
      </c>
      <c r="I242" s="1930" t="s">
        <v>136</v>
      </c>
      <c r="J242" s="1930" t="s">
        <v>137</v>
      </c>
      <c r="K242" s="1933">
        <v>6.59</v>
      </c>
      <c r="L242" s="1930" t="s">
        <v>138</v>
      </c>
    </row>
    <row r="243" spans="1:12" ht="13.5" x14ac:dyDescent="0.25">
      <c r="A243" s="1930" t="s">
        <v>4455</v>
      </c>
      <c r="B243" s="1930" t="s">
        <v>4456</v>
      </c>
      <c r="C243" s="1930" t="s">
        <v>4932</v>
      </c>
      <c r="D243" s="1930" t="s">
        <v>4933</v>
      </c>
      <c r="E243" s="1931" t="s">
        <v>33</v>
      </c>
      <c r="F243" s="1930" t="s">
        <v>33</v>
      </c>
      <c r="G243" s="1932">
        <v>97140</v>
      </c>
      <c r="H243" s="1930" t="s">
        <v>4947</v>
      </c>
      <c r="I243" s="1930" t="s">
        <v>136</v>
      </c>
      <c r="J243" s="1930" t="s">
        <v>137</v>
      </c>
      <c r="K243" s="1933">
        <v>8.18</v>
      </c>
      <c r="L243" s="1930" t="s">
        <v>138</v>
      </c>
    </row>
    <row r="244" spans="1:12" ht="13.5" x14ac:dyDescent="0.25">
      <c r="A244" s="1930" t="s">
        <v>4465</v>
      </c>
      <c r="B244" s="1930" t="s">
        <v>4466</v>
      </c>
      <c r="C244" s="1930" t="s">
        <v>4467</v>
      </c>
      <c r="D244" s="1930" t="s">
        <v>4468</v>
      </c>
      <c r="E244" s="1931" t="s">
        <v>33</v>
      </c>
      <c r="F244" s="1930" t="s">
        <v>33</v>
      </c>
      <c r="G244" s="1932">
        <v>93206</v>
      </c>
      <c r="H244" s="1930" t="s">
        <v>307</v>
      </c>
      <c r="I244" s="1930" t="s">
        <v>306</v>
      </c>
      <c r="J244" s="1930" t="s">
        <v>137</v>
      </c>
      <c r="K244" s="1933">
        <v>785.97</v>
      </c>
      <c r="L244" s="1930" t="s">
        <v>138</v>
      </c>
    </row>
    <row r="245" spans="1:12" ht="13.5" x14ac:dyDescent="0.25">
      <c r="A245" s="1930" t="s">
        <v>4465</v>
      </c>
      <c r="B245" s="1930" t="s">
        <v>4466</v>
      </c>
      <c r="C245" s="1930" t="s">
        <v>4467</v>
      </c>
      <c r="D245" s="1930" t="s">
        <v>4468</v>
      </c>
      <c r="E245" s="1931" t="s">
        <v>33</v>
      </c>
      <c r="F245" s="1930" t="s">
        <v>33</v>
      </c>
      <c r="G245" s="1932">
        <v>93207</v>
      </c>
      <c r="H245" s="1930" t="s">
        <v>308</v>
      </c>
      <c r="I245" s="1930" t="s">
        <v>306</v>
      </c>
      <c r="J245" s="1930" t="s">
        <v>137</v>
      </c>
      <c r="K245" s="1933">
        <v>751.61</v>
      </c>
      <c r="L245" s="1930" t="s">
        <v>138</v>
      </c>
    </row>
    <row r="246" spans="1:12" ht="13.5" x14ac:dyDescent="0.25">
      <c r="A246" s="1930" t="s">
        <v>4465</v>
      </c>
      <c r="B246" s="1930" t="s">
        <v>4466</v>
      </c>
      <c r="C246" s="1930" t="s">
        <v>4467</v>
      </c>
      <c r="D246" s="1930" t="s">
        <v>4468</v>
      </c>
      <c r="E246" s="1931" t="s">
        <v>33</v>
      </c>
      <c r="F246" s="1930" t="s">
        <v>33</v>
      </c>
      <c r="G246" s="1932">
        <v>93208</v>
      </c>
      <c r="H246" s="1930" t="s">
        <v>309</v>
      </c>
      <c r="I246" s="1930" t="s">
        <v>306</v>
      </c>
      <c r="J246" s="1930" t="s">
        <v>137</v>
      </c>
      <c r="K246" s="1933">
        <v>578.79999999999995</v>
      </c>
      <c r="L246" s="1930" t="s">
        <v>138</v>
      </c>
    </row>
    <row r="247" spans="1:12" ht="13.5" x14ac:dyDescent="0.25">
      <c r="A247" s="1930" t="s">
        <v>4465</v>
      </c>
      <c r="B247" s="1930" t="s">
        <v>4466</v>
      </c>
      <c r="C247" s="1930" t="s">
        <v>4467</v>
      </c>
      <c r="D247" s="1930" t="s">
        <v>4468</v>
      </c>
      <c r="E247" s="1931" t="s">
        <v>33</v>
      </c>
      <c r="F247" s="1930" t="s">
        <v>33</v>
      </c>
      <c r="G247" s="1932">
        <v>93209</v>
      </c>
      <c r="H247" s="1930" t="s">
        <v>310</v>
      </c>
      <c r="I247" s="1930" t="s">
        <v>306</v>
      </c>
      <c r="J247" s="1930" t="s">
        <v>137</v>
      </c>
      <c r="K247" s="1933">
        <v>623.08000000000004</v>
      </c>
      <c r="L247" s="1930" t="s">
        <v>138</v>
      </c>
    </row>
    <row r="248" spans="1:12" ht="13.5" x14ac:dyDescent="0.25">
      <c r="A248" s="1930" t="s">
        <v>4465</v>
      </c>
      <c r="B248" s="1930" t="s">
        <v>4466</v>
      </c>
      <c r="C248" s="1930" t="s">
        <v>4467</v>
      </c>
      <c r="D248" s="1930" t="s">
        <v>4468</v>
      </c>
      <c r="E248" s="1931" t="s">
        <v>33</v>
      </c>
      <c r="F248" s="1930" t="s">
        <v>33</v>
      </c>
      <c r="G248" s="1932">
        <v>93210</v>
      </c>
      <c r="H248" s="1930" t="s">
        <v>311</v>
      </c>
      <c r="I248" s="1930" t="s">
        <v>306</v>
      </c>
      <c r="J248" s="1930" t="s">
        <v>137</v>
      </c>
      <c r="K248" s="1933">
        <v>373.9</v>
      </c>
      <c r="L248" s="1930" t="s">
        <v>138</v>
      </c>
    </row>
    <row r="249" spans="1:12" ht="13.5" x14ac:dyDescent="0.25">
      <c r="A249" s="1930" t="s">
        <v>4465</v>
      </c>
      <c r="B249" s="1930" t="s">
        <v>4466</v>
      </c>
      <c r="C249" s="1930" t="s">
        <v>4467</v>
      </c>
      <c r="D249" s="1930" t="s">
        <v>4468</v>
      </c>
      <c r="E249" s="1931" t="s">
        <v>33</v>
      </c>
      <c r="F249" s="1930" t="s">
        <v>33</v>
      </c>
      <c r="G249" s="1932">
        <v>93211</v>
      </c>
      <c r="H249" s="1930" t="s">
        <v>312</v>
      </c>
      <c r="I249" s="1930" t="s">
        <v>306</v>
      </c>
      <c r="J249" s="1930" t="s">
        <v>137</v>
      </c>
      <c r="K249" s="1933">
        <v>377.87</v>
      </c>
      <c r="L249" s="1930" t="s">
        <v>138</v>
      </c>
    </row>
    <row r="250" spans="1:12" ht="13.5" x14ac:dyDescent="0.25">
      <c r="A250" s="1930" t="s">
        <v>4465</v>
      </c>
      <c r="B250" s="1930" t="s">
        <v>4466</v>
      </c>
      <c r="C250" s="1930" t="s">
        <v>4467</v>
      </c>
      <c r="D250" s="1930" t="s">
        <v>4468</v>
      </c>
      <c r="E250" s="1931" t="s">
        <v>33</v>
      </c>
      <c r="F250" s="1930" t="s">
        <v>33</v>
      </c>
      <c r="G250" s="1932">
        <v>93212</v>
      </c>
      <c r="H250" s="1930" t="s">
        <v>313</v>
      </c>
      <c r="I250" s="1930" t="s">
        <v>306</v>
      </c>
      <c r="J250" s="1930" t="s">
        <v>137</v>
      </c>
      <c r="K250" s="1933">
        <v>662.04</v>
      </c>
      <c r="L250" s="1930" t="s">
        <v>138</v>
      </c>
    </row>
    <row r="251" spans="1:12" ht="13.5" x14ac:dyDescent="0.25">
      <c r="A251" s="1930" t="s">
        <v>4465</v>
      </c>
      <c r="B251" s="1930" t="s">
        <v>4466</v>
      </c>
      <c r="C251" s="1930" t="s">
        <v>4467</v>
      </c>
      <c r="D251" s="1930" t="s">
        <v>4468</v>
      </c>
      <c r="E251" s="1931" t="s">
        <v>33</v>
      </c>
      <c r="F251" s="1930" t="s">
        <v>33</v>
      </c>
      <c r="G251" s="1932">
        <v>93213</v>
      </c>
      <c r="H251" s="1930" t="s">
        <v>314</v>
      </c>
      <c r="I251" s="1930" t="s">
        <v>306</v>
      </c>
      <c r="J251" s="1930" t="s">
        <v>137</v>
      </c>
      <c r="K251" s="1933">
        <v>695.52</v>
      </c>
      <c r="L251" s="1930" t="s">
        <v>138</v>
      </c>
    </row>
    <row r="252" spans="1:12" ht="13.5" x14ac:dyDescent="0.25">
      <c r="A252" s="1930" t="s">
        <v>4465</v>
      </c>
      <c r="B252" s="1930" t="s">
        <v>4466</v>
      </c>
      <c r="C252" s="1930" t="s">
        <v>4467</v>
      </c>
      <c r="D252" s="1930" t="s">
        <v>4468</v>
      </c>
      <c r="E252" s="1931" t="s">
        <v>33</v>
      </c>
      <c r="F252" s="1930" t="s">
        <v>33</v>
      </c>
      <c r="G252" s="1932">
        <v>93214</v>
      </c>
      <c r="H252" s="1930" t="s">
        <v>5022</v>
      </c>
      <c r="I252" s="1930" t="s">
        <v>168</v>
      </c>
      <c r="J252" s="1930" t="s">
        <v>320</v>
      </c>
      <c r="K252" s="1933">
        <v>4626.01</v>
      </c>
      <c r="L252" s="1930" t="s">
        <v>138</v>
      </c>
    </row>
    <row r="253" spans="1:12" ht="13.5" x14ac:dyDescent="0.25">
      <c r="A253" s="1930" t="s">
        <v>4465</v>
      </c>
      <c r="B253" s="1930" t="s">
        <v>4466</v>
      </c>
      <c r="C253" s="1930" t="s">
        <v>4467</v>
      </c>
      <c r="D253" s="1930" t="s">
        <v>4468</v>
      </c>
      <c r="E253" s="1931" t="s">
        <v>33</v>
      </c>
      <c r="F253" s="1930" t="s">
        <v>33</v>
      </c>
      <c r="G253" s="1932">
        <v>93243</v>
      </c>
      <c r="H253" s="1930" t="s">
        <v>5023</v>
      </c>
      <c r="I253" s="1930" t="s">
        <v>168</v>
      </c>
      <c r="J253" s="1930" t="s">
        <v>320</v>
      </c>
      <c r="K253" s="1933">
        <v>6946.45</v>
      </c>
      <c r="L253" s="1930" t="s">
        <v>138</v>
      </c>
    </row>
    <row r="254" spans="1:12" ht="13.5" x14ac:dyDescent="0.25">
      <c r="A254" s="1930" t="s">
        <v>4465</v>
      </c>
      <c r="B254" s="1930" t="s">
        <v>4466</v>
      </c>
      <c r="C254" s="1930" t="s">
        <v>4467</v>
      </c>
      <c r="D254" s="1930" t="s">
        <v>4468</v>
      </c>
      <c r="E254" s="1931" t="s">
        <v>33</v>
      </c>
      <c r="F254" s="1930" t="s">
        <v>33</v>
      </c>
      <c r="G254" s="1932">
        <v>93582</v>
      </c>
      <c r="H254" s="1930" t="s">
        <v>315</v>
      </c>
      <c r="I254" s="1930" t="s">
        <v>306</v>
      </c>
      <c r="J254" s="1930" t="s">
        <v>137</v>
      </c>
      <c r="K254" s="1933">
        <v>185.01</v>
      </c>
      <c r="L254" s="1930" t="s">
        <v>138</v>
      </c>
    </row>
    <row r="255" spans="1:12" ht="13.5" x14ac:dyDescent="0.25">
      <c r="A255" s="1930" t="s">
        <v>4465</v>
      </c>
      <c r="B255" s="1930" t="s">
        <v>4466</v>
      </c>
      <c r="C255" s="1930" t="s">
        <v>4467</v>
      </c>
      <c r="D255" s="1930" t="s">
        <v>4468</v>
      </c>
      <c r="E255" s="1931" t="s">
        <v>33</v>
      </c>
      <c r="F255" s="1930" t="s">
        <v>33</v>
      </c>
      <c r="G255" s="1932">
        <v>93583</v>
      </c>
      <c r="H255" s="1930" t="s">
        <v>316</v>
      </c>
      <c r="I255" s="1930" t="s">
        <v>306</v>
      </c>
      <c r="J255" s="1930" t="s">
        <v>137</v>
      </c>
      <c r="K255" s="1933">
        <v>308.05</v>
      </c>
      <c r="L255" s="1930" t="s">
        <v>138</v>
      </c>
    </row>
    <row r="256" spans="1:12" ht="13.5" x14ac:dyDescent="0.25">
      <c r="A256" s="1930" t="s">
        <v>4465</v>
      </c>
      <c r="B256" s="1930" t="s">
        <v>4466</v>
      </c>
      <c r="C256" s="1930" t="s">
        <v>4467</v>
      </c>
      <c r="D256" s="1930" t="s">
        <v>4468</v>
      </c>
      <c r="E256" s="1931" t="s">
        <v>33</v>
      </c>
      <c r="F256" s="1930" t="s">
        <v>33</v>
      </c>
      <c r="G256" s="1932">
        <v>93584</v>
      </c>
      <c r="H256" s="1930" t="s">
        <v>317</v>
      </c>
      <c r="I256" s="1930" t="s">
        <v>306</v>
      </c>
      <c r="J256" s="1930" t="s">
        <v>137</v>
      </c>
      <c r="K256" s="1933">
        <v>592.1</v>
      </c>
      <c r="L256" s="1930" t="s">
        <v>138</v>
      </c>
    </row>
    <row r="257" spans="1:12" ht="13.5" x14ac:dyDescent="0.25">
      <c r="A257" s="1930" t="s">
        <v>4465</v>
      </c>
      <c r="B257" s="1930" t="s">
        <v>4466</v>
      </c>
      <c r="C257" s="1930" t="s">
        <v>4467</v>
      </c>
      <c r="D257" s="1930" t="s">
        <v>4468</v>
      </c>
      <c r="E257" s="1931" t="s">
        <v>33</v>
      </c>
      <c r="F257" s="1930" t="s">
        <v>33</v>
      </c>
      <c r="G257" s="1932">
        <v>93585</v>
      </c>
      <c r="H257" s="1930" t="s">
        <v>318</v>
      </c>
      <c r="I257" s="1930" t="s">
        <v>306</v>
      </c>
      <c r="J257" s="1930" t="s">
        <v>137</v>
      </c>
      <c r="K257" s="1933">
        <v>832.93</v>
      </c>
      <c r="L257" s="1930" t="s">
        <v>138</v>
      </c>
    </row>
    <row r="258" spans="1:12" ht="13.5" x14ac:dyDescent="0.25">
      <c r="A258" s="1930" t="s">
        <v>4465</v>
      </c>
      <c r="B258" s="1930" t="s">
        <v>4466</v>
      </c>
      <c r="C258" s="1930" t="s">
        <v>4467</v>
      </c>
      <c r="D258" s="1930" t="s">
        <v>4468</v>
      </c>
      <c r="E258" s="1931" t="s">
        <v>33</v>
      </c>
      <c r="F258" s="1930" t="s">
        <v>33</v>
      </c>
      <c r="G258" s="1932">
        <v>98441</v>
      </c>
      <c r="H258" s="1930" t="s">
        <v>5288</v>
      </c>
      <c r="I258" s="1930" t="s">
        <v>306</v>
      </c>
      <c r="J258" s="1930" t="s">
        <v>320</v>
      </c>
      <c r="K258" s="1933">
        <v>99.71</v>
      </c>
      <c r="L258" s="1930" t="s">
        <v>138</v>
      </c>
    </row>
    <row r="259" spans="1:12" ht="13.5" x14ac:dyDescent="0.25">
      <c r="A259" s="1930" t="s">
        <v>4465</v>
      </c>
      <c r="B259" s="1930" t="s">
        <v>4466</v>
      </c>
      <c r="C259" s="1930" t="s">
        <v>4467</v>
      </c>
      <c r="D259" s="1930" t="s">
        <v>4468</v>
      </c>
      <c r="E259" s="1931" t="s">
        <v>33</v>
      </c>
      <c r="F259" s="1930" t="s">
        <v>33</v>
      </c>
      <c r="G259" s="1932">
        <v>98442</v>
      </c>
      <c r="H259" s="1930" t="s">
        <v>5289</v>
      </c>
      <c r="I259" s="1930" t="s">
        <v>306</v>
      </c>
      <c r="J259" s="1930" t="s">
        <v>320</v>
      </c>
      <c r="K259" s="1933">
        <v>102.21</v>
      </c>
      <c r="L259" s="1930" t="s">
        <v>138</v>
      </c>
    </row>
    <row r="260" spans="1:12" ht="13.5" x14ac:dyDescent="0.25">
      <c r="A260" s="1930" t="s">
        <v>4465</v>
      </c>
      <c r="B260" s="1930" t="s">
        <v>4466</v>
      </c>
      <c r="C260" s="1930" t="s">
        <v>4467</v>
      </c>
      <c r="D260" s="1930" t="s">
        <v>4468</v>
      </c>
      <c r="E260" s="1931" t="s">
        <v>33</v>
      </c>
      <c r="F260" s="1930" t="s">
        <v>33</v>
      </c>
      <c r="G260" s="1932">
        <v>98443</v>
      </c>
      <c r="H260" s="1930" t="s">
        <v>5290</v>
      </c>
      <c r="I260" s="1930" t="s">
        <v>306</v>
      </c>
      <c r="J260" s="1930" t="s">
        <v>320</v>
      </c>
      <c r="K260" s="1933">
        <v>87.08</v>
      </c>
      <c r="L260" s="1930" t="s">
        <v>138</v>
      </c>
    </row>
    <row r="261" spans="1:12" ht="13.5" x14ac:dyDescent="0.25">
      <c r="A261" s="1930" t="s">
        <v>4465</v>
      </c>
      <c r="B261" s="1930" t="s">
        <v>4466</v>
      </c>
      <c r="C261" s="1930" t="s">
        <v>4467</v>
      </c>
      <c r="D261" s="1930" t="s">
        <v>4468</v>
      </c>
      <c r="E261" s="1931" t="s">
        <v>33</v>
      </c>
      <c r="F261" s="1930" t="s">
        <v>33</v>
      </c>
      <c r="G261" s="1932">
        <v>98444</v>
      </c>
      <c r="H261" s="1930" t="s">
        <v>5291</v>
      </c>
      <c r="I261" s="1930" t="s">
        <v>306</v>
      </c>
      <c r="J261" s="1930" t="s">
        <v>320</v>
      </c>
      <c r="K261" s="1933">
        <v>88.87</v>
      </c>
      <c r="L261" s="1930" t="s">
        <v>138</v>
      </c>
    </row>
    <row r="262" spans="1:12" ht="13.5" x14ac:dyDescent="0.25">
      <c r="A262" s="1930" t="s">
        <v>4465</v>
      </c>
      <c r="B262" s="1930" t="s">
        <v>4466</v>
      </c>
      <c r="C262" s="1930" t="s">
        <v>4467</v>
      </c>
      <c r="D262" s="1930" t="s">
        <v>4468</v>
      </c>
      <c r="E262" s="1931" t="s">
        <v>33</v>
      </c>
      <c r="F262" s="1930" t="s">
        <v>33</v>
      </c>
      <c r="G262" s="1932">
        <v>98445</v>
      </c>
      <c r="H262" s="1930" t="s">
        <v>5292</v>
      </c>
      <c r="I262" s="1930" t="s">
        <v>306</v>
      </c>
      <c r="J262" s="1930" t="s">
        <v>320</v>
      </c>
      <c r="K262" s="1933">
        <v>119.07</v>
      </c>
      <c r="L262" s="1930" t="s">
        <v>138</v>
      </c>
    </row>
    <row r="263" spans="1:12" ht="13.5" x14ac:dyDescent="0.25">
      <c r="A263" s="1930" t="s">
        <v>4465</v>
      </c>
      <c r="B263" s="1930" t="s">
        <v>4466</v>
      </c>
      <c r="C263" s="1930" t="s">
        <v>4467</v>
      </c>
      <c r="D263" s="1930" t="s">
        <v>4468</v>
      </c>
      <c r="E263" s="1931" t="s">
        <v>33</v>
      </c>
      <c r="F263" s="1930" t="s">
        <v>33</v>
      </c>
      <c r="G263" s="1932">
        <v>98446</v>
      </c>
      <c r="H263" s="1930" t="s">
        <v>5293</v>
      </c>
      <c r="I263" s="1930" t="s">
        <v>306</v>
      </c>
      <c r="J263" s="1930" t="s">
        <v>320</v>
      </c>
      <c r="K263" s="1933">
        <v>152.41999999999999</v>
      </c>
      <c r="L263" s="1930" t="s">
        <v>138</v>
      </c>
    </row>
    <row r="264" spans="1:12" ht="13.5" x14ac:dyDescent="0.25">
      <c r="A264" s="1930" t="s">
        <v>4465</v>
      </c>
      <c r="B264" s="1930" t="s">
        <v>4466</v>
      </c>
      <c r="C264" s="1930" t="s">
        <v>4467</v>
      </c>
      <c r="D264" s="1930" t="s">
        <v>4468</v>
      </c>
      <c r="E264" s="1931" t="s">
        <v>33</v>
      </c>
      <c r="F264" s="1930" t="s">
        <v>33</v>
      </c>
      <c r="G264" s="1932">
        <v>98447</v>
      </c>
      <c r="H264" s="1930" t="s">
        <v>5294</v>
      </c>
      <c r="I264" s="1930" t="s">
        <v>306</v>
      </c>
      <c r="J264" s="1930" t="s">
        <v>320</v>
      </c>
      <c r="K264" s="1933">
        <v>101.6</v>
      </c>
      <c r="L264" s="1930" t="s">
        <v>138</v>
      </c>
    </row>
    <row r="265" spans="1:12" ht="13.5" x14ac:dyDescent="0.25">
      <c r="A265" s="1930" t="s">
        <v>4465</v>
      </c>
      <c r="B265" s="1930" t="s">
        <v>4466</v>
      </c>
      <c r="C265" s="1930" t="s">
        <v>4467</v>
      </c>
      <c r="D265" s="1930" t="s">
        <v>4468</v>
      </c>
      <c r="E265" s="1931" t="s">
        <v>33</v>
      </c>
      <c r="F265" s="1930" t="s">
        <v>33</v>
      </c>
      <c r="G265" s="1932">
        <v>98448</v>
      </c>
      <c r="H265" s="1930" t="s">
        <v>5295</v>
      </c>
      <c r="I265" s="1930" t="s">
        <v>306</v>
      </c>
      <c r="J265" s="1930" t="s">
        <v>320</v>
      </c>
      <c r="K265" s="1933">
        <v>127.33</v>
      </c>
      <c r="L265" s="1930" t="s">
        <v>138</v>
      </c>
    </row>
    <row r="266" spans="1:12" ht="13.5" x14ac:dyDescent="0.25">
      <c r="A266" s="1930" t="s">
        <v>4465</v>
      </c>
      <c r="B266" s="1930" t="s">
        <v>4466</v>
      </c>
      <c r="C266" s="1930" t="s">
        <v>4467</v>
      </c>
      <c r="D266" s="1930" t="s">
        <v>4468</v>
      </c>
      <c r="E266" s="1931" t="s">
        <v>33</v>
      </c>
      <c r="F266" s="1930" t="s">
        <v>33</v>
      </c>
      <c r="G266" s="1932">
        <v>98449</v>
      </c>
      <c r="H266" s="1930" t="s">
        <v>5296</v>
      </c>
      <c r="I266" s="1930" t="s">
        <v>306</v>
      </c>
      <c r="J266" s="1930" t="s">
        <v>320</v>
      </c>
      <c r="K266" s="1933">
        <v>121.76</v>
      </c>
      <c r="L266" s="1930" t="s">
        <v>138</v>
      </c>
    </row>
    <row r="267" spans="1:12" ht="13.5" x14ac:dyDescent="0.25">
      <c r="A267" s="1930" t="s">
        <v>4465</v>
      </c>
      <c r="B267" s="1930" t="s">
        <v>4466</v>
      </c>
      <c r="C267" s="1930" t="s">
        <v>4467</v>
      </c>
      <c r="D267" s="1930" t="s">
        <v>4468</v>
      </c>
      <c r="E267" s="1931" t="s">
        <v>33</v>
      </c>
      <c r="F267" s="1930" t="s">
        <v>33</v>
      </c>
      <c r="G267" s="1932">
        <v>98450</v>
      </c>
      <c r="H267" s="1930" t="s">
        <v>5297</v>
      </c>
      <c r="I267" s="1930" t="s">
        <v>306</v>
      </c>
      <c r="J267" s="1930" t="s">
        <v>320</v>
      </c>
      <c r="K267" s="1933">
        <v>125.42</v>
      </c>
      <c r="L267" s="1930" t="s">
        <v>138</v>
      </c>
    </row>
    <row r="268" spans="1:12" ht="13.5" x14ac:dyDescent="0.25">
      <c r="A268" s="1930" t="s">
        <v>4465</v>
      </c>
      <c r="B268" s="1930" t="s">
        <v>4466</v>
      </c>
      <c r="C268" s="1930" t="s">
        <v>4467</v>
      </c>
      <c r="D268" s="1930" t="s">
        <v>4468</v>
      </c>
      <c r="E268" s="1931" t="s">
        <v>33</v>
      </c>
      <c r="F268" s="1930" t="s">
        <v>33</v>
      </c>
      <c r="G268" s="1932">
        <v>98451</v>
      </c>
      <c r="H268" s="1930" t="s">
        <v>5298</v>
      </c>
      <c r="I268" s="1930" t="s">
        <v>306</v>
      </c>
      <c r="J268" s="1930" t="s">
        <v>320</v>
      </c>
      <c r="K268" s="1933">
        <v>106.99</v>
      </c>
      <c r="L268" s="1930" t="s">
        <v>138</v>
      </c>
    </row>
    <row r="269" spans="1:12" ht="13.5" x14ac:dyDescent="0.25">
      <c r="A269" s="1930" t="s">
        <v>4465</v>
      </c>
      <c r="B269" s="1930" t="s">
        <v>4466</v>
      </c>
      <c r="C269" s="1930" t="s">
        <v>4467</v>
      </c>
      <c r="D269" s="1930" t="s">
        <v>4468</v>
      </c>
      <c r="E269" s="1931" t="s">
        <v>33</v>
      </c>
      <c r="F269" s="1930" t="s">
        <v>33</v>
      </c>
      <c r="G269" s="1932">
        <v>98452</v>
      </c>
      <c r="H269" s="1930" t="s">
        <v>5299</v>
      </c>
      <c r="I269" s="1930" t="s">
        <v>306</v>
      </c>
      <c r="J269" s="1930" t="s">
        <v>320</v>
      </c>
      <c r="K269" s="1933">
        <v>109.21</v>
      </c>
      <c r="L269" s="1930" t="s">
        <v>138</v>
      </c>
    </row>
    <row r="270" spans="1:12" ht="13.5" x14ac:dyDescent="0.25">
      <c r="A270" s="1930" t="s">
        <v>4465</v>
      </c>
      <c r="B270" s="1930" t="s">
        <v>4466</v>
      </c>
      <c r="C270" s="1930" t="s">
        <v>4467</v>
      </c>
      <c r="D270" s="1930" t="s">
        <v>4468</v>
      </c>
      <c r="E270" s="1931" t="s">
        <v>33</v>
      </c>
      <c r="F270" s="1930" t="s">
        <v>33</v>
      </c>
      <c r="G270" s="1932">
        <v>98453</v>
      </c>
      <c r="H270" s="1930" t="s">
        <v>5300</v>
      </c>
      <c r="I270" s="1930" t="s">
        <v>306</v>
      </c>
      <c r="J270" s="1930" t="s">
        <v>320</v>
      </c>
      <c r="K270" s="1933">
        <v>145.33000000000001</v>
      </c>
      <c r="L270" s="1930" t="s">
        <v>138</v>
      </c>
    </row>
    <row r="271" spans="1:12" ht="13.5" x14ac:dyDescent="0.25">
      <c r="A271" s="1930" t="s">
        <v>4465</v>
      </c>
      <c r="B271" s="1930" t="s">
        <v>4466</v>
      </c>
      <c r="C271" s="1930" t="s">
        <v>4467</v>
      </c>
      <c r="D271" s="1930" t="s">
        <v>4468</v>
      </c>
      <c r="E271" s="1931" t="s">
        <v>33</v>
      </c>
      <c r="F271" s="1930" t="s">
        <v>33</v>
      </c>
      <c r="G271" s="1932">
        <v>98454</v>
      </c>
      <c r="H271" s="1930" t="s">
        <v>5301</v>
      </c>
      <c r="I271" s="1930" t="s">
        <v>306</v>
      </c>
      <c r="J271" s="1930" t="s">
        <v>320</v>
      </c>
      <c r="K271" s="1933">
        <v>188.98</v>
      </c>
      <c r="L271" s="1930" t="s">
        <v>138</v>
      </c>
    </row>
    <row r="272" spans="1:12" ht="13.5" x14ac:dyDescent="0.25">
      <c r="A272" s="1930" t="s">
        <v>4465</v>
      </c>
      <c r="B272" s="1930" t="s">
        <v>4466</v>
      </c>
      <c r="C272" s="1930" t="s">
        <v>4467</v>
      </c>
      <c r="D272" s="1930" t="s">
        <v>4468</v>
      </c>
      <c r="E272" s="1931" t="s">
        <v>33</v>
      </c>
      <c r="F272" s="1930" t="s">
        <v>33</v>
      </c>
      <c r="G272" s="1932">
        <v>98455</v>
      </c>
      <c r="H272" s="1930" t="s">
        <v>5302</v>
      </c>
      <c r="I272" s="1930" t="s">
        <v>306</v>
      </c>
      <c r="J272" s="1930" t="s">
        <v>320</v>
      </c>
      <c r="K272" s="1933">
        <v>125.72</v>
      </c>
      <c r="L272" s="1930" t="s">
        <v>138</v>
      </c>
    </row>
    <row r="273" spans="1:12" ht="13.5" x14ac:dyDescent="0.25">
      <c r="A273" s="1930" t="s">
        <v>4465</v>
      </c>
      <c r="B273" s="1930" t="s">
        <v>4466</v>
      </c>
      <c r="C273" s="1930" t="s">
        <v>4467</v>
      </c>
      <c r="D273" s="1930" t="s">
        <v>4468</v>
      </c>
      <c r="E273" s="1931" t="s">
        <v>33</v>
      </c>
      <c r="F273" s="1930" t="s">
        <v>33</v>
      </c>
      <c r="G273" s="1932">
        <v>98456</v>
      </c>
      <c r="H273" s="1930" t="s">
        <v>5303</v>
      </c>
      <c r="I273" s="1930" t="s">
        <v>306</v>
      </c>
      <c r="J273" s="1930" t="s">
        <v>320</v>
      </c>
      <c r="K273" s="1933">
        <v>161.03</v>
      </c>
      <c r="L273" s="1930" t="s">
        <v>138</v>
      </c>
    </row>
    <row r="274" spans="1:12" ht="13.5" x14ac:dyDescent="0.25">
      <c r="A274" s="1930" t="s">
        <v>4465</v>
      </c>
      <c r="B274" s="1930" t="s">
        <v>4466</v>
      </c>
      <c r="C274" s="1930" t="s">
        <v>4467</v>
      </c>
      <c r="D274" s="1930" t="s">
        <v>4468</v>
      </c>
      <c r="E274" s="1931" t="s">
        <v>33</v>
      </c>
      <c r="F274" s="1930" t="s">
        <v>33</v>
      </c>
      <c r="G274" s="1932">
        <v>98458</v>
      </c>
      <c r="H274" s="1930" t="s">
        <v>5304</v>
      </c>
      <c r="I274" s="1930" t="s">
        <v>306</v>
      </c>
      <c r="J274" s="1930" t="s">
        <v>320</v>
      </c>
      <c r="K274" s="1933">
        <v>95.62</v>
      </c>
      <c r="L274" s="1930" t="s">
        <v>138</v>
      </c>
    </row>
    <row r="275" spans="1:12" ht="13.5" x14ac:dyDescent="0.25">
      <c r="A275" s="1930" t="s">
        <v>4465</v>
      </c>
      <c r="B275" s="1930" t="s">
        <v>4466</v>
      </c>
      <c r="C275" s="1930" t="s">
        <v>4467</v>
      </c>
      <c r="D275" s="1930" t="s">
        <v>4468</v>
      </c>
      <c r="E275" s="1931" t="s">
        <v>33</v>
      </c>
      <c r="F275" s="1930" t="s">
        <v>33</v>
      </c>
      <c r="G275" s="1932">
        <v>98459</v>
      </c>
      <c r="H275" s="1930" t="s">
        <v>5305</v>
      </c>
      <c r="I275" s="1930" t="s">
        <v>306</v>
      </c>
      <c r="J275" s="1930" t="s">
        <v>137</v>
      </c>
      <c r="K275" s="1933">
        <v>76.39</v>
      </c>
      <c r="L275" s="1930" t="s">
        <v>138</v>
      </c>
    </row>
    <row r="276" spans="1:12" ht="13.5" x14ac:dyDescent="0.25">
      <c r="A276" s="1930" t="s">
        <v>4465</v>
      </c>
      <c r="B276" s="1930" t="s">
        <v>4466</v>
      </c>
      <c r="C276" s="1930" t="s">
        <v>4467</v>
      </c>
      <c r="D276" s="1930" t="s">
        <v>4468</v>
      </c>
      <c r="E276" s="1931" t="s">
        <v>33</v>
      </c>
      <c r="F276" s="1930" t="s">
        <v>33</v>
      </c>
      <c r="G276" s="1932">
        <v>98460</v>
      </c>
      <c r="H276" s="1930" t="s">
        <v>5306</v>
      </c>
      <c r="I276" s="1930" t="s">
        <v>306</v>
      </c>
      <c r="J276" s="1930" t="s">
        <v>320</v>
      </c>
      <c r="K276" s="1933">
        <v>80.69</v>
      </c>
      <c r="L276" s="1930" t="s">
        <v>138</v>
      </c>
    </row>
    <row r="277" spans="1:12" ht="13.5" x14ac:dyDescent="0.25">
      <c r="A277" s="1930" t="s">
        <v>4465</v>
      </c>
      <c r="B277" s="1930" t="s">
        <v>4466</v>
      </c>
      <c r="C277" s="1930" t="s">
        <v>4467</v>
      </c>
      <c r="D277" s="1930" t="s">
        <v>4468</v>
      </c>
      <c r="E277" s="1931" t="s">
        <v>33</v>
      </c>
      <c r="F277" s="1930" t="s">
        <v>33</v>
      </c>
      <c r="G277" s="1932">
        <v>98461</v>
      </c>
      <c r="H277" s="1930" t="s">
        <v>5307</v>
      </c>
      <c r="I277" s="1930" t="s">
        <v>168</v>
      </c>
      <c r="J277" s="1930" t="s">
        <v>320</v>
      </c>
      <c r="K277" s="1933">
        <v>4018.18</v>
      </c>
      <c r="L277" s="1930" t="s">
        <v>138</v>
      </c>
    </row>
    <row r="278" spans="1:12" ht="13.5" x14ac:dyDescent="0.25">
      <c r="A278" s="1930" t="s">
        <v>4465</v>
      </c>
      <c r="B278" s="1930" t="s">
        <v>4466</v>
      </c>
      <c r="C278" s="1930" t="s">
        <v>4467</v>
      </c>
      <c r="D278" s="1930" t="s">
        <v>4468</v>
      </c>
      <c r="E278" s="1931" t="s">
        <v>33</v>
      </c>
      <c r="F278" s="1930" t="s">
        <v>33</v>
      </c>
      <c r="G278" s="1932">
        <v>98462</v>
      </c>
      <c r="H278" s="1930" t="s">
        <v>5308</v>
      </c>
      <c r="I278" s="1930" t="s">
        <v>168</v>
      </c>
      <c r="J278" s="1930" t="s">
        <v>320</v>
      </c>
      <c r="K278" s="1933">
        <v>5905.71</v>
      </c>
      <c r="L278" s="1930" t="s">
        <v>138</v>
      </c>
    </row>
    <row r="279" spans="1:12" ht="13.5" x14ac:dyDescent="0.25">
      <c r="A279" s="1930" t="s">
        <v>4469</v>
      </c>
      <c r="B279" s="1930" t="s">
        <v>4470</v>
      </c>
      <c r="C279" s="1930" t="s">
        <v>4471</v>
      </c>
      <c r="D279" s="1930" t="s">
        <v>4472</v>
      </c>
      <c r="E279" s="1931" t="s">
        <v>33</v>
      </c>
      <c r="F279" s="1930" t="s">
        <v>33</v>
      </c>
      <c r="G279" s="1932">
        <v>5631</v>
      </c>
      <c r="H279" s="1930" t="s">
        <v>321</v>
      </c>
      <c r="I279" s="1930" t="s">
        <v>97</v>
      </c>
      <c r="J279" s="1930" t="s">
        <v>137</v>
      </c>
      <c r="K279" s="1933">
        <v>114.77</v>
      </c>
      <c r="L279" s="1930" t="s">
        <v>138</v>
      </c>
    </row>
    <row r="280" spans="1:12" ht="13.5" x14ac:dyDescent="0.25">
      <c r="A280" s="1930" t="s">
        <v>4469</v>
      </c>
      <c r="B280" s="1930" t="s">
        <v>4470</v>
      </c>
      <c r="C280" s="1930" t="s">
        <v>4471</v>
      </c>
      <c r="D280" s="1930" t="s">
        <v>4472</v>
      </c>
      <c r="E280" s="1931" t="s">
        <v>33</v>
      </c>
      <c r="F280" s="1930" t="s">
        <v>33</v>
      </c>
      <c r="G280" s="1932">
        <v>5678</v>
      </c>
      <c r="H280" s="1930" t="s">
        <v>322</v>
      </c>
      <c r="I280" s="1930" t="s">
        <v>97</v>
      </c>
      <c r="J280" s="1930" t="s">
        <v>137</v>
      </c>
      <c r="K280" s="1933">
        <v>85.33</v>
      </c>
      <c r="L280" s="1930" t="s">
        <v>138</v>
      </c>
    </row>
    <row r="281" spans="1:12" ht="13.5" x14ac:dyDescent="0.25">
      <c r="A281" s="1930" t="s">
        <v>4469</v>
      </c>
      <c r="B281" s="1930" t="s">
        <v>4470</v>
      </c>
      <c r="C281" s="1930" t="s">
        <v>4471</v>
      </c>
      <c r="D281" s="1930" t="s">
        <v>4472</v>
      </c>
      <c r="E281" s="1931" t="s">
        <v>33</v>
      </c>
      <c r="F281" s="1930" t="s">
        <v>33</v>
      </c>
      <c r="G281" s="1932">
        <v>5680</v>
      </c>
      <c r="H281" s="1930" t="s">
        <v>323</v>
      </c>
      <c r="I281" s="1930" t="s">
        <v>97</v>
      </c>
      <c r="J281" s="1930" t="s">
        <v>137</v>
      </c>
      <c r="K281" s="1933">
        <v>79.16</v>
      </c>
      <c r="L281" s="1930" t="s">
        <v>138</v>
      </c>
    </row>
    <row r="282" spans="1:12" ht="13.5" x14ac:dyDescent="0.25">
      <c r="A282" s="1930" t="s">
        <v>4469</v>
      </c>
      <c r="B282" s="1930" t="s">
        <v>4470</v>
      </c>
      <c r="C282" s="1930" t="s">
        <v>4471</v>
      </c>
      <c r="D282" s="1930" t="s">
        <v>4472</v>
      </c>
      <c r="E282" s="1931" t="s">
        <v>33</v>
      </c>
      <c r="F282" s="1930" t="s">
        <v>33</v>
      </c>
      <c r="G282" s="1932">
        <v>5684</v>
      </c>
      <c r="H282" s="1930" t="s">
        <v>324</v>
      </c>
      <c r="I282" s="1930" t="s">
        <v>97</v>
      </c>
      <c r="J282" s="1930" t="s">
        <v>137</v>
      </c>
      <c r="K282" s="1933">
        <v>87.41</v>
      </c>
      <c r="L282" s="1930" t="s">
        <v>138</v>
      </c>
    </row>
    <row r="283" spans="1:12" ht="13.5" x14ac:dyDescent="0.25">
      <c r="A283" s="1930" t="s">
        <v>4469</v>
      </c>
      <c r="B283" s="1930" t="s">
        <v>4470</v>
      </c>
      <c r="C283" s="1930" t="s">
        <v>4471</v>
      </c>
      <c r="D283" s="1930" t="s">
        <v>4472</v>
      </c>
      <c r="E283" s="1931" t="s">
        <v>33</v>
      </c>
      <c r="F283" s="1930" t="s">
        <v>33</v>
      </c>
      <c r="G283" s="1932">
        <v>5689</v>
      </c>
      <c r="H283" s="1930" t="s">
        <v>325</v>
      </c>
      <c r="I283" s="1930" t="s">
        <v>97</v>
      </c>
      <c r="J283" s="1930" t="s">
        <v>137</v>
      </c>
      <c r="K283" s="1933">
        <v>3.17</v>
      </c>
      <c r="L283" s="1930" t="s">
        <v>138</v>
      </c>
    </row>
    <row r="284" spans="1:12" ht="13.5" x14ac:dyDescent="0.25">
      <c r="A284" s="1930" t="s">
        <v>4469</v>
      </c>
      <c r="B284" s="1930" t="s">
        <v>4470</v>
      </c>
      <c r="C284" s="1930" t="s">
        <v>4471</v>
      </c>
      <c r="D284" s="1930" t="s">
        <v>4472</v>
      </c>
      <c r="E284" s="1931" t="s">
        <v>33</v>
      </c>
      <c r="F284" s="1930" t="s">
        <v>33</v>
      </c>
      <c r="G284" s="1932">
        <v>5795</v>
      </c>
      <c r="H284" s="1930" t="s">
        <v>326</v>
      </c>
      <c r="I284" s="1930" t="s">
        <v>97</v>
      </c>
      <c r="J284" s="1930" t="s">
        <v>137</v>
      </c>
      <c r="K284" s="1933">
        <v>18.41</v>
      </c>
      <c r="L284" s="1930" t="s">
        <v>138</v>
      </c>
    </row>
    <row r="285" spans="1:12" ht="13.5" x14ac:dyDescent="0.25">
      <c r="A285" s="1930" t="s">
        <v>4469</v>
      </c>
      <c r="B285" s="1930" t="s">
        <v>4470</v>
      </c>
      <c r="C285" s="1930" t="s">
        <v>4471</v>
      </c>
      <c r="D285" s="1930" t="s">
        <v>4472</v>
      </c>
      <c r="E285" s="1931" t="s">
        <v>33</v>
      </c>
      <c r="F285" s="1930" t="s">
        <v>33</v>
      </c>
      <c r="G285" s="1932">
        <v>5811</v>
      </c>
      <c r="H285" s="1930" t="s">
        <v>327</v>
      </c>
      <c r="I285" s="1930" t="s">
        <v>97</v>
      </c>
      <c r="J285" s="1930" t="s">
        <v>137</v>
      </c>
      <c r="K285" s="1933">
        <v>119.64</v>
      </c>
      <c r="L285" s="1930" t="s">
        <v>138</v>
      </c>
    </row>
    <row r="286" spans="1:12" ht="13.5" x14ac:dyDescent="0.25">
      <c r="A286" s="1930" t="s">
        <v>4469</v>
      </c>
      <c r="B286" s="1930" t="s">
        <v>4470</v>
      </c>
      <c r="C286" s="1930" t="s">
        <v>4471</v>
      </c>
      <c r="D286" s="1930" t="s">
        <v>4472</v>
      </c>
      <c r="E286" s="1931" t="s">
        <v>33</v>
      </c>
      <c r="F286" s="1930" t="s">
        <v>33</v>
      </c>
      <c r="G286" s="1932">
        <v>5823</v>
      </c>
      <c r="H286" s="1930" t="s">
        <v>328</v>
      </c>
      <c r="I286" s="1930" t="s">
        <v>97</v>
      </c>
      <c r="J286" s="1930" t="s">
        <v>137</v>
      </c>
      <c r="K286" s="1933">
        <v>163.33000000000001</v>
      </c>
      <c r="L286" s="1930" t="s">
        <v>138</v>
      </c>
    </row>
    <row r="287" spans="1:12" ht="13.5" x14ac:dyDescent="0.25">
      <c r="A287" s="1930" t="s">
        <v>4469</v>
      </c>
      <c r="B287" s="1930" t="s">
        <v>4470</v>
      </c>
      <c r="C287" s="1930" t="s">
        <v>4471</v>
      </c>
      <c r="D287" s="1930" t="s">
        <v>4472</v>
      </c>
      <c r="E287" s="1931" t="s">
        <v>33</v>
      </c>
      <c r="F287" s="1930" t="s">
        <v>33</v>
      </c>
      <c r="G287" s="1932">
        <v>5824</v>
      </c>
      <c r="H287" s="1930" t="s">
        <v>329</v>
      </c>
      <c r="I287" s="1930" t="s">
        <v>97</v>
      </c>
      <c r="J287" s="1930" t="s">
        <v>137</v>
      </c>
      <c r="K287" s="1933">
        <v>114.66</v>
      </c>
      <c r="L287" s="1930" t="s">
        <v>138</v>
      </c>
    </row>
    <row r="288" spans="1:12" ht="13.5" x14ac:dyDescent="0.25">
      <c r="A288" s="1930" t="s">
        <v>4469</v>
      </c>
      <c r="B288" s="1930" t="s">
        <v>4470</v>
      </c>
      <c r="C288" s="1930" t="s">
        <v>4471</v>
      </c>
      <c r="D288" s="1930" t="s">
        <v>4472</v>
      </c>
      <c r="E288" s="1931" t="s">
        <v>33</v>
      </c>
      <c r="F288" s="1930" t="s">
        <v>33</v>
      </c>
      <c r="G288" s="1932">
        <v>5835</v>
      </c>
      <c r="H288" s="1930" t="s">
        <v>330</v>
      </c>
      <c r="I288" s="1930" t="s">
        <v>97</v>
      </c>
      <c r="J288" s="1930" t="s">
        <v>137</v>
      </c>
      <c r="K288" s="1933">
        <v>246.11</v>
      </c>
      <c r="L288" s="1930" t="s">
        <v>138</v>
      </c>
    </row>
    <row r="289" spans="1:12" ht="13.5" x14ac:dyDescent="0.25">
      <c r="A289" s="1930" t="s">
        <v>4469</v>
      </c>
      <c r="B289" s="1930" t="s">
        <v>4470</v>
      </c>
      <c r="C289" s="1930" t="s">
        <v>4471</v>
      </c>
      <c r="D289" s="1930" t="s">
        <v>4472</v>
      </c>
      <c r="E289" s="1931" t="s">
        <v>33</v>
      </c>
      <c r="F289" s="1930" t="s">
        <v>33</v>
      </c>
      <c r="G289" s="1932">
        <v>5839</v>
      </c>
      <c r="H289" s="1930" t="s">
        <v>331</v>
      </c>
      <c r="I289" s="1930" t="s">
        <v>97</v>
      </c>
      <c r="J289" s="1930" t="s">
        <v>137</v>
      </c>
      <c r="K289" s="1933">
        <v>4.7699999999999996</v>
      </c>
      <c r="L289" s="1930" t="s">
        <v>138</v>
      </c>
    </row>
    <row r="290" spans="1:12" ht="13.5" x14ac:dyDescent="0.25">
      <c r="A290" s="1930" t="s">
        <v>4469</v>
      </c>
      <c r="B290" s="1930" t="s">
        <v>4470</v>
      </c>
      <c r="C290" s="1930" t="s">
        <v>4471</v>
      </c>
      <c r="D290" s="1930" t="s">
        <v>4472</v>
      </c>
      <c r="E290" s="1931" t="s">
        <v>33</v>
      </c>
      <c r="F290" s="1930" t="s">
        <v>33</v>
      </c>
      <c r="G290" s="1932">
        <v>5843</v>
      </c>
      <c r="H290" s="1930" t="s">
        <v>332</v>
      </c>
      <c r="I290" s="1930" t="s">
        <v>97</v>
      </c>
      <c r="J290" s="1930" t="s">
        <v>137</v>
      </c>
      <c r="K290" s="1933">
        <v>145.41</v>
      </c>
      <c r="L290" s="1930" t="s">
        <v>138</v>
      </c>
    </row>
    <row r="291" spans="1:12" ht="13.5" x14ac:dyDescent="0.25">
      <c r="A291" s="1930" t="s">
        <v>4469</v>
      </c>
      <c r="B291" s="1930" t="s">
        <v>4470</v>
      </c>
      <c r="C291" s="1930" t="s">
        <v>4471</v>
      </c>
      <c r="D291" s="1930" t="s">
        <v>4472</v>
      </c>
      <c r="E291" s="1931" t="s">
        <v>33</v>
      </c>
      <c r="F291" s="1930" t="s">
        <v>33</v>
      </c>
      <c r="G291" s="1932">
        <v>5847</v>
      </c>
      <c r="H291" s="1930" t="s">
        <v>333</v>
      </c>
      <c r="I291" s="1930" t="s">
        <v>97</v>
      </c>
      <c r="J291" s="1930" t="s">
        <v>137</v>
      </c>
      <c r="K291" s="1933">
        <v>151.24</v>
      </c>
      <c r="L291" s="1930" t="s">
        <v>138</v>
      </c>
    </row>
    <row r="292" spans="1:12" ht="13.5" x14ac:dyDescent="0.25">
      <c r="A292" s="1930" t="s">
        <v>4469</v>
      </c>
      <c r="B292" s="1930" t="s">
        <v>4470</v>
      </c>
      <c r="C292" s="1930" t="s">
        <v>4471</v>
      </c>
      <c r="D292" s="1930" t="s">
        <v>4472</v>
      </c>
      <c r="E292" s="1931" t="s">
        <v>33</v>
      </c>
      <c r="F292" s="1930" t="s">
        <v>33</v>
      </c>
      <c r="G292" s="1932">
        <v>5851</v>
      </c>
      <c r="H292" s="1930" t="s">
        <v>334</v>
      </c>
      <c r="I292" s="1930" t="s">
        <v>97</v>
      </c>
      <c r="J292" s="1930" t="s">
        <v>137</v>
      </c>
      <c r="K292" s="1933">
        <v>143.9</v>
      </c>
      <c r="L292" s="1930" t="s">
        <v>138</v>
      </c>
    </row>
    <row r="293" spans="1:12" ht="13.5" x14ac:dyDescent="0.25">
      <c r="A293" s="1930" t="s">
        <v>4469</v>
      </c>
      <c r="B293" s="1930" t="s">
        <v>4470</v>
      </c>
      <c r="C293" s="1930" t="s">
        <v>4471</v>
      </c>
      <c r="D293" s="1930" t="s">
        <v>4472</v>
      </c>
      <c r="E293" s="1931" t="s">
        <v>33</v>
      </c>
      <c r="F293" s="1930" t="s">
        <v>33</v>
      </c>
      <c r="G293" s="1932">
        <v>5855</v>
      </c>
      <c r="H293" s="1930" t="s">
        <v>335</v>
      </c>
      <c r="I293" s="1930" t="s">
        <v>97</v>
      </c>
      <c r="J293" s="1930" t="s">
        <v>137</v>
      </c>
      <c r="K293" s="1933">
        <v>379.28</v>
      </c>
      <c r="L293" s="1930" t="s">
        <v>138</v>
      </c>
    </row>
    <row r="294" spans="1:12" ht="13.5" x14ac:dyDescent="0.25">
      <c r="A294" s="1930" t="s">
        <v>4469</v>
      </c>
      <c r="B294" s="1930" t="s">
        <v>4470</v>
      </c>
      <c r="C294" s="1930" t="s">
        <v>4471</v>
      </c>
      <c r="D294" s="1930" t="s">
        <v>4472</v>
      </c>
      <c r="E294" s="1931" t="s">
        <v>33</v>
      </c>
      <c r="F294" s="1930" t="s">
        <v>33</v>
      </c>
      <c r="G294" s="1932">
        <v>5863</v>
      </c>
      <c r="H294" s="1930" t="s">
        <v>336</v>
      </c>
      <c r="I294" s="1930" t="s">
        <v>97</v>
      </c>
      <c r="J294" s="1930" t="s">
        <v>137</v>
      </c>
      <c r="K294" s="1933">
        <v>10.85</v>
      </c>
      <c r="L294" s="1930" t="s">
        <v>138</v>
      </c>
    </row>
    <row r="295" spans="1:12" ht="13.5" x14ac:dyDescent="0.25">
      <c r="A295" s="1930" t="s">
        <v>4469</v>
      </c>
      <c r="B295" s="1930" t="s">
        <v>4470</v>
      </c>
      <c r="C295" s="1930" t="s">
        <v>4471</v>
      </c>
      <c r="D295" s="1930" t="s">
        <v>4472</v>
      </c>
      <c r="E295" s="1931" t="s">
        <v>33</v>
      </c>
      <c r="F295" s="1930" t="s">
        <v>33</v>
      </c>
      <c r="G295" s="1932">
        <v>5867</v>
      </c>
      <c r="H295" s="1930" t="s">
        <v>337</v>
      </c>
      <c r="I295" s="1930" t="s">
        <v>97</v>
      </c>
      <c r="J295" s="1930" t="s">
        <v>137</v>
      </c>
      <c r="K295" s="1933">
        <v>85.83</v>
      </c>
      <c r="L295" s="1930" t="s">
        <v>138</v>
      </c>
    </row>
    <row r="296" spans="1:12" ht="13.5" x14ac:dyDescent="0.25">
      <c r="A296" s="1930" t="s">
        <v>4469</v>
      </c>
      <c r="B296" s="1930" t="s">
        <v>4470</v>
      </c>
      <c r="C296" s="1930" t="s">
        <v>4471</v>
      </c>
      <c r="D296" s="1930" t="s">
        <v>4472</v>
      </c>
      <c r="E296" s="1931" t="s">
        <v>33</v>
      </c>
      <c r="F296" s="1930" t="s">
        <v>33</v>
      </c>
      <c r="G296" s="1932">
        <v>5875</v>
      </c>
      <c r="H296" s="1930" t="s">
        <v>338</v>
      </c>
      <c r="I296" s="1930" t="s">
        <v>97</v>
      </c>
      <c r="J296" s="1930" t="s">
        <v>137</v>
      </c>
      <c r="K296" s="1933">
        <v>79.11</v>
      </c>
      <c r="L296" s="1930" t="s">
        <v>138</v>
      </c>
    </row>
    <row r="297" spans="1:12" ht="13.5" x14ac:dyDescent="0.25">
      <c r="A297" s="1930" t="s">
        <v>4469</v>
      </c>
      <c r="B297" s="1930" t="s">
        <v>4470</v>
      </c>
      <c r="C297" s="1930" t="s">
        <v>4471</v>
      </c>
      <c r="D297" s="1930" t="s">
        <v>4472</v>
      </c>
      <c r="E297" s="1931" t="s">
        <v>33</v>
      </c>
      <c r="F297" s="1930" t="s">
        <v>33</v>
      </c>
      <c r="G297" s="1932">
        <v>5879</v>
      </c>
      <c r="H297" s="1930" t="s">
        <v>339</v>
      </c>
      <c r="I297" s="1930" t="s">
        <v>97</v>
      </c>
      <c r="J297" s="1930" t="s">
        <v>137</v>
      </c>
      <c r="K297" s="1933">
        <v>72.510000000000005</v>
      </c>
      <c r="L297" s="1930" t="s">
        <v>138</v>
      </c>
    </row>
    <row r="298" spans="1:12" ht="13.5" x14ac:dyDescent="0.25">
      <c r="A298" s="1930" t="s">
        <v>4469</v>
      </c>
      <c r="B298" s="1930" t="s">
        <v>4470</v>
      </c>
      <c r="C298" s="1930" t="s">
        <v>4471</v>
      </c>
      <c r="D298" s="1930" t="s">
        <v>4472</v>
      </c>
      <c r="E298" s="1931" t="s">
        <v>33</v>
      </c>
      <c r="F298" s="1930" t="s">
        <v>33</v>
      </c>
      <c r="G298" s="1932">
        <v>5882</v>
      </c>
      <c r="H298" s="1930" t="s">
        <v>340</v>
      </c>
      <c r="I298" s="1930" t="s">
        <v>97</v>
      </c>
      <c r="J298" s="1930" t="s">
        <v>137</v>
      </c>
      <c r="K298" s="1933">
        <v>77.11</v>
      </c>
      <c r="L298" s="1930" t="s">
        <v>138</v>
      </c>
    </row>
    <row r="299" spans="1:12" ht="13.5" x14ac:dyDescent="0.25">
      <c r="A299" s="1930" t="s">
        <v>4469</v>
      </c>
      <c r="B299" s="1930" t="s">
        <v>4470</v>
      </c>
      <c r="C299" s="1930" t="s">
        <v>4471</v>
      </c>
      <c r="D299" s="1930" t="s">
        <v>4472</v>
      </c>
      <c r="E299" s="1931" t="s">
        <v>33</v>
      </c>
      <c r="F299" s="1930" t="s">
        <v>33</v>
      </c>
      <c r="G299" s="1932">
        <v>5890</v>
      </c>
      <c r="H299" s="1930" t="s">
        <v>341</v>
      </c>
      <c r="I299" s="1930" t="s">
        <v>97</v>
      </c>
      <c r="J299" s="1930" t="s">
        <v>137</v>
      </c>
      <c r="K299" s="1933">
        <v>115.66</v>
      </c>
      <c r="L299" s="1930" t="s">
        <v>138</v>
      </c>
    </row>
    <row r="300" spans="1:12" ht="13.5" x14ac:dyDescent="0.25">
      <c r="A300" s="1930" t="s">
        <v>4469</v>
      </c>
      <c r="B300" s="1930" t="s">
        <v>4470</v>
      </c>
      <c r="C300" s="1930" t="s">
        <v>4471</v>
      </c>
      <c r="D300" s="1930" t="s">
        <v>4472</v>
      </c>
      <c r="E300" s="1931" t="s">
        <v>33</v>
      </c>
      <c r="F300" s="1930" t="s">
        <v>33</v>
      </c>
      <c r="G300" s="1932">
        <v>5894</v>
      </c>
      <c r="H300" s="1930" t="s">
        <v>342</v>
      </c>
      <c r="I300" s="1930" t="s">
        <v>97</v>
      </c>
      <c r="J300" s="1930" t="s">
        <v>137</v>
      </c>
      <c r="K300" s="1933">
        <v>112.75</v>
      </c>
      <c r="L300" s="1930" t="s">
        <v>138</v>
      </c>
    </row>
    <row r="301" spans="1:12" ht="13.5" x14ac:dyDescent="0.25">
      <c r="A301" s="1930" t="s">
        <v>4469</v>
      </c>
      <c r="B301" s="1930" t="s">
        <v>4470</v>
      </c>
      <c r="C301" s="1930" t="s">
        <v>4471</v>
      </c>
      <c r="D301" s="1930" t="s">
        <v>4472</v>
      </c>
      <c r="E301" s="1931" t="s">
        <v>33</v>
      </c>
      <c r="F301" s="1930" t="s">
        <v>33</v>
      </c>
      <c r="G301" s="1932">
        <v>5901</v>
      </c>
      <c r="H301" s="1930" t="s">
        <v>343</v>
      </c>
      <c r="I301" s="1930" t="s">
        <v>97</v>
      </c>
      <c r="J301" s="1930" t="s">
        <v>137</v>
      </c>
      <c r="K301" s="1933">
        <v>176.65</v>
      </c>
      <c r="L301" s="1930" t="s">
        <v>138</v>
      </c>
    </row>
    <row r="302" spans="1:12" ht="13.5" x14ac:dyDescent="0.25">
      <c r="A302" s="1930" t="s">
        <v>4469</v>
      </c>
      <c r="B302" s="1930" t="s">
        <v>4470</v>
      </c>
      <c r="C302" s="1930" t="s">
        <v>4471</v>
      </c>
      <c r="D302" s="1930" t="s">
        <v>4472</v>
      </c>
      <c r="E302" s="1931" t="s">
        <v>33</v>
      </c>
      <c r="F302" s="1930" t="s">
        <v>33</v>
      </c>
      <c r="G302" s="1932">
        <v>5909</v>
      </c>
      <c r="H302" s="1930" t="s">
        <v>344</v>
      </c>
      <c r="I302" s="1930" t="s">
        <v>97</v>
      </c>
      <c r="J302" s="1930" t="s">
        <v>137</v>
      </c>
      <c r="K302" s="1933">
        <v>23.07</v>
      </c>
      <c r="L302" s="1930" t="s">
        <v>138</v>
      </c>
    </row>
    <row r="303" spans="1:12" ht="13.5" x14ac:dyDescent="0.25">
      <c r="A303" s="1930" t="s">
        <v>4469</v>
      </c>
      <c r="B303" s="1930" t="s">
        <v>4470</v>
      </c>
      <c r="C303" s="1930" t="s">
        <v>4471</v>
      </c>
      <c r="D303" s="1930" t="s">
        <v>4472</v>
      </c>
      <c r="E303" s="1931" t="s">
        <v>33</v>
      </c>
      <c r="F303" s="1930" t="s">
        <v>33</v>
      </c>
      <c r="G303" s="1932">
        <v>5921</v>
      </c>
      <c r="H303" s="1930" t="s">
        <v>345</v>
      </c>
      <c r="I303" s="1930" t="s">
        <v>97</v>
      </c>
      <c r="J303" s="1930" t="s">
        <v>137</v>
      </c>
      <c r="K303" s="1933">
        <v>2.48</v>
      </c>
      <c r="L303" s="1930" t="s">
        <v>138</v>
      </c>
    </row>
    <row r="304" spans="1:12" ht="13.5" x14ac:dyDescent="0.25">
      <c r="A304" s="1930" t="s">
        <v>4469</v>
      </c>
      <c r="B304" s="1930" t="s">
        <v>4470</v>
      </c>
      <c r="C304" s="1930" t="s">
        <v>4471</v>
      </c>
      <c r="D304" s="1930" t="s">
        <v>4472</v>
      </c>
      <c r="E304" s="1931" t="s">
        <v>33</v>
      </c>
      <c r="F304" s="1930" t="s">
        <v>33</v>
      </c>
      <c r="G304" s="1932">
        <v>5928</v>
      </c>
      <c r="H304" s="1930" t="s">
        <v>347</v>
      </c>
      <c r="I304" s="1930" t="s">
        <v>97</v>
      </c>
      <c r="J304" s="1930" t="s">
        <v>137</v>
      </c>
      <c r="K304" s="1933">
        <v>145.76</v>
      </c>
      <c r="L304" s="1930" t="s">
        <v>138</v>
      </c>
    </row>
    <row r="305" spans="1:12" ht="13.5" x14ac:dyDescent="0.25">
      <c r="A305" s="1930" t="s">
        <v>4469</v>
      </c>
      <c r="B305" s="1930" t="s">
        <v>4470</v>
      </c>
      <c r="C305" s="1930" t="s">
        <v>4471</v>
      </c>
      <c r="D305" s="1930" t="s">
        <v>4472</v>
      </c>
      <c r="E305" s="1931" t="s">
        <v>33</v>
      </c>
      <c r="F305" s="1930" t="s">
        <v>33</v>
      </c>
      <c r="G305" s="1932">
        <v>5932</v>
      </c>
      <c r="H305" s="1930" t="s">
        <v>348</v>
      </c>
      <c r="I305" s="1930" t="s">
        <v>97</v>
      </c>
      <c r="J305" s="1930" t="s">
        <v>137</v>
      </c>
      <c r="K305" s="1933">
        <v>133.22999999999999</v>
      </c>
      <c r="L305" s="1930" t="s">
        <v>138</v>
      </c>
    </row>
    <row r="306" spans="1:12" ht="13.5" x14ac:dyDescent="0.25">
      <c r="A306" s="1930" t="s">
        <v>4469</v>
      </c>
      <c r="B306" s="1930" t="s">
        <v>4470</v>
      </c>
      <c r="C306" s="1930" t="s">
        <v>4471</v>
      </c>
      <c r="D306" s="1930" t="s">
        <v>4472</v>
      </c>
      <c r="E306" s="1931" t="s">
        <v>33</v>
      </c>
      <c r="F306" s="1930" t="s">
        <v>33</v>
      </c>
      <c r="G306" s="1932">
        <v>5940</v>
      </c>
      <c r="H306" s="1930" t="s">
        <v>349</v>
      </c>
      <c r="I306" s="1930" t="s">
        <v>97</v>
      </c>
      <c r="J306" s="1930" t="s">
        <v>137</v>
      </c>
      <c r="K306" s="1933">
        <v>118.48</v>
      </c>
      <c r="L306" s="1930" t="s">
        <v>138</v>
      </c>
    </row>
    <row r="307" spans="1:12" ht="13.5" x14ac:dyDescent="0.25">
      <c r="A307" s="1930" t="s">
        <v>4469</v>
      </c>
      <c r="B307" s="1930" t="s">
        <v>4470</v>
      </c>
      <c r="C307" s="1930" t="s">
        <v>4471</v>
      </c>
      <c r="D307" s="1930" t="s">
        <v>4472</v>
      </c>
      <c r="E307" s="1931" t="s">
        <v>33</v>
      </c>
      <c r="F307" s="1930" t="s">
        <v>33</v>
      </c>
      <c r="G307" s="1932">
        <v>5944</v>
      </c>
      <c r="H307" s="1930" t="s">
        <v>350</v>
      </c>
      <c r="I307" s="1930" t="s">
        <v>97</v>
      </c>
      <c r="J307" s="1930" t="s">
        <v>137</v>
      </c>
      <c r="K307" s="1933">
        <v>132.38</v>
      </c>
      <c r="L307" s="1930" t="s">
        <v>138</v>
      </c>
    </row>
    <row r="308" spans="1:12" ht="13.5" x14ac:dyDescent="0.25">
      <c r="A308" s="1930" t="s">
        <v>4469</v>
      </c>
      <c r="B308" s="1930" t="s">
        <v>4470</v>
      </c>
      <c r="C308" s="1930" t="s">
        <v>4471</v>
      </c>
      <c r="D308" s="1930" t="s">
        <v>4472</v>
      </c>
      <c r="E308" s="1931" t="s">
        <v>33</v>
      </c>
      <c r="F308" s="1930" t="s">
        <v>33</v>
      </c>
      <c r="G308" s="1932">
        <v>5953</v>
      </c>
      <c r="H308" s="1930" t="s">
        <v>351</v>
      </c>
      <c r="I308" s="1930" t="s">
        <v>97</v>
      </c>
      <c r="J308" s="1930" t="s">
        <v>137</v>
      </c>
      <c r="K308" s="1933">
        <v>34.880000000000003</v>
      </c>
      <c r="L308" s="1930" t="s">
        <v>138</v>
      </c>
    </row>
    <row r="309" spans="1:12" ht="13.5" x14ac:dyDescent="0.25">
      <c r="A309" s="1930" t="s">
        <v>4469</v>
      </c>
      <c r="B309" s="1930" t="s">
        <v>4470</v>
      </c>
      <c r="C309" s="1930" t="s">
        <v>4471</v>
      </c>
      <c r="D309" s="1930" t="s">
        <v>4472</v>
      </c>
      <c r="E309" s="1931" t="s">
        <v>33</v>
      </c>
      <c r="F309" s="1930" t="s">
        <v>33</v>
      </c>
      <c r="G309" s="1932">
        <v>6259</v>
      </c>
      <c r="H309" s="1930" t="s">
        <v>352</v>
      </c>
      <c r="I309" s="1930" t="s">
        <v>97</v>
      </c>
      <c r="J309" s="1930" t="s">
        <v>137</v>
      </c>
      <c r="K309" s="1933">
        <v>146.38999999999999</v>
      </c>
      <c r="L309" s="1930" t="s">
        <v>138</v>
      </c>
    </row>
    <row r="310" spans="1:12" ht="13.5" x14ac:dyDescent="0.25">
      <c r="A310" s="1930" t="s">
        <v>4469</v>
      </c>
      <c r="B310" s="1930" t="s">
        <v>4470</v>
      </c>
      <c r="C310" s="1930" t="s">
        <v>4471</v>
      </c>
      <c r="D310" s="1930" t="s">
        <v>4472</v>
      </c>
      <c r="E310" s="1931" t="s">
        <v>33</v>
      </c>
      <c r="F310" s="1930" t="s">
        <v>33</v>
      </c>
      <c r="G310" s="1932">
        <v>6879</v>
      </c>
      <c r="H310" s="1930" t="s">
        <v>353</v>
      </c>
      <c r="I310" s="1930" t="s">
        <v>97</v>
      </c>
      <c r="J310" s="1930" t="s">
        <v>137</v>
      </c>
      <c r="K310" s="1933">
        <v>112.2</v>
      </c>
      <c r="L310" s="1930" t="s">
        <v>138</v>
      </c>
    </row>
    <row r="311" spans="1:12" ht="13.5" x14ac:dyDescent="0.25">
      <c r="A311" s="1930" t="s">
        <v>4469</v>
      </c>
      <c r="B311" s="1930" t="s">
        <v>4470</v>
      </c>
      <c r="C311" s="1930" t="s">
        <v>4471</v>
      </c>
      <c r="D311" s="1930" t="s">
        <v>4472</v>
      </c>
      <c r="E311" s="1931" t="s">
        <v>33</v>
      </c>
      <c r="F311" s="1930" t="s">
        <v>33</v>
      </c>
      <c r="G311" s="1932">
        <v>7030</v>
      </c>
      <c r="H311" s="1930" t="s">
        <v>354</v>
      </c>
      <c r="I311" s="1930" t="s">
        <v>97</v>
      </c>
      <c r="J311" s="1930" t="s">
        <v>137</v>
      </c>
      <c r="K311" s="1933">
        <v>141.76</v>
      </c>
      <c r="L311" s="1930" t="s">
        <v>138</v>
      </c>
    </row>
    <row r="312" spans="1:12" ht="13.5" x14ac:dyDescent="0.25">
      <c r="A312" s="1930" t="s">
        <v>4469</v>
      </c>
      <c r="B312" s="1930" t="s">
        <v>4470</v>
      </c>
      <c r="C312" s="1930" t="s">
        <v>4471</v>
      </c>
      <c r="D312" s="1930" t="s">
        <v>4472</v>
      </c>
      <c r="E312" s="1931" t="s">
        <v>33</v>
      </c>
      <c r="F312" s="1930" t="s">
        <v>33</v>
      </c>
      <c r="G312" s="1932">
        <v>7042</v>
      </c>
      <c r="H312" s="1930" t="s">
        <v>355</v>
      </c>
      <c r="I312" s="1930" t="s">
        <v>97</v>
      </c>
      <c r="J312" s="1930" t="s">
        <v>320</v>
      </c>
      <c r="K312" s="1933">
        <v>7.64</v>
      </c>
      <c r="L312" s="1930" t="s">
        <v>138</v>
      </c>
    </row>
    <row r="313" spans="1:12" ht="13.5" x14ac:dyDescent="0.25">
      <c r="A313" s="1930" t="s">
        <v>4469</v>
      </c>
      <c r="B313" s="1930" t="s">
        <v>4470</v>
      </c>
      <c r="C313" s="1930" t="s">
        <v>4471</v>
      </c>
      <c r="D313" s="1930" t="s">
        <v>4472</v>
      </c>
      <c r="E313" s="1931" t="s">
        <v>33</v>
      </c>
      <c r="F313" s="1930" t="s">
        <v>33</v>
      </c>
      <c r="G313" s="1932">
        <v>7049</v>
      </c>
      <c r="H313" s="1930" t="s">
        <v>356</v>
      </c>
      <c r="I313" s="1930" t="s">
        <v>97</v>
      </c>
      <c r="J313" s="1930" t="s">
        <v>137</v>
      </c>
      <c r="K313" s="1933">
        <v>121.28</v>
      </c>
      <c r="L313" s="1930" t="s">
        <v>138</v>
      </c>
    </row>
    <row r="314" spans="1:12" ht="13.5" x14ac:dyDescent="0.25">
      <c r="A314" s="1930" t="s">
        <v>4469</v>
      </c>
      <c r="B314" s="1930" t="s">
        <v>4470</v>
      </c>
      <c r="C314" s="1930" t="s">
        <v>4471</v>
      </c>
      <c r="D314" s="1930" t="s">
        <v>4472</v>
      </c>
      <c r="E314" s="1931" t="s">
        <v>33</v>
      </c>
      <c r="F314" s="1930" t="s">
        <v>33</v>
      </c>
      <c r="G314" s="1932">
        <v>67826</v>
      </c>
      <c r="H314" s="1930" t="s">
        <v>357</v>
      </c>
      <c r="I314" s="1930" t="s">
        <v>97</v>
      </c>
      <c r="J314" s="1930" t="s">
        <v>137</v>
      </c>
      <c r="K314" s="1933">
        <v>105.49</v>
      </c>
      <c r="L314" s="1930" t="s">
        <v>138</v>
      </c>
    </row>
    <row r="315" spans="1:12" ht="13.5" x14ac:dyDescent="0.25">
      <c r="A315" s="1930" t="s">
        <v>4469</v>
      </c>
      <c r="B315" s="1930" t="s">
        <v>4470</v>
      </c>
      <c r="C315" s="1930" t="s">
        <v>4471</v>
      </c>
      <c r="D315" s="1930" t="s">
        <v>4472</v>
      </c>
      <c r="E315" s="1931" t="s">
        <v>33</v>
      </c>
      <c r="F315" s="1930" t="s">
        <v>33</v>
      </c>
      <c r="G315" s="1932">
        <v>73417</v>
      </c>
      <c r="H315" s="1930" t="s">
        <v>358</v>
      </c>
      <c r="I315" s="1930" t="s">
        <v>97</v>
      </c>
      <c r="J315" s="1930" t="s">
        <v>137</v>
      </c>
      <c r="K315" s="1933">
        <v>118.8</v>
      </c>
      <c r="L315" s="1930" t="s">
        <v>138</v>
      </c>
    </row>
    <row r="316" spans="1:12" ht="13.5" x14ac:dyDescent="0.25">
      <c r="A316" s="1930" t="s">
        <v>4469</v>
      </c>
      <c r="B316" s="1930" t="s">
        <v>4470</v>
      </c>
      <c r="C316" s="1930" t="s">
        <v>4471</v>
      </c>
      <c r="D316" s="1930" t="s">
        <v>4472</v>
      </c>
      <c r="E316" s="1931" t="s">
        <v>33</v>
      </c>
      <c r="F316" s="1930" t="s">
        <v>33</v>
      </c>
      <c r="G316" s="1932">
        <v>73436</v>
      </c>
      <c r="H316" s="1930" t="s">
        <v>359</v>
      </c>
      <c r="I316" s="1930" t="s">
        <v>97</v>
      </c>
      <c r="J316" s="1930" t="s">
        <v>137</v>
      </c>
      <c r="K316" s="1933">
        <v>120.63</v>
      </c>
      <c r="L316" s="1930" t="s">
        <v>138</v>
      </c>
    </row>
    <row r="317" spans="1:12" ht="13.5" x14ac:dyDescent="0.25">
      <c r="A317" s="1930" t="s">
        <v>4469</v>
      </c>
      <c r="B317" s="1930" t="s">
        <v>4470</v>
      </c>
      <c r="C317" s="1930" t="s">
        <v>4471</v>
      </c>
      <c r="D317" s="1930" t="s">
        <v>4472</v>
      </c>
      <c r="E317" s="1931" t="s">
        <v>33</v>
      </c>
      <c r="F317" s="1930" t="s">
        <v>33</v>
      </c>
      <c r="G317" s="1932">
        <v>73467</v>
      </c>
      <c r="H317" s="1930" t="s">
        <v>360</v>
      </c>
      <c r="I317" s="1930" t="s">
        <v>97</v>
      </c>
      <c r="J317" s="1930" t="s">
        <v>137</v>
      </c>
      <c r="K317" s="1933">
        <v>97.72</v>
      </c>
      <c r="L317" s="1930" t="s">
        <v>138</v>
      </c>
    </row>
    <row r="318" spans="1:12" ht="13.5" x14ac:dyDescent="0.25">
      <c r="A318" s="1930" t="s">
        <v>4469</v>
      </c>
      <c r="B318" s="1930" t="s">
        <v>4470</v>
      </c>
      <c r="C318" s="1930" t="s">
        <v>4471</v>
      </c>
      <c r="D318" s="1930" t="s">
        <v>4472</v>
      </c>
      <c r="E318" s="1931" t="s">
        <v>33</v>
      </c>
      <c r="F318" s="1930" t="s">
        <v>33</v>
      </c>
      <c r="G318" s="1932">
        <v>73536</v>
      </c>
      <c r="H318" s="1930" t="s">
        <v>361</v>
      </c>
      <c r="I318" s="1930" t="s">
        <v>97</v>
      </c>
      <c r="J318" s="1930" t="s">
        <v>320</v>
      </c>
      <c r="K318" s="1933">
        <v>6.47</v>
      </c>
      <c r="L318" s="1930" t="s">
        <v>138</v>
      </c>
    </row>
    <row r="319" spans="1:12" ht="13.5" x14ac:dyDescent="0.25">
      <c r="A319" s="1930" t="s">
        <v>4469</v>
      </c>
      <c r="B319" s="1930" t="s">
        <v>4470</v>
      </c>
      <c r="C319" s="1930" t="s">
        <v>4471</v>
      </c>
      <c r="D319" s="1930" t="s">
        <v>4472</v>
      </c>
      <c r="E319" s="1931" t="s">
        <v>33</v>
      </c>
      <c r="F319" s="1930" t="s">
        <v>33</v>
      </c>
      <c r="G319" s="1932">
        <v>83362</v>
      </c>
      <c r="H319" s="1930" t="s">
        <v>362</v>
      </c>
      <c r="I319" s="1930" t="s">
        <v>97</v>
      </c>
      <c r="J319" s="1930" t="s">
        <v>137</v>
      </c>
      <c r="K319" s="1933">
        <v>178.69</v>
      </c>
      <c r="L319" s="1930" t="s">
        <v>138</v>
      </c>
    </row>
    <row r="320" spans="1:12" ht="13.5" x14ac:dyDescent="0.25">
      <c r="A320" s="1930" t="s">
        <v>4469</v>
      </c>
      <c r="B320" s="1930" t="s">
        <v>4470</v>
      </c>
      <c r="C320" s="1930" t="s">
        <v>4471</v>
      </c>
      <c r="D320" s="1930" t="s">
        <v>4472</v>
      </c>
      <c r="E320" s="1931" t="s">
        <v>33</v>
      </c>
      <c r="F320" s="1930" t="s">
        <v>33</v>
      </c>
      <c r="G320" s="1932">
        <v>83765</v>
      </c>
      <c r="H320" s="1930" t="s">
        <v>363</v>
      </c>
      <c r="I320" s="1930" t="s">
        <v>97</v>
      </c>
      <c r="J320" s="1930" t="s">
        <v>137</v>
      </c>
      <c r="K320" s="1933">
        <v>73.48</v>
      </c>
      <c r="L320" s="1930" t="s">
        <v>138</v>
      </c>
    </row>
    <row r="321" spans="1:12" ht="13.5" x14ac:dyDescent="0.25">
      <c r="A321" s="1930" t="s">
        <v>4469</v>
      </c>
      <c r="B321" s="1930" t="s">
        <v>4470</v>
      </c>
      <c r="C321" s="1930" t="s">
        <v>4471</v>
      </c>
      <c r="D321" s="1930" t="s">
        <v>4472</v>
      </c>
      <c r="E321" s="1931" t="s">
        <v>33</v>
      </c>
      <c r="F321" s="1930" t="s">
        <v>33</v>
      </c>
      <c r="G321" s="1932">
        <v>87445</v>
      </c>
      <c r="H321" s="1930" t="s">
        <v>364</v>
      </c>
      <c r="I321" s="1930" t="s">
        <v>97</v>
      </c>
      <c r="J321" s="1930" t="s">
        <v>320</v>
      </c>
      <c r="K321" s="1933">
        <v>3.31</v>
      </c>
      <c r="L321" s="1930" t="s">
        <v>138</v>
      </c>
    </row>
    <row r="322" spans="1:12" ht="13.5" x14ac:dyDescent="0.25">
      <c r="A322" s="1930" t="s">
        <v>4469</v>
      </c>
      <c r="B322" s="1930" t="s">
        <v>4470</v>
      </c>
      <c r="C322" s="1930" t="s">
        <v>4471</v>
      </c>
      <c r="D322" s="1930" t="s">
        <v>4472</v>
      </c>
      <c r="E322" s="1931" t="s">
        <v>33</v>
      </c>
      <c r="F322" s="1930" t="s">
        <v>33</v>
      </c>
      <c r="G322" s="1932">
        <v>88386</v>
      </c>
      <c r="H322" s="1930" t="s">
        <v>365</v>
      </c>
      <c r="I322" s="1930" t="s">
        <v>97</v>
      </c>
      <c r="J322" s="1930" t="s">
        <v>320</v>
      </c>
      <c r="K322" s="1933">
        <v>3.38</v>
      </c>
      <c r="L322" s="1930" t="s">
        <v>138</v>
      </c>
    </row>
    <row r="323" spans="1:12" ht="13.5" x14ac:dyDescent="0.25">
      <c r="A323" s="1930" t="s">
        <v>4469</v>
      </c>
      <c r="B323" s="1930" t="s">
        <v>4470</v>
      </c>
      <c r="C323" s="1930" t="s">
        <v>4471</v>
      </c>
      <c r="D323" s="1930" t="s">
        <v>4472</v>
      </c>
      <c r="E323" s="1931" t="s">
        <v>33</v>
      </c>
      <c r="F323" s="1930" t="s">
        <v>33</v>
      </c>
      <c r="G323" s="1932">
        <v>88393</v>
      </c>
      <c r="H323" s="1930" t="s">
        <v>366</v>
      </c>
      <c r="I323" s="1930" t="s">
        <v>97</v>
      </c>
      <c r="J323" s="1930" t="s">
        <v>320</v>
      </c>
      <c r="K323" s="1933">
        <v>4.6100000000000003</v>
      </c>
      <c r="L323" s="1930" t="s">
        <v>138</v>
      </c>
    </row>
    <row r="324" spans="1:12" ht="13.5" x14ac:dyDescent="0.25">
      <c r="A324" s="1930" t="s">
        <v>4469</v>
      </c>
      <c r="B324" s="1930" t="s">
        <v>4470</v>
      </c>
      <c r="C324" s="1930" t="s">
        <v>4471</v>
      </c>
      <c r="D324" s="1930" t="s">
        <v>4472</v>
      </c>
      <c r="E324" s="1931" t="s">
        <v>33</v>
      </c>
      <c r="F324" s="1930" t="s">
        <v>33</v>
      </c>
      <c r="G324" s="1932">
        <v>88399</v>
      </c>
      <c r="H324" s="1930" t="s">
        <v>367</v>
      </c>
      <c r="I324" s="1930" t="s">
        <v>97</v>
      </c>
      <c r="J324" s="1930" t="s">
        <v>320</v>
      </c>
      <c r="K324" s="1933">
        <v>2.5499999999999998</v>
      </c>
      <c r="L324" s="1930" t="s">
        <v>138</v>
      </c>
    </row>
    <row r="325" spans="1:12" ht="13.5" x14ac:dyDescent="0.25">
      <c r="A325" s="1930" t="s">
        <v>4469</v>
      </c>
      <c r="B325" s="1930" t="s">
        <v>4470</v>
      </c>
      <c r="C325" s="1930" t="s">
        <v>4471</v>
      </c>
      <c r="D325" s="1930" t="s">
        <v>4472</v>
      </c>
      <c r="E325" s="1931" t="s">
        <v>33</v>
      </c>
      <c r="F325" s="1930" t="s">
        <v>33</v>
      </c>
      <c r="G325" s="1932">
        <v>88418</v>
      </c>
      <c r="H325" s="1930" t="s">
        <v>368</v>
      </c>
      <c r="I325" s="1930" t="s">
        <v>97</v>
      </c>
      <c r="J325" s="1930" t="s">
        <v>320</v>
      </c>
      <c r="K325" s="1933">
        <v>11.61</v>
      </c>
      <c r="L325" s="1930" t="s">
        <v>138</v>
      </c>
    </row>
    <row r="326" spans="1:12" ht="13.5" x14ac:dyDescent="0.25">
      <c r="A326" s="1930" t="s">
        <v>4469</v>
      </c>
      <c r="B326" s="1930" t="s">
        <v>4470</v>
      </c>
      <c r="C326" s="1930" t="s">
        <v>4471</v>
      </c>
      <c r="D326" s="1930" t="s">
        <v>4472</v>
      </c>
      <c r="E326" s="1931" t="s">
        <v>33</v>
      </c>
      <c r="F326" s="1930" t="s">
        <v>33</v>
      </c>
      <c r="G326" s="1932">
        <v>88433</v>
      </c>
      <c r="H326" s="1930" t="s">
        <v>369</v>
      </c>
      <c r="I326" s="1930" t="s">
        <v>97</v>
      </c>
      <c r="J326" s="1930" t="s">
        <v>320</v>
      </c>
      <c r="K326" s="1933">
        <v>14.46</v>
      </c>
      <c r="L326" s="1930" t="s">
        <v>138</v>
      </c>
    </row>
    <row r="327" spans="1:12" ht="13.5" x14ac:dyDescent="0.25">
      <c r="A327" s="1930" t="s">
        <v>4469</v>
      </c>
      <c r="B327" s="1930" t="s">
        <v>4470</v>
      </c>
      <c r="C327" s="1930" t="s">
        <v>4471</v>
      </c>
      <c r="D327" s="1930" t="s">
        <v>4472</v>
      </c>
      <c r="E327" s="1931" t="s">
        <v>33</v>
      </c>
      <c r="F327" s="1930" t="s">
        <v>33</v>
      </c>
      <c r="G327" s="1932">
        <v>88830</v>
      </c>
      <c r="H327" s="1930" t="s">
        <v>370</v>
      </c>
      <c r="I327" s="1930" t="s">
        <v>97</v>
      </c>
      <c r="J327" s="1930" t="s">
        <v>320</v>
      </c>
      <c r="K327" s="1933">
        <v>1.23</v>
      </c>
      <c r="L327" s="1930" t="s">
        <v>138</v>
      </c>
    </row>
    <row r="328" spans="1:12" ht="13.5" x14ac:dyDescent="0.25">
      <c r="A328" s="1930" t="s">
        <v>4469</v>
      </c>
      <c r="B328" s="1930" t="s">
        <v>4470</v>
      </c>
      <c r="C328" s="1930" t="s">
        <v>4471</v>
      </c>
      <c r="D328" s="1930" t="s">
        <v>4472</v>
      </c>
      <c r="E328" s="1931" t="s">
        <v>33</v>
      </c>
      <c r="F328" s="1930" t="s">
        <v>33</v>
      </c>
      <c r="G328" s="1932">
        <v>88843</v>
      </c>
      <c r="H328" s="1930" t="s">
        <v>371</v>
      </c>
      <c r="I328" s="1930" t="s">
        <v>97</v>
      </c>
      <c r="J328" s="1930" t="s">
        <v>137</v>
      </c>
      <c r="K328" s="1933">
        <v>120.75</v>
      </c>
      <c r="L328" s="1930" t="s">
        <v>138</v>
      </c>
    </row>
    <row r="329" spans="1:12" ht="13.5" x14ac:dyDescent="0.25">
      <c r="A329" s="1930" t="s">
        <v>4469</v>
      </c>
      <c r="B329" s="1930" t="s">
        <v>4470</v>
      </c>
      <c r="C329" s="1930" t="s">
        <v>4471</v>
      </c>
      <c r="D329" s="1930" t="s">
        <v>4472</v>
      </c>
      <c r="E329" s="1931" t="s">
        <v>33</v>
      </c>
      <c r="F329" s="1930" t="s">
        <v>33</v>
      </c>
      <c r="G329" s="1932">
        <v>88907</v>
      </c>
      <c r="H329" s="1930" t="s">
        <v>372</v>
      </c>
      <c r="I329" s="1930" t="s">
        <v>97</v>
      </c>
      <c r="J329" s="1930" t="s">
        <v>137</v>
      </c>
      <c r="K329" s="1933">
        <v>136.84</v>
      </c>
      <c r="L329" s="1930" t="s">
        <v>138</v>
      </c>
    </row>
    <row r="330" spans="1:12" ht="13.5" x14ac:dyDescent="0.25">
      <c r="A330" s="1930" t="s">
        <v>4469</v>
      </c>
      <c r="B330" s="1930" t="s">
        <v>4470</v>
      </c>
      <c r="C330" s="1930" t="s">
        <v>4471</v>
      </c>
      <c r="D330" s="1930" t="s">
        <v>4472</v>
      </c>
      <c r="E330" s="1931" t="s">
        <v>33</v>
      </c>
      <c r="F330" s="1930" t="s">
        <v>33</v>
      </c>
      <c r="G330" s="1932">
        <v>89021</v>
      </c>
      <c r="H330" s="1930" t="s">
        <v>373</v>
      </c>
      <c r="I330" s="1930" t="s">
        <v>97</v>
      </c>
      <c r="J330" s="1930" t="s">
        <v>320</v>
      </c>
      <c r="K330" s="1933">
        <v>1.73</v>
      </c>
      <c r="L330" s="1930" t="s">
        <v>138</v>
      </c>
    </row>
    <row r="331" spans="1:12" ht="13.5" x14ac:dyDescent="0.25">
      <c r="A331" s="1930" t="s">
        <v>4469</v>
      </c>
      <c r="B331" s="1930" t="s">
        <v>4470</v>
      </c>
      <c r="C331" s="1930" t="s">
        <v>4471</v>
      </c>
      <c r="D331" s="1930" t="s">
        <v>4472</v>
      </c>
      <c r="E331" s="1931" t="s">
        <v>33</v>
      </c>
      <c r="F331" s="1930" t="s">
        <v>33</v>
      </c>
      <c r="G331" s="1932">
        <v>89028</v>
      </c>
      <c r="H331" s="1930" t="s">
        <v>374</v>
      </c>
      <c r="I331" s="1930" t="s">
        <v>97</v>
      </c>
      <c r="J331" s="1930" t="s">
        <v>137</v>
      </c>
      <c r="K331" s="1933">
        <v>131.04</v>
      </c>
      <c r="L331" s="1930" t="s">
        <v>138</v>
      </c>
    </row>
    <row r="332" spans="1:12" ht="13.5" x14ac:dyDescent="0.25">
      <c r="A332" s="1930" t="s">
        <v>4469</v>
      </c>
      <c r="B332" s="1930" t="s">
        <v>4470</v>
      </c>
      <c r="C332" s="1930" t="s">
        <v>4471</v>
      </c>
      <c r="D332" s="1930" t="s">
        <v>4472</v>
      </c>
      <c r="E332" s="1931" t="s">
        <v>33</v>
      </c>
      <c r="F332" s="1930" t="s">
        <v>33</v>
      </c>
      <c r="G332" s="1932">
        <v>89032</v>
      </c>
      <c r="H332" s="1930" t="s">
        <v>375</v>
      </c>
      <c r="I332" s="1930" t="s">
        <v>97</v>
      </c>
      <c r="J332" s="1930" t="s">
        <v>137</v>
      </c>
      <c r="K332" s="1933">
        <v>108.49</v>
      </c>
      <c r="L332" s="1930" t="s">
        <v>138</v>
      </c>
    </row>
    <row r="333" spans="1:12" ht="13.5" x14ac:dyDescent="0.25">
      <c r="A333" s="1930" t="s">
        <v>4469</v>
      </c>
      <c r="B333" s="1930" t="s">
        <v>4470</v>
      </c>
      <c r="C333" s="1930" t="s">
        <v>4471</v>
      </c>
      <c r="D333" s="1930" t="s">
        <v>4472</v>
      </c>
      <c r="E333" s="1931" t="s">
        <v>33</v>
      </c>
      <c r="F333" s="1930" t="s">
        <v>33</v>
      </c>
      <c r="G333" s="1932">
        <v>89035</v>
      </c>
      <c r="H333" s="1930" t="s">
        <v>376</v>
      </c>
      <c r="I333" s="1930" t="s">
        <v>97</v>
      </c>
      <c r="J333" s="1930" t="s">
        <v>137</v>
      </c>
      <c r="K333" s="1933">
        <v>106.94</v>
      </c>
      <c r="L333" s="1930" t="s">
        <v>138</v>
      </c>
    </row>
    <row r="334" spans="1:12" ht="13.5" x14ac:dyDescent="0.25">
      <c r="A334" s="1930" t="s">
        <v>4469</v>
      </c>
      <c r="B334" s="1930" t="s">
        <v>4470</v>
      </c>
      <c r="C334" s="1930" t="s">
        <v>4471</v>
      </c>
      <c r="D334" s="1930" t="s">
        <v>4472</v>
      </c>
      <c r="E334" s="1931" t="s">
        <v>33</v>
      </c>
      <c r="F334" s="1930" t="s">
        <v>33</v>
      </c>
      <c r="G334" s="1932">
        <v>89225</v>
      </c>
      <c r="H334" s="1930" t="s">
        <v>377</v>
      </c>
      <c r="I334" s="1930" t="s">
        <v>97</v>
      </c>
      <c r="J334" s="1930" t="s">
        <v>320</v>
      </c>
      <c r="K334" s="1933">
        <v>3.51</v>
      </c>
      <c r="L334" s="1930" t="s">
        <v>138</v>
      </c>
    </row>
    <row r="335" spans="1:12" ht="13.5" x14ac:dyDescent="0.25">
      <c r="A335" s="1930" t="s">
        <v>4469</v>
      </c>
      <c r="B335" s="1930" t="s">
        <v>4470</v>
      </c>
      <c r="C335" s="1930" t="s">
        <v>4471</v>
      </c>
      <c r="D335" s="1930" t="s">
        <v>4472</v>
      </c>
      <c r="E335" s="1931" t="s">
        <v>33</v>
      </c>
      <c r="F335" s="1930" t="s">
        <v>33</v>
      </c>
      <c r="G335" s="1932">
        <v>89234</v>
      </c>
      <c r="H335" s="1930" t="s">
        <v>378</v>
      </c>
      <c r="I335" s="1930" t="s">
        <v>97</v>
      </c>
      <c r="J335" s="1930" t="s">
        <v>137</v>
      </c>
      <c r="K335" s="1933">
        <v>375.96</v>
      </c>
      <c r="L335" s="1930" t="s">
        <v>138</v>
      </c>
    </row>
    <row r="336" spans="1:12" ht="13.5" x14ac:dyDescent="0.25">
      <c r="A336" s="1930" t="s">
        <v>4469</v>
      </c>
      <c r="B336" s="1930" t="s">
        <v>4470</v>
      </c>
      <c r="C336" s="1930" t="s">
        <v>4471</v>
      </c>
      <c r="D336" s="1930" t="s">
        <v>4472</v>
      </c>
      <c r="E336" s="1931" t="s">
        <v>33</v>
      </c>
      <c r="F336" s="1930" t="s">
        <v>33</v>
      </c>
      <c r="G336" s="1932">
        <v>89242</v>
      </c>
      <c r="H336" s="1930" t="s">
        <v>379</v>
      </c>
      <c r="I336" s="1930" t="s">
        <v>97</v>
      </c>
      <c r="J336" s="1930" t="s">
        <v>137</v>
      </c>
      <c r="K336" s="1933">
        <v>885.41</v>
      </c>
      <c r="L336" s="1930" t="s">
        <v>138</v>
      </c>
    </row>
    <row r="337" spans="1:12" ht="13.5" x14ac:dyDescent="0.25">
      <c r="A337" s="1930" t="s">
        <v>4469</v>
      </c>
      <c r="B337" s="1930" t="s">
        <v>4470</v>
      </c>
      <c r="C337" s="1930" t="s">
        <v>4471</v>
      </c>
      <c r="D337" s="1930" t="s">
        <v>4472</v>
      </c>
      <c r="E337" s="1931" t="s">
        <v>33</v>
      </c>
      <c r="F337" s="1930" t="s">
        <v>33</v>
      </c>
      <c r="G337" s="1932">
        <v>89250</v>
      </c>
      <c r="H337" s="1930" t="s">
        <v>380</v>
      </c>
      <c r="I337" s="1930" t="s">
        <v>97</v>
      </c>
      <c r="J337" s="1930" t="s">
        <v>137</v>
      </c>
      <c r="K337" s="1933">
        <v>767.28</v>
      </c>
      <c r="L337" s="1930" t="s">
        <v>138</v>
      </c>
    </row>
    <row r="338" spans="1:12" ht="13.5" x14ac:dyDescent="0.25">
      <c r="A338" s="1930" t="s">
        <v>4469</v>
      </c>
      <c r="B338" s="1930" t="s">
        <v>4470</v>
      </c>
      <c r="C338" s="1930" t="s">
        <v>4471</v>
      </c>
      <c r="D338" s="1930" t="s">
        <v>4472</v>
      </c>
      <c r="E338" s="1931" t="s">
        <v>33</v>
      </c>
      <c r="F338" s="1930" t="s">
        <v>33</v>
      </c>
      <c r="G338" s="1932">
        <v>89257</v>
      </c>
      <c r="H338" s="1930" t="s">
        <v>381</v>
      </c>
      <c r="I338" s="1930" t="s">
        <v>97</v>
      </c>
      <c r="J338" s="1930" t="s">
        <v>137</v>
      </c>
      <c r="K338" s="1933">
        <v>212.39</v>
      </c>
      <c r="L338" s="1930" t="s">
        <v>138</v>
      </c>
    </row>
    <row r="339" spans="1:12" ht="13.5" x14ac:dyDescent="0.25">
      <c r="A339" s="1930" t="s">
        <v>4469</v>
      </c>
      <c r="B339" s="1930" t="s">
        <v>4470</v>
      </c>
      <c r="C339" s="1930" t="s">
        <v>4471</v>
      </c>
      <c r="D339" s="1930" t="s">
        <v>4472</v>
      </c>
      <c r="E339" s="1931" t="s">
        <v>33</v>
      </c>
      <c r="F339" s="1930" t="s">
        <v>33</v>
      </c>
      <c r="G339" s="1932">
        <v>89272</v>
      </c>
      <c r="H339" s="1930" t="s">
        <v>382</v>
      </c>
      <c r="I339" s="1930" t="s">
        <v>97</v>
      </c>
      <c r="J339" s="1930" t="s">
        <v>137</v>
      </c>
      <c r="K339" s="1933">
        <v>109.39</v>
      </c>
      <c r="L339" s="1930" t="s">
        <v>138</v>
      </c>
    </row>
    <row r="340" spans="1:12" ht="13.5" x14ac:dyDescent="0.25">
      <c r="A340" s="1930" t="s">
        <v>4469</v>
      </c>
      <c r="B340" s="1930" t="s">
        <v>4470</v>
      </c>
      <c r="C340" s="1930" t="s">
        <v>4471</v>
      </c>
      <c r="D340" s="1930" t="s">
        <v>4472</v>
      </c>
      <c r="E340" s="1931" t="s">
        <v>33</v>
      </c>
      <c r="F340" s="1930" t="s">
        <v>33</v>
      </c>
      <c r="G340" s="1932">
        <v>89278</v>
      </c>
      <c r="H340" s="1930" t="s">
        <v>383</v>
      </c>
      <c r="I340" s="1930" t="s">
        <v>97</v>
      </c>
      <c r="J340" s="1930" t="s">
        <v>320</v>
      </c>
      <c r="K340" s="1933">
        <v>7.74</v>
      </c>
      <c r="L340" s="1930" t="s">
        <v>138</v>
      </c>
    </row>
    <row r="341" spans="1:12" ht="13.5" x14ac:dyDescent="0.25">
      <c r="A341" s="1930" t="s">
        <v>4469</v>
      </c>
      <c r="B341" s="1930" t="s">
        <v>4470</v>
      </c>
      <c r="C341" s="1930" t="s">
        <v>4471</v>
      </c>
      <c r="D341" s="1930" t="s">
        <v>4472</v>
      </c>
      <c r="E341" s="1931" t="s">
        <v>33</v>
      </c>
      <c r="F341" s="1930" t="s">
        <v>33</v>
      </c>
      <c r="G341" s="1932">
        <v>89843</v>
      </c>
      <c r="H341" s="1930" t="s">
        <v>384</v>
      </c>
      <c r="I341" s="1930" t="s">
        <v>97</v>
      </c>
      <c r="J341" s="1930" t="s">
        <v>137</v>
      </c>
      <c r="K341" s="1933">
        <v>123.83</v>
      </c>
      <c r="L341" s="1930" t="s">
        <v>138</v>
      </c>
    </row>
    <row r="342" spans="1:12" ht="13.5" x14ac:dyDescent="0.25">
      <c r="A342" s="1930" t="s">
        <v>4469</v>
      </c>
      <c r="B342" s="1930" t="s">
        <v>4470</v>
      </c>
      <c r="C342" s="1930" t="s">
        <v>4471</v>
      </c>
      <c r="D342" s="1930" t="s">
        <v>4472</v>
      </c>
      <c r="E342" s="1931" t="s">
        <v>33</v>
      </c>
      <c r="F342" s="1930" t="s">
        <v>33</v>
      </c>
      <c r="G342" s="1932">
        <v>89876</v>
      </c>
      <c r="H342" s="1930" t="s">
        <v>385</v>
      </c>
      <c r="I342" s="1930" t="s">
        <v>97</v>
      </c>
      <c r="J342" s="1930" t="s">
        <v>137</v>
      </c>
      <c r="K342" s="1933">
        <v>189.03</v>
      </c>
      <c r="L342" s="1930" t="s">
        <v>138</v>
      </c>
    </row>
    <row r="343" spans="1:12" ht="13.5" x14ac:dyDescent="0.25">
      <c r="A343" s="1930" t="s">
        <v>4469</v>
      </c>
      <c r="B343" s="1930" t="s">
        <v>4470</v>
      </c>
      <c r="C343" s="1930" t="s">
        <v>4471</v>
      </c>
      <c r="D343" s="1930" t="s">
        <v>4472</v>
      </c>
      <c r="E343" s="1931" t="s">
        <v>33</v>
      </c>
      <c r="F343" s="1930" t="s">
        <v>33</v>
      </c>
      <c r="G343" s="1932">
        <v>89883</v>
      </c>
      <c r="H343" s="1930" t="s">
        <v>386</v>
      </c>
      <c r="I343" s="1930" t="s">
        <v>97</v>
      </c>
      <c r="J343" s="1930" t="s">
        <v>137</v>
      </c>
      <c r="K343" s="1933">
        <v>209.34</v>
      </c>
      <c r="L343" s="1930" t="s">
        <v>138</v>
      </c>
    </row>
    <row r="344" spans="1:12" ht="13.5" x14ac:dyDescent="0.25">
      <c r="A344" s="1930" t="s">
        <v>4469</v>
      </c>
      <c r="B344" s="1930" t="s">
        <v>4470</v>
      </c>
      <c r="C344" s="1930" t="s">
        <v>4471</v>
      </c>
      <c r="D344" s="1930" t="s">
        <v>4472</v>
      </c>
      <c r="E344" s="1931" t="s">
        <v>33</v>
      </c>
      <c r="F344" s="1930" t="s">
        <v>33</v>
      </c>
      <c r="G344" s="1932">
        <v>90586</v>
      </c>
      <c r="H344" s="1930" t="s">
        <v>387</v>
      </c>
      <c r="I344" s="1930" t="s">
        <v>97</v>
      </c>
      <c r="J344" s="1930" t="s">
        <v>137</v>
      </c>
      <c r="K344" s="1933">
        <v>1.29</v>
      </c>
      <c r="L344" s="1930" t="s">
        <v>138</v>
      </c>
    </row>
    <row r="345" spans="1:12" ht="13.5" x14ac:dyDescent="0.25">
      <c r="A345" s="1930" t="s">
        <v>4469</v>
      </c>
      <c r="B345" s="1930" t="s">
        <v>4470</v>
      </c>
      <c r="C345" s="1930" t="s">
        <v>4471</v>
      </c>
      <c r="D345" s="1930" t="s">
        <v>4472</v>
      </c>
      <c r="E345" s="1931" t="s">
        <v>33</v>
      </c>
      <c r="F345" s="1930" t="s">
        <v>33</v>
      </c>
      <c r="G345" s="1932">
        <v>90625</v>
      </c>
      <c r="H345" s="1930" t="s">
        <v>388</v>
      </c>
      <c r="I345" s="1930" t="s">
        <v>97</v>
      </c>
      <c r="J345" s="1930" t="s">
        <v>137</v>
      </c>
      <c r="K345" s="1933">
        <v>4.92</v>
      </c>
      <c r="L345" s="1930" t="s">
        <v>138</v>
      </c>
    </row>
    <row r="346" spans="1:12" ht="13.5" x14ac:dyDescent="0.25">
      <c r="A346" s="1930" t="s">
        <v>4469</v>
      </c>
      <c r="B346" s="1930" t="s">
        <v>4470</v>
      </c>
      <c r="C346" s="1930" t="s">
        <v>4471</v>
      </c>
      <c r="D346" s="1930" t="s">
        <v>4472</v>
      </c>
      <c r="E346" s="1931" t="s">
        <v>33</v>
      </c>
      <c r="F346" s="1930" t="s">
        <v>33</v>
      </c>
      <c r="G346" s="1932">
        <v>90631</v>
      </c>
      <c r="H346" s="1930" t="s">
        <v>389</v>
      </c>
      <c r="I346" s="1930" t="s">
        <v>97</v>
      </c>
      <c r="J346" s="1930" t="s">
        <v>137</v>
      </c>
      <c r="K346" s="1933">
        <v>80.06</v>
      </c>
      <c r="L346" s="1930" t="s">
        <v>138</v>
      </c>
    </row>
    <row r="347" spans="1:12" ht="13.5" x14ac:dyDescent="0.25">
      <c r="A347" s="1930" t="s">
        <v>4469</v>
      </c>
      <c r="B347" s="1930" t="s">
        <v>4470</v>
      </c>
      <c r="C347" s="1930" t="s">
        <v>4471</v>
      </c>
      <c r="D347" s="1930" t="s">
        <v>4472</v>
      </c>
      <c r="E347" s="1931" t="s">
        <v>33</v>
      </c>
      <c r="F347" s="1930" t="s">
        <v>33</v>
      </c>
      <c r="G347" s="1932">
        <v>90637</v>
      </c>
      <c r="H347" s="1930" t="s">
        <v>390</v>
      </c>
      <c r="I347" s="1930" t="s">
        <v>97</v>
      </c>
      <c r="J347" s="1930" t="s">
        <v>320</v>
      </c>
      <c r="K347" s="1933">
        <v>10.49</v>
      </c>
      <c r="L347" s="1930" t="s">
        <v>138</v>
      </c>
    </row>
    <row r="348" spans="1:12" ht="13.5" x14ac:dyDescent="0.25">
      <c r="A348" s="1930" t="s">
        <v>4469</v>
      </c>
      <c r="B348" s="1930" t="s">
        <v>4470</v>
      </c>
      <c r="C348" s="1930" t="s">
        <v>4471</v>
      </c>
      <c r="D348" s="1930" t="s">
        <v>4472</v>
      </c>
      <c r="E348" s="1931" t="s">
        <v>33</v>
      </c>
      <c r="F348" s="1930" t="s">
        <v>33</v>
      </c>
      <c r="G348" s="1932">
        <v>90643</v>
      </c>
      <c r="H348" s="1930" t="s">
        <v>391</v>
      </c>
      <c r="I348" s="1930" t="s">
        <v>97</v>
      </c>
      <c r="J348" s="1930" t="s">
        <v>320</v>
      </c>
      <c r="K348" s="1933">
        <v>15.79</v>
      </c>
      <c r="L348" s="1930" t="s">
        <v>138</v>
      </c>
    </row>
    <row r="349" spans="1:12" ht="13.5" x14ac:dyDescent="0.25">
      <c r="A349" s="1930" t="s">
        <v>4469</v>
      </c>
      <c r="B349" s="1930" t="s">
        <v>4470</v>
      </c>
      <c r="C349" s="1930" t="s">
        <v>4471</v>
      </c>
      <c r="D349" s="1930" t="s">
        <v>4472</v>
      </c>
      <c r="E349" s="1931" t="s">
        <v>33</v>
      </c>
      <c r="F349" s="1930" t="s">
        <v>33</v>
      </c>
      <c r="G349" s="1932">
        <v>90650</v>
      </c>
      <c r="H349" s="1930" t="s">
        <v>392</v>
      </c>
      <c r="I349" s="1930" t="s">
        <v>97</v>
      </c>
      <c r="J349" s="1930" t="s">
        <v>320</v>
      </c>
      <c r="K349" s="1933">
        <v>6.88</v>
      </c>
      <c r="L349" s="1930" t="s">
        <v>138</v>
      </c>
    </row>
    <row r="350" spans="1:12" ht="13.5" x14ac:dyDescent="0.25">
      <c r="A350" s="1930" t="s">
        <v>4469</v>
      </c>
      <c r="B350" s="1930" t="s">
        <v>4470</v>
      </c>
      <c r="C350" s="1930" t="s">
        <v>4471</v>
      </c>
      <c r="D350" s="1930" t="s">
        <v>4472</v>
      </c>
      <c r="E350" s="1931" t="s">
        <v>33</v>
      </c>
      <c r="F350" s="1930" t="s">
        <v>33</v>
      </c>
      <c r="G350" s="1932">
        <v>90656</v>
      </c>
      <c r="H350" s="1930" t="s">
        <v>393</v>
      </c>
      <c r="I350" s="1930" t="s">
        <v>97</v>
      </c>
      <c r="J350" s="1930" t="s">
        <v>320</v>
      </c>
      <c r="K350" s="1933">
        <v>10.36</v>
      </c>
      <c r="L350" s="1930" t="s">
        <v>138</v>
      </c>
    </row>
    <row r="351" spans="1:12" ht="13.5" x14ac:dyDescent="0.25">
      <c r="A351" s="1930" t="s">
        <v>4469</v>
      </c>
      <c r="B351" s="1930" t="s">
        <v>4470</v>
      </c>
      <c r="C351" s="1930" t="s">
        <v>4471</v>
      </c>
      <c r="D351" s="1930" t="s">
        <v>4472</v>
      </c>
      <c r="E351" s="1931" t="s">
        <v>33</v>
      </c>
      <c r="F351" s="1930" t="s">
        <v>33</v>
      </c>
      <c r="G351" s="1932">
        <v>90662</v>
      </c>
      <c r="H351" s="1930" t="s">
        <v>394</v>
      </c>
      <c r="I351" s="1930" t="s">
        <v>97</v>
      </c>
      <c r="J351" s="1930" t="s">
        <v>320</v>
      </c>
      <c r="K351" s="1933">
        <v>10.82</v>
      </c>
      <c r="L351" s="1930" t="s">
        <v>138</v>
      </c>
    </row>
    <row r="352" spans="1:12" ht="13.5" x14ac:dyDescent="0.25">
      <c r="A352" s="1930" t="s">
        <v>4469</v>
      </c>
      <c r="B352" s="1930" t="s">
        <v>4470</v>
      </c>
      <c r="C352" s="1930" t="s">
        <v>4471</v>
      </c>
      <c r="D352" s="1930" t="s">
        <v>4472</v>
      </c>
      <c r="E352" s="1931" t="s">
        <v>33</v>
      </c>
      <c r="F352" s="1930" t="s">
        <v>33</v>
      </c>
      <c r="G352" s="1932">
        <v>90668</v>
      </c>
      <c r="H352" s="1930" t="s">
        <v>395</v>
      </c>
      <c r="I352" s="1930" t="s">
        <v>97</v>
      </c>
      <c r="J352" s="1930" t="s">
        <v>137</v>
      </c>
      <c r="K352" s="1933">
        <v>17.62</v>
      </c>
      <c r="L352" s="1930" t="s">
        <v>138</v>
      </c>
    </row>
    <row r="353" spans="1:12" ht="13.5" x14ac:dyDescent="0.25">
      <c r="A353" s="1930" t="s">
        <v>4469</v>
      </c>
      <c r="B353" s="1930" t="s">
        <v>4470</v>
      </c>
      <c r="C353" s="1930" t="s">
        <v>4471</v>
      </c>
      <c r="D353" s="1930" t="s">
        <v>4472</v>
      </c>
      <c r="E353" s="1931" t="s">
        <v>33</v>
      </c>
      <c r="F353" s="1930" t="s">
        <v>33</v>
      </c>
      <c r="G353" s="1932">
        <v>90674</v>
      </c>
      <c r="H353" s="1930" t="s">
        <v>396</v>
      </c>
      <c r="I353" s="1930" t="s">
        <v>97</v>
      </c>
      <c r="J353" s="1930" t="s">
        <v>137</v>
      </c>
      <c r="K353" s="1933">
        <v>349.72</v>
      </c>
      <c r="L353" s="1930" t="s">
        <v>138</v>
      </c>
    </row>
    <row r="354" spans="1:12" ht="13.5" x14ac:dyDescent="0.25">
      <c r="A354" s="1930" t="s">
        <v>4469</v>
      </c>
      <c r="B354" s="1930" t="s">
        <v>4470</v>
      </c>
      <c r="C354" s="1930" t="s">
        <v>4471</v>
      </c>
      <c r="D354" s="1930" t="s">
        <v>4472</v>
      </c>
      <c r="E354" s="1931" t="s">
        <v>33</v>
      </c>
      <c r="F354" s="1930" t="s">
        <v>33</v>
      </c>
      <c r="G354" s="1932">
        <v>90680</v>
      </c>
      <c r="H354" s="1930" t="s">
        <v>397</v>
      </c>
      <c r="I354" s="1930" t="s">
        <v>97</v>
      </c>
      <c r="J354" s="1930" t="s">
        <v>137</v>
      </c>
      <c r="K354" s="1933">
        <v>215.1</v>
      </c>
      <c r="L354" s="1930" t="s">
        <v>138</v>
      </c>
    </row>
    <row r="355" spans="1:12" ht="13.5" x14ac:dyDescent="0.25">
      <c r="A355" s="1930" t="s">
        <v>4469</v>
      </c>
      <c r="B355" s="1930" t="s">
        <v>4470</v>
      </c>
      <c r="C355" s="1930" t="s">
        <v>4471</v>
      </c>
      <c r="D355" s="1930" t="s">
        <v>4472</v>
      </c>
      <c r="E355" s="1931" t="s">
        <v>33</v>
      </c>
      <c r="F355" s="1930" t="s">
        <v>33</v>
      </c>
      <c r="G355" s="1932">
        <v>90686</v>
      </c>
      <c r="H355" s="1930" t="s">
        <v>398</v>
      </c>
      <c r="I355" s="1930" t="s">
        <v>97</v>
      </c>
      <c r="J355" s="1930" t="s">
        <v>137</v>
      </c>
      <c r="K355" s="1933">
        <v>100.18</v>
      </c>
      <c r="L355" s="1930" t="s">
        <v>138</v>
      </c>
    </row>
    <row r="356" spans="1:12" ht="13.5" x14ac:dyDescent="0.25">
      <c r="A356" s="1930" t="s">
        <v>4469</v>
      </c>
      <c r="B356" s="1930" t="s">
        <v>4470</v>
      </c>
      <c r="C356" s="1930" t="s">
        <v>4471</v>
      </c>
      <c r="D356" s="1930" t="s">
        <v>4472</v>
      </c>
      <c r="E356" s="1931" t="s">
        <v>33</v>
      </c>
      <c r="F356" s="1930" t="s">
        <v>33</v>
      </c>
      <c r="G356" s="1932">
        <v>90692</v>
      </c>
      <c r="H356" s="1930" t="s">
        <v>399</v>
      </c>
      <c r="I356" s="1930" t="s">
        <v>97</v>
      </c>
      <c r="J356" s="1930" t="s">
        <v>137</v>
      </c>
      <c r="K356" s="1933">
        <v>77.81</v>
      </c>
      <c r="L356" s="1930" t="s">
        <v>138</v>
      </c>
    </row>
    <row r="357" spans="1:12" ht="13.5" x14ac:dyDescent="0.25">
      <c r="A357" s="1930" t="s">
        <v>4469</v>
      </c>
      <c r="B357" s="1930" t="s">
        <v>4470</v>
      </c>
      <c r="C357" s="1930" t="s">
        <v>4471</v>
      </c>
      <c r="D357" s="1930" t="s">
        <v>4472</v>
      </c>
      <c r="E357" s="1931" t="s">
        <v>33</v>
      </c>
      <c r="F357" s="1930" t="s">
        <v>33</v>
      </c>
      <c r="G357" s="1932">
        <v>90964</v>
      </c>
      <c r="H357" s="1930" t="s">
        <v>400</v>
      </c>
      <c r="I357" s="1930" t="s">
        <v>97</v>
      </c>
      <c r="J357" s="1930" t="s">
        <v>137</v>
      </c>
      <c r="K357" s="1933">
        <v>16.73</v>
      </c>
      <c r="L357" s="1930" t="s">
        <v>138</v>
      </c>
    </row>
    <row r="358" spans="1:12" ht="13.5" x14ac:dyDescent="0.25">
      <c r="A358" s="1930" t="s">
        <v>4469</v>
      </c>
      <c r="B358" s="1930" t="s">
        <v>4470</v>
      </c>
      <c r="C358" s="1930" t="s">
        <v>4471</v>
      </c>
      <c r="D358" s="1930" t="s">
        <v>4472</v>
      </c>
      <c r="E358" s="1931" t="s">
        <v>33</v>
      </c>
      <c r="F358" s="1930" t="s">
        <v>33</v>
      </c>
      <c r="G358" s="1932">
        <v>90972</v>
      </c>
      <c r="H358" s="1930" t="s">
        <v>401</v>
      </c>
      <c r="I358" s="1930" t="s">
        <v>97</v>
      </c>
      <c r="J358" s="1930" t="s">
        <v>137</v>
      </c>
      <c r="K358" s="1933">
        <v>45.14</v>
      </c>
      <c r="L358" s="1930" t="s">
        <v>138</v>
      </c>
    </row>
    <row r="359" spans="1:12" ht="13.5" x14ac:dyDescent="0.25">
      <c r="A359" s="1930" t="s">
        <v>4469</v>
      </c>
      <c r="B359" s="1930" t="s">
        <v>4470</v>
      </c>
      <c r="C359" s="1930" t="s">
        <v>4471</v>
      </c>
      <c r="D359" s="1930" t="s">
        <v>4472</v>
      </c>
      <c r="E359" s="1931" t="s">
        <v>33</v>
      </c>
      <c r="F359" s="1930" t="s">
        <v>33</v>
      </c>
      <c r="G359" s="1932">
        <v>90979</v>
      </c>
      <c r="H359" s="1930" t="s">
        <v>402</v>
      </c>
      <c r="I359" s="1930" t="s">
        <v>97</v>
      </c>
      <c r="J359" s="1930" t="s">
        <v>137</v>
      </c>
      <c r="K359" s="1933">
        <v>116.71</v>
      </c>
      <c r="L359" s="1930" t="s">
        <v>138</v>
      </c>
    </row>
    <row r="360" spans="1:12" ht="13.5" x14ac:dyDescent="0.25">
      <c r="A360" s="1930" t="s">
        <v>4469</v>
      </c>
      <c r="B360" s="1930" t="s">
        <v>4470</v>
      </c>
      <c r="C360" s="1930" t="s">
        <v>4471</v>
      </c>
      <c r="D360" s="1930" t="s">
        <v>4472</v>
      </c>
      <c r="E360" s="1931" t="s">
        <v>33</v>
      </c>
      <c r="F360" s="1930" t="s">
        <v>33</v>
      </c>
      <c r="G360" s="1932">
        <v>90991</v>
      </c>
      <c r="H360" s="1930" t="s">
        <v>403</v>
      </c>
      <c r="I360" s="1930" t="s">
        <v>97</v>
      </c>
      <c r="J360" s="1930" t="s">
        <v>137</v>
      </c>
      <c r="K360" s="1933">
        <v>111.84</v>
      </c>
      <c r="L360" s="1930" t="s">
        <v>138</v>
      </c>
    </row>
    <row r="361" spans="1:12" ht="13.5" x14ac:dyDescent="0.25">
      <c r="A361" s="1930" t="s">
        <v>4469</v>
      </c>
      <c r="B361" s="1930" t="s">
        <v>4470</v>
      </c>
      <c r="C361" s="1930" t="s">
        <v>4471</v>
      </c>
      <c r="D361" s="1930" t="s">
        <v>4472</v>
      </c>
      <c r="E361" s="1931" t="s">
        <v>33</v>
      </c>
      <c r="F361" s="1930" t="s">
        <v>33</v>
      </c>
      <c r="G361" s="1932">
        <v>90999</v>
      </c>
      <c r="H361" s="1930" t="s">
        <v>404</v>
      </c>
      <c r="I361" s="1930" t="s">
        <v>97</v>
      </c>
      <c r="J361" s="1930" t="s">
        <v>137</v>
      </c>
      <c r="K361" s="1933">
        <v>60.02</v>
      </c>
      <c r="L361" s="1930" t="s">
        <v>138</v>
      </c>
    </row>
    <row r="362" spans="1:12" ht="13.5" x14ac:dyDescent="0.25">
      <c r="A362" s="1930" t="s">
        <v>4469</v>
      </c>
      <c r="B362" s="1930" t="s">
        <v>4470</v>
      </c>
      <c r="C362" s="1930" t="s">
        <v>4471</v>
      </c>
      <c r="D362" s="1930" t="s">
        <v>4472</v>
      </c>
      <c r="E362" s="1931" t="s">
        <v>33</v>
      </c>
      <c r="F362" s="1930" t="s">
        <v>33</v>
      </c>
      <c r="G362" s="1932">
        <v>91031</v>
      </c>
      <c r="H362" s="1930" t="s">
        <v>405</v>
      </c>
      <c r="I362" s="1930" t="s">
        <v>97</v>
      </c>
      <c r="J362" s="1930" t="s">
        <v>137</v>
      </c>
      <c r="K362" s="1933">
        <v>141.38999999999999</v>
      </c>
      <c r="L362" s="1930" t="s">
        <v>138</v>
      </c>
    </row>
    <row r="363" spans="1:12" ht="13.5" x14ac:dyDescent="0.25">
      <c r="A363" s="1930" t="s">
        <v>4469</v>
      </c>
      <c r="B363" s="1930" t="s">
        <v>4470</v>
      </c>
      <c r="C363" s="1930" t="s">
        <v>4471</v>
      </c>
      <c r="D363" s="1930" t="s">
        <v>4472</v>
      </c>
      <c r="E363" s="1931" t="s">
        <v>33</v>
      </c>
      <c r="F363" s="1930" t="s">
        <v>33</v>
      </c>
      <c r="G363" s="1932">
        <v>91277</v>
      </c>
      <c r="H363" s="1930" t="s">
        <v>406</v>
      </c>
      <c r="I363" s="1930" t="s">
        <v>97</v>
      </c>
      <c r="J363" s="1930" t="s">
        <v>320</v>
      </c>
      <c r="K363" s="1933">
        <v>7.41</v>
      </c>
      <c r="L363" s="1930" t="s">
        <v>138</v>
      </c>
    </row>
    <row r="364" spans="1:12" ht="13.5" x14ac:dyDescent="0.25">
      <c r="A364" s="1930" t="s">
        <v>4469</v>
      </c>
      <c r="B364" s="1930" t="s">
        <v>4470</v>
      </c>
      <c r="C364" s="1930" t="s">
        <v>4471</v>
      </c>
      <c r="D364" s="1930" t="s">
        <v>4472</v>
      </c>
      <c r="E364" s="1931" t="s">
        <v>33</v>
      </c>
      <c r="F364" s="1930" t="s">
        <v>33</v>
      </c>
      <c r="G364" s="1932">
        <v>91283</v>
      </c>
      <c r="H364" s="1930" t="s">
        <v>407</v>
      </c>
      <c r="I364" s="1930" t="s">
        <v>97</v>
      </c>
      <c r="J364" s="1930" t="s">
        <v>320</v>
      </c>
      <c r="K364" s="1933">
        <v>16.079999999999998</v>
      </c>
      <c r="L364" s="1930" t="s">
        <v>138</v>
      </c>
    </row>
    <row r="365" spans="1:12" ht="13.5" x14ac:dyDescent="0.25">
      <c r="A365" s="1930" t="s">
        <v>4469</v>
      </c>
      <c r="B365" s="1930" t="s">
        <v>4470</v>
      </c>
      <c r="C365" s="1930" t="s">
        <v>4471</v>
      </c>
      <c r="D365" s="1930" t="s">
        <v>4472</v>
      </c>
      <c r="E365" s="1931" t="s">
        <v>33</v>
      </c>
      <c r="F365" s="1930" t="s">
        <v>33</v>
      </c>
      <c r="G365" s="1932">
        <v>91386</v>
      </c>
      <c r="H365" s="1930" t="s">
        <v>408</v>
      </c>
      <c r="I365" s="1930" t="s">
        <v>97</v>
      </c>
      <c r="J365" s="1930" t="s">
        <v>137</v>
      </c>
      <c r="K365" s="1933">
        <v>150.11000000000001</v>
      </c>
      <c r="L365" s="1930" t="s">
        <v>138</v>
      </c>
    </row>
    <row r="366" spans="1:12" ht="13.5" x14ac:dyDescent="0.25">
      <c r="A366" s="1930" t="s">
        <v>4469</v>
      </c>
      <c r="B366" s="1930" t="s">
        <v>4470</v>
      </c>
      <c r="C366" s="1930" t="s">
        <v>4471</v>
      </c>
      <c r="D366" s="1930" t="s">
        <v>4472</v>
      </c>
      <c r="E366" s="1931" t="s">
        <v>33</v>
      </c>
      <c r="F366" s="1930" t="s">
        <v>33</v>
      </c>
      <c r="G366" s="1932">
        <v>91533</v>
      </c>
      <c r="H366" s="1930" t="s">
        <v>409</v>
      </c>
      <c r="I366" s="1930" t="s">
        <v>97</v>
      </c>
      <c r="J366" s="1930" t="s">
        <v>320</v>
      </c>
      <c r="K366" s="1933">
        <v>22.15</v>
      </c>
      <c r="L366" s="1930" t="s">
        <v>138</v>
      </c>
    </row>
    <row r="367" spans="1:12" ht="13.5" x14ac:dyDescent="0.25">
      <c r="A367" s="1930" t="s">
        <v>4469</v>
      </c>
      <c r="B367" s="1930" t="s">
        <v>4470</v>
      </c>
      <c r="C367" s="1930" t="s">
        <v>4471</v>
      </c>
      <c r="D367" s="1930" t="s">
        <v>4472</v>
      </c>
      <c r="E367" s="1931" t="s">
        <v>33</v>
      </c>
      <c r="F367" s="1930" t="s">
        <v>33</v>
      </c>
      <c r="G367" s="1932">
        <v>91634</v>
      </c>
      <c r="H367" s="1930" t="s">
        <v>410</v>
      </c>
      <c r="I367" s="1930" t="s">
        <v>97</v>
      </c>
      <c r="J367" s="1930" t="s">
        <v>137</v>
      </c>
      <c r="K367" s="1933">
        <v>128.36000000000001</v>
      </c>
      <c r="L367" s="1930" t="s">
        <v>138</v>
      </c>
    </row>
    <row r="368" spans="1:12" ht="13.5" x14ac:dyDescent="0.25">
      <c r="A368" s="1930" t="s">
        <v>4469</v>
      </c>
      <c r="B368" s="1930" t="s">
        <v>4470</v>
      </c>
      <c r="C368" s="1930" t="s">
        <v>4471</v>
      </c>
      <c r="D368" s="1930" t="s">
        <v>4472</v>
      </c>
      <c r="E368" s="1931" t="s">
        <v>33</v>
      </c>
      <c r="F368" s="1930" t="s">
        <v>33</v>
      </c>
      <c r="G368" s="1932">
        <v>91645</v>
      </c>
      <c r="H368" s="1930" t="s">
        <v>411</v>
      </c>
      <c r="I368" s="1930" t="s">
        <v>97</v>
      </c>
      <c r="J368" s="1930" t="s">
        <v>137</v>
      </c>
      <c r="K368" s="1933">
        <v>274.45999999999998</v>
      </c>
      <c r="L368" s="1930" t="s">
        <v>138</v>
      </c>
    </row>
    <row r="369" spans="1:12" ht="13.5" x14ac:dyDescent="0.25">
      <c r="A369" s="1930" t="s">
        <v>4469</v>
      </c>
      <c r="B369" s="1930" t="s">
        <v>4470</v>
      </c>
      <c r="C369" s="1930" t="s">
        <v>4471</v>
      </c>
      <c r="D369" s="1930" t="s">
        <v>4472</v>
      </c>
      <c r="E369" s="1931" t="s">
        <v>33</v>
      </c>
      <c r="F369" s="1930" t="s">
        <v>33</v>
      </c>
      <c r="G369" s="1932">
        <v>91692</v>
      </c>
      <c r="H369" s="1930" t="s">
        <v>412</v>
      </c>
      <c r="I369" s="1930" t="s">
        <v>97</v>
      </c>
      <c r="J369" s="1930" t="s">
        <v>320</v>
      </c>
      <c r="K369" s="1933">
        <v>17.850000000000001</v>
      </c>
      <c r="L369" s="1930" t="s">
        <v>138</v>
      </c>
    </row>
    <row r="370" spans="1:12" ht="13.5" x14ac:dyDescent="0.25">
      <c r="A370" s="1930" t="s">
        <v>4469</v>
      </c>
      <c r="B370" s="1930" t="s">
        <v>4470</v>
      </c>
      <c r="C370" s="1930" t="s">
        <v>4471</v>
      </c>
      <c r="D370" s="1930" t="s">
        <v>4472</v>
      </c>
      <c r="E370" s="1931" t="s">
        <v>33</v>
      </c>
      <c r="F370" s="1930" t="s">
        <v>33</v>
      </c>
      <c r="G370" s="1932">
        <v>92043</v>
      </c>
      <c r="H370" s="1930" t="s">
        <v>413</v>
      </c>
      <c r="I370" s="1930" t="s">
        <v>97</v>
      </c>
      <c r="J370" s="1930" t="s">
        <v>137</v>
      </c>
      <c r="K370" s="1933">
        <v>8</v>
      </c>
      <c r="L370" s="1930" t="s">
        <v>138</v>
      </c>
    </row>
    <row r="371" spans="1:12" ht="13.5" x14ac:dyDescent="0.25">
      <c r="A371" s="1930" t="s">
        <v>4469</v>
      </c>
      <c r="B371" s="1930" t="s">
        <v>4470</v>
      </c>
      <c r="C371" s="1930" t="s">
        <v>4471</v>
      </c>
      <c r="D371" s="1930" t="s">
        <v>4472</v>
      </c>
      <c r="E371" s="1931" t="s">
        <v>33</v>
      </c>
      <c r="F371" s="1930" t="s">
        <v>33</v>
      </c>
      <c r="G371" s="1932">
        <v>92106</v>
      </c>
      <c r="H371" s="1930" t="s">
        <v>414</v>
      </c>
      <c r="I371" s="1930" t="s">
        <v>97</v>
      </c>
      <c r="J371" s="1930" t="s">
        <v>137</v>
      </c>
      <c r="K371" s="1933">
        <v>181.9</v>
      </c>
      <c r="L371" s="1930" t="s">
        <v>138</v>
      </c>
    </row>
    <row r="372" spans="1:12" ht="13.5" x14ac:dyDescent="0.25">
      <c r="A372" s="1930" t="s">
        <v>4469</v>
      </c>
      <c r="B372" s="1930" t="s">
        <v>4470</v>
      </c>
      <c r="C372" s="1930" t="s">
        <v>4471</v>
      </c>
      <c r="D372" s="1930" t="s">
        <v>4472</v>
      </c>
      <c r="E372" s="1931" t="s">
        <v>33</v>
      </c>
      <c r="F372" s="1930" t="s">
        <v>33</v>
      </c>
      <c r="G372" s="1932">
        <v>92112</v>
      </c>
      <c r="H372" s="1930" t="s">
        <v>415</v>
      </c>
      <c r="I372" s="1930" t="s">
        <v>97</v>
      </c>
      <c r="J372" s="1930" t="s">
        <v>320</v>
      </c>
      <c r="K372" s="1933">
        <v>2.09</v>
      </c>
      <c r="L372" s="1930" t="s">
        <v>138</v>
      </c>
    </row>
    <row r="373" spans="1:12" ht="13.5" x14ac:dyDescent="0.25">
      <c r="A373" s="1930" t="s">
        <v>4469</v>
      </c>
      <c r="B373" s="1930" t="s">
        <v>4470</v>
      </c>
      <c r="C373" s="1930" t="s">
        <v>4471</v>
      </c>
      <c r="D373" s="1930" t="s">
        <v>4472</v>
      </c>
      <c r="E373" s="1931" t="s">
        <v>33</v>
      </c>
      <c r="F373" s="1930" t="s">
        <v>33</v>
      </c>
      <c r="G373" s="1932">
        <v>92118</v>
      </c>
      <c r="H373" s="1930" t="s">
        <v>416</v>
      </c>
      <c r="I373" s="1930" t="s">
        <v>97</v>
      </c>
      <c r="J373" s="1930" t="s">
        <v>320</v>
      </c>
      <c r="K373" s="1933">
        <v>0.18</v>
      </c>
      <c r="L373" s="1930" t="s">
        <v>138</v>
      </c>
    </row>
    <row r="374" spans="1:12" ht="13.5" x14ac:dyDescent="0.25">
      <c r="A374" s="1930" t="s">
        <v>4469</v>
      </c>
      <c r="B374" s="1930" t="s">
        <v>4470</v>
      </c>
      <c r="C374" s="1930" t="s">
        <v>4471</v>
      </c>
      <c r="D374" s="1930" t="s">
        <v>4472</v>
      </c>
      <c r="E374" s="1931" t="s">
        <v>33</v>
      </c>
      <c r="F374" s="1930" t="s">
        <v>33</v>
      </c>
      <c r="G374" s="1932">
        <v>92138</v>
      </c>
      <c r="H374" s="1930" t="s">
        <v>417</v>
      </c>
      <c r="I374" s="1930" t="s">
        <v>97</v>
      </c>
      <c r="J374" s="1930" t="s">
        <v>320</v>
      </c>
      <c r="K374" s="1933">
        <v>59.65</v>
      </c>
      <c r="L374" s="1930" t="s">
        <v>138</v>
      </c>
    </row>
    <row r="375" spans="1:12" ht="13.5" x14ac:dyDescent="0.25">
      <c r="A375" s="1930" t="s">
        <v>4469</v>
      </c>
      <c r="B375" s="1930" t="s">
        <v>4470</v>
      </c>
      <c r="C375" s="1930" t="s">
        <v>4471</v>
      </c>
      <c r="D375" s="1930" t="s">
        <v>4472</v>
      </c>
      <c r="E375" s="1931" t="s">
        <v>33</v>
      </c>
      <c r="F375" s="1930" t="s">
        <v>33</v>
      </c>
      <c r="G375" s="1932">
        <v>92145</v>
      </c>
      <c r="H375" s="1930" t="s">
        <v>418</v>
      </c>
      <c r="I375" s="1930" t="s">
        <v>97</v>
      </c>
      <c r="J375" s="1930" t="s">
        <v>320</v>
      </c>
      <c r="K375" s="1933">
        <v>50.72</v>
      </c>
      <c r="L375" s="1930" t="s">
        <v>138</v>
      </c>
    </row>
    <row r="376" spans="1:12" ht="13.5" x14ac:dyDescent="0.25">
      <c r="A376" s="1930" t="s">
        <v>4469</v>
      </c>
      <c r="B376" s="1930" t="s">
        <v>4470</v>
      </c>
      <c r="C376" s="1930" t="s">
        <v>4471</v>
      </c>
      <c r="D376" s="1930" t="s">
        <v>4472</v>
      </c>
      <c r="E376" s="1931" t="s">
        <v>33</v>
      </c>
      <c r="F376" s="1930" t="s">
        <v>33</v>
      </c>
      <c r="G376" s="1932">
        <v>92242</v>
      </c>
      <c r="H376" s="1930" t="s">
        <v>419</v>
      </c>
      <c r="I376" s="1930" t="s">
        <v>97</v>
      </c>
      <c r="J376" s="1930" t="s">
        <v>137</v>
      </c>
      <c r="K376" s="1933">
        <v>240.94</v>
      </c>
      <c r="L376" s="1930" t="s">
        <v>138</v>
      </c>
    </row>
    <row r="377" spans="1:12" ht="13.5" x14ac:dyDescent="0.25">
      <c r="A377" s="1930" t="s">
        <v>4469</v>
      </c>
      <c r="B377" s="1930" t="s">
        <v>4470</v>
      </c>
      <c r="C377" s="1930" t="s">
        <v>4471</v>
      </c>
      <c r="D377" s="1930" t="s">
        <v>4472</v>
      </c>
      <c r="E377" s="1931" t="s">
        <v>33</v>
      </c>
      <c r="F377" s="1930" t="s">
        <v>33</v>
      </c>
      <c r="G377" s="1932">
        <v>92716</v>
      </c>
      <c r="H377" s="1930" t="s">
        <v>420</v>
      </c>
      <c r="I377" s="1930" t="s">
        <v>97</v>
      </c>
      <c r="J377" s="1930" t="s">
        <v>137</v>
      </c>
      <c r="K377" s="1933">
        <v>16.309999999999999</v>
      </c>
      <c r="L377" s="1930" t="s">
        <v>138</v>
      </c>
    </row>
    <row r="378" spans="1:12" ht="13.5" x14ac:dyDescent="0.25">
      <c r="A378" s="1930" t="s">
        <v>4469</v>
      </c>
      <c r="B378" s="1930" t="s">
        <v>4470</v>
      </c>
      <c r="C378" s="1930" t="s">
        <v>4471</v>
      </c>
      <c r="D378" s="1930" t="s">
        <v>4472</v>
      </c>
      <c r="E378" s="1931" t="s">
        <v>33</v>
      </c>
      <c r="F378" s="1930" t="s">
        <v>33</v>
      </c>
      <c r="G378" s="1932">
        <v>92960</v>
      </c>
      <c r="H378" s="1930" t="s">
        <v>421</v>
      </c>
      <c r="I378" s="1930" t="s">
        <v>97</v>
      </c>
      <c r="J378" s="1930" t="s">
        <v>137</v>
      </c>
      <c r="K378" s="1933">
        <v>14.06</v>
      </c>
      <c r="L378" s="1930" t="s">
        <v>138</v>
      </c>
    </row>
    <row r="379" spans="1:12" ht="13.5" x14ac:dyDescent="0.25">
      <c r="A379" s="1930" t="s">
        <v>4469</v>
      </c>
      <c r="B379" s="1930" t="s">
        <v>4470</v>
      </c>
      <c r="C379" s="1930" t="s">
        <v>4471</v>
      </c>
      <c r="D379" s="1930" t="s">
        <v>4472</v>
      </c>
      <c r="E379" s="1931" t="s">
        <v>33</v>
      </c>
      <c r="F379" s="1930" t="s">
        <v>33</v>
      </c>
      <c r="G379" s="1932">
        <v>92966</v>
      </c>
      <c r="H379" s="1930" t="s">
        <v>422</v>
      </c>
      <c r="I379" s="1930" t="s">
        <v>97</v>
      </c>
      <c r="J379" s="1930" t="s">
        <v>137</v>
      </c>
      <c r="K379" s="1933">
        <v>18.46</v>
      </c>
      <c r="L379" s="1930" t="s">
        <v>138</v>
      </c>
    </row>
    <row r="380" spans="1:12" ht="13.5" x14ac:dyDescent="0.25">
      <c r="A380" s="1930" t="s">
        <v>4469</v>
      </c>
      <c r="B380" s="1930" t="s">
        <v>4470</v>
      </c>
      <c r="C380" s="1930" t="s">
        <v>4471</v>
      </c>
      <c r="D380" s="1930" t="s">
        <v>4472</v>
      </c>
      <c r="E380" s="1931" t="s">
        <v>33</v>
      </c>
      <c r="F380" s="1930" t="s">
        <v>33</v>
      </c>
      <c r="G380" s="1932">
        <v>93224</v>
      </c>
      <c r="H380" s="1930" t="s">
        <v>423</v>
      </c>
      <c r="I380" s="1930" t="s">
        <v>97</v>
      </c>
      <c r="J380" s="1930" t="s">
        <v>137</v>
      </c>
      <c r="K380" s="1933">
        <v>516.47</v>
      </c>
      <c r="L380" s="1930" t="s">
        <v>138</v>
      </c>
    </row>
    <row r="381" spans="1:12" ht="13.5" x14ac:dyDescent="0.25">
      <c r="A381" s="1930" t="s">
        <v>4469</v>
      </c>
      <c r="B381" s="1930" t="s">
        <v>4470</v>
      </c>
      <c r="C381" s="1930" t="s">
        <v>4471</v>
      </c>
      <c r="D381" s="1930" t="s">
        <v>4472</v>
      </c>
      <c r="E381" s="1931" t="s">
        <v>33</v>
      </c>
      <c r="F381" s="1930" t="s">
        <v>33</v>
      </c>
      <c r="G381" s="1932">
        <v>93233</v>
      </c>
      <c r="H381" s="1930" t="s">
        <v>424</v>
      </c>
      <c r="I381" s="1930" t="s">
        <v>97</v>
      </c>
      <c r="J381" s="1930" t="s">
        <v>320</v>
      </c>
      <c r="K381" s="1933">
        <v>6.87</v>
      </c>
      <c r="L381" s="1930" t="s">
        <v>138</v>
      </c>
    </row>
    <row r="382" spans="1:12" ht="13.5" x14ac:dyDescent="0.25">
      <c r="A382" s="1930" t="s">
        <v>4469</v>
      </c>
      <c r="B382" s="1930" t="s">
        <v>4470</v>
      </c>
      <c r="C382" s="1930" t="s">
        <v>4471</v>
      </c>
      <c r="D382" s="1930" t="s">
        <v>4472</v>
      </c>
      <c r="E382" s="1931" t="s">
        <v>33</v>
      </c>
      <c r="F382" s="1930" t="s">
        <v>33</v>
      </c>
      <c r="G382" s="1932">
        <v>93272</v>
      </c>
      <c r="H382" s="1930" t="s">
        <v>425</v>
      </c>
      <c r="I382" s="1930" t="s">
        <v>97</v>
      </c>
      <c r="J382" s="1930" t="s">
        <v>137</v>
      </c>
      <c r="K382" s="1933">
        <v>74.95</v>
      </c>
      <c r="L382" s="1930" t="s">
        <v>138</v>
      </c>
    </row>
    <row r="383" spans="1:12" ht="13.5" x14ac:dyDescent="0.25">
      <c r="A383" s="1930" t="s">
        <v>4469</v>
      </c>
      <c r="B383" s="1930" t="s">
        <v>4470</v>
      </c>
      <c r="C383" s="1930" t="s">
        <v>4471</v>
      </c>
      <c r="D383" s="1930" t="s">
        <v>4472</v>
      </c>
      <c r="E383" s="1931" t="s">
        <v>33</v>
      </c>
      <c r="F383" s="1930" t="s">
        <v>33</v>
      </c>
      <c r="G383" s="1932">
        <v>93281</v>
      </c>
      <c r="H383" s="1930" t="s">
        <v>426</v>
      </c>
      <c r="I383" s="1930" t="s">
        <v>97</v>
      </c>
      <c r="J383" s="1930" t="s">
        <v>137</v>
      </c>
      <c r="K383" s="1933">
        <v>16.86</v>
      </c>
      <c r="L383" s="1930" t="s">
        <v>138</v>
      </c>
    </row>
    <row r="384" spans="1:12" ht="13.5" x14ac:dyDescent="0.25">
      <c r="A384" s="1930" t="s">
        <v>4469</v>
      </c>
      <c r="B384" s="1930" t="s">
        <v>4470</v>
      </c>
      <c r="C384" s="1930" t="s">
        <v>4471</v>
      </c>
      <c r="D384" s="1930" t="s">
        <v>4472</v>
      </c>
      <c r="E384" s="1931" t="s">
        <v>33</v>
      </c>
      <c r="F384" s="1930" t="s">
        <v>33</v>
      </c>
      <c r="G384" s="1932">
        <v>93287</v>
      </c>
      <c r="H384" s="1930" t="s">
        <v>427</v>
      </c>
      <c r="I384" s="1930" t="s">
        <v>97</v>
      </c>
      <c r="J384" s="1930" t="s">
        <v>137</v>
      </c>
      <c r="K384" s="1933">
        <v>294.16000000000003</v>
      </c>
      <c r="L384" s="1930" t="s">
        <v>138</v>
      </c>
    </row>
    <row r="385" spans="1:12" ht="13.5" x14ac:dyDescent="0.25">
      <c r="A385" s="1930" t="s">
        <v>4469</v>
      </c>
      <c r="B385" s="1930" t="s">
        <v>4470</v>
      </c>
      <c r="C385" s="1930" t="s">
        <v>4471</v>
      </c>
      <c r="D385" s="1930" t="s">
        <v>4472</v>
      </c>
      <c r="E385" s="1931" t="s">
        <v>33</v>
      </c>
      <c r="F385" s="1930" t="s">
        <v>33</v>
      </c>
      <c r="G385" s="1932">
        <v>93402</v>
      </c>
      <c r="H385" s="1930" t="s">
        <v>428</v>
      </c>
      <c r="I385" s="1930" t="s">
        <v>97</v>
      </c>
      <c r="J385" s="1930" t="s">
        <v>137</v>
      </c>
      <c r="K385" s="1933">
        <v>143.46</v>
      </c>
      <c r="L385" s="1930" t="s">
        <v>138</v>
      </c>
    </row>
    <row r="386" spans="1:12" ht="13.5" x14ac:dyDescent="0.25">
      <c r="A386" s="1930" t="s">
        <v>4469</v>
      </c>
      <c r="B386" s="1930" t="s">
        <v>4470</v>
      </c>
      <c r="C386" s="1930" t="s">
        <v>4471</v>
      </c>
      <c r="D386" s="1930" t="s">
        <v>4472</v>
      </c>
      <c r="E386" s="1931" t="s">
        <v>33</v>
      </c>
      <c r="F386" s="1930" t="s">
        <v>33</v>
      </c>
      <c r="G386" s="1932">
        <v>93408</v>
      </c>
      <c r="H386" s="1930" t="s">
        <v>9128</v>
      </c>
      <c r="I386" s="1930" t="s">
        <v>97</v>
      </c>
      <c r="J386" s="1930" t="s">
        <v>137</v>
      </c>
      <c r="K386" s="1933">
        <v>57.39</v>
      </c>
      <c r="L386" s="1930" t="s">
        <v>138</v>
      </c>
    </row>
    <row r="387" spans="1:12" ht="13.5" x14ac:dyDescent="0.25">
      <c r="A387" s="1930" t="s">
        <v>4469</v>
      </c>
      <c r="B387" s="1930" t="s">
        <v>4470</v>
      </c>
      <c r="C387" s="1930" t="s">
        <v>4471</v>
      </c>
      <c r="D387" s="1930" t="s">
        <v>4472</v>
      </c>
      <c r="E387" s="1931" t="s">
        <v>33</v>
      </c>
      <c r="F387" s="1930" t="s">
        <v>33</v>
      </c>
      <c r="G387" s="1932">
        <v>93415</v>
      </c>
      <c r="H387" s="1930" t="s">
        <v>429</v>
      </c>
      <c r="I387" s="1930" t="s">
        <v>97</v>
      </c>
      <c r="J387" s="1930" t="s">
        <v>137</v>
      </c>
      <c r="K387" s="1933">
        <v>11.21</v>
      </c>
      <c r="L387" s="1930" t="s">
        <v>138</v>
      </c>
    </row>
    <row r="388" spans="1:12" ht="13.5" x14ac:dyDescent="0.25">
      <c r="A388" s="1930" t="s">
        <v>4469</v>
      </c>
      <c r="B388" s="1930" t="s">
        <v>4470</v>
      </c>
      <c r="C388" s="1930" t="s">
        <v>4471</v>
      </c>
      <c r="D388" s="1930" t="s">
        <v>4472</v>
      </c>
      <c r="E388" s="1931" t="s">
        <v>33</v>
      </c>
      <c r="F388" s="1930" t="s">
        <v>33</v>
      </c>
      <c r="G388" s="1932">
        <v>93421</v>
      </c>
      <c r="H388" s="1930" t="s">
        <v>430</v>
      </c>
      <c r="I388" s="1930" t="s">
        <v>97</v>
      </c>
      <c r="J388" s="1930" t="s">
        <v>137</v>
      </c>
      <c r="K388" s="1933">
        <v>47.25</v>
      </c>
      <c r="L388" s="1930" t="s">
        <v>138</v>
      </c>
    </row>
    <row r="389" spans="1:12" ht="13.5" x14ac:dyDescent="0.25">
      <c r="A389" s="1930" t="s">
        <v>4469</v>
      </c>
      <c r="B389" s="1930" t="s">
        <v>4470</v>
      </c>
      <c r="C389" s="1930" t="s">
        <v>4471</v>
      </c>
      <c r="D389" s="1930" t="s">
        <v>4472</v>
      </c>
      <c r="E389" s="1931" t="s">
        <v>33</v>
      </c>
      <c r="F389" s="1930" t="s">
        <v>33</v>
      </c>
      <c r="G389" s="1932">
        <v>93427</v>
      </c>
      <c r="H389" s="1930" t="s">
        <v>431</v>
      </c>
      <c r="I389" s="1930" t="s">
        <v>97</v>
      </c>
      <c r="J389" s="1930" t="s">
        <v>137</v>
      </c>
      <c r="K389" s="1933">
        <v>107.5</v>
      </c>
      <c r="L389" s="1930" t="s">
        <v>138</v>
      </c>
    </row>
    <row r="390" spans="1:12" ht="13.5" x14ac:dyDescent="0.25">
      <c r="A390" s="1930" t="s">
        <v>4469</v>
      </c>
      <c r="B390" s="1930" t="s">
        <v>4470</v>
      </c>
      <c r="C390" s="1930" t="s">
        <v>4471</v>
      </c>
      <c r="D390" s="1930" t="s">
        <v>4472</v>
      </c>
      <c r="E390" s="1931" t="s">
        <v>33</v>
      </c>
      <c r="F390" s="1930" t="s">
        <v>33</v>
      </c>
      <c r="G390" s="1932">
        <v>93433</v>
      </c>
      <c r="H390" s="1930" t="s">
        <v>432</v>
      </c>
      <c r="I390" s="1930" t="s">
        <v>97</v>
      </c>
      <c r="J390" s="1930" t="s">
        <v>137</v>
      </c>
      <c r="K390" s="1933">
        <v>2046.59</v>
      </c>
      <c r="L390" s="1930" t="s">
        <v>138</v>
      </c>
    </row>
    <row r="391" spans="1:12" ht="13.5" x14ac:dyDescent="0.25">
      <c r="A391" s="1930" t="s">
        <v>4469</v>
      </c>
      <c r="B391" s="1930" t="s">
        <v>4470</v>
      </c>
      <c r="C391" s="1930" t="s">
        <v>4471</v>
      </c>
      <c r="D391" s="1930" t="s">
        <v>4472</v>
      </c>
      <c r="E391" s="1931" t="s">
        <v>33</v>
      </c>
      <c r="F391" s="1930" t="s">
        <v>33</v>
      </c>
      <c r="G391" s="1932">
        <v>93439</v>
      </c>
      <c r="H391" s="1930" t="s">
        <v>433</v>
      </c>
      <c r="I391" s="1930" t="s">
        <v>97</v>
      </c>
      <c r="J391" s="1930" t="s">
        <v>137</v>
      </c>
      <c r="K391" s="1933">
        <v>106.48</v>
      </c>
      <c r="L391" s="1930" t="s">
        <v>138</v>
      </c>
    </row>
    <row r="392" spans="1:12" ht="13.5" x14ac:dyDescent="0.25">
      <c r="A392" s="1930" t="s">
        <v>4469</v>
      </c>
      <c r="B392" s="1930" t="s">
        <v>4470</v>
      </c>
      <c r="C392" s="1930" t="s">
        <v>4471</v>
      </c>
      <c r="D392" s="1930" t="s">
        <v>4472</v>
      </c>
      <c r="E392" s="1931" t="s">
        <v>33</v>
      </c>
      <c r="F392" s="1930" t="s">
        <v>33</v>
      </c>
      <c r="G392" s="1932">
        <v>95121</v>
      </c>
      <c r="H392" s="1930" t="s">
        <v>434</v>
      </c>
      <c r="I392" s="1930" t="s">
        <v>97</v>
      </c>
      <c r="J392" s="1930" t="s">
        <v>137</v>
      </c>
      <c r="K392" s="1933">
        <v>197.98</v>
      </c>
      <c r="L392" s="1930" t="s">
        <v>138</v>
      </c>
    </row>
    <row r="393" spans="1:12" ht="13.5" x14ac:dyDescent="0.25">
      <c r="A393" s="1930" t="s">
        <v>4469</v>
      </c>
      <c r="B393" s="1930" t="s">
        <v>4470</v>
      </c>
      <c r="C393" s="1930" t="s">
        <v>4471</v>
      </c>
      <c r="D393" s="1930" t="s">
        <v>4472</v>
      </c>
      <c r="E393" s="1931" t="s">
        <v>33</v>
      </c>
      <c r="F393" s="1930" t="s">
        <v>33</v>
      </c>
      <c r="G393" s="1932">
        <v>95127</v>
      </c>
      <c r="H393" s="1930" t="s">
        <v>435</v>
      </c>
      <c r="I393" s="1930" t="s">
        <v>97</v>
      </c>
      <c r="J393" s="1930" t="s">
        <v>137</v>
      </c>
      <c r="K393" s="1933">
        <v>133.04</v>
      </c>
      <c r="L393" s="1930" t="s">
        <v>138</v>
      </c>
    </row>
    <row r="394" spans="1:12" ht="13.5" x14ac:dyDescent="0.25">
      <c r="A394" s="1930" t="s">
        <v>4469</v>
      </c>
      <c r="B394" s="1930" t="s">
        <v>4470</v>
      </c>
      <c r="C394" s="1930" t="s">
        <v>4471</v>
      </c>
      <c r="D394" s="1930" t="s">
        <v>4472</v>
      </c>
      <c r="E394" s="1931" t="s">
        <v>33</v>
      </c>
      <c r="F394" s="1930" t="s">
        <v>33</v>
      </c>
      <c r="G394" s="1932">
        <v>95133</v>
      </c>
      <c r="H394" s="1930" t="s">
        <v>436</v>
      </c>
      <c r="I394" s="1930" t="s">
        <v>97</v>
      </c>
      <c r="J394" s="1930" t="s">
        <v>137</v>
      </c>
      <c r="K394" s="1933">
        <v>99.84</v>
      </c>
      <c r="L394" s="1930" t="s">
        <v>138</v>
      </c>
    </row>
    <row r="395" spans="1:12" ht="13.5" x14ac:dyDescent="0.25">
      <c r="A395" s="1930" t="s">
        <v>4469</v>
      </c>
      <c r="B395" s="1930" t="s">
        <v>4470</v>
      </c>
      <c r="C395" s="1930" t="s">
        <v>4471</v>
      </c>
      <c r="D395" s="1930" t="s">
        <v>4472</v>
      </c>
      <c r="E395" s="1931" t="s">
        <v>33</v>
      </c>
      <c r="F395" s="1930" t="s">
        <v>33</v>
      </c>
      <c r="G395" s="1932">
        <v>95139</v>
      </c>
      <c r="H395" s="1930" t="s">
        <v>437</v>
      </c>
      <c r="I395" s="1930" t="s">
        <v>97</v>
      </c>
      <c r="J395" s="1930" t="s">
        <v>137</v>
      </c>
      <c r="K395" s="1933">
        <v>0.06</v>
      </c>
      <c r="L395" s="1930" t="s">
        <v>138</v>
      </c>
    </row>
    <row r="396" spans="1:12" ht="13.5" x14ac:dyDescent="0.25">
      <c r="A396" s="1930" t="s">
        <v>4469</v>
      </c>
      <c r="B396" s="1930" t="s">
        <v>4470</v>
      </c>
      <c r="C396" s="1930" t="s">
        <v>4471</v>
      </c>
      <c r="D396" s="1930" t="s">
        <v>4472</v>
      </c>
      <c r="E396" s="1931" t="s">
        <v>33</v>
      </c>
      <c r="F396" s="1930" t="s">
        <v>33</v>
      </c>
      <c r="G396" s="1932">
        <v>95212</v>
      </c>
      <c r="H396" s="1930" t="s">
        <v>438</v>
      </c>
      <c r="I396" s="1930" t="s">
        <v>97</v>
      </c>
      <c r="J396" s="1930" t="s">
        <v>137</v>
      </c>
      <c r="K396" s="1933">
        <v>82.07</v>
      </c>
      <c r="L396" s="1930" t="s">
        <v>138</v>
      </c>
    </row>
    <row r="397" spans="1:12" ht="13.5" x14ac:dyDescent="0.25">
      <c r="A397" s="1930" t="s">
        <v>4469</v>
      </c>
      <c r="B397" s="1930" t="s">
        <v>4470</v>
      </c>
      <c r="C397" s="1930" t="s">
        <v>4471</v>
      </c>
      <c r="D397" s="1930" t="s">
        <v>4472</v>
      </c>
      <c r="E397" s="1931" t="s">
        <v>33</v>
      </c>
      <c r="F397" s="1930" t="s">
        <v>33</v>
      </c>
      <c r="G397" s="1932">
        <v>95218</v>
      </c>
      <c r="H397" s="1930" t="s">
        <v>439</v>
      </c>
      <c r="I397" s="1930" t="s">
        <v>97</v>
      </c>
      <c r="J397" s="1930" t="s">
        <v>137</v>
      </c>
      <c r="K397" s="1933">
        <v>22.04</v>
      </c>
      <c r="L397" s="1930" t="s">
        <v>138</v>
      </c>
    </row>
    <row r="398" spans="1:12" ht="13.5" x14ac:dyDescent="0.25">
      <c r="A398" s="1930" t="s">
        <v>4469</v>
      </c>
      <c r="B398" s="1930" t="s">
        <v>4470</v>
      </c>
      <c r="C398" s="1930" t="s">
        <v>4471</v>
      </c>
      <c r="D398" s="1930" t="s">
        <v>4472</v>
      </c>
      <c r="E398" s="1931" t="s">
        <v>33</v>
      </c>
      <c r="F398" s="1930" t="s">
        <v>33</v>
      </c>
      <c r="G398" s="1932">
        <v>95258</v>
      </c>
      <c r="H398" s="1930" t="s">
        <v>440</v>
      </c>
      <c r="I398" s="1930" t="s">
        <v>97</v>
      </c>
      <c r="J398" s="1930" t="s">
        <v>137</v>
      </c>
      <c r="K398" s="1933">
        <v>18.149999999999999</v>
      </c>
      <c r="L398" s="1930" t="s">
        <v>138</v>
      </c>
    </row>
    <row r="399" spans="1:12" ht="13.5" x14ac:dyDescent="0.25">
      <c r="A399" s="1930" t="s">
        <v>4469</v>
      </c>
      <c r="B399" s="1930" t="s">
        <v>4470</v>
      </c>
      <c r="C399" s="1930" t="s">
        <v>4471</v>
      </c>
      <c r="D399" s="1930" t="s">
        <v>4472</v>
      </c>
      <c r="E399" s="1931" t="s">
        <v>33</v>
      </c>
      <c r="F399" s="1930" t="s">
        <v>33</v>
      </c>
      <c r="G399" s="1932">
        <v>95264</v>
      </c>
      <c r="H399" s="1930" t="s">
        <v>441</v>
      </c>
      <c r="I399" s="1930" t="s">
        <v>97</v>
      </c>
      <c r="J399" s="1930" t="s">
        <v>137</v>
      </c>
      <c r="K399" s="1933">
        <v>4.9400000000000004</v>
      </c>
      <c r="L399" s="1930" t="s">
        <v>138</v>
      </c>
    </row>
    <row r="400" spans="1:12" ht="13.5" x14ac:dyDescent="0.25">
      <c r="A400" s="1930" t="s">
        <v>4469</v>
      </c>
      <c r="B400" s="1930" t="s">
        <v>4470</v>
      </c>
      <c r="C400" s="1930" t="s">
        <v>4471</v>
      </c>
      <c r="D400" s="1930" t="s">
        <v>4472</v>
      </c>
      <c r="E400" s="1931" t="s">
        <v>33</v>
      </c>
      <c r="F400" s="1930" t="s">
        <v>33</v>
      </c>
      <c r="G400" s="1932">
        <v>95270</v>
      </c>
      <c r="H400" s="1930" t="s">
        <v>442</v>
      </c>
      <c r="I400" s="1930" t="s">
        <v>97</v>
      </c>
      <c r="J400" s="1930" t="s">
        <v>137</v>
      </c>
      <c r="K400" s="1933">
        <v>7.05</v>
      </c>
      <c r="L400" s="1930" t="s">
        <v>138</v>
      </c>
    </row>
    <row r="401" spans="1:12" ht="13.5" x14ac:dyDescent="0.25">
      <c r="A401" s="1930" t="s">
        <v>4469</v>
      </c>
      <c r="B401" s="1930" t="s">
        <v>4470</v>
      </c>
      <c r="C401" s="1930" t="s">
        <v>4471</v>
      </c>
      <c r="D401" s="1930" t="s">
        <v>4472</v>
      </c>
      <c r="E401" s="1931" t="s">
        <v>33</v>
      </c>
      <c r="F401" s="1930" t="s">
        <v>33</v>
      </c>
      <c r="G401" s="1932">
        <v>95276</v>
      </c>
      <c r="H401" s="1930" t="s">
        <v>443</v>
      </c>
      <c r="I401" s="1930" t="s">
        <v>97</v>
      </c>
      <c r="J401" s="1930" t="s">
        <v>137</v>
      </c>
      <c r="K401" s="1933">
        <v>2.2200000000000002</v>
      </c>
      <c r="L401" s="1930" t="s">
        <v>138</v>
      </c>
    </row>
    <row r="402" spans="1:12" ht="13.5" x14ac:dyDescent="0.25">
      <c r="A402" s="1930" t="s">
        <v>4469</v>
      </c>
      <c r="B402" s="1930" t="s">
        <v>4470</v>
      </c>
      <c r="C402" s="1930" t="s">
        <v>4471</v>
      </c>
      <c r="D402" s="1930" t="s">
        <v>4472</v>
      </c>
      <c r="E402" s="1931" t="s">
        <v>33</v>
      </c>
      <c r="F402" s="1930" t="s">
        <v>33</v>
      </c>
      <c r="G402" s="1932">
        <v>95282</v>
      </c>
      <c r="H402" s="1930" t="s">
        <v>444</v>
      </c>
      <c r="I402" s="1930" t="s">
        <v>97</v>
      </c>
      <c r="J402" s="1930" t="s">
        <v>137</v>
      </c>
      <c r="K402" s="1933">
        <v>7.03</v>
      </c>
      <c r="L402" s="1930" t="s">
        <v>138</v>
      </c>
    </row>
    <row r="403" spans="1:12" ht="13.5" x14ac:dyDescent="0.25">
      <c r="A403" s="1930" t="s">
        <v>4469</v>
      </c>
      <c r="B403" s="1930" t="s">
        <v>4470</v>
      </c>
      <c r="C403" s="1930" t="s">
        <v>4471</v>
      </c>
      <c r="D403" s="1930" t="s">
        <v>4472</v>
      </c>
      <c r="E403" s="1931" t="s">
        <v>33</v>
      </c>
      <c r="F403" s="1930" t="s">
        <v>33</v>
      </c>
      <c r="G403" s="1932">
        <v>95620</v>
      </c>
      <c r="H403" s="1930" t="s">
        <v>445</v>
      </c>
      <c r="I403" s="1930" t="s">
        <v>97</v>
      </c>
      <c r="J403" s="1930" t="s">
        <v>137</v>
      </c>
      <c r="K403" s="1933">
        <v>17.78</v>
      </c>
      <c r="L403" s="1930" t="s">
        <v>138</v>
      </c>
    </row>
    <row r="404" spans="1:12" ht="13.5" x14ac:dyDescent="0.25">
      <c r="A404" s="1930" t="s">
        <v>4469</v>
      </c>
      <c r="B404" s="1930" t="s">
        <v>4470</v>
      </c>
      <c r="C404" s="1930" t="s">
        <v>4471</v>
      </c>
      <c r="D404" s="1930" t="s">
        <v>4472</v>
      </c>
      <c r="E404" s="1931" t="s">
        <v>33</v>
      </c>
      <c r="F404" s="1930" t="s">
        <v>33</v>
      </c>
      <c r="G404" s="1932">
        <v>95631</v>
      </c>
      <c r="H404" s="1930" t="s">
        <v>446</v>
      </c>
      <c r="I404" s="1930" t="s">
        <v>97</v>
      </c>
      <c r="J404" s="1930" t="s">
        <v>137</v>
      </c>
      <c r="K404" s="1933">
        <v>125.23</v>
      </c>
      <c r="L404" s="1930" t="s">
        <v>138</v>
      </c>
    </row>
    <row r="405" spans="1:12" ht="13.5" x14ac:dyDescent="0.25">
      <c r="A405" s="1930" t="s">
        <v>4469</v>
      </c>
      <c r="B405" s="1930" t="s">
        <v>4470</v>
      </c>
      <c r="C405" s="1930" t="s">
        <v>4471</v>
      </c>
      <c r="D405" s="1930" t="s">
        <v>4472</v>
      </c>
      <c r="E405" s="1931" t="s">
        <v>33</v>
      </c>
      <c r="F405" s="1930" t="s">
        <v>33</v>
      </c>
      <c r="G405" s="1932">
        <v>95702</v>
      </c>
      <c r="H405" s="1930" t="s">
        <v>447</v>
      </c>
      <c r="I405" s="1930" t="s">
        <v>97</v>
      </c>
      <c r="J405" s="1930" t="s">
        <v>137</v>
      </c>
      <c r="K405" s="1933">
        <v>24.49</v>
      </c>
      <c r="L405" s="1930" t="s">
        <v>138</v>
      </c>
    </row>
    <row r="406" spans="1:12" ht="13.5" x14ac:dyDescent="0.25">
      <c r="A406" s="1930" t="s">
        <v>4469</v>
      </c>
      <c r="B406" s="1930" t="s">
        <v>4470</v>
      </c>
      <c r="C406" s="1930" t="s">
        <v>4471</v>
      </c>
      <c r="D406" s="1930" t="s">
        <v>4472</v>
      </c>
      <c r="E406" s="1931" t="s">
        <v>33</v>
      </c>
      <c r="F406" s="1930" t="s">
        <v>33</v>
      </c>
      <c r="G406" s="1932">
        <v>95708</v>
      </c>
      <c r="H406" s="1930" t="s">
        <v>448</v>
      </c>
      <c r="I406" s="1930" t="s">
        <v>97</v>
      </c>
      <c r="J406" s="1930" t="s">
        <v>137</v>
      </c>
      <c r="K406" s="1933">
        <v>91.03</v>
      </c>
      <c r="L406" s="1930" t="s">
        <v>138</v>
      </c>
    </row>
    <row r="407" spans="1:12" ht="13.5" x14ac:dyDescent="0.25">
      <c r="A407" s="1930" t="s">
        <v>4469</v>
      </c>
      <c r="B407" s="1930" t="s">
        <v>4470</v>
      </c>
      <c r="C407" s="1930" t="s">
        <v>4471</v>
      </c>
      <c r="D407" s="1930" t="s">
        <v>4472</v>
      </c>
      <c r="E407" s="1931" t="s">
        <v>33</v>
      </c>
      <c r="F407" s="1930" t="s">
        <v>33</v>
      </c>
      <c r="G407" s="1932">
        <v>95714</v>
      </c>
      <c r="H407" s="1930" t="s">
        <v>449</v>
      </c>
      <c r="I407" s="1930" t="s">
        <v>97</v>
      </c>
      <c r="J407" s="1930" t="s">
        <v>137</v>
      </c>
      <c r="K407" s="1933">
        <v>140.16999999999999</v>
      </c>
      <c r="L407" s="1930" t="s">
        <v>138</v>
      </c>
    </row>
    <row r="408" spans="1:12" ht="13.5" x14ac:dyDescent="0.25">
      <c r="A408" s="1930" t="s">
        <v>4469</v>
      </c>
      <c r="B408" s="1930" t="s">
        <v>4470</v>
      </c>
      <c r="C408" s="1930" t="s">
        <v>4471</v>
      </c>
      <c r="D408" s="1930" t="s">
        <v>4472</v>
      </c>
      <c r="E408" s="1931" t="s">
        <v>33</v>
      </c>
      <c r="F408" s="1930" t="s">
        <v>33</v>
      </c>
      <c r="G408" s="1932">
        <v>95720</v>
      </c>
      <c r="H408" s="1930" t="s">
        <v>450</v>
      </c>
      <c r="I408" s="1930" t="s">
        <v>97</v>
      </c>
      <c r="J408" s="1930" t="s">
        <v>137</v>
      </c>
      <c r="K408" s="1933">
        <v>137.76</v>
      </c>
      <c r="L408" s="1930" t="s">
        <v>138</v>
      </c>
    </row>
    <row r="409" spans="1:12" ht="13.5" x14ac:dyDescent="0.25">
      <c r="A409" s="1930" t="s">
        <v>4469</v>
      </c>
      <c r="B409" s="1930" t="s">
        <v>4470</v>
      </c>
      <c r="C409" s="1930" t="s">
        <v>4471</v>
      </c>
      <c r="D409" s="1930" t="s">
        <v>4472</v>
      </c>
      <c r="E409" s="1931" t="s">
        <v>33</v>
      </c>
      <c r="F409" s="1930" t="s">
        <v>33</v>
      </c>
      <c r="G409" s="1932">
        <v>95872</v>
      </c>
      <c r="H409" s="1930" t="s">
        <v>451</v>
      </c>
      <c r="I409" s="1930" t="s">
        <v>97</v>
      </c>
      <c r="J409" s="1930" t="s">
        <v>137</v>
      </c>
      <c r="K409" s="1933">
        <v>182.35</v>
      </c>
      <c r="L409" s="1930" t="s">
        <v>138</v>
      </c>
    </row>
    <row r="410" spans="1:12" ht="13.5" x14ac:dyDescent="0.25">
      <c r="A410" s="1930" t="s">
        <v>4469</v>
      </c>
      <c r="B410" s="1930" t="s">
        <v>4470</v>
      </c>
      <c r="C410" s="1930" t="s">
        <v>4471</v>
      </c>
      <c r="D410" s="1930" t="s">
        <v>4472</v>
      </c>
      <c r="E410" s="1931" t="s">
        <v>33</v>
      </c>
      <c r="F410" s="1930" t="s">
        <v>33</v>
      </c>
      <c r="G410" s="1932">
        <v>96013</v>
      </c>
      <c r="H410" s="1930" t="s">
        <v>452</v>
      </c>
      <c r="I410" s="1930" t="s">
        <v>97</v>
      </c>
      <c r="J410" s="1930" t="s">
        <v>137</v>
      </c>
      <c r="K410" s="1933">
        <v>149.65</v>
      </c>
      <c r="L410" s="1930" t="s">
        <v>138</v>
      </c>
    </row>
    <row r="411" spans="1:12" ht="13.5" x14ac:dyDescent="0.25">
      <c r="A411" s="1930" t="s">
        <v>4469</v>
      </c>
      <c r="B411" s="1930" t="s">
        <v>4470</v>
      </c>
      <c r="C411" s="1930" t="s">
        <v>4471</v>
      </c>
      <c r="D411" s="1930" t="s">
        <v>4472</v>
      </c>
      <c r="E411" s="1931" t="s">
        <v>33</v>
      </c>
      <c r="F411" s="1930" t="s">
        <v>33</v>
      </c>
      <c r="G411" s="1932">
        <v>96020</v>
      </c>
      <c r="H411" s="1930" t="s">
        <v>453</v>
      </c>
      <c r="I411" s="1930" t="s">
        <v>97</v>
      </c>
      <c r="J411" s="1930" t="s">
        <v>137</v>
      </c>
      <c r="K411" s="1933">
        <v>149.4</v>
      </c>
      <c r="L411" s="1930" t="s">
        <v>138</v>
      </c>
    </row>
    <row r="412" spans="1:12" ht="13.5" x14ac:dyDescent="0.25">
      <c r="A412" s="1930" t="s">
        <v>4469</v>
      </c>
      <c r="B412" s="1930" t="s">
        <v>4470</v>
      </c>
      <c r="C412" s="1930" t="s">
        <v>4471</v>
      </c>
      <c r="D412" s="1930" t="s">
        <v>4472</v>
      </c>
      <c r="E412" s="1931" t="s">
        <v>33</v>
      </c>
      <c r="F412" s="1930" t="s">
        <v>33</v>
      </c>
      <c r="G412" s="1932">
        <v>96028</v>
      </c>
      <c r="H412" s="1930" t="s">
        <v>454</v>
      </c>
      <c r="I412" s="1930" t="s">
        <v>97</v>
      </c>
      <c r="J412" s="1930" t="s">
        <v>137</v>
      </c>
      <c r="K412" s="1933">
        <v>110.93</v>
      </c>
      <c r="L412" s="1930" t="s">
        <v>138</v>
      </c>
    </row>
    <row r="413" spans="1:12" ht="13.5" x14ac:dyDescent="0.25">
      <c r="A413" s="1930" t="s">
        <v>4469</v>
      </c>
      <c r="B413" s="1930" t="s">
        <v>4470</v>
      </c>
      <c r="C413" s="1930" t="s">
        <v>4471</v>
      </c>
      <c r="D413" s="1930" t="s">
        <v>4472</v>
      </c>
      <c r="E413" s="1931" t="s">
        <v>33</v>
      </c>
      <c r="F413" s="1930" t="s">
        <v>33</v>
      </c>
      <c r="G413" s="1932">
        <v>96035</v>
      </c>
      <c r="H413" s="1930" t="s">
        <v>455</v>
      </c>
      <c r="I413" s="1930" t="s">
        <v>97</v>
      </c>
      <c r="J413" s="1930" t="s">
        <v>137</v>
      </c>
      <c r="K413" s="1933">
        <v>157.28</v>
      </c>
      <c r="L413" s="1930" t="s">
        <v>138</v>
      </c>
    </row>
    <row r="414" spans="1:12" ht="13.5" x14ac:dyDescent="0.25">
      <c r="A414" s="1930" t="s">
        <v>4469</v>
      </c>
      <c r="B414" s="1930" t="s">
        <v>4470</v>
      </c>
      <c r="C414" s="1930" t="s">
        <v>4471</v>
      </c>
      <c r="D414" s="1930" t="s">
        <v>4472</v>
      </c>
      <c r="E414" s="1931" t="s">
        <v>33</v>
      </c>
      <c r="F414" s="1930" t="s">
        <v>33</v>
      </c>
      <c r="G414" s="1932">
        <v>96157</v>
      </c>
      <c r="H414" s="1930" t="s">
        <v>456</v>
      </c>
      <c r="I414" s="1930" t="s">
        <v>97</v>
      </c>
      <c r="J414" s="1930" t="s">
        <v>137</v>
      </c>
      <c r="K414" s="1933">
        <v>111.18</v>
      </c>
      <c r="L414" s="1930" t="s">
        <v>138</v>
      </c>
    </row>
    <row r="415" spans="1:12" ht="13.5" x14ac:dyDescent="0.25">
      <c r="A415" s="1930" t="s">
        <v>4469</v>
      </c>
      <c r="B415" s="1930" t="s">
        <v>4470</v>
      </c>
      <c r="C415" s="1930" t="s">
        <v>4471</v>
      </c>
      <c r="D415" s="1930" t="s">
        <v>4472</v>
      </c>
      <c r="E415" s="1931" t="s">
        <v>33</v>
      </c>
      <c r="F415" s="1930" t="s">
        <v>33</v>
      </c>
      <c r="G415" s="1932">
        <v>96158</v>
      </c>
      <c r="H415" s="1930" t="s">
        <v>457</v>
      </c>
      <c r="I415" s="1930" t="s">
        <v>97</v>
      </c>
      <c r="J415" s="1930" t="s">
        <v>137</v>
      </c>
      <c r="K415" s="1933">
        <v>84.51</v>
      </c>
      <c r="L415" s="1930" t="s">
        <v>138</v>
      </c>
    </row>
    <row r="416" spans="1:12" ht="13.5" x14ac:dyDescent="0.25">
      <c r="A416" s="1930" t="s">
        <v>4469</v>
      </c>
      <c r="B416" s="1930" t="s">
        <v>4470</v>
      </c>
      <c r="C416" s="1930" t="s">
        <v>4471</v>
      </c>
      <c r="D416" s="1930" t="s">
        <v>4472</v>
      </c>
      <c r="E416" s="1931" t="s">
        <v>33</v>
      </c>
      <c r="F416" s="1930" t="s">
        <v>33</v>
      </c>
      <c r="G416" s="1932">
        <v>96245</v>
      </c>
      <c r="H416" s="1930" t="s">
        <v>458</v>
      </c>
      <c r="I416" s="1930" t="s">
        <v>97</v>
      </c>
      <c r="J416" s="1930" t="s">
        <v>137</v>
      </c>
      <c r="K416" s="1933">
        <v>60.17</v>
      </c>
      <c r="L416" s="1930" t="s">
        <v>138</v>
      </c>
    </row>
    <row r="417" spans="1:12" ht="13.5" x14ac:dyDescent="0.25">
      <c r="A417" s="1930" t="s">
        <v>4469</v>
      </c>
      <c r="B417" s="1930" t="s">
        <v>4470</v>
      </c>
      <c r="C417" s="1930" t="s">
        <v>4471</v>
      </c>
      <c r="D417" s="1930" t="s">
        <v>4472</v>
      </c>
      <c r="E417" s="1931" t="s">
        <v>33</v>
      </c>
      <c r="F417" s="1930" t="s">
        <v>33</v>
      </c>
      <c r="G417" s="1932">
        <v>96303</v>
      </c>
      <c r="H417" s="1930" t="s">
        <v>459</v>
      </c>
      <c r="I417" s="1930" t="s">
        <v>97</v>
      </c>
      <c r="J417" s="1930" t="s">
        <v>137</v>
      </c>
      <c r="K417" s="1933">
        <v>130.97</v>
      </c>
      <c r="L417" s="1930" t="s">
        <v>138</v>
      </c>
    </row>
    <row r="418" spans="1:12" ht="13.5" x14ac:dyDescent="0.25">
      <c r="A418" s="1930" t="s">
        <v>4469</v>
      </c>
      <c r="B418" s="1930" t="s">
        <v>4470</v>
      </c>
      <c r="C418" s="1930" t="s">
        <v>4471</v>
      </c>
      <c r="D418" s="1930" t="s">
        <v>4472</v>
      </c>
      <c r="E418" s="1931" t="s">
        <v>33</v>
      </c>
      <c r="F418" s="1930" t="s">
        <v>33</v>
      </c>
      <c r="G418" s="1932">
        <v>96309</v>
      </c>
      <c r="H418" s="1930" t="s">
        <v>460</v>
      </c>
      <c r="I418" s="1930" t="s">
        <v>97</v>
      </c>
      <c r="J418" s="1930" t="s">
        <v>137</v>
      </c>
      <c r="K418" s="1933">
        <v>1.02</v>
      </c>
      <c r="L418" s="1930" t="s">
        <v>138</v>
      </c>
    </row>
    <row r="419" spans="1:12" ht="13.5" x14ac:dyDescent="0.25">
      <c r="A419" s="1930" t="s">
        <v>4469</v>
      </c>
      <c r="B419" s="1930" t="s">
        <v>4470</v>
      </c>
      <c r="C419" s="1930" t="s">
        <v>4471</v>
      </c>
      <c r="D419" s="1930" t="s">
        <v>4472</v>
      </c>
      <c r="E419" s="1931" t="s">
        <v>33</v>
      </c>
      <c r="F419" s="1930" t="s">
        <v>33</v>
      </c>
      <c r="G419" s="1932">
        <v>96463</v>
      </c>
      <c r="H419" s="1930" t="s">
        <v>461</v>
      </c>
      <c r="I419" s="1930" t="s">
        <v>97</v>
      </c>
      <c r="J419" s="1930" t="s">
        <v>137</v>
      </c>
      <c r="K419" s="1933">
        <v>115.29</v>
      </c>
      <c r="L419" s="1930" t="s">
        <v>138</v>
      </c>
    </row>
    <row r="420" spans="1:12" ht="13.5" x14ac:dyDescent="0.25">
      <c r="A420" s="1930" t="s">
        <v>4469</v>
      </c>
      <c r="B420" s="1930" t="s">
        <v>4470</v>
      </c>
      <c r="C420" s="1930" t="s">
        <v>4471</v>
      </c>
      <c r="D420" s="1930" t="s">
        <v>4472</v>
      </c>
      <c r="E420" s="1931" t="s">
        <v>33</v>
      </c>
      <c r="F420" s="1930" t="s">
        <v>33</v>
      </c>
      <c r="G420" s="1932">
        <v>98764</v>
      </c>
      <c r="H420" s="1930" t="s">
        <v>6304</v>
      </c>
      <c r="I420" s="1930" t="s">
        <v>97</v>
      </c>
      <c r="J420" s="1930" t="s">
        <v>137</v>
      </c>
      <c r="K420" s="1933">
        <v>2.89</v>
      </c>
      <c r="L420" s="1930" t="s">
        <v>138</v>
      </c>
    </row>
    <row r="421" spans="1:12" ht="13.5" x14ac:dyDescent="0.25">
      <c r="A421" s="1930" t="s">
        <v>4469</v>
      </c>
      <c r="B421" s="1930" t="s">
        <v>4470</v>
      </c>
      <c r="C421" s="1930" t="s">
        <v>4471</v>
      </c>
      <c r="D421" s="1930" t="s">
        <v>4472</v>
      </c>
      <c r="E421" s="1931" t="s">
        <v>33</v>
      </c>
      <c r="F421" s="1930" t="s">
        <v>33</v>
      </c>
      <c r="G421" s="1932">
        <v>99833</v>
      </c>
      <c r="H421" s="1930" t="s">
        <v>7902</v>
      </c>
      <c r="I421" s="1930" t="s">
        <v>97</v>
      </c>
      <c r="J421" s="1930" t="s">
        <v>137</v>
      </c>
      <c r="K421" s="1933">
        <v>1.02</v>
      </c>
      <c r="L421" s="1930" t="s">
        <v>138</v>
      </c>
    </row>
    <row r="422" spans="1:12" ht="13.5" x14ac:dyDescent="0.25">
      <c r="A422" s="1930" t="s">
        <v>4469</v>
      </c>
      <c r="B422" s="1930" t="s">
        <v>4470</v>
      </c>
      <c r="C422" s="1930" t="s">
        <v>4471</v>
      </c>
      <c r="D422" s="1930" t="s">
        <v>4472</v>
      </c>
      <c r="E422" s="1931" t="s">
        <v>33</v>
      </c>
      <c r="F422" s="1930" t="s">
        <v>33</v>
      </c>
      <c r="G422" s="1932">
        <v>100641</v>
      </c>
      <c r="H422" s="1930" t="s">
        <v>8601</v>
      </c>
      <c r="I422" s="1930" t="s">
        <v>97</v>
      </c>
      <c r="J422" s="1930" t="s">
        <v>137</v>
      </c>
      <c r="K422" s="1933">
        <v>385.46</v>
      </c>
      <c r="L422" s="1930" t="s">
        <v>138</v>
      </c>
    </row>
    <row r="423" spans="1:12" ht="13.5" x14ac:dyDescent="0.25">
      <c r="A423" s="1930" t="s">
        <v>4469</v>
      </c>
      <c r="B423" s="1930" t="s">
        <v>4470</v>
      </c>
      <c r="C423" s="1930" t="s">
        <v>4471</v>
      </c>
      <c r="D423" s="1930" t="s">
        <v>4472</v>
      </c>
      <c r="E423" s="1931" t="s">
        <v>33</v>
      </c>
      <c r="F423" s="1930" t="s">
        <v>33</v>
      </c>
      <c r="G423" s="1932">
        <v>100647</v>
      </c>
      <c r="H423" s="1930" t="s">
        <v>8602</v>
      </c>
      <c r="I423" s="1930" t="s">
        <v>97</v>
      </c>
      <c r="J423" s="1930" t="s">
        <v>137</v>
      </c>
      <c r="K423" s="1933">
        <v>815.69</v>
      </c>
      <c r="L423" s="1930" t="s">
        <v>138</v>
      </c>
    </row>
    <row r="424" spans="1:12" ht="13.5" x14ac:dyDescent="0.25">
      <c r="A424" s="1930" t="s">
        <v>4469</v>
      </c>
      <c r="B424" s="1930" t="s">
        <v>4470</v>
      </c>
      <c r="C424" s="1930" t="s">
        <v>4473</v>
      </c>
      <c r="D424" s="1930" t="s">
        <v>4474</v>
      </c>
      <c r="E424" s="1931" t="s">
        <v>33</v>
      </c>
      <c r="F424" s="1930" t="s">
        <v>33</v>
      </c>
      <c r="G424" s="1932">
        <v>5632</v>
      </c>
      <c r="H424" s="1930" t="s">
        <v>462</v>
      </c>
      <c r="I424" s="1930" t="s">
        <v>98</v>
      </c>
      <c r="J424" s="1930" t="s">
        <v>137</v>
      </c>
      <c r="K424" s="1933">
        <v>45.66</v>
      </c>
      <c r="L424" s="1930" t="s">
        <v>138</v>
      </c>
    </row>
    <row r="425" spans="1:12" ht="13.5" x14ac:dyDescent="0.25">
      <c r="A425" s="1930" t="s">
        <v>4469</v>
      </c>
      <c r="B425" s="1930" t="s">
        <v>4470</v>
      </c>
      <c r="C425" s="1930" t="s">
        <v>4473</v>
      </c>
      <c r="D425" s="1930" t="s">
        <v>4474</v>
      </c>
      <c r="E425" s="1931" t="s">
        <v>33</v>
      </c>
      <c r="F425" s="1930" t="s">
        <v>33</v>
      </c>
      <c r="G425" s="1932">
        <v>5679</v>
      </c>
      <c r="H425" s="1930" t="s">
        <v>463</v>
      </c>
      <c r="I425" s="1930" t="s">
        <v>98</v>
      </c>
      <c r="J425" s="1930" t="s">
        <v>137</v>
      </c>
      <c r="K425" s="1933">
        <v>34.92</v>
      </c>
      <c r="L425" s="1930" t="s">
        <v>138</v>
      </c>
    </row>
    <row r="426" spans="1:12" ht="13.5" x14ac:dyDescent="0.25">
      <c r="A426" s="1930" t="s">
        <v>4469</v>
      </c>
      <c r="B426" s="1930" t="s">
        <v>4470</v>
      </c>
      <c r="C426" s="1930" t="s">
        <v>4473</v>
      </c>
      <c r="D426" s="1930" t="s">
        <v>4474</v>
      </c>
      <c r="E426" s="1931" t="s">
        <v>33</v>
      </c>
      <c r="F426" s="1930" t="s">
        <v>33</v>
      </c>
      <c r="G426" s="1932">
        <v>5681</v>
      </c>
      <c r="H426" s="1930" t="s">
        <v>464</v>
      </c>
      <c r="I426" s="1930" t="s">
        <v>98</v>
      </c>
      <c r="J426" s="1930" t="s">
        <v>137</v>
      </c>
      <c r="K426" s="1933">
        <v>33.19</v>
      </c>
      <c r="L426" s="1930" t="s">
        <v>138</v>
      </c>
    </row>
    <row r="427" spans="1:12" ht="13.5" x14ac:dyDescent="0.25">
      <c r="A427" s="1930" t="s">
        <v>4469</v>
      </c>
      <c r="B427" s="1930" t="s">
        <v>4470</v>
      </c>
      <c r="C427" s="1930" t="s">
        <v>4473</v>
      </c>
      <c r="D427" s="1930" t="s">
        <v>4474</v>
      </c>
      <c r="E427" s="1931" t="s">
        <v>33</v>
      </c>
      <c r="F427" s="1930" t="s">
        <v>33</v>
      </c>
      <c r="G427" s="1932">
        <v>5685</v>
      </c>
      <c r="H427" s="1930" t="s">
        <v>465</v>
      </c>
      <c r="I427" s="1930" t="s">
        <v>98</v>
      </c>
      <c r="J427" s="1930" t="s">
        <v>137</v>
      </c>
      <c r="K427" s="1933">
        <v>33.049999999999997</v>
      </c>
      <c r="L427" s="1930" t="s">
        <v>138</v>
      </c>
    </row>
    <row r="428" spans="1:12" ht="13.5" x14ac:dyDescent="0.25">
      <c r="A428" s="1930" t="s">
        <v>4469</v>
      </c>
      <c r="B428" s="1930" t="s">
        <v>4470</v>
      </c>
      <c r="C428" s="1930" t="s">
        <v>4473</v>
      </c>
      <c r="D428" s="1930" t="s">
        <v>4474</v>
      </c>
      <c r="E428" s="1931" t="s">
        <v>33</v>
      </c>
      <c r="F428" s="1930" t="s">
        <v>33</v>
      </c>
      <c r="G428" s="1932">
        <v>5690</v>
      </c>
      <c r="H428" s="1930" t="s">
        <v>466</v>
      </c>
      <c r="I428" s="1930" t="s">
        <v>98</v>
      </c>
      <c r="J428" s="1930" t="s">
        <v>137</v>
      </c>
      <c r="K428" s="1933">
        <v>1.97</v>
      </c>
      <c r="L428" s="1930" t="s">
        <v>138</v>
      </c>
    </row>
    <row r="429" spans="1:12" ht="13.5" x14ac:dyDescent="0.25">
      <c r="A429" s="1930" t="s">
        <v>4469</v>
      </c>
      <c r="B429" s="1930" t="s">
        <v>4470</v>
      </c>
      <c r="C429" s="1930" t="s">
        <v>4473</v>
      </c>
      <c r="D429" s="1930" t="s">
        <v>4474</v>
      </c>
      <c r="E429" s="1931" t="s">
        <v>33</v>
      </c>
      <c r="F429" s="1930" t="s">
        <v>33</v>
      </c>
      <c r="G429" s="1932">
        <v>5806</v>
      </c>
      <c r="H429" s="1930" t="s">
        <v>467</v>
      </c>
      <c r="I429" s="1930" t="s">
        <v>98</v>
      </c>
      <c r="J429" s="1930" t="s">
        <v>320</v>
      </c>
      <c r="K429" s="1933">
        <v>0.15</v>
      </c>
      <c r="L429" s="1930" t="s">
        <v>138</v>
      </c>
    </row>
    <row r="430" spans="1:12" ht="13.5" x14ac:dyDescent="0.25">
      <c r="A430" s="1930" t="s">
        <v>4469</v>
      </c>
      <c r="B430" s="1930" t="s">
        <v>4470</v>
      </c>
      <c r="C430" s="1930" t="s">
        <v>4473</v>
      </c>
      <c r="D430" s="1930" t="s">
        <v>4474</v>
      </c>
      <c r="E430" s="1931" t="s">
        <v>33</v>
      </c>
      <c r="F430" s="1930" t="s">
        <v>33</v>
      </c>
      <c r="G430" s="1932">
        <v>5826</v>
      </c>
      <c r="H430" s="1930" t="s">
        <v>468</v>
      </c>
      <c r="I430" s="1930" t="s">
        <v>98</v>
      </c>
      <c r="J430" s="1930" t="s">
        <v>137</v>
      </c>
      <c r="K430" s="1933">
        <v>27.09</v>
      </c>
      <c r="L430" s="1930" t="s">
        <v>138</v>
      </c>
    </row>
    <row r="431" spans="1:12" ht="13.5" x14ac:dyDescent="0.25">
      <c r="A431" s="1930" t="s">
        <v>4469</v>
      </c>
      <c r="B431" s="1930" t="s">
        <v>4470</v>
      </c>
      <c r="C431" s="1930" t="s">
        <v>4473</v>
      </c>
      <c r="D431" s="1930" t="s">
        <v>4474</v>
      </c>
      <c r="E431" s="1931" t="s">
        <v>33</v>
      </c>
      <c r="F431" s="1930" t="s">
        <v>33</v>
      </c>
      <c r="G431" s="1932">
        <v>5829</v>
      </c>
      <c r="H431" s="1930" t="s">
        <v>469</v>
      </c>
      <c r="I431" s="1930" t="s">
        <v>98</v>
      </c>
      <c r="J431" s="1930" t="s">
        <v>137</v>
      </c>
      <c r="K431" s="1933">
        <v>114.05</v>
      </c>
      <c r="L431" s="1930" t="s">
        <v>138</v>
      </c>
    </row>
    <row r="432" spans="1:12" ht="13.5" x14ac:dyDescent="0.25">
      <c r="A432" s="1930" t="s">
        <v>4469</v>
      </c>
      <c r="B432" s="1930" t="s">
        <v>4470</v>
      </c>
      <c r="C432" s="1930" t="s">
        <v>4473</v>
      </c>
      <c r="D432" s="1930" t="s">
        <v>4474</v>
      </c>
      <c r="E432" s="1931" t="s">
        <v>33</v>
      </c>
      <c r="F432" s="1930" t="s">
        <v>33</v>
      </c>
      <c r="G432" s="1932">
        <v>5837</v>
      </c>
      <c r="H432" s="1930" t="s">
        <v>470</v>
      </c>
      <c r="I432" s="1930" t="s">
        <v>98</v>
      </c>
      <c r="J432" s="1930" t="s">
        <v>137</v>
      </c>
      <c r="K432" s="1933">
        <v>91.5</v>
      </c>
      <c r="L432" s="1930" t="s">
        <v>138</v>
      </c>
    </row>
    <row r="433" spans="1:12" ht="13.5" x14ac:dyDescent="0.25">
      <c r="A433" s="1930" t="s">
        <v>4469</v>
      </c>
      <c r="B433" s="1930" t="s">
        <v>4470</v>
      </c>
      <c r="C433" s="1930" t="s">
        <v>4473</v>
      </c>
      <c r="D433" s="1930" t="s">
        <v>4474</v>
      </c>
      <c r="E433" s="1931" t="s">
        <v>33</v>
      </c>
      <c r="F433" s="1930" t="s">
        <v>33</v>
      </c>
      <c r="G433" s="1932">
        <v>5841</v>
      </c>
      <c r="H433" s="1930" t="s">
        <v>471</v>
      </c>
      <c r="I433" s="1930" t="s">
        <v>98</v>
      </c>
      <c r="J433" s="1930" t="s">
        <v>137</v>
      </c>
      <c r="K433" s="1933">
        <v>2.27</v>
      </c>
      <c r="L433" s="1930" t="s">
        <v>138</v>
      </c>
    </row>
    <row r="434" spans="1:12" ht="13.5" x14ac:dyDescent="0.25">
      <c r="A434" s="1930" t="s">
        <v>4469</v>
      </c>
      <c r="B434" s="1930" t="s">
        <v>4470</v>
      </c>
      <c r="C434" s="1930" t="s">
        <v>4473</v>
      </c>
      <c r="D434" s="1930" t="s">
        <v>4474</v>
      </c>
      <c r="E434" s="1931" t="s">
        <v>33</v>
      </c>
      <c r="F434" s="1930" t="s">
        <v>33</v>
      </c>
      <c r="G434" s="1932">
        <v>5845</v>
      </c>
      <c r="H434" s="1930" t="s">
        <v>472</v>
      </c>
      <c r="I434" s="1930" t="s">
        <v>98</v>
      </c>
      <c r="J434" s="1930" t="s">
        <v>137</v>
      </c>
      <c r="K434" s="1933">
        <v>27.41</v>
      </c>
      <c r="L434" s="1930" t="s">
        <v>138</v>
      </c>
    </row>
    <row r="435" spans="1:12" ht="13.5" x14ac:dyDescent="0.25">
      <c r="A435" s="1930" t="s">
        <v>4469</v>
      </c>
      <c r="B435" s="1930" t="s">
        <v>4470</v>
      </c>
      <c r="C435" s="1930" t="s">
        <v>4473</v>
      </c>
      <c r="D435" s="1930" t="s">
        <v>4474</v>
      </c>
      <c r="E435" s="1931" t="s">
        <v>33</v>
      </c>
      <c r="F435" s="1930" t="s">
        <v>33</v>
      </c>
      <c r="G435" s="1932">
        <v>5849</v>
      </c>
      <c r="H435" s="1930" t="s">
        <v>473</v>
      </c>
      <c r="I435" s="1930" t="s">
        <v>98</v>
      </c>
      <c r="J435" s="1930" t="s">
        <v>137</v>
      </c>
      <c r="K435" s="1933">
        <v>44.02</v>
      </c>
      <c r="L435" s="1930" t="s">
        <v>138</v>
      </c>
    </row>
    <row r="436" spans="1:12" ht="13.5" x14ac:dyDescent="0.25">
      <c r="A436" s="1930" t="s">
        <v>4469</v>
      </c>
      <c r="B436" s="1930" t="s">
        <v>4470</v>
      </c>
      <c r="C436" s="1930" t="s">
        <v>4473</v>
      </c>
      <c r="D436" s="1930" t="s">
        <v>4474</v>
      </c>
      <c r="E436" s="1931" t="s">
        <v>33</v>
      </c>
      <c r="F436" s="1930" t="s">
        <v>33</v>
      </c>
      <c r="G436" s="1932">
        <v>5853</v>
      </c>
      <c r="H436" s="1930" t="s">
        <v>474</v>
      </c>
      <c r="I436" s="1930" t="s">
        <v>98</v>
      </c>
      <c r="J436" s="1930" t="s">
        <v>137</v>
      </c>
      <c r="K436" s="1933">
        <v>44.19</v>
      </c>
      <c r="L436" s="1930" t="s">
        <v>138</v>
      </c>
    </row>
    <row r="437" spans="1:12" ht="13.5" x14ac:dyDescent="0.25">
      <c r="A437" s="1930" t="s">
        <v>4469</v>
      </c>
      <c r="B437" s="1930" t="s">
        <v>4470</v>
      </c>
      <c r="C437" s="1930" t="s">
        <v>4473</v>
      </c>
      <c r="D437" s="1930" t="s">
        <v>4474</v>
      </c>
      <c r="E437" s="1931" t="s">
        <v>33</v>
      </c>
      <c r="F437" s="1930" t="s">
        <v>33</v>
      </c>
      <c r="G437" s="1932">
        <v>5857</v>
      </c>
      <c r="H437" s="1930" t="s">
        <v>475</v>
      </c>
      <c r="I437" s="1930" t="s">
        <v>98</v>
      </c>
      <c r="J437" s="1930" t="s">
        <v>137</v>
      </c>
      <c r="K437" s="1933">
        <v>108.79</v>
      </c>
      <c r="L437" s="1930" t="s">
        <v>138</v>
      </c>
    </row>
    <row r="438" spans="1:12" ht="13.5" x14ac:dyDescent="0.25">
      <c r="A438" s="1930" t="s">
        <v>4469</v>
      </c>
      <c r="B438" s="1930" t="s">
        <v>4470</v>
      </c>
      <c r="C438" s="1930" t="s">
        <v>4473</v>
      </c>
      <c r="D438" s="1930" t="s">
        <v>4474</v>
      </c>
      <c r="E438" s="1931" t="s">
        <v>33</v>
      </c>
      <c r="F438" s="1930" t="s">
        <v>33</v>
      </c>
      <c r="G438" s="1932">
        <v>5865</v>
      </c>
      <c r="H438" s="1930" t="s">
        <v>476</v>
      </c>
      <c r="I438" s="1930" t="s">
        <v>98</v>
      </c>
      <c r="J438" s="1930" t="s">
        <v>137</v>
      </c>
      <c r="K438" s="1933">
        <v>5.17</v>
      </c>
      <c r="L438" s="1930" t="s">
        <v>138</v>
      </c>
    </row>
    <row r="439" spans="1:12" ht="13.5" x14ac:dyDescent="0.25">
      <c r="A439" s="1930" t="s">
        <v>4469</v>
      </c>
      <c r="B439" s="1930" t="s">
        <v>4470</v>
      </c>
      <c r="C439" s="1930" t="s">
        <v>4473</v>
      </c>
      <c r="D439" s="1930" t="s">
        <v>4474</v>
      </c>
      <c r="E439" s="1931" t="s">
        <v>33</v>
      </c>
      <c r="F439" s="1930" t="s">
        <v>33</v>
      </c>
      <c r="G439" s="1932">
        <v>5869</v>
      </c>
      <c r="H439" s="1930" t="s">
        <v>477</v>
      </c>
      <c r="I439" s="1930" t="s">
        <v>98</v>
      </c>
      <c r="J439" s="1930" t="s">
        <v>137</v>
      </c>
      <c r="K439" s="1933">
        <v>36.950000000000003</v>
      </c>
      <c r="L439" s="1930" t="s">
        <v>138</v>
      </c>
    </row>
    <row r="440" spans="1:12" ht="13.5" x14ac:dyDescent="0.25">
      <c r="A440" s="1930" t="s">
        <v>4469</v>
      </c>
      <c r="B440" s="1930" t="s">
        <v>4470</v>
      </c>
      <c r="C440" s="1930" t="s">
        <v>4473</v>
      </c>
      <c r="D440" s="1930" t="s">
        <v>4474</v>
      </c>
      <c r="E440" s="1931" t="s">
        <v>33</v>
      </c>
      <c r="F440" s="1930" t="s">
        <v>33</v>
      </c>
      <c r="G440" s="1932">
        <v>5877</v>
      </c>
      <c r="H440" s="1930" t="s">
        <v>478</v>
      </c>
      <c r="I440" s="1930" t="s">
        <v>98</v>
      </c>
      <c r="J440" s="1930" t="s">
        <v>137</v>
      </c>
      <c r="K440" s="1933">
        <v>34.369999999999997</v>
      </c>
      <c r="L440" s="1930" t="s">
        <v>138</v>
      </c>
    </row>
    <row r="441" spans="1:12" ht="13.5" x14ac:dyDescent="0.25">
      <c r="A441" s="1930" t="s">
        <v>4469</v>
      </c>
      <c r="B441" s="1930" t="s">
        <v>4470</v>
      </c>
      <c r="C441" s="1930" t="s">
        <v>4473</v>
      </c>
      <c r="D441" s="1930" t="s">
        <v>4474</v>
      </c>
      <c r="E441" s="1931" t="s">
        <v>33</v>
      </c>
      <c r="F441" s="1930" t="s">
        <v>33</v>
      </c>
      <c r="G441" s="1932">
        <v>5881</v>
      </c>
      <c r="H441" s="1930" t="s">
        <v>479</v>
      </c>
      <c r="I441" s="1930" t="s">
        <v>98</v>
      </c>
      <c r="J441" s="1930" t="s">
        <v>137</v>
      </c>
      <c r="K441" s="1933">
        <v>39.32</v>
      </c>
      <c r="L441" s="1930" t="s">
        <v>138</v>
      </c>
    </row>
    <row r="442" spans="1:12" ht="13.5" x14ac:dyDescent="0.25">
      <c r="A442" s="1930" t="s">
        <v>4469</v>
      </c>
      <c r="B442" s="1930" t="s">
        <v>4470</v>
      </c>
      <c r="C442" s="1930" t="s">
        <v>4473</v>
      </c>
      <c r="D442" s="1930" t="s">
        <v>4474</v>
      </c>
      <c r="E442" s="1931" t="s">
        <v>33</v>
      </c>
      <c r="F442" s="1930" t="s">
        <v>33</v>
      </c>
      <c r="G442" s="1932">
        <v>5884</v>
      </c>
      <c r="H442" s="1930" t="s">
        <v>480</v>
      </c>
      <c r="I442" s="1930" t="s">
        <v>98</v>
      </c>
      <c r="J442" s="1930" t="s">
        <v>137</v>
      </c>
      <c r="K442" s="1933">
        <v>32.68</v>
      </c>
      <c r="L442" s="1930" t="s">
        <v>138</v>
      </c>
    </row>
    <row r="443" spans="1:12" ht="13.5" x14ac:dyDescent="0.25">
      <c r="A443" s="1930" t="s">
        <v>4469</v>
      </c>
      <c r="B443" s="1930" t="s">
        <v>4470</v>
      </c>
      <c r="C443" s="1930" t="s">
        <v>4473</v>
      </c>
      <c r="D443" s="1930" t="s">
        <v>4474</v>
      </c>
      <c r="E443" s="1931" t="s">
        <v>33</v>
      </c>
      <c r="F443" s="1930" t="s">
        <v>33</v>
      </c>
      <c r="G443" s="1932">
        <v>5892</v>
      </c>
      <c r="H443" s="1930" t="s">
        <v>481</v>
      </c>
      <c r="I443" s="1930" t="s">
        <v>98</v>
      </c>
      <c r="J443" s="1930" t="s">
        <v>137</v>
      </c>
      <c r="K443" s="1933">
        <v>28.13</v>
      </c>
      <c r="L443" s="1930" t="s">
        <v>138</v>
      </c>
    </row>
    <row r="444" spans="1:12" ht="13.5" x14ac:dyDescent="0.25">
      <c r="A444" s="1930" t="s">
        <v>4469</v>
      </c>
      <c r="B444" s="1930" t="s">
        <v>4470</v>
      </c>
      <c r="C444" s="1930" t="s">
        <v>4473</v>
      </c>
      <c r="D444" s="1930" t="s">
        <v>4474</v>
      </c>
      <c r="E444" s="1931" t="s">
        <v>33</v>
      </c>
      <c r="F444" s="1930" t="s">
        <v>33</v>
      </c>
      <c r="G444" s="1932">
        <v>5896</v>
      </c>
      <c r="H444" s="1930" t="s">
        <v>482</v>
      </c>
      <c r="I444" s="1930" t="s">
        <v>98</v>
      </c>
      <c r="J444" s="1930" t="s">
        <v>137</v>
      </c>
      <c r="K444" s="1933">
        <v>26.32</v>
      </c>
      <c r="L444" s="1930" t="s">
        <v>138</v>
      </c>
    </row>
    <row r="445" spans="1:12" ht="13.5" x14ac:dyDescent="0.25">
      <c r="A445" s="1930" t="s">
        <v>4469</v>
      </c>
      <c r="B445" s="1930" t="s">
        <v>4470</v>
      </c>
      <c r="C445" s="1930" t="s">
        <v>4473</v>
      </c>
      <c r="D445" s="1930" t="s">
        <v>4474</v>
      </c>
      <c r="E445" s="1931" t="s">
        <v>33</v>
      </c>
      <c r="F445" s="1930" t="s">
        <v>33</v>
      </c>
      <c r="G445" s="1932">
        <v>5903</v>
      </c>
      <c r="H445" s="1930" t="s">
        <v>483</v>
      </c>
      <c r="I445" s="1930" t="s">
        <v>98</v>
      </c>
      <c r="J445" s="1930" t="s">
        <v>137</v>
      </c>
      <c r="K445" s="1933">
        <v>33.130000000000003</v>
      </c>
      <c r="L445" s="1930" t="s">
        <v>138</v>
      </c>
    </row>
    <row r="446" spans="1:12" ht="13.5" x14ac:dyDescent="0.25">
      <c r="A446" s="1930" t="s">
        <v>4469</v>
      </c>
      <c r="B446" s="1930" t="s">
        <v>4470</v>
      </c>
      <c r="C446" s="1930" t="s">
        <v>4473</v>
      </c>
      <c r="D446" s="1930" t="s">
        <v>4474</v>
      </c>
      <c r="E446" s="1931" t="s">
        <v>33</v>
      </c>
      <c r="F446" s="1930" t="s">
        <v>33</v>
      </c>
      <c r="G446" s="1932">
        <v>5911</v>
      </c>
      <c r="H446" s="1930" t="s">
        <v>484</v>
      </c>
      <c r="I446" s="1930" t="s">
        <v>98</v>
      </c>
      <c r="J446" s="1930" t="s">
        <v>137</v>
      </c>
      <c r="K446" s="1933">
        <v>18.07</v>
      </c>
      <c r="L446" s="1930" t="s">
        <v>138</v>
      </c>
    </row>
    <row r="447" spans="1:12" ht="13.5" x14ac:dyDescent="0.25">
      <c r="A447" s="1930" t="s">
        <v>4469</v>
      </c>
      <c r="B447" s="1930" t="s">
        <v>4470</v>
      </c>
      <c r="C447" s="1930" t="s">
        <v>4473</v>
      </c>
      <c r="D447" s="1930" t="s">
        <v>4474</v>
      </c>
      <c r="E447" s="1931" t="s">
        <v>33</v>
      </c>
      <c r="F447" s="1930" t="s">
        <v>33</v>
      </c>
      <c r="G447" s="1932">
        <v>5923</v>
      </c>
      <c r="H447" s="1930" t="s">
        <v>485</v>
      </c>
      <c r="I447" s="1930" t="s">
        <v>98</v>
      </c>
      <c r="J447" s="1930" t="s">
        <v>137</v>
      </c>
      <c r="K447" s="1933">
        <v>1.54</v>
      </c>
      <c r="L447" s="1930" t="s">
        <v>138</v>
      </c>
    </row>
    <row r="448" spans="1:12" ht="13.5" x14ac:dyDescent="0.25">
      <c r="A448" s="1930" t="s">
        <v>4469</v>
      </c>
      <c r="B448" s="1930" t="s">
        <v>4470</v>
      </c>
      <c r="C448" s="1930" t="s">
        <v>4473</v>
      </c>
      <c r="D448" s="1930" t="s">
        <v>4474</v>
      </c>
      <c r="E448" s="1931" t="s">
        <v>33</v>
      </c>
      <c r="F448" s="1930" t="s">
        <v>33</v>
      </c>
      <c r="G448" s="1932">
        <v>5930</v>
      </c>
      <c r="H448" s="1930" t="s">
        <v>486</v>
      </c>
      <c r="I448" s="1930" t="s">
        <v>98</v>
      </c>
      <c r="J448" s="1930" t="s">
        <v>137</v>
      </c>
      <c r="K448" s="1933">
        <v>28.73</v>
      </c>
      <c r="L448" s="1930" t="s">
        <v>138</v>
      </c>
    </row>
    <row r="449" spans="1:12" ht="13.5" x14ac:dyDescent="0.25">
      <c r="A449" s="1930" t="s">
        <v>4469</v>
      </c>
      <c r="B449" s="1930" t="s">
        <v>4470</v>
      </c>
      <c r="C449" s="1930" t="s">
        <v>4473</v>
      </c>
      <c r="D449" s="1930" t="s">
        <v>4474</v>
      </c>
      <c r="E449" s="1931" t="s">
        <v>33</v>
      </c>
      <c r="F449" s="1930" t="s">
        <v>33</v>
      </c>
      <c r="G449" s="1932">
        <v>5934</v>
      </c>
      <c r="H449" s="1930" t="s">
        <v>487</v>
      </c>
      <c r="I449" s="1930" t="s">
        <v>98</v>
      </c>
      <c r="J449" s="1930" t="s">
        <v>137</v>
      </c>
      <c r="K449" s="1933">
        <v>46.6</v>
      </c>
      <c r="L449" s="1930" t="s">
        <v>138</v>
      </c>
    </row>
    <row r="450" spans="1:12" ht="13.5" x14ac:dyDescent="0.25">
      <c r="A450" s="1930" t="s">
        <v>4469</v>
      </c>
      <c r="B450" s="1930" t="s">
        <v>4470</v>
      </c>
      <c r="C450" s="1930" t="s">
        <v>4473</v>
      </c>
      <c r="D450" s="1930" t="s">
        <v>4474</v>
      </c>
      <c r="E450" s="1931" t="s">
        <v>33</v>
      </c>
      <c r="F450" s="1930" t="s">
        <v>33</v>
      </c>
      <c r="G450" s="1932">
        <v>5942</v>
      </c>
      <c r="H450" s="1930" t="s">
        <v>488</v>
      </c>
      <c r="I450" s="1930" t="s">
        <v>98</v>
      </c>
      <c r="J450" s="1930" t="s">
        <v>137</v>
      </c>
      <c r="K450" s="1933">
        <v>41.81</v>
      </c>
      <c r="L450" s="1930" t="s">
        <v>138</v>
      </c>
    </row>
    <row r="451" spans="1:12" ht="13.5" x14ac:dyDescent="0.25">
      <c r="A451" s="1930" t="s">
        <v>4469</v>
      </c>
      <c r="B451" s="1930" t="s">
        <v>4470</v>
      </c>
      <c r="C451" s="1930" t="s">
        <v>4473</v>
      </c>
      <c r="D451" s="1930" t="s">
        <v>4474</v>
      </c>
      <c r="E451" s="1931" t="s">
        <v>33</v>
      </c>
      <c r="F451" s="1930" t="s">
        <v>33</v>
      </c>
      <c r="G451" s="1932">
        <v>5946</v>
      </c>
      <c r="H451" s="1930" t="s">
        <v>489</v>
      </c>
      <c r="I451" s="1930" t="s">
        <v>98</v>
      </c>
      <c r="J451" s="1930" t="s">
        <v>137</v>
      </c>
      <c r="K451" s="1933">
        <v>51.28</v>
      </c>
      <c r="L451" s="1930" t="s">
        <v>138</v>
      </c>
    </row>
    <row r="452" spans="1:12" ht="13.5" x14ac:dyDescent="0.25">
      <c r="A452" s="1930" t="s">
        <v>4469</v>
      </c>
      <c r="B452" s="1930" t="s">
        <v>4470</v>
      </c>
      <c r="C452" s="1930" t="s">
        <v>4473</v>
      </c>
      <c r="D452" s="1930" t="s">
        <v>4474</v>
      </c>
      <c r="E452" s="1931" t="s">
        <v>33</v>
      </c>
      <c r="F452" s="1930" t="s">
        <v>33</v>
      </c>
      <c r="G452" s="1932">
        <v>5952</v>
      </c>
      <c r="H452" s="1930" t="s">
        <v>490</v>
      </c>
      <c r="I452" s="1930" t="s">
        <v>98</v>
      </c>
      <c r="J452" s="1930" t="s">
        <v>137</v>
      </c>
      <c r="K452" s="1933">
        <v>17.2</v>
      </c>
      <c r="L452" s="1930" t="s">
        <v>138</v>
      </c>
    </row>
    <row r="453" spans="1:12" ht="13.5" x14ac:dyDescent="0.25">
      <c r="A453" s="1930" t="s">
        <v>4469</v>
      </c>
      <c r="B453" s="1930" t="s">
        <v>4470</v>
      </c>
      <c r="C453" s="1930" t="s">
        <v>4473</v>
      </c>
      <c r="D453" s="1930" t="s">
        <v>4474</v>
      </c>
      <c r="E453" s="1931" t="s">
        <v>33</v>
      </c>
      <c r="F453" s="1930" t="s">
        <v>33</v>
      </c>
      <c r="G453" s="1932">
        <v>5954</v>
      </c>
      <c r="H453" s="1930" t="s">
        <v>491</v>
      </c>
      <c r="I453" s="1930" t="s">
        <v>98</v>
      </c>
      <c r="J453" s="1930" t="s">
        <v>137</v>
      </c>
      <c r="K453" s="1933">
        <v>2.65</v>
      </c>
      <c r="L453" s="1930" t="s">
        <v>138</v>
      </c>
    </row>
    <row r="454" spans="1:12" ht="13.5" x14ac:dyDescent="0.25">
      <c r="A454" s="1930" t="s">
        <v>4469</v>
      </c>
      <c r="B454" s="1930" t="s">
        <v>4470</v>
      </c>
      <c r="C454" s="1930" t="s">
        <v>4473</v>
      </c>
      <c r="D454" s="1930" t="s">
        <v>4474</v>
      </c>
      <c r="E454" s="1931" t="s">
        <v>33</v>
      </c>
      <c r="F454" s="1930" t="s">
        <v>33</v>
      </c>
      <c r="G454" s="1932">
        <v>5961</v>
      </c>
      <c r="H454" s="1930" t="s">
        <v>492</v>
      </c>
      <c r="I454" s="1930" t="s">
        <v>98</v>
      </c>
      <c r="J454" s="1930" t="s">
        <v>137</v>
      </c>
      <c r="K454" s="1933">
        <v>32.32</v>
      </c>
      <c r="L454" s="1930" t="s">
        <v>138</v>
      </c>
    </row>
    <row r="455" spans="1:12" ht="13.5" x14ac:dyDescent="0.25">
      <c r="A455" s="1930" t="s">
        <v>4469</v>
      </c>
      <c r="B455" s="1930" t="s">
        <v>4470</v>
      </c>
      <c r="C455" s="1930" t="s">
        <v>4473</v>
      </c>
      <c r="D455" s="1930" t="s">
        <v>4474</v>
      </c>
      <c r="E455" s="1931" t="s">
        <v>33</v>
      </c>
      <c r="F455" s="1930" t="s">
        <v>33</v>
      </c>
      <c r="G455" s="1932">
        <v>6260</v>
      </c>
      <c r="H455" s="1930" t="s">
        <v>493</v>
      </c>
      <c r="I455" s="1930" t="s">
        <v>98</v>
      </c>
      <c r="J455" s="1930" t="s">
        <v>137</v>
      </c>
      <c r="K455" s="1933">
        <v>29.48</v>
      </c>
      <c r="L455" s="1930" t="s">
        <v>138</v>
      </c>
    </row>
    <row r="456" spans="1:12" ht="13.5" x14ac:dyDescent="0.25">
      <c r="A456" s="1930" t="s">
        <v>4469</v>
      </c>
      <c r="B456" s="1930" t="s">
        <v>4470</v>
      </c>
      <c r="C456" s="1930" t="s">
        <v>4473</v>
      </c>
      <c r="D456" s="1930" t="s">
        <v>4474</v>
      </c>
      <c r="E456" s="1931" t="s">
        <v>33</v>
      </c>
      <c r="F456" s="1930" t="s">
        <v>33</v>
      </c>
      <c r="G456" s="1932">
        <v>6880</v>
      </c>
      <c r="H456" s="1930" t="s">
        <v>494</v>
      </c>
      <c r="I456" s="1930" t="s">
        <v>98</v>
      </c>
      <c r="J456" s="1930" t="s">
        <v>137</v>
      </c>
      <c r="K456" s="1933">
        <v>42.69</v>
      </c>
      <c r="L456" s="1930" t="s">
        <v>138</v>
      </c>
    </row>
    <row r="457" spans="1:12" ht="13.5" x14ac:dyDescent="0.25">
      <c r="A457" s="1930" t="s">
        <v>4469</v>
      </c>
      <c r="B457" s="1930" t="s">
        <v>4470</v>
      </c>
      <c r="C457" s="1930" t="s">
        <v>4473</v>
      </c>
      <c r="D457" s="1930" t="s">
        <v>4474</v>
      </c>
      <c r="E457" s="1931" t="s">
        <v>33</v>
      </c>
      <c r="F457" s="1930" t="s">
        <v>33</v>
      </c>
      <c r="G457" s="1932">
        <v>7031</v>
      </c>
      <c r="H457" s="1930" t="s">
        <v>495</v>
      </c>
      <c r="I457" s="1930" t="s">
        <v>98</v>
      </c>
      <c r="J457" s="1930" t="s">
        <v>137</v>
      </c>
      <c r="K457" s="1933">
        <v>3.41</v>
      </c>
      <c r="L457" s="1930" t="s">
        <v>138</v>
      </c>
    </row>
    <row r="458" spans="1:12" ht="13.5" x14ac:dyDescent="0.25">
      <c r="A458" s="1930" t="s">
        <v>4469</v>
      </c>
      <c r="B458" s="1930" t="s">
        <v>4470</v>
      </c>
      <c r="C458" s="1930" t="s">
        <v>4473</v>
      </c>
      <c r="D458" s="1930" t="s">
        <v>4474</v>
      </c>
      <c r="E458" s="1931" t="s">
        <v>33</v>
      </c>
      <c r="F458" s="1930" t="s">
        <v>33</v>
      </c>
      <c r="G458" s="1932">
        <v>7043</v>
      </c>
      <c r="H458" s="1930" t="s">
        <v>496</v>
      </c>
      <c r="I458" s="1930" t="s">
        <v>98</v>
      </c>
      <c r="J458" s="1930" t="s">
        <v>320</v>
      </c>
      <c r="K458" s="1933">
        <v>0.19</v>
      </c>
      <c r="L458" s="1930" t="s">
        <v>138</v>
      </c>
    </row>
    <row r="459" spans="1:12" ht="13.5" x14ac:dyDescent="0.25">
      <c r="A459" s="1930" t="s">
        <v>4469</v>
      </c>
      <c r="B459" s="1930" t="s">
        <v>4470</v>
      </c>
      <c r="C459" s="1930" t="s">
        <v>4473</v>
      </c>
      <c r="D459" s="1930" t="s">
        <v>4474</v>
      </c>
      <c r="E459" s="1931" t="s">
        <v>33</v>
      </c>
      <c r="F459" s="1930" t="s">
        <v>33</v>
      </c>
      <c r="G459" s="1932">
        <v>7050</v>
      </c>
      <c r="H459" s="1930" t="s">
        <v>497</v>
      </c>
      <c r="I459" s="1930" t="s">
        <v>98</v>
      </c>
      <c r="J459" s="1930" t="s">
        <v>137</v>
      </c>
      <c r="K459" s="1933">
        <v>39.659999999999997</v>
      </c>
      <c r="L459" s="1930" t="s">
        <v>138</v>
      </c>
    </row>
    <row r="460" spans="1:12" ht="13.5" x14ac:dyDescent="0.25">
      <c r="A460" s="1930" t="s">
        <v>4469</v>
      </c>
      <c r="B460" s="1930" t="s">
        <v>4470</v>
      </c>
      <c r="C460" s="1930" t="s">
        <v>4473</v>
      </c>
      <c r="D460" s="1930" t="s">
        <v>4474</v>
      </c>
      <c r="E460" s="1931" t="s">
        <v>33</v>
      </c>
      <c r="F460" s="1930" t="s">
        <v>33</v>
      </c>
      <c r="G460" s="1932">
        <v>67827</v>
      </c>
      <c r="H460" s="1930" t="s">
        <v>498</v>
      </c>
      <c r="I460" s="1930" t="s">
        <v>98</v>
      </c>
      <c r="J460" s="1930" t="s">
        <v>137</v>
      </c>
      <c r="K460" s="1933">
        <v>31.58</v>
      </c>
      <c r="L460" s="1930" t="s">
        <v>138</v>
      </c>
    </row>
    <row r="461" spans="1:12" ht="13.5" x14ac:dyDescent="0.25">
      <c r="A461" s="1930" t="s">
        <v>4469</v>
      </c>
      <c r="B461" s="1930" t="s">
        <v>4470</v>
      </c>
      <c r="C461" s="1930" t="s">
        <v>4473</v>
      </c>
      <c r="D461" s="1930" t="s">
        <v>4474</v>
      </c>
      <c r="E461" s="1931" t="s">
        <v>33</v>
      </c>
      <c r="F461" s="1930" t="s">
        <v>33</v>
      </c>
      <c r="G461" s="1932">
        <v>73395</v>
      </c>
      <c r="H461" s="1930" t="s">
        <v>499</v>
      </c>
      <c r="I461" s="1930" t="s">
        <v>98</v>
      </c>
      <c r="J461" s="1930" t="s">
        <v>137</v>
      </c>
      <c r="K461" s="1933">
        <v>5.0199999999999996</v>
      </c>
      <c r="L461" s="1930" t="s">
        <v>138</v>
      </c>
    </row>
    <row r="462" spans="1:12" ht="13.5" x14ac:dyDescent="0.25">
      <c r="A462" s="1930" t="s">
        <v>4469</v>
      </c>
      <c r="B462" s="1930" t="s">
        <v>4470</v>
      </c>
      <c r="C462" s="1930" t="s">
        <v>4473</v>
      </c>
      <c r="D462" s="1930" t="s">
        <v>4474</v>
      </c>
      <c r="E462" s="1931" t="s">
        <v>33</v>
      </c>
      <c r="F462" s="1930" t="s">
        <v>33</v>
      </c>
      <c r="G462" s="1932">
        <v>83766</v>
      </c>
      <c r="H462" s="1930" t="s">
        <v>500</v>
      </c>
      <c r="I462" s="1930" t="s">
        <v>98</v>
      </c>
      <c r="J462" s="1930" t="s">
        <v>137</v>
      </c>
      <c r="K462" s="1933">
        <v>30.91</v>
      </c>
      <c r="L462" s="1930" t="s">
        <v>138</v>
      </c>
    </row>
    <row r="463" spans="1:12" ht="13.5" x14ac:dyDescent="0.25">
      <c r="A463" s="1930" t="s">
        <v>4469</v>
      </c>
      <c r="B463" s="1930" t="s">
        <v>4470</v>
      </c>
      <c r="C463" s="1930" t="s">
        <v>4473</v>
      </c>
      <c r="D463" s="1930" t="s">
        <v>4474</v>
      </c>
      <c r="E463" s="1931" t="s">
        <v>33</v>
      </c>
      <c r="F463" s="1930" t="s">
        <v>33</v>
      </c>
      <c r="G463" s="1932">
        <v>84013</v>
      </c>
      <c r="H463" s="1930" t="s">
        <v>501</v>
      </c>
      <c r="I463" s="1930" t="s">
        <v>98</v>
      </c>
      <c r="J463" s="1930" t="s">
        <v>137</v>
      </c>
      <c r="K463" s="1933">
        <v>44.44</v>
      </c>
      <c r="L463" s="1930" t="s">
        <v>138</v>
      </c>
    </row>
    <row r="464" spans="1:12" ht="13.5" x14ac:dyDescent="0.25">
      <c r="A464" s="1930" t="s">
        <v>4469</v>
      </c>
      <c r="B464" s="1930" t="s">
        <v>4470</v>
      </c>
      <c r="C464" s="1930" t="s">
        <v>4473</v>
      </c>
      <c r="D464" s="1930" t="s">
        <v>4474</v>
      </c>
      <c r="E464" s="1931" t="s">
        <v>33</v>
      </c>
      <c r="F464" s="1930" t="s">
        <v>33</v>
      </c>
      <c r="G464" s="1932">
        <v>87446</v>
      </c>
      <c r="H464" s="1930" t="s">
        <v>502</v>
      </c>
      <c r="I464" s="1930" t="s">
        <v>98</v>
      </c>
      <c r="J464" s="1930" t="s">
        <v>320</v>
      </c>
      <c r="K464" s="1933">
        <v>0.36</v>
      </c>
      <c r="L464" s="1930" t="s">
        <v>138</v>
      </c>
    </row>
    <row r="465" spans="1:12" ht="13.5" x14ac:dyDescent="0.25">
      <c r="A465" s="1930" t="s">
        <v>4469</v>
      </c>
      <c r="B465" s="1930" t="s">
        <v>4470</v>
      </c>
      <c r="C465" s="1930" t="s">
        <v>4473</v>
      </c>
      <c r="D465" s="1930" t="s">
        <v>4474</v>
      </c>
      <c r="E465" s="1931" t="s">
        <v>33</v>
      </c>
      <c r="F465" s="1930" t="s">
        <v>33</v>
      </c>
      <c r="G465" s="1932">
        <v>88392</v>
      </c>
      <c r="H465" s="1930" t="s">
        <v>503</v>
      </c>
      <c r="I465" s="1930" t="s">
        <v>98</v>
      </c>
      <c r="J465" s="1930" t="s">
        <v>320</v>
      </c>
      <c r="K465" s="1933">
        <v>0.71</v>
      </c>
      <c r="L465" s="1930" t="s">
        <v>138</v>
      </c>
    </row>
    <row r="466" spans="1:12" ht="13.5" x14ac:dyDescent="0.25">
      <c r="A466" s="1930" t="s">
        <v>4469</v>
      </c>
      <c r="B466" s="1930" t="s">
        <v>4470</v>
      </c>
      <c r="C466" s="1930" t="s">
        <v>4473</v>
      </c>
      <c r="D466" s="1930" t="s">
        <v>4474</v>
      </c>
      <c r="E466" s="1931" t="s">
        <v>33</v>
      </c>
      <c r="F466" s="1930" t="s">
        <v>33</v>
      </c>
      <c r="G466" s="1932">
        <v>88398</v>
      </c>
      <c r="H466" s="1930" t="s">
        <v>504</v>
      </c>
      <c r="I466" s="1930" t="s">
        <v>98</v>
      </c>
      <c r="J466" s="1930" t="s">
        <v>320</v>
      </c>
      <c r="K466" s="1933">
        <v>0.85</v>
      </c>
      <c r="L466" s="1930" t="s">
        <v>138</v>
      </c>
    </row>
    <row r="467" spans="1:12" ht="13.5" x14ac:dyDescent="0.25">
      <c r="A467" s="1930" t="s">
        <v>4469</v>
      </c>
      <c r="B467" s="1930" t="s">
        <v>4470</v>
      </c>
      <c r="C467" s="1930" t="s">
        <v>4473</v>
      </c>
      <c r="D467" s="1930" t="s">
        <v>4474</v>
      </c>
      <c r="E467" s="1931" t="s">
        <v>33</v>
      </c>
      <c r="F467" s="1930" t="s">
        <v>33</v>
      </c>
      <c r="G467" s="1932">
        <v>88404</v>
      </c>
      <c r="H467" s="1930" t="s">
        <v>505</v>
      </c>
      <c r="I467" s="1930" t="s">
        <v>98</v>
      </c>
      <c r="J467" s="1930" t="s">
        <v>320</v>
      </c>
      <c r="K467" s="1933">
        <v>0.67</v>
      </c>
      <c r="L467" s="1930" t="s">
        <v>138</v>
      </c>
    </row>
    <row r="468" spans="1:12" ht="13.5" x14ac:dyDescent="0.25">
      <c r="A468" s="1930" t="s">
        <v>4469</v>
      </c>
      <c r="B468" s="1930" t="s">
        <v>4470</v>
      </c>
      <c r="C468" s="1930" t="s">
        <v>4473</v>
      </c>
      <c r="D468" s="1930" t="s">
        <v>4474</v>
      </c>
      <c r="E468" s="1931" t="s">
        <v>33</v>
      </c>
      <c r="F468" s="1930" t="s">
        <v>33</v>
      </c>
      <c r="G468" s="1932">
        <v>88430</v>
      </c>
      <c r="H468" s="1930" t="s">
        <v>506</v>
      </c>
      <c r="I468" s="1930" t="s">
        <v>98</v>
      </c>
      <c r="J468" s="1930" t="s">
        <v>320</v>
      </c>
      <c r="K468" s="1933">
        <v>4.43</v>
      </c>
      <c r="L468" s="1930" t="s">
        <v>138</v>
      </c>
    </row>
    <row r="469" spans="1:12" ht="13.5" x14ac:dyDescent="0.25">
      <c r="A469" s="1930" t="s">
        <v>4469</v>
      </c>
      <c r="B469" s="1930" t="s">
        <v>4470</v>
      </c>
      <c r="C469" s="1930" t="s">
        <v>4473</v>
      </c>
      <c r="D469" s="1930" t="s">
        <v>4474</v>
      </c>
      <c r="E469" s="1931" t="s">
        <v>33</v>
      </c>
      <c r="F469" s="1930" t="s">
        <v>33</v>
      </c>
      <c r="G469" s="1932">
        <v>88438</v>
      </c>
      <c r="H469" s="1930" t="s">
        <v>507</v>
      </c>
      <c r="I469" s="1930" t="s">
        <v>98</v>
      </c>
      <c r="J469" s="1930" t="s">
        <v>320</v>
      </c>
      <c r="K469" s="1933">
        <v>5.87</v>
      </c>
      <c r="L469" s="1930" t="s">
        <v>138</v>
      </c>
    </row>
    <row r="470" spans="1:12" ht="13.5" x14ac:dyDescent="0.25">
      <c r="A470" s="1930" t="s">
        <v>4469</v>
      </c>
      <c r="B470" s="1930" t="s">
        <v>4470</v>
      </c>
      <c r="C470" s="1930" t="s">
        <v>4473</v>
      </c>
      <c r="D470" s="1930" t="s">
        <v>4474</v>
      </c>
      <c r="E470" s="1931" t="s">
        <v>33</v>
      </c>
      <c r="F470" s="1930" t="s">
        <v>33</v>
      </c>
      <c r="G470" s="1932">
        <v>88831</v>
      </c>
      <c r="H470" s="1930" t="s">
        <v>508</v>
      </c>
      <c r="I470" s="1930" t="s">
        <v>98</v>
      </c>
      <c r="J470" s="1930" t="s">
        <v>346</v>
      </c>
      <c r="K470" s="1933">
        <v>0.26</v>
      </c>
      <c r="L470" s="1930" t="s">
        <v>138</v>
      </c>
    </row>
    <row r="471" spans="1:12" ht="13.5" x14ac:dyDescent="0.25">
      <c r="A471" s="1930" t="s">
        <v>4469</v>
      </c>
      <c r="B471" s="1930" t="s">
        <v>4470</v>
      </c>
      <c r="C471" s="1930" t="s">
        <v>4473</v>
      </c>
      <c r="D471" s="1930" t="s">
        <v>4474</v>
      </c>
      <c r="E471" s="1931" t="s">
        <v>33</v>
      </c>
      <c r="F471" s="1930" t="s">
        <v>33</v>
      </c>
      <c r="G471" s="1932">
        <v>88844</v>
      </c>
      <c r="H471" s="1930" t="s">
        <v>509</v>
      </c>
      <c r="I471" s="1930" t="s">
        <v>98</v>
      </c>
      <c r="J471" s="1930" t="s">
        <v>137</v>
      </c>
      <c r="K471" s="1933">
        <v>38.729999999999997</v>
      </c>
      <c r="L471" s="1930" t="s">
        <v>138</v>
      </c>
    </row>
    <row r="472" spans="1:12" ht="13.5" x14ac:dyDescent="0.25">
      <c r="A472" s="1930" t="s">
        <v>4469</v>
      </c>
      <c r="B472" s="1930" t="s">
        <v>4470</v>
      </c>
      <c r="C472" s="1930" t="s">
        <v>4473</v>
      </c>
      <c r="D472" s="1930" t="s">
        <v>4474</v>
      </c>
      <c r="E472" s="1931" t="s">
        <v>33</v>
      </c>
      <c r="F472" s="1930" t="s">
        <v>33</v>
      </c>
      <c r="G472" s="1932">
        <v>88908</v>
      </c>
      <c r="H472" s="1930" t="s">
        <v>510</v>
      </c>
      <c r="I472" s="1930" t="s">
        <v>98</v>
      </c>
      <c r="J472" s="1930" t="s">
        <v>137</v>
      </c>
      <c r="K472" s="1933">
        <v>48.62</v>
      </c>
      <c r="L472" s="1930" t="s">
        <v>138</v>
      </c>
    </row>
    <row r="473" spans="1:12" ht="13.5" x14ac:dyDescent="0.25">
      <c r="A473" s="1930" t="s">
        <v>4469</v>
      </c>
      <c r="B473" s="1930" t="s">
        <v>4470</v>
      </c>
      <c r="C473" s="1930" t="s">
        <v>4473</v>
      </c>
      <c r="D473" s="1930" t="s">
        <v>4474</v>
      </c>
      <c r="E473" s="1931" t="s">
        <v>33</v>
      </c>
      <c r="F473" s="1930" t="s">
        <v>33</v>
      </c>
      <c r="G473" s="1932">
        <v>89022</v>
      </c>
      <c r="H473" s="1930" t="s">
        <v>511</v>
      </c>
      <c r="I473" s="1930" t="s">
        <v>98</v>
      </c>
      <c r="J473" s="1930" t="s">
        <v>320</v>
      </c>
      <c r="K473" s="1933">
        <v>0.3</v>
      </c>
      <c r="L473" s="1930" t="s">
        <v>138</v>
      </c>
    </row>
    <row r="474" spans="1:12" ht="13.5" x14ac:dyDescent="0.25">
      <c r="A474" s="1930" t="s">
        <v>4469</v>
      </c>
      <c r="B474" s="1930" t="s">
        <v>4470</v>
      </c>
      <c r="C474" s="1930" t="s">
        <v>4473</v>
      </c>
      <c r="D474" s="1930" t="s">
        <v>4474</v>
      </c>
      <c r="E474" s="1931" t="s">
        <v>33</v>
      </c>
      <c r="F474" s="1930" t="s">
        <v>33</v>
      </c>
      <c r="G474" s="1932">
        <v>89027</v>
      </c>
      <c r="H474" s="1930" t="s">
        <v>512</v>
      </c>
      <c r="I474" s="1930" t="s">
        <v>98</v>
      </c>
      <c r="J474" s="1930" t="s">
        <v>137</v>
      </c>
      <c r="K474" s="1933">
        <v>2.77</v>
      </c>
      <c r="L474" s="1930" t="s">
        <v>138</v>
      </c>
    </row>
    <row r="475" spans="1:12" ht="13.5" x14ac:dyDescent="0.25">
      <c r="A475" s="1930" t="s">
        <v>4469</v>
      </c>
      <c r="B475" s="1930" t="s">
        <v>4470</v>
      </c>
      <c r="C475" s="1930" t="s">
        <v>4473</v>
      </c>
      <c r="D475" s="1930" t="s">
        <v>4474</v>
      </c>
      <c r="E475" s="1931" t="s">
        <v>33</v>
      </c>
      <c r="F475" s="1930" t="s">
        <v>33</v>
      </c>
      <c r="G475" s="1932">
        <v>89031</v>
      </c>
      <c r="H475" s="1930" t="s">
        <v>513</v>
      </c>
      <c r="I475" s="1930" t="s">
        <v>98</v>
      </c>
      <c r="J475" s="1930" t="s">
        <v>137</v>
      </c>
      <c r="K475" s="1933">
        <v>37.71</v>
      </c>
      <c r="L475" s="1930" t="s">
        <v>138</v>
      </c>
    </row>
    <row r="476" spans="1:12" ht="13.5" x14ac:dyDescent="0.25">
      <c r="A476" s="1930" t="s">
        <v>4469</v>
      </c>
      <c r="B476" s="1930" t="s">
        <v>4470</v>
      </c>
      <c r="C476" s="1930" t="s">
        <v>4473</v>
      </c>
      <c r="D476" s="1930" t="s">
        <v>4474</v>
      </c>
      <c r="E476" s="1931" t="s">
        <v>33</v>
      </c>
      <c r="F476" s="1930" t="s">
        <v>33</v>
      </c>
      <c r="G476" s="1932">
        <v>89036</v>
      </c>
      <c r="H476" s="1930" t="s">
        <v>514</v>
      </c>
      <c r="I476" s="1930" t="s">
        <v>98</v>
      </c>
      <c r="J476" s="1930" t="s">
        <v>137</v>
      </c>
      <c r="K476" s="1933">
        <v>24.31</v>
      </c>
      <c r="L476" s="1930" t="s">
        <v>138</v>
      </c>
    </row>
    <row r="477" spans="1:12" ht="13.5" x14ac:dyDescent="0.25">
      <c r="A477" s="1930" t="s">
        <v>4469</v>
      </c>
      <c r="B477" s="1930" t="s">
        <v>4470</v>
      </c>
      <c r="C477" s="1930" t="s">
        <v>4473</v>
      </c>
      <c r="D477" s="1930" t="s">
        <v>4474</v>
      </c>
      <c r="E477" s="1931" t="s">
        <v>33</v>
      </c>
      <c r="F477" s="1930" t="s">
        <v>33</v>
      </c>
      <c r="G477" s="1932">
        <v>89218</v>
      </c>
      <c r="H477" s="1930" t="s">
        <v>515</v>
      </c>
      <c r="I477" s="1930" t="s">
        <v>98</v>
      </c>
      <c r="J477" s="1930" t="s">
        <v>137</v>
      </c>
      <c r="K477" s="1933">
        <v>51.85</v>
      </c>
      <c r="L477" s="1930" t="s">
        <v>138</v>
      </c>
    </row>
    <row r="478" spans="1:12" ht="13.5" x14ac:dyDescent="0.25">
      <c r="A478" s="1930" t="s">
        <v>4469</v>
      </c>
      <c r="B478" s="1930" t="s">
        <v>4470</v>
      </c>
      <c r="C478" s="1930" t="s">
        <v>4473</v>
      </c>
      <c r="D478" s="1930" t="s">
        <v>4474</v>
      </c>
      <c r="E478" s="1931" t="s">
        <v>33</v>
      </c>
      <c r="F478" s="1930" t="s">
        <v>33</v>
      </c>
      <c r="G478" s="1932">
        <v>89226</v>
      </c>
      <c r="H478" s="1930" t="s">
        <v>516</v>
      </c>
      <c r="I478" s="1930" t="s">
        <v>98</v>
      </c>
      <c r="J478" s="1930" t="s">
        <v>320</v>
      </c>
      <c r="K478" s="1933">
        <v>1.0900000000000001</v>
      </c>
      <c r="L478" s="1930" t="s">
        <v>138</v>
      </c>
    </row>
    <row r="479" spans="1:12" ht="13.5" x14ac:dyDescent="0.25">
      <c r="A479" s="1930" t="s">
        <v>4469</v>
      </c>
      <c r="B479" s="1930" t="s">
        <v>4470</v>
      </c>
      <c r="C479" s="1930" t="s">
        <v>4473</v>
      </c>
      <c r="D479" s="1930" t="s">
        <v>4474</v>
      </c>
      <c r="E479" s="1931" t="s">
        <v>33</v>
      </c>
      <c r="F479" s="1930" t="s">
        <v>33</v>
      </c>
      <c r="G479" s="1932">
        <v>89235</v>
      </c>
      <c r="H479" s="1930" t="s">
        <v>517</v>
      </c>
      <c r="I479" s="1930" t="s">
        <v>98</v>
      </c>
      <c r="J479" s="1930" t="s">
        <v>137</v>
      </c>
      <c r="K479" s="1933">
        <v>118.42</v>
      </c>
      <c r="L479" s="1930" t="s">
        <v>138</v>
      </c>
    </row>
    <row r="480" spans="1:12" ht="13.5" x14ac:dyDescent="0.25">
      <c r="A480" s="1930" t="s">
        <v>4469</v>
      </c>
      <c r="B480" s="1930" t="s">
        <v>4470</v>
      </c>
      <c r="C480" s="1930" t="s">
        <v>4473</v>
      </c>
      <c r="D480" s="1930" t="s">
        <v>4474</v>
      </c>
      <c r="E480" s="1931" t="s">
        <v>33</v>
      </c>
      <c r="F480" s="1930" t="s">
        <v>33</v>
      </c>
      <c r="G480" s="1932">
        <v>89243</v>
      </c>
      <c r="H480" s="1930" t="s">
        <v>518</v>
      </c>
      <c r="I480" s="1930" t="s">
        <v>98</v>
      </c>
      <c r="J480" s="1930" t="s">
        <v>137</v>
      </c>
      <c r="K480" s="1933">
        <v>251.74</v>
      </c>
      <c r="L480" s="1930" t="s">
        <v>138</v>
      </c>
    </row>
    <row r="481" spans="1:12" ht="13.5" x14ac:dyDescent="0.25">
      <c r="A481" s="1930" t="s">
        <v>4469</v>
      </c>
      <c r="B481" s="1930" t="s">
        <v>4470</v>
      </c>
      <c r="C481" s="1930" t="s">
        <v>4473</v>
      </c>
      <c r="D481" s="1930" t="s">
        <v>4474</v>
      </c>
      <c r="E481" s="1931" t="s">
        <v>33</v>
      </c>
      <c r="F481" s="1930" t="s">
        <v>33</v>
      </c>
      <c r="G481" s="1932">
        <v>89251</v>
      </c>
      <c r="H481" s="1930" t="s">
        <v>519</v>
      </c>
      <c r="I481" s="1930" t="s">
        <v>98</v>
      </c>
      <c r="J481" s="1930" t="s">
        <v>137</v>
      </c>
      <c r="K481" s="1933">
        <v>221.19</v>
      </c>
      <c r="L481" s="1930" t="s">
        <v>138</v>
      </c>
    </row>
    <row r="482" spans="1:12" ht="13.5" x14ac:dyDescent="0.25">
      <c r="A482" s="1930" t="s">
        <v>4469</v>
      </c>
      <c r="B482" s="1930" t="s">
        <v>4470</v>
      </c>
      <c r="C482" s="1930" t="s">
        <v>4473</v>
      </c>
      <c r="D482" s="1930" t="s">
        <v>4474</v>
      </c>
      <c r="E482" s="1931" t="s">
        <v>33</v>
      </c>
      <c r="F482" s="1930" t="s">
        <v>33</v>
      </c>
      <c r="G482" s="1932">
        <v>89258</v>
      </c>
      <c r="H482" s="1930" t="s">
        <v>520</v>
      </c>
      <c r="I482" s="1930" t="s">
        <v>98</v>
      </c>
      <c r="J482" s="1930" t="s">
        <v>137</v>
      </c>
      <c r="K482" s="1933">
        <v>78.34</v>
      </c>
      <c r="L482" s="1930" t="s">
        <v>138</v>
      </c>
    </row>
    <row r="483" spans="1:12" ht="13.5" x14ac:dyDescent="0.25">
      <c r="A483" s="1930" t="s">
        <v>4469</v>
      </c>
      <c r="B483" s="1930" t="s">
        <v>4470</v>
      </c>
      <c r="C483" s="1930" t="s">
        <v>4473</v>
      </c>
      <c r="D483" s="1930" t="s">
        <v>4474</v>
      </c>
      <c r="E483" s="1931" t="s">
        <v>33</v>
      </c>
      <c r="F483" s="1930" t="s">
        <v>33</v>
      </c>
      <c r="G483" s="1932">
        <v>89273</v>
      </c>
      <c r="H483" s="1930" t="s">
        <v>521</v>
      </c>
      <c r="I483" s="1930" t="s">
        <v>98</v>
      </c>
      <c r="J483" s="1930" t="s">
        <v>137</v>
      </c>
      <c r="K483" s="1933">
        <v>48.87</v>
      </c>
      <c r="L483" s="1930" t="s">
        <v>138</v>
      </c>
    </row>
    <row r="484" spans="1:12" ht="13.5" x14ac:dyDescent="0.25">
      <c r="A484" s="1930" t="s">
        <v>4469</v>
      </c>
      <c r="B484" s="1930" t="s">
        <v>4470</v>
      </c>
      <c r="C484" s="1930" t="s">
        <v>4473</v>
      </c>
      <c r="D484" s="1930" t="s">
        <v>4474</v>
      </c>
      <c r="E484" s="1931" t="s">
        <v>33</v>
      </c>
      <c r="F484" s="1930" t="s">
        <v>33</v>
      </c>
      <c r="G484" s="1932">
        <v>89279</v>
      </c>
      <c r="H484" s="1930" t="s">
        <v>522</v>
      </c>
      <c r="I484" s="1930" t="s">
        <v>98</v>
      </c>
      <c r="J484" s="1930" t="s">
        <v>320</v>
      </c>
      <c r="K484" s="1933">
        <v>1.34</v>
      </c>
      <c r="L484" s="1930" t="s">
        <v>138</v>
      </c>
    </row>
    <row r="485" spans="1:12" ht="13.5" x14ac:dyDescent="0.25">
      <c r="A485" s="1930" t="s">
        <v>4469</v>
      </c>
      <c r="B485" s="1930" t="s">
        <v>4470</v>
      </c>
      <c r="C485" s="1930" t="s">
        <v>4473</v>
      </c>
      <c r="D485" s="1930" t="s">
        <v>4474</v>
      </c>
      <c r="E485" s="1931" t="s">
        <v>33</v>
      </c>
      <c r="F485" s="1930" t="s">
        <v>33</v>
      </c>
      <c r="G485" s="1932">
        <v>89877</v>
      </c>
      <c r="H485" s="1930" t="s">
        <v>523</v>
      </c>
      <c r="I485" s="1930" t="s">
        <v>98</v>
      </c>
      <c r="J485" s="1930" t="s">
        <v>137</v>
      </c>
      <c r="K485" s="1933">
        <v>41.45</v>
      </c>
      <c r="L485" s="1930" t="s">
        <v>138</v>
      </c>
    </row>
    <row r="486" spans="1:12" ht="13.5" x14ac:dyDescent="0.25">
      <c r="A486" s="1930" t="s">
        <v>4469</v>
      </c>
      <c r="B486" s="1930" t="s">
        <v>4470</v>
      </c>
      <c r="C486" s="1930" t="s">
        <v>4473</v>
      </c>
      <c r="D486" s="1930" t="s">
        <v>4474</v>
      </c>
      <c r="E486" s="1931" t="s">
        <v>33</v>
      </c>
      <c r="F486" s="1930" t="s">
        <v>33</v>
      </c>
      <c r="G486" s="1932">
        <v>89884</v>
      </c>
      <c r="H486" s="1930" t="s">
        <v>524</v>
      </c>
      <c r="I486" s="1930" t="s">
        <v>98</v>
      </c>
      <c r="J486" s="1930" t="s">
        <v>137</v>
      </c>
      <c r="K486" s="1933">
        <v>42.83</v>
      </c>
      <c r="L486" s="1930" t="s">
        <v>138</v>
      </c>
    </row>
    <row r="487" spans="1:12" ht="13.5" x14ac:dyDescent="0.25">
      <c r="A487" s="1930" t="s">
        <v>4469</v>
      </c>
      <c r="B487" s="1930" t="s">
        <v>4470</v>
      </c>
      <c r="C487" s="1930" t="s">
        <v>4473</v>
      </c>
      <c r="D487" s="1930" t="s">
        <v>4474</v>
      </c>
      <c r="E487" s="1931" t="s">
        <v>33</v>
      </c>
      <c r="F487" s="1930" t="s">
        <v>33</v>
      </c>
      <c r="G487" s="1932">
        <v>90587</v>
      </c>
      <c r="H487" s="1930" t="s">
        <v>525</v>
      </c>
      <c r="I487" s="1930" t="s">
        <v>98</v>
      </c>
      <c r="J487" s="1930" t="s">
        <v>137</v>
      </c>
      <c r="K487" s="1933">
        <v>0.32</v>
      </c>
      <c r="L487" s="1930" t="s">
        <v>138</v>
      </c>
    </row>
    <row r="488" spans="1:12" ht="13.5" x14ac:dyDescent="0.25">
      <c r="A488" s="1930" t="s">
        <v>4469</v>
      </c>
      <c r="B488" s="1930" t="s">
        <v>4470</v>
      </c>
      <c r="C488" s="1930" t="s">
        <v>4473</v>
      </c>
      <c r="D488" s="1930" t="s">
        <v>4474</v>
      </c>
      <c r="E488" s="1931" t="s">
        <v>33</v>
      </c>
      <c r="F488" s="1930" t="s">
        <v>33</v>
      </c>
      <c r="G488" s="1932">
        <v>90626</v>
      </c>
      <c r="H488" s="1930" t="s">
        <v>526</v>
      </c>
      <c r="I488" s="1930" t="s">
        <v>98</v>
      </c>
      <c r="J488" s="1930" t="s">
        <v>137</v>
      </c>
      <c r="K488" s="1933">
        <v>1.44</v>
      </c>
      <c r="L488" s="1930" t="s">
        <v>138</v>
      </c>
    </row>
    <row r="489" spans="1:12" ht="13.5" x14ac:dyDescent="0.25">
      <c r="A489" s="1930" t="s">
        <v>4469</v>
      </c>
      <c r="B489" s="1930" t="s">
        <v>4470</v>
      </c>
      <c r="C489" s="1930" t="s">
        <v>4473</v>
      </c>
      <c r="D489" s="1930" t="s">
        <v>4474</v>
      </c>
      <c r="E489" s="1931" t="s">
        <v>33</v>
      </c>
      <c r="F489" s="1930" t="s">
        <v>33</v>
      </c>
      <c r="G489" s="1932">
        <v>90632</v>
      </c>
      <c r="H489" s="1930" t="s">
        <v>527</v>
      </c>
      <c r="I489" s="1930" t="s">
        <v>98</v>
      </c>
      <c r="J489" s="1930" t="s">
        <v>137</v>
      </c>
      <c r="K489" s="1933">
        <v>42.86</v>
      </c>
      <c r="L489" s="1930" t="s">
        <v>138</v>
      </c>
    </row>
    <row r="490" spans="1:12" ht="13.5" x14ac:dyDescent="0.25">
      <c r="A490" s="1930" t="s">
        <v>4469</v>
      </c>
      <c r="B490" s="1930" t="s">
        <v>4470</v>
      </c>
      <c r="C490" s="1930" t="s">
        <v>4473</v>
      </c>
      <c r="D490" s="1930" t="s">
        <v>4474</v>
      </c>
      <c r="E490" s="1931" t="s">
        <v>33</v>
      </c>
      <c r="F490" s="1930" t="s">
        <v>33</v>
      </c>
      <c r="G490" s="1932">
        <v>90638</v>
      </c>
      <c r="H490" s="1930" t="s">
        <v>528</v>
      </c>
      <c r="I490" s="1930" t="s">
        <v>98</v>
      </c>
      <c r="J490" s="1930" t="s">
        <v>320</v>
      </c>
      <c r="K490" s="1933">
        <v>3.41</v>
      </c>
      <c r="L490" s="1930" t="s">
        <v>138</v>
      </c>
    </row>
    <row r="491" spans="1:12" ht="13.5" x14ac:dyDescent="0.25">
      <c r="A491" s="1930" t="s">
        <v>4469</v>
      </c>
      <c r="B491" s="1930" t="s">
        <v>4470</v>
      </c>
      <c r="C491" s="1930" t="s">
        <v>4473</v>
      </c>
      <c r="D491" s="1930" t="s">
        <v>4474</v>
      </c>
      <c r="E491" s="1931" t="s">
        <v>33</v>
      </c>
      <c r="F491" s="1930" t="s">
        <v>33</v>
      </c>
      <c r="G491" s="1932">
        <v>90644</v>
      </c>
      <c r="H491" s="1930" t="s">
        <v>529</v>
      </c>
      <c r="I491" s="1930" t="s">
        <v>98</v>
      </c>
      <c r="J491" s="1930" t="s">
        <v>320</v>
      </c>
      <c r="K491" s="1933">
        <v>5.09</v>
      </c>
      <c r="L491" s="1930" t="s">
        <v>138</v>
      </c>
    </row>
    <row r="492" spans="1:12" ht="13.5" x14ac:dyDescent="0.25">
      <c r="A492" s="1930" t="s">
        <v>4469</v>
      </c>
      <c r="B492" s="1930" t="s">
        <v>4470</v>
      </c>
      <c r="C492" s="1930" t="s">
        <v>4473</v>
      </c>
      <c r="D492" s="1930" t="s">
        <v>4474</v>
      </c>
      <c r="E492" s="1931" t="s">
        <v>33</v>
      </c>
      <c r="F492" s="1930" t="s">
        <v>33</v>
      </c>
      <c r="G492" s="1932">
        <v>90651</v>
      </c>
      <c r="H492" s="1930" t="s">
        <v>530</v>
      </c>
      <c r="I492" s="1930" t="s">
        <v>98</v>
      </c>
      <c r="J492" s="1930" t="s">
        <v>320</v>
      </c>
      <c r="K492" s="1933">
        <v>0.54</v>
      </c>
      <c r="L492" s="1930" t="s">
        <v>138</v>
      </c>
    </row>
    <row r="493" spans="1:12" ht="13.5" x14ac:dyDescent="0.25">
      <c r="A493" s="1930" t="s">
        <v>4469</v>
      </c>
      <c r="B493" s="1930" t="s">
        <v>4470</v>
      </c>
      <c r="C493" s="1930" t="s">
        <v>4473</v>
      </c>
      <c r="D493" s="1930" t="s">
        <v>4474</v>
      </c>
      <c r="E493" s="1931" t="s">
        <v>33</v>
      </c>
      <c r="F493" s="1930" t="s">
        <v>33</v>
      </c>
      <c r="G493" s="1932">
        <v>90657</v>
      </c>
      <c r="H493" s="1930" t="s">
        <v>531</v>
      </c>
      <c r="I493" s="1930" t="s">
        <v>98</v>
      </c>
      <c r="J493" s="1930" t="s">
        <v>320</v>
      </c>
      <c r="K493" s="1933">
        <v>3.31</v>
      </c>
      <c r="L493" s="1930" t="s">
        <v>138</v>
      </c>
    </row>
    <row r="494" spans="1:12" ht="13.5" x14ac:dyDescent="0.25">
      <c r="A494" s="1930" t="s">
        <v>4469</v>
      </c>
      <c r="B494" s="1930" t="s">
        <v>4470</v>
      </c>
      <c r="C494" s="1930" t="s">
        <v>4473</v>
      </c>
      <c r="D494" s="1930" t="s">
        <v>4474</v>
      </c>
      <c r="E494" s="1931" t="s">
        <v>33</v>
      </c>
      <c r="F494" s="1930" t="s">
        <v>33</v>
      </c>
      <c r="G494" s="1932">
        <v>90663</v>
      </c>
      <c r="H494" s="1930" t="s">
        <v>532</v>
      </c>
      <c r="I494" s="1930" t="s">
        <v>98</v>
      </c>
      <c r="J494" s="1930" t="s">
        <v>320</v>
      </c>
      <c r="K494" s="1933">
        <v>3.54</v>
      </c>
      <c r="L494" s="1930" t="s">
        <v>138</v>
      </c>
    </row>
    <row r="495" spans="1:12" ht="13.5" x14ac:dyDescent="0.25">
      <c r="A495" s="1930" t="s">
        <v>4469</v>
      </c>
      <c r="B495" s="1930" t="s">
        <v>4470</v>
      </c>
      <c r="C495" s="1930" t="s">
        <v>4473</v>
      </c>
      <c r="D495" s="1930" t="s">
        <v>4474</v>
      </c>
      <c r="E495" s="1931" t="s">
        <v>33</v>
      </c>
      <c r="F495" s="1930" t="s">
        <v>33</v>
      </c>
      <c r="G495" s="1932">
        <v>90669</v>
      </c>
      <c r="H495" s="1930" t="s">
        <v>533</v>
      </c>
      <c r="I495" s="1930" t="s">
        <v>98</v>
      </c>
      <c r="J495" s="1930" t="s">
        <v>137</v>
      </c>
      <c r="K495" s="1933">
        <v>4.2</v>
      </c>
      <c r="L495" s="1930" t="s">
        <v>138</v>
      </c>
    </row>
    <row r="496" spans="1:12" ht="13.5" x14ac:dyDescent="0.25">
      <c r="A496" s="1930" t="s">
        <v>4469</v>
      </c>
      <c r="B496" s="1930" t="s">
        <v>4470</v>
      </c>
      <c r="C496" s="1930" t="s">
        <v>4473</v>
      </c>
      <c r="D496" s="1930" t="s">
        <v>4474</v>
      </c>
      <c r="E496" s="1931" t="s">
        <v>33</v>
      </c>
      <c r="F496" s="1930" t="s">
        <v>33</v>
      </c>
      <c r="G496" s="1932">
        <v>90675</v>
      </c>
      <c r="H496" s="1930" t="s">
        <v>534</v>
      </c>
      <c r="I496" s="1930" t="s">
        <v>98</v>
      </c>
      <c r="J496" s="1930" t="s">
        <v>137</v>
      </c>
      <c r="K496" s="1933">
        <v>139.47</v>
      </c>
      <c r="L496" s="1930" t="s">
        <v>138</v>
      </c>
    </row>
    <row r="497" spans="1:12" ht="13.5" x14ac:dyDescent="0.25">
      <c r="A497" s="1930" t="s">
        <v>4469</v>
      </c>
      <c r="B497" s="1930" t="s">
        <v>4470</v>
      </c>
      <c r="C497" s="1930" t="s">
        <v>4473</v>
      </c>
      <c r="D497" s="1930" t="s">
        <v>4474</v>
      </c>
      <c r="E497" s="1931" t="s">
        <v>33</v>
      </c>
      <c r="F497" s="1930" t="s">
        <v>33</v>
      </c>
      <c r="G497" s="1932">
        <v>90681</v>
      </c>
      <c r="H497" s="1930" t="s">
        <v>535</v>
      </c>
      <c r="I497" s="1930" t="s">
        <v>98</v>
      </c>
      <c r="J497" s="1930" t="s">
        <v>137</v>
      </c>
      <c r="K497" s="1933">
        <v>85.25</v>
      </c>
      <c r="L497" s="1930" t="s">
        <v>138</v>
      </c>
    </row>
    <row r="498" spans="1:12" ht="13.5" x14ac:dyDescent="0.25">
      <c r="A498" s="1930" t="s">
        <v>4469</v>
      </c>
      <c r="B498" s="1930" t="s">
        <v>4470</v>
      </c>
      <c r="C498" s="1930" t="s">
        <v>4473</v>
      </c>
      <c r="D498" s="1930" t="s">
        <v>4474</v>
      </c>
      <c r="E498" s="1931" t="s">
        <v>33</v>
      </c>
      <c r="F498" s="1930" t="s">
        <v>33</v>
      </c>
      <c r="G498" s="1932">
        <v>90687</v>
      </c>
      <c r="H498" s="1930" t="s">
        <v>536</v>
      </c>
      <c r="I498" s="1930" t="s">
        <v>98</v>
      </c>
      <c r="J498" s="1930" t="s">
        <v>137</v>
      </c>
      <c r="K498" s="1933">
        <v>41.34</v>
      </c>
      <c r="L498" s="1930" t="s">
        <v>138</v>
      </c>
    </row>
    <row r="499" spans="1:12" ht="13.5" x14ac:dyDescent="0.25">
      <c r="A499" s="1930" t="s">
        <v>4469</v>
      </c>
      <c r="B499" s="1930" t="s">
        <v>4470</v>
      </c>
      <c r="C499" s="1930" t="s">
        <v>4473</v>
      </c>
      <c r="D499" s="1930" t="s">
        <v>4474</v>
      </c>
      <c r="E499" s="1931" t="s">
        <v>33</v>
      </c>
      <c r="F499" s="1930" t="s">
        <v>33</v>
      </c>
      <c r="G499" s="1932">
        <v>90693</v>
      </c>
      <c r="H499" s="1930" t="s">
        <v>537</v>
      </c>
      <c r="I499" s="1930" t="s">
        <v>98</v>
      </c>
      <c r="J499" s="1930" t="s">
        <v>137</v>
      </c>
      <c r="K499" s="1933">
        <v>30.4</v>
      </c>
      <c r="L499" s="1930" t="s">
        <v>138</v>
      </c>
    </row>
    <row r="500" spans="1:12" ht="13.5" x14ac:dyDescent="0.25">
      <c r="A500" s="1930" t="s">
        <v>4469</v>
      </c>
      <c r="B500" s="1930" t="s">
        <v>4470</v>
      </c>
      <c r="C500" s="1930" t="s">
        <v>4473</v>
      </c>
      <c r="D500" s="1930" t="s">
        <v>4474</v>
      </c>
      <c r="E500" s="1931" t="s">
        <v>33</v>
      </c>
      <c r="F500" s="1930" t="s">
        <v>33</v>
      </c>
      <c r="G500" s="1932">
        <v>90965</v>
      </c>
      <c r="H500" s="1930" t="s">
        <v>538</v>
      </c>
      <c r="I500" s="1930" t="s">
        <v>98</v>
      </c>
      <c r="J500" s="1930" t="s">
        <v>137</v>
      </c>
      <c r="K500" s="1933">
        <v>3.54</v>
      </c>
      <c r="L500" s="1930" t="s">
        <v>138</v>
      </c>
    </row>
    <row r="501" spans="1:12" ht="13.5" x14ac:dyDescent="0.25">
      <c r="A501" s="1930" t="s">
        <v>4469</v>
      </c>
      <c r="B501" s="1930" t="s">
        <v>4470</v>
      </c>
      <c r="C501" s="1930" t="s">
        <v>4473</v>
      </c>
      <c r="D501" s="1930" t="s">
        <v>4474</v>
      </c>
      <c r="E501" s="1931" t="s">
        <v>33</v>
      </c>
      <c r="F501" s="1930" t="s">
        <v>33</v>
      </c>
      <c r="G501" s="1932">
        <v>90973</v>
      </c>
      <c r="H501" s="1930" t="s">
        <v>539</v>
      </c>
      <c r="I501" s="1930" t="s">
        <v>98</v>
      </c>
      <c r="J501" s="1930" t="s">
        <v>137</v>
      </c>
      <c r="K501" s="1933">
        <v>3.55</v>
      </c>
      <c r="L501" s="1930" t="s">
        <v>138</v>
      </c>
    </row>
    <row r="502" spans="1:12" ht="13.5" x14ac:dyDescent="0.25">
      <c r="A502" s="1930" t="s">
        <v>4469</v>
      </c>
      <c r="B502" s="1930" t="s">
        <v>4470</v>
      </c>
      <c r="C502" s="1930" t="s">
        <v>4473</v>
      </c>
      <c r="D502" s="1930" t="s">
        <v>4474</v>
      </c>
      <c r="E502" s="1931" t="s">
        <v>33</v>
      </c>
      <c r="F502" s="1930" t="s">
        <v>33</v>
      </c>
      <c r="G502" s="1932">
        <v>90982</v>
      </c>
      <c r="H502" s="1930" t="s">
        <v>540</v>
      </c>
      <c r="I502" s="1930" t="s">
        <v>98</v>
      </c>
      <c r="J502" s="1930" t="s">
        <v>137</v>
      </c>
      <c r="K502" s="1933">
        <v>9.0299999999999994</v>
      </c>
      <c r="L502" s="1930" t="s">
        <v>138</v>
      </c>
    </row>
    <row r="503" spans="1:12" ht="13.5" x14ac:dyDescent="0.25">
      <c r="A503" s="1930" t="s">
        <v>4469</v>
      </c>
      <c r="B503" s="1930" t="s">
        <v>4470</v>
      </c>
      <c r="C503" s="1930" t="s">
        <v>4473</v>
      </c>
      <c r="D503" s="1930" t="s">
        <v>4474</v>
      </c>
      <c r="E503" s="1931" t="s">
        <v>33</v>
      </c>
      <c r="F503" s="1930" t="s">
        <v>33</v>
      </c>
      <c r="G503" s="1932">
        <v>91001</v>
      </c>
      <c r="H503" s="1930" t="s">
        <v>541</v>
      </c>
      <c r="I503" s="1930" t="s">
        <v>98</v>
      </c>
      <c r="J503" s="1930" t="s">
        <v>137</v>
      </c>
      <c r="K503" s="1933">
        <v>4.21</v>
      </c>
      <c r="L503" s="1930" t="s">
        <v>138</v>
      </c>
    </row>
    <row r="504" spans="1:12" ht="13.5" x14ac:dyDescent="0.25">
      <c r="A504" s="1930" t="s">
        <v>4469</v>
      </c>
      <c r="B504" s="1930" t="s">
        <v>4470</v>
      </c>
      <c r="C504" s="1930" t="s">
        <v>4473</v>
      </c>
      <c r="D504" s="1930" t="s">
        <v>4474</v>
      </c>
      <c r="E504" s="1931" t="s">
        <v>33</v>
      </c>
      <c r="F504" s="1930" t="s">
        <v>33</v>
      </c>
      <c r="G504" s="1932">
        <v>91032</v>
      </c>
      <c r="H504" s="1930" t="s">
        <v>542</v>
      </c>
      <c r="I504" s="1930" t="s">
        <v>98</v>
      </c>
      <c r="J504" s="1930" t="s">
        <v>137</v>
      </c>
      <c r="K504" s="1933">
        <v>31.43</v>
      </c>
      <c r="L504" s="1930" t="s">
        <v>138</v>
      </c>
    </row>
    <row r="505" spans="1:12" ht="13.5" x14ac:dyDescent="0.25">
      <c r="A505" s="1930" t="s">
        <v>4469</v>
      </c>
      <c r="B505" s="1930" t="s">
        <v>4470</v>
      </c>
      <c r="C505" s="1930" t="s">
        <v>4473</v>
      </c>
      <c r="D505" s="1930" t="s">
        <v>4474</v>
      </c>
      <c r="E505" s="1931" t="s">
        <v>33</v>
      </c>
      <c r="F505" s="1930" t="s">
        <v>33</v>
      </c>
      <c r="G505" s="1932">
        <v>91278</v>
      </c>
      <c r="H505" s="1930" t="s">
        <v>543</v>
      </c>
      <c r="I505" s="1930" t="s">
        <v>98</v>
      </c>
      <c r="J505" s="1930" t="s">
        <v>320</v>
      </c>
      <c r="K505" s="1933">
        <v>0.59</v>
      </c>
      <c r="L505" s="1930" t="s">
        <v>138</v>
      </c>
    </row>
    <row r="506" spans="1:12" ht="13.5" x14ac:dyDescent="0.25">
      <c r="A506" s="1930" t="s">
        <v>4469</v>
      </c>
      <c r="B506" s="1930" t="s">
        <v>4470</v>
      </c>
      <c r="C506" s="1930" t="s">
        <v>4473</v>
      </c>
      <c r="D506" s="1930" t="s">
        <v>4474</v>
      </c>
      <c r="E506" s="1931" t="s">
        <v>33</v>
      </c>
      <c r="F506" s="1930" t="s">
        <v>33</v>
      </c>
      <c r="G506" s="1932">
        <v>91285</v>
      </c>
      <c r="H506" s="1930" t="s">
        <v>544</v>
      </c>
      <c r="I506" s="1930" t="s">
        <v>98</v>
      </c>
      <c r="J506" s="1930" t="s">
        <v>320</v>
      </c>
      <c r="K506" s="1933">
        <v>0.62</v>
      </c>
      <c r="L506" s="1930" t="s">
        <v>138</v>
      </c>
    </row>
    <row r="507" spans="1:12" ht="13.5" x14ac:dyDescent="0.25">
      <c r="A507" s="1930" t="s">
        <v>4469</v>
      </c>
      <c r="B507" s="1930" t="s">
        <v>4470</v>
      </c>
      <c r="C507" s="1930" t="s">
        <v>4473</v>
      </c>
      <c r="D507" s="1930" t="s">
        <v>4474</v>
      </c>
      <c r="E507" s="1931" t="s">
        <v>33</v>
      </c>
      <c r="F507" s="1930" t="s">
        <v>33</v>
      </c>
      <c r="G507" s="1932">
        <v>91387</v>
      </c>
      <c r="H507" s="1930" t="s">
        <v>545</v>
      </c>
      <c r="I507" s="1930" t="s">
        <v>98</v>
      </c>
      <c r="J507" s="1930" t="s">
        <v>137</v>
      </c>
      <c r="K507" s="1933">
        <v>34.44</v>
      </c>
      <c r="L507" s="1930" t="s">
        <v>138</v>
      </c>
    </row>
    <row r="508" spans="1:12" ht="13.5" x14ac:dyDescent="0.25">
      <c r="A508" s="1930" t="s">
        <v>4469</v>
      </c>
      <c r="B508" s="1930" t="s">
        <v>4470</v>
      </c>
      <c r="C508" s="1930" t="s">
        <v>4473</v>
      </c>
      <c r="D508" s="1930" t="s">
        <v>4474</v>
      </c>
      <c r="E508" s="1931" t="s">
        <v>33</v>
      </c>
      <c r="F508" s="1930" t="s">
        <v>33</v>
      </c>
      <c r="G508" s="1932">
        <v>91395</v>
      </c>
      <c r="H508" s="1930" t="s">
        <v>546</v>
      </c>
      <c r="I508" s="1930" t="s">
        <v>98</v>
      </c>
      <c r="J508" s="1930" t="s">
        <v>137</v>
      </c>
      <c r="K508" s="1933">
        <v>29.06</v>
      </c>
      <c r="L508" s="1930" t="s">
        <v>138</v>
      </c>
    </row>
    <row r="509" spans="1:12" ht="13.5" x14ac:dyDescent="0.25">
      <c r="A509" s="1930" t="s">
        <v>4469</v>
      </c>
      <c r="B509" s="1930" t="s">
        <v>4470</v>
      </c>
      <c r="C509" s="1930" t="s">
        <v>4473</v>
      </c>
      <c r="D509" s="1930" t="s">
        <v>4474</v>
      </c>
      <c r="E509" s="1931" t="s">
        <v>33</v>
      </c>
      <c r="F509" s="1930" t="s">
        <v>33</v>
      </c>
      <c r="G509" s="1932">
        <v>91486</v>
      </c>
      <c r="H509" s="1930" t="s">
        <v>547</v>
      </c>
      <c r="I509" s="1930" t="s">
        <v>98</v>
      </c>
      <c r="J509" s="1930" t="s">
        <v>137</v>
      </c>
      <c r="K509" s="1933">
        <v>34.46</v>
      </c>
      <c r="L509" s="1930" t="s">
        <v>138</v>
      </c>
    </row>
    <row r="510" spans="1:12" ht="13.5" x14ac:dyDescent="0.25">
      <c r="A510" s="1930" t="s">
        <v>4469</v>
      </c>
      <c r="B510" s="1930" t="s">
        <v>4470</v>
      </c>
      <c r="C510" s="1930" t="s">
        <v>4473</v>
      </c>
      <c r="D510" s="1930" t="s">
        <v>4474</v>
      </c>
      <c r="E510" s="1931" t="s">
        <v>33</v>
      </c>
      <c r="F510" s="1930" t="s">
        <v>33</v>
      </c>
      <c r="G510" s="1932">
        <v>91534</v>
      </c>
      <c r="H510" s="1930" t="s">
        <v>548</v>
      </c>
      <c r="I510" s="1930" t="s">
        <v>98</v>
      </c>
      <c r="J510" s="1930" t="s">
        <v>320</v>
      </c>
      <c r="K510" s="1933">
        <v>16.71</v>
      </c>
      <c r="L510" s="1930" t="s">
        <v>138</v>
      </c>
    </row>
    <row r="511" spans="1:12" ht="13.5" x14ac:dyDescent="0.25">
      <c r="A511" s="1930" t="s">
        <v>4469</v>
      </c>
      <c r="B511" s="1930" t="s">
        <v>4470</v>
      </c>
      <c r="C511" s="1930" t="s">
        <v>4473</v>
      </c>
      <c r="D511" s="1930" t="s">
        <v>4474</v>
      </c>
      <c r="E511" s="1931" t="s">
        <v>33</v>
      </c>
      <c r="F511" s="1930" t="s">
        <v>33</v>
      </c>
      <c r="G511" s="1932">
        <v>91635</v>
      </c>
      <c r="H511" s="1930" t="s">
        <v>549</v>
      </c>
      <c r="I511" s="1930" t="s">
        <v>98</v>
      </c>
      <c r="J511" s="1930" t="s">
        <v>137</v>
      </c>
      <c r="K511" s="1933">
        <v>27.79</v>
      </c>
      <c r="L511" s="1930" t="s">
        <v>138</v>
      </c>
    </row>
    <row r="512" spans="1:12" ht="13.5" x14ac:dyDescent="0.25">
      <c r="A512" s="1930" t="s">
        <v>4469</v>
      </c>
      <c r="B512" s="1930" t="s">
        <v>4470</v>
      </c>
      <c r="C512" s="1930" t="s">
        <v>4473</v>
      </c>
      <c r="D512" s="1930" t="s">
        <v>4474</v>
      </c>
      <c r="E512" s="1931" t="s">
        <v>33</v>
      </c>
      <c r="F512" s="1930" t="s">
        <v>33</v>
      </c>
      <c r="G512" s="1932">
        <v>91646</v>
      </c>
      <c r="H512" s="1930" t="s">
        <v>550</v>
      </c>
      <c r="I512" s="1930" t="s">
        <v>98</v>
      </c>
      <c r="J512" s="1930" t="s">
        <v>137</v>
      </c>
      <c r="K512" s="1933">
        <v>47.74</v>
      </c>
      <c r="L512" s="1930" t="s">
        <v>138</v>
      </c>
    </row>
    <row r="513" spans="1:12" ht="13.5" x14ac:dyDescent="0.25">
      <c r="A513" s="1930" t="s">
        <v>4469</v>
      </c>
      <c r="B513" s="1930" t="s">
        <v>4470</v>
      </c>
      <c r="C513" s="1930" t="s">
        <v>4473</v>
      </c>
      <c r="D513" s="1930" t="s">
        <v>4474</v>
      </c>
      <c r="E513" s="1931" t="s">
        <v>33</v>
      </c>
      <c r="F513" s="1930" t="s">
        <v>33</v>
      </c>
      <c r="G513" s="1932">
        <v>91693</v>
      </c>
      <c r="H513" s="1930" t="s">
        <v>551</v>
      </c>
      <c r="I513" s="1930" t="s">
        <v>98</v>
      </c>
      <c r="J513" s="1930" t="s">
        <v>320</v>
      </c>
      <c r="K513" s="1933">
        <v>15.91</v>
      </c>
      <c r="L513" s="1930" t="s">
        <v>138</v>
      </c>
    </row>
    <row r="514" spans="1:12" ht="13.5" x14ac:dyDescent="0.25">
      <c r="A514" s="1930" t="s">
        <v>4469</v>
      </c>
      <c r="B514" s="1930" t="s">
        <v>4470</v>
      </c>
      <c r="C514" s="1930" t="s">
        <v>4473</v>
      </c>
      <c r="D514" s="1930" t="s">
        <v>4474</v>
      </c>
      <c r="E514" s="1931" t="s">
        <v>33</v>
      </c>
      <c r="F514" s="1930" t="s">
        <v>33</v>
      </c>
      <c r="G514" s="1932">
        <v>92044</v>
      </c>
      <c r="H514" s="1930" t="s">
        <v>552</v>
      </c>
      <c r="I514" s="1930" t="s">
        <v>98</v>
      </c>
      <c r="J514" s="1930" t="s">
        <v>137</v>
      </c>
      <c r="K514" s="1933">
        <v>4.5599999999999996</v>
      </c>
      <c r="L514" s="1930" t="s">
        <v>138</v>
      </c>
    </row>
    <row r="515" spans="1:12" ht="13.5" x14ac:dyDescent="0.25">
      <c r="A515" s="1930" t="s">
        <v>4469</v>
      </c>
      <c r="B515" s="1930" t="s">
        <v>4470</v>
      </c>
      <c r="C515" s="1930" t="s">
        <v>4473</v>
      </c>
      <c r="D515" s="1930" t="s">
        <v>4474</v>
      </c>
      <c r="E515" s="1931" t="s">
        <v>33</v>
      </c>
      <c r="F515" s="1930" t="s">
        <v>33</v>
      </c>
      <c r="G515" s="1932">
        <v>92107</v>
      </c>
      <c r="H515" s="1930" t="s">
        <v>553</v>
      </c>
      <c r="I515" s="1930" t="s">
        <v>98</v>
      </c>
      <c r="J515" s="1930" t="s">
        <v>137</v>
      </c>
      <c r="K515" s="1933">
        <v>35.26</v>
      </c>
      <c r="L515" s="1930" t="s">
        <v>138</v>
      </c>
    </row>
    <row r="516" spans="1:12" ht="13.5" x14ac:dyDescent="0.25">
      <c r="A516" s="1930" t="s">
        <v>4469</v>
      </c>
      <c r="B516" s="1930" t="s">
        <v>4470</v>
      </c>
      <c r="C516" s="1930" t="s">
        <v>4473</v>
      </c>
      <c r="D516" s="1930" t="s">
        <v>4474</v>
      </c>
      <c r="E516" s="1931" t="s">
        <v>33</v>
      </c>
      <c r="F516" s="1930" t="s">
        <v>33</v>
      </c>
      <c r="G516" s="1932">
        <v>92113</v>
      </c>
      <c r="H516" s="1930" t="s">
        <v>554</v>
      </c>
      <c r="I516" s="1930" t="s">
        <v>98</v>
      </c>
      <c r="J516" s="1930" t="s">
        <v>320</v>
      </c>
      <c r="K516" s="1933">
        <v>0.79</v>
      </c>
      <c r="L516" s="1930" t="s">
        <v>138</v>
      </c>
    </row>
    <row r="517" spans="1:12" ht="13.5" x14ac:dyDescent="0.25">
      <c r="A517" s="1930" t="s">
        <v>4469</v>
      </c>
      <c r="B517" s="1930" t="s">
        <v>4470</v>
      </c>
      <c r="C517" s="1930" t="s">
        <v>4473</v>
      </c>
      <c r="D517" s="1930" t="s">
        <v>4474</v>
      </c>
      <c r="E517" s="1931" t="s">
        <v>33</v>
      </c>
      <c r="F517" s="1930" t="s">
        <v>33</v>
      </c>
      <c r="G517" s="1932">
        <v>92119</v>
      </c>
      <c r="H517" s="1930" t="s">
        <v>555</v>
      </c>
      <c r="I517" s="1930" t="s">
        <v>98</v>
      </c>
      <c r="J517" s="1930" t="s">
        <v>320</v>
      </c>
      <c r="K517" s="1933">
        <v>0.08</v>
      </c>
      <c r="L517" s="1930" t="s">
        <v>138</v>
      </c>
    </row>
    <row r="518" spans="1:12" ht="13.5" x14ac:dyDescent="0.25">
      <c r="A518" s="1930" t="s">
        <v>4469</v>
      </c>
      <c r="B518" s="1930" t="s">
        <v>4470</v>
      </c>
      <c r="C518" s="1930" t="s">
        <v>4473</v>
      </c>
      <c r="D518" s="1930" t="s">
        <v>4474</v>
      </c>
      <c r="E518" s="1931" t="s">
        <v>33</v>
      </c>
      <c r="F518" s="1930" t="s">
        <v>33</v>
      </c>
      <c r="G518" s="1932">
        <v>92139</v>
      </c>
      <c r="H518" s="1930" t="s">
        <v>556</v>
      </c>
      <c r="I518" s="1930" t="s">
        <v>98</v>
      </c>
      <c r="J518" s="1930" t="s">
        <v>320</v>
      </c>
      <c r="K518" s="1933">
        <v>25.28</v>
      </c>
      <c r="L518" s="1930" t="s">
        <v>138</v>
      </c>
    </row>
    <row r="519" spans="1:12" ht="13.5" x14ac:dyDescent="0.25">
      <c r="A519" s="1930" t="s">
        <v>4469</v>
      </c>
      <c r="B519" s="1930" t="s">
        <v>4470</v>
      </c>
      <c r="C519" s="1930" t="s">
        <v>4473</v>
      </c>
      <c r="D519" s="1930" t="s">
        <v>4474</v>
      </c>
      <c r="E519" s="1931" t="s">
        <v>33</v>
      </c>
      <c r="F519" s="1930" t="s">
        <v>33</v>
      </c>
      <c r="G519" s="1932">
        <v>92146</v>
      </c>
      <c r="H519" s="1930" t="s">
        <v>557</v>
      </c>
      <c r="I519" s="1930" t="s">
        <v>98</v>
      </c>
      <c r="J519" s="1930" t="s">
        <v>320</v>
      </c>
      <c r="K519" s="1933">
        <v>18.649999999999999</v>
      </c>
      <c r="L519" s="1930" t="s">
        <v>138</v>
      </c>
    </row>
    <row r="520" spans="1:12" ht="13.5" x14ac:dyDescent="0.25">
      <c r="A520" s="1930" t="s">
        <v>4469</v>
      </c>
      <c r="B520" s="1930" t="s">
        <v>4470</v>
      </c>
      <c r="C520" s="1930" t="s">
        <v>4473</v>
      </c>
      <c r="D520" s="1930" t="s">
        <v>4474</v>
      </c>
      <c r="E520" s="1931" t="s">
        <v>33</v>
      </c>
      <c r="F520" s="1930" t="s">
        <v>33</v>
      </c>
      <c r="G520" s="1932">
        <v>92243</v>
      </c>
      <c r="H520" s="1930" t="s">
        <v>558</v>
      </c>
      <c r="I520" s="1930" t="s">
        <v>98</v>
      </c>
      <c r="J520" s="1930" t="s">
        <v>137</v>
      </c>
      <c r="K520" s="1933">
        <v>40.43</v>
      </c>
      <c r="L520" s="1930" t="s">
        <v>138</v>
      </c>
    </row>
    <row r="521" spans="1:12" ht="13.5" x14ac:dyDescent="0.25">
      <c r="A521" s="1930" t="s">
        <v>4469</v>
      </c>
      <c r="B521" s="1930" t="s">
        <v>4470</v>
      </c>
      <c r="C521" s="1930" t="s">
        <v>4473</v>
      </c>
      <c r="D521" s="1930" t="s">
        <v>4474</v>
      </c>
      <c r="E521" s="1931" t="s">
        <v>33</v>
      </c>
      <c r="F521" s="1930" t="s">
        <v>33</v>
      </c>
      <c r="G521" s="1932">
        <v>92717</v>
      </c>
      <c r="H521" s="1930" t="s">
        <v>559</v>
      </c>
      <c r="I521" s="1930" t="s">
        <v>98</v>
      </c>
      <c r="J521" s="1930" t="s">
        <v>137</v>
      </c>
      <c r="K521" s="1933">
        <v>0.17</v>
      </c>
      <c r="L521" s="1930" t="s">
        <v>138</v>
      </c>
    </row>
    <row r="522" spans="1:12" ht="13.5" x14ac:dyDescent="0.25">
      <c r="A522" s="1930" t="s">
        <v>4469</v>
      </c>
      <c r="B522" s="1930" t="s">
        <v>4470</v>
      </c>
      <c r="C522" s="1930" t="s">
        <v>4473</v>
      </c>
      <c r="D522" s="1930" t="s">
        <v>4474</v>
      </c>
      <c r="E522" s="1931" t="s">
        <v>33</v>
      </c>
      <c r="F522" s="1930" t="s">
        <v>33</v>
      </c>
      <c r="G522" s="1932">
        <v>92961</v>
      </c>
      <c r="H522" s="1930" t="s">
        <v>560</v>
      </c>
      <c r="I522" s="1930" t="s">
        <v>98</v>
      </c>
      <c r="J522" s="1930" t="s">
        <v>137</v>
      </c>
      <c r="K522" s="1933">
        <v>4.1900000000000004</v>
      </c>
      <c r="L522" s="1930" t="s">
        <v>138</v>
      </c>
    </row>
    <row r="523" spans="1:12" ht="13.5" x14ac:dyDescent="0.25">
      <c r="A523" s="1930" t="s">
        <v>4469</v>
      </c>
      <c r="B523" s="1930" t="s">
        <v>4470</v>
      </c>
      <c r="C523" s="1930" t="s">
        <v>4473</v>
      </c>
      <c r="D523" s="1930" t="s">
        <v>4474</v>
      </c>
      <c r="E523" s="1931" t="s">
        <v>33</v>
      </c>
      <c r="F523" s="1930" t="s">
        <v>33</v>
      </c>
      <c r="G523" s="1932">
        <v>92967</v>
      </c>
      <c r="H523" s="1930" t="s">
        <v>561</v>
      </c>
      <c r="I523" s="1930" t="s">
        <v>98</v>
      </c>
      <c r="J523" s="1930" t="s">
        <v>137</v>
      </c>
      <c r="K523" s="1933">
        <v>17.22</v>
      </c>
      <c r="L523" s="1930" t="s">
        <v>138</v>
      </c>
    </row>
    <row r="524" spans="1:12" ht="13.5" x14ac:dyDescent="0.25">
      <c r="A524" s="1930" t="s">
        <v>4469</v>
      </c>
      <c r="B524" s="1930" t="s">
        <v>4470</v>
      </c>
      <c r="C524" s="1930" t="s">
        <v>4473</v>
      </c>
      <c r="D524" s="1930" t="s">
        <v>4474</v>
      </c>
      <c r="E524" s="1931" t="s">
        <v>33</v>
      </c>
      <c r="F524" s="1930" t="s">
        <v>33</v>
      </c>
      <c r="G524" s="1932">
        <v>93225</v>
      </c>
      <c r="H524" s="1930" t="s">
        <v>562</v>
      </c>
      <c r="I524" s="1930" t="s">
        <v>98</v>
      </c>
      <c r="J524" s="1930" t="s">
        <v>137</v>
      </c>
      <c r="K524" s="1933">
        <v>208.07</v>
      </c>
      <c r="L524" s="1930" t="s">
        <v>138</v>
      </c>
    </row>
    <row r="525" spans="1:12" ht="13.5" x14ac:dyDescent="0.25">
      <c r="A525" s="1930" t="s">
        <v>4469</v>
      </c>
      <c r="B525" s="1930" t="s">
        <v>4470</v>
      </c>
      <c r="C525" s="1930" t="s">
        <v>4473</v>
      </c>
      <c r="D525" s="1930" t="s">
        <v>4474</v>
      </c>
      <c r="E525" s="1931" t="s">
        <v>33</v>
      </c>
      <c r="F525" s="1930" t="s">
        <v>33</v>
      </c>
      <c r="G525" s="1932">
        <v>93234</v>
      </c>
      <c r="H525" s="1930" t="s">
        <v>563</v>
      </c>
      <c r="I525" s="1930" t="s">
        <v>98</v>
      </c>
      <c r="J525" s="1930" t="s">
        <v>320</v>
      </c>
      <c r="K525" s="1933">
        <v>0.33</v>
      </c>
      <c r="L525" s="1930" t="s">
        <v>138</v>
      </c>
    </row>
    <row r="526" spans="1:12" ht="13.5" x14ac:dyDescent="0.25">
      <c r="A526" s="1930" t="s">
        <v>4469</v>
      </c>
      <c r="B526" s="1930" t="s">
        <v>4470</v>
      </c>
      <c r="C526" s="1930" t="s">
        <v>4473</v>
      </c>
      <c r="D526" s="1930" t="s">
        <v>4474</v>
      </c>
      <c r="E526" s="1931" t="s">
        <v>33</v>
      </c>
      <c r="F526" s="1930" t="s">
        <v>33</v>
      </c>
      <c r="G526" s="1932">
        <v>93244</v>
      </c>
      <c r="H526" s="1930" t="s">
        <v>564</v>
      </c>
      <c r="I526" s="1930" t="s">
        <v>98</v>
      </c>
      <c r="J526" s="1930" t="s">
        <v>137</v>
      </c>
      <c r="K526" s="1933">
        <v>33.72</v>
      </c>
      <c r="L526" s="1930" t="s">
        <v>138</v>
      </c>
    </row>
    <row r="527" spans="1:12" ht="13.5" x14ac:dyDescent="0.25">
      <c r="A527" s="1930" t="s">
        <v>4469</v>
      </c>
      <c r="B527" s="1930" t="s">
        <v>4470</v>
      </c>
      <c r="C527" s="1930" t="s">
        <v>4473</v>
      </c>
      <c r="D527" s="1930" t="s">
        <v>4474</v>
      </c>
      <c r="E527" s="1931" t="s">
        <v>33</v>
      </c>
      <c r="F527" s="1930" t="s">
        <v>33</v>
      </c>
      <c r="G527" s="1932">
        <v>93274</v>
      </c>
      <c r="H527" s="1930" t="s">
        <v>565</v>
      </c>
      <c r="I527" s="1930" t="s">
        <v>98</v>
      </c>
      <c r="J527" s="1930" t="s">
        <v>137</v>
      </c>
      <c r="K527" s="1933">
        <v>42.9</v>
      </c>
      <c r="L527" s="1930" t="s">
        <v>138</v>
      </c>
    </row>
    <row r="528" spans="1:12" ht="13.5" x14ac:dyDescent="0.25">
      <c r="A528" s="1930" t="s">
        <v>4469</v>
      </c>
      <c r="B528" s="1930" t="s">
        <v>4470</v>
      </c>
      <c r="C528" s="1930" t="s">
        <v>4473</v>
      </c>
      <c r="D528" s="1930" t="s">
        <v>4474</v>
      </c>
      <c r="E528" s="1931" t="s">
        <v>33</v>
      </c>
      <c r="F528" s="1930" t="s">
        <v>33</v>
      </c>
      <c r="G528" s="1932">
        <v>93282</v>
      </c>
      <c r="H528" s="1930" t="s">
        <v>566</v>
      </c>
      <c r="I528" s="1930" t="s">
        <v>98</v>
      </c>
      <c r="J528" s="1930" t="s">
        <v>137</v>
      </c>
      <c r="K528" s="1933">
        <v>16.149999999999999</v>
      </c>
      <c r="L528" s="1930" t="s">
        <v>138</v>
      </c>
    </row>
    <row r="529" spans="1:12" ht="13.5" x14ac:dyDescent="0.25">
      <c r="A529" s="1930" t="s">
        <v>4469</v>
      </c>
      <c r="B529" s="1930" t="s">
        <v>4470</v>
      </c>
      <c r="C529" s="1930" t="s">
        <v>4473</v>
      </c>
      <c r="D529" s="1930" t="s">
        <v>4474</v>
      </c>
      <c r="E529" s="1931" t="s">
        <v>33</v>
      </c>
      <c r="F529" s="1930" t="s">
        <v>33</v>
      </c>
      <c r="G529" s="1932">
        <v>93288</v>
      </c>
      <c r="H529" s="1930" t="s">
        <v>567</v>
      </c>
      <c r="I529" s="1930" t="s">
        <v>98</v>
      </c>
      <c r="J529" s="1930" t="s">
        <v>137</v>
      </c>
      <c r="K529" s="1933">
        <v>79.87</v>
      </c>
      <c r="L529" s="1930" t="s">
        <v>138</v>
      </c>
    </row>
    <row r="530" spans="1:12" ht="13.5" x14ac:dyDescent="0.25">
      <c r="A530" s="1930" t="s">
        <v>4469</v>
      </c>
      <c r="B530" s="1930" t="s">
        <v>4470</v>
      </c>
      <c r="C530" s="1930" t="s">
        <v>4473</v>
      </c>
      <c r="D530" s="1930" t="s">
        <v>4474</v>
      </c>
      <c r="E530" s="1931" t="s">
        <v>33</v>
      </c>
      <c r="F530" s="1930" t="s">
        <v>33</v>
      </c>
      <c r="G530" s="1932">
        <v>93403</v>
      </c>
      <c r="H530" s="1930" t="s">
        <v>568</v>
      </c>
      <c r="I530" s="1930" t="s">
        <v>98</v>
      </c>
      <c r="J530" s="1930" t="s">
        <v>137</v>
      </c>
      <c r="K530" s="1933">
        <v>27.79</v>
      </c>
      <c r="L530" s="1930" t="s">
        <v>138</v>
      </c>
    </row>
    <row r="531" spans="1:12" ht="13.5" x14ac:dyDescent="0.25">
      <c r="A531" s="1930" t="s">
        <v>4469</v>
      </c>
      <c r="B531" s="1930" t="s">
        <v>4470</v>
      </c>
      <c r="C531" s="1930" t="s">
        <v>4473</v>
      </c>
      <c r="D531" s="1930" t="s">
        <v>4474</v>
      </c>
      <c r="E531" s="1931" t="s">
        <v>33</v>
      </c>
      <c r="F531" s="1930" t="s">
        <v>33</v>
      </c>
      <c r="G531" s="1932">
        <v>93409</v>
      </c>
      <c r="H531" s="1930" t="s">
        <v>9129</v>
      </c>
      <c r="I531" s="1930" t="s">
        <v>98</v>
      </c>
      <c r="J531" s="1930" t="s">
        <v>137</v>
      </c>
      <c r="K531" s="1933">
        <v>22.59</v>
      </c>
      <c r="L531" s="1930" t="s">
        <v>138</v>
      </c>
    </row>
    <row r="532" spans="1:12" ht="13.5" x14ac:dyDescent="0.25">
      <c r="A532" s="1930" t="s">
        <v>4469</v>
      </c>
      <c r="B532" s="1930" t="s">
        <v>4470</v>
      </c>
      <c r="C532" s="1930" t="s">
        <v>4473</v>
      </c>
      <c r="D532" s="1930" t="s">
        <v>4474</v>
      </c>
      <c r="E532" s="1931" t="s">
        <v>33</v>
      </c>
      <c r="F532" s="1930" t="s">
        <v>33</v>
      </c>
      <c r="G532" s="1932">
        <v>93416</v>
      </c>
      <c r="H532" s="1930" t="s">
        <v>569</v>
      </c>
      <c r="I532" s="1930" t="s">
        <v>98</v>
      </c>
      <c r="J532" s="1930" t="s">
        <v>137</v>
      </c>
      <c r="K532" s="1933">
        <v>0.23</v>
      </c>
      <c r="L532" s="1930" t="s">
        <v>138</v>
      </c>
    </row>
    <row r="533" spans="1:12" ht="13.5" x14ac:dyDescent="0.25">
      <c r="A533" s="1930" t="s">
        <v>4469</v>
      </c>
      <c r="B533" s="1930" t="s">
        <v>4470</v>
      </c>
      <c r="C533" s="1930" t="s">
        <v>4473</v>
      </c>
      <c r="D533" s="1930" t="s">
        <v>4474</v>
      </c>
      <c r="E533" s="1931" t="s">
        <v>33</v>
      </c>
      <c r="F533" s="1930" t="s">
        <v>33</v>
      </c>
      <c r="G533" s="1932">
        <v>93422</v>
      </c>
      <c r="H533" s="1930" t="s">
        <v>570</v>
      </c>
      <c r="I533" s="1930" t="s">
        <v>98</v>
      </c>
      <c r="J533" s="1930" t="s">
        <v>137</v>
      </c>
      <c r="K533" s="1933">
        <v>3.16</v>
      </c>
      <c r="L533" s="1930" t="s">
        <v>138</v>
      </c>
    </row>
    <row r="534" spans="1:12" ht="13.5" x14ac:dyDescent="0.25">
      <c r="A534" s="1930" t="s">
        <v>4469</v>
      </c>
      <c r="B534" s="1930" t="s">
        <v>4470</v>
      </c>
      <c r="C534" s="1930" t="s">
        <v>4473</v>
      </c>
      <c r="D534" s="1930" t="s">
        <v>4474</v>
      </c>
      <c r="E534" s="1931" t="s">
        <v>33</v>
      </c>
      <c r="F534" s="1930" t="s">
        <v>33</v>
      </c>
      <c r="G534" s="1932">
        <v>93428</v>
      </c>
      <c r="H534" s="1930" t="s">
        <v>571</v>
      </c>
      <c r="I534" s="1930" t="s">
        <v>98</v>
      </c>
      <c r="J534" s="1930" t="s">
        <v>137</v>
      </c>
      <c r="K534" s="1933">
        <v>4.47</v>
      </c>
      <c r="L534" s="1930" t="s">
        <v>138</v>
      </c>
    </row>
    <row r="535" spans="1:12" ht="13.5" x14ac:dyDescent="0.25">
      <c r="A535" s="1930" t="s">
        <v>4469</v>
      </c>
      <c r="B535" s="1930" t="s">
        <v>4470</v>
      </c>
      <c r="C535" s="1930" t="s">
        <v>4473</v>
      </c>
      <c r="D535" s="1930" t="s">
        <v>4474</v>
      </c>
      <c r="E535" s="1931" t="s">
        <v>33</v>
      </c>
      <c r="F535" s="1930" t="s">
        <v>33</v>
      </c>
      <c r="G535" s="1932">
        <v>93434</v>
      </c>
      <c r="H535" s="1930" t="s">
        <v>572</v>
      </c>
      <c r="I535" s="1930" t="s">
        <v>98</v>
      </c>
      <c r="J535" s="1930" t="s">
        <v>137</v>
      </c>
      <c r="K535" s="1933">
        <v>154.9</v>
      </c>
      <c r="L535" s="1930" t="s">
        <v>138</v>
      </c>
    </row>
    <row r="536" spans="1:12" ht="13.5" x14ac:dyDescent="0.25">
      <c r="A536" s="1930" t="s">
        <v>4469</v>
      </c>
      <c r="B536" s="1930" t="s">
        <v>4470</v>
      </c>
      <c r="C536" s="1930" t="s">
        <v>4473</v>
      </c>
      <c r="D536" s="1930" t="s">
        <v>4474</v>
      </c>
      <c r="E536" s="1931" t="s">
        <v>33</v>
      </c>
      <c r="F536" s="1930" t="s">
        <v>33</v>
      </c>
      <c r="G536" s="1932">
        <v>93440</v>
      </c>
      <c r="H536" s="1930" t="s">
        <v>573</v>
      </c>
      <c r="I536" s="1930" t="s">
        <v>98</v>
      </c>
      <c r="J536" s="1930" t="s">
        <v>137</v>
      </c>
      <c r="K536" s="1933">
        <v>81.34</v>
      </c>
      <c r="L536" s="1930" t="s">
        <v>138</v>
      </c>
    </row>
    <row r="537" spans="1:12" ht="13.5" x14ac:dyDescent="0.25">
      <c r="A537" s="1930" t="s">
        <v>4469</v>
      </c>
      <c r="B537" s="1930" t="s">
        <v>4470</v>
      </c>
      <c r="C537" s="1930" t="s">
        <v>4473</v>
      </c>
      <c r="D537" s="1930" t="s">
        <v>4474</v>
      </c>
      <c r="E537" s="1931" t="s">
        <v>33</v>
      </c>
      <c r="F537" s="1930" t="s">
        <v>33</v>
      </c>
      <c r="G537" s="1932">
        <v>95122</v>
      </c>
      <c r="H537" s="1930" t="s">
        <v>574</v>
      </c>
      <c r="I537" s="1930" t="s">
        <v>98</v>
      </c>
      <c r="J537" s="1930" t="s">
        <v>137</v>
      </c>
      <c r="K537" s="1933">
        <v>117.18</v>
      </c>
      <c r="L537" s="1930" t="s">
        <v>138</v>
      </c>
    </row>
    <row r="538" spans="1:12" ht="13.5" x14ac:dyDescent="0.25">
      <c r="A538" s="1930" t="s">
        <v>4469</v>
      </c>
      <c r="B538" s="1930" t="s">
        <v>4470</v>
      </c>
      <c r="C538" s="1930" t="s">
        <v>4473</v>
      </c>
      <c r="D538" s="1930" t="s">
        <v>4474</v>
      </c>
      <c r="E538" s="1931" t="s">
        <v>33</v>
      </c>
      <c r="F538" s="1930" t="s">
        <v>33</v>
      </c>
      <c r="G538" s="1932">
        <v>95128</v>
      </c>
      <c r="H538" s="1930" t="s">
        <v>575</v>
      </c>
      <c r="I538" s="1930" t="s">
        <v>98</v>
      </c>
      <c r="J538" s="1930" t="s">
        <v>137</v>
      </c>
      <c r="K538" s="1933">
        <v>29.03</v>
      </c>
      <c r="L538" s="1930" t="s">
        <v>138</v>
      </c>
    </row>
    <row r="539" spans="1:12" ht="13.5" x14ac:dyDescent="0.25">
      <c r="A539" s="1930" t="s">
        <v>4469</v>
      </c>
      <c r="B539" s="1930" t="s">
        <v>4470</v>
      </c>
      <c r="C539" s="1930" t="s">
        <v>4473</v>
      </c>
      <c r="D539" s="1930" t="s">
        <v>4474</v>
      </c>
      <c r="E539" s="1931" t="s">
        <v>33</v>
      </c>
      <c r="F539" s="1930" t="s">
        <v>33</v>
      </c>
      <c r="G539" s="1932">
        <v>95140</v>
      </c>
      <c r="H539" s="1930" t="s">
        <v>576</v>
      </c>
      <c r="I539" s="1930" t="s">
        <v>98</v>
      </c>
      <c r="J539" s="1930" t="s">
        <v>137</v>
      </c>
      <c r="K539" s="1933">
        <v>0.04</v>
      </c>
      <c r="L539" s="1930" t="s">
        <v>138</v>
      </c>
    </row>
    <row r="540" spans="1:12" ht="13.5" x14ac:dyDescent="0.25">
      <c r="A540" s="1930" t="s">
        <v>4469</v>
      </c>
      <c r="B540" s="1930" t="s">
        <v>4470</v>
      </c>
      <c r="C540" s="1930" t="s">
        <v>4473</v>
      </c>
      <c r="D540" s="1930" t="s">
        <v>4474</v>
      </c>
      <c r="E540" s="1931" t="s">
        <v>33</v>
      </c>
      <c r="F540" s="1930" t="s">
        <v>33</v>
      </c>
      <c r="G540" s="1932">
        <v>95213</v>
      </c>
      <c r="H540" s="1930" t="s">
        <v>577</v>
      </c>
      <c r="I540" s="1930" t="s">
        <v>98</v>
      </c>
      <c r="J540" s="1930" t="s">
        <v>137</v>
      </c>
      <c r="K540" s="1933">
        <v>46.5</v>
      </c>
      <c r="L540" s="1930" t="s">
        <v>138</v>
      </c>
    </row>
    <row r="541" spans="1:12" ht="13.5" x14ac:dyDescent="0.25">
      <c r="A541" s="1930" t="s">
        <v>4469</v>
      </c>
      <c r="B541" s="1930" t="s">
        <v>4470</v>
      </c>
      <c r="C541" s="1930" t="s">
        <v>4473</v>
      </c>
      <c r="D541" s="1930" t="s">
        <v>4474</v>
      </c>
      <c r="E541" s="1931" t="s">
        <v>33</v>
      </c>
      <c r="F541" s="1930" t="s">
        <v>33</v>
      </c>
      <c r="G541" s="1932">
        <v>95219</v>
      </c>
      <c r="H541" s="1930" t="s">
        <v>578</v>
      </c>
      <c r="I541" s="1930" t="s">
        <v>98</v>
      </c>
      <c r="J541" s="1930" t="s">
        <v>137</v>
      </c>
      <c r="K541" s="1933">
        <v>21.51</v>
      </c>
      <c r="L541" s="1930" t="s">
        <v>138</v>
      </c>
    </row>
    <row r="542" spans="1:12" ht="13.5" x14ac:dyDescent="0.25">
      <c r="A542" s="1930" t="s">
        <v>4469</v>
      </c>
      <c r="B542" s="1930" t="s">
        <v>4470</v>
      </c>
      <c r="C542" s="1930" t="s">
        <v>4473</v>
      </c>
      <c r="D542" s="1930" t="s">
        <v>4474</v>
      </c>
      <c r="E542" s="1931" t="s">
        <v>33</v>
      </c>
      <c r="F542" s="1930" t="s">
        <v>33</v>
      </c>
      <c r="G542" s="1932">
        <v>95259</v>
      </c>
      <c r="H542" s="1930" t="s">
        <v>579</v>
      </c>
      <c r="I542" s="1930" t="s">
        <v>98</v>
      </c>
      <c r="J542" s="1930" t="s">
        <v>137</v>
      </c>
      <c r="K542" s="1933">
        <v>17.079999999999998</v>
      </c>
      <c r="L542" s="1930" t="s">
        <v>138</v>
      </c>
    </row>
    <row r="543" spans="1:12" ht="13.5" x14ac:dyDescent="0.25">
      <c r="A543" s="1930" t="s">
        <v>4469</v>
      </c>
      <c r="B543" s="1930" t="s">
        <v>4470</v>
      </c>
      <c r="C543" s="1930" t="s">
        <v>4473</v>
      </c>
      <c r="D543" s="1930" t="s">
        <v>4474</v>
      </c>
      <c r="E543" s="1931" t="s">
        <v>33</v>
      </c>
      <c r="F543" s="1930" t="s">
        <v>33</v>
      </c>
      <c r="G543" s="1932">
        <v>95265</v>
      </c>
      <c r="H543" s="1930" t="s">
        <v>580</v>
      </c>
      <c r="I543" s="1930" t="s">
        <v>98</v>
      </c>
      <c r="J543" s="1930" t="s">
        <v>137</v>
      </c>
      <c r="K543" s="1933">
        <v>0.71</v>
      </c>
      <c r="L543" s="1930" t="s">
        <v>138</v>
      </c>
    </row>
    <row r="544" spans="1:12" ht="13.5" x14ac:dyDescent="0.25">
      <c r="A544" s="1930" t="s">
        <v>4469</v>
      </c>
      <c r="B544" s="1930" t="s">
        <v>4470</v>
      </c>
      <c r="C544" s="1930" t="s">
        <v>4473</v>
      </c>
      <c r="D544" s="1930" t="s">
        <v>4474</v>
      </c>
      <c r="E544" s="1931" t="s">
        <v>33</v>
      </c>
      <c r="F544" s="1930" t="s">
        <v>33</v>
      </c>
      <c r="G544" s="1932">
        <v>95271</v>
      </c>
      <c r="H544" s="1930" t="s">
        <v>581</v>
      </c>
      <c r="I544" s="1930" t="s">
        <v>98</v>
      </c>
      <c r="J544" s="1930" t="s">
        <v>137</v>
      </c>
      <c r="K544" s="1933">
        <v>0.42</v>
      </c>
      <c r="L544" s="1930" t="s">
        <v>138</v>
      </c>
    </row>
    <row r="545" spans="1:12" ht="13.5" x14ac:dyDescent="0.25">
      <c r="A545" s="1930" t="s">
        <v>4469</v>
      </c>
      <c r="B545" s="1930" t="s">
        <v>4470</v>
      </c>
      <c r="C545" s="1930" t="s">
        <v>4473</v>
      </c>
      <c r="D545" s="1930" t="s">
        <v>4474</v>
      </c>
      <c r="E545" s="1931" t="s">
        <v>33</v>
      </c>
      <c r="F545" s="1930" t="s">
        <v>33</v>
      </c>
      <c r="G545" s="1932">
        <v>95277</v>
      </c>
      <c r="H545" s="1930" t="s">
        <v>582</v>
      </c>
      <c r="I545" s="1930" t="s">
        <v>98</v>
      </c>
      <c r="J545" s="1930" t="s">
        <v>137</v>
      </c>
      <c r="K545" s="1933">
        <v>0.41</v>
      </c>
      <c r="L545" s="1930" t="s">
        <v>138</v>
      </c>
    </row>
    <row r="546" spans="1:12" ht="13.5" x14ac:dyDescent="0.25">
      <c r="A546" s="1930" t="s">
        <v>4469</v>
      </c>
      <c r="B546" s="1930" t="s">
        <v>4470</v>
      </c>
      <c r="C546" s="1930" t="s">
        <v>4473</v>
      </c>
      <c r="D546" s="1930" t="s">
        <v>4474</v>
      </c>
      <c r="E546" s="1931" t="s">
        <v>33</v>
      </c>
      <c r="F546" s="1930" t="s">
        <v>33</v>
      </c>
      <c r="G546" s="1932">
        <v>95283</v>
      </c>
      <c r="H546" s="1930" t="s">
        <v>583</v>
      </c>
      <c r="I546" s="1930" t="s">
        <v>98</v>
      </c>
      <c r="J546" s="1930" t="s">
        <v>137</v>
      </c>
      <c r="K546" s="1933">
        <v>0.45</v>
      </c>
      <c r="L546" s="1930" t="s">
        <v>138</v>
      </c>
    </row>
    <row r="547" spans="1:12" ht="13.5" x14ac:dyDescent="0.25">
      <c r="A547" s="1930" t="s">
        <v>4469</v>
      </c>
      <c r="B547" s="1930" t="s">
        <v>4470</v>
      </c>
      <c r="C547" s="1930" t="s">
        <v>4473</v>
      </c>
      <c r="D547" s="1930" t="s">
        <v>4474</v>
      </c>
      <c r="E547" s="1931" t="s">
        <v>33</v>
      </c>
      <c r="F547" s="1930" t="s">
        <v>33</v>
      </c>
      <c r="G547" s="1932">
        <v>95621</v>
      </c>
      <c r="H547" s="1930" t="s">
        <v>584</v>
      </c>
      <c r="I547" s="1930" t="s">
        <v>98</v>
      </c>
      <c r="J547" s="1930" t="s">
        <v>137</v>
      </c>
      <c r="K547" s="1933">
        <v>16.899999999999999</v>
      </c>
      <c r="L547" s="1930" t="s">
        <v>138</v>
      </c>
    </row>
    <row r="548" spans="1:12" ht="13.5" x14ac:dyDescent="0.25">
      <c r="A548" s="1930" t="s">
        <v>4469</v>
      </c>
      <c r="B548" s="1930" t="s">
        <v>4470</v>
      </c>
      <c r="C548" s="1930" t="s">
        <v>4473</v>
      </c>
      <c r="D548" s="1930" t="s">
        <v>4474</v>
      </c>
      <c r="E548" s="1931" t="s">
        <v>33</v>
      </c>
      <c r="F548" s="1930" t="s">
        <v>33</v>
      </c>
      <c r="G548" s="1932">
        <v>95632</v>
      </c>
      <c r="H548" s="1930" t="s">
        <v>585</v>
      </c>
      <c r="I548" s="1930" t="s">
        <v>98</v>
      </c>
      <c r="J548" s="1930" t="s">
        <v>137</v>
      </c>
      <c r="K548" s="1933">
        <v>41.54</v>
      </c>
      <c r="L548" s="1930" t="s">
        <v>138</v>
      </c>
    </row>
    <row r="549" spans="1:12" ht="13.5" x14ac:dyDescent="0.25">
      <c r="A549" s="1930" t="s">
        <v>4469</v>
      </c>
      <c r="B549" s="1930" t="s">
        <v>4470</v>
      </c>
      <c r="C549" s="1930" t="s">
        <v>4473</v>
      </c>
      <c r="D549" s="1930" t="s">
        <v>4474</v>
      </c>
      <c r="E549" s="1931" t="s">
        <v>33</v>
      </c>
      <c r="F549" s="1930" t="s">
        <v>33</v>
      </c>
      <c r="G549" s="1932">
        <v>95703</v>
      </c>
      <c r="H549" s="1930" t="s">
        <v>586</v>
      </c>
      <c r="I549" s="1930" t="s">
        <v>98</v>
      </c>
      <c r="J549" s="1930" t="s">
        <v>137</v>
      </c>
      <c r="K549" s="1933">
        <v>19.04</v>
      </c>
      <c r="L549" s="1930" t="s">
        <v>138</v>
      </c>
    </row>
    <row r="550" spans="1:12" ht="13.5" x14ac:dyDescent="0.25">
      <c r="A550" s="1930" t="s">
        <v>4469</v>
      </c>
      <c r="B550" s="1930" t="s">
        <v>4470</v>
      </c>
      <c r="C550" s="1930" t="s">
        <v>4473</v>
      </c>
      <c r="D550" s="1930" t="s">
        <v>4474</v>
      </c>
      <c r="E550" s="1931" t="s">
        <v>33</v>
      </c>
      <c r="F550" s="1930" t="s">
        <v>33</v>
      </c>
      <c r="G550" s="1932">
        <v>95709</v>
      </c>
      <c r="H550" s="1930" t="s">
        <v>587</v>
      </c>
      <c r="I550" s="1930" t="s">
        <v>98</v>
      </c>
      <c r="J550" s="1930" t="s">
        <v>137</v>
      </c>
      <c r="K550" s="1933">
        <v>41.74</v>
      </c>
      <c r="L550" s="1930" t="s">
        <v>138</v>
      </c>
    </row>
    <row r="551" spans="1:12" ht="13.5" x14ac:dyDescent="0.25">
      <c r="A551" s="1930" t="s">
        <v>4469</v>
      </c>
      <c r="B551" s="1930" t="s">
        <v>4470</v>
      </c>
      <c r="C551" s="1930" t="s">
        <v>4473</v>
      </c>
      <c r="D551" s="1930" t="s">
        <v>4474</v>
      </c>
      <c r="E551" s="1931" t="s">
        <v>33</v>
      </c>
      <c r="F551" s="1930" t="s">
        <v>33</v>
      </c>
      <c r="G551" s="1932">
        <v>95715</v>
      </c>
      <c r="H551" s="1930" t="s">
        <v>588</v>
      </c>
      <c r="I551" s="1930" t="s">
        <v>98</v>
      </c>
      <c r="J551" s="1930" t="s">
        <v>137</v>
      </c>
      <c r="K551" s="1933">
        <v>50.2</v>
      </c>
      <c r="L551" s="1930" t="s">
        <v>138</v>
      </c>
    </row>
    <row r="552" spans="1:12" ht="13.5" x14ac:dyDescent="0.25">
      <c r="A552" s="1930" t="s">
        <v>4469</v>
      </c>
      <c r="B552" s="1930" t="s">
        <v>4470</v>
      </c>
      <c r="C552" s="1930" t="s">
        <v>4473</v>
      </c>
      <c r="D552" s="1930" t="s">
        <v>4474</v>
      </c>
      <c r="E552" s="1931" t="s">
        <v>33</v>
      </c>
      <c r="F552" s="1930" t="s">
        <v>33</v>
      </c>
      <c r="G552" s="1932">
        <v>95721</v>
      </c>
      <c r="H552" s="1930" t="s">
        <v>589</v>
      </c>
      <c r="I552" s="1930" t="s">
        <v>98</v>
      </c>
      <c r="J552" s="1930" t="s">
        <v>137</v>
      </c>
      <c r="K552" s="1933">
        <v>49.06</v>
      </c>
      <c r="L552" s="1930" t="s">
        <v>138</v>
      </c>
    </row>
    <row r="553" spans="1:12" ht="13.5" x14ac:dyDescent="0.25">
      <c r="A553" s="1930" t="s">
        <v>4469</v>
      </c>
      <c r="B553" s="1930" t="s">
        <v>4470</v>
      </c>
      <c r="C553" s="1930" t="s">
        <v>4473</v>
      </c>
      <c r="D553" s="1930" t="s">
        <v>4474</v>
      </c>
      <c r="E553" s="1931" t="s">
        <v>33</v>
      </c>
      <c r="F553" s="1930" t="s">
        <v>33</v>
      </c>
      <c r="G553" s="1932">
        <v>95873</v>
      </c>
      <c r="H553" s="1930" t="s">
        <v>590</v>
      </c>
      <c r="I553" s="1930" t="s">
        <v>98</v>
      </c>
      <c r="J553" s="1930" t="s">
        <v>137</v>
      </c>
      <c r="K553" s="1933">
        <v>7.16</v>
      </c>
      <c r="L553" s="1930" t="s">
        <v>138</v>
      </c>
    </row>
    <row r="554" spans="1:12" ht="13.5" x14ac:dyDescent="0.25">
      <c r="A554" s="1930" t="s">
        <v>4469</v>
      </c>
      <c r="B554" s="1930" t="s">
        <v>4470</v>
      </c>
      <c r="C554" s="1930" t="s">
        <v>4473</v>
      </c>
      <c r="D554" s="1930" t="s">
        <v>4474</v>
      </c>
      <c r="E554" s="1931" t="s">
        <v>33</v>
      </c>
      <c r="F554" s="1930" t="s">
        <v>33</v>
      </c>
      <c r="G554" s="1932">
        <v>96014</v>
      </c>
      <c r="H554" s="1930" t="s">
        <v>591</v>
      </c>
      <c r="I554" s="1930" t="s">
        <v>98</v>
      </c>
      <c r="J554" s="1930" t="s">
        <v>137</v>
      </c>
      <c r="K554" s="1933">
        <v>29.57</v>
      </c>
      <c r="L554" s="1930" t="s">
        <v>138</v>
      </c>
    </row>
    <row r="555" spans="1:12" ht="13.5" x14ac:dyDescent="0.25">
      <c r="A555" s="1930" t="s">
        <v>4469</v>
      </c>
      <c r="B555" s="1930" t="s">
        <v>4470</v>
      </c>
      <c r="C555" s="1930" t="s">
        <v>4473</v>
      </c>
      <c r="D555" s="1930" t="s">
        <v>4474</v>
      </c>
      <c r="E555" s="1931" t="s">
        <v>33</v>
      </c>
      <c r="F555" s="1930" t="s">
        <v>33</v>
      </c>
      <c r="G555" s="1932">
        <v>96021</v>
      </c>
      <c r="H555" s="1930" t="s">
        <v>592</v>
      </c>
      <c r="I555" s="1930" t="s">
        <v>98</v>
      </c>
      <c r="J555" s="1930" t="s">
        <v>137</v>
      </c>
      <c r="K555" s="1933">
        <v>29.44</v>
      </c>
      <c r="L555" s="1930" t="s">
        <v>138</v>
      </c>
    </row>
    <row r="556" spans="1:12" ht="13.5" x14ac:dyDescent="0.25">
      <c r="A556" s="1930" t="s">
        <v>4469</v>
      </c>
      <c r="B556" s="1930" t="s">
        <v>4470</v>
      </c>
      <c r="C556" s="1930" t="s">
        <v>4473</v>
      </c>
      <c r="D556" s="1930" t="s">
        <v>4474</v>
      </c>
      <c r="E556" s="1931" t="s">
        <v>33</v>
      </c>
      <c r="F556" s="1930" t="s">
        <v>33</v>
      </c>
      <c r="G556" s="1932">
        <v>96029</v>
      </c>
      <c r="H556" s="1930" t="s">
        <v>593</v>
      </c>
      <c r="I556" s="1930" t="s">
        <v>98</v>
      </c>
      <c r="J556" s="1930" t="s">
        <v>137</v>
      </c>
      <c r="K556" s="1933">
        <v>26.34</v>
      </c>
      <c r="L556" s="1930" t="s">
        <v>138</v>
      </c>
    </row>
    <row r="557" spans="1:12" ht="13.5" x14ac:dyDescent="0.25">
      <c r="A557" s="1930" t="s">
        <v>4469</v>
      </c>
      <c r="B557" s="1930" t="s">
        <v>4470</v>
      </c>
      <c r="C557" s="1930" t="s">
        <v>4473</v>
      </c>
      <c r="D557" s="1930" t="s">
        <v>4474</v>
      </c>
      <c r="E557" s="1931" t="s">
        <v>33</v>
      </c>
      <c r="F557" s="1930" t="s">
        <v>33</v>
      </c>
      <c r="G557" s="1932">
        <v>96036</v>
      </c>
      <c r="H557" s="1930" t="s">
        <v>594</v>
      </c>
      <c r="I557" s="1930" t="s">
        <v>98</v>
      </c>
      <c r="J557" s="1930" t="s">
        <v>137</v>
      </c>
      <c r="K557" s="1933">
        <v>37.31</v>
      </c>
      <c r="L557" s="1930" t="s">
        <v>138</v>
      </c>
    </row>
    <row r="558" spans="1:12" ht="13.5" x14ac:dyDescent="0.25">
      <c r="A558" s="1930" t="s">
        <v>4469</v>
      </c>
      <c r="B558" s="1930" t="s">
        <v>4470</v>
      </c>
      <c r="C558" s="1930" t="s">
        <v>4473</v>
      </c>
      <c r="D558" s="1930" t="s">
        <v>4474</v>
      </c>
      <c r="E558" s="1931" t="s">
        <v>33</v>
      </c>
      <c r="F558" s="1930" t="s">
        <v>33</v>
      </c>
      <c r="G558" s="1932">
        <v>96155</v>
      </c>
      <c r="H558" s="1930" t="s">
        <v>595</v>
      </c>
      <c r="I558" s="1930" t="s">
        <v>98</v>
      </c>
      <c r="J558" s="1930" t="s">
        <v>137</v>
      </c>
      <c r="K558" s="1933">
        <v>26.47</v>
      </c>
      <c r="L558" s="1930" t="s">
        <v>138</v>
      </c>
    </row>
    <row r="559" spans="1:12" ht="13.5" x14ac:dyDescent="0.25">
      <c r="A559" s="1930" t="s">
        <v>4469</v>
      </c>
      <c r="B559" s="1930" t="s">
        <v>4470</v>
      </c>
      <c r="C559" s="1930" t="s">
        <v>4473</v>
      </c>
      <c r="D559" s="1930" t="s">
        <v>4474</v>
      </c>
      <c r="E559" s="1931" t="s">
        <v>33</v>
      </c>
      <c r="F559" s="1930" t="s">
        <v>33</v>
      </c>
      <c r="G559" s="1932">
        <v>96156</v>
      </c>
      <c r="H559" s="1930" t="s">
        <v>596</v>
      </c>
      <c r="I559" s="1930" t="s">
        <v>98</v>
      </c>
      <c r="J559" s="1930" t="s">
        <v>137</v>
      </c>
      <c r="K559" s="1933">
        <v>33.53</v>
      </c>
      <c r="L559" s="1930" t="s">
        <v>138</v>
      </c>
    </row>
    <row r="560" spans="1:12" ht="13.5" x14ac:dyDescent="0.25">
      <c r="A560" s="1930" t="s">
        <v>4469</v>
      </c>
      <c r="B560" s="1930" t="s">
        <v>4470</v>
      </c>
      <c r="C560" s="1930" t="s">
        <v>4473</v>
      </c>
      <c r="D560" s="1930" t="s">
        <v>4474</v>
      </c>
      <c r="E560" s="1931" t="s">
        <v>33</v>
      </c>
      <c r="F560" s="1930" t="s">
        <v>33</v>
      </c>
      <c r="G560" s="1932">
        <v>96159</v>
      </c>
      <c r="H560" s="1930" t="s">
        <v>597</v>
      </c>
      <c r="I560" s="1930" t="s">
        <v>98</v>
      </c>
      <c r="J560" s="1930" t="s">
        <v>137</v>
      </c>
      <c r="K560" s="1933">
        <v>41.85</v>
      </c>
      <c r="L560" s="1930" t="s">
        <v>138</v>
      </c>
    </row>
    <row r="561" spans="1:12" ht="13.5" x14ac:dyDescent="0.25">
      <c r="A561" s="1930" t="s">
        <v>4469</v>
      </c>
      <c r="B561" s="1930" t="s">
        <v>4470</v>
      </c>
      <c r="C561" s="1930" t="s">
        <v>4473</v>
      </c>
      <c r="D561" s="1930" t="s">
        <v>4474</v>
      </c>
      <c r="E561" s="1931" t="s">
        <v>33</v>
      </c>
      <c r="F561" s="1930" t="s">
        <v>33</v>
      </c>
      <c r="G561" s="1932">
        <v>96246</v>
      </c>
      <c r="H561" s="1930" t="s">
        <v>598</v>
      </c>
      <c r="I561" s="1930" t="s">
        <v>98</v>
      </c>
      <c r="J561" s="1930" t="s">
        <v>137</v>
      </c>
      <c r="K561" s="1933">
        <v>33.590000000000003</v>
      </c>
      <c r="L561" s="1930" t="s">
        <v>138</v>
      </c>
    </row>
    <row r="562" spans="1:12" ht="13.5" x14ac:dyDescent="0.25">
      <c r="A562" s="1930" t="s">
        <v>4469</v>
      </c>
      <c r="B562" s="1930" t="s">
        <v>4470</v>
      </c>
      <c r="C562" s="1930" t="s">
        <v>4473</v>
      </c>
      <c r="D562" s="1930" t="s">
        <v>4474</v>
      </c>
      <c r="E562" s="1931" t="s">
        <v>33</v>
      </c>
      <c r="F562" s="1930" t="s">
        <v>33</v>
      </c>
      <c r="G562" s="1932">
        <v>96302</v>
      </c>
      <c r="H562" s="1930" t="s">
        <v>599</v>
      </c>
      <c r="I562" s="1930" t="s">
        <v>98</v>
      </c>
      <c r="J562" s="1930" t="s">
        <v>137</v>
      </c>
      <c r="K562" s="1933">
        <v>56.14</v>
      </c>
      <c r="L562" s="1930" t="s">
        <v>138</v>
      </c>
    </row>
    <row r="563" spans="1:12" ht="13.5" x14ac:dyDescent="0.25">
      <c r="A563" s="1930" t="s">
        <v>4469</v>
      </c>
      <c r="B563" s="1930" t="s">
        <v>4470</v>
      </c>
      <c r="C563" s="1930" t="s">
        <v>4473</v>
      </c>
      <c r="D563" s="1930" t="s">
        <v>4474</v>
      </c>
      <c r="E563" s="1931" t="s">
        <v>33</v>
      </c>
      <c r="F563" s="1930" t="s">
        <v>33</v>
      </c>
      <c r="G563" s="1932">
        <v>96308</v>
      </c>
      <c r="H563" s="1930" t="s">
        <v>600</v>
      </c>
      <c r="I563" s="1930" t="s">
        <v>98</v>
      </c>
      <c r="J563" s="1930" t="s">
        <v>137</v>
      </c>
      <c r="K563" s="1933">
        <v>0.12</v>
      </c>
      <c r="L563" s="1930" t="s">
        <v>138</v>
      </c>
    </row>
    <row r="564" spans="1:12" ht="13.5" x14ac:dyDescent="0.25">
      <c r="A564" s="1930" t="s">
        <v>4469</v>
      </c>
      <c r="B564" s="1930" t="s">
        <v>4470</v>
      </c>
      <c r="C564" s="1930" t="s">
        <v>4473</v>
      </c>
      <c r="D564" s="1930" t="s">
        <v>4474</v>
      </c>
      <c r="E564" s="1931" t="s">
        <v>33</v>
      </c>
      <c r="F564" s="1930" t="s">
        <v>33</v>
      </c>
      <c r="G564" s="1932">
        <v>96464</v>
      </c>
      <c r="H564" s="1930" t="s">
        <v>601</v>
      </c>
      <c r="I564" s="1930" t="s">
        <v>98</v>
      </c>
      <c r="J564" s="1930" t="s">
        <v>137</v>
      </c>
      <c r="K564" s="1933">
        <v>44.34</v>
      </c>
      <c r="L564" s="1930" t="s">
        <v>138</v>
      </c>
    </row>
    <row r="565" spans="1:12" ht="13.5" x14ac:dyDescent="0.25">
      <c r="A565" s="1930" t="s">
        <v>4469</v>
      </c>
      <c r="B565" s="1930" t="s">
        <v>4470</v>
      </c>
      <c r="C565" s="1930" t="s">
        <v>4473</v>
      </c>
      <c r="D565" s="1930" t="s">
        <v>4474</v>
      </c>
      <c r="E565" s="1931" t="s">
        <v>33</v>
      </c>
      <c r="F565" s="1930" t="s">
        <v>33</v>
      </c>
      <c r="G565" s="1932">
        <v>98765</v>
      </c>
      <c r="H565" s="1930" t="s">
        <v>6305</v>
      </c>
      <c r="I565" s="1930" t="s">
        <v>98</v>
      </c>
      <c r="J565" s="1930" t="s">
        <v>137</v>
      </c>
      <c r="K565" s="1933">
        <v>7.0000000000000007E-2</v>
      </c>
      <c r="L565" s="1930" t="s">
        <v>138</v>
      </c>
    </row>
    <row r="566" spans="1:12" ht="13.5" x14ac:dyDescent="0.25">
      <c r="A566" s="1930" t="s">
        <v>4469</v>
      </c>
      <c r="B566" s="1930" t="s">
        <v>4470</v>
      </c>
      <c r="C566" s="1930" t="s">
        <v>4473</v>
      </c>
      <c r="D566" s="1930" t="s">
        <v>4474</v>
      </c>
      <c r="E566" s="1931" t="s">
        <v>33</v>
      </c>
      <c r="F566" s="1930" t="s">
        <v>33</v>
      </c>
      <c r="G566" s="1932">
        <v>99834</v>
      </c>
      <c r="H566" s="1930" t="s">
        <v>7903</v>
      </c>
      <c r="I566" s="1930" t="s">
        <v>98</v>
      </c>
      <c r="J566" s="1930" t="s">
        <v>137</v>
      </c>
      <c r="K566" s="1933">
        <v>0.13</v>
      </c>
      <c r="L566" s="1930" t="s">
        <v>138</v>
      </c>
    </row>
    <row r="567" spans="1:12" ht="13.5" x14ac:dyDescent="0.25">
      <c r="A567" s="1930" t="s">
        <v>4469</v>
      </c>
      <c r="B567" s="1930" t="s">
        <v>4470</v>
      </c>
      <c r="C567" s="1930" t="s">
        <v>4473</v>
      </c>
      <c r="D567" s="1930" t="s">
        <v>4474</v>
      </c>
      <c r="E567" s="1931" t="s">
        <v>33</v>
      </c>
      <c r="F567" s="1930" t="s">
        <v>33</v>
      </c>
      <c r="G567" s="1932">
        <v>100642</v>
      </c>
      <c r="H567" s="1930" t="s">
        <v>8603</v>
      </c>
      <c r="I567" s="1930" t="s">
        <v>98</v>
      </c>
      <c r="J567" s="1930" t="s">
        <v>137</v>
      </c>
      <c r="K567" s="1933">
        <v>112.35</v>
      </c>
      <c r="L567" s="1930" t="s">
        <v>138</v>
      </c>
    </row>
    <row r="568" spans="1:12" ht="13.5" x14ac:dyDescent="0.25">
      <c r="A568" s="1930" t="s">
        <v>4469</v>
      </c>
      <c r="B568" s="1930" t="s">
        <v>4470</v>
      </c>
      <c r="C568" s="1930" t="s">
        <v>4473</v>
      </c>
      <c r="D568" s="1930" t="s">
        <v>4474</v>
      </c>
      <c r="E568" s="1931" t="s">
        <v>33</v>
      </c>
      <c r="F568" s="1930" t="s">
        <v>33</v>
      </c>
      <c r="G568" s="1932">
        <v>100648</v>
      </c>
      <c r="H568" s="1930" t="s">
        <v>8604</v>
      </c>
      <c r="I568" s="1930" t="s">
        <v>98</v>
      </c>
      <c r="J568" s="1930" t="s">
        <v>137</v>
      </c>
      <c r="K568" s="1933">
        <v>268.57</v>
      </c>
      <c r="L568" s="1930" t="s">
        <v>138</v>
      </c>
    </row>
    <row r="569" spans="1:12" ht="13.5" x14ac:dyDescent="0.25">
      <c r="A569" s="1930" t="s">
        <v>4469</v>
      </c>
      <c r="B569" s="1930" t="s">
        <v>4470</v>
      </c>
      <c r="C569" s="1930" t="s">
        <v>4475</v>
      </c>
      <c r="D569" s="1930" t="s">
        <v>4476</v>
      </c>
      <c r="E569" s="1931" t="s">
        <v>33</v>
      </c>
      <c r="F569" s="1930" t="s">
        <v>33</v>
      </c>
      <c r="G569" s="1932">
        <v>5089</v>
      </c>
      <c r="H569" s="1930" t="s">
        <v>602</v>
      </c>
      <c r="I569" s="1930" t="s">
        <v>65</v>
      </c>
      <c r="J569" s="1930" t="s">
        <v>137</v>
      </c>
      <c r="K569" s="1933">
        <v>19.59</v>
      </c>
      <c r="L569" s="1930" t="s">
        <v>138</v>
      </c>
    </row>
    <row r="570" spans="1:12" ht="13.5" x14ac:dyDescent="0.25">
      <c r="A570" s="1930" t="s">
        <v>4469</v>
      </c>
      <c r="B570" s="1930" t="s">
        <v>4470</v>
      </c>
      <c r="C570" s="1930" t="s">
        <v>4475</v>
      </c>
      <c r="D570" s="1930" t="s">
        <v>4476</v>
      </c>
      <c r="E570" s="1931" t="s">
        <v>33</v>
      </c>
      <c r="F570" s="1930" t="s">
        <v>33</v>
      </c>
      <c r="G570" s="1932">
        <v>5627</v>
      </c>
      <c r="H570" s="1930" t="s">
        <v>603</v>
      </c>
      <c r="I570" s="1930" t="s">
        <v>65</v>
      </c>
      <c r="J570" s="1930" t="s">
        <v>137</v>
      </c>
      <c r="K570" s="1933">
        <v>23.24</v>
      </c>
      <c r="L570" s="1930" t="s">
        <v>138</v>
      </c>
    </row>
    <row r="571" spans="1:12" ht="13.5" x14ac:dyDescent="0.25">
      <c r="A571" s="1930" t="s">
        <v>4469</v>
      </c>
      <c r="B571" s="1930" t="s">
        <v>4470</v>
      </c>
      <c r="C571" s="1930" t="s">
        <v>4475</v>
      </c>
      <c r="D571" s="1930" t="s">
        <v>4476</v>
      </c>
      <c r="E571" s="1931" t="s">
        <v>33</v>
      </c>
      <c r="F571" s="1930" t="s">
        <v>33</v>
      </c>
      <c r="G571" s="1932">
        <v>5628</v>
      </c>
      <c r="H571" s="1930" t="s">
        <v>604</v>
      </c>
      <c r="I571" s="1930" t="s">
        <v>65</v>
      </c>
      <c r="J571" s="1930" t="s">
        <v>137</v>
      </c>
      <c r="K571" s="1933">
        <v>3.15</v>
      </c>
      <c r="L571" s="1930" t="s">
        <v>138</v>
      </c>
    </row>
    <row r="572" spans="1:12" ht="13.5" x14ac:dyDescent="0.25">
      <c r="A572" s="1930" t="s">
        <v>4469</v>
      </c>
      <c r="B572" s="1930" t="s">
        <v>4470</v>
      </c>
      <c r="C572" s="1930" t="s">
        <v>4475</v>
      </c>
      <c r="D572" s="1930" t="s">
        <v>4476</v>
      </c>
      <c r="E572" s="1931" t="s">
        <v>33</v>
      </c>
      <c r="F572" s="1930" t="s">
        <v>33</v>
      </c>
      <c r="G572" s="1932">
        <v>5629</v>
      </c>
      <c r="H572" s="1930" t="s">
        <v>605</v>
      </c>
      <c r="I572" s="1930" t="s">
        <v>65</v>
      </c>
      <c r="J572" s="1930" t="s">
        <v>137</v>
      </c>
      <c r="K572" s="1933">
        <v>29.05</v>
      </c>
      <c r="L572" s="1930" t="s">
        <v>138</v>
      </c>
    </row>
    <row r="573" spans="1:12" ht="13.5" x14ac:dyDescent="0.25">
      <c r="A573" s="1930" t="s">
        <v>4469</v>
      </c>
      <c r="B573" s="1930" t="s">
        <v>4470</v>
      </c>
      <c r="C573" s="1930" t="s">
        <v>4475</v>
      </c>
      <c r="D573" s="1930" t="s">
        <v>4476</v>
      </c>
      <c r="E573" s="1931" t="s">
        <v>33</v>
      </c>
      <c r="F573" s="1930" t="s">
        <v>33</v>
      </c>
      <c r="G573" s="1932">
        <v>5630</v>
      </c>
      <c r="H573" s="1930" t="s">
        <v>606</v>
      </c>
      <c r="I573" s="1930" t="s">
        <v>65</v>
      </c>
      <c r="J573" s="1930" t="s">
        <v>346</v>
      </c>
      <c r="K573" s="1933">
        <v>40.06</v>
      </c>
      <c r="L573" s="1930" t="s">
        <v>138</v>
      </c>
    </row>
    <row r="574" spans="1:12" ht="13.5" x14ac:dyDescent="0.25">
      <c r="A574" s="1930" t="s">
        <v>4469</v>
      </c>
      <c r="B574" s="1930" t="s">
        <v>4470</v>
      </c>
      <c r="C574" s="1930" t="s">
        <v>4475</v>
      </c>
      <c r="D574" s="1930" t="s">
        <v>4476</v>
      </c>
      <c r="E574" s="1931" t="s">
        <v>33</v>
      </c>
      <c r="F574" s="1930" t="s">
        <v>33</v>
      </c>
      <c r="G574" s="1932">
        <v>5658</v>
      </c>
      <c r="H574" s="1930" t="s">
        <v>607</v>
      </c>
      <c r="I574" s="1930" t="s">
        <v>65</v>
      </c>
      <c r="J574" s="1930" t="s">
        <v>137</v>
      </c>
      <c r="K574" s="1933">
        <v>1.2</v>
      </c>
      <c r="L574" s="1930" t="s">
        <v>138</v>
      </c>
    </row>
    <row r="575" spans="1:12" ht="13.5" x14ac:dyDescent="0.25">
      <c r="A575" s="1930" t="s">
        <v>4469</v>
      </c>
      <c r="B575" s="1930" t="s">
        <v>4470</v>
      </c>
      <c r="C575" s="1930" t="s">
        <v>4475</v>
      </c>
      <c r="D575" s="1930" t="s">
        <v>4476</v>
      </c>
      <c r="E575" s="1931" t="s">
        <v>33</v>
      </c>
      <c r="F575" s="1930" t="s">
        <v>33</v>
      </c>
      <c r="G575" s="1932">
        <v>5664</v>
      </c>
      <c r="H575" s="1930" t="s">
        <v>608</v>
      </c>
      <c r="I575" s="1930" t="s">
        <v>65</v>
      </c>
      <c r="J575" s="1930" t="s">
        <v>137</v>
      </c>
      <c r="K575" s="1933">
        <v>17.23</v>
      </c>
      <c r="L575" s="1930" t="s">
        <v>138</v>
      </c>
    </row>
    <row r="576" spans="1:12" ht="13.5" x14ac:dyDescent="0.25">
      <c r="A576" s="1930" t="s">
        <v>4469</v>
      </c>
      <c r="B576" s="1930" t="s">
        <v>4470</v>
      </c>
      <c r="C576" s="1930" t="s">
        <v>4475</v>
      </c>
      <c r="D576" s="1930" t="s">
        <v>4476</v>
      </c>
      <c r="E576" s="1931" t="s">
        <v>33</v>
      </c>
      <c r="F576" s="1930" t="s">
        <v>33</v>
      </c>
      <c r="G576" s="1932">
        <v>5667</v>
      </c>
      <c r="H576" s="1930" t="s">
        <v>609</v>
      </c>
      <c r="I576" s="1930" t="s">
        <v>65</v>
      </c>
      <c r="J576" s="1930" t="s">
        <v>137</v>
      </c>
      <c r="K576" s="1933">
        <v>15.32</v>
      </c>
      <c r="L576" s="1930" t="s">
        <v>138</v>
      </c>
    </row>
    <row r="577" spans="1:12" ht="13.5" x14ac:dyDescent="0.25">
      <c r="A577" s="1930" t="s">
        <v>4469</v>
      </c>
      <c r="B577" s="1930" t="s">
        <v>4470</v>
      </c>
      <c r="C577" s="1930" t="s">
        <v>4475</v>
      </c>
      <c r="D577" s="1930" t="s">
        <v>4476</v>
      </c>
      <c r="E577" s="1931" t="s">
        <v>33</v>
      </c>
      <c r="F577" s="1930" t="s">
        <v>33</v>
      </c>
      <c r="G577" s="1932">
        <v>5668</v>
      </c>
      <c r="H577" s="1930" t="s">
        <v>610</v>
      </c>
      <c r="I577" s="1930" t="s">
        <v>65</v>
      </c>
      <c r="J577" s="1930" t="s">
        <v>346</v>
      </c>
      <c r="K577" s="1933">
        <v>30.65</v>
      </c>
      <c r="L577" s="1930" t="s">
        <v>138</v>
      </c>
    </row>
    <row r="578" spans="1:12" ht="13.5" x14ac:dyDescent="0.25">
      <c r="A578" s="1930" t="s">
        <v>4469</v>
      </c>
      <c r="B578" s="1930" t="s">
        <v>4470</v>
      </c>
      <c r="C578" s="1930" t="s">
        <v>4475</v>
      </c>
      <c r="D578" s="1930" t="s">
        <v>4476</v>
      </c>
      <c r="E578" s="1931" t="s">
        <v>33</v>
      </c>
      <c r="F578" s="1930" t="s">
        <v>33</v>
      </c>
      <c r="G578" s="1932">
        <v>5674</v>
      </c>
      <c r="H578" s="1930" t="s">
        <v>611</v>
      </c>
      <c r="I578" s="1930" t="s">
        <v>65</v>
      </c>
      <c r="J578" s="1930" t="s">
        <v>137</v>
      </c>
      <c r="K578" s="1933">
        <v>18.84</v>
      </c>
      <c r="L578" s="1930" t="s">
        <v>138</v>
      </c>
    </row>
    <row r="579" spans="1:12" ht="13.5" x14ac:dyDescent="0.25">
      <c r="A579" s="1930" t="s">
        <v>4469</v>
      </c>
      <c r="B579" s="1930" t="s">
        <v>4470</v>
      </c>
      <c r="C579" s="1930" t="s">
        <v>4475</v>
      </c>
      <c r="D579" s="1930" t="s">
        <v>4476</v>
      </c>
      <c r="E579" s="1931" t="s">
        <v>33</v>
      </c>
      <c r="F579" s="1930" t="s">
        <v>33</v>
      </c>
      <c r="G579" s="1932">
        <v>5692</v>
      </c>
      <c r="H579" s="1930" t="s">
        <v>612</v>
      </c>
      <c r="I579" s="1930" t="s">
        <v>65</v>
      </c>
      <c r="J579" s="1930" t="s">
        <v>320</v>
      </c>
      <c r="K579" s="1933">
        <v>0.15</v>
      </c>
      <c r="L579" s="1930" t="s">
        <v>138</v>
      </c>
    </row>
    <row r="580" spans="1:12" ht="13.5" x14ac:dyDescent="0.25">
      <c r="A580" s="1930" t="s">
        <v>4469</v>
      </c>
      <c r="B580" s="1930" t="s">
        <v>4470</v>
      </c>
      <c r="C580" s="1930" t="s">
        <v>4475</v>
      </c>
      <c r="D580" s="1930" t="s">
        <v>4476</v>
      </c>
      <c r="E580" s="1931" t="s">
        <v>33</v>
      </c>
      <c r="F580" s="1930" t="s">
        <v>33</v>
      </c>
      <c r="G580" s="1932">
        <v>5693</v>
      </c>
      <c r="H580" s="1930" t="s">
        <v>613</v>
      </c>
      <c r="I580" s="1930" t="s">
        <v>65</v>
      </c>
      <c r="J580" s="1930" t="s">
        <v>346</v>
      </c>
      <c r="K580" s="1933">
        <v>6.17</v>
      </c>
      <c r="L580" s="1930" t="s">
        <v>138</v>
      </c>
    </row>
    <row r="581" spans="1:12" ht="13.5" x14ac:dyDescent="0.25">
      <c r="A581" s="1930" t="s">
        <v>4469</v>
      </c>
      <c r="B581" s="1930" t="s">
        <v>4470</v>
      </c>
      <c r="C581" s="1930" t="s">
        <v>4475</v>
      </c>
      <c r="D581" s="1930" t="s">
        <v>4476</v>
      </c>
      <c r="E581" s="1931" t="s">
        <v>33</v>
      </c>
      <c r="F581" s="1930" t="s">
        <v>33</v>
      </c>
      <c r="G581" s="1932">
        <v>5695</v>
      </c>
      <c r="H581" s="1930" t="s">
        <v>614</v>
      </c>
      <c r="I581" s="1930" t="s">
        <v>65</v>
      </c>
      <c r="J581" s="1930" t="s">
        <v>137</v>
      </c>
      <c r="K581" s="1933">
        <v>24.35</v>
      </c>
      <c r="L581" s="1930" t="s">
        <v>138</v>
      </c>
    </row>
    <row r="582" spans="1:12" ht="13.5" x14ac:dyDescent="0.25">
      <c r="A582" s="1930" t="s">
        <v>4469</v>
      </c>
      <c r="B582" s="1930" t="s">
        <v>4470</v>
      </c>
      <c r="C582" s="1930" t="s">
        <v>4475</v>
      </c>
      <c r="D582" s="1930" t="s">
        <v>4476</v>
      </c>
      <c r="E582" s="1931" t="s">
        <v>33</v>
      </c>
      <c r="F582" s="1930" t="s">
        <v>33</v>
      </c>
      <c r="G582" s="1932">
        <v>5703</v>
      </c>
      <c r="H582" s="1930" t="s">
        <v>615</v>
      </c>
      <c r="I582" s="1930" t="s">
        <v>65</v>
      </c>
      <c r="J582" s="1930" t="s">
        <v>320</v>
      </c>
      <c r="K582" s="1933">
        <v>14.28</v>
      </c>
      <c r="L582" s="1930" t="s">
        <v>138</v>
      </c>
    </row>
    <row r="583" spans="1:12" ht="13.5" x14ac:dyDescent="0.25">
      <c r="A583" s="1930" t="s">
        <v>4469</v>
      </c>
      <c r="B583" s="1930" t="s">
        <v>4470</v>
      </c>
      <c r="C583" s="1930" t="s">
        <v>4475</v>
      </c>
      <c r="D583" s="1930" t="s">
        <v>4476</v>
      </c>
      <c r="E583" s="1931" t="s">
        <v>33</v>
      </c>
      <c r="F583" s="1930" t="s">
        <v>33</v>
      </c>
      <c r="G583" s="1932">
        <v>5705</v>
      </c>
      <c r="H583" s="1930" t="s">
        <v>616</v>
      </c>
      <c r="I583" s="1930" t="s">
        <v>65</v>
      </c>
      <c r="J583" s="1930" t="s">
        <v>137</v>
      </c>
      <c r="K583" s="1933">
        <v>15.15</v>
      </c>
      <c r="L583" s="1930" t="s">
        <v>138</v>
      </c>
    </row>
    <row r="584" spans="1:12" ht="13.5" x14ac:dyDescent="0.25">
      <c r="A584" s="1930" t="s">
        <v>4469</v>
      </c>
      <c r="B584" s="1930" t="s">
        <v>4470</v>
      </c>
      <c r="C584" s="1930" t="s">
        <v>4475</v>
      </c>
      <c r="D584" s="1930" t="s">
        <v>4476</v>
      </c>
      <c r="E584" s="1931" t="s">
        <v>33</v>
      </c>
      <c r="F584" s="1930" t="s">
        <v>33</v>
      </c>
      <c r="G584" s="1932">
        <v>5707</v>
      </c>
      <c r="H584" s="1930" t="s">
        <v>617</v>
      </c>
      <c r="I584" s="1930" t="s">
        <v>65</v>
      </c>
      <c r="J584" s="1930" t="s">
        <v>137</v>
      </c>
      <c r="K584" s="1933">
        <v>42.55</v>
      </c>
      <c r="L584" s="1930" t="s">
        <v>138</v>
      </c>
    </row>
    <row r="585" spans="1:12" ht="13.5" x14ac:dyDescent="0.25">
      <c r="A585" s="1930" t="s">
        <v>4469</v>
      </c>
      <c r="B585" s="1930" t="s">
        <v>4470</v>
      </c>
      <c r="C585" s="1930" t="s">
        <v>4475</v>
      </c>
      <c r="D585" s="1930" t="s">
        <v>4476</v>
      </c>
      <c r="E585" s="1931" t="s">
        <v>33</v>
      </c>
      <c r="F585" s="1930" t="s">
        <v>33</v>
      </c>
      <c r="G585" s="1932">
        <v>5710</v>
      </c>
      <c r="H585" s="1930" t="s">
        <v>618</v>
      </c>
      <c r="I585" s="1930" t="s">
        <v>65</v>
      </c>
      <c r="J585" s="1930" t="s">
        <v>137</v>
      </c>
      <c r="K585" s="1933">
        <v>99.26</v>
      </c>
      <c r="L585" s="1930" t="s">
        <v>138</v>
      </c>
    </row>
    <row r="586" spans="1:12" ht="13.5" x14ac:dyDescent="0.25">
      <c r="A586" s="1930" t="s">
        <v>4469</v>
      </c>
      <c r="B586" s="1930" t="s">
        <v>4470</v>
      </c>
      <c r="C586" s="1930" t="s">
        <v>4475</v>
      </c>
      <c r="D586" s="1930" t="s">
        <v>4476</v>
      </c>
      <c r="E586" s="1931" t="s">
        <v>33</v>
      </c>
      <c r="F586" s="1930" t="s">
        <v>33</v>
      </c>
      <c r="G586" s="1932">
        <v>5711</v>
      </c>
      <c r="H586" s="1930" t="s">
        <v>619</v>
      </c>
      <c r="I586" s="1930" t="s">
        <v>65</v>
      </c>
      <c r="J586" s="1930" t="s">
        <v>346</v>
      </c>
      <c r="K586" s="1933">
        <v>55.35</v>
      </c>
      <c r="L586" s="1930" t="s">
        <v>138</v>
      </c>
    </row>
    <row r="587" spans="1:12" ht="13.5" x14ac:dyDescent="0.25">
      <c r="A587" s="1930" t="s">
        <v>4469</v>
      </c>
      <c r="B587" s="1930" t="s">
        <v>4470</v>
      </c>
      <c r="C587" s="1930" t="s">
        <v>4475</v>
      </c>
      <c r="D587" s="1930" t="s">
        <v>4476</v>
      </c>
      <c r="E587" s="1931" t="s">
        <v>33</v>
      </c>
      <c r="F587" s="1930" t="s">
        <v>33</v>
      </c>
      <c r="G587" s="1932">
        <v>5714</v>
      </c>
      <c r="H587" s="1930" t="s">
        <v>620</v>
      </c>
      <c r="I587" s="1930" t="s">
        <v>65</v>
      </c>
      <c r="J587" s="1930" t="s">
        <v>137</v>
      </c>
      <c r="K587" s="1933">
        <v>8.16</v>
      </c>
      <c r="L587" s="1930" t="s">
        <v>138</v>
      </c>
    </row>
    <row r="588" spans="1:12" ht="13.5" x14ac:dyDescent="0.25">
      <c r="A588" s="1930" t="s">
        <v>4469</v>
      </c>
      <c r="B588" s="1930" t="s">
        <v>4470</v>
      </c>
      <c r="C588" s="1930" t="s">
        <v>4475</v>
      </c>
      <c r="D588" s="1930" t="s">
        <v>4476</v>
      </c>
      <c r="E588" s="1931" t="s">
        <v>33</v>
      </c>
      <c r="F588" s="1930" t="s">
        <v>33</v>
      </c>
      <c r="G588" s="1932">
        <v>5715</v>
      </c>
      <c r="H588" s="1930" t="s">
        <v>621</v>
      </c>
      <c r="I588" s="1930" t="s">
        <v>65</v>
      </c>
      <c r="J588" s="1930" t="s">
        <v>346</v>
      </c>
      <c r="K588" s="1933">
        <v>74.47</v>
      </c>
      <c r="L588" s="1930" t="s">
        <v>138</v>
      </c>
    </row>
    <row r="589" spans="1:12" ht="13.5" x14ac:dyDescent="0.25">
      <c r="A589" s="1930" t="s">
        <v>4469</v>
      </c>
      <c r="B589" s="1930" t="s">
        <v>4470</v>
      </c>
      <c r="C589" s="1930" t="s">
        <v>4475</v>
      </c>
      <c r="D589" s="1930" t="s">
        <v>4476</v>
      </c>
      <c r="E589" s="1931" t="s">
        <v>33</v>
      </c>
      <c r="F589" s="1930" t="s">
        <v>33</v>
      </c>
      <c r="G589" s="1932">
        <v>5718</v>
      </c>
      <c r="H589" s="1930" t="s">
        <v>622</v>
      </c>
      <c r="I589" s="1930" t="s">
        <v>65</v>
      </c>
      <c r="J589" s="1930" t="s">
        <v>346</v>
      </c>
      <c r="K589" s="1933">
        <v>66.06</v>
      </c>
      <c r="L589" s="1930" t="s">
        <v>138</v>
      </c>
    </row>
    <row r="590" spans="1:12" ht="13.5" x14ac:dyDescent="0.25">
      <c r="A590" s="1930" t="s">
        <v>4469</v>
      </c>
      <c r="B590" s="1930" t="s">
        <v>4470</v>
      </c>
      <c r="C590" s="1930" t="s">
        <v>4475</v>
      </c>
      <c r="D590" s="1930" t="s">
        <v>4476</v>
      </c>
      <c r="E590" s="1931" t="s">
        <v>33</v>
      </c>
      <c r="F590" s="1930" t="s">
        <v>33</v>
      </c>
      <c r="G590" s="1932">
        <v>5721</v>
      </c>
      <c r="H590" s="1930" t="s">
        <v>623</v>
      </c>
      <c r="I590" s="1930" t="s">
        <v>65</v>
      </c>
      <c r="J590" s="1930" t="s">
        <v>346</v>
      </c>
      <c r="K590" s="1933">
        <v>58.29</v>
      </c>
      <c r="L590" s="1930" t="s">
        <v>138</v>
      </c>
    </row>
    <row r="591" spans="1:12" ht="13.5" x14ac:dyDescent="0.25">
      <c r="A591" s="1930" t="s">
        <v>4469</v>
      </c>
      <c r="B591" s="1930" t="s">
        <v>4470</v>
      </c>
      <c r="C591" s="1930" t="s">
        <v>4475</v>
      </c>
      <c r="D591" s="1930" t="s">
        <v>4476</v>
      </c>
      <c r="E591" s="1931" t="s">
        <v>33</v>
      </c>
      <c r="F591" s="1930" t="s">
        <v>33</v>
      </c>
      <c r="G591" s="1932">
        <v>5722</v>
      </c>
      <c r="H591" s="1930" t="s">
        <v>624</v>
      </c>
      <c r="I591" s="1930" t="s">
        <v>65</v>
      </c>
      <c r="J591" s="1930" t="s">
        <v>346</v>
      </c>
      <c r="K591" s="1933">
        <v>134.81</v>
      </c>
      <c r="L591" s="1930" t="s">
        <v>138</v>
      </c>
    </row>
    <row r="592" spans="1:12" ht="13.5" x14ac:dyDescent="0.25">
      <c r="A592" s="1930" t="s">
        <v>4469</v>
      </c>
      <c r="B592" s="1930" t="s">
        <v>4470</v>
      </c>
      <c r="C592" s="1930" t="s">
        <v>4475</v>
      </c>
      <c r="D592" s="1930" t="s">
        <v>4476</v>
      </c>
      <c r="E592" s="1931" t="s">
        <v>33</v>
      </c>
      <c r="F592" s="1930" t="s">
        <v>33</v>
      </c>
      <c r="G592" s="1932">
        <v>5724</v>
      </c>
      <c r="H592" s="1930" t="s">
        <v>625</v>
      </c>
      <c r="I592" s="1930" t="s">
        <v>65</v>
      </c>
      <c r="J592" s="1930" t="s">
        <v>137</v>
      </c>
      <c r="K592" s="1933">
        <v>31.95</v>
      </c>
      <c r="L592" s="1930" t="s">
        <v>138</v>
      </c>
    </row>
    <row r="593" spans="1:12" ht="13.5" x14ac:dyDescent="0.25">
      <c r="A593" s="1930" t="s">
        <v>4469</v>
      </c>
      <c r="B593" s="1930" t="s">
        <v>4470</v>
      </c>
      <c r="C593" s="1930" t="s">
        <v>4475</v>
      </c>
      <c r="D593" s="1930" t="s">
        <v>4476</v>
      </c>
      <c r="E593" s="1931" t="s">
        <v>33</v>
      </c>
      <c r="F593" s="1930" t="s">
        <v>33</v>
      </c>
      <c r="G593" s="1932">
        <v>5727</v>
      </c>
      <c r="H593" s="1930" t="s">
        <v>626</v>
      </c>
      <c r="I593" s="1930" t="s">
        <v>65</v>
      </c>
      <c r="J593" s="1930" t="s">
        <v>137</v>
      </c>
      <c r="K593" s="1933">
        <v>5.68</v>
      </c>
      <c r="L593" s="1930" t="s">
        <v>138</v>
      </c>
    </row>
    <row r="594" spans="1:12" ht="13.5" x14ac:dyDescent="0.25">
      <c r="A594" s="1930" t="s">
        <v>4469</v>
      </c>
      <c r="B594" s="1930" t="s">
        <v>4470</v>
      </c>
      <c r="C594" s="1930" t="s">
        <v>4475</v>
      </c>
      <c r="D594" s="1930" t="s">
        <v>4476</v>
      </c>
      <c r="E594" s="1931" t="s">
        <v>33</v>
      </c>
      <c r="F594" s="1930" t="s">
        <v>33</v>
      </c>
      <c r="G594" s="1932">
        <v>5729</v>
      </c>
      <c r="H594" s="1930" t="s">
        <v>627</v>
      </c>
      <c r="I594" s="1930" t="s">
        <v>65</v>
      </c>
      <c r="J594" s="1930" t="s">
        <v>137</v>
      </c>
      <c r="K594" s="1933">
        <v>23.14</v>
      </c>
      <c r="L594" s="1930" t="s">
        <v>138</v>
      </c>
    </row>
    <row r="595" spans="1:12" ht="13.5" x14ac:dyDescent="0.25">
      <c r="A595" s="1930" t="s">
        <v>4469</v>
      </c>
      <c r="B595" s="1930" t="s">
        <v>4470</v>
      </c>
      <c r="C595" s="1930" t="s">
        <v>4475</v>
      </c>
      <c r="D595" s="1930" t="s">
        <v>4476</v>
      </c>
      <c r="E595" s="1931" t="s">
        <v>33</v>
      </c>
      <c r="F595" s="1930" t="s">
        <v>33</v>
      </c>
      <c r="G595" s="1932">
        <v>5730</v>
      </c>
      <c r="H595" s="1930" t="s">
        <v>628</v>
      </c>
      <c r="I595" s="1930" t="s">
        <v>65</v>
      </c>
      <c r="J595" s="1930" t="s">
        <v>346</v>
      </c>
      <c r="K595" s="1933">
        <v>25.74</v>
      </c>
      <c r="L595" s="1930" t="s">
        <v>138</v>
      </c>
    </row>
    <row r="596" spans="1:12" ht="13.5" x14ac:dyDescent="0.25">
      <c r="A596" s="1930" t="s">
        <v>4469</v>
      </c>
      <c r="B596" s="1930" t="s">
        <v>4470</v>
      </c>
      <c r="C596" s="1930" t="s">
        <v>4475</v>
      </c>
      <c r="D596" s="1930" t="s">
        <v>4476</v>
      </c>
      <c r="E596" s="1931" t="s">
        <v>33</v>
      </c>
      <c r="F596" s="1930" t="s">
        <v>33</v>
      </c>
      <c r="G596" s="1932">
        <v>5735</v>
      </c>
      <c r="H596" s="1930" t="s">
        <v>629</v>
      </c>
      <c r="I596" s="1930" t="s">
        <v>65</v>
      </c>
      <c r="J596" s="1930" t="s">
        <v>137</v>
      </c>
      <c r="K596" s="1933">
        <v>16.62</v>
      </c>
      <c r="L596" s="1930" t="s">
        <v>138</v>
      </c>
    </row>
    <row r="597" spans="1:12" ht="13.5" x14ac:dyDescent="0.25">
      <c r="A597" s="1930" t="s">
        <v>4469</v>
      </c>
      <c r="B597" s="1930" t="s">
        <v>4470</v>
      </c>
      <c r="C597" s="1930" t="s">
        <v>4475</v>
      </c>
      <c r="D597" s="1930" t="s">
        <v>4476</v>
      </c>
      <c r="E597" s="1931" t="s">
        <v>33</v>
      </c>
      <c r="F597" s="1930" t="s">
        <v>33</v>
      </c>
      <c r="G597" s="1932">
        <v>5736</v>
      </c>
      <c r="H597" s="1930" t="s">
        <v>630</v>
      </c>
      <c r="I597" s="1930" t="s">
        <v>65</v>
      </c>
      <c r="J597" s="1930" t="s">
        <v>346</v>
      </c>
      <c r="K597" s="1933">
        <v>28.12</v>
      </c>
      <c r="L597" s="1930" t="s">
        <v>138</v>
      </c>
    </row>
    <row r="598" spans="1:12" ht="13.5" x14ac:dyDescent="0.25">
      <c r="A598" s="1930" t="s">
        <v>4469</v>
      </c>
      <c r="B598" s="1930" t="s">
        <v>4470</v>
      </c>
      <c r="C598" s="1930" t="s">
        <v>4475</v>
      </c>
      <c r="D598" s="1930" t="s">
        <v>4476</v>
      </c>
      <c r="E598" s="1931" t="s">
        <v>33</v>
      </c>
      <c r="F598" s="1930" t="s">
        <v>33</v>
      </c>
      <c r="G598" s="1932">
        <v>5738</v>
      </c>
      <c r="H598" s="1930" t="s">
        <v>631</v>
      </c>
      <c r="I598" s="1930" t="s">
        <v>65</v>
      </c>
      <c r="J598" s="1930" t="s">
        <v>137</v>
      </c>
      <c r="K598" s="1933">
        <v>20.57</v>
      </c>
      <c r="L598" s="1930" t="s">
        <v>138</v>
      </c>
    </row>
    <row r="599" spans="1:12" ht="13.5" x14ac:dyDescent="0.25">
      <c r="A599" s="1930" t="s">
        <v>4469</v>
      </c>
      <c r="B599" s="1930" t="s">
        <v>4470</v>
      </c>
      <c r="C599" s="1930" t="s">
        <v>4475</v>
      </c>
      <c r="D599" s="1930" t="s">
        <v>4476</v>
      </c>
      <c r="E599" s="1931" t="s">
        <v>33</v>
      </c>
      <c r="F599" s="1930" t="s">
        <v>33</v>
      </c>
      <c r="G599" s="1932">
        <v>5739</v>
      </c>
      <c r="H599" s="1930" t="s">
        <v>632</v>
      </c>
      <c r="I599" s="1930" t="s">
        <v>65</v>
      </c>
      <c r="J599" s="1930" t="s">
        <v>137</v>
      </c>
      <c r="K599" s="1933">
        <v>25.75</v>
      </c>
      <c r="L599" s="1930" t="s">
        <v>138</v>
      </c>
    </row>
    <row r="600" spans="1:12" ht="13.5" x14ac:dyDescent="0.25">
      <c r="A600" s="1930" t="s">
        <v>4469</v>
      </c>
      <c r="B600" s="1930" t="s">
        <v>4470</v>
      </c>
      <c r="C600" s="1930" t="s">
        <v>4475</v>
      </c>
      <c r="D600" s="1930" t="s">
        <v>4476</v>
      </c>
      <c r="E600" s="1931" t="s">
        <v>33</v>
      </c>
      <c r="F600" s="1930" t="s">
        <v>33</v>
      </c>
      <c r="G600" s="1932">
        <v>5741</v>
      </c>
      <c r="H600" s="1930" t="s">
        <v>633</v>
      </c>
      <c r="I600" s="1930" t="s">
        <v>65</v>
      </c>
      <c r="J600" s="1930" t="s">
        <v>137</v>
      </c>
      <c r="K600" s="1933">
        <v>27.29</v>
      </c>
      <c r="L600" s="1930" t="s">
        <v>138</v>
      </c>
    </row>
    <row r="601" spans="1:12" ht="13.5" x14ac:dyDescent="0.25">
      <c r="A601" s="1930" t="s">
        <v>4469</v>
      </c>
      <c r="B601" s="1930" t="s">
        <v>4470</v>
      </c>
      <c r="C601" s="1930" t="s">
        <v>4475</v>
      </c>
      <c r="D601" s="1930" t="s">
        <v>4476</v>
      </c>
      <c r="E601" s="1931" t="s">
        <v>33</v>
      </c>
      <c r="F601" s="1930" t="s">
        <v>33</v>
      </c>
      <c r="G601" s="1932">
        <v>5742</v>
      </c>
      <c r="H601" s="1930" t="s">
        <v>634</v>
      </c>
      <c r="I601" s="1930" t="s">
        <v>65</v>
      </c>
      <c r="J601" s="1930" t="s">
        <v>346</v>
      </c>
      <c r="K601" s="1933">
        <v>17.14</v>
      </c>
      <c r="L601" s="1930" t="s">
        <v>138</v>
      </c>
    </row>
    <row r="602" spans="1:12" ht="13.5" x14ac:dyDescent="0.25">
      <c r="A602" s="1930" t="s">
        <v>4469</v>
      </c>
      <c r="B602" s="1930" t="s">
        <v>4470</v>
      </c>
      <c r="C602" s="1930" t="s">
        <v>4475</v>
      </c>
      <c r="D602" s="1930" t="s">
        <v>4476</v>
      </c>
      <c r="E602" s="1931" t="s">
        <v>33</v>
      </c>
      <c r="F602" s="1930" t="s">
        <v>33</v>
      </c>
      <c r="G602" s="1932">
        <v>5747</v>
      </c>
      <c r="H602" s="1930" t="s">
        <v>635</v>
      </c>
      <c r="I602" s="1930" t="s">
        <v>65</v>
      </c>
      <c r="J602" s="1930" t="s">
        <v>346</v>
      </c>
      <c r="K602" s="1933">
        <v>98.31</v>
      </c>
      <c r="L602" s="1930" t="s">
        <v>138</v>
      </c>
    </row>
    <row r="603" spans="1:12" ht="13.5" x14ac:dyDescent="0.25">
      <c r="A603" s="1930" t="s">
        <v>4469</v>
      </c>
      <c r="B603" s="1930" t="s">
        <v>4470</v>
      </c>
      <c r="C603" s="1930" t="s">
        <v>4475</v>
      </c>
      <c r="D603" s="1930" t="s">
        <v>4476</v>
      </c>
      <c r="E603" s="1931" t="s">
        <v>33</v>
      </c>
      <c r="F603" s="1930" t="s">
        <v>33</v>
      </c>
      <c r="G603" s="1932">
        <v>5751</v>
      </c>
      <c r="H603" s="1930" t="s">
        <v>636</v>
      </c>
      <c r="I603" s="1930" t="s">
        <v>65</v>
      </c>
      <c r="J603" s="1930" t="s">
        <v>137</v>
      </c>
      <c r="K603" s="1933">
        <v>16.63</v>
      </c>
      <c r="L603" s="1930" t="s">
        <v>138</v>
      </c>
    </row>
    <row r="604" spans="1:12" ht="13.5" x14ac:dyDescent="0.25">
      <c r="A604" s="1930" t="s">
        <v>4469</v>
      </c>
      <c r="B604" s="1930" t="s">
        <v>4470</v>
      </c>
      <c r="C604" s="1930" t="s">
        <v>4475</v>
      </c>
      <c r="D604" s="1930" t="s">
        <v>4476</v>
      </c>
      <c r="E604" s="1931" t="s">
        <v>33</v>
      </c>
      <c r="F604" s="1930" t="s">
        <v>33</v>
      </c>
      <c r="G604" s="1932">
        <v>5754</v>
      </c>
      <c r="H604" s="1930" t="s">
        <v>637</v>
      </c>
      <c r="I604" s="1930" t="s">
        <v>65</v>
      </c>
      <c r="J604" s="1930" t="s">
        <v>137</v>
      </c>
      <c r="K604" s="1933">
        <v>14.01</v>
      </c>
      <c r="L604" s="1930" t="s">
        <v>138</v>
      </c>
    </row>
    <row r="605" spans="1:12" ht="13.5" x14ac:dyDescent="0.25">
      <c r="A605" s="1930" t="s">
        <v>4469</v>
      </c>
      <c r="B605" s="1930" t="s">
        <v>4470</v>
      </c>
      <c r="C605" s="1930" t="s">
        <v>4475</v>
      </c>
      <c r="D605" s="1930" t="s">
        <v>4476</v>
      </c>
      <c r="E605" s="1931" t="s">
        <v>33</v>
      </c>
      <c r="F605" s="1930" t="s">
        <v>33</v>
      </c>
      <c r="G605" s="1932">
        <v>5763</v>
      </c>
      <c r="H605" s="1930" t="s">
        <v>638</v>
      </c>
      <c r="I605" s="1930" t="s">
        <v>65</v>
      </c>
      <c r="J605" s="1930" t="s">
        <v>137</v>
      </c>
      <c r="K605" s="1933">
        <v>23.89</v>
      </c>
      <c r="L605" s="1930" t="s">
        <v>138</v>
      </c>
    </row>
    <row r="606" spans="1:12" ht="13.5" x14ac:dyDescent="0.25">
      <c r="A606" s="1930" t="s">
        <v>4469</v>
      </c>
      <c r="B606" s="1930" t="s">
        <v>4470</v>
      </c>
      <c r="C606" s="1930" t="s">
        <v>4475</v>
      </c>
      <c r="D606" s="1930" t="s">
        <v>4476</v>
      </c>
      <c r="E606" s="1931" t="s">
        <v>33</v>
      </c>
      <c r="F606" s="1930" t="s">
        <v>33</v>
      </c>
      <c r="G606" s="1932">
        <v>5765</v>
      </c>
      <c r="H606" s="1930" t="s">
        <v>639</v>
      </c>
      <c r="I606" s="1930" t="s">
        <v>65</v>
      </c>
      <c r="J606" s="1930" t="s">
        <v>137</v>
      </c>
      <c r="K606" s="1933">
        <v>1.92</v>
      </c>
      <c r="L606" s="1930" t="s">
        <v>138</v>
      </c>
    </row>
    <row r="607" spans="1:12" ht="13.5" x14ac:dyDescent="0.25">
      <c r="A607" s="1930" t="s">
        <v>4469</v>
      </c>
      <c r="B607" s="1930" t="s">
        <v>4470</v>
      </c>
      <c r="C607" s="1930" t="s">
        <v>4475</v>
      </c>
      <c r="D607" s="1930" t="s">
        <v>4476</v>
      </c>
      <c r="E607" s="1931" t="s">
        <v>33</v>
      </c>
      <c r="F607" s="1930" t="s">
        <v>33</v>
      </c>
      <c r="G607" s="1932">
        <v>5766</v>
      </c>
      <c r="H607" s="1930" t="s">
        <v>640</v>
      </c>
      <c r="I607" s="1930" t="s">
        <v>65</v>
      </c>
      <c r="J607" s="1930" t="s">
        <v>346</v>
      </c>
      <c r="K607" s="1933">
        <v>3.08</v>
      </c>
      <c r="L607" s="1930" t="s">
        <v>138</v>
      </c>
    </row>
    <row r="608" spans="1:12" ht="13.5" x14ac:dyDescent="0.25">
      <c r="A608" s="1930" t="s">
        <v>4469</v>
      </c>
      <c r="B608" s="1930" t="s">
        <v>4470</v>
      </c>
      <c r="C608" s="1930" t="s">
        <v>4475</v>
      </c>
      <c r="D608" s="1930" t="s">
        <v>4476</v>
      </c>
      <c r="E608" s="1931" t="s">
        <v>33</v>
      </c>
      <c r="F608" s="1930" t="s">
        <v>33</v>
      </c>
      <c r="G608" s="1932">
        <v>5779</v>
      </c>
      <c r="H608" s="1930" t="s">
        <v>641</v>
      </c>
      <c r="I608" s="1930" t="s">
        <v>65</v>
      </c>
      <c r="J608" s="1930" t="s">
        <v>137</v>
      </c>
      <c r="K608" s="1933">
        <v>34.590000000000003</v>
      </c>
      <c r="L608" s="1930" t="s">
        <v>138</v>
      </c>
    </row>
    <row r="609" spans="1:12" ht="13.5" x14ac:dyDescent="0.25">
      <c r="A609" s="1930" t="s">
        <v>4469</v>
      </c>
      <c r="B609" s="1930" t="s">
        <v>4470</v>
      </c>
      <c r="C609" s="1930" t="s">
        <v>4475</v>
      </c>
      <c r="D609" s="1930" t="s">
        <v>4476</v>
      </c>
      <c r="E609" s="1931" t="s">
        <v>33</v>
      </c>
      <c r="F609" s="1930" t="s">
        <v>33</v>
      </c>
      <c r="G609" s="1932">
        <v>5787</v>
      </c>
      <c r="H609" s="1930" t="s">
        <v>642</v>
      </c>
      <c r="I609" s="1930" t="s">
        <v>65</v>
      </c>
      <c r="J609" s="1930" t="s">
        <v>346</v>
      </c>
      <c r="K609" s="1933">
        <v>43.74</v>
      </c>
      <c r="L609" s="1930" t="s">
        <v>138</v>
      </c>
    </row>
    <row r="610" spans="1:12" ht="13.5" x14ac:dyDescent="0.25">
      <c r="A610" s="1930" t="s">
        <v>4469</v>
      </c>
      <c r="B610" s="1930" t="s">
        <v>4470</v>
      </c>
      <c r="C610" s="1930" t="s">
        <v>4475</v>
      </c>
      <c r="D610" s="1930" t="s">
        <v>4476</v>
      </c>
      <c r="E610" s="1931" t="s">
        <v>33</v>
      </c>
      <c r="F610" s="1930" t="s">
        <v>33</v>
      </c>
      <c r="G610" s="1932">
        <v>5797</v>
      </c>
      <c r="H610" s="1930" t="s">
        <v>643</v>
      </c>
      <c r="I610" s="1930" t="s">
        <v>65</v>
      </c>
      <c r="J610" s="1930" t="s">
        <v>137</v>
      </c>
      <c r="K610" s="1933">
        <v>2.92</v>
      </c>
      <c r="L610" s="1930" t="s">
        <v>138</v>
      </c>
    </row>
    <row r="611" spans="1:12" ht="13.5" x14ac:dyDescent="0.25">
      <c r="A611" s="1930" t="s">
        <v>4469</v>
      </c>
      <c r="B611" s="1930" t="s">
        <v>4470</v>
      </c>
      <c r="C611" s="1930" t="s">
        <v>4475</v>
      </c>
      <c r="D611" s="1930" t="s">
        <v>4476</v>
      </c>
      <c r="E611" s="1931" t="s">
        <v>33</v>
      </c>
      <c r="F611" s="1930" t="s">
        <v>33</v>
      </c>
      <c r="G611" s="1932">
        <v>5800</v>
      </c>
      <c r="H611" s="1930" t="s">
        <v>644</v>
      </c>
      <c r="I611" s="1930" t="s">
        <v>65</v>
      </c>
      <c r="J611" s="1930" t="s">
        <v>320</v>
      </c>
      <c r="K611" s="1933">
        <v>0.28999999999999998</v>
      </c>
      <c r="L611" s="1930" t="s">
        <v>138</v>
      </c>
    </row>
    <row r="612" spans="1:12" ht="13.5" x14ac:dyDescent="0.25">
      <c r="A612" s="1930" t="s">
        <v>4469</v>
      </c>
      <c r="B612" s="1930" t="s">
        <v>4470</v>
      </c>
      <c r="C612" s="1930" t="s">
        <v>4475</v>
      </c>
      <c r="D612" s="1930" t="s">
        <v>4476</v>
      </c>
      <c r="E612" s="1931" t="s">
        <v>33</v>
      </c>
      <c r="F612" s="1930" t="s">
        <v>33</v>
      </c>
      <c r="G612" s="1932">
        <v>7032</v>
      </c>
      <c r="H612" s="1930" t="s">
        <v>645</v>
      </c>
      <c r="I612" s="1930" t="s">
        <v>65</v>
      </c>
      <c r="J612" s="1930" t="s">
        <v>137</v>
      </c>
      <c r="K612" s="1933">
        <v>2.93</v>
      </c>
      <c r="L612" s="1930" t="s">
        <v>138</v>
      </c>
    </row>
    <row r="613" spans="1:12" ht="13.5" x14ac:dyDescent="0.25">
      <c r="A613" s="1930" t="s">
        <v>4469</v>
      </c>
      <c r="B613" s="1930" t="s">
        <v>4470</v>
      </c>
      <c r="C613" s="1930" t="s">
        <v>4475</v>
      </c>
      <c r="D613" s="1930" t="s">
        <v>4476</v>
      </c>
      <c r="E613" s="1931" t="s">
        <v>33</v>
      </c>
      <c r="F613" s="1930" t="s">
        <v>33</v>
      </c>
      <c r="G613" s="1932">
        <v>7033</v>
      </c>
      <c r="H613" s="1930" t="s">
        <v>646</v>
      </c>
      <c r="I613" s="1930" t="s">
        <v>65</v>
      </c>
      <c r="J613" s="1930" t="s">
        <v>137</v>
      </c>
      <c r="K613" s="1933">
        <v>0.48</v>
      </c>
      <c r="L613" s="1930" t="s">
        <v>138</v>
      </c>
    </row>
    <row r="614" spans="1:12" ht="13.5" x14ac:dyDescent="0.25">
      <c r="A614" s="1930" t="s">
        <v>4469</v>
      </c>
      <c r="B614" s="1930" t="s">
        <v>4470</v>
      </c>
      <c r="C614" s="1930" t="s">
        <v>4475</v>
      </c>
      <c r="D614" s="1930" t="s">
        <v>4476</v>
      </c>
      <c r="E614" s="1931" t="s">
        <v>33</v>
      </c>
      <c r="F614" s="1930" t="s">
        <v>33</v>
      </c>
      <c r="G614" s="1932">
        <v>7034</v>
      </c>
      <c r="H614" s="1930" t="s">
        <v>647</v>
      </c>
      <c r="I614" s="1930" t="s">
        <v>65</v>
      </c>
      <c r="J614" s="1930" t="s">
        <v>137</v>
      </c>
      <c r="K614" s="1933">
        <v>5.49</v>
      </c>
      <c r="L614" s="1930" t="s">
        <v>138</v>
      </c>
    </row>
    <row r="615" spans="1:12" ht="13.5" x14ac:dyDescent="0.25">
      <c r="A615" s="1930" t="s">
        <v>4469</v>
      </c>
      <c r="B615" s="1930" t="s">
        <v>4470</v>
      </c>
      <c r="C615" s="1930" t="s">
        <v>4475</v>
      </c>
      <c r="D615" s="1930" t="s">
        <v>4476</v>
      </c>
      <c r="E615" s="1931" t="s">
        <v>33</v>
      </c>
      <c r="F615" s="1930" t="s">
        <v>33</v>
      </c>
      <c r="G615" s="1932">
        <v>7035</v>
      </c>
      <c r="H615" s="1930" t="s">
        <v>648</v>
      </c>
      <c r="I615" s="1930" t="s">
        <v>65</v>
      </c>
      <c r="J615" s="1930" t="s">
        <v>346</v>
      </c>
      <c r="K615" s="1933">
        <v>132.86000000000001</v>
      </c>
      <c r="L615" s="1930" t="s">
        <v>138</v>
      </c>
    </row>
    <row r="616" spans="1:12" ht="13.5" x14ac:dyDescent="0.25">
      <c r="A616" s="1930" t="s">
        <v>4469</v>
      </c>
      <c r="B616" s="1930" t="s">
        <v>4470</v>
      </c>
      <c r="C616" s="1930" t="s">
        <v>4475</v>
      </c>
      <c r="D616" s="1930" t="s">
        <v>4476</v>
      </c>
      <c r="E616" s="1931" t="s">
        <v>33</v>
      </c>
      <c r="F616" s="1930" t="s">
        <v>33</v>
      </c>
      <c r="G616" s="1932">
        <v>7038</v>
      </c>
      <c r="H616" s="1930" t="s">
        <v>649</v>
      </c>
      <c r="I616" s="1930" t="s">
        <v>65</v>
      </c>
      <c r="J616" s="1930" t="s">
        <v>137</v>
      </c>
      <c r="K616" s="1933">
        <v>23.53</v>
      </c>
      <c r="L616" s="1930" t="s">
        <v>138</v>
      </c>
    </row>
    <row r="617" spans="1:12" ht="13.5" x14ac:dyDescent="0.25">
      <c r="A617" s="1930" t="s">
        <v>4469</v>
      </c>
      <c r="B617" s="1930" t="s">
        <v>4470</v>
      </c>
      <c r="C617" s="1930" t="s">
        <v>4475</v>
      </c>
      <c r="D617" s="1930" t="s">
        <v>4476</v>
      </c>
      <c r="E617" s="1931" t="s">
        <v>33</v>
      </c>
      <c r="F617" s="1930" t="s">
        <v>33</v>
      </c>
      <c r="G617" s="1932">
        <v>7039</v>
      </c>
      <c r="H617" s="1930" t="s">
        <v>650</v>
      </c>
      <c r="I617" s="1930" t="s">
        <v>65</v>
      </c>
      <c r="J617" s="1930" t="s">
        <v>137</v>
      </c>
      <c r="K617" s="1933">
        <v>3.26</v>
      </c>
      <c r="L617" s="1930" t="s">
        <v>138</v>
      </c>
    </row>
    <row r="618" spans="1:12" ht="13.5" x14ac:dyDescent="0.25">
      <c r="A618" s="1930" t="s">
        <v>4469</v>
      </c>
      <c r="B618" s="1930" t="s">
        <v>4470</v>
      </c>
      <c r="C618" s="1930" t="s">
        <v>4475</v>
      </c>
      <c r="D618" s="1930" t="s">
        <v>4476</v>
      </c>
      <c r="E618" s="1931" t="s">
        <v>33</v>
      </c>
      <c r="F618" s="1930" t="s">
        <v>33</v>
      </c>
      <c r="G618" s="1932">
        <v>7040</v>
      </c>
      <c r="H618" s="1930" t="s">
        <v>651</v>
      </c>
      <c r="I618" s="1930" t="s">
        <v>65</v>
      </c>
      <c r="J618" s="1930" t="s">
        <v>137</v>
      </c>
      <c r="K618" s="1933">
        <v>29.45</v>
      </c>
      <c r="L618" s="1930" t="s">
        <v>138</v>
      </c>
    </row>
    <row r="619" spans="1:12" ht="13.5" x14ac:dyDescent="0.25">
      <c r="A619" s="1930" t="s">
        <v>4469</v>
      </c>
      <c r="B619" s="1930" t="s">
        <v>4470</v>
      </c>
      <c r="C619" s="1930" t="s">
        <v>4475</v>
      </c>
      <c r="D619" s="1930" t="s">
        <v>4476</v>
      </c>
      <c r="E619" s="1931" t="s">
        <v>33</v>
      </c>
      <c r="F619" s="1930" t="s">
        <v>33</v>
      </c>
      <c r="G619" s="1932">
        <v>7044</v>
      </c>
      <c r="H619" s="1930" t="s">
        <v>652</v>
      </c>
      <c r="I619" s="1930" t="s">
        <v>65</v>
      </c>
      <c r="J619" s="1930" t="s">
        <v>320</v>
      </c>
      <c r="K619" s="1933">
        <v>0.17</v>
      </c>
      <c r="L619" s="1930" t="s">
        <v>138</v>
      </c>
    </row>
    <row r="620" spans="1:12" ht="13.5" x14ac:dyDescent="0.25">
      <c r="A620" s="1930" t="s">
        <v>4469</v>
      </c>
      <c r="B620" s="1930" t="s">
        <v>4470</v>
      </c>
      <c r="C620" s="1930" t="s">
        <v>4475</v>
      </c>
      <c r="D620" s="1930" t="s">
        <v>4476</v>
      </c>
      <c r="E620" s="1931" t="s">
        <v>33</v>
      </c>
      <c r="F620" s="1930" t="s">
        <v>33</v>
      </c>
      <c r="G620" s="1932">
        <v>7045</v>
      </c>
      <c r="H620" s="1930" t="s">
        <v>653</v>
      </c>
      <c r="I620" s="1930" t="s">
        <v>65</v>
      </c>
      <c r="J620" s="1930" t="s">
        <v>320</v>
      </c>
      <c r="K620" s="1933">
        <v>0.02</v>
      </c>
      <c r="L620" s="1930" t="s">
        <v>138</v>
      </c>
    </row>
    <row r="621" spans="1:12" ht="13.5" x14ac:dyDescent="0.25">
      <c r="A621" s="1930" t="s">
        <v>4469</v>
      </c>
      <c r="B621" s="1930" t="s">
        <v>4470</v>
      </c>
      <c r="C621" s="1930" t="s">
        <v>4475</v>
      </c>
      <c r="D621" s="1930" t="s">
        <v>4476</v>
      </c>
      <c r="E621" s="1931" t="s">
        <v>33</v>
      </c>
      <c r="F621" s="1930" t="s">
        <v>33</v>
      </c>
      <c r="G621" s="1932">
        <v>7046</v>
      </c>
      <c r="H621" s="1930" t="s">
        <v>654</v>
      </c>
      <c r="I621" s="1930" t="s">
        <v>65</v>
      </c>
      <c r="J621" s="1930" t="s">
        <v>320</v>
      </c>
      <c r="K621" s="1933">
        <v>0.19</v>
      </c>
      <c r="L621" s="1930" t="s">
        <v>138</v>
      </c>
    </row>
    <row r="622" spans="1:12" ht="13.5" x14ac:dyDescent="0.25">
      <c r="A622" s="1930" t="s">
        <v>4469</v>
      </c>
      <c r="B622" s="1930" t="s">
        <v>4470</v>
      </c>
      <c r="C622" s="1930" t="s">
        <v>4475</v>
      </c>
      <c r="D622" s="1930" t="s">
        <v>4476</v>
      </c>
      <c r="E622" s="1931" t="s">
        <v>33</v>
      </c>
      <c r="F622" s="1930" t="s">
        <v>33</v>
      </c>
      <c r="G622" s="1932">
        <v>7047</v>
      </c>
      <c r="H622" s="1930" t="s">
        <v>655</v>
      </c>
      <c r="I622" s="1930" t="s">
        <v>65</v>
      </c>
      <c r="J622" s="1930" t="s">
        <v>346</v>
      </c>
      <c r="K622" s="1933">
        <v>7.26</v>
      </c>
      <c r="L622" s="1930" t="s">
        <v>138</v>
      </c>
    </row>
    <row r="623" spans="1:12" ht="13.5" x14ac:dyDescent="0.25">
      <c r="A623" s="1930" t="s">
        <v>4469</v>
      </c>
      <c r="B623" s="1930" t="s">
        <v>4470</v>
      </c>
      <c r="C623" s="1930" t="s">
        <v>4475</v>
      </c>
      <c r="D623" s="1930" t="s">
        <v>4476</v>
      </c>
      <c r="E623" s="1931" t="s">
        <v>33</v>
      </c>
      <c r="F623" s="1930" t="s">
        <v>33</v>
      </c>
      <c r="G623" s="1932">
        <v>7051</v>
      </c>
      <c r="H623" s="1930" t="s">
        <v>656</v>
      </c>
      <c r="I623" s="1930" t="s">
        <v>65</v>
      </c>
      <c r="J623" s="1930" t="s">
        <v>137</v>
      </c>
      <c r="K623" s="1933">
        <v>20.87</v>
      </c>
      <c r="L623" s="1930" t="s">
        <v>138</v>
      </c>
    </row>
    <row r="624" spans="1:12" ht="13.5" x14ac:dyDescent="0.25">
      <c r="A624" s="1930" t="s">
        <v>4469</v>
      </c>
      <c r="B624" s="1930" t="s">
        <v>4470</v>
      </c>
      <c r="C624" s="1930" t="s">
        <v>4475</v>
      </c>
      <c r="D624" s="1930" t="s">
        <v>4476</v>
      </c>
      <c r="E624" s="1931" t="s">
        <v>33</v>
      </c>
      <c r="F624" s="1930" t="s">
        <v>33</v>
      </c>
      <c r="G624" s="1932">
        <v>7052</v>
      </c>
      <c r="H624" s="1930" t="s">
        <v>657</v>
      </c>
      <c r="I624" s="1930" t="s">
        <v>65</v>
      </c>
      <c r="J624" s="1930" t="s">
        <v>137</v>
      </c>
      <c r="K624" s="1933">
        <v>2.89</v>
      </c>
      <c r="L624" s="1930" t="s">
        <v>138</v>
      </c>
    </row>
    <row r="625" spans="1:12" ht="13.5" x14ac:dyDescent="0.25">
      <c r="A625" s="1930" t="s">
        <v>4469</v>
      </c>
      <c r="B625" s="1930" t="s">
        <v>4470</v>
      </c>
      <c r="C625" s="1930" t="s">
        <v>4475</v>
      </c>
      <c r="D625" s="1930" t="s">
        <v>4476</v>
      </c>
      <c r="E625" s="1931" t="s">
        <v>33</v>
      </c>
      <c r="F625" s="1930" t="s">
        <v>33</v>
      </c>
      <c r="G625" s="1932">
        <v>7053</v>
      </c>
      <c r="H625" s="1930" t="s">
        <v>658</v>
      </c>
      <c r="I625" s="1930" t="s">
        <v>65</v>
      </c>
      <c r="J625" s="1930" t="s">
        <v>137</v>
      </c>
      <c r="K625" s="1933">
        <v>26.12</v>
      </c>
      <c r="L625" s="1930" t="s">
        <v>138</v>
      </c>
    </row>
    <row r="626" spans="1:12" ht="13.5" x14ac:dyDescent="0.25">
      <c r="A626" s="1930" t="s">
        <v>4469</v>
      </c>
      <c r="B626" s="1930" t="s">
        <v>4470</v>
      </c>
      <c r="C626" s="1930" t="s">
        <v>4475</v>
      </c>
      <c r="D626" s="1930" t="s">
        <v>4476</v>
      </c>
      <c r="E626" s="1931" t="s">
        <v>33</v>
      </c>
      <c r="F626" s="1930" t="s">
        <v>33</v>
      </c>
      <c r="G626" s="1932">
        <v>7054</v>
      </c>
      <c r="H626" s="1930" t="s">
        <v>659</v>
      </c>
      <c r="I626" s="1930" t="s">
        <v>65</v>
      </c>
      <c r="J626" s="1930" t="s">
        <v>346</v>
      </c>
      <c r="K626" s="1933">
        <v>55.5</v>
      </c>
      <c r="L626" s="1930" t="s">
        <v>138</v>
      </c>
    </row>
    <row r="627" spans="1:12" ht="13.5" x14ac:dyDescent="0.25">
      <c r="A627" s="1930" t="s">
        <v>4469</v>
      </c>
      <c r="B627" s="1930" t="s">
        <v>4470</v>
      </c>
      <c r="C627" s="1930" t="s">
        <v>4475</v>
      </c>
      <c r="D627" s="1930" t="s">
        <v>4476</v>
      </c>
      <c r="E627" s="1931" t="s">
        <v>33</v>
      </c>
      <c r="F627" s="1930" t="s">
        <v>33</v>
      </c>
      <c r="G627" s="1932">
        <v>7058</v>
      </c>
      <c r="H627" s="1930" t="s">
        <v>660</v>
      </c>
      <c r="I627" s="1930" t="s">
        <v>65</v>
      </c>
      <c r="J627" s="1930" t="s">
        <v>137</v>
      </c>
      <c r="K627" s="1933">
        <v>12.39</v>
      </c>
      <c r="L627" s="1930" t="s">
        <v>138</v>
      </c>
    </row>
    <row r="628" spans="1:12" ht="13.5" x14ac:dyDescent="0.25">
      <c r="A628" s="1930" t="s">
        <v>4469</v>
      </c>
      <c r="B628" s="1930" t="s">
        <v>4470</v>
      </c>
      <c r="C628" s="1930" t="s">
        <v>4475</v>
      </c>
      <c r="D628" s="1930" t="s">
        <v>4476</v>
      </c>
      <c r="E628" s="1931" t="s">
        <v>33</v>
      </c>
      <c r="F628" s="1930" t="s">
        <v>33</v>
      </c>
      <c r="G628" s="1932">
        <v>7059</v>
      </c>
      <c r="H628" s="1930" t="s">
        <v>661</v>
      </c>
      <c r="I628" s="1930" t="s">
        <v>65</v>
      </c>
      <c r="J628" s="1930" t="s">
        <v>137</v>
      </c>
      <c r="K628" s="1933">
        <v>2.29</v>
      </c>
      <c r="L628" s="1930" t="s">
        <v>138</v>
      </c>
    </row>
    <row r="629" spans="1:12" ht="13.5" x14ac:dyDescent="0.25">
      <c r="A629" s="1930" t="s">
        <v>4469</v>
      </c>
      <c r="B629" s="1930" t="s">
        <v>4470</v>
      </c>
      <c r="C629" s="1930" t="s">
        <v>4475</v>
      </c>
      <c r="D629" s="1930" t="s">
        <v>4476</v>
      </c>
      <c r="E629" s="1931" t="s">
        <v>33</v>
      </c>
      <c r="F629" s="1930" t="s">
        <v>33</v>
      </c>
      <c r="G629" s="1932">
        <v>7060</v>
      </c>
      <c r="H629" s="1930" t="s">
        <v>662</v>
      </c>
      <c r="I629" s="1930" t="s">
        <v>65</v>
      </c>
      <c r="J629" s="1930" t="s">
        <v>137</v>
      </c>
      <c r="K629" s="1933">
        <v>23.25</v>
      </c>
      <c r="L629" s="1930" t="s">
        <v>138</v>
      </c>
    </row>
    <row r="630" spans="1:12" ht="13.5" x14ac:dyDescent="0.25">
      <c r="A630" s="1930" t="s">
        <v>4469</v>
      </c>
      <c r="B630" s="1930" t="s">
        <v>4470</v>
      </c>
      <c r="C630" s="1930" t="s">
        <v>4475</v>
      </c>
      <c r="D630" s="1930" t="s">
        <v>4476</v>
      </c>
      <c r="E630" s="1931" t="s">
        <v>33</v>
      </c>
      <c r="F630" s="1930" t="s">
        <v>33</v>
      </c>
      <c r="G630" s="1932">
        <v>7061</v>
      </c>
      <c r="H630" s="1930" t="s">
        <v>663</v>
      </c>
      <c r="I630" s="1930" t="s">
        <v>65</v>
      </c>
      <c r="J630" s="1930" t="s">
        <v>346</v>
      </c>
      <c r="K630" s="1933">
        <v>50.66</v>
      </c>
      <c r="L630" s="1930" t="s">
        <v>138</v>
      </c>
    </row>
    <row r="631" spans="1:12" ht="13.5" x14ac:dyDescent="0.25">
      <c r="A631" s="1930" t="s">
        <v>4469</v>
      </c>
      <c r="B631" s="1930" t="s">
        <v>4470</v>
      </c>
      <c r="C631" s="1930" t="s">
        <v>4475</v>
      </c>
      <c r="D631" s="1930" t="s">
        <v>4476</v>
      </c>
      <c r="E631" s="1931" t="s">
        <v>33</v>
      </c>
      <c r="F631" s="1930" t="s">
        <v>33</v>
      </c>
      <c r="G631" s="1932">
        <v>7063</v>
      </c>
      <c r="H631" s="1930" t="s">
        <v>664</v>
      </c>
      <c r="I631" s="1930" t="s">
        <v>65</v>
      </c>
      <c r="J631" s="1930" t="s">
        <v>137</v>
      </c>
      <c r="K631" s="1933">
        <v>10.18</v>
      </c>
      <c r="L631" s="1930" t="s">
        <v>138</v>
      </c>
    </row>
    <row r="632" spans="1:12" ht="13.5" x14ac:dyDescent="0.25">
      <c r="A632" s="1930" t="s">
        <v>4469</v>
      </c>
      <c r="B632" s="1930" t="s">
        <v>4470</v>
      </c>
      <c r="C632" s="1930" t="s">
        <v>4475</v>
      </c>
      <c r="D632" s="1930" t="s">
        <v>4476</v>
      </c>
      <c r="E632" s="1931" t="s">
        <v>33</v>
      </c>
      <c r="F632" s="1930" t="s">
        <v>33</v>
      </c>
      <c r="G632" s="1932">
        <v>7064</v>
      </c>
      <c r="H632" s="1930" t="s">
        <v>665</v>
      </c>
      <c r="I632" s="1930" t="s">
        <v>65</v>
      </c>
      <c r="J632" s="1930" t="s">
        <v>137</v>
      </c>
      <c r="K632" s="1933">
        <v>1.41</v>
      </c>
      <c r="L632" s="1930" t="s">
        <v>138</v>
      </c>
    </row>
    <row r="633" spans="1:12" ht="13.5" x14ac:dyDescent="0.25">
      <c r="A633" s="1930" t="s">
        <v>4469</v>
      </c>
      <c r="B633" s="1930" t="s">
        <v>4470</v>
      </c>
      <c r="C633" s="1930" t="s">
        <v>4475</v>
      </c>
      <c r="D633" s="1930" t="s">
        <v>4476</v>
      </c>
      <c r="E633" s="1931" t="s">
        <v>33</v>
      </c>
      <c r="F633" s="1930" t="s">
        <v>33</v>
      </c>
      <c r="G633" s="1932">
        <v>7065</v>
      </c>
      <c r="H633" s="1930" t="s">
        <v>666</v>
      </c>
      <c r="I633" s="1930" t="s">
        <v>65</v>
      </c>
      <c r="J633" s="1930" t="s">
        <v>137</v>
      </c>
      <c r="K633" s="1933">
        <v>11.13</v>
      </c>
      <c r="L633" s="1930" t="s">
        <v>138</v>
      </c>
    </row>
    <row r="634" spans="1:12" ht="13.5" x14ac:dyDescent="0.25">
      <c r="A634" s="1930" t="s">
        <v>4469</v>
      </c>
      <c r="B634" s="1930" t="s">
        <v>4470</v>
      </c>
      <c r="C634" s="1930" t="s">
        <v>4475</v>
      </c>
      <c r="D634" s="1930" t="s">
        <v>4476</v>
      </c>
      <c r="E634" s="1931" t="s">
        <v>33</v>
      </c>
      <c r="F634" s="1930" t="s">
        <v>33</v>
      </c>
      <c r="G634" s="1932">
        <v>7066</v>
      </c>
      <c r="H634" s="1930" t="s">
        <v>667</v>
      </c>
      <c r="I634" s="1930" t="s">
        <v>65</v>
      </c>
      <c r="J634" s="1930" t="s">
        <v>346</v>
      </c>
      <c r="K634" s="1933">
        <v>106.87</v>
      </c>
      <c r="L634" s="1930" t="s">
        <v>138</v>
      </c>
    </row>
    <row r="635" spans="1:12" ht="13.5" x14ac:dyDescent="0.25">
      <c r="A635" s="1930" t="s">
        <v>4469</v>
      </c>
      <c r="B635" s="1930" t="s">
        <v>4470</v>
      </c>
      <c r="C635" s="1930" t="s">
        <v>4475</v>
      </c>
      <c r="D635" s="1930" t="s">
        <v>4476</v>
      </c>
      <c r="E635" s="1931" t="s">
        <v>33</v>
      </c>
      <c r="F635" s="1930" t="s">
        <v>33</v>
      </c>
      <c r="G635" s="1932">
        <v>53786</v>
      </c>
      <c r="H635" s="1930" t="s">
        <v>668</v>
      </c>
      <c r="I635" s="1930" t="s">
        <v>65</v>
      </c>
      <c r="J635" s="1930" t="s">
        <v>346</v>
      </c>
      <c r="K635" s="1933">
        <v>33.18</v>
      </c>
      <c r="L635" s="1930" t="s">
        <v>138</v>
      </c>
    </row>
    <row r="636" spans="1:12" ht="13.5" x14ac:dyDescent="0.25">
      <c r="A636" s="1930" t="s">
        <v>4469</v>
      </c>
      <c r="B636" s="1930" t="s">
        <v>4470</v>
      </c>
      <c r="C636" s="1930" t="s">
        <v>4475</v>
      </c>
      <c r="D636" s="1930" t="s">
        <v>4476</v>
      </c>
      <c r="E636" s="1931" t="s">
        <v>33</v>
      </c>
      <c r="F636" s="1930" t="s">
        <v>33</v>
      </c>
      <c r="G636" s="1932">
        <v>53788</v>
      </c>
      <c r="H636" s="1930" t="s">
        <v>669</v>
      </c>
      <c r="I636" s="1930" t="s">
        <v>65</v>
      </c>
      <c r="J636" s="1930" t="s">
        <v>346</v>
      </c>
      <c r="K636" s="1933">
        <v>35.520000000000003</v>
      </c>
      <c r="L636" s="1930" t="s">
        <v>138</v>
      </c>
    </row>
    <row r="637" spans="1:12" ht="13.5" x14ac:dyDescent="0.25">
      <c r="A637" s="1930" t="s">
        <v>4469</v>
      </c>
      <c r="B637" s="1930" t="s">
        <v>4470</v>
      </c>
      <c r="C637" s="1930" t="s">
        <v>4475</v>
      </c>
      <c r="D637" s="1930" t="s">
        <v>4476</v>
      </c>
      <c r="E637" s="1931" t="s">
        <v>33</v>
      </c>
      <c r="F637" s="1930" t="s">
        <v>33</v>
      </c>
      <c r="G637" s="1932">
        <v>53792</v>
      </c>
      <c r="H637" s="1930" t="s">
        <v>670</v>
      </c>
      <c r="I637" s="1930" t="s">
        <v>65</v>
      </c>
      <c r="J637" s="1930" t="s">
        <v>346</v>
      </c>
      <c r="K637" s="1933">
        <v>62.97</v>
      </c>
      <c r="L637" s="1930" t="s">
        <v>138</v>
      </c>
    </row>
    <row r="638" spans="1:12" ht="13.5" x14ac:dyDescent="0.25">
      <c r="A638" s="1930" t="s">
        <v>4469</v>
      </c>
      <c r="B638" s="1930" t="s">
        <v>4470</v>
      </c>
      <c r="C638" s="1930" t="s">
        <v>4475</v>
      </c>
      <c r="D638" s="1930" t="s">
        <v>4476</v>
      </c>
      <c r="E638" s="1931" t="s">
        <v>33</v>
      </c>
      <c r="F638" s="1930" t="s">
        <v>33</v>
      </c>
      <c r="G638" s="1932">
        <v>53794</v>
      </c>
      <c r="H638" s="1930" t="s">
        <v>671</v>
      </c>
      <c r="I638" s="1930" t="s">
        <v>65</v>
      </c>
      <c r="J638" s="1930" t="s">
        <v>137</v>
      </c>
      <c r="K638" s="1933">
        <v>35</v>
      </c>
      <c r="L638" s="1930" t="s">
        <v>138</v>
      </c>
    </row>
    <row r="639" spans="1:12" ht="13.5" x14ac:dyDescent="0.25">
      <c r="A639" s="1930" t="s">
        <v>4469</v>
      </c>
      <c r="B639" s="1930" t="s">
        <v>4470</v>
      </c>
      <c r="C639" s="1930" t="s">
        <v>4475</v>
      </c>
      <c r="D639" s="1930" t="s">
        <v>4476</v>
      </c>
      <c r="E639" s="1931" t="s">
        <v>33</v>
      </c>
      <c r="F639" s="1930" t="s">
        <v>33</v>
      </c>
      <c r="G639" s="1932">
        <v>53797</v>
      </c>
      <c r="H639" s="1930" t="s">
        <v>672</v>
      </c>
      <c r="I639" s="1930" t="s">
        <v>65</v>
      </c>
      <c r="J639" s="1930" t="s">
        <v>346</v>
      </c>
      <c r="K639" s="1933">
        <v>72.42</v>
      </c>
      <c r="L639" s="1930" t="s">
        <v>138</v>
      </c>
    </row>
    <row r="640" spans="1:12" ht="13.5" x14ac:dyDescent="0.25">
      <c r="A640" s="1930" t="s">
        <v>4469</v>
      </c>
      <c r="B640" s="1930" t="s">
        <v>4470</v>
      </c>
      <c r="C640" s="1930" t="s">
        <v>4475</v>
      </c>
      <c r="D640" s="1930" t="s">
        <v>4476</v>
      </c>
      <c r="E640" s="1931" t="s">
        <v>33</v>
      </c>
      <c r="F640" s="1930" t="s">
        <v>33</v>
      </c>
      <c r="G640" s="1932">
        <v>53804</v>
      </c>
      <c r="H640" s="1930" t="s">
        <v>673</v>
      </c>
      <c r="I640" s="1930" t="s">
        <v>65</v>
      </c>
      <c r="J640" s="1930" t="s">
        <v>137</v>
      </c>
      <c r="K640" s="1933">
        <v>2.5</v>
      </c>
      <c r="L640" s="1930" t="s">
        <v>138</v>
      </c>
    </row>
    <row r="641" spans="1:12" ht="13.5" x14ac:dyDescent="0.25">
      <c r="A641" s="1930" t="s">
        <v>4469</v>
      </c>
      <c r="B641" s="1930" t="s">
        <v>4470</v>
      </c>
      <c r="C641" s="1930" t="s">
        <v>4475</v>
      </c>
      <c r="D641" s="1930" t="s">
        <v>4476</v>
      </c>
      <c r="E641" s="1931" t="s">
        <v>33</v>
      </c>
      <c r="F641" s="1930" t="s">
        <v>33</v>
      </c>
      <c r="G641" s="1932">
        <v>53806</v>
      </c>
      <c r="H641" s="1930" t="s">
        <v>674</v>
      </c>
      <c r="I641" s="1930" t="s">
        <v>65</v>
      </c>
      <c r="J641" s="1930" t="s">
        <v>137</v>
      </c>
      <c r="K641" s="1933">
        <v>41.16</v>
      </c>
      <c r="L641" s="1930" t="s">
        <v>138</v>
      </c>
    </row>
    <row r="642" spans="1:12" ht="13.5" x14ac:dyDescent="0.25">
      <c r="A642" s="1930" t="s">
        <v>4469</v>
      </c>
      <c r="B642" s="1930" t="s">
        <v>4470</v>
      </c>
      <c r="C642" s="1930" t="s">
        <v>4475</v>
      </c>
      <c r="D642" s="1930" t="s">
        <v>4476</v>
      </c>
      <c r="E642" s="1931" t="s">
        <v>33</v>
      </c>
      <c r="F642" s="1930" t="s">
        <v>33</v>
      </c>
      <c r="G642" s="1932">
        <v>53810</v>
      </c>
      <c r="H642" s="1930" t="s">
        <v>675</v>
      </c>
      <c r="I642" s="1930" t="s">
        <v>65</v>
      </c>
      <c r="J642" s="1930" t="s">
        <v>137</v>
      </c>
      <c r="K642" s="1933">
        <v>41.42</v>
      </c>
      <c r="L642" s="1930" t="s">
        <v>138</v>
      </c>
    </row>
    <row r="643" spans="1:12" ht="13.5" x14ac:dyDescent="0.25">
      <c r="A643" s="1930" t="s">
        <v>4469</v>
      </c>
      <c r="B643" s="1930" t="s">
        <v>4470</v>
      </c>
      <c r="C643" s="1930" t="s">
        <v>4475</v>
      </c>
      <c r="D643" s="1930" t="s">
        <v>4476</v>
      </c>
      <c r="E643" s="1931" t="s">
        <v>33</v>
      </c>
      <c r="F643" s="1930" t="s">
        <v>33</v>
      </c>
      <c r="G643" s="1932">
        <v>53814</v>
      </c>
      <c r="H643" s="1930" t="s">
        <v>676</v>
      </c>
      <c r="I643" s="1930" t="s">
        <v>65</v>
      </c>
      <c r="J643" s="1930" t="s">
        <v>137</v>
      </c>
      <c r="K643" s="1933">
        <v>135.68</v>
      </c>
      <c r="L643" s="1930" t="s">
        <v>138</v>
      </c>
    </row>
    <row r="644" spans="1:12" ht="13.5" x14ac:dyDescent="0.25">
      <c r="A644" s="1930" t="s">
        <v>4469</v>
      </c>
      <c r="B644" s="1930" t="s">
        <v>4470</v>
      </c>
      <c r="C644" s="1930" t="s">
        <v>4475</v>
      </c>
      <c r="D644" s="1930" t="s">
        <v>4476</v>
      </c>
      <c r="E644" s="1931" t="s">
        <v>33</v>
      </c>
      <c r="F644" s="1930" t="s">
        <v>33</v>
      </c>
      <c r="G644" s="1932">
        <v>53817</v>
      </c>
      <c r="H644" s="1930" t="s">
        <v>677</v>
      </c>
      <c r="I644" s="1930" t="s">
        <v>65</v>
      </c>
      <c r="J644" s="1930" t="s">
        <v>346</v>
      </c>
      <c r="K644" s="1933">
        <v>38.83</v>
      </c>
      <c r="L644" s="1930" t="s">
        <v>138</v>
      </c>
    </row>
    <row r="645" spans="1:12" ht="13.5" x14ac:dyDescent="0.25">
      <c r="A645" s="1930" t="s">
        <v>4469</v>
      </c>
      <c r="B645" s="1930" t="s">
        <v>4470</v>
      </c>
      <c r="C645" s="1930" t="s">
        <v>4475</v>
      </c>
      <c r="D645" s="1930" t="s">
        <v>4476</v>
      </c>
      <c r="E645" s="1931" t="s">
        <v>33</v>
      </c>
      <c r="F645" s="1930" t="s">
        <v>33</v>
      </c>
      <c r="G645" s="1932">
        <v>53818</v>
      </c>
      <c r="H645" s="1930" t="s">
        <v>678</v>
      </c>
      <c r="I645" s="1930" t="s">
        <v>65</v>
      </c>
      <c r="J645" s="1930" t="s">
        <v>137</v>
      </c>
      <c r="K645" s="1933">
        <v>4.54</v>
      </c>
      <c r="L645" s="1930" t="s">
        <v>138</v>
      </c>
    </row>
    <row r="646" spans="1:12" ht="13.5" x14ac:dyDescent="0.25">
      <c r="A646" s="1930" t="s">
        <v>4469</v>
      </c>
      <c r="B646" s="1930" t="s">
        <v>4470</v>
      </c>
      <c r="C646" s="1930" t="s">
        <v>4475</v>
      </c>
      <c r="D646" s="1930" t="s">
        <v>4476</v>
      </c>
      <c r="E646" s="1931" t="s">
        <v>33</v>
      </c>
      <c r="F646" s="1930" t="s">
        <v>33</v>
      </c>
      <c r="G646" s="1932">
        <v>53827</v>
      </c>
      <c r="H646" s="1930" t="s">
        <v>679</v>
      </c>
      <c r="I646" s="1930" t="s">
        <v>65</v>
      </c>
      <c r="J646" s="1930" t="s">
        <v>346</v>
      </c>
      <c r="K646" s="1933">
        <v>70.900000000000006</v>
      </c>
      <c r="L646" s="1930" t="s">
        <v>138</v>
      </c>
    </row>
    <row r="647" spans="1:12" ht="13.5" x14ac:dyDescent="0.25">
      <c r="A647" s="1930" t="s">
        <v>4469</v>
      </c>
      <c r="B647" s="1930" t="s">
        <v>4470</v>
      </c>
      <c r="C647" s="1930" t="s">
        <v>4475</v>
      </c>
      <c r="D647" s="1930" t="s">
        <v>4476</v>
      </c>
      <c r="E647" s="1931" t="s">
        <v>33</v>
      </c>
      <c r="F647" s="1930" t="s">
        <v>33</v>
      </c>
      <c r="G647" s="1932">
        <v>53829</v>
      </c>
      <c r="H647" s="1930" t="s">
        <v>680</v>
      </c>
      <c r="I647" s="1930" t="s">
        <v>65</v>
      </c>
      <c r="J647" s="1930" t="s">
        <v>346</v>
      </c>
      <c r="K647" s="1933">
        <v>72.42</v>
      </c>
      <c r="L647" s="1930" t="s">
        <v>138</v>
      </c>
    </row>
    <row r="648" spans="1:12" ht="13.5" x14ac:dyDescent="0.25">
      <c r="A648" s="1930" t="s">
        <v>4469</v>
      </c>
      <c r="B648" s="1930" t="s">
        <v>4470</v>
      </c>
      <c r="C648" s="1930" t="s">
        <v>4475</v>
      </c>
      <c r="D648" s="1930" t="s">
        <v>4476</v>
      </c>
      <c r="E648" s="1931" t="s">
        <v>33</v>
      </c>
      <c r="F648" s="1930" t="s">
        <v>33</v>
      </c>
      <c r="G648" s="1932">
        <v>53831</v>
      </c>
      <c r="H648" s="1930" t="s">
        <v>681</v>
      </c>
      <c r="I648" s="1930" t="s">
        <v>65</v>
      </c>
      <c r="J648" s="1930" t="s">
        <v>346</v>
      </c>
      <c r="K648" s="1933">
        <v>119.63</v>
      </c>
      <c r="L648" s="1930" t="s">
        <v>138</v>
      </c>
    </row>
    <row r="649" spans="1:12" ht="13.5" x14ac:dyDescent="0.25">
      <c r="A649" s="1930" t="s">
        <v>4469</v>
      </c>
      <c r="B649" s="1930" t="s">
        <v>4470</v>
      </c>
      <c r="C649" s="1930" t="s">
        <v>4475</v>
      </c>
      <c r="D649" s="1930" t="s">
        <v>4476</v>
      </c>
      <c r="E649" s="1931" t="s">
        <v>33</v>
      </c>
      <c r="F649" s="1930" t="s">
        <v>33</v>
      </c>
      <c r="G649" s="1932">
        <v>53840</v>
      </c>
      <c r="H649" s="1930" t="s">
        <v>682</v>
      </c>
      <c r="I649" s="1930" t="s">
        <v>65</v>
      </c>
      <c r="J649" s="1930" t="s">
        <v>137</v>
      </c>
      <c r="K649" s="1933">
        <v>1.35</v>
      </c>
      <c r="L649" s="1930" t="s">
        <v>138</v>
      </c>
    </row>
    <row r="650" spans="1:12" ht="13.5" x14ac:dyDescent="0.25">
      <c r="A650" s="1930" t="s">
        <v>4469</v>
      </c>
      <c r="B650" s="1930" t="s">
        <v>4470</v>
      </c>
      <c r="C650" s="1930" t="s">
        <v>4475</v>
      </c>
      <c r="D650" s="1930" t="s">
        <v>4476</v>
      </c>
      <c r="E650" s="1931" t="s">
        <v>33</v>
      </c>
      <c r="F650" s="1930" t="s">
        <v>33</v>
      </c>
      <c r="G650" s="1932">
        <v>53841</v>
      </c>
      <c r="H650" s="1930" t="s">
        <v>683</v>
      </c>
      <c r="I650" s="1930" t="s">
        <v>65</v>
      </c>
      <c r="J650" s="1930" t="s">
        <v>137</v>
      </c>
      <c r="K650" s="1933">
        <v>0.94</v>
      </c>
      <c r="L650" s="1930" t="s">
        <v>138</v>
      </c>
    </row>
    <row r="651" spans="1:12" ht="13.5" x14ac:dyDescent="0.25">
      <c r="A651" s="1930" t="s">
        <v>4469</v>
      </c>
      <c r="B651" s="1930" t="s">
        <v>4470</v>
      </c>
      <c r="C651" s="1930" t="s">
        <v>4475</v>
      </c>
      <c r="D651" s="1930" t="s">
        <v>4476</v>
      </c>
      <c r="E651" s="1931" t="s">
        <v>33</v>
      </c>
      <c r="F651" s="1930" t="s">
        <v>33</v>
      </c>
      <c r="G651" s="1932">
        <v>53849</v>
      </c>
      <c r="H651" s="1930" t="s">
        <v>684</v>
      </c>
      <c r="I651" s="1930" t="s">
        <v>65</v>
      </c>
      <c r="J651" s="1930" t="s">
        <v>346</v>
      </c>
      <c r="K651" s="1933">
        <v>52.04</v>
      </c>
      <c r="L651" s="1930" t="s">
        <v>138</v>
      </c>
    </row>
    <row r="652" spans="1:12" ht="13.5" x14ac:dyDescent="0.25">
      <c r="A652" s="1930" t="s">
        <v>4469</v>
      </c>
      <c r="B652" s="1930" t="s">
        <v>4470</v>
      </c>
      <c r="C652" s="1930" t="s">
        <v>4475</v>
      </c>
      <c r="D652" s="1930" t="s">
        <v>4476</v>
      </c>
      <c r="E652" s="1931" t="s">
        <v>33</v>
      </c>
      <c r="F652" s="1930" t="s">
        <v>33</v>
      </c>
      <c r="G652" s="1932">
        <v>53857</v>
      </c>
      <c r="H652" s="1930" t="s">
        <v>685</v>
      </c>
      <c r="I652" s="1930" t="s">
        <v>65</v>
      </c>
      <c r="J652" s="1930" t="s">
        <v>137</v>
      </c>
      <c r="K652" s="1933">
        <v>26.94</v>
      </c>
      <c r="L652" s="1930" t="s">
        <v>138</v>
      </c>
    </row>
    <row r="653" spans="1:12" ht="13.5" x14ac:dyDescent="0.25">
      <c r="A653" s="1930" t="s">
        <v>4469</v>
      </c>
      <c r="B653" s="1930" t="s">
        <v>4470</v>
      </c>
      <c r="C653" s="1930" t="s">
        <v>4475</v>
      </c>
      <c r="D653" s="1930" t="s">
        <v>4476</v>
      </c>
      <c r="E653" s="1931" t="s">
        <v>33</v>
      </c>
      <c r="F653" s="1930" t="s">
        <v>33</v>
      </c>
      <c r="G653" s="1932">
        <v>53858</v>
      </c>
      <c r="H653" s="1930" t="s">
        <v>686</v>
      </c>
      <c r="I653" s="1930" t="s">
        <v>65</v>
      </c>
      <c r="J653" s="1930" t="s">
        <v>346</v>
      </c>
      <c r="K653" s="1933">
        <v>49.73</v>
      </c>
      <c r="L653" s="1930" t="s">
        <v>138</v>
      </c>
    </row>
    <row r="654" spans="1:12" ht="13.5" x14ac:dyDescent="0.25">
      <c r="A654" s="1930" t="s">
        <v>4469</v>
      </c>
      <c r="B654" s="1930" t="s">
        <v>4470</v>
      </c>
      <c r="C654" s="1930" t="s">
        <v>4475</v>
      </c>
      <c r="D654" s="1930" t="s">
        <v>4476</v>
      </c>
      <c r="E654" s="1931" t="s">
        <v>33</v>
      </c>
      <c r="F654" s="1930" t="s">
        <v>33</v>
      </c>
      <c r="G654" s="1932">
        <v>53861</v>
      </c>
      <c r="H654" s="1930" t="s">
        <v>687</v>
      </c>
      <c r="I654" s="1930" t="s">
        <v>65</v>
      </c>
      <c r="J654" s="1930" t="s">
        <v>137</v>
      </c>
      <c r="K654" s="1933">
        <v>37.36</v>
      </c>
      <c r="L654" s="1930" t="s">
        <v>138</v>
      </c>
    </row>
    <row r="655" spans="1:12" ht="13.5" x14ac:dyDescent="0.25">
      <c r="A655" s="1930" t="s">
        <v>4469</v>
      </c>
      <c r="B655" s="1930" t="s">
        <v>4470</v>
      </c>
      <c r="C655" s="1930" t="s">
        <v>4475</v>
      </c>
      <c r="D655" s="1930" t="s">
        <v>4476</v>
      </c>
      <c r="E655" s="1931" t="s">
        <v>33</v>
      </c>
      <c r="F655" s="1930" t="s">
        <v>33</v>
      </c>
      <c r="G655" s="1932">
        <v>53863</v>
      </c>
      <c r="H655" s="1930" t="s">
        <v>688</v>
      </c>
      <c r="I655" s="1930" t="s">
        <v>65</v>
      </c>
      <c r="J655" s="1930" t="s">
        <v>137</v>
      </c>
      <c r="K655" s="1933">
        <v>1.21</v>
      </c>
      <c r="L655" s="1930" t="s">
        <v>138</v>
      </c>
    </row>
    <row r="656" spans="1:12" ht="13.5" x14ac:dyDescent="0.25">
      <c r="A656" s="1930" t="s">
        <v>4469</v>
      </c>
      <c r="B656" s="1930" t="s">
        <v>4470</v>
      </c>
      <c r="C656" s="1930" t="s">
        <v>4475</v>
      </c>
      <c r="D656" s="1930" t="s">
        <v>4476</v>
      </c>
      <c r="E656" s="1931" t="s">
        <v>33</v>
      </c>
      <c r="F656" s="1930" t="s">
        <v>33</v>
      </c>
      <c r="G656" s="1932">
        <v>53865</v>
      </c>
      <c r="H656" s="1930" t="s">
        <v>689</v>
      </c>
      <c r="I656" s="1930" t="s">
        <v>65</v>
      </c>
      <c r="J656" s="1930" t="s">
        <v>346</v>
      </c>
      <c r="K656" s="1933">
        <v>29.31</v>
      </c>
      <c r="L656" s="1930" t="s">
        <v>138</v>
      </c>
    </row>
    <row r="657" spans="1:12" ht="13.5" x14ac:dyDescent="0.25">
      <c r="A657" s="1930" t="s">
        <v>4469</v>
      </c>
      <c r="B657" s="1930" t="s">
        <v>4470</v>
      </c>
      <c r="C657" s="1930" t="s">
        <v>4475</v>
      </c>
      <c r="D657" s="1930" t="s">
        <v>4476</v>
      </c>
      <c r="E657" s="1931" t="s">
        <v>33</v>
      </c>
      <c r="F657" s="1930" t="s">
        <v>33</v>
      </c>
      <c r="G657" s="1932">
        <v>53866</v>
      </c>
      <c r="H657" s="1930" t="s">
        <v>690</v>
      </c>
      <c r="I657" s="1930" t="s">
        <v>65</v>
      </c>
      <c r="J657" s="1930" t="s">
        <v>346</v>
      </c>
      <c r="K657" s="1933">
        <v>1.1399999999999999</v>
      </c>
      <c r="L657" s="1930" t="s">
        <v>138</v>
      </c>
    </row>
    <row r="658" spans="1:12" ht="13.5" x14ac:dyDescent="0.25">
      <c r="A658" s="1930" t="s">
        <v>4469</v>
      </c>
      <c r="B658" s="1930" t="s">
        <v>4470</v>
      </c>
      <c r="C658" s="1930" t="s">
        <v>4475</v>
      </c>
      <c r="D658" s="1930" t="s">
        <v>4476</v>
      </c>
      <c r="E658" s="1931" t="s">
        <v>33</v>
      </c>
      <c r="F658" s="1930" t="s">
        <v>33</v>
      </c>
      <c r="G658" s="1932">
        <v>53882</v>
      </c>
      <c r="H658" s="1930" t="s">
        <v>691</v>
      </c>
      <c r="I658" s="1930" t="s">
        <v>65</v>
      </c>
      <c r="J658" s="1930" t="s">
        <v>137</v>
      </c>
      <c r="K658" s="1933">
        <v>18.600000000000001</v>
      </c>
      <c r="L658" s="1930" t="s">
        <v>138</v>
      </c>
    </row>
    <row r="659" spans="1:12" ht="13.5" x14ac:dyDescent="0.25">
      <c r="A659" s="1930" t="s">
        <v>4469</v>
      </c>
      <c r="B659" s="1930" t="s">
        <v>4470</v>
      </c>
      <c r="C659" s="1930" t="s">
        <v>4475</v>
      </c>
      <c r="D659" s="1930" t="s">
        <v>4476</v>
      </c>
      <c r="E659" s="1931" t="s">
        <v>33</v>
      </c>
      <c r="F659" s="1930" t="s">
        <v>33</v>
      </c>
      <c r="G659" s="1932">
        <v>55263</v>
      </c>
      <c r="H659" s="1930" t="s">
        <v>692</v>
      </c>
      <c r="I659" s="1930" t="s">
        <v>65</v>
      </c>
      <c r="J659" s="1930" t="s">
        <v>346</v>
      </c>
      <c r="K659" s="1933">
        <v>40.06</v>
      </c>
      <c r="L659" s="1930" t="s">
        <v>138</v>
      </c>
    </row>
    <row r="660" spans="1:12" ht="13.5" x14ac:dyDescent="0.25">
      <c r="A660" s="1930" t="s">
        <v>4469</v>
      </c>
      <c r="B660" s="1930" t="s">
        <v>4470</v>
      </c>
      <c r="C660" s="1930" t="s">
        <v>4475</v>
      </c>
      <c r="D660" s="1930" t="s">
        <v>4476</v>
      </c>
      <c r="E660" s="1931" t="s">
        <v>33</v>
      </c>
      <c r="F660" s="1930" t="s">
        <v>33</v>
      </c>
      <c r="G660" s="1932">
        <v>73303</v>
      </c>
      <c r="H660" s="1930" t="s">
        <v>693</v>
      </c>
      <c r="I660" s="1930" t="s">
        <v>65</v>
      </c>
      <c r="J660" s="1930" t="s">
        <v>137</v>
      </c>
      <c r="K660" s="1933">
        <v>4.26</v>
      </c>
      <c r="L660" s="1930" t="s">
        <v>138</v>
      </c>
    </row>
    <row r="661" spans="1:12" ht="13.5" x14ac:dyDescent="0.25">
      <c r="A661" s="1930" t="s">
        <v>4469</v>
      </c>
      <c r="B661" s="1930" t="s">
        <v>4470</v>
      </c>
      <c r="C661" s="1930" t="s">
        <v>4475</v>
      </c>
      <c r="D661" s="1930" t="s">
        <v>4476</v>
      </c>
      <c r="E661" s="1931" t="s">
        <v>33</v>
      </c>
      <c r="F661" s="1930" t="s">
        <v>33</v>
      </c>
      <c r="G661" s="1932">
        <v>73307</v>
      </c>
      <c r="H661" s="1930" t="s">
        <v>694</v>
      </c>
      <c r="I661" s="1930" t="s">
        <v>65</v>
      </c>
      <c r="J661" s="1930" t="s">
        <v>137</v>
      </c>
      <c r="K661" s="1933">
        <v>3.8</v>
      </c>
      <c r="L661" s="1930" t="s">
        <v>138</v>
      </c>
    </row>
    <row r="662" spans="1:12" ht="13.5" x14ac:dyDescent="0.25">
      <c r="A662" s="1930" t="s">
        <v>4469</v>
      </c>
      <c r="B662" s="1930" t="s">
        <v>4470</v>
      </c>
      <c r="C662" s="1930" t="s">
        <v>4475</v>
      </c>
      <c r="D662" s="1930" t="s">
        <v>4476</v>
      </c>
      <c r="E662" s="1931" t="s">
        <v>33</v>
      </c>
      <c r="F662" s="1930" t="s">
        <v>33</v>
      </c>
      <c r="G662" s="1932">
        <v>73309</v>
      </c>
      <c r="H662" s="1930" t="s">
        <v>695</v>
      </c>
      <c r="I662" s="1930" t="s">
        <v>65</v>
      </c>
      <c r="J662" s="1930" t="s">
        <v>137</v>
      </c>
      <c r="K662" s="1933">
        <v>15.65</v>
      </c>
      <c r="L662" s="1930" t="s">
        <v>138</v>
      </c>
    </row>
    <row r="663" spans="1:12" ht="13.5" x14ac:dyDescent="0.25">
      <c r="A663" s="1930" t="s">
        <v>4469</v>
      </c>
      <c r="B663" s="1930" t="s">
        <v>4470</v>
      </c>
      <c r="C663" s="1930" t="s">
        <v>4475</v>
      </c>
      <c r="D663" s="1930" t="s">
        <v>4476</v>
      </c>
      <c r="E663" s="1931" t="s">
        <v>33</v>
      </c>
      <c r="F663" s="1930" t="s">
        <v>33</v>
      </c>
      <c r="G663" s="1932">
        <v>73311</v>
      </c>
      <c r="H663" s="1930" t="s">
        <v>696</v>
      </c>
      <c r="I663" s="1930" t="s">
        <v>65</v>
      </c>
      <c r="J663" s="1930" t="s">
        <v>346</v>
      </c>
      <c r="K663" s="1933">
        <v>110.74</v>
      </c>
      <c r="L663" s="1930" t="s">
        <v>138</v>
      </c>
    </row>
    <row r="664" spans="1:12" ht="13.5" x14ac:dyDescent="0.25">
      <c r="A664" s="1930" t="s">
        <v>4469</v>
      </c>
      <c r="B664" s="1930" t="s">
        <v>4470</v>
      </c>
      <c r="C664" s="1930" t="s">
        <v>4475</v>
      </c>
      <c r="D664" s="1930" t="s">
        <v>4476</v>
      </c>
      <c r="E664" s="1931" t="s">
        <v>33</v>
      </c>
      <c r="F664" s="1930" t="s">
        <v>33</v>
      </c>
      <c r="G664" s="1932">
        <v>73313</v>
      </c>
      <c r="H664" s="1930" t="s">
        <v>697</v>
      </c>
      <c r="I664" s="1930" t="s">
        <v>65</v>
      </c>
      <c r="J664" s="1930" t="s">
        <v>137</v>
      </c>
      <c r="K664" s="1933">
        <v>2.17</v>
      </c>
      <c r="L664" s="1930" t="s">
        <v>138</v>
      </c>
    </row>
    <row r="665" spans="1:12" ht="13.5" x14ac:dyDescent="0.25">
      <c r="A665" s="1930" t="s">
        <v>4469</v>
      </c>
      <c r="B665" s="1930" t="s">
        <v>4470</v>
      </c>
      <c r="C665" s="1930" t="s">
        <v>4475</v>
      </c>
      <c r="D665" s="1930" t="s">
        <v>4476</v>
      </c>
      <c r="E665" s="1931" t="s">
        <v>33</v>
      </c>
      <c r="F665" s="1930" t="s">
        <v>33</v>
      </c>
      <c r="G665" s="1932">
        <v>73315</v>
      </c>
      <c r="H665" s="1930" t="s">
        <v>698</v>
      </c>
      <c r="I665" s="1930" t="s">
        <v>65</v>
      </c>
      <c r="J665" s="1930" t="s">
        <v>346</v>
      </c>
      <c r="K665" s="1933">
        <v>35.520000000000003</v>
      </c>
      <c r="L665" s="1930" t="s">
        <v>138</v>
      </c>
    </row>
    <row r="666" spans="1:12" ht="13.5" x14ac:dyDescent="0.25">
      <c r="A666" s="1930" t="s">
        <v>4469</v>
      </c>
      <c r="B666" s="1930" t="s">
        <v>4470</v>
      </c>
      <c r="C666" s="1930" t="s">
        <v>4475</v>
      </c>
      <c r="D666" s="1930" t="s">
        <v>4476</v>
      </c>
      <c r="E666" s="1931" t="s">
        <v>33</v>
      </c>
      <c r="F666" s="1930" t="s">
        <v>33</v>
      </c>
      <c r="G666" s="1932">
        <v>73335</v>
      </c>
      <c r="H666" s="1930" t="s">
        <v>699</v>
      </c>
      <c r="I666" s="1930" t="s">
        <v>65</v>
      </c>
      <c r="J666" s="1930" t="s">
        <v>137</v>
      </c>
      <c r="K666" s="1933">
        <v>18</v>
      </c>
      <c r="L666" s="1930" t="s">
        <v>138</v>
      </c>
    </row>
    <row r="667" spans="1:12" ht="13.5" x14ac:dyDescent="0.25">
      <c r="A667" s="1930" t="s">
        <v>4469</v>
      </c>
      <c r="B667" s="1930" t="s">
        <v>4470</v>
      </c>
      <c r="C667" s="1930" t="s">
        <v>4475</v>
      </c>
      <c r="D667" s="1930" t="s">
        <v>4476</v>
      </c>
      <c r="E667" s="1931" t="s">
        <v>33</v>
      </c>
      <c r="F667" s="1930" t="s">
        <v>33</v>
      </c>
      <c r="G667" s="1932">
        <v>73340</v>
      </c>
      <c r="H667" s="1930" t="s">
        <v>700</v>
      </c>
      <c r="I667" s="1930" t="s">
        <v>65</v>
      </c>
      <c r="J667" s="1930" t="s">
        <v>346</v>
      </c>
      <c r="K667" s="1933">
        <v>50.66</v>
      </c>
      <c r="L667" s="1930" t="s">
        <v>138</v>
      </c>
    </row>
    <row r="668" spans="1:12" ht="13.5" x14ac:dyDescent="0.25">
      <c r="A668" s="1930" t="s">
        <v>4469</v>
      </c>
      <c r="B668" s="1930" t="s">
        <v>4470</v>
      </c>
      <c r="C668" s="1930" t="s">
        <v>4475</v>
      </c>
      <c r="D668" s="1930" t="s">
        <v>4476</v>
      </c>
      <c r="E668" s="1931" t="s">
        <v>33</v>
      </c>
      <c r="F668" s="1930" t="s">
        <v>33</v>
      </c>
      <c r="G668" s="1932">
        <v>83361</v>
      </c>
      <c r="H668" s="1930" t="s">
        <v>701</v>
      </c>
      <c r="I668" s="1930" t="s">
        <v>65</v>
      </c>
      <c r="J668" s="1930" t="s">
        <v>137</v>
      </c>
      <c r="K668" s="1933">
        <v>10.8</v>
      </c>
      <c r="L668" s="1930" t="s">
        <v>138</v>
      </c>
    </row>
    <row r="669" spans="1:12" ht="13.5" x14ac:dyDescent="0.25">
      <c r="A669" s="1930" t="s">
        <v>4469</v>
      </c>
      <c r="B669" s="1930" t="s">
        <v>4470</v>
      </c>
      <c r="C669" s="1930" t="s">
        <v>4475</v>
      </c>
      <c r="D669" s="1930" t="s">
        <v>4476</v>
      </c>
      <c r="E669" s="1931" t="s">
        <v>33</v>
      </c>
      <c r="F669" s="1930" t="s">
        <v>33</v>
      </c>
      <c r="G669" s="1932">
        <v>83761</v>
      </c>
      <c r="H669" s="1930" t="s">
        <v>702</v>
      </c>
      <c r="I669" s="1930" t="s">
        <v>65</v>
      </c>
      <c r="J669" s="1930" t="s">
        <v>137</v>
      </c>
      <c r="K669" s="1933">
        <v>9.09</v>
      </c>
      <c r="L669" s="1930" t="s">
        <v>138</v>
      </c>
    </row>
    <row r="670" spans="1:12" ht="13.5" x14ac:dyDescent="0.25">
      <c r="A670" s="1930" t="s">
        <v>4469</v>
      </c>
      <c r="B670" s="1930" t="s">
        <v>4470</v>
      </c>
      <c r="C670" s="1930" t="s">
        <v>4475</v>
      </c>
      <c r="D670" s="1930" t="s">
        <v>4476</v>
      </c>
      <c r="E670" s="1931" t="s">
        <v>33</v>
      </c>
      <c r="F670" s="1930" t="s">
        <v>33</v>
      </c>
      <c r="G670" s="1932">
        <v>83762</v>
      </c>
      <c r="H670" s="1930" t="s">
        <v>703</v>
      </c>
      <c r="I670" s="1930" t="s">
        <v>65</v>
      </c>
      <c r="J670" s="1930" t="s">
        <v>137</v>
      </c>
      <c r="K670" s="1933">
        <v>11.36</v>
      </c>
      <c r="L670" s="1930" t="s">
        <v>138</v>
      </c>
    </row>
    <row r="671" spans="1:12" ht="13.5" x14ac:dyDescent="0.25">
      <c r="A671" s="1930" t="s">
        <v>4469</v>
      </c>
      <c r="B671" s="1930" t="s">
        <v>4470</v>
      </c>
      <c r="C671" s="1930" t="s">
        <v>4475</v>
      </c>
      <c r="D671" s="1930" t="s">
        <v>4476</v>
      </c>
      <c r="E671" s="1931" t="s">
        <v>33</v>
      </c>
      <c r="F671" s="1930" t="s">
        <v>33</v>
      </c>
      <c r="G671" s="1932">
        <v>83763</v>
      </c>
      <c r="H671" s="1930" t="s">
        <v>704</v>
      </c>
      <c r="I671" s="1930" t="s">
        <v>65</v>
      </c>
      <c r="J671" s="1930" t="s">
        <v>346</v>
      </c>
      <c r="K671" s="1933">
        <v>31.21</v>
      </c>
      <c r="L671" s="1930" t="s">
        <v>138</v>
      </c>
    </row>
    <row r="672" spans="1:12" ht="13.5" x14ac:dyDescent="0.25">
      <c r="A672" s="1930" t="s">
        <v>4469</v>
      </c>
      <c r="B672" s="1930" t="s">
        <v>4470</v>
      </c>
      <c r="C672" s="1930" t="s">
        <v>4475</v>
      </c>
      <c r="D672" s="1930" t="s">
        <v>4476</v>
      </c>
      <c r="E672" s="1931" t="s">
        <v>33</v>
      </c>
      <c r="F672" s="1930" t="s">
        <v>33</v>
      </c>
      <c r="G672" s="1932">
        <v>83764</v>
      </c>
      <c r="H672" s="1930" t="s">
        <v>705</v>
      </c>
      <c r="I672" s="1930" t="s">
        <v>65</v>
      </c>
      <c r="J672" s="1930" t="s">
        <v>137</v>
      </c>
      <c r="K672" s="1933">
        <v>1.02</v>
      </c>
      <c r="L672" s="1930" t="s">
        <v>138</v>
      </c>
    </row>
    <row r="673" spans="1:12" ht="13.5" x14ac:dyDescent="0.25">
      <c r="A673" s="1930" t="s">
        <v>4469</v>
      </c>
      <c r="B673" s="1930" t="s">
        <v>4470</v>
      </c>
      <c r="C673" s="1930" t="s">
        <v>4475</v>
      </c>
      <c r="D673" s="1930" t="s">
        <v>4476</v>
      </c>
      <c r="E673" s="1931" t="s">
        <v>33</v>
      </c>
      <c r="F673" s="1930" t="s">
        <v>33</v>
      </c>
      <c r="G673" s="1932">
        <v>87026</v>
      </c>
      <c r="H673" s="1930" t="s">
        <v>706</v>
      </c>
      <c r="I673" s="1930" t="s">
        <v>65</v>
      </c>
      <c r="J673" s="1930" t="s">
        <v>137</v>
      </c>
      <c r="K673" s="1933">
        <v>0.19</v>
      </c>
      <c r="L673" s="1930" t="s">
        <v>138</v>
      </c>
    </row>
    <row r="674" spans="1:12" ht="13.5" x14ac:dyDescent="0.25">
      <c r="A674" s="1930" t="s">
        <v>4469</v>
      </c>
      <c r="B674" s="1930" t="s">
        <v>4470</v>
      </c>
      <c r="C674" s="1930" t="s">
        <v>4475</v>
      </c>
      <c r="D674" s="1930" t="s">
        <v>4476</v>
      </c>
      <c r="E674" s="1931" t="s">
        <v>33</v>
      </c>
      <c r="F674" s="1930" t="s">
        <v>33</v>
      </c>
      <c r="G674" s="1932">
        <v>87441</v>
      </c>
      <c r="H674" s="1930" t="s">
        <v>707</v>
      </c>
      <c r="I674" s="1930" t="s">
        <v>65</v>
      </c>
      <c r="J674" s="1930" t="s">
        <v>320</v>
      </c>
      <c r="K674" s="1933">
        <v>0.33</v>
      </c>
      <c r="L674" s="1930" t="s">
        <v>138</v>
      </c>
    </row>
    <row r="675" spans="1:12" ht="13.5" x14ac:dyDescent="0.25">
      <c r="A675" s="1930" t="s">
        <v>4469</v>
      </c>
      <c r="B675" s="1930" t="s">
        <v>4470</v>
      </c>
      <c r="C675" s="1930" t="s">
        <v>4475</v>
      </c>
      <c r="D675" s="1930" t="s">
        <v>4476</v>
      </c>
      <c r="E675" s="1931" t="s">
        <v>33</v>
      </c>
      <c r="F675" s="1930" t="s">
        <v>33</v>
      </c>
      <c r="G675" s="1932">
        <v>87442</v>
      </c>
      <c r="H675" s="1930" t="s">
        <v>708</v>
      </c>
      <c r="I675" s="1930" t="s">
        <v>65</v>
      </c>
      <c r="J675" s="1930" t="s">
        <v>320</v>
      </c>
      <c r="K675" s="1933">
        <v>0.03</v>
      </c>
      <c r="L675" s="1930" t="s">
        <v>138</v>
      </c>
    </row>
    <row r="676" spans="1:12" ht="13.5" x14ac:dyDescent="0.25">
      <c r="A676" s="1930" t="s">
        <v>4469</v>
      </c>
      <c r="B676" s="1930" t="s">
        <v>4470</v>
      </c>
      <c r="C676" s="1930" t="s">
        <v>4475</v>
      </c>
      <c r="D676" s="1930" t="s">
        <v>4476</v>
      </c>
      <c r="E676" s="1931" t="s">
        <v>33</v>
      </c>
      <c r="F676" s="1930" t="s">
        <v>33</v>
      </c>
      <c r="G676" s="1932">
        <v>87443</v>
      </c>
      <c r="H676" s="1930" t="s">
        <v>709</v>
      </c>
      <c r="I676" s="1930" t="s">
        <v>65</v>
      </c>
      <c r="J676" s="1930" t="s">
        <v>320</v>
      </c>
      <c r="K676" s="1933">
        <v>0.31</v>
      </c>
      <c r="L676" s="1930" t="s">
        <v>138</v>
      </c>
    </row>
    <row r="677" spans="1:12" ht="13.5" x14ac:dyDescent="0.25">
      <c r="A677" s="1930" t="s">
        <v>4469</v>
      </c>
      <c r="B677" s="1930" t="s">
        <v>4470</v>
      </c>
      <c r="C677" s="1930" t="s">
        <v>4475</v>
      </c>
      <c r="D677" s="1930" t="s">
        <v>4476</v>
      </c>
      <c r="E677" s="1931" t="s">
        <v>33</v>
      </c>
      <c r="F677" s="1930" t="s">
        <v>33</v>
      </c>
      <c r="G677" s="1932">
        <v>87444</v>
      </c>
      <c r="H677" s="1930" t="s">
        <v>710</v>
      </c>
      <c r="I677" s="1930" t="s">
        <v>65</v>
      </c>
      <c r="J677" s="1930" t="s">
        <v>346</v>
      </c>
      <c r="K677" s="1933">
        <v>2.64</v>
      </c>
      <c r="L677" s="1930" t="s">
        <v>138</v>
      </c>
    </row>
    <row r="678" spans="1:12" ht="13.5" x14ac:dyDescent="0.25">
      <c r="A678" s="1930" t="s">
        <v>4469</v>
      </c>
      <c r="B678" s="1930" t="s">
        <v>4470</v>
      </c>
      <c r="C678" s="1930" t="s">
        <v>4475</v>
      </c>
      <c r="D678" s="1930" t="s">
        <v>4476</v>
      </c>
      <c r="E678" s="1931" t="s">
        <v>33</v>
      </c>
      <c r="F678" s="1930" t="s">
        <v>33</v>
      </c>
      <c r="G678" s="1932">
        <v>88387</v>
      </c>
      <c r="H678" s="1930" t="s">
        <v>711</v>
      </c>
      <c r="I678" s="1930" t="s">
        <v>65</v>
      </c>
      <c r="J678" s="1930" t="s">
        <v>320</v>
      </c>
      <c r="K678" s="1933">
        <v>0.64</v>
      </c>
      <c r="L678" s="1930" t="s">
        <v>138</v>
      </c>
    </row>
    <row r="679" spans="1:12" ht="13.5" x14ac:dyDescent="0.25">
      <c r="A679" s="1930" t="s">
        <v>4469</v>
      </c>
      <c r="B679" s="1930" t="s">
        <v>4470</v>
      </c>
      <c r="C679" s="1930" t="s">
        <v>4475</v>
      </c>
      <c r="D679" s="1930" t="s">
        <v>4476</v>
      </c>
      <c r="E679" s="1931" t="s">
        <v>33</v>
      </c>
      <c r="F679" s="1930" t="s">
        <v>33</v>
      </c>
      <c r="G679" s="1932">
        <v>88389</v>
      </c>
      <c r="H679" s="1930" t="s">
        <v>712</v>
      </c>
      <c r="I679" s="1930" t="s">
        <v>65</v>
      </c>
      <c r="J679" s="1930" t="s">
        <v>320</v>
      </c>
      <c r="K679" s="1933">
        <v>7.0000000000000007E-2</v>
      </c>
      <c r="L679" s="1930" t="s">
        <v>138</v>
      </c>
    </row>
    <row r="680" spans="1:12" ht="13.5" x14ac:dyDescent="0.25">
      <c r="A680" s="1930" t="s">
        <v>4469</v>
      </c>
      <c r="B680" s="1930" t="s">
        <v>4470</v>
      </c>
      <c r="C680" s="1930" t="s">
        <v>4475</v>
      </c>
      <c r="D680" s="1930" t="s">
        <v>4476</v>
      </c>
      <c r="E680" s="1931" t="s">
        <v>33</v>
      </c>
      <c r="F680" s="1930" t="s">
        <v>33</v>
      </c>
      <c r="G680" s="1932">
        <v>88390</v>
      </c>
      <c r="H680" s="1930" t="s">
        <v>713</v>
      </c>
      <c r="I680" s="1930" t="s">
        <v>65</v>
      </c>
      <c r="J680" s="1930" t="s">
        <v>320</v>
      </c>
      <c r="K680" s="1933">
        <v>0.8</v>
      </c>
      <c r="L680" s="1930" t="s">
        <v>138</v>
      </c>
    </row>
    <row r="681" spans="1:12" ht="13.5" x14ac:dyDescent="0.25">
      <c r="A681" s="1930" t="s">
        <v>4469</v>
      </c>
      <c r="B681" s="1930" t="s">
        <v>4470</v>
      </c>
      <c r="C681" s="1930" t="s">
        <v>4475</v>
      </c>
      <c r="D681" s="1930" t="s">
        <v>4476</v>
      </c>
      <c r="E681" s="1931" t="s">
        <v>33</v>
      </c>
      <c r="F681" s="1930" t="s">
        <v>33</v>
      </c>
      <c r="G681" s="1932">
        <v>88391</v>
      </c>
      <c r="H681" s="1930" t="s">
        <v>714</v>
      </c>
      <c r="I681" s="1930" t="s">
        <v>65</v>
      </c>
      <c r="J681" s="1930" t="s">
        <v>320</v>
      </c>
      <c r="K681" s="1933">
        <v>1.87</v>
      </c>
      <c r="L681" s="1930" t="s">
        <v>138</v>
      </c>
    </row>
    <row r="682" spans="1:12" ht="13.5" x14ac:dyDescent="0.25">
      <c r="A682" s="1930" t="s">
        <v>4469</v>
      </c>
      <c r="B682" s="1930" t="s">
        <v>4470</v>
      </c>
      <c r="C682" s="1930" t="s">
        <v>4475</v>
      </c>
      <c r="D682" s="1930" t="s">
        <v>4476</v>
      </c>
      <c r="E682" s="1931" t="s">
        <v>33</v>
      </c>
      <c r="F682" s="1930" t="s">
        <v>33</v>
      </c>
      <c r="G682" s="1932">
        <v>88394</v>
      </c>
      <c r="H682" s="1930" t="s">
        <v>715</v>
      </c>
      <c r="I682" s="1930" t="s">
        <v>65</v>
      </c>
      <c r="J682" s="1930" t="s">
        <v>320</v>
      </c>
      <c r="K682" s="1933">
        <v>0.76</v>
      </c>
      <c r="L682" s="1930" t="s">
        <v>138</v>
      </c>
    </row>
    <row r="683" spans="1:12" ht="13.5" x14ac:dyDescent="0.25">
      <c r="A683" s="1930" t="s">
        <v>4469</v>
      </c>
      <c r="B683" s="1930" t="s">
        <v>4470</v>
      </c>
      <c r="C683" s="1930" t="s">
        <v>4475</v>
      </c>
      <c r="D683" s="1930" t="s">
        <v>4476</v>
      </c>
      <c r="E683" s="1931" t="s">
        <v>33</v>
      </c>
      <c r="F683" s="1930" t="s">
        <v>33</v>
      </c>
      <c r="G683" s="1932">
        <v>88395</v>
      </c>
      <c r="H683" s="1930" t="s">
        <v>716</v>
      </c>
      <c r="I683" s="1930" t="s">
        <v>65</v>
      </c>
      <c r="J683" s="1930" t="s">
        <v>320</v>
      </c>
      <c r="K683" s="1933">
        <v>0.09</v>
      </c>
      <c r="L683" s="1930" t="s">
        <v>138</v>
      </c>
    </row>
    <row r="684" spans="1:12" ht="13.5" x14ac:dyDescent="0.25">
      <c r="A684" s="1930" t="s">
        <v>4469</v>
      </c>
      <c r="B684" s="1930" t="s">
        <v>4470</v>
      </c>
      <c r="C684" s="1930" t="s">
        <v>4475</v>
      </c>
      <c r="D684" s="1930" t="s">
        <v>4476</v>
      </c>
      <c r="E684" s="1931" t="s">
        <v>33</v>
      </c>
      <c r="F684" s="1930" t="s">
        <v>33</v>
      </c>
      <c r="G684" s="1932">
        <v>88396</v>
      </c>
      <c r="H684" s="1930" t="s">
        <v>717</v>
      </c>
      <c r="I684" s="1930" t="s">
        <v>65</v>
      </c>
      <c r="J684" s="1930" t="s">
        <v>320</v>
      </c>
      <c r="K684" s="1933">
        <v>0.95</v>
      </c>
      <c r="L684" s="1930" t="s">
        <v>138</v>
      </c>
    </row>
    <row r="685" spans="1:12" ht="13.5" x14ac:dyDescent="0.25">
      <c r="A685" s="1930" t="s">
        <v>4469</v>
      </c>
      <c r="B685" s="1930" t="s">
        <v>4470</v>
      </c>
      <c r="C685" s="1930" t="s">
        <v>4475</v>
      </c>
      <c r="D685" s="1930" t="s">
        <v>4476</v>
      </c>
      <c r="E685" s="1931" t="s">
        <v>33</v>
      </c>
      <c r="F685" s="1930" t="s">
        <v>33</v>
      </c>
      <c r="G685" s="1932">
        <v>88397</v>
      </c>
      <c r="H685" s="1930" t="s">
        <v>718</v>
      </c>
      <c r="I685" s="1930" t="s">
        <v>65</v>
      </c>
      <c r="J685" s="1930" t="s">
        <v>320</v>
      </c>
      <c r="K685" s="1933">
        <v>2.81</v>
      </c>
      <c r="L685" s="1930" t="s">
        <v>138</v>
      </c>
    </row>
    <row r="686" spans="1:12" ht="13.5" x14ac:dyDescent="0.25">
      <c r="A686" s="1930" t="s">
        <v>4469</v>
      </c>
      <c r="B686" s="1930" t="s">
        <v>4470</v>
      </c>
      <c r="C686" s="1930" t="s">
        <v>4475</v>
      </c>
      <c r="D686" s="1930" t="s">
        <v>4476</v>
      </c>
      <c r="E686" s="1931" t="s">
        <v>33</v>
      </c>
      <c r="F686" s="1930" t="s">
        <v>33</v>
      </c>
      <c r="G686" s="1932">
        <v>88400</v>
      </c>
      <c r="H686" s="1930" t="s">
        <v>719</v>
      </c>
      <c r="I686" s="1930" t="s">
        <v>65</v>
      </c>
      <c r="J686" s="1930" t="s">
        <v>320</v>
      </c>
      <c r="K686" s="1933">
        <v>0.6</v>
      </c>
      <c r="L686" s="1930" t="s">
        <v>138</v>
      </c>
    </row>
    <row r="687" spans="1:12" ht="13.5" x14ac:dyDescent="0.25">
      <c r="A687" s="1930" t="s">
        <v>4469</v>
      </c>
      <c r="B687" s="1930" t="s">
        <v>4470</v>
      </c>
      <c r="C687" s="1930" t="s">
        <v>4475</v>
      </c>
      <c r="D687" s="1930" t="s">
        <v>4476</v>
      </c>
      <c r="E687" s="1931" t="s">
        <v>33</v>
      </c>
      <c r="F687" s="1930" t="s">
        <v>33</v>
      </c>
      <c r="G687" s="1932">
        <v>88401</v>
      </c>
      <c r="H687" s="1930" t="s">
        <v>720</v>
      </c>
      <c r="I687" s="1930" t="s">
        <v>65</v>
      </c>
      <c r="J687" s="1930" t="s">
        <v>320</v>
      </c>
      <c r="K687" s="1933">
        <v>7.0000000000000007E-2</v>
      </c>
      <c r="L687" s="1930" t="s">
        <v>138</v>
      </c>
    </row>
    <row r="688" spans="1:12" ht="13.5" x14ac:dyDescent="0.25">
      <c r="A688" s="1930" t="s">
        <v>4469</v>
      </c>
      <c r="B688" s="1930" t="s">
        <v>4470</v>
      </c>
      <c r="C688" s="1930" t="s">
        <v>4475</v>
      </c>
      <c r="D688" s="1930" t="s">
        <v>4476</v>
      </c>
      <c r="E688" s="1931" t="s">
        <v>33</v>
      </c>
      <c r="F688" s="1930" t="s">
        <v>33</v>
      </c>
      <c r="G688" s="1932">
        <v>88402</v>
      </c>
      <c r="H688" s="1930" t="s">
        <v>721</v>
      </c>
      <c r="I688" s="1930" t="s">
        <v>65</v>
      </c>
      <c r="J688" s="1930" t="s">
        <v>320</v>
      </c>
      <c r="K688" s="1933">
        <v>0.76</v>
      </c>
      <c r="L688" s="1930" t="s">
        <v>138</v>
      </c>
    </row>
    <row r="689" spans="1:12" ht="13.5" x14ac:dyDescent="0.25">
      <c r="A689" s="1930" t="s">
        <v>4469</v>
      </c>
      <c r="B689" s="1930" t="s">
        <v>4470</v>
      </c>
      <c r="C689" s="1930" t="s">
        <v>4475</v>
      </c>
      <c r="D689" s="1930" t="s">
        <v>4476</v>
      </c>
      <c r="E689" s="1931" t="s">
        <v>33</v>
      </c>
      <c r="F689" s="1930" t="s">
        <v>33</v>
      </c>
      <c r="G689" s="1932">
        <v>88403</v>
      </c>
      <c r="H689" s="1930" t="s">
        <v>722</v>
      </c>
      <c r="I689" s="1930" t="s">
        <v>65</v>
      </c>
      <c r="J689" s="1930" t="s">
        <v>320</v>
      </c>
      <c r="K689" s="1933">
        <v>1.1200000000000001</v>
      </c>
      <c r="L689" s="1930" t="s">
        <v>138</v>
      </c>
    </row>
    <row r="690" spans="1:12" ht="13.5" x14ac:dyDescent="0.25">
      <c r="A690" s="1930" t="s">
        <v>4469</v>
      </c>
      <c r="B690" s="1930" t="s">
        <v>4470</v>
      </c>
      <c r="C690" s="1930" t="s">
        <v>4475</v>
      </c>
      <c r="D690" s="1930" t="s">
        <v>4476</v>
      </c>
      <c r="E690" s="1931" t="s">
        <v>33</v>
      </c>
      <c r="F690" s="1930" t="s">
        <v>33</v>
      </c>
      <c r="G690" s="1932">
        <v>88419</v>
      </c>
      <c r="H690" s="1930" t="s">
        <v>723</v>
      </c>
      <c r="I690" s="1930" t="s">
        <v>65</v>
      </c>
      <c r="J690" s="1930" t="s">
        <v>320</v>
      </c>
      <c r="K690" s="1933">
        <v>3.96</v>
      </c>
      <c r="L690" s="1930" t="s">
        <v>138</v>
      </c>
    </row>
    <row r="691" spans="1:12" ht="13.5" x14ac:dyDescent="0.25">
      <c r="A691" s="1930" t="s">
        <v>4469</v>
      </c>
      <c r="B691" s="1930" t="s">
        <v>4470</v>
      </c>
      <c r="C691" s="1930" t="s">
        <v>4475</v>
      </c>
      <c r="D691" s="1930" t="s">
        <v>4476</v>
      </c>
      <c r="E691" s="1931" t="s">
        <v>33</v>
      </c>
      <c r="F691" s="1930" t="s">
        <v>33</v>
      </c>
      <c r="G691" s="1932">
        <v>88422</v>
      </c>
      <c r="H691" s="1930" t="s">
        <v>724</v>
      </c>
      <c r="I691" s="1930" t="s">
        <v>65</v>
      </c>
      <c r="J691" s="1930" t="s">
        <v>320</v>
      </c>
      <c r="K691" s="1933">
        <v>0.47</v>
      </c>
      <c r="L691" s="1930" t="s">
        <v>138</v>
      </c>
    </row>
    <row r="692" spans="1:12" ht="13.5" x14ac:dyDescent="0.25">
      <c r="A692" s="1930" t="s">
        <v>4469</v>
      </c>
      <c r="B692" s="1930" t="s">
        <v>4470</v>
      </c>
      <c r="C692" s="1930" t="s">
        <v>4475</v>
      </c>
      <c r="D692" s="1930" t="s">
        <v>4476</v>
      </c>
      <c r="E692" s="1931" t="s">
        <v>33</v>
      </c>
      <c r="F692" s="1930" t="s">
        <v>33</v>
      </c>
      <c r="G692" s="1932">
        <v>88425</v>
      </c>
      <c r="H692" s="1930" t="s">
        <v>725</v>
      </c>
      <c r="I692" s="1930" t="s">
        <v>65</v>
      </c>
      <c r="J692" s="1930" t="s">
        <v>320</v>
      </c>
      <c r="K692" s="1933">
        <v>4.33</v>
      </c>
      <c r="L692" s="1930" t="s">
        <v>138</v>
      </c>
    </row>
    <row r="693" spans="1:12" ht="13.5" x14ac:dyDescent="0.25">
      <c r="A693" s="1930" t="s">
        <v>4469</v>
      </c>
      <c r="B693" s="1930" t="s">
        <v>4470</v>
      </c>
      <c r="C693" s="1930" t="s">
        <v>4475</v>
      </c>
      <c r="D693" s="1930" t="s">
        <v>4476</v>
      </c>
      <c r="E693" s="1931" t="s">
        <v>33</v>
      </c>
      <c r="F693" s="1930" t="s">
        <v>33</v>
      </c>
      <c r="G693" s="1932">
        <v>88427</v>
      </c>
      <c r="H693" s="1930" t="s">
        <v>726</v>
      </c>
      <c r="I693" s="1930" t="s">
        <v>65</v>
      </c>
      <c r="J693" s="1930" t="s">
        <v>320</v>
      </c>
      <c r="K693" s="1933">
        <v>2.85</v>
      </c>
      <c r="L693" s="1930" t="s">
        <v>138</v>
      </c>
    </row>
    <row r="694" spans="1:12" ht="13.5" x14ac:dyDescent="0.25">
      <c r="A694" s="1930" t="s">
        <v>4469</v>
      </c>
      <c r="B694" s="1930" t="s">
        <v>4470</v>
      </c>
      <c r="C694" s="1930" t="s">
        <v>4475</v>
      </c>
      <c r="D694" s="1930" t="s">
        <v>4476</v>
      </c>
      <c r="E694" s="1931" t="s">
        <v>33</v>
      </c>
      <c r="F694" s="1930" t="s">
        <v>33</v>
      </c>
      <c r="G694" s="1932">
        <v>88434</v>
      </c>
      <c r="H694" s="1930" t="s">
        <v>727</v>
      </c>
      <c r="I694" s="1930" t="s">
        <v>65</v>
      </c>
      <c r="J694" s="1930" t="s">
        <v>320</v>
      </c>
      <c r="K694" s="1933">
        <v>5.25</v>
      </c>
      <c r="L694" s="1930" t="s">
        <v>138</v>
      </c>
    </row>
    <row r="695" spans="1:12" ht="13.5" x14ac:dyDescent="0.25">
      <c r="A695" s="1930" t="s">
        <v>4469</v>
      </c>
      <c r="B695" s="1930" t="s">
        <v>4470</v>
      </c>
      <c r="C695" s="1930" t="s">
        <v>4475</v>
      </c>
      <c r="D695" s="1930" t="s">
        <v>4476</v>
      </c>
      <c r="E695" s="1931" t="s">
        <v>33</v>
      </c>
      <c r="F695" s="1930" t="s">
        <v>33</v>
      </c>
      <c r="G695" s="1932">
        <v>88435</v>
      </c>
      <c r="H695" s="1930" t="s">
        <v>728</v>
      </c>
      <c r="I695" s="1930" t="s">
        <v>65</v>
      </c>
      <c r="J695" s="1930" t="s">
        <v>320</v>
      </c>
      <c r="K695" s="1933">
        <v>0.62</v>
      </c>
      <c r="L695" s="1930" t="s">
        <v>138</v>
      </c>
    </row>
    <row r="696" spans="1:12" ht="13.5" x14ac:dyDescent="0.25">
      <c r="A696" s="1930" t="s">
        <v>4469</v>
      </c>
      <c r="B696" s="1930" t="s">
        <v>4470</v>
      </c>
      <c r="C696" s="1930" t="s">
        <v>4475</v>
      </c>
      <c r="D696" s="1930" t="s">
        <v>4476</v>
      </c>
      <c r="E696" s="1931" t="s">
        <v>33</v>
      </c>
      <c r="F696" s="1930" t="s">
        <v>33</v>
      </c>
      <c r="G696" s="1932">
        <v>88436</v>
      </c>
      <c r="H696" s="1930" t="s">
        <v>729</v>
      </c>
      <c r="I696" s="1930" t="s">
        <v>65</v>
      </c>
      <c r="J696" s="1930" t="s">
        <v>320</v>
      </c>
      <c r="K696" s="1933">
        <v>5.74</v>
      </c>
      <c r="L696" s="1930" t="s">
        <v>138</v>
      </c>
    </row>
    <row r="697" spans="1:12" ht="13.5" x14ac:dyDescent="0.25">
      <c r="A697" s="1930" t="s">
        <v>4469</v>
      </c>
      <c r="B697" s="1930" t="s">
        <v>4470</v>
      </c>
      <c r="C697" s="1930" t="s">
        <v>4475</v>
      </c>
      <c r="D697" s="1930" t="s">
        <v>4476</v>
      </c>
      <c r="E697" s="1931" t="s">
        <v>33</v>
      </c>
      <c r="F697" s="1930" t="s">
        <v>33</v>
      </c>
      <c r="G697" s="1932">
        <v>88437</v>
      </c>
      <c r="H697" s="1930" t="s">
        <v>730</v>
      </c>
      <c r="I697" s="1930" t="s">
        <v>65</v>
      </c>
      <c r="J697" s="1930" t="s">
        <v>320</v>
      </c>
      <c r="K697" s="1933">
        <v>2.85</v>
      </c>
      <c r="L697" s="1930" t="s">
        <v>138</v>
      </c>
    </row>
    <row r="698" spans="1:12" ht="13.5" x14ac:dyDescent="0.25">
      <c r="A698" s="1930" t="s">
        <v>4469</v>
      </c>
      <c r="B698" s="1930" t="s">
        <v>4470</v>
      </c>
      <c r="C698" s="1930" t="s">
        <v>4475</v>
      </c>
      <c r="D698" s="1930" t="s">
        <v>4476</v>
      </c>
      <c r="E698" s="1931" t="s">
        <v>33</v>
      </c>
      <c r="F698" s="1930" t="s">
        <v>33</v>
      </c>
      <c r="G698" s="1932">
        <v>88569</v>
      </c>
      <c r="H698" s="1930" t="s">
        <v>731</v>
      </c>
      <c r="I698" s="1930" t="s">
        <v>65</v>
      </c>
      <c r="J698" s="1930" t="s">
        <v>137</v>
      </c>
      <c r="K698" s="1933">
        <v>2.46</v>
      </c>
      <c r="L698" s="1930" t="s">
        <v>138</v>
      </c>
    </row>
    <row r="699" spans="1:12" ht="13.5" x14ac:dyDescent="0.25">
      <c r="A699" s="1930" t="s">
        <v>4469</v>
      </c>
      <c r="B699" s="1930" t="s">
        <v>4470</v>
      </c>
      <c r="C699" s="1930" t="s">
        <v>4475</v>
      </c>
      <c r="D699" s="1930" t="s">
        <v>4476</v>
      </c>
      <c r="E699" s="1931" t="s">
        <v>33</v>
      </c>
      <c r="F699" s="1930" t="s">
        <v>33</v>
      </c>
      <c r="G699" s="1932">
        <v>88570</v>
      </c>
      <c r="H699" s="1930" t="s">
        <v>732</v>
      </c>
      <c r="I699" s="1930" t="s">
        <v>65</v>
      </c>
      <c r="J699" s="1930" t="s">
        <v>137</v>
      </c>
      <c r="K699" s="1933">
        <v>0.53</v>
      </c>
      <c r="L699" s="1930" t="s">
        <v>138</v>
      </c>
    </row>
    <row r="700" spans="1:12" ht="13.5" x14ac:dyDescent="0.25">
      <c r="A700" s="1930" t="s">
        <v>4469</v>
      </c>
      <c r="B700" s="1930" t="s">
        <v>4470</v>
      </c>
      <c r="C700" s="1930" t="s">
        <v>4475</v>
      </c>
      <c r="D700" s="1930" t="s">
        <v>4476</v>
      </c>
      <c r="E700" s="1931" t="s">
        <v>33</v>
      </c>
      <c r="F700" s="1930" t="s">
        <v>33</v>
      </c>
      <c r="G700" s="1932">
        <v>88826</v>
      </c>
      <c r="H700" s="1930" t="s">
        <v>733</v>
      </c>
      <c r="I700" s="1930" t="s">
        <v>65</v>
      </c>
      <c r="J700" s="1930" t="s">
        <v>346</v>
      </c>
      <c r="K700" s="1933">
        <v>0.24</v>
      </c>
      <c r="L700" s="1930" t="s">
        <v>138</v>
      </c>
    </row>
    <row r="701" spans="1:12" ht="13.5" x14ac:dyDescent="0.25">
      <c r="A701" s="1930" t="s">
        <v>4469</v>
      </c>
      <c r="B701" s="1930" t="s">
        <v>4470</v>
      </c>
      <c r="C701" s="1930" t="s">
        <v>4475</v>
      </c>
      <c r="D701" s="1930" t="s">
        <v>4476</v>
      </c>
      <c r="E701" s="1931" t="s">
        <v>33</v>
      </c>
      <c r="F701" s="1930" t="s">
        <v>33</v>
      </c>
      <c r="G701" s="1932">
        <v>88827</v>
      </c>
      <c r="H701" s="1930" t="s">
        <v>734</v>
      </c>
      <c r="I701" s="1930" t="s">
        <v>65</v>
      </c>
      <c r="J701" s="1930" t="s">
        <v>346</v>
      </c>
      <c r="K701" s="1933">
        <v>0.02</v>
      </c>
      <c r="L701" s="1930" t="s">
        <v>138</v>
      </c>
    </row>
    <row r="702" spans="1:12" ht="13.5" x14ac:dyDescent="0.25">
      <c r="A702" s="1930" t="s">
        <v>4469</v>
      </c>
      <c r="B702" s="1930" t="s">
        <v>4470</v>
      </c>
      <c r="C702" s="1930" t="s">
        <v>4475</v>
      </c>
      <c r="D702" s="1930" t="s">
        <v>4476</v>
      </c>
      <c r="E702" s="1931" t="s">
        <v>33</v>
      </c>
      <c r="F702" s="1930" t="s">
        <v>33</v>
      </c>
      <c r="G702" s="1932">
        <v>88828</v>
      </c>
      <c r="H702" s="1930" t="s">
        <v>735</v>
      </c>
      <c r="I702" s="1930" t="s">
        <v>65</v>
      </c>
      <c r="J702" s="1930" t="s">
        <v>346</v>
      </c>
      <c r="K702" s="1933">
        <v>0.22</v>
      </c>
      <c r="L702" s="1930" t="s">
        <v>138</v>
      </c>
    </row>
    <row r="703" spans="1:12" ht="13.5" x14ac:dyDescent="0.25">
      <c r="A703" s="1930" t="s">
        <v>4469</v>
      </c>
      <c r="B703" s="1930" t="s">
        <v>4470</v>
      </c>
      <c r="C703" s="1930" t="s">
        <v>4475</v>
      </c>
      <c r="D703" s="1930" t="s">
        <v>4476</v>
      </c>
      <c r="E703" s="1931" t="s">
        <v>33</v>
      </c>
      <c r="F703" s="1930" t="s">
        <v>33</v>
      </c>
      <c r="G703" s="1932">
        <v>88829</v>
      </c>
      <c r="H703" s="1930" t="s">
        <v>736</v>
      </c>
      <c r="I703" s="1930" t="s">
        <v>65</v>
      </c>
      <c r="J703" s="1930" t="s">
        <v>320</v>
      </c>
      <c r="K703" s="1933">
        <v>0.75</v>
      </c>
      <c r="L703" s="1930" t="s">
        <v>138</v>
      </c>
    </row>
    <row r="704" spans="1:12" ht="13.5" x14ac:dyDescent="0.25">
      <c r="A704" s="1930" t="s">
        <v>4469</v>
      </c>
      <c r="B704" s="1930" t="s">
        <v>4470</v>
      </c>
      <c r="C704" s="1930" t="s">
        <v>4475</v>
      </c>
      <c r="D704" s="1930" t="s">
        <v>4476</v>
      </c>
      <c r="E704" s="1931" t="s">
        <v>33</v>
      </c>
      <c r="F704" s="1930" t="s">
        <v>33</v>
      </c>
      <c r="G704" s="1932">
        <v>88832</v>
      </c>
      <c r="H704" s="1930" t="s">
        <v>737</v>
      </c>
      <c r="I704" s="1930" t="s">
        <v>65</v>
      </c>
      <c r="J704" s="1930" t="s">
        <v>137</v>
      </c>
      <c r="K704" s="1933">
        <v>22.17</v>
      </c>
      <c r="L704" s="1930" t="s">
        <v>138</v>
      </c>
    </row>
    <row r="705" spans="1:12" ht="13.5" x14ac:dyDescent="0.25">
      <c r="A705" s="1930" t="s">
        <v>4469</v>
      </c>
      <c r="B705" s="1930" t="s">
        <v>4470</v>
      </c>
      <c r="C705" s="1930" t="s">
        <v>4475</v>
      </c>
      <c r="D705" s="1930" t="s">
        <v>4476</v>
      </c>
      <c r="E705" s="1931" t="s">
        <v>33</v>
      </c>
      <c r="F705" s="1930" t="s">
        <v>33</v>
      </c>
      <c r="G705" s="1932">
        <v>88834</v>
      </c>
      <c r="H705" s="1930" t="s">
        <v>738</v>
      </c>
      <c r="I705" s="1930" t="s">
        <v>65</v>
      </c>
      <c r="J705" s="1930" t="s">
        <v>137</v>
      </c>
      <c r="K705" s="1933">
        <v>3</v>
      </c>
      <c r="L705" s="1930" t="s">
        <v>138</v>
      </c>
    </row>
    <row r="706" spans="1:12" ht="13.5" x14ac:dyDescent="0.25">
      <c r="A706" s="1930" t="s">
        <v>4469</v>
      </c>
      <c r="B706" s="1930" t="s">
        <v>4470</v>
      </c>
      <c r="C706" s="1930" t="s">
        <v>4475</v>
      </c>
      <c r="D706" s="1930" t="s">
        <v>4476</v>
      </c>
      <c r="E706" s="1931" t="s">
        <v>33</v>
      </c>
      <c r="F706" s="1930" t="s">
        <v>33</v>
      </c>
      <c r="G706" s="1932">
        <v>88835</v>
      </c>
      <c r="H706" s="1930" t="s">
        <v>739</v>
      </c>
      <c r="I706" s="1930" t="s">
        <v>65</v>
      </c>
      <c r="J706" s="1930" t="s">
        <v>137</v>
      </c>
      <c r="K706" s="1933">
        <v>27.71</v>
      </c>
      <c r="L706" s="1930" t="s">
        <v>138</v>
      </c>
    </row>
    <row r="707" spans="1:12" ht="13.5" x14ac:dyDescent="0.25">
      <c r="A707" s="1930" t="s">
        <v>4469</v>
      </c>
      <c r="B707" s="1930" t="s">
        <v>4470</v>
      </c>
      <c r="C707" s="1930" t="s">
        <v>4475</v>
      </c>
      <c r="D707" s="1930" t="s">
        <v>4476</v>
      </c>
      <c r="E707" s="1931" t="s">
        <v>33</v>
      </c>
      <c r="F707" s="1930" t="s">
        <v>33</v>
      </c>
      <c r="G707" s="1932">
        <v>88836</v>
      </c>
      <c r="H707" s="1930" t="s">
        <v>740</v>
      </c>
      <c r="I707" s="1930" t="s">
        <v>65</v>
      </c>
      <c r="J707" s="1930" t="s">
        <v>346</v>
      </c>
      <c r="K707" s="1933">
        <v>39.69</v>
      </c>
      <c r="L707" s="1930" t="s">
        <v>138</v>
      </c>
    </row>
    <row r="708" spans="1:12" ht="13.5" x14ac:dyDescent="0.25">
      <c r="A708" s="1930" t="s">
        <v>4469</v>
      </c>
      <c r="B708" s="1930" t="s">
        <v>4470</v>
      </c>
      <c r="C708" s="1930" t="s">
        <v>4475</v>
      </c>
      <c r="D708" s="1930" t="s">
        <v>4476</v>
      </c>
      <c r="E708" s="1931" t="s">
        <v>33</v>
      </c>
      <c r="F708" s="1930" t="s">
        <v>33</v>
      </c>
      <c r="G708" s="1932">
        <v>88839</v>
      </c>
      <c r="H708" s="1930" t="s">
        <v>741</v>
      </c>
      <c r="I708" s="1930" t="s">
        <v>65</v>
      </c>
      <c r="J708" s="1930" t="s">
        <v>137</v>
      </c>
      <c r="K708" s="1933">
        <v>18.7</v>
      </c>
      <c r="L708" s="1930" t="s">
        <v>138</v>
      </c>
    </row>
    <row r="709" spans="1:12" ht="13.5" x14ac:dyDescent="0.25">
      <c r="A709" s="1930" t="s">
        <v>4469</v>
      </c>
      <c r="B709" s="1930" t="s">
        <v>4470</v>
      </c>
      <c r="C709" s="1930" t="s">
        <v>4475</v>
      </c>
      <c r="D709" s="1930" t="s">
        <v>4476</v>
      </c>
      <c r="E709" s="1931" t="s">
        <v>33</v>
      </c>
      <c r="F709" s="1930" t="s">
        <v>33</v>
      </c>
      <c r="G709" s="1932">
        <v>88840</v>
      </c>
      <c r="H709" s="1930" t="s">
        <v>742</v>
      </c>
      <c r="I709" s="1930" t="s">
        <v>65</v>
      </c>
      <c r="J709" s="1930" t="s">
        <v>137</v>
      </c>
      <c r="K709" s="1933">
        <v>4.21</v>
      </c>
      <c r="L709" s="1930" t="s">
        <v>138</v>
      </c>
    </row>
    <row r="710" spans="1:12" ht="13.5" x14ac:dyDescent="0.25">
      <c r="A710" s="1930" t="s">
        <v>4469</v>
      </c>
      <c r="B710" s="1930" t="s">
        <v>4470</v>
      </c>
      <c r="C710" s="1930" t="s">
        <v>4475</v>
      </c>
      <c r="D710" s="1930" t="s">
        <v>4476</v>
      </c>
      <c r="E710" s="1931" t="s">
        <v>33</v>
      </c>
      <c r="F710" s="1930" t="s">
        <v>33</v>
      </c>
      <c r="G710" s="1932">
        <v>88841</v>
      </c>
      <c r="H710" s="1930" t="s">
        <v>743</v>
      </c>
      <c r="I710" s="1930" t="s">
        <v>65</v>
      </c>
      <c r="J710" s="1930" t="s">
        <v>137</v>
      </c>
      <c r="K710" s="1933">
        <v>33.44</v>
      </c>
      <c r="L710" s="1930" t="s">
        <v>138</v>
      </c>
    </row>
    <row r="711" spans="1:12" ht="13.5" x14ac:dyDescent="0.25">
      <c r="A711" s="1930" t="s">
        <v>4469</v>
      </c>
      <c r="B711" s="1930" t="s">
        <v>4470</v>
      </c>
      <c r="C711" s="1930" t="s">
        <v>4475</v>
      </c>
      <c r="D711" s="1930" t="s">
        <v>4476</v>
      </c>
      <c r="E711" s="1931" t="s">
        <v>33</v>
      </c>
      <c r="F711" s="1930" t="s">
        <v>33</v>
      </c>
      <c r="G711" s="1932">
        <v>88842</v>
      </c>
      <c r="H711" s="1930" t="s">
        <v>744</v>
      </c>
      <c r="I711" s="1930" t="s">
        <v>65</v>
      </c>
      <c r="J711" s="1930" t="s">
        <v>346</v>
      </c>
      <c r="K711" s="1933">
        <v>48.58</v>
      </c>
      <c r="L711" s="1930" t="s">
        <v>138</v>
      </c>
    </row>
    <row r="712" spans="1:12" ht="13.5" x14ac:dyDescent="0.25">
      <c r="A712" s="1930" t="s">
        <v>4469</v>
      </c>
      <c r="B712" s="1930" t="s">
        <v>4470</v>
      </c>
      <c r="C712" s="1930" t="s">
        <v>4475</v>
      </c>
      <c r="D712" s="1930" t="s">
        <v>4476</v>
      </c>
      <c r="E712" s="1931" t="s">
        <v>33</v>
      </c>
      <c r="F712" s="1930" t="s">
        <v>33</v>
      </c>
      <c r="G712" s="1932">
        <v>88847</v>
      </c>
      <c r="H712" s="1930" t="s">
        <v>745</v>
      </c>
      <c r="I712" s="1930" t="s">
        <v>65</v>
      </c>
      <c r="J712" s="1930" t="s">
        <v>137</v>
      </c>
      <c r="K712" s="1933">
        <v>14.55</v>
      </c>
      <c r="L712" s="1930" t="s">
        <v>138</v>
      </c>
    </row>
    <row r="713" spans="1:12" ht="13.5" x14ac:dyDescent="0.25">
      <c r="A713" s="1930" t="s">
        <v>4469</v>
      </c>
      <c r="B713" s="1930" t="s">
        <v>4470</v>
      </c>
      <c r="C713" s="1930" t="s">
        <v>4475</v>
      </c>
      <c r="D713" s="1930" t="s">
        <v>4476</v>
      </c>
      <c r="E713" s="1931" t="s">
        <v>33</v>
      </c>
      <c r="F713" s="1930" t="s">
        <v>33</v>
      </c>
      <c r="G713" s="1932">
        <v>88848</v>
      </c>
      <c r="H713" s="1930" t="s">
        <v>746</v>
      </c>
      <c r="I713" s="1930" t="s">
        <v>65</v>
      </c>
      <c r="J713" s="1930" t="s">
        <v>137</v>
      </c>
      <c r="K713" s="1933">
        <v>3.05</v>
      </c>
      <c r="L713" s="1930" t="s">
        <v>138</v>
      </c>
    </row>
    <row r="714" spans="1:12" ht="13.5" x14ac:dyDescent="0.25">
      <c r="A714" s="1930" t="s">
        <v>4469</v>
      </c>
      <c r="B714" s="1930" t="s">
        <v>4470</v>
      </c>
      <c r="C714" s="1930" t="s">
        <v>4475</v>
      </c>
      <c r="D714" s="1930" t="s">
        <v>4476</v>
      </c>
      <c r="E714" s="1931" t="s">
        <v>33</v>
      </c>
      <c r="F714" s="1930" t="s">
        <v>33</v>
      </c>
      <c r="G714" s="1932">
        <v>88853</v>
      </c>
      <c r="H714" s="1930" t="s">
        <v>747</v>
      </c>
      <c r="I714" s="1930" t="s">
        <v>65</v>
      </c>
      <c r="J714" s="1930" t="s">
        <v>320</v>
      </c>
      <c r="K714" s="1933">
        <v>0.14000000000000001</v>
      </c>
      <c r="L714" s="1930" t="s">
        <v>138</v>
      </c>
    </row>
    <row r="715" spans="1:12" ht="13.5" x14ac:dyDescent="0.25">
      <c r="A715" s="1930" t="s">
        <v>4469</v>
      </c>
      <c r="B715" s="1930" t="s">
        <v>4470</v>
      </c>
      <c r="C715" s="1930" t="s">
        <v>4475</v>
      </c>
      <c r="D715" s="1930" t="s">
        <v>4476</v>
      </c>
      <c r="E715" s="1931" t="s">
        <v>33</v>
      </c>
      <c r="F715" s="1930" t="s">
        <v>33</v>
      </c>
      <c r="G715" s="1932">
        <v>88854</v>
      </c>
      <c r="H715" s="1930" t="s">
        <v>748</v>
      </c>
      <c r="I715" s="1930" t="s">
        <v>65</v>
      </c>
      <c r="J715" s="1930" t="s">
        <v>320</v>
      </c>
      <c r="K715" s="1933">
        <v>0.01</v>
      </c>
      <c r="L715" s="1930" t="s">
        <v>138</v>
      </c>
    </row>
    <row r="716" spans="1:12" ht="13.5" x14ac:dyDescent="0.25">
      <c r="A716" s="1930" t="s">
        <v>4469</v>
      </c>
      <c r="B716" s="1930" t="s">
        <v>4470</v>
      </c>
      <c r="C716" s="1930" t="s">
        <v>4475</v>
      </c>
      <c r="D716" s="1930" t="s">
        <v>4476</v>
      </c>
      <c r="E716" s="1931" t="s">
        <v>33</v>
      </c>
      <c r="F716" s="1930" t="s">
        <v>33</v>
      </c>
      <c r="G716" s="1932">
        <v>88855</v>
      </c>
      <c r="H716" s="1930" t="s">
        <v>749</v>
      </c>
      <c r="I716" s="1930" t="s">
        <v>65</v>
      </c>
      <c r="J716" s="1930" t="s">
        <v>137</v>
      </c>
      <c r="K716" s="1933">
        <v>1.73</v>
      </c>
      <c r="L716" s="1930" t="s">
        <v>138</v>
      </c>
    </row>
    <row r="717" spans="1:12" ht="13.5" x14ac:dyDescent="0.25">
      <c r="A717" s="1930" t="s">
        <v>4469</v>
      </c>
      <c r="B717" s="1930" t="s">
        <v>4470</v>
      </c>
      <c r="C717" s="1930" t="s">
        <v>4475</v>
      </c>
      <c r="D717" s="1930" t="s">
        <v>4476</v>
      </c>
      <c r="E717" s="1931" t="s">
        <v>33</v>
      </c>
      <c r="F717" s="1930" t="s">
        <v>33</v>
      </c>
      <c r="G717" s="1932">
        <v>88856</v>
      </c>
      <c r="H717" s="1930" t="s">
        <v>750</v>
      </c>
      <c r="I717" s="1930" t="s">
        <v>65</v>
      </c>
      <c r="J717" s="1930" t="s">
        <v>137</v>
      </c>
      <c r="K717" s="1933">
        <v>0.24</v>
      </c>
      <c r="L717" s="1930" t="s">
        <v>138</v>
      </c>
    </row>
    <row r="718" spans="1:12" ht="13.5" x14ac:dyDescent="0.25">
      <c r="A718" s="1930" t="s">
        <v>4469</v>
      </c>
      <c r="B718" s="1930" t="s">
        <v>4470</v>
      </c>
      <c r="C718" s="1930" t="s">
        <v>4475</v>
      </c>
      <c r="D718" s="1930" t="s">
        <v>4476</v>
      </c>
      <c r="E718" s="1931" t="s">
        <v>33</v>
      </c>
      <c r="F718" s="1930" t="s">
        <v>33</v>
      </c>
      <c r="G718" s="1932">
        <v>88857</v>
      </c>
      <c r="H718" s="1930" t="s">
        <v>751</v>
      </c>
      <c r="I718" s="1930" t="s">
        <v>65</v>
      </c>
      <c r="J718" s="1930" t="s">
        <v>137</v>
      </c>
      <c r="K718" s="1933">
        <v>13.78</v>
      </c>
      <c r="L718" s="1930" t="s">
        <v>138</v>
      </c>
    </row>
    <row r="719" spans="1:12" ht="13.5" x14ac:dyDescent="0.25">
      <c r="A719" s="1930" t="s">
        <v>4469</v>
      </c>
      <c r="B719" s="1930" t="s">
        <v>4470</v>
      </c>
      <c r="C719" s="1930" t="s">
        <v>4475</v>
      </c>
      <c r="D719" s="1930" t="s">
        <v>4476</v>
      </c>
      <c r="E719" s="1931" t="s">
        <v>33</v>
      </c>
      <c r="F719" s="1930" t="s">
        <v>33</v>
      </c>
      <c r="G719" s="1932">
        <v>88858</v>
      </c>
      <c r="H719" s="1930" t="s">
        <v>752</v>
      </c>
      <c r="I719" s="1930" t="s">
        <v>65</v>
      </c>
      <c r="J719" s="1930" t="s">
        <v>137</v>
      </c>
      <c r="K719" s="1933">
        <v>1.87</v>
      </c>
      <c r="L719" s="1930" t="s">
        <v>138</v>
      </c>
    </row>
    <row r="720" spans="1:12" ht="13.5" x14ac:dyDescent="0.25">
      <c r="A720" s="1930" t="s">
        <v>4469</v>
      </c>
      <c r="B720" s="1930" t="s">
        <v>4470</v>
      </c>
      <c r="C720" s="1930" t="s">
        <v>4475</v>
      </c>
      <c r="D720" s="1930" t="s">
        <v>4476</v>
      </c>
      <c r="E720" s="1931" t="s">
        <v>33</v>
      </c>
      <c r="F720" s="1930" t="s">
        <v>33</v>
      </c>
      <c r="G720" s="1932">
        <v>88859</v>
      </c>
      <c r="H720" s="1930" t="s">
        <v>753</v>
      </c>
      <c r="I720" s="1930" t="s">
        <v>65</v>
      </c>
      <c r="J720" s="1930" t="s">
        <v>137</v>
      </c>
      <c r="K720" s="1933">
        <v>12.26</v>
      </c>
      <c r="L720" s="1930" t="s">
        <v>138</v>
      </c>
    </row>
    <row r="721" spans="1:12" ht="13.5" x14ac:dyDescent="0.25">
      <c r="A721" s="1930" t="s">
        <v>4469</v>
      </c>
      <c r="B721" s="1930" t="s">
        <v>4470</v>
      </c>
      <c r="C721" s="1930" t="s">
        <v>4475</v>
      </c>
      <c r="D721" s="1930" t="s">
        <v>4476</v>
      </c>
      <c r="E721" s="1931" t="s">
        <v>33</v>
      </c>
      <c r="F721" s="1930" t="s">
        <v>33</v>
      </c>
      <c r="G721" s="1932">
        <v>88860</v>
      </c>
      <c r="H721" s="1930" t="s">
        <v>754</v>
      </c>
      <c r="I721" s="1930" t="s">
        <v>65</v>
      </c>
      <c r="J721" s="1930" t="s">
        <v>137</v>
      </c>
      <c r="K721" s="1933">
        <v>1.66</v>
      </c>
      <c r="L721" s="1930" t="s">
        <v>138</v>
      </c>
    </row>
    <row r="722" spans="1:12" ht="13.5" x14ac:dyDescent="0.25">
      <c r="A722" s="1930" t="s">
        <v>4469</v>
      </c>
      <c r="B722" s="1930" t="s">
        <v>4470</v>
      </c>
      <c r="C722" s="1930" t="s">
        <v>4475</v>
      </c>
      <c r="D722" s="1930" t="s">
        <v>4476</v>
      </c>
      <c r="E722" s="1931" t="s">
        <v>33</v>
      </c>
      <c r="F722" s="1930" t="s">
        <v>33</v>
      </c>
      <c r="G722" s="1932">
        <v>88900</v>
      </c>
      <c r="H722" s="1930" t="s">
        <v>755</v>
      </c>
      <c r="I722" s="1930" t="s">
        <v>65</v>
      </c>
      <c r="J722" s="1930" t="s">
        <v>137</v>
      </c>
      <c r="K722" s="1933">
        <v>25.85</v>
      </c>
      <c r="L722" s="1930" t="s">
        <v>138</v>
      </c>
    </row>
    <row r="723" spans="1:12" ht="13.5" x14ac:dyDescent="0.25">
      <c r="A723" s="1930" t="s">
        <v>4469</v>
      </c>
      <c r="B723" s="1930" t="s">
        <v>4470</v>
      </c>
      <c r="C723" s="1930" t="s">
        <v>4475</v>
      </c>
      <c r="D723" s="1930" t="s">
        <v>4476</v>
      </c>
      <c r="E723" s="1931" t="s">
        <v>33</v>
      </c>
      <c r="F723" s="1930" t="s">
        <v>33</v>
      </c>
      <c r="G723" s="1932">
        <v>88902</v>
      </c>
      <c r="H723" s="1930" t="s">
        <v>756</v>
      </c>
      <c r="I723" s="1930" t="s">
        <v>65</v>
      </c>
      <c r="J723" s="1930" t="s">
        <v>137</v>
      </c>
      <c r="K723" s="1933">
        <v>3.5</v>
      </c>
      <c r="L723" s="1930" t="s">
        <v>138</v>
      </c>
    </row>
    <row r="724" spans="1:12" ht="13.5" x14ac:dyDescent="0.25">
      <c r="A724" s="1930" t="s">
        <v>4469</v>
      </c>
      <c r="B724" s="1930" t="s">
        <v>4470</v>
      </c>
      <c r="C724" s="1930" t="s">
        <v>4475</v>
      </c>
      <c r="D724" s="1930" t="s">
        <v>4476</v>
      </c>
      <c r="E724" s="1931" t="s">
        <v>33</v>
      </c>
      <c r="F724" s="1930" t="s">
        <v>33</v>
      </c>
      <c r="G724" s="1932">
        <v>88903</v>
      </c>
      <c r="H724" s="1930" t="s">
        <v>757</v>
      </c>
      <c r="I724" s="1930" t="s">
        <v>65</v>
      </c>
      <c r="J724" s="1930" t="s">
        <v>137</v>
      </c>
      <c r="K724" s="1933">
        <v>32.31</v>
      </c>
      <c r="L724" s="1930" t="s">
        <v>138</v>
      </c>
    </row>
    <row r="725" spans="1:12" ht="13.5" x14ac:dyDescent="0.25">
      <c r="A725" s="1930" t="s">
        <v>4469</v>
      </c>
      <c r="B725" s="1930" t="s">
        <v>4470</v>
      </c>
      <c r="C725" s="1930" t="s">
        <v>4475</v>
      </c>
      <c r="D725" s="1930" t="s">
        <v>4476</v>
      </c>
      <c r="E725" s="1931" t="s">
        <v>33</v>
      </c>
      <c r="F725" s="1930" t="s">
        <v>33</v>
      </c>
      <c r="G725" s="1932">
        <v>88904</v>
      </c>
      <c r="H725" s="1930" t="s">
        <v>758</v>
      </c>
      <c r="I725" s="1930" t="s">
        <v>65</v>
      </c>
      <c r="J725" s="1930" t="s">
        <v>346</v>
      </c>
      <c r="K725" s="1933">
        <v>55.91</v>
      </c>
      <c r="L725" s="1930" t="s">
        <v>138</v>
      </c>
    </row>
    <row r="726" spans="1:12" ht="13.5" x14ac:dyDescent="0.25">
      <c r="A726" s="1930" t="s">
        <v>4469</v>
      </c>
      <c r="B726" s="1930" t="s">
        <v>4470</v>
      </c>
      <c r="C726" s="1930" t="s">
        <v>4475</v>
      </c>
      <c r="D726" s="1930" t="s">
        <v>4476</v>
      </c>
      <c r="E726" s="1931" t="s">
        <v>33</v>
      </c>
      <c r="F726" s="1930" t="s">
        <v>33</v>
      </c>
      <c r="G726" s="1932">
        <v>89009</v>
      </c>
      <c r="H726" s="1930" t="s">
        <v>759</v>
      </c>
      <c r="I726" s="1930" t="s">
        <v>65</v>
      </c>
      <c r="J726" s="1930" t="s">
        <v>137</v>
      </c>
      <c r="K726" s="1933">
        <v>23.16</v>
      </c>
      <c r="L726" s="1930" t="s">
        <v>138</v>
      </c>
    </row>
    <row r="727" spans="1:12" ht="13.5" x14ac:dyDescent="0.25">
      <c r="A727" s="1930" t="s">
        <v>4469</v>
      </c>
      <c r="B727" s="1930" t="s">
        <v>4470</v>
      </c>
      <c r="C727" s="1930" t="s">
        <v>4475</v>
      </c>
      <c r="D727" s="1930" t="s">
        <v>4476</v>
      </c>
      <c r="E727" s="1931" t="s">
        <v>33</v>
      </c>
      <c r="F727" s="1930" t="s">
        <v>33</v>
      </c>
      <c r="G727" s="1932">
        <v>89010</v>
      </c>
      <c r="H727" s="1930" t="s">
        <v>760</v>
      </c>
      <c r="I727" s="1930" t="s">
        <v>65</v>
      </c>
      <c r="J727" s="1930" t="s">
        <v>137</v>
      </c>
      <c r="K727" s="1933">
        <v>5.21</v>
      </c>
      <c r="L727" s="1930" t="s">
        <v>138</v>
      </c>
    </row>
    <row r="728" spans="1:12" ht="13.5" x14ac:dyDescent="0.25">
      <c r="A728" s="1930" t="s">
        <v>4469</v>
      </c>
      <c r="B728" s="1930" t="s">
        <v>4470</v>
      </c>
      <c r="C728" s="1930" t="s">
        <v>4475</v>
      </c>
      <c r="D728" s="1930" t="s">
        <v>4476</v>
      </c>
      <c r="E728" s="1931" t="s">
        <v>33</v>
      </c>
      <c r="F728" s="1930" t="s">
        <v>33</v>
      </c>
      <c r="G728" s="1932">
        <v>89011</v>
      </c>
      <c r="H728" s="1930" t="s">
        <v>761</v>
      </c>
      <c r="I728" s="1930" t="s">
        <v>65</v>
      </c>
      <c r="J728" s="1930" t="s">
        <v>137</v>
      </c>
      <c r="K728" s="1933">
        <v>13.3</v>
      </c>
      <c r="L728" s="1930" t="s">
        <v>138</v>
      </c>
    </row>
    <row r="729" spans="1:12" ht="13.5" x14ac:dyDescent="0.25">
      <c r="A729" s="1930" t="s">
        <v>4469</v>
      </c>
      <c r="B729" s="1930" t="s">
        <v>4470</v>
      </c>
      <c r="C729" s="1930" t="s">
        <v>4475</v>
      </c>
      <c r="D729" s="1930" t="s">
        <v>4476</v>
      </c>
      <c r="E729" s="1931" t="s">
        <v>33</v>
      </c>
      <c r="F729" s="1930" t="s">
        <v>33</v>
      </c>
      <c r="G729" s="1932">
        <v>89012</v>
      </c>
      <c r="H729" s="1930" t="s">
        <v>762</v>
      </c>
      <c r="I729" s="1930" t="s">
        <v>65</v>
      </c>
      <c r="J729" s="1930" t="s">
        <v>137</v>
      </c>
      <c r="K729" s="1933">
        <v>1.8</v>
      </c>
      <c r="L729" s="1930" t="s">
        <v>138</v>
      </c>
    </row>
    <row r="730" spans="1:12" ht="13.5" x14ac:dyDescent="0.25">
      <c r="A730" s="1930" t="s">
        <v>4469</v>
      </c>
      <c r="B730" s="1930" t="s">
        <v>4470</v>
      </c>
      <c r="C730" s="1930" t="s">
        <v>4475</v>
      </c>
      <c r="D730" s="1930" t="s">
        <v>4476</v>
      </c>
      <c r="E730" s="1931" t="s">
        <v>33</v>
      </c>
      <c r="F730" s="1930" t="s">
        <v>33</v>
      </c>
      <c r="G730" s="1932">
        <v>89013</v>
      </c>
      <c r="H730" s="1930" t="s">
        <v>763</v>
      </c>
      <c r="I730" s="1930" t="s">
        <v>65</v>
      </c>
      <c r="J730" s="1930" t="s">
        <v>137</v>
      </c>
      <c r="K730" s="1933">
        <v>75.89</v>
      </c>
      <c r="L730" s="1930" t="s">
        <v>138</v>
      </c>
    </row>
    <row r="731" spans="1:12" ht="13.5" x14ac:dyDescent="0.25">
      <c r="A731" s="1930" t="s">
        <v>4469</v>
      </c>
      <c r="B731" s="1930" t="s">
        <v>4470</v>
      </c>
      <c r="C731" s="1930" t="s">
        <v>4475</v>
      </c>
      <c r="D731" s="1930" t="s">
        <v>4476</v>
      </c>
      <c r="E731" s="1931" t="s">
        <v>33</v>
      </c>
      <c r="F731" s="1930" t="s">
        <v>33</v>
      </c>
      <c r="G731" s="1932">
        <v>89014</v>
      </c>
      <c r="H731" s="1930" t="s">
        <v>764</v>
      </c>
      <c r="I731" s="1930" t="s">
        <v>65</v>
      </c>
      <c r="J731" s="1930" t="s">
        <v>137</v>
      </c>
      <c r="K731" s="1933">
        <v>17.079999999999998</v>
      </c>
      <c r="L731" s="1930" t="s">
        <v>138</v>
      </c>
    </row>
    <row r="732" spans="1:12" ht="13.5" x14ac:dyDescent="0.25">
      <c r="A732" s="1930" t="s">
        <v>4469</v>
      </c>
      <c r="B732" s="1930" t="s">
        <v>4470</v>
      </c>
      <c r="C732" s="1930" t="s">
        <v>4475</v>
      </c>
      <c r="D732" s="1930" t="s">
        <v>4476</v>
      </c>
      <c r="E732" s="1931" t="s">
        <v>33</v>
      </c>
      <c r="F732" s="1930" t="s">
        <v>33</v>
      </c>
      <c r="G732" s="1932">
        <v>89015</v>
      </c>
      <c r="H732" s="1930" t="s">
        <v>765</v>
      </c>
      <c r="I732" s="1930" t="s">
        <v>65</v>
      </c>
      <c r="J732" s="1930" t="s">
        <v>137</v>
      </c>
      <c r="K732" s="1933">
        <v>2</v>
      </c>
      <c r="L732" s="1930" t="s">
        <v>138</v>
      </c>
    </row>
    <row r="733" spans="1:12" ht="13.5" x14ac:dyDescent="0.25">
      <c r="A733" s="1930" t="s">
        <v>4469</v>
      </c>
      <c r="B733" s="1930" t="s">
        <v>4470</v>
      </c>
      <c r="C733" s="1930" t="s">
        <v>4475</v>
      </c>
      <c r="D733" s="1930" t="s">
        <v>4476</v>
      </c>
      <c r="E733" s="1931" t="s">
        <v>33</v>
      </c>
      <c r="F733" s="1930" t="s">
        <v>33</v>
      </c>
      <c r="G733" s="1932">
        <v>89016</v>
      </c>
      <c r="H733" s="1930" t="s">
        <v>766</v>
      </c>
      <c r="I733" s="1930" t="s">
        <v>65</v>
      </c>
      <c r="J733" s="1930" t="s">
        <v>137</v>
      </c>
      <c r="K733" s="1933">
        <v>0.27</v>
      </c>
      <c r="L733" s="1930" t="s">
        <v>138</v>
      </c>
    </row>
    <row r="734" spans="1:12" ht="13.5" x14ac:dyDescent="0.25">
      <c r="A734" s="1930" t="s">
        <v>4469</v>
      </c>
      <c r="B734" s="1930" t="s">
        <v>4470</v>
      </c>
      <c r="C734" s="1930" t="s">
        <v>4475</v>
      </c>
      <c r="D734" s="1930" t="s">
        <v>4476</v>
      </c>
      <c r="E734" s="1931" t="s">
        <v>33</v>
      </c>
      <c r="F734" s="1930" t="s">
        <v>33</v>
      </c>
      <c r="G734" s="1932">
        <v>89017</v>
      </c>
      <c r="H734" s="1930" t="s">
        <v>767</v>
      </c>
      <c r="I734" s="1930" t="s">
        <v>65</v>
      </c>
      <c r="J734" s="1930" t="s">
        <v>137</v>
      </c>
      <c r="K734" s="1933">
        <v>23.02</v>
      </c>
      <c r="L734" s="1930" t="s">
        <v>138</v>
      </c>
    </row>
    <row r="735" spans="1:12" ht="13.5" x14ac:dyDescent="0.25">
      <c r="A735" s="1930" t="s">
        <v>4469</v>
      </c>
      <c r="B735" s="1930" t="s">
        <v>4470</v>
      </c>
      <c r="C735" s="1930" t="s">
        <v>4475</v>
      </c>
      <c r="D735" s="1930" t="s">
        <v>4476</v>
      </c>
      <c r="E735" s="1931" t="s">
        <v>33</v>
      </c>
      <c r="F735" s="1930" t="s">
        <v>33</v>
      </c>
      <c r="G735" s="1932">
        <v>89018</v>
      </c>
      <c r="H735" s="1930" t="s">
        <v>768</v>
      </c>
      <c r="I735" s="1930" t="s">
        <v>65</v>
      </c>
      <c r="J735" s="1930" t="s">
        <v>137</v>
      </c>
      <c r="K735" s="1933">
        <v>5.18</v>
      </c>
      <c r="L735" s="1930" t="s">
        <v>138</v>
      </c>
    </row>
    <row r="736" spans="1:12" ht="13.5" x14ac:dyDescent="0.25">
      <c r="A736" s="1930" t="s">
        <v>4469</v>
      </c>
      <c r="B736" s="1930" t="s">
        <v>4470</v>
      </c>
      <c r="C736" s="1930" t="s">
        <v>4475</v>
      </c>
      <c r="D736" s="1930" t="s">
        <v>4476</v>
      </c>
      <c r="E736" s="1931" t="s">
        <v>33</v>
      </c>
      <c r="F736" s="1930" t="s">
        <v>33</v>
      </c>
      <c r="G736" s="1932">
        <v>89019</v>
      </c>
      <c r="H736" s="1930" t="s">
        <v>769</v>
      </c>
      <c r="I736" s="1930" t="s">
        <v>65</v>
      </c>
      <c r="J736" s="1930" t="s">
        <v>320</v>
      </c>
      <c r="K736" s="1933">
        <v>0.27</v>
      </c>
      <c r="L736" s="1930" t="s">
        <v>138</v>
      </c>
    </row>
    <row r="737" spans="1:12" ht="13.5" x14ac:dyDescent="0.25">
      <c r="A737" s="1930" t="s">
        <v>4469</v>
      </c>
      <c r="B737" s="1930" t="s">
        <v>4470</v>
      </c>
      <c r="C737" s="1930" t="s">
        <v>4475</v>
      </c>
      <c r="D737" s="1930" t="s">
        <v>4476</v>
      </c>
      <c r="E737" s="1931" t="s">
        <v>33</v>
      </c>
      <c r="F737" s="1930" t="s">
        <v>33</v>
      </c>
      <c r="G737" s="1932">
        <v>89020</v>
      </c>
      <c r="H737" s="1930" t="s">
        <v>770</v>
      </c>
      <c r="I737" s="1930" t="s">
        <v>65</v>
      </c>
      <c r="J737" s="1930" t="s">
        <v>320</v>
      </c>
      <c r="K737" s="1933">
        <v>0.03</v>
      </c>
      <c r="L737" s="1930" t="s">
        <v>138</v>
      </c>
    </row>
    <row r="738" spans="1:12" ht="13.5" x14ac:dyDescent="0.25">
      <c r="A738" s="1930" t="s">
        <v>4469</v>
      </c>
      <c r="B738" s="1930" t="s">
        <v>4470</v>
      </c>
      <c r="C738" s="1930" t="s">
        <v>4475</v>
      </c>
      <c r="D738" s="1930" t="s">
        <v>4476</v>
      </c>
      <c r="E738" s="1931" t="s">
        <v>33</v>
      </c>
      <c r="F738" s="1930" t="s">
        <v>33</v>
      </c>
      <c r="G738" s="1932">
        <v>89023</v>
      </c>
      <c r="H738" s="1930" t="s">
        <v>771</v>
      </c>
      <c r="I738" s="1930" t="s">
        <v>65</v>
      </c>
      <c r="J738" s="1930" t="s">
        <v>137</v>
      </c>
      <c r="K738" s="1933">
        <v>2.38</v>
      </c>
      <c r="L738" s="1930" t="s">
        <v>138</v>
      </c>
    </row>
    <row r="739" spans="1:12" ht="13.5" x14ac:dyDescent="0.25">
      <c r="A739" s="1930" t="s">
        <v>4469</v>
      </c>
      <c r="B739" s="1930" t="s">
        <v>4470</v>
      </c>
      <c r="C739" s="1930" t="s">
        <v>4475</v>
      </c>
      <c r="D739" s="1930" t="s">
        <v>4476</v>
      </c>
      <c r="E739" s="1931" t="s">
        <v>33</v>
      </c>
      <c r="F739" s="1930" t="s">
        <v>33</v>
      </c>
      <c r="G739" s="1932">
        <v>89024</v>
      </c>
      <c r="H739" s="1930" t="s">
        <v>772</v>
      </c>
      <c r="I739" s="1930" t="s">
        <v>65</v>
      </c>
      <c r="J739" s="1930" t="s">
        <v>137</v>
      </c>
      <c r="K739" s="1933">
        <v>0.39</v>
      </c>
      <c r="L739" s="1930" t="s">
        <v>138</v>
      </c>
    </row>
    <row r="740" spans="1:12" ht="13.5" x14ac:dyDescent="0.25">
      <c r="A740" s="1930" t="s">
        <v>4469</v>
      </c>
      <c r="B740" s="1930" t="s">
        <v>4470</v>
      </c>
      <c r="C740" s="1930" t="s">
        <v>4475</v>
      </c>
      <c r="D740" s="1930" t="s">
        <v>4476</v>
      </c>
      <c r="E740" s="1931" t="s">
        <v>33</v>
      </c>
      <c r="F740" s="1930" t="s">
        <v>33</v>
      </c>
      <c r="G740" s="1932">
        <v>89025</v>
      </c>
      <c r="H740" s="1930" t="s">
        <v>773</v>
      </c>
      <c r="I740" s="1930" t="s">
        <v>65</v>
      </c>
      <c r="J740" s="1930" t="s">
        <v>137</v>
      </c>
      <c r="K740" s="1933">
        <v>4.47</v>
      </c>
      <c r="L740" s="1930" t="s">
        <v>138</v>
      </c>
    </row>
    <row r="741" spans="1:12" ht="13.5" x14ac:dyDescent="0.25">
      <c r="A741" s="1930" t="s">
        <v>4469</v>
      </c>
      <c r="B741" s="1930" t="s">
        <v>4470</v>
      </c>
      <c r="C741" s="1930" t="s">
        <v>4475</v>
      </c>
      <c r="D741" s="1930" t="s">
        <v>4476</v>
      </c>
      <c r="E741" s="1931" t="s">
        <v>33</v>
      </c>
      <c r="F741" s="1930" t="s">
        <v>33</v>
      </c>
      <c r="G741" s="1932">
        <v>89026</v>
      </c>
      <c r="H741" s="1930" t="s">
        <v>774</v>
      </c>
      <c r="I741" s="1930" t="s">
        <v>65</v>
      </c>
      <c r="J741" s="1930" t="s">
        <v>346</v>
      </c>
      <c r="K741" s="1933">
        <v>123.8</v>
      </c>
      <c r="L741" s="1930" t="s">
        <v>138</v>
      </c>
    </row>
    <row r="742" spans="1:12" ht="13.5" x14ac:dyDescent="0.25">
      <c r="A742" s="1930" t="s">
        <v>4469</v>
      </c>
      <c r="B742" s="1930" t="s">
        <v>4470</v>
      </c>
      <c r="C742" s="1930" t="s">
        <v>4475</v>
      </c>
      <c r="D742" s="1930" t="s">
        <v>4476</v>
      </c>
      <c r="E742" s="1931" t="s">
        <v>33</v>
      </c>
      <c r="F742" s="1930" t="s">
        <v>33</v>
      </c>
      <c r="G742" s="1932">
        <v>89029</v>
      </c>
      <c r="H742" s="1930" t="s">
        <v>775</v>
      </c>
      <c r="I742" s="1930" t="s">
        <v>65</v>
      </c>
      <c r="J742" s="1930" t="s">
        <v>137</v>
      </c>
      <c r="K742" s="1933">
        <v>17.87</v>
      </c>
      <c r="L742" s="1930" t="s">
        <v>138</v>
      </c>
    </row>
    <row r="743" spans="1:12" ht="13.5" x14ac:dyDescent="0.25">
      <c r="A743" s="1930" t="s">
        <v>4469</v>
      </c>
      <c r="B743" s="1930" t="s">
        <v>4470</v>
      </c>
      <c r="C743" s="1930" t="s">
        <v>4475</v>
      </c>
      <c r="D743" s="1930" t="s">
        <v>4476</v>
      </c>
      <c r="E743" s="1931" t="s">
        <v>33</v>
      </c>
      <c r="F743" s="1930" t="s">
        <v>33</v>
      </c>
      <c r="G743" s="1932">
        <v>89030</v>
      </c>
      <c r="H743" s="1930" t="s">
        <v>776</v>
      </c>
      <c r="I743" s="1930" t="s">
        <v>65</v>
      </c>
      <c r="J743" s="1930" t="s">
        <v>137</v>
      </c>
      <c r="K743" s="1933">
        <v>4.0199999999999996</v>
      </c>
      <c r="L743" s="1930" t="s">
        <v>138</v>
      </c>
    </row>
    <row r="744" spans="1:12" ht="13.5" x14ac:dyDescent="0.25">
      <c r="A744" s="1930" t="s">
        <v>4469</v>
      </c>
      <c r="B744" s="1930" t="s">
        <v>4470</v>
      </c>
      <c r="C744" s="1930" t="s">
        <v>4475</v>
      </c>
      <c r="D744" s="1930" t="s">
        <v>4476</v>
      </c>
      <c r="E744" s="1931" t="s">
        <v>33</v>
      </c>
      <c r="F744" s="1930" t="s">
        <v>33</v>
      </c>
      <c r="G744" s="1932">
        <v>89033</v>
      </c>
      <c r="H744" s="1930" t="s">
        <v>777</v>
      </c>
      <c r="I744" s="1930" t="s">
        <v>65</v>
      </c>
      <c r="J744" s="1930" t="s">
        <v>137</v>
      </c>
      <c r="K744" s="1933">
        <v>7.46</v>
      </c>
      <c r="L744" s="1930" t="s">
        <v>138</v>
      </c>
    </row>
    <row r="745" spans="1:12" ht="13.5" x14ac:dyDescent="0.25">
      <c r="A745" s="1930" t="s">
        <v>4469</v>
      </c>
      <c r="B745" s="1930" t="s">
        <v>4470</v>
      </c>
      <c r="C745" s="1930" t="s">
        <v>4475</v>
      </c>
      <c r="D745" s="1930" t="s">
        <v>4476</v>
      </c>
      <c r="E745" s="1931" t="s">
        <v>33</v>
      </c>
      <c r="F745" s="1930" t="s">
        <v>33</v>
      </c>
      <c r="G745" s="1932">
        <v>89034</v>
      </c>
      <c r="H745" s="1930" t="s">
        <v>778</v>
      </c>
      <c r="I745" s="1930" t="s">
        <v>65</v>
      </c>
      <c r="J745" s="1930" t="s">
        <v>137</v>
      </c>
      <c r="K745" s="1933">
        <v>1.03</v>
      </c>
      <c r="L745" s="1930" t="s">
        <v>138</v>
      </c>
    </row>
    <row r="746" spans="1:12" ht="13.5" x14ac:dyDescent="0.25">
      <c r="A746" s="1930" t="s">
        <v>4469</v>
      </c>
      <c r="B746" s="1930" t="s">
        <v>4470</v>
      </c>
      <c r="C746" s="1930" t="s">
        <v>4475</v>
      </c>
      <c r="D746" s="1930" t="s">
        <v>4476</v>
      </c>
      <c r="E746" s="1931" t="s">
        <v>33</v>
      </c>
      <c r="F746" s="1930" t="s">
        <v>33</v>
      </c>
      <c r="G746" s="1932">
        <v>89128</v>
      </c>
      <c r="H746" s="1930" t="s">
        <v>779</v>
      </c>
      <c r="I746" s="1930" t="s">
        <v>65</v>
      </c>
      <c r="J746" s="1930" t="s">
        <v>137</v>
      </c>
      <c r="K746" s="1933">
        <v>21.55</v>
      </c>
      <c r="L746" s="1930" t="s">
        <v>138</v>
      </c>
    </row>
    <row r="747" spans="1:12" ht="13.5" x14ac:dyDescent="0.25">
      <c r="A747" s="1930" t="s">
        <v>4469</v>
      </c>
      <c r="B747" s="1930" t="s">
        <v>4470</v>
      </c>
      <c r="C747" s="1930" t="s">
        <v>4475</v>
      </c>
      <c r="D747" s="1930" t="s">
        <v>4476</v>
      </c>
      <c r="E747" s="1931" t="s">
        <v>33</v>
      </c>
      <c r="F747" s="1930" t="s">
        <v>33</v>
      </c>
      <c r="G747" s="1932">
        <v>89129</v>
      </c>
      <c r="H747" s="1930" t="s">
        <v>780</v>
      </c>
      <c r="I747" s="1930" t="s">
        <v>65</v>
      </c>
      <c r="J747" s="1930" t="s">
        <v>137</v>
      </c>
      <c r="K747" s="1933">
        <v>2.92</v>
      </c>
      <c r="L747" s="1930" t="s">
        <v>138</v>
      </c>
    </row>
    <row r="748" spans="1:12" ht="13.5" x14ac:dyDescent="0.25">
      <c r="A748" s="1930" t="s">
        <v>4469</v>
      </c>
      <c r="B748" s="1930" t="s">
        <v>4470</v>
      </c>
      <c r="C748" s="1930" t="s">
        <v>4475</v>
      </c>
      <c r="D748" s="1930" t="s">
        <v>4476</v>
      </c>
      <c r="E748" s="1931" t="s">
        <v>33</v>
      </c>
      <c r="F748" s="1930" t="s">
        <v>33</v>
      </c>
      <c r="G748" s="1932">
        <v>89130</v>
      </c>
      <c r="H748" s="1930" t="s">
        <v>781</v>
      </c>
      <c r="I748" s="1930" t="s">
        <v>65</v>
      </c>
      <c r="J748" s="1930" t="s">
        <v>137</v>
      </c>
      <c r="K748" s="1933">
        <v>29.89</v>
      </c>
      <c r="L748" s="1930" t="s">
        <v>138</v>
      </c>
    </row>
    <row r="749" spans="1:12" ht="13.5" x14ac:dyDescent="0.25">
      <c r="A749" s="1930" t="s">
        <v>4469</v>
      </c>
      <c r="B749" s="1930" t="s">
        <v>4470</v>
      </c>
      <c r="C749" s="1930" t="s">
        <v>4475</v>
      </c>
      <c r="D749" s="1930" t="s">
        <v>4476</v>
      </c>
      <c r="E749" s="1931" t="s">
        <v>33</v>
      </c>
      <c r="F749" s="1930" t="s">
        <v>33</v>
      </c>
      <c r="G749" s="1932">
        <v>89131</v>
      </c>
      <c r="H749" s="1930" t="s">
        <v>782</v>
      </c>
      <c r="I749" s="1930" t="s">
        <v>65</v>
      </c>
      <c r="J749" s="1930" t="s">
        <v>137</v>
      </c>
      <c r="K749" s="1933">
        <v>4.05</v>
      </c>
      <c r="L749" s="1930" t="s">
        <v>138</v>
      </c>
    </row>
    <row r="750" spans="1:12" ht="13.5" x14ac:dyDescent="0.25">
      <c r="A750" s="1930" t="s">
        <v>4469</v>
      </c>
      <c r="B750" s="1930" t="s">
        <v>4470</v>
      </c>
      <c r="C750" s="1930" t="s">
        <v>4475</v>
      </c>
      <c r="D750" s="1930" t="s">
        <v>4476</v>
      </c>
      <c r="E750" s="1931" t="s">
        <v>33</v>
      </c>
      <c r="F750" s="1930" t="s">
        <v>33</v>
      </c>
      <c r="G750" s="1932">
        <v>89210</v>
      </c>
      <c r="H750" s="1930" t="s">
        <v>783</v>
      </c>
      <c r="I750" s="1930" t="s">
        <v>65</v>
      </c>
      <c r="J750" s="1930" t="s">
        <v>137</v>
      </c>
      <c r="K750" s="1933">
        <v>15.06</v>
      </c>
      <c r="L750" s="1930" t="s">
        <v>138</v>
      </c>
    </row>
    <row r="751" spans="1:12" ht="13.5" x14ac:dyDescent="0.25">
      <c r="A751" s="1930" t="s">
        <v>4469</v>
      </c>
      <c r="B751" s="1930" t="s">
        <v>4470</v>
      </c>
      <c r="C751" s="1930" t="s">
        <v>4475</v>
      </c>
      <c r="D751" s="1930" t="s">
        <v>4476</v>
      </c>
      <c r="E751" s="1931" t="s">
        <v>33</v>
      </c>
      <c r="F751" s="1930" t="s">
        <v>33</v>
      </c>
      <c r="G751" s="1932">
        <v>89211</v>
      </c>
      <c r="H751" s="1930" t="s">
        <v>784</v>
      </c>
      <c r="I751" s="1930" t="s">
        <v>65</v>
      </c>
      <c r="J751" s="1930" t="s">
        <v>137</v>
      </c>
      <c r="K751" s="1933">
        <v>2.09</v>
      </c>
      <c r="L751" s="1930" t="s">
        <v>138</v>
      </c>
    </row>
    <row r="752" spans="1:12" ht="13.5" x14ac:dyDescent="0.25">
      <c r="A752" s="1930" t="s">
        <v>4469</v>
      </c>
      <c r="B752" s="1930" t="s">
        <v>4470</v>
      </c>
      <c r="C752" s="1930" t="s">
        <v>4475</v>
      </c>
      <c r="D752" s="1930" t="s">
        <v>4476</v>
      </c>
      <c r="E752" s="1931" t="s">
        <v>33</v>
      </c>
      <c r="F752" s="1930" t="s">
        <v>33</v>
      </c>
      <c r="G752" s="1932">
        <v>89212</v>
      </c>
      <c r="H752" s="1930" t="s">
        <v>785</v>
      </c>
      <c r="I752" s="1930" t="s">
        <v>65</v>
      </c>
      <c r="J752" s="1930" t="s">
        <v>137</v>
      </c>
      <c r="K752" s="1933">
        <v>15.18</v>
      </c>
      <c r="L752" s="1930" t="s">
        <v>138</v>
      </c>
    </row>
    <row r="753" spans="1:12" ht="13.5" x14ac:dyDescent="0.25">
      <c r="A753" s="1930" t="s">
        <v>4469</v>
      </c>
      <c r="B753" s="1930" t="s">
        <v>4470</v>
      </c>
      <c r="C753" s="1930" t="s">
        <v>4475</v>
      </c>
      <c r="D753" s="1930" t="s">
        <v>4476</v>
      </c>
      <c r="E753" s="1931" t="s">
        <v>33</v>
      </c>
      <c r="F753" s="1930" t="s">
        <v>33</v>
      </c>
      <c r="G753" s="1932">
        <v>89213</v>
      </c>
      <c r="H753" s="1930" t="s">
        <v>786</v>
      </c>
      <c r="I753" s="1930" t="s">
        <v>65</v>
      </c>
      <c r="J753" s="1930" t="s">
        <v>137</v>
      </c>
      <c r="K753" s="1933">
        <v>2.39</v>
      </c>
      <c r="L753" s="1930" t="s">
        <v>138</v>
      </c>
    </row>
    <row r="754" spans="1:12" ht="13.5" x14ac:dyDescent="0.25">
      <c r="A754" s="1930" t="s">
        <v>4469</v>
      </c>
      <c r="B754" s="1930" t="s">
        <v>4470</v>
      </c>
      <c r="C754" s="1930" t="s">
        <v>4475</v>
      </c>
      <c r="D754" s="1930" t="s">
        <v>4476</v>
      </c>
      <c r="E754" s="1931" t="s">
        <v>33</v>
      </c>
      <c r="F754" s="1930" t="s">
        <v>33</v>
      </c>
      <c r="G754" s="1932">
        <v>89214</v>
      </c>
      <c r="H754" s="1930" t="s">
        <v>787</v>
      </c>
      <c r="I754" s="1930" t="s">
        <v>65</v>
      </c>
      <c r="J754" s="1930" t="s">
        <v>137</v>
      </c>
      <c r="K754" s="1933">
        <v>14.25</v>
      </c>
      <c r="L754" s="1930" t="s">
        <v>138</v>
      </c>
    </row>
    <row r="755" spans="1:12" ht="13.5" x14ac:dyDescent="0.25">
      <c r="A755" s="1930" t="s">
        <v>4469</v>
      </c>
      <c r="B755" s="1930" t="s">
        <v>4470</v>
      </c>
      <c r="C755" s="1930" t="s">
        <v>4475</v>
      </c>
      <c r="D755" s="1930" t="s">
        <v>4476</v>
      </c>
      <c r="E755" s="1931" t="s">
        <v>33</v>
      </c>
      <c r="F755" s="1930" t="s">
        <v>33</v>
      </c>
      <c r="G755" s="1932">
        <v>89215</v>
      </c>
      <c r="H755" s="1930" t="s">
        <v>788</v>
      </c>
      <c r="I755" s="1930" t="s">
        <v>65</v>
      </c>
      <c r="J755" s="1930" t="s">
        <v>346</v>
      </c>
      <c r="K755" s="1933">
        <v>57.73</v>
      </c>
      <c r="L755" s="1930" t="s">
        <v>138</v>
      </c>
    </row>
    <row r="756" spans="1:12" ht="13.5" x14ac:dyDescent="0.25">
      <c r="A756" s="1930" t="s">
        <v>4469</v>
      </c>
      <c r="B756" s="1930" t="s">
        <v>4470</v>
      </c>
      <c r="C756" s="1930" t="s">
        <v>4475</v>
      </c>
      <c r="D756" s="1930" t="s">
        <v>4476</v>
      </c>
      <c r="E756" s="1931" t="s">
        <v>33</v>
      </c>
      <c r="F756" s="1930" t="s">
        <v>33</v>
      </c>
      <c r="G756" s="1932">
        <v>89221</v>
      </c>
      <c r="H756" s="1930" t="s">
        <v>789</v>
      </c>
      <c r="I756" s="1930" t="s">
        <v>65</v>
      </c>
      <c r="J756" s="1930" t="s">
        <v>320</v>
      </c>
      <c r="K756" s="1933">
        <v>0.98</v>
      </c>
      <c r="L756" s="1930" t="s">
        <v>138</v>
      </c>
    </row>
    <row r="757" spans="1:12" ht="13.5" x14ac:dyDescent="0.25">
      <c r="A757" s="1930" t="s">
        <v>4469</v>
      </c>
      <c r="B757" s="1930" t="s">
        <v>4470</v>
      </c>
      <c r="C757" s="1930" t="s">
        <v>4475</v>
      </c>
      <c r="D757" s="1930" t="s">
        <v>4476</v>
      </c>
      <c r="E757" s="1931" t="s">
        <v>33</v>
      </c>
      <c r="F757" s="1930" t="s">
        <v>33</v>
      </c>
      <c r="G757" s="1932">
        <v>89222</v>
      </c>
      <c r="H757" s="1930" t="s">
        <v>790</v>
      </c>
      <c r="I757" s="1930" t="s">
        <v>65</v>
      </c>
      <c r="J757" s="1930" t="s">
        <v>320</v>
      </c>
      <c r="K757" s="1933">
        <v>0.11</v>
      </c>
      <c r="L757" s="1930" t="s">
        <v>138</v>
      </c>
    </row>
    <row r="758" spans="1:12" ht="13.5" x14ac:dyDescent="0.25">
      <c r="A758" s="1930" t="s">
        <v>4469</v>
      </c>
      <c r="B758" s="1930" t="s">
        <v>4470</v>
      </c>
      <c r="C758" s="1930" t="s">
        <v>4475</v>
      </c>
      <c r="D758" s="1930" t="s">
        <v>4476</v>
      </c>
      <c r="E758" s="1931" t="s">
        <v>33</v>
      </c>
      <c r="F758" s="1930" t="s">
        <v>33</v>
      </c>
      <c r="G758" s="1932">
        <v>89223</v>
      </c>
      <c r="H758" s="1930" t="s">
        <v>791</v>
      </c>
      <c r="I758" s="1930" t="s">
        <v>65</v>
      </c>
      <c r="J758" s="1930" t="s">
        <v>320</v>
      </c>
      <c r="K758" s="1933">
        <v>0.92</v>
      </c>
      <c r="L758" s="1930" t="s">
        <v>138</v>
      </c>
    </row>
    <row r="759" spans="1:12" ht="13.5" x14ac:dyDescent="0.25">
      <c r="A759" s="1930" t="s">
        <v>4469</v>
      </c>
      <c r="B759" s="1930" t="s">
        <v>4470</v>
      </c>
      <c r="C759" s="1930" t="s">
        <v>4475</v>
      </c>
      <c r="D759" s="1930" t="s">
        <v>4476</v>
      </c>
      <c r="E759" s="1931" t="s">
        <v>33</v>
      </c>
      <c r="F759" s="1930" t="s">
        <v>33</v>
      </c>
      <c r="G759" s="1932">
        <v>89224</v>
      </c>
      <c r="H759" s="1930" t="s">
        <v>792</v>
      </c>
      <c r="I759" s="1930" t="s">
        <v>65</v>
      </c>
      <c r="J759" s="1930" t="s">
        <v>320</v>
      </c>
      <c r="K759" s="1933">
        <v>1.5</v>
      </c>
      <c r="L759" s="1930" t="s">
        <v>138</v>
      </c>
    </row>
    <row r="760" spans="1:12" ht="13.5" x14ac:dyDescent="0.25">
      <c r="A760" s="1930" t="s">
        <v>4469</v>
      </c>
      <c r="B760" s="1930" t="s">
        <v>4470</v>
      </c>
      <c r="C760" s="1930" t="s">
        <v>4475</v>
      </c>
      <c r="D760" s="1930" t="s">
        <v>4476</v>
      </c>
      <c r="E760" s="1931" t="s">
        <v>33</v>
      </c>
      <c r="F760" s="1930" t="s">
        <v>33</v>
      </c>
      <c r="G760" s="1932">
        <v>89228</v>
      </c>
      <c r="H760" s="1930" t="s">
        <v>793</v>
      </c>
      <c r="I760" s="1930" t="s">
        <v>65</v>
      </c>
      <c r="J760" s="1930" t="s">
        <v>137</v>
      </c>
      <c r="K760" s="1933">
        <v>21.52</v>
      </c>
      <c r="L760" s="1930" t="s">
        <v>138</v>
      </c>
    </row>
    <row r="761" spans="1:12" ht="13.5" x14ac:dyDescent="0.25">
      <c r="A761" s="1930" t="s">
        <v>4469</v>
      </c>
      <c r="B761" s="1930" t="s">
        <v>4470</v>
      </c>
      <c r="C761" s="1930" t="s">
        <v>4475</v>
      </c>
      <c r="D761" s="1930" t="s">
        <v>4476</v>
      </c>
      <c r="E761" s="1931" t="s">
        <v>33</v>
      </c>
      <c r="F761" s="1930" t="s">
        <v>33</v>
      </c>
      <c r="G761" s="1932">
        <v>89229</v>
      </c>
      <c r="H761" s="1930" t="s">
        <v>794</v>
      </c>
      <c r="I761" s="1930" t="s">
        <v>65</v>
      </c>
      <c r="J761" s="1930" t="s">
        <v>137</v>
      </c>
      <c r="K761" s="1933">
        <v>3.87</v>
      </c>
      <c r="L761" s="1930" t="s">
        <v>138</v>
      </c>
    </row>
    <row r="762" spans="1:12" ht="13.5" x14ac:dyDescent="0.25">
      <c r="A762" s="1930" t="s">
        <v>4469</v>
      </c>
      <c r="B762" s="1930" t="s">
        <v>4470</v>
      </c>
      <c r="C762" s="1930" t="s">
        <v>4475</v>
      </c>
      <c r="D762" s="1930" t="s">
        <v>4476</v>
      </c>
      <c r="E762" s="1931" t="s">
        <v>33</v>
      </c>
      <c r="F762" s="1930" t="s">
        <v>33</v>
      </c>
      <c r="G762" s="1932">
        <v>89230</v>
      </c>
      <c r="H762" s="1930" t="s">
        <v>795</v>
      </c>
      <c r="I762" s="1930" t="s">
        <v>65</v>
      </c>
      <c r="J762" s="1930" t="s">
        <v>137</v>
      </c>
      <c r="K762" s="1933">
        <v>86.14</v>
      </c>
      <c r="L762" s="1930" t="s">
        <v>138</v>
      </c>
    </row>
    <row r="763" spans="1:12" ht="13.5" x14ac:dyDescent="0.25">
      <c r="A763" s="1930" t="s">
        <v>4469</v>
      </c>
      <c r="B763" s="1930" t="s">
        <v>4470</v>
      </c>
      <c r="C763" s="1930" t="s">
        <v>4475</v>
      </c>
      <c r="D763" s="1930" t="s">
        <v>4476</v>
      </c>
      <c r="E763" s="1931" t="s">
        <v>33</v>
      </c>
      <c r="F763" s="1930" t="s">
        <v>33</v>
      </c>
      <c r="G763" s="1932">
        <v>89231</v>
      </c>
      <c r="H763" s="1930" t="s">
        <v>796</v>
      </c>
      <c r="I763" s="1930" t="s">
        <v>65</v>
      </c>
      <c r="J763" s="1930" t="s">
        <v>137</v>
      </c>
      <c r="K763" s="1933">
        <v>13.64</v>
      </c>
      <c r="L763" s="1930" t="s">
        <v>138</v>
      </c>
    </row>
    <row r="764" spans="1:12" ht="13.5" x14ac:dyDescent="0.25">
      <c r="A764" s="1930" t="s">
        <v>4469</v>
      </c>
      <c r="B764" s="1930" t="s">
        <v>4470</v>
      </c>
      <c r="C764" s="1930" t="s">
        <v>4475</v>
      </c>
      <c r="D764" s="1930" t="s">
        <v>4476</v>
      </c>
      <c r="E764" s="1931" t="s">
        <v>33</v>
      </c>
      <c r="F764" s="1930" t="s">
        <v>33</v>
      </c>
      <c r="G764" s="1932">
        <v>89232</v>
      </c>
      <c r="H764" s="1930" t="s">
        <v>797</v>
      </c>
      <c r="I764" s="1930" t="s">
        <v>65</v>
      </c>
      <c r="J764" s="1930" t="s">
        <v>137</v>
      </c>
      <c r="K764" s="1933">
        <v>153.65</v>
      </c>
      <c r="L764" s="1930" t="s">
        <v>138</v>
      </c>
    </row>
    <row r="765" spans="1:12" ht="13.5" x14ac:dyDescent="0.25">
      <c r="A765" s="1930" t="s">
        <v>4469</v>
      </c>
      <c r="B765" s="1930" t="s">
        <v>4470</v>
      </c>
      <c r="C765" s="1930" t="s">
        <v>4475</v>
      </c>
      <c r="D765" s="1930" t="s">
        <v>4476</v>
      </c>
      <c r="E765" s="1931" t="s">
        <v>33</v>
      </c>
      <c r="F765" s="1930" t="s">
        <v>33</v>
      </c>
      <c r="G765" s="1932">
        <v>89233</v>
      </c>
      <c r="H765" s="1930" t="s">
        <v>798</v>
      </c>
      <c r="I765" s="1930" t="s">
        <v>65</v>
      </c>
      <c r="J765" s="1930" t="s">
        <v>346</v>
      </c>
      <c r="K765" s="1933">
        <v>103.89</v>
      </c>
      <c r="L765" s="1930" t="s">
        <v>138</v>
      </c>
    </row>
    <row r="766" spans="1:12" ht="13.5" x14ac:dyDescent="0.25">
      <c r="A766" s="1930" t="s">
        <v>4469</v>
      </c>
      <c r="B766" s="1930" t="s">
        <v>4470</v>
      </c>
      <c r="C766" s="1930" t="s">
        <v>4475</v>
      </c>
      <c r="D766" s="1930" t="s">
        <v>4476</v>
      </c>
      <c r="E766" s="1931" t="s">
        <v>33</v>
      </c>
      <c r="F766" s="1930" t="s">
        <v>33</v>
      </c>
      <c r="G766" s="1932">
        <v>89236</v>
      </c>
      <c r="H766" s="1930" t="s">
        <v>799</v>
      </c>
      <c r="I766" s="1930" t="s">
        <v>65</v>
      </c>
      <c r="J766" s="1930" t="s">
        <v>137</v>
      </c>
      <c r="K766" s="1933">
        <v>201.22</v>
      </c>
      <c r="L766" s="1930" t="s">
        <v>138</v>
      </c>
    </row>
    <row r="767" spans="1:12" ht="13.5" x14ac:dyDescent="0.25">
      <c r="A767" s="1930" t="s">
        <v>4469</v>
      </c>
      <c r="B767" s="1930" t="s">
        <v>4470</v>
      </c>
      <c r="C767" s="1930" t="s">
        <v>4475</v>
      </c>
      <c r="D767" s="1930" t="s">
        <v>4476</v>
      </c>
      <c r="E767" s="1931" t="s">
        <v>33</v>
      </c>
      <c r="F767" s="1930" t="s">
        <v>33</v>
      </c>
      <c r="G767" s="1932">
        <v>89237</v>
      </c>
      <c r="H767" s="1930" t="s">
        <v>800</v>
      </c>
      <c r="I767" s="1930" t="s">
        <v>65</v>
      </c>
      <c r="J767" s="1930" t="s">
        <v>137</v>
      </c>
      <c r="K767" s="1933">
        <v>31.88</v>
      </c>
      <c r="L767" s="1930" t="s">
        <v>138</v>
      </c>
    </row>
    <row r="768" spans="1:12" ht="13.5" x14ac:dyDescent="0.25">
      <c r="A768" s="1930" t="s">
        <v>4469</v>
      </c>
      <c r="B768" s="1930" t="s">
        <v>4470</v>
      </c>
      <c r="C768" s="1930" t="s">
        <v>4475</v>
      </c>
      <c r="D768" s="1930" t="s">
        <v>4476</v>
      </c>
      <c r="E768" s="1931" t="s">
        <v>33</v>
      </c>
      <c r="F768" s="1930" t="s">
        <v>33</v>
      </c>
      <c r="G768" s="1932">
        <v>89238</v>
      </c>
      <c r="H768" s="1930" t="s">
        <v>801</v>
      </c>
      <c r="I768" s="1930" t="s">
        <v>65</v>
      </c>
      <c r="J768" s="1930" t="s">
        <v>137</v>
      </c>
      <c r="K768" s="1933">
        <v>358.92</v>
      </c>
      <c r="L768" s="1930" t="s">
        <v>138</v>
      </c>
    </row>
    <row r="769" spans="1:12" ht="13.5" x14ac:dyDescent="0.25">
      <c r="A769" s="1930" t="s">
        <v>4469</v>
      </c>
      <c r="B769" s="1930" t="s">
        <v>4470</v>
      </c>
      <c r="C769" s="1930" t="s">
        <v>4475</v>
      </c>
      <c r="D769" s="1930" t="s">
        <v>4476</v>
      </c>
      <c r="E769" s="1931" t="s">
        <v>33</v>
      </c>
      <c r="F769" s="1930" t="s">
        <v>33</v>
      </c>
      <c r="G769" s="1932">
        <v>89239</v>
      </c>
      <c r="H769" s="1930" t="s">
        <v>802</v>
      </c>
      <c r="I769" s="1930" t="s">
        <v>65</v>
      </c>
      <c r="J769" s="1930" t="s">
        <v>346</v>
      </c>
      <c r="K769" s="1933">
        <v>274.75</v>
      </c>
      <c r="L769" s="1930" t="s">
        <v>138</v>
      </c>
    </row>
    <row r="770" spans="1:12" ht="13.5" x14ac:dyDescent="0.25">
      <c r="A770" s="1930" t="s">
        <v>4469</v>
      </c>
      <c r="B770" s="1930" t="s">
        <v>4470</v>
      </c>
      <c r="C770" s="1930" t="s">
        <v>4475</v>
      </c>
      <c r="D770" s="1930" t="s">
        <v>4476</v>
      </c>
      <c r="E770" s="1931" t="s">
        <v>33</v>
      </c>
      <c r="F770" s="1930" t="s">
        <v>33</v>
      </c>
      <c r="G770" s="1932">
        <v>89240</v>
      </c>
      <c r="H770" s="1930" t="s">
        <v>803</v>
      </c>
      <c r="I770" s="1930" t="s">
        <v>65</v>
      </c>
      <c r="J770" s="1930" t="s">
        <v>137</v>
      </c>
      <c r="K770" s="1933">
        <v>61.75</v>
      </c>
      <c r="L770" s="1930" t="s">
        <v>138</v>
      </c>
    </row>
    <row r="771" spans="1:12" ht="13.5" x14ac:dyDescent="0.25">
      <c r="A771" s="1930" t="s">
        <v>4469</v>
      </c>
      <c r="B771" s="1930" t="s">
        <v>4470</v>
      </c>
      <c r="C771" s="1930" t="s">
        <v>4475</v>
      </c>
      <c r="D771" s="1930" t="s">
        <v>4476</v>
      </c>
      <c r="E771" s="1931" t="s">
        <v>33</v>
      </c>
      <c r="F771" s="1930" t="s">
        <v>33</v>
      </c>
      <c r="G771" s="1932">
        <v>89241</v>
      </c>
      <c r="H771" s="1930" t="s">
        <v>804</v>
      </c>
      <c r="I771" s="1930" t="s">
        <v>65</v>
      </c>
      <c r="J771" s="1930" t="s">
        <v>137</v>
      </c>
      <c r="K771" s="1933">
        <v>11.11</v>
      </c>
      <c r="L771" s="1930" t="s">
        <v>138</v>
      </c>
    </row>
    <row r="772" spans="1:12" ht="13.5" x14ac:dyDescent="0.25">
      <c r="A772" s="1930" t="s">
        <v>4469</v>
      </c>
      <c r="B772" s="1930" t="s">
        <v>4470</v>
      </c>
      <c r="C772" s="1930" t="s">
        <v>4475</v>
      </c>
      <c r="D772" s="1930" t="s">
        <v>4476</v>
      </c>
      <c r="E772" s="1931" t="s">
        <v>33</v>
      </c>
      <c r="F772" s="1930" t="s">
        <v>33</v>
      </c>
      <c r="G772" s="1932">
        <v>89246</v>
      </c>
      <c r="H772" s="1930" t="s">
        <v>805</v>
      </c>
      <c r="I772" s="1930" t="s">
        <v>65</v>
      </c>
      <c r="J772" s="1930" t="s">
        <v>137</v>
      </c>
      <c r="K772" s="1933">
        <v>174.85</v>
      </c>
      <c r="L772" s="1930" t="s">
        <v>138</v>
      </c>
    </row>
    <row r="773" spans="1:12" ht="13.5" x14ac:dyDescent="0.25">
      <c r="A773" s="1930" t="s">
        <v>4469</v>
      </c>
      <c r="B773" s="1930" t="s">
        <v>4470</v>
      </c>
      <c r="C773" s="1930" t="s">
        <v>4475</v>
      </c>
      <c r="D773" s="1930" t="s">
        <v>4476</v>
      </c>
      <c r="E773" s="1931" t="s">
        <v>33</v>
      </c>
      <c r="F773" s="1930" t="s">
        <v>33</v>
      </c>
      <c r="G773" s="1932">
        <v>89247</v>
      </c>
      <c r="H773" s="1930" t="s">
        <v>806</v>
      </c>
      <c r="I773" s="1930" t="s">
        <v>65</v>
      </c>
      <c r="J773" s="1930" t="s">
        <v>137</v>
      </c>
      <c r="K773" s="1933">
        <v>27.7</v>
      </c>
      <c r="L773" s="1930" t="s">
        <v>138</v>
      </c>
    </row>
    <row r="774" spans="1:12" ht="13.5" x14ac:dyDescent="0.25">
      <c r="A774" s="1930" t="s">
        <v>4469</v>
      </c>
      <c r="B774" s="1930" t="s">
        <v>4470</v>
      </c>
      <c r="C774" s="1930" t="s">
        <v>4475</v>
      </c>
      <c r="D774" s="1930" t="s">
        <v>4476</v>
      </c>
      <c r="E774" s="1931" t="s">
        <v>33</v>
      </c>
      <c r="F774" s="1930" t="s">
        <v>33</v>
      </c>
      <c r="G774" s="1932">
        <v>89248</v>
      </c>
      <c r="H774" s="1930" t="s">
        <v>807</v>
      </c>
      <c r="I774" s="1930" t="s">
        <v>65</v>
      </c>
      <c r="J774" s="1930" t="s">
        <v>137</v>
      </c>
      <c r="K774" s="1933">
        <v>311.88</v>
      </c>
      <c r="L774" s="1930" t="s">
        <v>138</v>
      </c>
    </row>
    <row r="775" spans="1:12" ht="13.5" x14ac:dyDescent="0.25">
      <c r="A775" s="1930" t="s">
        <v>4469</v>
      </c>
      <c r="B775" s="1930" t="s">
        <v>4470</v>
      </c>
      <c r="C775" s="1930" t="s">
        <v>4475</v>
      </c>
      <c r="D775" s="1930" t="s">
        <v>4476</v>
      </c>
      <c r="E775" s="1931" t="s">
        <v>33</v>
      </c>
      <c r="F775" s="1930" t="s">
        <v>33</v>
      </c>
      <c r="G775" s="1932">
        <v>89249</v>
      </c>
      <c r="H775" s="1930" t="s">
        <v>808</v>
      </c>
      <c r="I775" s="1930" t="s">
        <v>65</v>
      </c>
      <c r="J775" s="1930" t="s">
        <v>346</v>
      </c>
      <c r="K775" s="1933">
        <v>234.21</v>
      </c>
      <c r="L775" s="1930" t="s">
        <v>138</v>
      </c>
    </row>
    <row r="776" spans="1:12" ht="13.5" x14ac:dyDescent="0.25">
      <c r="A776" s="1930" t="s">
        <v>4469</v>
      </c>
      <c r="B776" s="1930" t="s">
        <v>4470</v>
      </c>
      <c r="C776" s="1930" t="s">
        <v>4475</v>
      </c>
      <c r="D776" s="1930" t="s">
        <v>4476</v>
      </c>
      <c r="E776" s="1931" t="s">
        <v>33</v>
      </c>
      <c r="F776" s="1930" t="s">
        <v>33</v>
      </c>
      <c r="G776" s="1932">
        <v>89253</v>
      </c>
      <c r="H776" s="1930" t="s">
        <v>809</v>
      </c>
      <c r="I776" s="1930" t="s">
        <v>65</v>
      </c>
      <c r="J776" s="1930" t="s">
        <v>137</v>
      </c>
      <c r="K776" s="1933">
        <v>50.6</v>
      </c>
      <c r="L776" s="1930" t="s">
        <v>138</v>
      </c>
    </row>
    <row r="777" spans="1:12" ht="13.5" x14ac:dyDescent="0.25">
      <c r="A777" s="1930" t="s">
        <v>4469</v>
      </c>
      <c r="B777" s="1930" t="s">
        <v>4470</v>
      </c>
      <c r="C777" s="1930" t="s">
        <v>4475</v>
      </c>
      <c r="D777" s="1930" t="s">
        <v>4476</v>
      </c>
      <c r="E777" s="1931" t="s">
        <v>33</v>
      </c>
      <c r="F777" s="1930" t="s">
        <v>33</v>
      </c>
      <c r="G777" s="1932">
        <v>89254</v>
      </c>
      <c r="H777" s="1930" t="s">
        <v>810</v>
      </c>
      <c r="I777" s="1930" t="s">
        <v>65</v>
      </c>
      <c r="J777" s="1930" t="s">
        <v>137</v>
      </c>
      <c r="K777" s="1933">
        <v>9.1</v>
      </c>
      <c r="L777" s="1930" t="s">
        <v>138</v>
      </c>
    </row>
    <row r="778" spans="1:12" ht="13.5" x14ac:dyDescent="0.25">
      <c r="A778" s="1930" t="s">
        <v>4469</v>
      </c>
      <c r="B778" s="1930" t="s">
        <v>4470</v>
      </c>
      <c r="C778" s="1930" t="s">
        <v>4475</v>
      </c>
      <c r="D778" s="1930" t="s">
        <v>4476</v>
      </c>
      <c r="E778" s="1931" t="s">
        <v>33</v>
      </c>
      <c r="F778" s="1930" t="s">
        <v>33</v>
      </c>
      <c r="G778" s="1932">
        <v>89255</v>
      </c>
      <c r="H778" s="1930" t="s">
        <v>811</v>
      </c>
      <c r="I778" s="1930" t="s">
        <v>65</v>
      </c>
      <c r="J778" s="1930" t="s">
        <v>137</v>
      </c>
      <c r="K778" s="1933">
        <v>81.34</v>
      </c>
      <c r="L778" s="1930" t="s">
        <v>138</v>
      </c>
    </row>
    <row r="779" spans="1:12" ht="13.5" x14ac:dyDescent="0.25">
      <c r="A779" s="1930" t="s">
        <v>4469</v>
      </c>
      <c r="B779" s="1930" t="s">
        <v>4470</v>
      </c>
      <c r="C779" s="1930" t="s">
        <v>4475</v>
      </c>
      <c r="D779" s="1930" t="s">
        <v>4476</v>
      </c>
      <c r="E779" s="1931" t="s">
        <v>33</v>
      </c>
      <c r="F779" s="1930" t="s">
        <v>33</v>
      </c>
      <c r="G779" s="1932">
        <v>89256</v>
      </c>
      <c r="H779" s="1930" t="s">
        <v>812</v>
      </c>
      <c r="I779" s="1930" t="s">
        <v>65</v>
      </c>
      <c r="J779" s="1930" t="s">
        <v>346</v>
      </c>
      <c r="K779" s="1933">
        <v>52.71</v>
      </c>
      <c r="L779" s="1930" t="s">
        <v>138</v>
      </c>
    </row>
    <row r="780" spans="1:12" ht="13.5" x14ac:dyDescent="0.25">
      <c r="A780" s="1930" t="s">
        <v>4469</v>
      </c>
      <c r="B780" s="1930" t="s">
        <v>4470</v>
      </c>
      <c r="C780" s="1930" t="s">
        <v>4475</v>
      </c>
      <c r="D780" s="1930" t="s">
        <v>4476</v>
      </c>
      <c r="E780" s="1931" t="s">
        <v>33</v>
      </c>
      <c r="F780" s="1930" t="s">
        <v>33</v>
      </c>
      <c r="G780" s="1932">
        <v>89259</v>
      </c>
      <c r="H780" s="1930" t="s">
        <v>813</v>
      </c>
      <c r="I780" s="1930" t="s">
        <v>65</v>
      </c>
      <c r="J780" s="1930" t="s">
        <v>137</v>
      </c>
      <c r="K780" s="1933">
        <v>9.98</v>
      </c>
      <c r="L780" s="1930" t="s">
        <v>138</v>
      </c>
    </row>
    <row r="781" spans="1:12" ht="13.5" x14ac:dyDescent="0.25">
      <c r="A781" s="1930" t="s">
        <v>4469</v>
      </c>
      <c r="B781" s="1930" t="s">
        <v>4470</v>
      </c>
      <c r="C781" s="1930" t="s">
        <v>4475</v>
      </c>
      <c r="D781" s="1930" t="s">
        <v>4476</v>
      </c>
      <c r="E781" s="1931" t="s">
        <v>33</v>
      </c>
      <c r="F781" s="1930" t="s">
        <v>33</v>
      </c>
      <c r="G781" s="1932">
        <v>89260</v>
      </c>
      <c r="H781" s="1930" t="s">
        <v>814</v>
      </c>
      <c r="I781" s="1930" t="s">
        <v>65</v>
      </c>
      <c r="J781" s="1930" t="s">
        <v>137</v>
      </c>
      <c r="K781" s="1933">
        <v>2.08</v>
      </c>
      <c r="L781" s="1930" t="s">
        <v>138</v>
      </c>
    </row>
    <row r="782" spans="1:12" ht="13.5" x14ac:dyDescent="0.25">
      <c r="A782" s="1930" t="s">
        <v>4469</v>
      </c>
      <c r="B782" s="1930" t="s">
        <v>4470</v>
      </c>
      <c r="C782" s="1930" t="s">
        <v>4475</v>
      </c>
      <c r="D782" s="1930" t="s">
        <v>4476</v>
      </c>
      <c r="E782" s="1931" t="s">
        <v>33</v>
      </c>
      <c r="F782" s="1930" t="s">
        <v>33</v>
      </c>
      <c r="G782" s="1932">
        <v>89262</v>
      </c>
      <c r="H782" s="1930" t="s">
        <v>815</v>
      </c>
      <c r="I782" s="1930" t="s">
        <v>65</v>
      </c>
      <c r="J782" s="1930" t="s">
        <v>137</v>
      </c>
      <c r="K782" s="1933">
        <v>18.72</v>
      </c>
      <c r="L782" s="1930" t="s">
        <v>138</v>
      </c>
    </row>
    <row r="783" spans="1:12" ht="13.5" x14ac:dyDescent="0.25">
      <c r="A783" s="1930" t="s">
        <v>4469</v>
      </c>
      <c r="B783" s="1930" t="s">
        <v>4470</v>
      </c>
      <c r="C783" s="1930" t="s">
        <v>4475</v>
      </c>
      <c r="D783" s="1930" t="s">
        <v>4476</v>
      </c>
      <c r="E783" s="1931" t="s">
        <v>33</v>
      </c>
      <c r="F783" s="1930" t="s">
        <v>33</v>
      </c>
      <c r="G783" s="1932">
        <v>89264</v>
      </c>
      <c r="H783" s="1930" t="s">
        <v>816</v>
      </c>
      <c r="I783" s="1930" t="s">
        <v>65</v>
      </c>
      <c r="J783" s="1930" t="s">
        <v>137</v>
      </c>
      <c r="K783" s="1933">
        <v>8.08</v>
      </c>
      <c r="L783" s="1930" t="s">
        <v>138</v>
      </c>
    </row>
    <row r="784" spans="1:12" ht="13.5" x14ac:dyDescent="0.25">
      <c r="A784" s="1930" t="s">
        <v>4469</v>
      </c>
      <c r="B784" s="1930" t="s">
        <v>4470</v>
      </c>
      <c r="C784" s="1930" t="s">
        <v>4475</v>
      </c>
      <c r="D784" s="1930" t="s">
        <v>4476</v>
      </c>
      <c r="E784" s="1931" t="s">
        <v>33</v>
      </c>
      <c r="F784" s="1930" t="s">
        <v>33</v>
      </c>
      <c r="G784" s="1932">
        <v>89265</v>
      </c>
      <c r="H784" s="1930" t="s">
        <v>817</v>
      </c>
      <c r="I784" s="1930" t="s">
        <v>65</v>
      </c>
      <c r="J784" s="1930" t="s">
        <v>137</v>
      </c>
      <c r="K784" s="1933">
        <v>1.68</v>
      </c>
      <c r="L784" s="1930" t="s">
        <v>138</v>
      </c>
    </row>
    <row r="785" spans="1:12" ht="13.5" x14ac:dyDescent="0.25">
      <c r="A785" s="1930" t="s">
        <v>4469</v>
      </c>
      <c r="B785" s="1930" t="s">
        <v>4470</v>
      </c>
      <c r="C785" s="1930" t="s">
        <v>4475</v>
      </c>
      <c r="D785" s="1930" t="s">
        <v>4476</v>
      </c>
      <c r="E785" s="1931" t="s">
        <v>33</v>
      </c>
      <c r="F785" s="1930" t="s">
        <v>33</v>
      </c>
      <c r="G785" s="1932">
        <v>89266</v>
      </c>
      <c r="H785" s="1930" t="s">
        <v>818</v>
      </c>
      <c r="I785" s="1930" t="s">
        <v>65</v>
      </c>
      <c r="J785" s="1930" t="s">
        <v>137</v>
      </c>
      <c r="K785" s="1933">
        <v>0.65</v>
      </c>
      <c r="L785" s="1930" t="s">
        <v>138</v>
      </c>
    </row>
    <row r="786" spans="1:12" ht="13.5" x14ac:dyDescent="0.25">
      <c r="A786" s="1930" t="s">
        <v>4469</v>
      </c>
      <c r="B786" s="1930" t="s">
        <v>4470</v>
      </c>
      <c r="C786" s="1930" t="s">
        <v>4475</v>
      </c>
      <c r="D786" s="1930" t="s">
        <v>4476</v>
      </c>
      <c r="E786" s="1931" t="s">
        <v>33</v>
      </c>
      <c r="F786" s="1930" t="s">
        <v>33</v>
      </c>
      <c r="G786" s="1932">
        <v>89267</v>
      </c>
      <c r="H786" s="1930" t="s">
        <v>819</v>
      </c>
      <c r="I786" s="1930" t="s">
        <v>65</v>
      </c>
      <c r="J786" s="1930" t="s">
        <v>137</v>
      </c>
      <c r="K786" s="1933">
        <v>26.42</v>
      </c>
      <c r="L786" s="1930" t="s">
        <v>138</v>
      </c>
    </row>
    <row r="787" spans="1:12" ht="13.5" x14ac:dyDescent="0.25">
      <c r="A787" s="1930" t="s">
        <v>4469</v>
      </c>
      <c r="B787" s="1930" t="s">
        <v>4470</v>
      </c>
      <c r="C787" s="1930" t="s">
        <v>4475</v>
      </c>
      <c r="D787" s="1930" t="s">
        <v>4476</v>
      </c>
      <c r="E787" s="1931" t="s">
        <v>33</v>
      </c>
      <c r="F787" s="1930" t="s">
        <v>33</v>
      </c>
      <c r="G787" s="1932">
        <v>89268</v>
      </c>
      <c r="H787" s="1930" t="s">
        <v>820</v>
      </c>
      <c r="I787" s="1930" t="s">
        <v>65</v>
      </c>
      <c r="J787" s="1930" t="s">
        <v>137</v>
      </c>
      <c r="K787" s="1933">
        <v>4.75</v>
      </c>
      <c r="L787" s="1930" t="s">
        <v>138</v>
      </c>
    </row>
    <row r="788" spans="1:12" ht="13.5" x14ac:dyDescent="0.25">
      <c r="A788" s="1930" t="s">
        <v>4469</v>
      </c>
      <c r="B788" s="1930" t="s">
        <v>4470</v>
      </c>
      <c r="C788" s="1930" t="s">
        <v>4475</v>
      </c>
      <c r="D788" s="1930" t="s">
        <v>4476</v>
      </c>
      <c r="E788" s="1931" t="s">
        <v>33</v>
      </c>
      <c r="F788" s="1930" t="s">
        <v>33</v>
      </c>
      <c r="G788" s="1932">
        <v>89269</v>
      </c>
      <c r="H788" s="1930" t="s">
        <v>821</v>
      </c>
      <c r="I788" s="1930" t="s">
        <v>65</v>
      </c>
      <c r="J788" s="1930" t="s">
        <v>137</v>
      </c>
      <c r="K788" s="1933">
        <v>1.84</v>
      </c>
      <c r="L788" s="1930" t="s">
        <v>138</v>
      </c>
    </row>
    <row r="789" spans="1:12" ht="13.5" x14ac:dyDescent="0.25">
      <c r="A789" s="1930" t="s">
        <v>4469</v>
      </c>
      <c r="B789" s="1930" t="s">
        <v>4470</v>
      </c>
      <c r="C789" s="1930" t="s">
        <v>4475</v>
      </c>
      <c r="D789" s="1930" t="s">
        <v>4476</v>
      </c>
      <c r="E789" s="1931" t="s">
        <v>33</v>
      </c>
      <c r="F789" s="1930" t="s">
        <v>33</v>
      </c>
      <c r="G789" s="1932">
        <v>89270</v>
      </c>
      <c r="H789" s="1930" t="s">
        <v>822</v>
      </c>
      <c r="I789" s="1930" t="s">
        <v>65</v>
      </c>
      <c r="J789" s="1930" t="s">
        <v>137</v>
      </c>
      <c r="K789" s="1933">
        <v>42.48</v>
      </c>
      <c r="L789" s="1930" t="s">
        <v>138</v>
      </c>
    </row>
    <row r="790" spans="1:12" ht="13.5" x14ac:dyDescent="0.25">
      <c r="A790" s="1930" t="s">
        <v>4469</v>
      </c>
      <c r="B790" s="1930" t="s">
        <v>4470</v>
      </c>
      <c r="C790" s="1930" t="s">
        <v>4475</v>
      </c>
      <c r="D790" s="1930" t="s">
        <v>4476</v>
      </c>
      <c r="E790" s="1931" t="s">
        <v>33</v>
      </c>
      <c r="F790" s="1930" t="s">
        <v>33</v>
      </c>
      <c r="G790" s="1932">
        <v>89271</v>
      </c>
      <c r="H790" s="1930" t="s">
        <v>823</v>
      </c>
      <c r="I790" s="1930" t="s">
        <v>65</v>
      </c>
      <c r="J790" s="1930" t="s">
        <v>346</v>
      </c>
      <c r="K790" s="1933">
        <v>18.04</v>
      </c>
      <c r="L790" s="1930" t="s">
        <v>138</v>
      </c>
    </row>
    <row r="791" spans="1:12" ht="13.5" x14ac:dyDescent="0.25">
      <c r="A791" s="1930" t="s">
        <v>4469</v>
      </c>
      <c r="B791" s="1930" t="s">
        <v>4470</v>
      </c>
      <c r="C791" s="1930" t="s">
        <v>4475</v>
      </c>
      <c r="D791" s="1930" t="s">
        <v>4476</v>
      </c>
      <c r="E791" s="1931" t="s">
        <v>33</v>
      </c>
      <c r="F791" s="1930" t="s">
        <v>33</v>
      </c>
      <c r="G791" s="1932">
        <v>89274</v>
      </c>
      <c r="H791" s="1930" t="s">
        <v>824</v>
      </c>
      <c r="I791" s="1930" t="s">
        <v>65</v>
      </c>
      <c r="J791" s="1930" t="s">
        <v>320</v>
      </c>
      <c r="K791" s="1933">
        <v>1.2</v>
      </c>
      <c r="L791" s="1930" t="s">
        <v>138</v>
      </c>
    </row>
    <row r="792" spans="1:12" ht="13.5" x14ac:dyDescent="0.25">
      <c r="A792" s="1930" t="s">
        <v>4469</v>
      </c>
      <c r="B792" s="1930" t="s">
        <v>4470</v>
      </c>
      <c r="C792" s="1930" t="s">
        <v>4475</v>
      </c>
      <c r="D792" s="1930" t="s">
        <v>4476</v>
      </c>
      <c r="E792" s="1931" t="s">
        <v>33</v>
      </c>
      <c r="F792" s="1930" t="s">
        <v>33</v>
      </c>
      <c r="G792" s="1932">
        <v>89275</v>
      </c>
      <c r="H792" s="1930" t="s">
        <v>825</v>
      </c>
      <c r="I792" s="1930" t="s">
        <v>65</v>
      </c>
      <c r="J792" s="1930" t="s">
        <v>320</v>
      </c>
      <c r="K792" s="1933">
        <v>0.14000000000000001</v>
      </c>
      <c r="L792" s="1930" t="s">
        <v>138</v>
      </c>
    </row>
    <row r="793" spans="1:12" ht="13.5" x14ac:dyDescent="0.25">
      <c r="A793" s="1930" t="s">
        <v>4469</v>
      </c>
      <c r="B793" s="1930" t="s">
        <v>4470</v>
      </c>
      <c r="C793" s="1930" t="s">
        <v>4475</v>
      </c>
      <c r="D793" s="1930" t="s">
        <v>4476</v>
      </c>
      <c r="E793" s="1931" t="s">
        <v>33</v>
      </c>
      <c r="F793" s="1930" t="s">
        <v>33</v>
      </c>
      <c r="G793" s="1932">
        <v>89276</v>
      </c>
      <c r="H793" s="1930" t="s">
        <v>826</v>
      </c>
      <c r="I793" s="1930" t="s">
        <v>65</v>
      </c>
      <c r="J793" s="1930" t="s">
        <v>320</v>
      </c>
      <c r="K793" s="1933">
        <v>1.1200000000000001</v>
      </c>
      <c r="L793" s="1930" t="s">
        <v>138</v>
      </c>
    </row>
    <row r="794" spans="1:12" ht="13.5" x14ac:dyDescent="0.25">
      <c r="A794" s="1930" t="s">
        <v>4469</v>
      </c>
      <c r="B794" s="1930" t="s">
        <v>4470</v>
      </c>
      <c r="C794" s="1930" t="s">
        <v>4475</v>
      </c>
      <c r="D794" s="1930" t="s">
        <v>4476</v>
      </c>
      <c r="E794" s="1931" t="s">
        <v>33</v>
      </c>
      <c r="F794" s="1930" t="s">
        <v>33</v>
      </c>
      <c r="G794" s="1932">
        <v>89277</v>
      </c>
      <c r="H794" s="1930" t="s">
        <v>827</v>
      </c>
      <c r="I794" s="1930" t="s">
        <v>65</v>
      </c>
      <c r="J794" s="1930" t="s">
        <v>346</v>
      </c>
      <c r="K794" s="1933">
        <v>5.28</v>
      </c>
      <c r="L794" s="1930" t="s">
        <v>138</v>
      </c>
    </row>
    <row r="795" spans="1:12" ht="13.5" x14ac:dyDescent="0.25">
      <c r="A795" s="1930" t="s">
        <v>4469</v>
      </c>
      <c r="B795" s="1930" t="s">
        <v>4470</v>
      </c>
      <c r="C795" s="1930" t="s">
        <v>4475</v>
      </c>
      <c r="D795" s="1930" t="s">
        <v>4476</v>
      </c>
      <c r="E795" s="1931" t="s">
        <v>33</v>
      </c>
      <c r="F795" s="1930" t="s">
        <v>33</v>
      </c>
      <c r="G795" s="1932">
        <v>89280</v>
      </c>
      <c r="H795" s="1930" t="s">
        <v>828</v>
      </c>
      <c r="I795" s="1930" t="s">
        <v>65</v>
      </c>
      <c r="J795" s="1930" t="s">
        <v>137</v>
      </c>
      <c r="K795" s="1933">
        <v>18.489999999999998</v>
      </c>
      <c r="L795" s="1930" t="s">
        <v>138</v>
      </c>
    </row>
    <row r="796" spans="1:12" ht="13.5" x14ac:dyDescent="0.25">
      <c r="A796" s="1930" t="s">
        <v>4469</v>
      </c>
      <c r="B796" s="1930" t="s">
        <v>4470</v>
      </c>
      <c r="C796" s="1930" t="s">
        <v>4475</v>
      </c>
      <c r="D796" s="1930" t="s">
        <v>4476</v>
      </c>
      <c r="E796" s="1931" t="s">
        <v>33</v>
      </c>
      <c r="F796" s="1930" t="s">
        <v>33</v>
      </c>
      <c r="G796" s="1932">
        <v>89281</v>
      </c>
      <c r="H796" s="1930" t="s">
        <v>829</v>
      </c>
      <c r="I796" s="1930" t="s">
        <v>65</v>
      </c>
      <c r="J796" s="1930" t="s">
        <v>137</v>
      </c>
      <c r="K796" s="1933">
        <v>2.56</v>
      </c>
      <c r="L796" s="1930" t="s">
        <v>138</v>
      </c>
    </row>
    <row r="797" spans="1:12" ht="13.5" x14ac:dyDescent="0.25">
      <c r="A797" s="1930" t="s">
        <v>4469</v>
      </c>
      <c r="B797" s="1930" t="s">
        <v>4470</v>
      </c>
      <c r="C797" s="1930" t="s">
        <v>4475</v>
      </c>
      <c r="D797" s="1930" t="s">
        <v>4476</v>
      </c>
      <c r="E797" s="1931" t="s">
        <v>33</v>
      </c>
      <c r="F797" s="1930" t="s">
        <v>33</v>
      </c>
      <c r="G797" s="1932">
        <v>89870</v>
      </c>
      <c r="H797" s="1930" t="s">
        <v>830</v>
      </c>
      <c r="I797" s="1930" t="s">
        <v>65</v>
      </c>
      <c r="J797" s="1930" t="s">
        <v>137</v>
      </c>
      <c r="K797" s="1933">
        <v>20.239999999999998</v>
      </c>
      <c r="L797" s="1930" t="s">
        <v>138</v>
      </c>
    </row>
    <row r="798" spans="1:12" ht="13.5" x14ac:dyDescent="0.25">
      <c r="A798" s="1930" t="s">
        <v>4469</v>
      </c>
      <c r="B798" s="1930" t="s">
        <v>4470</v>
      </c>
      <c r="C798" s="1930" t="s">
        <v>4475</v>
      </c>
      <c r="D798" s="1930" t="s">
        <v>4476</v>
      </c>
      <c r="E798" s="1931" t="s">
        <v>33</v>
      </c>
      <c r="F798" s="1930" t="s">
        <v>33</v>
      </c>
      <c r="G798" s="1932">
        <v>89871</v>
      </c>
      <c r="H798" s="1930" t="s">
        <v>831</v>
      </c>
      <c r="I798" s="1930" t="s">
        <v>65</v>
      </c>
      <c r="J798" s="1930" t="s">
        <v>137</v>
      </c>
      <c r="K798" s="1933">
        <v>3.74</v>
      </c>
      <c r="L798" s="1930" t="s">
        <v>138</v>
      </c>
    </row>
    <row r="799" spans="1:12" ht="13.5" x14ac:dyDescent="0.25">
      <c r="A799" s="1930" t="s">
        <v>4469</v>
      </c>
      <c r="B799" s="1930" t="s">
        <v>4470</v>
      </c>
      <c r="C799" s="1930" t="s">
        <v>4475</v>
      </c>
      <c r="D799" s="1930" t="s">
        <v>4476</v>
      </c>
      <c r="E799" s="1931" t="s">
        <v>33</v>
      </c>
      <c r="F799" s="1930" t="s">
        <v>33</v>
      </c>
      <c r="G799" s="1932">
        <v>89872</v>
      </c>
      <c r="H799" s="1930" t="s">
        <v>832</v>
      </c>
      <c r="I799" s="1930" t="s">
        <v>65</v>
      </c>
      <c r="J799" s="1930" t="s">
        <v>137</v>
      </c>
      <c r="K799" s="1933">
        <v>1.46</v>
      </c>
      <c r="L799" s="1930" t="s">
        <v>138</v>
      </c>
    </row>
    <row r="800" spans="1:12" ht="13.5" x14ac:dyDescent="0.25">
      <c r="A800" s="1930" t="s">
        <v>4469</v>
      </c>
      <c r="B800" s="1930" t="s">
        <v>4470</v>
      </c>
      <c r="C800" s="1930" t="s">
        <v>4475</v>
      </c>
      <c r="D800" s="1930" t="s">
        <v>4476</v>
      </c>
      <c r="E800" s="1931" t="s">
        <v>33</v>
      </c>
      <c r="F800" s="1930" t="s">
        <v>33</v>
      </c>
      <c r="G800" s="1932">
        <v>89873</v>
      </c>
      <c r="H800" s="1930" t="s">
        <v>833</v>
      </c>
      <c r="I800" s="1930" t="s">
        <v>65</v>
      </c>
      <c r="J800" s="1930" t="s">
        <v>137</v>
      </c>
      <c r="K800" s="1933">
        <v>37.96</v>
      </c>
      <c r="L800" s="1930" t="s">
        <v>138</v>
      </c>
    </row>
    <row r="801" spans="1:12" ht="13.5" x14ac:dyDescent="0.25">
      <c r="A801" s="1930" t="s">
        <v>4469</v>
      </c>
      <c r="B801" s="1930" t="s">
        <v>4470</v>
      </c>
      <c r="C801" s="1930" t="s">
        <v>4475</v>
      </c>
      <c r="D801" s="1930" t="s">
        <v>4476</v>
      </c>
      <c r="E801" s="1931" t="s">
        <v>33</v>
      </c>
      <c r="F801" s="1930" t="s">
        <v>33</v>
      </c>
      <c r="G801" s="1932">
        <v>89874</v>
      </c>
      <c r="H801" s="1930" t="s">
        <v>834</v>
      </c>
      <c r="I801" s="1930" t="s">
        <v>65</v>
      </c>
      <c r="J801" s="1930" t="s">
        <v>346</v>
      </c>
      <c r="K801" s="1933">
        <v>109.62</v>
      </c>
      <c r="L801" s="1930" t="s">
        <v>138</v>
      </c>
    </row>
    <row r="802" spans="1:12" ht="13.5" x14ac:dyDescent="0.25">
      <c r="A802" s="1930" t="s">
        <v>4469</v>
      </c>
      <c r="B802" s="1930" t="s">
        <v>4470</v>
      </c>
      <c r="C802" s="1930" t="s">
        <v>4475</v>
      </c>
      <c r="D802" s="1930" t="s">
        <v>4476</v>
      </c>
      <c r="E802" s="1931" t="s">
        <v>33</v>
      </c>
      <c r="F802" s="1930" t="s">
        <v>33</v>
      </c>
      <c r="G802" s="1932">
        <v>89878</v>
      </c>
      <c r="H802" s="1930" t="s">
        <v>835</v>
      </c>
      <c r="I802" s="1930" t="s">
        <v>65</v>
      </c>
      <c r="J802" s="1930" t="s">
        <v>137</v>
      </c>
      <c r="K802" s="1933">
        <v>21.35</v>
      </c>
      <c r="L802" s="1930" t="s">
        <v>138</v>
      </c>
    </row>
    <row r="803" spans="1:12" ht="13.5" x14ac:dyDescent="0.25">
      <c r="A803" s="1930" t="s">
        <v>4469</v>
      </c>
      <c r="B803" s="1930" t="s">
        <v>4470</v>
      </c>
      <c r="C803" s="1930" t="s">
        <v>4475</v>
      </c>
      <c r="D803" s="1930" t="s">
        <v>4476</v>
      </c>
      <c r="E803" s="1931" t="s">
        <v>33</v>
      </c>
      <c r="F803" s="1930" t="s">
        <v>33</v>
      </c>
      <c r="G803" s="1932">
        <v>89879</v>
      </c>
      <c r="H803" s="1930" t="s">
        <v>836</v>
      </c>
      <c r="I803" s="1930" t="s">
        <v>65</v>
      </c>
      <c r="J803" s="1930" t="s">
        <v>137</v>
      </c>
      <c r="K803" s="1933">
        <v>3.94</v>
      </c>
      <c r="L803" s="1930" t="s">
        <v>138</v>
      </c>
    </row>
    <row r="804" spans="1:12" ht="13.5" x14ac:dyDescent="0.25">
      <c r="A804" s="1930" t="s">
        <v>4469</v>
      </c>
      <c r="B804" s="1930" t="s">
        <v>4470</v>
      </c>
      <c r="C804" s="1930" t="s">
        <v>4475</v>
      </c>
      <c r="D804" s="1930" t="s">
        <v>4476</v>
      </c>
      <c r="E804" s="1931" t="s">
        <v>33</v>
      </c>
      <c r="F804" s="1930" t="s">
        <v>33</v>
      </c>
      <c r="G804" s="1932">
        <v>89880</v>
      </c>
      <c r="H804" s="1930" t="s">
        <v>837</v>
      </c>
      <c r="I804" s="1930" t="s">
        <v>65</v>
      </c>
      <c r="J804" s="1930" t="s">
        <v>137</v>
      </c>
      <c r="K804" s="1933">
        <v>1.53</v>
      </c>
      <c r="L804" s="1930" t="s">
        <v>138</v>
      </c>
    </row>
    <row r="805" spans="1:12" ht="13.5" x14ac:dyDescent="0.25">
      <c r="A805" s="1930" t="s">
        <v>4469</v>
      </c>
      <c r="B805" s="1930" t="s">
        <v>4470</v>
      </c>
      <c r="C805" s="1930" t="s">
        <v>4475</v>
      </c>
      <c r="D805" s="1930" t="s">
        <v>4476</v>
      </c>
      <c r="E805" s="1931" t="s">
        <v>33</v>
      </c>
      <c r="F805" s="1930" t="s">
        <v>33</v>
      </c>
      <c r="G805" s="1932">
        <v>89881</v>
      </c>
      <c r="H805" s="1930" t="s">
        <v>838</v>
      </c>
      <c r="I805" s="1930" t="s">
        <v>65</v>
      </c>
      <c r="J805" s="1930" t="s">
        <v>137</v>
      </c>
      <c r="K805" s="1933">
        <v>40.03</v>
      </c>
      <c r="L805" s="1930" t="s">
        <v>138</v>
      </c>
    </row>
    <row r="806" spans="1:12" ht="13.5" x14ac:dyDescent="0.25">
      <c r="A806" s="1930" t="s">
        <v>4469</v>
      </c>
      <c r="B806" s="1930" t="s">
        <v>4470</v>
      </c>
      <c r="C806" s="1930" t="s">
        <v>4475</v>
      </c>
      <c r="D806" s="1930" t="s">
        <v>4476</v>
      </c>
      <c r="E806" s="1931" t="s">
        <v>33</v>
      </c>
      <c r="F806" s="1930" t="s">
        <v>33</v>
      </c>
      <c r="G806" s="1932">
        <v>89882</v>
      </c>
      <c r="H806" s="1930" t="s">
        <v>839</v>
      </c>
      <c r="I806" s="1930" t="s">
        <v>65</v>
      </c>
      <c r="J806" s="1930" t="s">
        <v>346</v>
      </c>
      <c r="K806" s="1933">
        <v>126.48</v>
      </c>
      <c r="L806" s="1930" t="s">
        <v>138</v>
      </c>
    </row>
    <row r="807" spans="1:12" ht="13.5" x14ac:dyDescent="0.25">
      <c r="A807" s="1930" t="s">
        <v>4469</v>
      </c>
      <c r="B807" s="1930" t="s">
        <v>4470</v>
      </c>
      <c r="C807" s="1930" t="s">
        <v>4475</v>
      </c>
      <c r="D807" s="1930" t="s">
        <v>4476</v>
      </c>
      <c r="E807" s="1931" t="s">
        <v>33</v>
      </c>
      <c r="F807" s="1930" t="s">
        <v>33</v>
      </c>
      <c r="G807" s="1932">
        <v>90582</v>
      </c>
      <c r="H807" s="1930" t="s">
        <v>840</v>
      </c>
      <c r="I807" s="1930" t="s">
        <v>65</v>
      </c>
      <c r="J807" s="1930" t="s">
        <v>137</v>
      </c>
      <c r="K807" s="1933">
        <v>0.28999999999999998</v>
      </c>
      <c r="L807" s="1930" t="s">
        <v>138</v>
      </c>
    </row>
    <row r="808" spans="1:12" ht="13.5" x14ac:dyDescent="0.25">
      <c r="A808" s="1930" t="s">
        <v>4469</v>
      </c>
      <c r="B808" s="1930" t="s">
        <v>4470</v>
      </c>
      <c r="C808" s="1930" t="s">
        <v>4475</v>
      </c>
      <c r="D808" s="1930" t="s">
        <v>4476</v>
      </c>
      <c r="E808" s="1931" t="s">
        <v>33</v>
      </c>
      <c r="F808" s="1930" t="s">
        <v>33</v>
      </c>
      <c r="G808" s="1932">
        <v>90583</v>
      </c>
      <c r="H808" s="1930" t="s">
        <v>841</v>
      </c>
      <c r="I808" s="1930" t="s">
        <v>65</v>
      </c>
      <c r="J808" s="1930" t="s">
        <v>137</v>
      </c>
      <c r="K808" s="1933">
        <v>0.03</v>
      </c>
      <c r="L808" s="1930" t="s">
        <v>138</v>
      </c>
    </row>
    <row r="809" spans="1:12" ht="13.5" x14ac:dyDescent="0.25">
      <c r="A809" s="1930" t="s">
        <v>4469</v>
      </c>
      <c r="B809" s="1930" t="s">
        <v>4470</v>
      </c>
      <c r="C809" s="1930" t="s">
        <v>4475</v>
      </c>
      <c r="D809" s="1930" t="s">
        <v>4476</v>
      </c>
      <c r="E809" s="1931" t="s">
        <v>33</v>
      </c>
      <c r="F809" s="1930" t="s">
        <v>33</v>
      </c>
      <c r="G809" s="1932">
        <v>90584</v>
      </c>
      <c r="H809" s="1930" t="s">
        <v>842</v>
      </c>
      <c r="I809" s="1930" t="s">
        <v>65</v>
      </c>
      <c r="J809" s="1930" t="s">
        <v>137</v>
      </c>
      <c r="K809" s="1933">
        <v>0.22</v>
      </c>
      <c r="L809" s="1930" t="s">
        <v>138</v>
      </c>
    </row>
    <row r="810" spans="1:12" ht="13.5" x14ac:dyDescent="0.25">
      <c r="A810" s="1930" t="s">
        <v>4469</v>
      </c>
      <c r="B810" s="1930" t="s">
        <v>4470</v>
      </c>
      <c r="C810" s="1930" t="s">
        <v>4475</v>
      </c>
      <c r="D810" s="1930" t="s">
        <v>4476</v>
      </c>
      <c r="E810" s="1931" t="s">
        <v>33</v>
      </c>
      <c r="F810" s="1930" t="s">
        <v>33</v>
      </c>
      <c r="G810" s="1932">
        <v>90585</v>
      </c>
      <c r="H810" s="1930" t="s">
        <v>843</v>
      </c>
      <c r="I810" s="1930" t="s">
        <v>65</v>
      </c>
      <c r="J810" s="1930" t="s">
        <v>320</v>
      </c>
      <c r="K810" s="1933">
        <v>0.75</v>
      </c>
      <c r="L810" s="1930" t="s">
        <v>138</v>
      </c>
    </row>
    <row r="811" spans="1:12" ht="13.5" x14ac:dyDescent="0.25">
      <c r="A811" s="1930" t="s">
        <v>4469</v>
      </c>
      <c r="B811" s="1930" t="s">
        <v>4470</v>
      </c>
      <c r="C811" s="1930" t="s">
        <v>4475</v>
      </c>
      <c r="D811" s="1930" t="s">
        <v>4476</v>
      </c>
      <c r="E811" s="1931" t="s">
        <v>33</v>
      </c>
      <c r="F811" s="1930" t="s">
        <v>33</v>
      </c>
      <c r="G811" s="1932">
        <v>90621</v>
      </c>
      <c r="H811" s="1930" t="s">
        <v>844</v>
      </c>
      <c r="I811" s="1930" t="s">
        <v>65</v>
      </c>
      <c r="J811" s="1930" t="s">
        <v>137</v>
      </c>
      <c r="K811" s="1933">
        <v>1.29</v>
      </c>
      <c r="L811" s="1930" t="s">
        <v>138</v>
      </c>
    </row>
    <row r="812" spans="1:12" ht="13.5" x14ac:dyDescent="0.25">
      <c r="A812" s="1930" t="s">
        <v>4469</v>
      </c>
      <c r="B812" s="1930" t="s">
        <v>4470</v>
      </c>
      <c r="C812" s="1930" t="s">
        <v>4475</v>
      </c>
      <c r="D812" s="1930" t="s">
        <v>4476</v>
      </c>
      <c r="E812" s="1931" t="s">
        <v>33</v>
      </c>
      <c r="F812" s="1930" t="s">
        <v>33</v>
      </c>
      <c r="G812" s="1932">
        <v>90622</v>
      </c>
      <c r="H812" s="1930" t="s">
        <v>845</v>
      </c>
      <c r="I812" s="1930" t="s">
        <v>65</v>
      </c>
      <c r="J812" s="1930" t="s">
        <v>137</v>
      </c>
      <c r="K812" s="1933">
        <v>0.15</v>
      </c>
      <c r="L812" s="1930" t="s">
        <v>138</v>
      </c>
    </row>
    <row r="813" spans="1:12" ht="13.5" x14ac:dyDescent="0.25">
      <c r="A813" s="1930" t="s">
        <v>4469</v>
      </c>
      <c r="B813" s="1930" t="s">
        <v>4470</v>
      </c>
      <c r="C813" s="1930" t="s">
        <v>4475</v>
      </c>
      <c r="D813" s="1930" t="s">
        <v>4476</v>
      </c>
      <c r="E813" s="1931" t="s">
        <v>33</v>
      </c>
      <c r="F813" s="1930" t="s">
        <v>33</v>
      </c>
      <c r="G813" s="1932">
        <v>90623</v>
      </c>
      <c r="H813" s="1930" t="s">
        <v>846</v>
      </c>
      <c r="I813" s="1930" t="s">
        <v>65</v>
      </c>
      <c r="J813" s="1930" t="s">
        <v>137</v>
      </c>
      <c r="K813" s="1933">
        <v>1.61</v>
      </c>
      <c r="L813" s="1930" t="s">
        <v>138</v>
      </c>
    </row>
    <row r="814" spans="1:12" ht="13.5" x14ac:dyDescent="0.25">
      <c r="A814" s="1930" t="s">
        <v>4469</v>
      </c>
      <c r="B814" s="1930" t="s">
        <v>4470</v>
      </c>
      <c r="C814" s="1930" t="s">
        <v>4475</v>
      </c>
      <c r="D814" s="1930" t="s">
        <v>4476</v>
      </c>
      <c r="E814" s="1931" t="s">
        <v>33</v>
      </c>
      <c r="F814" s="1930" t="s">
        <v>33</v>
      </c>
      <c r="G814" s="1932">
        <v>90624</v>
      </c>
      <c r="H814" s="1930" t="s">
        <v>847</v>
      </c>
      <c r="I814" s="1930" t="s">
        <v>65</v>
      </c>
      <c r="J814" s="1930" t="s">
        <v>320</v>
      </c>
      <c r="K814" s="1933">
        <v>1.87</v>
      </c>
      <c r="L814" s="1930" t="s">
        <v>138</v>
      </c>
    </row>
    <row r="815" spans="1:12" ht="13.5" x14ac:dyDescent="0.25">
      <c r="A815" s="1930" t="s">
        <v>4469</v>
      </c>
      <c r="B815" s="1930" t="s">
        <v>4470</v>
      </c>
      <c r="C815" s="1930" t="s">
        <v>4475</v>
      </c>
      <c r="D815" s="1930" t="s">
        <v>4476</v>
      </c>
      <c r="E815" s="1931" t="s">
        <v>33</v>
      </c>
      <c r="F815" s="1930" t="s">
        <v>33</v>
      </c>
      <c r="G815" s="1932">
        <v>90627</v>
      </c>
      <c r="H815" s="1930" t="s">
        <v>848</v>
      </c>
      <c r="I815" s="1930" t="s">
        <v>65</v>
      </c>
      <c r="J815" s="1930" t="s">
        <v>137</v>
      </c>
      <c r="K815" s="1933">
        <v>23.65</v>
      </c>
      <c r="L815" s="1930" t="s">
        <v>138</v>
      </c>
    </row>
    <row r="816" spans="1:12" ht="13.5" x14ac:dyDescent="0.25">
      <c r="A816" s="1930" t="s">
        <v>4469</v>
      </c>
      <c r="B816" s="1930" t="s">
        <v>4470</v>
      </c>
      <c r="C816" s="1930" t="s">
        <v>4475</v>
      </c>
      <c r="D816" s="1930" t="s">
        <v>4476</v>
      </c>
      <c r="E816" s="1931" t="s">
        <v>33</v>
      </c>
      <c r="F816" s="1930" t="s">
        <v>33</v>
      </c>
      <c r="G816" s="1932">
        <v>90628</v>
      </c>
      <c r="H816" s="1930" t="s">
        <v>849</v>
      </c>
      <c r="I816" s="1930" t="s">
        <v>65</v>
      </c>
      <c r="J816" s="1930" t="s">
        <v>137</v>
      </c>
      <c r="K816" s="1933">
        <v>3.37</v>
      </c>
      <c r="L816" s="1930" t="s">
        <v>138</v>
      </c>
    </row>
    <row r="817" spans="1:12" ht="13.5" x14ac:dyDescent="0.25">
      <c r="A817" s="1930" t="s">
        <v>4469</v>
      </c>
      <c r="B817" s="1930" t="s">
        <v>4470</v>
      </c>
      <c r="C817" s="1930" t="s">
        <v>4475</v>
      </c>
      <c r="D817" s="1930" t="s">
        <v>4476</v>
      </c>
      <c r="E817" s="1931" t="s">
        <v>33</v>
      </c>
      <c r="F817" s="1930" t="s">
        <v>33</v>
      </c>
      <c r="G817" s="1932">
        <v>90629</v>
      </c>
      <c r="H817" s="1930" t="s">
        <v>850</v>
      </c>
      <c r="I817" s="1930" t="s">
        <v>65</v>
      </c>
      <c r="J817" s="1930" t="s">
        <v>137</v>
      </c>
      <c r="K817" s="1933">
        <v>29.6</v>
      </c>
      <c r="L817" s="1930" t="s">
        <v>138</v>
      </c>
    </row>
    <row r="818" spans="1:12" ht="13.5" x14ac:dyDescent="0.25">
      <c r="A818" s="1930" t="s">
        <v>4469</v>
      </c>
      <c r="B818" s="1930" t="s">
        <v>4470</v>
      </c>
      <c r="C818" s="1930" t="s">
        <v>4475</v>
      </c>
      <c r="D818" s="1930" t="s">
        <v>4476</v>
      </c>
      <c r="E818" s="1931" t="s">
        <v>33</v>
      </c>
      <c r="F818" s="1930" t="s">
        <v>33</v>
      </c>
      <c r="G818" s="1932">
        <v>90630</v>
      </c>
      <c r="H818" s="1930" t="s">
        <v>851</v>
      </c>
      <c r="I818" s="1930" t="s">
        <v>65</v>
      </c>
      <c r="J818" s="1930" t="s">
        <v>320</v>
      </c>
      <c r="K818" s="1933">
        <v>7.6</v>
      </c>
      <c r="L818" s="1930" t="s">
        <v>138</v>
      </c>
    </row>
    <row r="819" spans="1:12" ht="13.5" x14ac:dyDescent="0.25">
      <c r="A819" s="1930" t="s">
        <v>4469</v>
      </c>
      <c r="B819" s="1930" t="s">
        <v>4470</v>
      </c>
      <c r="C819" s="1930" t="s">
        <v>4475</v>
      </c>
      <c r="D819" s="1930" t="s">
        <v>4476</v>
      </c>
      <c r="E819" s="1931" t="s">
        <v>33</v>
      </c>
      <c r="F819" s="1930" t="s">
        <v>33</v>
      </c>
      <c r="G819" s="1932">
        <v>90633</v>
      </c>
      <c r="H819" s="1930" t="s">
        <v>852</v>
      </c>
      <c r="I819" s="1930" t="s">
        <v>65</v>
      </c>
      <c r="J819" s="1930" t="s">
        <v>320</v>
      </c>
      <c r="K819" s="1933">
        <v>3.05</v>
      </c>
      <c r="L819" s="1930" t="s">
        <v>138</v>
      </c>
    </row>
    <row r="820" spans="1:12" ht="13.5" x14ac:dyDescent="0.25">
      <c r="A820" s="1930" t="s">
        <v>4469</v>
      </c>
      <c r="B820" s="1930" t="s">
        <v>4470</v>
      </c>
      <c r="C820" s="1930" t="s">
        <v>4475</v>
      </c>
      <c r="D820" s="1930" t="s">
        <v>4476</v>
      </c>
      <c r="E820" s="1931" t="s">
        <v>33</v>
      </c>
      <c r="F820" s="1930" t="s">
        <v>33</v>
      </c>
      <c r="G820" s="1932">
        <v>90634</v>
      </c>
      <c r="H820" s="1930" t="s">
        <v>853</v>
      </c>
      <c r="I820" s="1930" t="s">
        <v>65</v>
      </c>
      <c r="J820" s="1930" t="s">
        <v>320</v>
      </c>
      <c r="K820" s="1933">
        <v>0.36</v>
      </c>
      <c r="L820" s="1930" t="s">
        <v>138</v>
      </c>
    </row>
    <row r="821" spans="1:12" ht="13.5" x14ac:dyDescent="0.25">
      <c r="A821" s="1930" t="s">
        <v>4469</v>
      </c>
      <c r="B821" s="1930" t="s">
        <v>4470</v>
      </c>
      <c r="C821" s="1930" t="s">
        <v>4475</v>
      </c>
      <c r="D821" s="1930" t="s">
        <v>4476</v>
      </c>
      <c r="E821" s="1931" t="s">
        <v>33</v>
      </c>
      <c r="F821" s="1930" t="s">
        <v>33</v>
      </c>
      <c r="G821" s="1932">
        <v>90635</v>
      </c>
      <c r="H821" s="1930" t="s">
        <v>854</v>
      </c>
      <c r="I821" s="1930" t="s">
        <v>65</v>
      </c>
      <c r="J821" s="1930" t="s">
        <v>320</v>
      </c>
      <c r="K821" s="1933">
        <v>3.33</v>
      </c>
      <c r="L821" s="1930" t="s">
        <v>138</v>
      </c>
    </row>
    <row r="822" spans="1:12" ht="13.5" x14ac:dyDescent="0.25">
      <c r="A822" s="1930" t="s">
        <v>4469</v>
      </c>
      <c r="B822" s="1930" t="s">
        <v>4470</v>
      </c>
      <c r="C822" s="1930" t="s">
        <v>4475</v>
      </c>
      <c r="D822" s="1930" t="s">
        <v>4476</v>
      </c>
      <c r="E822" s="1931" t="s">
        <v>33</v>
      </c>
      <c r="F822" s="1930" t="s">
        <v>33</v>
      </c>
      <c r="G822" s="1932">
        <v>90636</v>
      </c>
      <c r="H822" s="1930" t="s">
        <v>855</v>
      </c>
      <c r="I822" s="1930" t="s">
        <v>65</v>
      </c>
      <c r="J822" s="1930" t="s">
        <v>320</v>
      </c>
      <c r="K822" s="1933">
        <v>3.75</v>
      </c>
      <c r="L822" s="1930" t="s">
        <v>138</v>
      </c>
    </row>
    <row r="823" spans="1:12" ht="13.5" x14ac:dyDescent="0.25">
      <c r="A823" s="1930" t="s">
        <v>4469</v>
      </c>
      <c r="B823" s="1930" t="s">
        <v>4470</v>
      </c>
      <c r="C823" s="1930" t="s">
        <v>4475</v>
      </c>
      <c r="D823" s="1930" t="s">
        <v>4476</v>
      </c>
      <c r="E823" s="1931" t="s">
        <v>33</v>
      </c>
      <c r="F823" s="1930" t="s">
        <v>33</v>
      </c>
      <c r="G823" s="1932">
        <v>90639</v>
      </c>
      <c r="H823" s="1930" t="s">
        <v>856</v>
      </c>
      <c r="I823" s="1930" t="s">
        <v>65</v>
      </c>
      <c r="J823" s="1930" t="s">
        <v>320</v>
      </c>
      <c r="K823" s="1933">
        <v>4.55</v>
      </c>
      <c r="L823" s="1930" t="s">
        <v>138</v>
      </c>
    </row>
    <row r="824" spans="1:12" ht="13.5" x14ac:dyDescent="0.25">
      <c r="A824" s="1930" t="s">
        <v>4469</v>
      </c>
      <c r="B824" s="1930" t="s">
        <v>4470</v>
      </c>
      <c r="C824" s="1930" t="s">
        <v>4475</v>
      </c>
      <c r="D824" s="1930" t="s">
        <v>4476</v>
      </c>
      <c r="E824" s="1931" t="s">
        <v>33</v>
      </c>
      <c r="F824" s="1930" t="s">
        <v>33</v>
      </c>
      <c r="G824" s="1932">
        <v>90640</v>
      </c>
      <c r="H824" s="1930" t="s">
        <v>857</v>
      </c>
      <c r="I824" s="1930" t="s">
        <v>65</v>
      </c>
      <c r="J824" s="1930" t="s">
        <v>320</v>
      </c>
      <c r="K824" s="1933">
        <v>0.54</v>
      </c>
      <c r="L824" s="1930" t="s">
        <v>138</v>
      </c>
    </row>
    <row r="825" spans="1:12" ht="13.5" x14ac:dyDescent="0.25">
      <c r="A825" s="1930" t="s">
        <v>4469</v>
      </c>
      <c r="B825" s="1930" t="s">
        <v>4470</v>
      </c>
      <c r="C825" s="1930" t="s">
        <v>4475</v>
      </c>
      <c r="D825" s="1930" t="s">
        <v>4476</v>
      </c>
      <c r="E825" s="1931" t="s">
        <v>33</v>
      </c>
      <c r="F825" s="1930" t="s">
        <v>33</v>
      </c>
      <c r="G825" s="1932">
        <v>90641</v>
      </c>
      <c r="H825" s="1930" t="s">
        <v>858</v>
      </c>
      <c r="I825" s="1930" t="s">
        <v>65</v>
      </c>
      <c r="J825" s="1930" t="s">
        <v>320</v>
      </c>
      <c r="K825" s="1933">
        <v>4.9800000000000004</v>
      </c>
      <c r="L825" s="1930" t="s">
        <v>138</v>
      </c>
    </row>
    <row r="826" spans="1:12" ht="13.5" x14ac:dyDescent="0.25">
      <c r="A826" s="1930" t="s">
        <v>4469</v>
      </c>
      <c r="B826" s="1930" t="s">
        <v>4470</v>
      </c>
      <c r="C826" s="1930" t="s">
        <v>4475</v>
      </c>
      <c r="D826" s="1930" t="s">
        <v>4476</v>
      </c>
      <c r="E826" s="1931" t="s">
        <v>33</v>
      </c>
      <c r="F826" s="1930" t="s">
        <v>33</v>
      </c>
      <c r="G826" s="1932">
        <v>90642</v>
      </c>
      <c r="H826" s="1930" t="s">
        <v>859</v>
      </c>
      <c r="I826" s="1930" t="s">
        <v>65</v>
      </c>
      <c r="J826" s="1930" t="s">
        <v>346</v>
      </c>
      <c r="K826" s="1933">
        <v>5.72</v>
      </c>
      <c r="L826" s="1930" t="s">
        <v>138</v>
      </c>
    </row>
    <row r="827" spans="1:12" ht="13.5" x14ac:dyDescent="0.25">
      <c r="A827" s="1930" t="s">
        <v>4469</v>
      </c>
      <c r="B827" s="1930" t="s">
        <v>4470</v>
      </c>
      <c r="C827" s="1930" t="s">
        <v>4475</v>
      </c>
      <c r="D827" s="1930" t="s">
        <v>4476</v>
      </c>
      <c r="E827" s="1931" t="s">
        <v>33</v>
      </c>
      <c r="F827" s="1930" t="s">
        <v>33</v>
      </c>
      <c r="G827" s="1932">
        <v>90646</v>
      </c>
      <c r="H827" s="1930" t="s">
        <v>860</v>
      </c>
      <c r="I827" s="1930" t="s">
        <v>65</v>
      </c>
      <c r="J827" s="1930" t="s">
        <v>320</v>
      </c>
      <c r="K827" s="1933">
        <v>0.49</v>
      </c>
      <c r="L827" s="1930" t="s">
        <v>138</v>
      </c>
    </row>
    <row r="828" spans="1:12" ht="13.5" x14ac:dyDescent="0.25">
      <c r="A828" s="1930" t="s">
        <v>4469</v>
      </c>
      <c r="B828" s="1930" t="s">
        <v>4470</v>
      </c>
      <c r="C828" s="1930" t="s">
        <v>4475</v>
      </c>
      <c r="D828" s="1930" t="s">
        <v>4476</v>
      </c>
      <c r="E828" s="1931" t="s">
        <v>33</v>
      </c>
      <c r="F828" s="1930" t="s">
        <v>33</v>
      </c>
      <c r="G828" s="1932">
        <v>90647</v>
      </c>
      <c r="H828" s="1930" t="s">
        <v>861</v>
      </c>
      <c r="I828" s="1930" t="s">
        <v>65</v>
      </c>
      <c r="J828" s="1930" t="s">
        <v>320</v>
      </c>
      <c r="K828" s="1933">
        <v>0.05</v>
      </c>
      <c r="L828" s="1930" t="s">
        <v>138</v>
      </c>
    </row>
    <row r="829" spans="1:12" ht="13.5" x14ac:dyDescent="0.25">
      <c r="A829" s="1930" t="s">
        <v>4469</v>
      </c>
      <c r="B829" s="1930" t="s">
        <v>4470</v>
      </c>
      <c r="C829" s="1930" t="s">
        <v>4475</v>
      </c>
      <c r="D829" s="1930" t="s">
        <v>4476</v>
      </c>
      <c r="E829" s="1931" t="s">
        <v>33</v>
      </c>
      <c r="F829" s="1930" t="s">
        <v>33</v>
      </c>
      <c r="G829" s="1932">
        <v>90648</v>
      </c>
      <c r="H829" s="1930" t="s">
        <v>862</v>
      </c>
      <c r="I829" s="1930" t="s">
        <v>65</v>
      </c>
      <c r="J829" s="1930" t="s">
        <v>320</v>
      </c>
      <c r="K829" s="1933">
        <v>0.54</v>
      </c>
      <c r="L829" s="1930" t="s">
        <v>138</v>
      </c>
    </row>
    <row r="830" spans="1:12" ht="13.5" x14ac:dyDescent="0.25">
      <c r="A830" s="1930" t="s">
        <v>4469</v>
      </c>
      <c r="B830" s="1930" t="s">
        <v>4470</v>
      </c>
      <c r="C830" s="1930" t="s">
        <v>4475</v>
      </c>
      <c r="D830" s="1930" t="s">
        <v>4476</v>
      </c>
      <c r="E830" s="1931" t="s">
        <v>33</v>
      </c>
      <c r="F830" s="1930" t="s">
        <v>33</v>
      </c>
      <c r="G830" s="1932">
        <v>90649</v>
      </c>
      <c r="H830" s="1930" t="s">
        <v>863</v>
      </c>
      <c r="I830" s="1930" t="s">
        <v>65</v>
      </c>
      <c r="J830" s="1930" t="s">
        <v>346</v>
      </c>
      <c r="K830" s="1933">
        <v>5.8</v>
      </c>
      <c r="L830" s="1930" t="s">
        <v>138</v>
      </c>
    </row>
    <row r="831" spans="1:12" ht="13.5" x14ac:dyDescent="0.25">
      <c r="A831" s="1930" t="s">
        <v>4469</v>
      </c>
      <c r="B831" s="1930" t="s">
        <v>4470</v>
      </c>
      <c r="C831" s="1930" t="s">
        <v>4475</v>
      </c>
      <c r="D831" s="1930" t="s">
        <v>4476</v>
      </c>
      <c r="E831" s="1931" t="s">
        <v>33</v>
      </c>
      <c r="F831" s="1930" t="s">
        <v>33</v>
      </c>
      <c r="G831" s="1932">
        <v>90652</v>
      </c>
      <c r="H831" s="1930" t="s">
        <v>864</v>
      </c>
      <c r="I831" s="1930" t="s">
        <v>65</v>
      </c>
      <c r="J831" s="1930" t="s">
        <v>320</v>
      </c>
      <c r="K831" s="1933">
        <v>2.96</v>
      </c>
      <c r="L831" s="1930" t="s">
        <v>138</v>
      </c>
    </row>
    <row r="832" spans="1:12" ht="13.5" x14ac:dyDescent="0.25">
      <c r="A832" s="1930" t="s">
        <v>4469</v>
      </c>
      <c r="B832" s="1930" t="s">
        <v>4470</v>
      </c>
      <c r="C832" s="1930" t="s">
        <v>4475</v>
      </c>
      <c r="D832" s="1930" t="s">
        <v>4476</v>
      </c>
      <c r="E832" s="1931" t="s">
        <v>33</v>
      </c>
      <c r="F832" s="1930" t="s">
        <v>33</v>
      </c>
      <c r="G832" s="1932">
        <v>90653</v>
      </c>
      <c r="H832" s="1930" t="s">
        <v>865</v>
      </c>
      <c r="I832" s="1930" t="s">
        <v>65</v>
      </c>
      <c r="J832" s="1930" t="s">
        <v>320</v>
      </c>
      <c r="K832" s="1933">
        <v>0.35</v>
      </c>
      <c r="L832" s="1930" t="s">
        <v>138</v>
      </c>
    </row>
    <row r="833" spans="1:12" ht="13.5" x14ac:dyDescent="0.25">
      <c r="A833" s="1930" t="s">
        <v>4469</v>
      </c>
      <c r="B833" s="1930" t="s">
        <v>4470</v>
      </c>
      <c r="C833" s="1930" t="s">
        <v>4475</v>
      </c>
      <c r="D833" s="1930" t="s">
        <v>4476</v>
      </c>
      <c r="E833" s="1931" t="s">
        <v>33</v>
      </c>
      <c r="F833" s="1930" t="s">
        <v>33</v>
      </c>
      <c r="G833" s="1932">
        <v>90654</v>
      </c>
      <c r="H833" s="1930" t="s">
        <v>866</v>
      </c>
      <c r="I833" s="1930" t="s">
        <v>65</v>
      </c>
      <c r="J833" s="1930" t="s">
        <v>320</v>
      </c>
      <c r="K833" s="1933">
        <v>3.24</v>
      </c>
      <c r="L833" s="1930" t="s">
        <v>138</v>
      </c>
    </row>
    <row r="834" spans="1:12" ht="13.5" x14ac:dyDescent="0.25">
      <c r="A834" s="1930" t="s">
        <v>4469</v>
      </c>
      <c r="B834" s="1930" t="s">
        <v>4470</v>
      </c>
      <c r="C834" s="1930" t="s">
        <v>4475</v>
      </c>
      <c r="D834" s="1930" t="s">
        <v>4476</v>
      </c>
      <c r="E834" s="1931" t="s">
        <v>33</v>
      </c>
      <c r="F834" s="1930" t="s">
        <v>33</v>
      </c>
      <c r="G834" s="1932">
        <v>90655</v>
      </c>
      <c r="H834" s="1930" t="s">
        <v>867</v>
      </c>
      <c r="I834" s="1930" t="s">
        <v>65</v>
      </c>
      <c r="J834" s="1930" t="s">
        <v>346</v>
      </c>
      <c r="K834" s="1933">
        <v>3.81</v>
      </c>
      <c r="L834" s="1930" t="s">
        <v>138</v>
      </c>
    </row>
    <row r="835" spans="1:12" ht="13.5" x14ac:dyDescent="0.25">
      <c r="A835" s="1930" t="s">
        <v>4469</v>
      </c>
      <c r="B835" s="1930" t="s">
        <v>4470</v>
      </c>
      <c r="C835" s="1930" t="s">
        <v>4475</v>
      </c>
      <c r="D835" s="1930" t="s">
        <v>4476</v>
      </c>
      <c r="E835" s="1931" t="s">
        <v>33</v>
      </c>
      <c r="F835" s="1930" t="s">
        <v>33</v>
      </c>
      <c r="G835" s="1932">
        <v>90658</v>
      </c>
      <c r="H835" s="1930" t="s">
        <v>868</v>
      </c>
      <c r="I835" s="1930" t="s">
        <v>65</v>
      </c>
      <c r="J835" s="1930" t="s">
        <v>320</v>
      </c>
      <c r="K835" s="1933">
        <v>3.17</v>
      </c>
      <c r="L835" s="1930" t="s">
        <v>138</v>
      </c>
    </row>
    <row r="836" spans="1:12" ht="13.5" x14ac:dyDescent="0.25">
      <c r="A836" s="1930" t="s">
        <v>4469</v>
      </c>
      <c r="B836" s="1930" t="s">
        <v>4470</v>
      </c>
      <c r="C836" s="1930" t="s">
        <v>4475</v>
      </c>
      <c r="D836" s="1930" t="s">
        <v>4476</v>
      </c>
      <c r="E836" s="1931" t="s">
        <v>33</v>
      </c>
      <c r="F836" s="1930" t="s">
        <v>33</v>
      </c>
      <c r="G836" s="1932">
        <v>90659</v>
      </c>
      <c r="H836" s="1930" t="s">
        <v>869</v>
      </c>
      <c r="I836" s="1930" t="s">
        <v>65</v>
      </c>
      <c r="J836" s="1930" t="s">
        <v>320</v>
      </c>
      <c r="K836" s="1933">
        <v>0.37</v>
      </c>
      <c r="L836" s="1930" t="s">
        <v>138</v>
      </c>
    </row>
    <row r="837" spans="1:12" ht="13.5" x14ac:dyDescent="0.25">
      <c r="A837" s="1930" t="s">
        <v>4469</v>
      </c>
      <c r="B837" s="1930" t="s">
        <v>4470</v>
      </c>
      <c r="C837" s="1930" t="s">
        <v>4475</v>
      </c>
      <c r="D837" s="1930" t="s">
        <v>4476</v>
      </c>
      <c r="E837" s="1931" t="s">
        <v>33</v>
      </c>
      <c r="F837" s="1930" t="s">
        <v>33</v>
      </c>
      <c r="G837" s="1932">
        <v>90660</v>
      </c>
      <c r="H837" s="1930" t="s">
        <v>870</v>
      </c>
      <c r="I837" s="1930" t="s">
        <v>65</v>
      </c>
      <c r="J837" s="1930" t="s">
        <v>320</v>
      </c>
      <c r="K837" s="1933">
        <v>3.47</v>
      </c>
      <c r="L837" s="1930" t="s">
        <v>138</v>
      </c>
    </row>
    <row r="838" spans="1:12" ht="13.5" x14ac:dyDescent="0.25">
      <c r="A838" s="1930" t="s">
        <v>4469</v>
      </c>
      <c r="B838" s="1930" t="s">
        <v>4470</v>
      </c>
      <c r="C838" s="1930" t="s">
        <v>4475</v>
      </c>
      <c r="D838" s="1930" t="s">
        <v>4476</v>
      </c>
      <c r="E838" s="1931" t="s">
        <v>33</v>
      </c>
      <c r="F838" s="1930" t="s">
        <v>33</v>
      </c>
      <c r="G838" s="1932">
        <v>90661</v>
      </c>
      <c r="H838" s="1930" t="s">
        <v>871</v>
      </c>
      <c r="I838" s="1930" t="s">
        <v>65</v>
      </c>
      <c r="J838" s="1930" t="s">
        <v>346</v>
      </c>
      <c r="K838" s="1933">
        <v>3.81</v>
      </c>
      <c r="L838" s="1930" t="s">
        <v>138</v>
      </c>
    </row>
    <row r="839" spans="1:12" ht="13.5" x14ac:dyDescent="0.25">
      <c r="A839" s="1930" t="s">
        <v>4469</v>
      </c>
      <c r="B839" s="1930" t="s">
        <v>4470</v>
      </c>
      <c r="C839" s="1930" t="s">
        <v>4475</v>
      </c>
      <c r="D839" s="1930" t="s">
        <v>4476</v>
      </c>
      <c r="E839" s="1931" t="s">
        <v>33</v>
      </c>
      <c r="F839" s="1930" t="s">
        <v>33</v>
      </c>
      <c r="G839" s="1932">
        <v>90664</v>
      </c>
      <c r="H839" s="1930" t="s">
        <v>872</v>
      </c>
      <c r="I839" s="1930" t="s">
        <v>65</v>
      </c>
      <c r="J839" s="1930" t="s">
        <v>137</v>
      </c>
      <c r="K839" s="1933">
        <v>3.77</v>
      </c>
      <c r="L839" s="1930" t="s">
        <v>138</v>
      </c>
    </row>
    <row r="840" spans="1:12" ht="13.5" x14ac:dyDescent="0.25">
      <c r="A840" s="1930" t="s">
        <v>4469</v>
      </c>
      <c r="B840" s="1930" t="s">
        <v>4470</v>
      </c>
      <c r="C840" s="1930" t="s">
        <v>4475</v>
      </c>
      <c r="D840" s="1930" t="s">
        <v>4476</v>
      </c>
      <c r="E840" s="1931" t="s">
        <v>33</v>
      </c>
      <c r="F840" s="1930" t="s">
        <v>33</v>
      </c>
      <c r="G840" s="1932">
        <v>90665</v>
      </c>
      <c r="H840" s="1930" t="s">
        <v>873</v>
      </c>
      <c r="I840" s="1930" t="s">
        <v>65</v>
      </c>
      <c r="J840" s="1930" t="s">
        <v>137</v>
      </c>
      <c r="K840" s="1933">
        <v>0.43</v>
      </c>
      <c r="L840" s="1930" t="s">
        <v>138</v>
      </c>
    </row>
    <row r="841" spans="1:12" ht="13.5" x14ac:dyDescent="0.25">
      <c r="A841" s="1930" t="s">
        <v>4469</v>
      </c>
      <c r="B841" s="1930" t="s">
        <v>4470</v>
      </c>
      <c r="C841" s="1930" t="s">
        <v>4475</v>
      </c>
      <c r="D841" s="1930" t="s">
        <v>4476</v>
      </c>
      <c r="E841" s="1931" t="s">
        <v>33</v>
      </c>
      <c r="F841" s="1930" t="s">
        <v>33</v>
      </c>
      <c r="G841" s="1932">
        <v>90666</v>
      </c>
      <c r="H841" s="1930" t="s">
        <v>874</v>
      </c>
      <c r="I841" s="1930" t="s">
        <v>65</v>
      </c>
      <c r="J841" s="1930" t="s">
        <v>137</v>
      </c>
      <c r="K841" s="1933">
        <v>4.12</v>
      </c>
      <c r="L841" s="1930" t="s">
        <v>138</v>
      </c>
    </row>
    <row r="842" spans="1:12" ht="13.5" x14ac:dyDescent="0.25">
      <c r="A842" s="1930" t="s">
        <v>4469</v>
      </c>
      <c r="B842" s="1930" t="s">
        <v>4470</v>
      </c>
      <c r="C842" s="1930" t="s">
        <v>4475</v>
      </c>
      <c r="D842" s="1930" t="s">
        <v>4476</v>
      </c>
      <c r="E842" s="1931" t="s">
        <v>33</v>
      </c>
      <c r="F842" s="1930" t="s">
        <v>33</v>
      </c>
      <c r="G842" s="1932">
        <v>90667</v>
      </c>
      <c r="H842" s="1930" t="s">
        <v>875</v>
      </c>
      <c r="I842" s="1930" t="s">
        <v>65</v>
      </c>
      <c r="J842" s="1930" t="s">
        <v>346</v>
      </c>
      <c r="K842" s="1933">
        <v>9.3000000000000007</v>
      </c>
      <c r="L842" s="1930" t="s">
        <v>138</v>
      </c>
    </row>
    <row r="843" spans="1:12" ht="13.5" x14ac:dyDescent="0.25">
      <c r="A843" s="1930" t="s">
        <v>4469</v>
      </c>
      <c r="B843" s="1930" t="s">
        <v>4470</v>
      </c>
      <c r="C843" s="1930" t="s">
        <v>4475</v>
      </c>
      <c r="D843" s="1930" t="s">
        <v>4476</v>
      </c>
      <c r="E843" s="1931" t="s">
        <v>33</v>
      </c>
      <c r="F843" s="1930" t="s">
        <v>33</v>
      </c>
      <c r="G843" s="1932">
        <v>90670</v>
      </c>
      <c r="H843" s="1930" t="s">
        <v>876</v>
      </c>
      <c r="I843" s="1930" t="s">
        <v>65</v>
      </c>
      <c r="J843" s="1930" t="s">
        <v>137</v>
      </c>
      <c r="K843" s="1933">
        <v>108.56</v>
      </c>
      <c r="L843" s="1930" t="s">
        <v>138</v>
      </c>
    </row>
    <row r="844" spans="1:12" ht="13.5" x14ac:dyDescent="0.25">
      <c r="A844" s="1930" t="s">
        <v>4469</v>
      </c>
      <c r="B844" s="1930" t="s">
        <v>4470</v>
      </c>
      <c r="C844" s="1930" t="s">
        <v>4475</v>
      </c>
      <c r="D844" s="1930" t="s">
        <v>4476</v>
      </c>
      <c r="E844" s="1931" t="s">
        <v>33</v>
      </c>
      <c r="F844" s="1930" t="s">
        <v>33</v>
      </c>
      <c r="G844" s="1932">
        <v>90671</v>
      </c>
      <c r="H844" s="1930" t="s">
        <v>877</v>
      </c>
      <c r="I844" s="1930" t="s">
        <v>65</v>
      </c>
      <c r="J844" s="1930" t="s">
        <v>137</v>
      </c>
      <c r="K844" s="1933">
        <v>15.07</v>
      </c>
      <c r="L844" s="1930" t="s">
        <v>138</v>
      </c>
    </row>
    <row r="845" spans="1:12" ht="13.5" x14ac:dyDescent="0.25">
      <c r="A845" s="1930" t="s">
        <v>4469</v>
      </c>
      <c r="B845" s="1930" t="s">
        <v>4470</v>
      </c>
      <c r="C845" s="1930" t="s">
        <v>4475</v>
      </c>
      <c r="D845" s="1930" t="s">
        <v>4476</v>
      </c>
      <c r="E845" s="1931" t="s">
        <v>33</v>
      </c>
      <c r="F845" s="1930" t="s">
        <v>33</v>
      </c>
      <c r="G845" s="1932">
        <v>90672</v>
      </c>
      <c r="H845" s="1930" t="s">
        <v>878</v>
      </c>
      <c r="I845" s="1930" t="s">
        <v>65</v>
      </c>
      <c r="J845" s="1930" t="s">
        <v>137</v>
      </c>
      <c r="K845" s="1933">
        <v>135.85</v>
      </c>
      <c r="L845" s="1930" t="s">
        <v>138</v>
      </c>
    </row>
    <row r="846" spans="1:12" ht="13.5" x14ac:dyDescent="0.25">
      <c r="A846" s="1930" t="s">
        <v>4469</v>
      </c>
      <c r="B846" s="1930" t="s">
        <v>4470</v>
      </c>
      <c r="C846" s="1930" t="s">
        <v>4475</v>
      </c>
      <c r="D846" s="1930" t="s">
        <v>4476</v>
      </c>
      <c r="E846" s="1931" t="s">
        <v>33</v>
      </c>
      <c r="F846" s="1930" t="s">
        <v>33</v>
      </c>
      <c r="G846" s="1932">
        <v>90673</v>
      </c>
      <c r="H846" s="1930" t="s">
        <v>879</v>
      </c>
      <c r="I846" s="1930" t="s">
        <v>65</v>
      </c>
      <c r="J846" s="1930" t="s">
        <v>346</v>
      </c>
      <c r="K846" s="1933">
        <v>74.400000000000006</v>
      </c>
      <c r="L846" s="1930" t="s">
        <v>138</v>
      </c>
    </row>
    <row r="847" spans="1:12" ht="13.5" x14ac:dyDescent="0.25">
      <c r="A847" s="1930" t="s">
        <v>4469</v>
      </c>
      <c r="B847" s="1930" t="s">
        <v>4470</v>
      </c>
      <c r="C847" s="1930" t="s">
        <v>4475</v>
      </c>
      <c r="D847" s="1930" t="s">
        <v>4476</v>
      </c>
      <c r="E847" s="1931" t="s">
        <v>33</v>
      </c>
      <c r="F847" s="1930" t="s">
        <v>33</v>
      </c>
      <c r="G847" s="1932">
        <v>90676</v>
      </c>
      <c r="H847" s="1930" t="s">
        <v>880</v>
      </c>
      <c r="I847" s="1930" t="s">
        <v>65</v>
      </c>
      <c r="J847" s="1930" t="s">
        <v>137</v>
      </c>
      <c r="K847" s="1933">
        <v>58.19</v>
      </c>
      <c r="L847" s="1930" t="s">
        <v>138</v>
      </c>
    </row>
    <row r="848" spans="1:12" ht="13.5" x14ac:dyDescent="0.25">
      <c r="A848" s="1930" t="s">
        <v>4469</v>
      </c>
      <c r="B848" s="1930" t="s">
        <v>4470</v>
      </c>
      <c r="C848" s="1930" t="s">
        <v>4475</v>
      </c>
      <c r="D848" s="1930" t="s">
        <v>4476</v>
      </c>
      <c r="E848" s="1931" t="s">
        <v>33</v>
      </c>
      <c r="F848" s="1930" t="s">
        <v>33</v>
      </c>
      <c r="G848" s="1932">
        <v>90677</v>
      </c>
      <c r="H848" s="1930" t="s">
        <v>881</v>
      </c>
      <c r="I848" s="1930" t="s">
        <v>65</v>
      </c>
      <c r="J848" s="1930" t="s">
        <v>137</v>
      </c>
      <c r="K848" s="1933">
        <v>8.07</v>
      </c>
      <c r="L848" s="1930" t="s">
        <v>138</v>
      </c>
    </row>
    <row r="849" spans="1:12" ht="13.5" x14ac:dyDescent="0.25">
      <c r="A849" s="1930" t="s">
        <v>4469</v>
      </c>
      <c r="B849" s="1930" t="s">
        <v>4470</v>
      </c>
      <c r="C849" s="1930" t="s">
        <v>4475</v>
      </c>
      <c r="D849" s="1930" t="s">
        <v>4476</v>
      </c>
      <c r="E849" s="1931" t="s">
        <v>33</v>
      </c>
      <c r="F849" s="1930" t="s">
        <v>33</v>
      </c>
      <c r="G849" s="1932">
        <v>90678</v>
      </c>
      <c r="H849" s="1930" t="s">
        <v>882</v>
      </c>
      <c r="I849" s="1930" t="s">
        <v>65</v>
      </c>
      <c r="J849" s="1930" t="s">
        <v>137</v>
      </c>
      <c r="K849" s="1933">
        <v>72.83</v>
      </c>
      <c r="L849" s="1930" t="s">
        <v>138</v>
      </c>
    </row>
    <row r="850" spans="1:12" ht="13.5" x14ac:dyDescent="0.25">
      <c r="A850" s="1930" t="s">
        <v>4469</v>
      </c>
      <c r="B850" s="1930" t="s">
        <v>4470</v>
      </c>
      <c r="C850" s="1930" t="s">
        <v>4475</v>
      </c>
      <c r="D850" s="1930" t="s">
        <v>4476</v>
      </c>
      <c r="E850" s="1931" t="s">
        <v>33</v>
      </c>
      <c r="F850" s="1930" t="s">
        <v>33</v>
      </c>
      <c r="G850" s="1932">
        <v>90679</v>
      </c>
      <c r="H850" s="1930" t="s">
        <v>883</v>
      </c>
      <c r="I850" s="1930" t="s">
        <v>65</v>
      </c>
      <c r="J850" s="1930" t="s">
        <v>346</v>
      </c>
      <c r="K850" s="1933">
        <v>57.02</v>
      </c>
      <c r="L850" s="1930" t="s">
        <v>138</v>
      </c>
    </row>
    <row r="851" spans="1:12" ht="13.5" x14ac:dyDescent="0.25">
      <c r="A851" s="1930" t="s">
        <v>4469</v>
      </c>
      <c r="B851" s="1930" t="s">
        <v>4470</v>
      </c>
      <c r="C851" s="1930" t="s">
        <v>4475</v>
      </c>
      <c r="D851" s="1930" t="s">
        <v>4476</v>
      </c>
      <c r="E851" s="1931" t="s">
        <v>33</v>
      </c>
      <c r="F851" s="1930" t="s">
        <v>33</v>
      </c>
      <c r="G851" s="1932">
        <v>90682</v>
      </c>
      <c r="H851" s="1930" t="s">
        <v>884</v>
      </c>
      <c r="I851" s="1930" t="s">
        <v>65</v>
      </c>
      <c r="J851" s="1930" t="s">
        <v>137</v>
      </c>
      <c r="K851" s="1933">
        <v>21.46</v>
      </c>
      <c r="L851" s="1930" t="s">
        <v>138</v>
      </c>
    </row>
    <row r="852" spans="1:12" ht="13.5" x14ac:dyDescent="0.25">
      <c r="A852" s="1930" t="s">
        <v>4469</v>
      </c>
      <c r="B852" s="1930" t="s">
        <v>4470</v>
      </c>
      <c r="C852" s="1930" t="s">
        <v>4475</v>
      </c>
      <c r="D852" s="1930" t="s">
        <v>4476</v>
      </c>
      <c r="E852" s="1931" t="s">
        <v>33</v>
      </c>
      <c r="F852" s="1930" t="s">
        <v>33</v>
      </c>
      <c r="G852" s="1932">
        <v>90683</v>
      </c>
      <c r="H852" s="1930" t="s">
        <v>885</v>
      </c>
      <c r="I852" s="1930" t="s">
        <v>65</v>
      </c>
      <c r="J852" s="1930" t="s">
        <v>137</v>
      </c>
      <c r="K852" s="1933">
        <v>2.54</v>
      </c>
      <c r="L852" s="1930" t="s">
        <v>138</v>
      </c>
    </row>
    <row r="853" spans="1:12" ht="13.5" x14ac:dyDescent="0.25">
      <c r="A853" s="1930" t="s">
        <v>4469</v>
      </c>
      <c r="B853" s="1930" t="s">
        <v>4470</v>
      </c>
      <c r="C853" s="1930" t="s">
        <v>4475</v>
      </c>
      <c r="D853" s="1930" t="s">
        <v>4476</v>
      </c>
      <c r="E853" s="1931" t="s">
        <v>33</v>
      </c>
      <c r="F853" s="1930" t="s">
        <v>33</v>
      </c>
      <c r="G853" s="1932">
        <v>90684</v>
      </c>
      <c r="H853" s="1930" t="s">
        <v>886</v>
      </c>
      <c r="I853" s="1930" t="s">
        <v>65</v>
      </c>
      <c r="J853" s="1930" t="s">
        <v>137</v>
      </c>
      <c r="K853" s="1933">
        <v>23.47</v>
      </c>
      <c r="L853" s="1930" t="s">
        <v>138</v>
      </c>
    </row>
    <row r="854" spans="1:12" ht="13.5" x14ac:dyDescent="0.25">
      <c r="A854" s="1930" t="s">
        <v>4469</v>
      </c>
      <c r="B854" s="1930" t="s">
        <v>4470</v>
      </c>
      <c r="C854" s="1930" t="s">
        <v>4475</v>
      </c>
      <c r="D854" s="1930" t="s">
        <v>4476</v>
      </c>
      <c r="E854" s="1931" t="s">
        <v>33</v>
      </c>
      <c r="F854" s="1930" t="s">
        <v>33</v>
      </c>
      <c r="G854" s="1932">
        <v>90685</v>
      </c>
      <c r="H854" s="1930" t="s">
        <v>887</v>
      </c>
      <c r="I854" s="1930" t="s">
        <v>65</v>
      </c>
      <c r="J854" s="1930" t="s">
        <v>346</v>
      </c>
      <c r="K854" s="1933">
        <v>35.369999999999997</v>
      </c>
      <c r="L854" s="1930" t="s">
        <v>138</v>
      </c>
    </row>
    <row r="855" spans="1:12" ht="13.5" x14ac:dyDescent="0.25">
      <c r="A855" s="1930" t="s">
        <v>4469</v>
      </c>
      <c r="B855" s="1930" t="s">
        <v>4470</v>
      </c>
      <c r="C855" s="1930" t="s">
        <v>4475</v>
      </c>
      <c r="D855" s="1930" t="s">
        <v>4476</v>
      </c>
      <c r="E855" s="1931" t="s">
        <v>33</v>
      </c>
      <c r="F855" s="1930" t="s">
        <v>33</v>
      </c>
      <c r="G855" s="1932">
        <v>90688</v>
      </c>
      <c r="H855" s="1930" t="s">
        <v>888</v>
      </c>
      <c r="I855" s="1930" t="s">
        <v>65</v>
      </c>
      <c r="J855" s="1930" t="s">
        <v>137</v>
      </c>
      <c r="K855" s="1933">
        <v>11.86</v>
      </c>
      <c r="L855" s="1930" t="s">
        <v>138</v>
      </c>
    </row>
    <row r="856" spans="1:12" ht="13.5" x14ac:dyDescent="0.25">
      <c r="A856" s="1930" t="s">
        <v>4469</v>
      </c>
      <c r="B856" s="1930" t="s">
        <v>4470</v>
      </c>
      <c r="C856" s="1930" t="s">
        <v>4475</v>
      </c>
      <c r="D856" s="1930" t="s">
        <v>4476</v>
      </c>
      <c r="E856" s="1931" t="s">
        <v>33</v>
      </c>
      <c r="F856" s="1930" t="s">
        <v>33</v>
      </c>
      <c r="G856" s="1932">
        <v>90689</v>
      </c>
      <c r="H856" s="1930" t="s">
        <v>889</v>
      </c>
      <c r="I856" s="1930" t="s">
        <v>65</v>
      </c>
      <c r="J856" s="1930" t="s">
        <v>137</v>
      </c>
      <c r="K856" s="1933">
        <v>1.2</v>
      </c>
      <c r="L856" s="1930" t="s">
        <v>138</v>
      </c>
    </row>
    <row r="857" spans="1:12" ht="13.5" x14ac:dyDescent="0.25">
      <c r="A857" s="1930" t="s">
        <v>4469</v>
      </c>
      <c r="B857" s="1930" t="s">
        <v>4470</v>
      </c>
      <c r="C857" s="1930" t="s">
        <v>4475</v>
      </c>
      <c r="D857" s="1930" t="s">
        <v>4476</v>
      </c>
      <c r="E857" s="1931" t="s">
        <v>33</v>
      </c>
      <c r="F857" s="1930" t="s">
        <v>33</v>
      </c>
      <c r="G857" s="1932">
        <v>90690</v>
      </c>
      <c r="H857" s="1930" t="s">
        <v>890</v>
      </c>
      <c r="I857" s="1930" t="s">
        <v>65</v>
      </c>
      <c r="J857" s="1930" t="s">
        <v>137</v>
      </c>
      <c r="K857" s="1933">
        <v>14.83</v>
      </c>
      <c r="L857" s="1930" t="s">
        <v>138</v>
      </c>
    </row>
    <row r="858" spans="1:12" ht="13.5" x14ac:dyDescent="0.25">
      <c r="A858" s="1930" t="s">
        <v>4469</v>
      </c>
      <c r="B858" s="1930" t="s">
        <v>4470</v>
      </c>
      <c r="C858" s="1930" t="s">
        <v>4475</v>
      </c>
      <c r="D858" s="1930" t="s">
        <v>4476</v>
      </c>
      <c r="E858" s="1931" t="s">
        <v>33</v>
      </c>
      <c r="F858" s="1930" t="s">
        <v>33</v>
      </c>
      <c r="G858" s="1932">
        <v>90691</v>
      </c>
      <c r="H858" s="1930" t="s">
        <v>891</v>
      </c>
      <c r="I858" s="1930" t="s">
        <v>65</v>
      </c>
      <c r="J858" s="1930" t="s">
        <v>346</v>
      </c>
      <c r="K858" s="1933">
        <v>32.58</v>
      </c>
      <c r="L858" s="1930" t="s">
        <v>138</v>
      </c>
    </row>
    <row r="859" spans="1:12" ht="13.5" x14ac:dyDescent="0.25">
      <c r="A859" s="1930" t="s">
        <v>4469</v>
      </c>
      <c r="B859" s="1930" t="s">
        <v>4470</v>
      </c>
      <c r="C859" s="1930" t="s">
        <v>4475</v>
      </c>
      <c r="D859" s="1930" t="s">
        <v>4476</v>
      </c>
      <c r="E859" s="1931" t="s">
        <v>33</v>
      </c>
      <c r="F859" s="1930" t="s">
        <v>33</v>
      </c>
      <c r="G859" s="1932">
        <v>90957</v>
      </c>
      <c r="H859" s="1930" t="s">
        <v>892</v>
      </c>
      <c r="I859" s="1930" t="s">
        <v>65</v>
      </c>
      <c r="J859" s="1930" t="s">
        <v>137</v>
      </c>
      <c r="K859" s="1933">
        <v>2.33</v>
      </c>
      <c r="L859" s="1930" t="s">
        <v>138</v>
      </c>
    </row>
    <row r="860" spans="1:12" ht="13.5" x14ac:dyDescent="0.25">
      <c r="A860" s="1930" t="s">
        <v>4469</v>
      </c>
      <c r="B860" s="1930" t="s">
        <v>4470</v>
      </c>
      <c r="C860" s="1930" t="s">
        <v>4475</v>
      </c>
      <c r="D860" s="1930" t="s">
        <v>4476</v>
      </c>
      <c r="E860" s="1931" t="s">
        <v>33</v>
      </c>
      <c r="F860" s="1930" t="s">
        <v>33</v>
      </c>
      <c r="G860" s="1932">
        <v>90958</v>
      </c>
      <c r="H860" s="1930" t="s">
        <v>893</v>
      </c>
      <c r="I860" s="1930" t="s">
        <v>65</v>
      </c>
      <c r="J860" s="1930" t="s">
        <v>137</v>
      </c>
      <c r="K860" s="1933">
        <v>0.32</v>
      </c>
      <c r="L860" s="1930" t="s">
        <v>138</v>
      </c>
    </row>
    <row r="861" spans="1:12" ht="13.5" x14ac:dyDescent="0.25">
      <c r="A861" s="1930" t="s">
        <v>4469</v>
      </c>
      <c r="B861" s="1930" t="s">
        <v>4470</v>
      </c>
      <c r="C861" s="1930" t="s">
        <v>4475</v>
      </c>
      <c r="D861" s="1930" t="s">
        <v>4476</v>
      </c>
      <c r="E861" s="1931" t="s">
        <v>33</v>
      </c>
      <c r="F861" s="1930" t="s">
        <v>33</v>
      </c>
      <c r="G861" s="1932">
        <v>90960</v>
      </c>
      <c r="H861" s="1930" t="s">
        <v>894</v>
      </c>
      <c r="I861" s="1930" t="s">
        <v>65</v>
      </c>
      <c r="J861" s="1930" t="s">
        <v>137</v>
      </c>
      <c r="K861" s="1933">
        <v>3.11</v>
      </c>
      <c r="L861" s="1930" t="s">
        <v>138</v>
      </c>
    </row>
    <row r="862" spans="1:12" ht="13.5" x14ac:dyDescent="0.25">
      <c r="A862" s="1930" t="s">
        <v>4469</v>
      </c>
      <c r="B862" s="1930" t="s">
        <v>4470</v>
      </c>
      <c r="C862" s="1930" t="s">
        <v>4475</v>
      </c>
      <c r="D862" s="1930" t="s">
        <v>4476</v>
      </c>
      <c r="E862" s="1931" t="s">
        <v>33</v>
      </c>
      <c r="F862" s="1930" t="s">
        <v>33</v>
      </c>
      <c r="G862" s="1932">
        <v>90961</v>
      </c>
      <c r="H862" s="1930" t="s">
        <v>895</v>
      </c>
      <c r="I862" s="1930" t="s">
        <v>65</v>
      </c>
      <c r="J862" s="1930" t="s">
        <v>137</v>
      </c>
      <c r="K862" s="1933">
        <v>0.43</v>
      </c>
      <c r="L862" s="1930" t="s">
        <v>138</v>
      </c>
    </row>
    <row r="863" spans="1:12" ht="13.5" x14ac:dyDescent="0.25">
      <c r="A863" s="1930" t="s">
        <v>4469</v>
      </c>
      <c r="B863" s="1930" t="s">
        <v>4470</v>
      </c>
      <c r="C863" s="1930" t="s">
        <v>4475</v>
      </c>
      <c r="D863" s="1930" t="s">
        <v>4476</v>
      </c>
      <c r="E863" s="1931" t="s">
        <v>33</v>
      </c>
      <c r="F863" s="1930" t="s">
        <v>33</v>
      </c>
      <c r="G863" s="1932">
        <v>90962</v>
      </c>
      <c r="H863" s="1930" t="s">
        <v>896</v>
      </c>
      <c r="I863" s="1930" t="s">
        <v>65</v>
      </c>
      <c r="J863" s="1930" t="s">
        <v>137</v>
      </c>
      <c r="K863" s="1933">
        <v>3.89</v>
      </c>
      <c r="L863" s="1930" t="s">
        <v>138</v>
      </c>
    </row>
    <row r="864" spans="1:12" ht="13.5" x14ac:dyDescent="0.25">
      <c r="A864" s="1930" t="s">
        <v>4469</v>
      </c>
      <c r="B864" s="1930" t="s">
        <v>4470</v>
      </c>
      <c r="C864" s="1930" t="s">
        <v>4475</v>
      </c>
      <c r="D864" s="1930" t="s">
        <v>4476</v>
      </c>
      <c r="E864" s="1931" t="s">
        <v>33</v>
      </c>
      <c r="F864" s="1930" t="s">
        <v>33</v>
      </c>
      <c r="G864" s="1932">
        <v>90963</v>
      </c>
      <c r="H864" s="1930" t="s">
        <v>897</v>
      </c>
      <c r="I864" s="1930" t="s">
        <v>65</v>
      </c>
      <c r="J864" s="1930" t="s">
        <v>346</v>
      </c>
      <c r="K864" s="1933">
        <v>9.3000000000000007</v>
      </c>
      <c r="L864" s="1930" t="s">
        <v>138</v>
      </c>
    </row>
    <row r="865" spans="1:12" ht="13.5" x14ac:dyDescent="0.25">
      <c r="A865" s="1930" t="s">
        <v>4469</v>
      </c>
      <c r="B865" s="1930" t="s">
        <v>4470</v>
      </c>
      <c r="C865" s="1930" t="s">
        <v>4475</v>
      </c>
      <c r="D865" s="1930" t="s">
        <v>4476</v>
      </c>
      <c r="E865" s="1931" t="s">
        <v>33</v>
      </c>
      <c r="F865" s="1930" t="s">
        <v>33</v>
      </c>
      <c r="G865" s="1932">
        <v>90968</v>
      </c>
      <c r="H865" s="1930" t="s">
        <v>898</v>
      </c>
      <c r="I865" s="1930" t="s">
        <v>65</v>
      </c>
      <c r="J865" s="1930" t="s">
        <v>137</v>
      </c>
      <c r="K865" s="1933">
        <v>3.12</v>
      </c>
      <c r="L865" s="1930" t="s">
        <v>138</v>
      </c>
    </row>
    <row r="866" spans="1:12" ht="13.5" x14ac:dyDescent="0.25">
      <c r="A866" s="1930" t="s">
        <v>4469</v>
      </c>
      <c r="B866" s="1930" t="s">
        <v>4470</v>
      </c>
      <c r="C866" s="1930" t="s">
        <v>4475</v>
      </c>
      <c r="D866" s="1930" t="s">
        <v>4476</v>
      </c>
      <c r="E866" s="1931" t="s">
        <v>33</v>
      </c>
      <c r="F866" s="1930" t="s">
        <v>33</v>
      </c>
      <c r="G866" s="1932">
        <v>90969</v>
      </c>
      <c r="H866" s="1930" t="s">
        <v>899</v>
      </c>
      <c r="I866" s="1930" t="s">
        <v>65</v>
      </c>
      <c r="J866" s="1930" t="s">
        <v>137</v>
      </c>
      <c r="K866" s="1933">
        <v>0.43</v>
      </c>
      <c r="L866" s="1930" t="s">
        <v>138</v>
      </c>
    </row>
    <row r="867" spans="1:12" ht="13.5" x14ac:dyDescent="0.25">
      <c r="A867" s="1930" t="s">
        <v>4469</v>
      </c>
      <c r="B867" s="1930" t="s">
        <v>4470</v>
      </c>
      <c r="C867" s="1930" t="s">
        <v>4475</v>
      </c>
      <c r="D867" s="1930" t="s">
        <v>4476</v>
      </c>
      <c r="E867" s="1931" t="s">
        <v>33</v>
      </c>
      <c r="F867" s="1930" t="s">
        <v>33</v>
      </c>
      <c r="G867" s="1932">
        <v>90970</v>
      </c>
      <c r="H867" s="1930" t="s">
        <v>900</v>
      </c>
      <c r="I867" s="1930" t="s">
        <v>65</v>
      </c>
      <c r="J867" s="1930" t="s">
        <v>137</v>
      </c>
      <c r="K867" s="1933">
        <v>3.91</v>
      </c>
      <c r="L867" s="1930" t="s">
        <v>138</v>
      </c>
    </row>
    <row r="868" spans="1:12" ht="13.5" x14ac:dyDescent="0.25">
      <c r="A868" s="1930" t="s">
        <v>4469</v>
      </c>
      <c r="B868" s="1930" t="s">
        <v>4470</v>
      </c>
      <c r="C868" s="1930" t="s">
        <v>4475</v>
      </c>
      <c r="D868" s="1930" t="s">
        <v>4476</v>
      </c>
      <c r="E868" s="1931" t="s">
        <v>33</v>
      </c>
      <c r="F868" s="1930" t="s">
        <v>33</v>
      </c>
      <c r="G868" s="1932">
        <v>90971</v>
      </c>
      <c r="H868" s="1930" t="s">
        <v>901</v>
      </c>
      <c r="I868" s="1930" t="s">
        <v>65</v>
      </c>
      <c r="J868" s="1930" t="s">
        <v>346</v>
      </c>
      <c r="K868" s="1933">
        <v>37.68</v>
      </c>
      <c r="L868" s="1930" t="s">
        <v>138</v>
      </c>
    </row>
    <row r="869" spans="1:12" ht="13.5" x14ac:dyDescent="0.25">
      <c r="A869" s="1930" t="s">
        <v>4469</v>
      </c>
      <c r="B869" s="1930" t="s">
        <v>4470</v>
      </c>
      <c r="C869" s="1930" t="s">
        <v>4475</v>
      </c>
      <c r="D869" s="1930" t="s">
        <v>4476</v>
      </c>
      <c r="E869" s="1931" t="s">
        <v>33</v>
      </c>
      <c r="F869" s="1930" t="s">
        <v>33</v>
      </c>
      <c r="G869" s="1932">
        <v>90975</v>
      </c>
      <c r="H869" s="1930" t="s">
        <v>902</v>
      </c>
      <c r="I869" s="1930" t="s">
        <v>65</v>
      </c>
      <c r="J869" s="1930" t="s">
        <v>137</v>
      </c>
      <c r="K869" s="1933">
        <v>7.93</v>
      </c>
      <c r="L869" s="1930" t="s">
        <v>138</v>
      </c>
    </row>
    <row r="870" spans="1:12" ht="13.5" x14ac:dyDescent="0.25">
      <c r="A870" s="1930" t="s">
        <v>4469</v>
      </c>
      <c r="B870" s="1930" t="s">
        <v>4470</v>
      </c>
      <c r="C870" s="1930" t="s">
        <v>4475</v>
      </c>
      <c r="D870" s="1930" t="s">
        <v>4476</v>
      </c>
      <c r="E870" s="1931" t="s">
        <v>33</v>
      </c>
      <c r="F870" s="1930" t="s">
        <v>33</v>
      </c>
      <c r="G870" s="1932">
        <v>90976</v>
      </c>
      <c r="H870" s="1930" t="s">
        <v>903</v>
      </c>
      <c r="I870" s="1930" t="s">
        <v>65</v>
      </c>
      <c r="J870" s="1930" t="s">
        <v>137</v>
      </c>
      <c r="K870" s="1933">
        <v>1.1000000000000001</v>
      </c>
      <c r="L870" s="1930" t="s">
        <v>138</v>
      </c>
    </row>
    <row r="871" spans="1:12" ht="13.5" x14ac:dyDescent="0.25">
      <c r="A871" s="1930" t="s">
        <v>4469</v>
      </c>
      <c r="B871" s="1930" t="s">
        <v>4470</v>
      </c>
      <c r="C871" s="1930" t="s">
        <v>4475</v>
      </c>
      <c r="D871" s="1930" t="s">
        <v>4476</v>
      </c>
      <c r="E871" s="1931" t="s">
        <v>33</v>
      </c>
      <c r="F871" s="1930" t="s">
        <v>33</v>
      </c>
      <c r="G871" s="1932">
        <v>90977</v>
      </c>
      <c r="H871" s="1930" t="s">
        <v>904</v>
      </c>
      <c r="I871" s="1930" t="s">
        <v>65</v>
      </c>
      <c r="J871" s="1930" t="s">
        <v>137</v>
      </c>
      <c r="K871" s="1933">
        <v>9.92</v>
      </c>
      <c r="L871" s="1930" t="s">
        <v>138</v>
      </c>
    </row>
    <row r="872" spans="1:12" ht="13.5" x14ac:dyDescent="0.25">
      <c r="A872" s="1930" t="s">
        <v>4469</v>
      </c>
      <c r="B872" s="1930" t="s">
        <v>4470</v>
      </c>
      <c r="C872" s="1930" t="s">
        <v>4475</v>
      </c>
      <c r="D872" s="1930" t="s">
        <v>4476</v>
      </c>
      <c r="E872" s="1931" t="s">
        <v>33</v>
      </c>
      <c r="F872" s="1930" t="s">
        <v>33</v>
      </c>
      <c r="G872" s="1932">
        <v>90978</v>
      </c>
      <c r="H872" s="1930" t="s">
        <v>905</v>
      </c>
      <c r="I872" s="1930" t="s">
        <v>65</v>
      </c>
      <c r="J872" s="1930" t="s">
        <v>346</v>
      </c>
      <c r="K872" s="1933">
        <v>97.76</v>
      </c>
      <c r="L872" s="1930" t="s">
        <v>138</v>
      </c>
    </row>
    <row r="873" spans="1:12" ht="13.5" x14ac:dyDescent="0.25">
      <c r="A873" s="1930" t="s">
        <v>4469</v>
      </c>
      <c r="B873" s="1930" t="s">
        <v>4470</v>
      </c>
      <c r="C873" s="1930" t="s">
        <v>4475</v>
      </c>
      <c r="D873" s="1930" t="s">
        <v>4476</v>
      </c>
      <c r="E873" s="1931" t="s">
        <v>33</v>
      </c>
      <c r="F873" s="1930" t="s">
        <v>33</v>
      </c>
      <c r="G873" s="1932">
        <v>90992</v>
      </c>
      <c r="H873" s="1930" t="s">
        <v>906</v>
      </c>
      <c r="I873" s="1930" t="s">
        <v>65</v>
      </c>
      <c r="J873" s="1930" t="s">
        <v>137</v>
      </c>
      <c r="K873" s="1933">
        <v>3.7</v>
      </c>
      <c r="L873" s="1930" t="s">
        <v>138</v>
      </c>
    </row>
    <row r="874" spans="1:12" ht="13.5" x14ac:dyDescent="0.25">
      <c r="A874" s="1930" t="s">
        <v>4469</v>
      </c>
      <c r="B874" s="1930" t="s">
        <v>4470</v>
      </c>
      <c r="C874" s="1930" t="s">
        <v>4475</v>
      </c>
      <c r="D874" s="1930" t="s">
        <v>4476</v>
      </c>
      <c r="E874" s="1931" t="s">
        <v>33</v>
      </c>
      <c r="F874" s="1930" t="s">
        <v>33</v>
      </c>
      <c r="G874" s="1932">
        <v>90993</v>
      </c>
      <c r="H874" s="1930" t="s">
        <v>907</v>
      </c>
      <c r="I874" s="1930" t="s">
        <v>65</v>
      </c>
      <c r="J874" s="1930" t="s">
        <v>137</v>
      </c>
      <c r="K874" s="1933">
        <v>0.51</v>
      </c>
      <c r="L874" s="1930" t="s">
        <v>138</v>
      </c>
    </row>
    <row r="875" spans="1:12" ht="13.5" x14ac:dyDescent="0.25">
      <c r="A875" s="1930" t="s">
        <v>4469</v>
      </c>
      <c r="B875" s="1930" t="s">
        <v>4470</v>
      </c>
      <c r="C875" s="1930" t="s">
        <v>4475</v>
      </c>
      <c r="D875" s="1930" t="s">
        <v>4476</v>
      </c>
      <c r="E875" s="1931" t="s">
        <v>33</v>
      </c>
      <c r="F875" s="1930" t="s">
        <v>33</v>
      </c>
      <c r="G875" s="1932">
        <v>90994</v>
      </c>
      <c r="H875" s="1930" t="s">
        <v>908</v>
      </c>
      <c r="I875" s="1930" t="s">
        <v>65</v>
      </c>
      <c r="J875" s="1930" t="s">
        <v>137</v>
      </c>
      <c r="K875" s="1933">
        <v>4.63</v>
      </c>
      <c r="L875" s="1930" t="s">
        <v>138</v>
      </c>
    </row>
    <row r="876" spans="1:12" ht="13.5" x14ac:dyDescent="0.25">
      <c r="A876" s="1930" t="s">
        <v>4469</v>
      </c>
      <c r="B876" s="1930" t="s">
        <v>4470</v>
      </c>
      <c r="C876" s="1930" t="s">
        <v>4475</v>
      </c>
      <c r="D876" s="1930" t="s">
        <v>4476</v>
      </c>
      <c r="E876" s="1931" t="s">
        <v>33</v>
      </c>
      <c r="F876" s="1930" t="s">
        <v>33</v>
      </c>
      <c r="G876" s="1932">
        <v>90995</v>
      </c>
      <c r="H876" s="1930" t="s">
        <v>909</v>
      </c>
      <c r="I876" s="1930" t="s">
        <v>65</v>
      </c>
      <c r="J876" s="1930" t="s">
        <v>346</v>
      </c>
      <c r="K876" s="1933">
        <v>51.18</v>
      </c>
      <c r="L876" s="1930" t="s">
        <v>138</v>
      </c>
    </row>
    <row r="877" spans="1:12" ht="13.5" x14ac:dyDescent="0.25">
      <c r="A877" s="1930" t="s">
        <v>4469</v>
      </c>
      <c r="B877" s="1930" t="s">
        <v>4470</v>
      </c>
      <c r="C877" s="1930" t="s">
        <v>4475</v>
      </c>
      <c r="D877" s="1930" t="s">
        <v>4476</v>
      </c>
      <c r="E877" s="1931" t="s">
        <v>33</v>
      </c>
      <c r="F877" s="1930" t="s">
        <v>33</v>
      </c>
      <c r="G877" s="1932">
        <v>91021</v>
      </c>
      <c r="H877" s="1930" t="s">
        <v>910</v>
      </c>
      <c r="I877" s="1930" t="s">
        <v>65</v>
      </c>
      <c r="J877" s="1930" t="s">
        <v>137</v>
      </c>
      <c r="K877" s="1933">
        <v>3.15</v>
      </c>
      <c r="L877" s="1930" t="s">
        <v>138</v>
      </c>
    </row>
    <row r="878" spans="1:12" ht="13.5" x14ac:dyDescent="0.25">
      <c r="A878" s="1930" t="s">
        <v>4469</v>
      </c>
      <c r="B878" s="1930" t="s">
        <v>4470</v>
      </c>
      <c r="C878" s="1930" t="s">
        <v>4475</v>
      </c>
      <c r="D878" s="1930" t="s">
        <v>4476</v>
      </c>
      <c r="E878" s="1931" t="s">
        <v>33</v>
      </c>
      <c r="F878" s="1930" t="s">
        <v>33</v>
      </c>
      <c r="G878" s="1932">
        <v>91026</v>
      </c>
      <c r="H878" s="1930" t="s">
        <v>911</v>
      </c>
      <c r="I878" s="1930" t="s">
        <v>65</v>
      </c>
      <c r="J878" s="1930" t="s">
        <v>137</v>
      </c>
      <c r="K878" s="1933">
        <v>11.43</v>
      </c>
      <c r="L878" s="1930" t="s">
        <v>138</v>
      </c>
    </row>
    <row r="879" spans="1:12" ht="13.5" x14ac:dyDescent="0.25">
      <c r="A879" s="1930" t="s">
        <v>4469</v>
      </c>
      <c r="B879" s="1930" t="s">
        <v>4470</v>
      </c>
      <c r="C879" s="1930" t="s">
        <v>4475</v>
      </c>
      <c r="D879" s="1930" t="s">
        <v>4476</v>
      </c>
      <c r="E879" s="1931" t="s">
        <v>33</v>
      </c>
      <c r="F879" s="1930" t="s">
        <v>33</v>
      </c>
      <c r="G879" s="1932">
        <v>91027</v>
      </c>
      <c r="H879" s="1930" t="s">
        <v>912</v>
      </c>
      <c r="I879" s="1930" t="s">
        <v>65</v>
      </c>
      <c r="J879" s="1930" t="s">
        <v>137</v>
      </c>
      <c r="K879" s="1933">
        <v>2.4</v>
      </c>
      <c r="L879" s="1930" t="s">
        <v>138</v>
      </c>
    </row>
    <row r="880" spans="1:12" ht="13.5" x14ac:dyDescent="0.25">
      <c r="A880" s="1930" t="s">
        <v>4469</v>
      </c>
      <c r="B880" s="1930" t="s">
        <v>4470</v>
      </c>
      <c r="C880" s="1930" t="s">
        <v>4475</v>
      </c>
      <c r="D880" s="1930" t="s">
        <v>4476</v>
      </c>
      <c r="E880" s="1931" t="s">
        <v>33</v>
      </c>
      <c r="F880" s="1930" t="s">
        <v>33</v>
      </c>
      <c r="G880" s="1932">
        <v>91028</v>
      </c>
      <c r="H880" s="1930" t="s">
        <v>913</v>
      </c>
      <c r="I880" s="1930" t="s">
        <v>65</v>
      </c>
      <c r="J880" s="1930" t="s">
        <v>137</v>
      </c>
      <c r="K880" s="1933">
        <v>0.92</v>
      </c>
      <c r="L880" s="1930" t="s">
        <v>138</v>
      </c>
    </row>
    <row r="881" spans="1:12" ht="13.5" x14ac:dyDescent="0.25">
      <c r="A881" s="1930" t="s">
        <v>4469</v>
      </c>
      <c r="B881" s="1930" t="s">
        <v>4470</v>
      </c>
      <c r="C881" s="1930" t="s">
        <v>4475</v>
      </c>
      <c r="D881" s="1930" t="s">
        <v>4476</v>
      </c>
      <c r="E881" s="1931" t="s">
        <v>33</v>
      </c>
      <c r="F881" s="1930" t="s">
        <v>33</v>
      </c>
      <c r="G881" s="1932">
        <v>91029</v>
      </c>
      <c r="H881" s="1930" t="s">
        <v>914</v>
      </c>
      <c r="I881" s="1930" t="s">
        <v>65</v>
      </c>
      <c r="J881" s="1930" t="s">
        <v>137</v>
      </c>
      <c r="K881" s="1933">
        <v>21.43</v>
      </c>
      <c r="L881" s="1930" t="s">
        <v>138</v>
      </c>
    </row>
    <row r="882" spans="1:12" ht="13.5" x14ac:dyDescent="0.25">
      <c r="A882" s="1930" t="s">
        <v>4469</v>
      </c>
      <c r="B882" s="1930" t="s">
        <v>4470</v>
      </c>
      <c r="C882" s="1930" t="s">
        <v>4475</v>
      </c>
      <c r="D882" s="1930" t="s">
        <v>4476</v>
      </c>
      <c r="E882" s="1931" t="s">
        <v>33</v>
      </c>
      <c r="F882" s="1930" t="s">
        <v>33</v>
      </c>
      <c r="G882" s="1932">
        <v>91030</v>
      </c>
      <c r="H882" s="1930" t="s">
        <v>915</v>
      </c>
      <c r="I882" s="1930" t="s">
        <v>65</v>
      </c>
      <c r="J882" s="1930" t="s">
        <v>346</v>
      </c>
      <c r="K882" s="1933">
        <v>88.53</v>
      </c>
      <c r="L882" s="1930" t="s">
        <v>138</v>
      </c>
    </row>
    <row r="883" spans="1:12" ht="13.5" x14ac:dyDescent="0.25">
      <c r="A883" s="1930" t="s">
        <v>4469</v>
      </c>
      <c r="B883" s="1930" t="s">
        <v>4470</v>
      </c>
      <c r="C883" s="1930" t="s">
        <v>4475</v>
      </c>
      <c r="D883" s="1930" t="s">
        <v>4476</v>
      </c>
      <c r="E883" s="1931" t="s">
        <v>33</v>
      </c>
      <c r="F883" s="1930" t="s">
        <v>33</v>
      </c>
      <c r="G883" s="1932">
        <v>91273</v>
      </c>
      <c r="H883" s="1930" t="s">
        <v>916</v>
      </c>
      <c r="I883" s="1930" t="s">
        <v>65</v>
      </c>
      <c r="J883" s="1930" t="s">
        <v>320</v>
      </c>
      <c r="K883" s="1933">
        <v>0.52</v>
      </c>
      <c r="L883" s="1930" t="s">
        <v>138</v>
      </c>
    </row>
    <row r="884" spans="1:12" ht="13.5" x14ac:dyDescent="0.25">
      <c r="A884" s="1930" t="s">
        <v>4469</v>
      </c>
      <c r="B884" s="1930" t="s">
        <v>4470</v>
      </c>
      <c r="C884" s="1930" t="s">
        <v>4475</v>
      </c>
      <c r="D884" s="1930" t="s">
        <v>4476</v>
      </c>
      <c r="E884" s="1931" t="s">
        <v>33</v>
      </c>
      <c r="F884" s="1930" t="s">
        <v>33</v>
      </c>
      <c r="G884" s="1932">
        <v>91274</v>
      </c>
      <c r="H884" s="1930" t="s">
        <v>917</v>
      </c>
      <c r="I884" s="1930" t="s">
        <v>65</v>
      </c>
      <c r="J884" s="1930" t="s">
        <v>320</v>
      </c>
      <c r="K884" s="1933">
        <v>7.0000000000000007E-2</v>
      </c>
      <c r="L884" s="1930" t="s">
        <v>138</v>
      </c>
    </row>
    <row r="885" spans="1:12" ht="13.5" x14ac:dyDescent="0.25">
      <c r="A885" s="1930" t="s">
        <v>4469</v>
      </c>
      <c r="B885" s="1930" t="s">
        <v>4470</v>
      </c>
      <c r="C885" s="1930" t="s">
        <v>4475</v>
      </c>
      <c r="D885" s="1930" t="s">
        <v>4476</v>
      </c>
      <c r="E885" s="1931" t="s">
        <v>33</v>
      </c>
      <c r="F885" s="1930" t="s">
        <v>33</v>
      </c>
      <c r="G885" s="1932">
        <v>91275</v>
      </c>
      <c r="H885" s="1930" t="s">
        <v>918</v>
      </c>
      <c r="I885" s="1930" t="s">
        <v>65</v>
      </c>
      <c r="J885" s="1930" t="s">
        <v>320</v>
      </c>
      <c r="K885" s="1933">
        <v>0.65</v>
      </c>
      <c r="L885" s="1930" t="s">
        <v>138</v>
      </c>
    </row>
    <row r="886" spans="1:12" ht="13.5" x14ac:dyDescent="0.25">
      <c r="A886" s="1930" t="s">
        <v>4469</v>
      </c>
      <c r="B886" s="1930" t="s">
        <v>4470</v>
      </c>
      <c r="C886" s="1930" t="s">
        <v>4475</v>
      </c>
      <c r="D886" s="1930" t="s">
        <v>4476</v>
      </c>
      <c r="E886" s="1931" t="s">
        <v>33</v>
      </c>
      <c r="F886" s="1930" t="s">
        <v>33</v>
      </c>
      <c r="G886" s="1932">
        <v>91276</v>
      </c>
      <c r="H886" s="1930" t="s">
        <v>919</v>
      </c>
      <c r="I886" s="1930" t="s">
        <v>65</v>
      </c>
      <c r="J886" s="1930" t="s">
        <v>346</v>
      </c>
      <c r="K886" s="1933">
        <v>6.17</v>
      </c>
      <c r="L886" s="1930" t="s">
        <v>138</v>
      </c>
    </row>
    <row r="887" spans="1:12" ht="13.5" x14ac:dyDescent="0.25">
      <c r="A887" s="1930" t="s">
        <v>4469</v>
      </c>
      <c r="B887" s="1930" t="s">
        <v>4470</v>
      </c>
      <c r="C887" s="1930" t="s">
        <v>4475</v>
      </c>
      <c r="D887" s="1930" t="s">
        <v>4476</v>
      </c>
      <c r="E887" s="1931" t="s">
        <v>33</v>
      </c>
      <c r="F887" s="1930" t="s">
        <v>33</v>
      </c>
      <c r="G887" s="1932">
        <v>91279</v>
      </c>
      <c r="H887" s="1930" t="s">
        <v>920</v>
      </c>
      <c r="I887" s="1930" t="s">
        <v>65</v>
      </c>
      <c r="J887" s="1930" t="s">
        <v>320</v>
      </c>
      <c r="K887" s="1933">
        <v>0.56000000000000005</v>
      </c>
      <c r="L887" s="1930" t="s">
        <v>138</v>
      </c>
    </row>
    <row r="888" spans="1:12" ht="13.5" x14ac:dyDescent="0.25">
      <c r="A888" s="1930" t="s">
        <v>4469</v>
      </c>
      <c r="B888" s="1930" t="s">
        <v>4470</v>
      </c>
      <c r="C888" s="1930" t="s">
        <v>4475</v>
      </c>
      <c r="D888" s="1930" t="s">
        <v>4476</v>
      </c>
      <c r="E888" s="1931" t="s">
        <v>33</v>
      </c>
      <c r="F888" s="1930" t="s">
        <v>33</v>
      </c>
      <c r="G888" s="1932">
        <v>91280</v>
      </c>
      <c r="H888" s="1930" t="s">
        <v>921</v>
      </c>
      <c r="I888" s="1930" t="s">
        <v>65</v>
      </c>
      <c r="J888" s="1930" t="s">
        <v>320</v>
      </c>
      <c r="K888" s="1933">
        <v>0.06</v>
      </c>
      <c r="L888" s="1930" t="s">
        <v>138</v>
      </c>
    </row>
    <row r="889" spans="1:12" ht="13.5" x14ac:dyDescent="0.25">
      <c r="A889" s="1930" t="s">
        <v>4469</v>
      </c>
      <c r="B889" s="1930" t="s">
        <v>4470</v>
      </c>
      <c r="C889" s="1930" t="s">
        <v>4475</v>
      </c>
      <c r="D889" s="1930" t="s">
        <v>4476</v>
      </c>
      <c r="E889" s="1931" t="s">
        <v>33</v>
      </c>
      <c r="F889" s="1930" t="s">
        <v>33</v>
      </c>
      <c r="G889" s="1932">
        <v>91281</v>
      </c>
      <c r="H889" s="1930" t="s">
        <v>922</v>
      </c>
      <c r="I889" s="1930" t="s">
        <v>65</v>
      </c>
      <c r="J889" s="1930" t="s">
        <v>320</v>
      </c>
      <c r="K889" s="1933">
        <v>0.7</v>
      </c>
      <c r="L889" s="1930" t="s">
        <v>138</v>
      </c>
    </row>
    <row r="890" spans="1:12" ht="13.5" x14ac:dyDescent="0.25">
      <c r="A890" s="1930" t="s">
        <v>4469</v>
      </c>
      <c r="B890" s="1930" t="s">
        <v>4470</v>
      </c>
      <c r="C890" s="1930" t="s">
        <v>4475</v>
      </c>
      <c r="D890" s="1930" t="s">
        <v>4476</v>
      </c>
      <c r="E890" s="1931" t="s">
        <v>33</v>
      </c>
      <c r="F890" s="1930" t="s">
        <v>33</v>
      </c>
      <c r="G890" s="1932">
        <v>91282</v>
      </c>
      <c r="H890" s="1930" t="s">
        <v>923</v>
      </c>
      <c r="I890" s="1930" t="s">
        <v>65</v>
      </c>
      <c r="J890" s="1930" t="s">
        <v>346</v>
      </c>
      <c r="K890" s="1933">
        <v>14.76</v>
      </c>
      <c r="L890" s="1930" t="s">
        <v>138</v>
      </c>
    </row>
    <row r="891" spans="1:12" ht="13.5" x14ac:dyDescent="0.25">
      <c r="A891" s="1930" t="s">
        <v>4469</v>
      </c>
      <c r="B891" s="1930" t="s">
        <v>4470</v>
      </c>
      <c r="C891" s="1930" t="s">
        <v>4475</v>
      </c>
      <c r="D891" s="1930" t="s">
        <v>4476</v>
      </c>
      <c r="E891" s="1931" t="s">
        <v>33</v>
      </c>
      <c r="F891" s="1930" t="s">
        <v>33</v>
      </c>
      <c r="G891" s="1932">
        <v>91354</v>
      </c>
      <c r="H891" s="1930" t="s">
        <v>924</v>
      </c>
      <c r="I891" s="1930" t="s">
        <v>65</v>
      </c>
      <c r="J891" s="1930" t="s">
        <v>137</v>
      </c>
      <c r="K891" s="1933">
        <v>8.8699999999999992</v>
      </c>
      <c r="L891" s="1930" t="s">
        <v>138</v>
      </c>
    </row>
    <row r="892" spans="1:12" ht="13.5" x14ac:dyDescent="0.25">
      <c r="A892" s="1930" t="s">
        <v>4469</v>
      </c>
      <c r="B892" s="1930" t="s">
        <v>4470</v>
      </c>
      <c r="C892" s="1930" t="s">
        <v>4475</v>
      </c>
      <c r="D892" s="1930" t="s">
        <v>4476</v>
      </c>
      <c r="E892" s="1931" t="s">
        <v>33</v>
      </c>
      <c r="F892" s="1930" t="s">
        <v>33</v>
      </c>
      <c r="G892" s="1932">
        <v>91355</v>
      </c>
      <c r="H892" s="1930" t="s">
        <v>925</v>
      </c>
      <c r="I892" s="1930" t="s">
        <v>65</v>
      </c>
      <c r="J892" s="1930" t="s">
        <v>137</v>
      </c>
      <c r="K892" s="1933">
        <v>1.86</v>
      </c>
      <c r="L892" s="1930" t="s">
        <v>138</v>
      </c>
    </row>
    <row r="893" spans="1:12" ht="13.5" x14ac:dyDescent="0.25">
      <c r="A893" s="1930" t="s">
        <v>4469</v>
      </c>
      <c r="B893" s="1930" t="s">
        <v>4470</v>
      </c>
      <c r="C893" s="1930" t="s">
        <v>4475</v>
      </c>
      <c r="D893" s="1930" t="s">
        <v>4476</v>
      </c>
      <c r="E893" s="1931" t="s">
        <v>33</v>
      </c>
      <c r="F893" s="1930" t="s">
        <v>33</v>
      </c>
      <c r="G893" s="1932">
        <v>91356</v>
      </c>
      <c r="H893" s="1930" t="s">
        <v>926</v>
      </c>
      <c r="I893" s="1930" t="s">
        <v>65</v>
      </c>
      <c r="J893" s="1930" t="s">
        <v>137</v>
      </c>
      <c r="K893" s="1933">
        <v>0.72</v>
      </c>
      <c r="L893" s="1930" t="s">
        <v>138</v>
      </c>
    </row>
    <row r="894" spans="1:12" ht="13.5" x14ac:dyDescent="0.25">
      <c r="A894" s="1930" t="s">
        <v>4469</v>
      </c>
      <c r="B894" s="1930" t="s">
        <v>4470</v>
      </c>
      <c r="C894" s="1930" t="s">
        <v>4475</v>
      </c>
      <c r="D894" s="1930" t="s">
        <v>4476</v>
      </c>
      <c r="E894" s="1931" t="s">
        <v>33</v>
      </c>
      <c r="F894" s="1930" t="s">
        <v>33</v>
      </c>
      <c r="G894" s="1932">
        <v>91359</v>
      </c>
      <c r="H894" s="1930" t="s">
        <v>927</v>
      </c>
      <c r="I894" s="1930" t="s">
        <v>65</v>
      </c>
      <c r="J894" s="1930" t="s">
        <v>137</v>
      </c>
      <c r="K894" s="1933">
        <v>9.92</v>
      </c>
      <c r="L894" s="1930" t="s">
        <v>138</v>
      </c>
    </row>
    <row r="895" spans="1:12" ht="13.5" x14ac:dyDescent="0.25">
      <c r="A895" s="1930" t="s">
        <v>4469</v>
      </c>
      <c r="B895" s="1930" t="s">
        <v>4470</v>
      </c>
      <c r="C895" s="1930" t="s">
        <v>4475</v>
      </c>
      <c r="D895" s="1930" t="s">
        <v>4476</v>
      </c>
      <c r="E895" s="1931" t="s">
        <v>33</v>
      </c>
      <c r="F895" s="1930" t="s">
        <v>33</v>
      </c>
      <c r="G895" s="1932">
        <v>91360</v>
      </c>
      <c r="H895" s="1930" t="s">
        <v>928</v>
      </c>
      <c r="I895" s="1930" t="s">
        <v>65</v>
      </c>
      <c r="J895" s="1930" t="s">
        <v>137</v>
      </c>
      <c r="K895" s="1933">
        <v>2.08</v>
      </c>
      <c r="L895" s="1930" t="s">
        <v>138</v>
      </c>
    </row>
    <row r="896" spans="1:12" ht="13.5" x14ac:dyDescent="0.25">
      <c r="A896" s="1930" t="s">
        <v>4469</v>
      </c>
      <c r="B896" s="1930" t="s">
        <v>4470</v>
      </c>
      <c r="C896" s="1930" t="s">
        <v>4475</v>
      </c>
      <c r="D896" s="1930" t="s">
        <v>4476</v>
      </c>
      <c r="E896" s="1931" t="s">
        <v>33</v>
      </c>
      <c r="F896" s="1930" t="s">
        <v>33</v>
      </c>
      <c r="G896" s="1932">
        <v>91361</v>
      </c>
      <c r="H896" s="1930" t="s">
        <v>929</v>
      </c>
      <c r="I896" s="1930" t="s">
        <v>65</v>
      </c>
      <c r="J896" s="1930" t="s">
        <v>137</v>
      </c>
      <c r="K896" s="1933">
        <v>0.8</v>
      </c>
      <c r="L896" s="1930" t="s">
        <v>138</v>
      </c>
    </row>
    <row r="897" spans="1:12" ht="13.5" x14ac:dyDescent="0.25">
      <c r="A897" s="1930" t="s">
        <v>4469</v>
      </c>
      <c r="B897" s="1930" t="s">
        <v>4470</v>
      </c>
      <c r="C897" s="1930" t="s">
        <v>4475</v>
      </c>
      <c r="D897" s="1930" t="s">
        <v>4476</v>
      </c>
      <c r="E897" s="1931" t="s">
        <v>33</v>
      </c>
      <c r="F897" s="1930" t="s">
        <v>33</v>
      </c>
      <c r="G897" s="1932">
        <v>91367</v>
      </c>
      <c r="H897" s="1930" t="s">
        <v>930</v>
      </c>
      <c r="I897" s="1930" t="s">
        <v>65</v>
      </c>
      <c r="J897" s="1930" t="s">
        <v>137</v>
      </c>
      <c r="K897" s="1933">
        <v>12.98</v>
      </c>
      <c r="L897" s="1930" t="s">
        <v>138</v>
      </c>
    </row>
    <row r="898" spans="1:12" ht="13.5" x14ac:dyDescent="0.25">
      <c r="A898" s="1930" t="s">
        <v>4469</v>
      </c>
      <c r="B898" s="1930" t="s">
        <v>4470</v>
      </c>
      <c r="C898" s="1930" t="s">
        <v>4475</v>
      </c>
      <c r="D898" s="1930" t="s">
        <v>4476</v>
      </c>
      <c r="E898" s="1931" t="s">
        <v>33</v>
      </c>
      <c r="F898" s="1930" t="s">
        <v>33</v>
      </c>
      <c r="G898" s="1932">
        <v>91368</v>
      </c>
      <c r="H898" s="1930" t="s">
        <v>931</v>
      </c>
      <c r="I898" s="1930" t="s">
        <v>65</v>
      </c>
      <c r="J898" s="1930" t="s">
        <v>137</v>
      </c>
      <c r="K898" s="1933">
        <v>2.4</v>
      </c>
      <c r="L898" s="1930" t="s">
        <v>138</v>
      </c>
    </row>
    <row r="899" spans="1:12" ht="13.5" x14ac:dyDescent="0.25">
      <c r="A899" s="1930" t="s">
        <v>4469</v>
      </c>
      <c r="B899" s="1930" t="s">
        <v>4470</v>
      </c>
      <c r="C899" s="1930" t="s">
        <v>4475</v>
      </c>
      <c r="D899" s="1930" t="s">
        <v>4476</v>
      </c>
      <c r="E899" s="1931" t="s">
        <v>33</v>
      </c>
      <c r="F899" s="1930" t="s">
        <v>33</v>
      </c>
      <c r="G899" s="1932">
        <v>91369</v>
      </c>
      <c r="H899" s="1930" t="s">
        <v>932</v>
      </c>
      <c r="I899" s="1930" t="s">
        <v>65</v>
      </c>
      <c r="J899" s="1930" t="s">
        <v>137</v>
      </c>
      <c r="K899" s="1933">
        <v>0.93</v>
      </c>
      <c r="L899" s="1930" t="s">
        <v>138</v>
      </c>
    </row>
    <row r="900" spans="1:12" ht="13.5" x14ac:dyDescent="0.25">
      <c r="A900" s="1930" t="s">
        <v>4469</v>
      </c>
      <c r="B900" s="1930" t="s">
        <v>4470</v>
      </c>
      <c r="C900" s="1930" t="s">
        <v>4475</v>
      </c>
      <c r="D900" s="1930" t="s">
        <v>4476</v>
      </c>
      <c r="E900" s="1931" t="s">
        <v>33</v>
      </c>
      <c r="F900" s="1930" t="s">
        <v>33</v>
      </c>
      <c r="G900" s="1932">
        <v>91375</v>
      </c>
      <c r="H900" s="1930" t="s">
        <v>933</v>
      </c>
      <c r="I900" s="1930" t="s">
        <v>65</v>
      </c>
      <c r="J900" s="1930" t="s">
        <v>137</v>
      </c>
      <c r="K900" s="1933">
        <v>7.47</v>
      </c>
      <c r="L900" s="1930" t="s">
        <v>138</v>
      </c>
    </row>
    <row r="901" spans="1:12" ht="13.5" x14ac:dyDescent="0.25">
      <c r="A901" s="1930" t="s">
        <v>4469</v>
      </c>
      <c r="B901" s="1930" t="s">
        <v>4470</v>
      </c>
      <c r="C901" s="1930" t="s">
        <v>4475</v>
      </c>
      <c r="D901" s="1930" t="s">
        <v>4476</v>
      </c>
      <c r="E901" s="1931" t="s">
        <v>33</v>
      </c>
      <c r="F901" s="1930" t="s">
        <v>33</v>
      </c>
      <c r="G901" s="1932">
        <v>91376</v>
      </c>
      <c r="H901" s="1930" t="s">
        <v>934</v>
      </c>
      <c r="I901" s="1930" t="s">
        <v>65</v>
      </c>
      <c r="J901" s="1930" t="s">
        <v>137</v>
      </c>
      <c r="K901" s="1933">
        <v>1.56</v>
      </c>
      <c r="L901" s="1930" t="s">
        <v>138</v>
      </c>
    </row>
    <row r="902" spans="1:12" ht="13.5" x14ac:dyDescent="0.25">
      <c r="A902" s="1930" t="s">
        <v>4469</v>
      </c>
      <c r="B902" s="1930" t="s">
        <v>4470</v>
      </c>
      <c r="C902" s="1930" t="s">
        <v>4475</v>
      </c>
      <c r="D902" s="1930" t="s">
        <v>4476</v>
      </c>
      <c r="E902" s="1931" t="s">
        <v>33</v>
      </c>
      <c r="F902" s="1930" t="s">
        <v>33</v>
      </c>
      <c r="G902" s="1932">
        <v>91377</v>
      </c>
      <c r="H902" s="1930" t="s">
        <v>935</v>
      </c>
      <c r="I902" s="1930" t="s">
        <v>65</v>
      </c>
      <c r="J902" s="1930" t="s">
        <v>137</v>
      </c>
      <c r="K902" s="1933">
        <v>0.61</v>
      </c>
      <c r="L902" s="1930" t="s">
        <v>138</v>
      </c>
    </row>
    <row r="903" spans="1:12" ht="13.5" x14ac:dyDescent="0.25">
      <c r="A903" s="1930" t="s">
        <v>4469</v>
      </c>
      <c r="B903" s="1930" t="s">
        <v>4470</v>
      </c>
      <c r="C903" s="1930" t="s">
        <v>4475</v>
      </c>
      <c r="D903" s="1930" t="s">
        <v>4476</v>
      </c>
      <c r="E903" s="1931" t="s">
        <v>33</v>
      </c>
      <c r="F903" s="1930" t="s">
        <v>33</v>
      </c>
      <c r="G903" s="1932">
        <v>91380</v>
      </c>
      <c r="H903" s="1930" t="s">
        <v>936</v>
      </c>
      <c r="I903" s="1930" t="s">
        <v>65</v>
      </c>
      <c r="J903" s="1930" t="s">
        <v>137</v>
      </c>
      <c r="K903" s="1933">
        <v>14.67</v>
      </c>
      <c r="L903" s="1930" t="s">
        <v>138</v>
      </c>
    </row>
    <row r="904" spans="1:12" ht="13.5" x14ac:dyDescent="0.25">
      <c r="A904" s="1930" t="s">
        <v>4469</v>
      </c>
      <c r="B904" s="1930" t="s">
        <v>4470</v>
      </c>
      <c r="C904" s="1930" t="s">
        <v>4475</v>
      </c>
      <c r="D904" s="1930" t="s">
        <v>4476</v>
      </c>
      <c r="E904" s="1931" t="s">
        <v>33</v>
      </c>
      <c r="F904" s="1930" t="s">
        <v>33</v>
      </c>
      <c r="G904" s="1932">
        <v>91381</v>
      </c>
      <c r="H904" s="1930" t="s">
        <v>937</v>
      </c>
      <c r="I904" s="1930" t="s">
        <v>65</v>
      </c>
      <c r="J904" s="1930" t="s">
        <v>137</v>
      </c>
      <c r="K904" s="1933">
        <v>2.7</v>
      </c>
      <c r="L904" s="1930" t="s">
        <v>138</v>
      </c>
    </row>
    <row r="905" spans="1:12" ht="13.5" x14ac:dyDescent="0.25">
      <c r="A905" s="1930" t="s">
        <v>4469</v>
      </c>
      <c r="B905" s="1930" t="s">
        <v>4470</v>
      </c>
      <c r="C905" s="1930" t="s">
        <v>4475</v>
      </c>
      <c r="D905" s="1930" t="s">
        <v>4476</v>
      </c>
      <c r="E905" s="1931" t="s">
        <v>33</v>
      </c>
      <c r="F905" s="1930" t="s">
        <v>33</v>
      </c>
      <c r="G905" s="1932">
        <v>91382</v>
      </c>
      <c r="H905" s="1930" t="s">
        <v>938</v>
      </c>
      <c r="I905" s="1930" t="s">
        <v>65</v>
      </c>
      <c r="J905" s="1930" t="s">
        <v>137</v>
      </c>
      <c r="K905" s="1933">
        <v>1.06</v>
      </c>
      <c r="L905" s="1930" t="s">
        <v>138</v>
      </c>
    </row>
    <row r="906" spans="1:12" ht="13.5" x14ac:dyDescent="0.25">
      <c r="A906" s="1930" t="s">
        <v>4469</v>
      </c>
      <c r="B906" s="1930" t="s">
        <v>4470</v>
      </c>
      <c r="C906" s="1930" t="s">
        <v>4475</v>
      </c>
      <c r="D906" s="1930" t="s">
        <v>4476</v>
      </c>
      <c r="E906" s="1931" t="s">
        <v>33</v>
      </c>
      <c r="F906" s="1930" t="s">
        <v>33</v>
      </c>
      <c r="G906" s="1932">
        <v>91383</v>
      </c>
      <c r="H906" s="1930" t="s">
        <v>939</v>
      </c>
      <c r="I906" s="1930" t="s">
        <v>65</v>
      </c>
      <c r="J906" s="1930" t="s">
        <v>137</v>
      </c>
      <c r="K906" s="1933">
        <v>27.51</v>
      </c>
      <c r="L906" s="1930" t="s">
        <v>138</v>
      </c>
    </row>
    <row r="907" spans="1:12" ht="13.5" x14ac:dyDescent="0.25">
      <c r="A907" s="1930" t="s">
        <v>4469</v>
      </c>
      <c r="B907" s="1930" t="s">
        <v>4470</v>
      </c>
      <c r="C907" s="1930" t="s">
        <v>4475</v>
      </c>
      <c r="D907" s="1930" t="s">
        <v>4476</v>
      </c>
      <c r="E907" s="1931" t="s">
        <v>33</v>
      </c>
      <c r="F907" s="1930" t="s">
        <v>33</v>
      </c>
      <c r="G907" s="1932">
        <v>91384</v>
      </c>
      <c r="H907" s="1930" t="s">
        <v>940</v>
      </c>
      <c r="I907" s="1930" t="s">
        <v>65</v>
      </c>
      <c r="J907" s="1930" t="s">
        <v>346</v>
      </c>
      <c r="K907" s="1933">
        <v>88.16</v>
      </c>
      <c r="L907" s="1930" t="s">
        <v>138</v>
      </c>
    </row>
    <row r="908" spans="1:12" ht="13.5" x14ac:dyDescent="0.25">
      <c r="A908" s="1930" t="s">
        <v>4469</v>
      </c>
      <c r="B908" s="1930" t="s">
        <v>4470</v>
      </c>
      <c r="C908" s="1930" t="s">
        <v>4475</v>
      </c>
      <c r="D908" s="1930" t="s">
        <v>4476</v>
      </c>
      <c r="E908" s="1931" t="s">
        <v>33</v>
      </c>
      <c r="F908" s="1930" t="s">
        <v>33</v>
      </c>
      <c r="G908" s="1932">
        <v>91390</v>
      </c>
      <c r="H908" s="1930" t="s">
        <v>941</v>
      </c>
      <c r="I908" s="1930" t="s">
        <v>65</v>
      </c>
      <c r="J908" s="1930" t="s">
        <v>137</v>
      </c>
      <c r="K908" s="1933">
        <v>9.6</v>
      </c>
      <c r="L908" s="1930" t="s">
        <v>138</v>
      </c>
    </row>
    <row r="909" spans="1:12" ht="13.5" x14ac:dyDescent="0.25">
      <c r="A909" s="1930" t="s">
        <v>4469</v>
      </c>
      <c r="B909" s="1930" t="s">
        <v>4470</v>
      </c>
      <c r="C909" s="1930" t="s">
        <v>4475</v>
      </c>
      <c r="D909" s="1930" t="s">
        <v>4476</v>
      </c>
      <c r="E909" s="1931" t="s">
        <v>33</v>
      </c>
      <c r="F909" s="1930" t="s">
        <v>33</v>
      </c>
      <c r="G909" s="1932">
        <v>91391</v>
      </c>
      <c r="H909" s="1930" t="s">
        <v>942</v>
      </c>
      <c r="I909" s="1930" t="s">
        <v>65</v>
      </c>
      <c r="J909" s="1930" t="s">
        <v>137</v>
      </c>
      <c r="K909" s="1933">
        <v>2.0099999999999998</v>
      </c>
      <c r="L909" s="1930" t="s">
        <v>138</v>
      </c>
    </row>
    <row r="910" spans="1:12" ht="13.5" x14ac:dyDescent="0.25">
      <c r="A910" s="1930" t="s">
        <v>4469</v>
      </c>
      <c r="B910" s="1930" t="s">
        <v>4470</v>
      </c>
      <c r="C910" s="1930" t="s">
        <v>4475</v>
      </c>
      <c r="D910" s="1930" t="s">
        <v>4476</v>
      </c>
      <c r="E910" s="1931" t="s">
        <v>33</v>
      </c>
      <c r="F910" s="1930" t="s">
        <v>33</v>
      </c>
      <c r="G910" s="1932">
        <v>91392</v>
      </c>
      <c r="H910" s="1930" t="s">
        <v>943</v>
      </c>
      <c r="I910" s="1930" t="s">
        <v>65</v>
      </c>
      <c r="J910" s="1930" t="s">
        <v>137</v>
      </c>
      <c r="K910" s="1933">
        <v>0.77</v>
      </c>
      <c r="L910" s="1930" t="s">
        <v>138</v>
      </c>
    </row>
    <row r="911" spans="1:12" ht="13.5" x14ac:dyDescent="0.25">
      <c r="A911" s="1930" t="s">
        <v>4469</v>
      </c>
      <c r="B911" s="1930" t="s">
        <v>4470</v>
      </c>
      <c r="C911" s="1930" t="s">
        <v>4475</v>
      </c>
      <c r="D911" s="1930" t="s">
        <v>4476</v>
      </c>
      <c r="E911" s="1931" t="s">
        <v>33</v>
      </c>
      <c r="F911" s="1930" t="s">
        <v>33</v>
      </c>
      <c r="G911" s="1932">
        <v>91396</v>
      </c>
      <c r="H911" s="1930" t="s">
        <v>944</v>
      </c>
      <c r="I911" s="1930" t="s">
        <v>65</v>
      </c>
      <c r="J911" s="1930" t="s">
        <v>137</v>
      </c>
      <c r="K911" s="1933">
        <v>12.74</v>
      </c>
      <c r="L911" s="1930" t="s">
        <v>138</v>
      </c>
    </row>
    <row r="912" spans="1:12" ht="13.5" x14ac:dyDescent="0.25">
      <c r="A912" s="1930" t="s">
        <v>4469</v>
      </c>
      <c r="B912" s="1930" t="s">
        <v>4470</v>
      </c>
      <c r="C912" s="1930" t="s">
        <v>4475</v>
      </c>
      <c r="D912" s="1930" t="s">
        <v>4476</v>
      </c>
      <c r="E912" s="1931" t="s">
        <v>33</v>
      </c>
      <c r="F912" s="1930" t="s">
        <v>33</v>
      </c>
      <c r="G912" s="1932">
        <v>91397</v>
      </c>
      <c r="H912" s="1930" t="s">
        <v>945</v>
      </c>
      <c r="I912" s="1930" t="s">
        <v>65</v>
      </c>
      <c r="J912" s="1930" t="s">
        <v>137</v>
      </c>
      <c r="K912" s="1933">
        <v>2.67</v>
      </c>
      <c r="L912" s="1930" t="s">
        <v>138</v>
      </c>
    </row>
    <row r="913" spans="1:12" ht="13.5" x14ac:dyDescent="0.25">
      <c r="A913" s="1930" t="s">
        <v>4469</v>
      </c>
      <c r="B913" s="1930" t="s">
        <v>4470</v>
      </c>
      <c r="C913" s="1930" t="s">
        <v>4475</v>
      </c>
      <c r="D913" s="1930" t="s">
        <v>4476</v>
      </c>
      <c r="E913" s="1931" t="s">
        <v>33</v>
      </c>
      <c r="F913" s="1930" t="s">
        <v>33</v>
      </c>
      <c r="G913" s="1932">
        <v>91398</v>
      </c>
      <c r="H913" s="1930" t="s">
        <v>946</v>
      </c>
      <c r="I913" s="1930" t="s">
        <v>65</v>
      </c>
      <c r="J913" s="1930" t="s">
        <v>137</v>
      </c>
      <c r="K913" s="1933">
        <v>1.04</v>
      </c>
      <c r="L913" s="1930" t="s">
        <v>138</v>
      </c>
    </row>
    <row r="914" spans="1:12" ht="13.5" x14ac:dyDescent="0.25">
      <c r="A914" s="1930" t="s">
        <v>4469</v>
      </c>
      <c r="B914" s="1930" t="s">
        <v>4470</v>
      </c>
      <c r="C914" s="1930" t="s">
        <v>4475</v>
      </c>
      <c r="D914" s="1930" t="s">
        <v>4476</v>
      </c>
      <c r="E914" s="1931" t="s">
        <v>33</v>
      </c>
      <c r="F914" s="1930" t="s">
        <v>33</v>
      </c>
      <c r="G914" s="1932">
        <v>91402</v>
      </c>
      <c r="H914" s="1930" t="s">
        <v>947</v>
      </c>
      <c r="I914" s="1930" t="s">
        <v>65</v>
      </c>
      <c r="J914" s="1930" t="s">
        <v>137</v>
      </c>
      <c r="K914" s="1933">
        <v>0.89</v>
      </c>
      <c r="L914" s="1930" t="s">
        <v>138</v>
      </c>
    </row>
    <row r="915" spans="1:12" ht="13.5" x14ac:dyDescent="0.25">
      <c r="A915" s="1930" t="s">
        <v>4469</v>
      </c>
      <c r="B915" s="1930" t="s">
        <v>4470</v>
      </c>
      <c r="C915" s="1930" t="s">
        <v>4475</v>
      </c>
      <c r="D915" s="1930" t="s">
        <v>4476</v>
      </c>
      <c r="E915" s="1931" t="s">
        <v>33</v>
      </c>
      <c r="F915" s="1930" t="s">
        <v>33</v>
      </c>
      <c r="G915" s="1932">
        <v>91466</v>
      </c>
      <c r="H915" s="1930" t="s">
        <v>948</v>
      </c>
      <c r="I915" s="1930" t="s">
        <v>65</v>
      </c>
      <c r="J915" s="1930" t="s">
        <v>137</v>
      </c>
      <c r="K915" s="1933">
        <v>0.81</v>
      </c>
      <c r="L915" s="1930" t="s">
        <v>138</v>
      </c>
    </row>
    <row r="916" spans="1:12" ht="13.5" x14ac:dyDescent="0.25">
      <c r="A916" s="1930" t="s">
        <v>4469</v>
      </c>
      <c r="B916" s="1930" t="s">
        <v>4470</v>
      </c>
      <c r="C916" s="1930" t="s">
        <v>4475</v>
      </c>
      <c r="D916" s="1930" t="s">
        <v>4476</v>
      </c>
      <c r="E916" s="1931" t="s">
        <v>33</v>
      </c>
      <c r="F916" s="1930" t="s">
        <v>33</v>
      </c>
      <c r="G916" s="1932">
        <v>91467</v>
      </c>
      <c r="H916" s="1930" t="s">
        <v>949</v>
      </c>
      <c r="I916" s="1930" t="s">
        <v>65</v>
      </c>
      <c r="J916" s="1930" t="s">
        <v>346</v>
      </c>
      <c r="K916" s="1933">
        <v>98.31</v>
      </c>
      <c r="L916" s="1930" t="s">
        <v>138</v>
      </c>
    </row>
    <row r="917" spans="1:12" ht="13.5" x14ac:dyDescent="0.25">
      <c r="A917" s="1930" t="s">
        <v>4469</v>
      </c>
      <c r="B917" s="1930" t="s">
        <v>4470</v>
      </c>
      <c r="C917" s="1930" t="s">
        <v>4475</v>
      </c>
      <c r="D917" s="1930" t="s">
        <v>4476</v>
      </c>
      <c r="E917" s="1931" t="s">
        <v>33</v>
      </c>
      <c r="F917" s="1930" t="s">
        <v>33</v>
      </c>
      <c r="G917" s="1932">
        <v>91468</v>
      </c>
      <c r="H917" s="1930" t="s">
        <v>950</v>
      </c>
      <c r="I917" s="1930" t="s">
        <v>65</v>
      </c>
      <c r="J917" s="1930" t="s">
        <v>137</v>
      </c>
      <c r="K917" s="1933">
        <v>13.84</v>
      </c>
      <c r="L917" s="1930" t="s">
        <v>138</v>
      </c>
    </row>
    <row r="918" spans="1:12" ht="13.5" x14ac:dyDescent="0.25">
      <c r="A918" s="1930" t="s">
        <v>4469</v>
      </c>
      <c r="B918" s="1930" t="s">
        <v>4470</v>
      </c>
      <c r="C918" s="1930" t="s">
        <v>4475</v>
      </c>
      <c r="D918" s="1930" t="s">
        <v>4476</v>
      </c>
      <c r="E918" s="1931" t="s">
        <v>33</v>
      </c>
      <c r="F918" s="1930" t="s">
        <v>33</v>
      </c>
      <c r="G918" s="1932">
        <v>91469</v>
      </c>
      <c r="H918" s="1930" t="s">
        <v>951</v>
      </c>
      <c r="I918" s="1930" t="s">
        <v>65</v>
      </c>
      <c r="J918" s="1930" t="s">
        <v>137</v>
      </c>
      <c r="K918" s="1933">
        <v>2.99</v>
      </c>
      <c r="L918" s="1930" t="s">
        <v>138</v>
      </c>
    </row>
    <row r="919" spans="1:12" ht="13.5" x14ac:dyDescent="0.25">
      <c r="A919" s="1930" t="s">
        <v>4469</v>
      </c>
      <c r="B919" s="1930" t="s">
        <v>4470</v>
      </c>
      <c r="C919" s="1930" t="s">
        <v>4475</v>
      </c>
      <c r="D919" s="1930" t="s">
        <v>4476</v>
      </c>
      <c r="E919" s="1931" t="s">
        <v>33</v>
      </c>
      <c r="F919" s="1930" t="s">
        <v>33</v>
      </c>
      <c r="G919" s="1932">
        <v>91484</v>
      </c>
      <c r="H919" s="1930" t="s">
        <v>952</v>
      </c>
      <c r="I919" s="1930" t="s">
        <v>65</v>
      </c>
      <c r="J919" s="1930" t="s">
        <v>137</v>
      </c>
      <c r="K919" s="1933">
        <v>0.95</v>
      </c>
      <c r="L919" s="1930" t="s">
        <v>138</v>
      </c>
    </row>
    <row r="920" spans="1:12" ht="13.5" x14ac:dyDescent="0.25">
      <c r="A920" s="1930" t="s">
        <v>4469</v>
      </c>
      <c r="B920" s="1930" t="s">
        <v>4470</v>
      </c>
      <c r="C920" s="1930" t="s">
        <v>4475</v>
      </c>
      <c r="D920" s="1930" t="s">
        <v>4476</v>
      </c>
      <c r="E920" s="1931" t="s">
        <v>33</v>
      </c>
      <c r="F920" s="1930" t="s">
        <v>33</v>
      </c>
      <c r="G920" s="1932">
        <v>91485</v>
      </c>
      <c r="H920" s="1930" t="s">
        <v>953</v>
      </c>
      <c r="I920" s="1930" t="s">
        <v>65</v>
      </c>
      <c r="J920" s="1930" t="s">
        <v>346</v>
      </c>
      <c r="K920" s="1933">
        <v>133.43</v>
      </c>
      <c r="L920" s="1930" t="s">
        <v>138</v>
      </c>
    </row>
    <row r="921" spans="1:12" ht="13.5" x14ac:dyDescent="0.25">
      <c r="A921" s="1930" t="s">
        <v>4469</v>
      </c>
      <c r="B921" s="1930" t="s">
        <v>4470</v>
      </c>
      <c r="C921" s="1930" t="s">
        <v>4475</v>
      </c>
      <c r="D921" s="1930" t="s">
        <v>4476</v>
      </c>
      <c r="E921" s="1931" t="s">
        <v>33</v>
      </c>
      <c r="F921" s="1930" t="s">
        <v>33</v>
      </c>
      <c r="G921" s="1932">
        <v>91529</v>
      </c>
      <c r="H921" s="1930" t="s">
        <v>954</v>
      </c>
      <c r="I921" s="1930" t="s">
        <v>65</v>
      </c>
      <c r="J921" s="1930" t="s">
        <v>320</v>
      </c>
      <c r="K921" s="1933">
        <v>0.77</v>
      </c>
      <c r="L921" s="1930" t="s">
        <v>138</v>
      </c>
    </row>
    <row r="922" spans="1:12" ht="13.5" x14ac:dyDescent="0.25">
      <c r="A922" s="1930" t="s">
        <v>4469</v>
      </c>
      <c r="B922" s="1930" t="s">
        <v>4470</v>
      </c>
      <c r="C922" s="1930" t="s">
        <v>4475</v>
      </c>
      <c r="D922" s="1930" t="s">
        <v>4476</v>
      </c>
      <c r="E922" s="1931" t="s">
        <v>33</v>
      </c>
      <c r="F922" s="1930" t="s">
        <v>33</v>
      </c>
      <c r="G922" s="1932">
        <v>91530</v>
      </c>
      <c r="H922" s="1930" t="s">
        <v>955</v>
      </c>
      <c r="I922" s="1930" t="s">
        <v>65</v>
      </c>
      <c r="J922" s="1930" t="s">
        <v>320</v>
      </c>
      <c r="K922" s="1933">
        <v>0.1</v>
      </c>
      <c r="L922" s="1930" t="s">
        <v>138</v>
      </c>
    </row>
    <row r="923" spans="1:12" ht="13.5" x14ac:dyDescent="0.25">
      <c r="A923" s="1930" t="s">
        <v>4469</v>
      </c>
      <c r="B923" s="1930" t="s">
        <v>4470</v>
      </c>
      <c r="C923" s="1930" t="s">
        <v>4475</v>
      </c>
      <c r="D923" s="1930" t="s">
        <v>4476</v>
      </c>
      <c r="E923" s="1931" t="s">
        <v>33</v>
      </c>
      <c r="F923" s="1930" t="s">
        <v>33</v>
      </c>
      <c r="G923" s="1932">
        <v>91531</v>
      </c>
      <c r="H923" s="1930" t="s">
        <v>956</v>
      </c>
      <c r="I923" s="1930" t="s">
        <v>65</v>
      </c>
      <c r="J923" s="1930" t="s">
        <v>320</v>
      </c>
      <c r="K923" s="1933">
        <v>0.96</v>
      </c>
      <c r="L923" s="1930" t="s">
        <v>138</v>
      </c>
    </row>
    <row r="924" spans="1:12" ht="13.5" x14ac:dyDescent="0.25">
      <c r="A924" s="1930" t="s">
        <v>4469</v>
      </c>
      <c r="B924" s="1930" t="s">
        <v>4470</v>
      </c>
      <c r="C924" s="1930" t="s">
        <v>4475</v>
      </c>
      <c r="D924" s="1930" t="s">
        <v>4476</v>
      </c>
      <c r="E924" s="1931" t="s">
        <v>33</v>
      </c>
      <c r="F924" s="1930" t="s">
        <v>33</v>
      </c>
      <c r="G924" s="1932">
        <v>91532</v>
      </c>
      <c r="H924" s="1930" t="s">
        <v>957</v>
      </c>
      <c r="I924" s="1930" t="s">
        <v>65</v>
      </c>
      <c r="J924" s="1930" t="s">
        <v>346</v>
      </c>
      <c r="K924" s="1933">
        <v>4.4800000000000004</v>
      </c>
      <c r="L924" s="1930" t="s">
        <v>138</v>
      </c>
    </row>
    <row r="925" spans="1:12" ht="13.5" x14ac:dyDescent="0.25">
      <c r="A925" s="1930" t="s">
        <v>4469</v>
      </c>
      <c r="B925" s="1930" t="s">
        <v>4470</v>
      </c>
      <c r="C925" s="1930" t="s">
        <v>4475</v>
      </c>
      <c r="D925" s="1930" t="s">
        <v>4476</v>
      </c>
      <c r="E925" s="1931" t="s">
        <v>33</v>
      </c>
      <c r="F925" s="1930" t="s">
        <v>33</v>
      </c>
      <c r="G925" s="1932">
        <v>91629</v>
      </c>
      <c r="H925" s="1930" t="s">
        <v>958</v>
      </c>
      <c r="I925" s="1930" t="s">
        <v>65</v>
      </c>
      <c r="J925" s="1930" t="s">
        <v>137</v>
      </c>
      <c r="K925" s="1933">
        <v>9.25</v>
      </c>
      <c r="L925" s="1930" t="s">
        <v>138</v>
      </c>
    </row>
    <row r="926" spans="1:12" ht="13.5" x14ac:dyDescent="0.25">
      <c r="A926" s="1930" t="s">
        <v>4469</v>
      </c>
      <c r="B926" s="1930" t="s">
        <v>4470</v>
      </c>
      <c r="C926" s="1930" t="s">
        <v>4475</v>
      </c>
      <c r="D926" s="1930" t="s">
        <v>4476</v>
      </c>
      <c r="E926" s="1931" t="s">
        <v>33</v>
      </c>
      <c r="F926" s="1930" t="s">
        <v>33</v>
      </c>
      <c r="G926" s="1932">
        <v>91630</v>
      </c>
      <c r="H926" s="1930" t="s">
        <v>959</v>
      </c>
      <c r="I926" s="1930" t="s">
        <v>65</v>
      </c>
      <c r="J926" s="1930" t="s">
        <v>137</v>
      </c>
      <c r="K926" s="1933">
        <v>1.93</v>
      </c>
      <c r="L926" s="1930" t="s">
        <v>138</v>
      </c>
    </row>
    <row r="927" spans="1:12" ht="13.5" x14ac:dyDescent="0.25">
      <c r="A927" s="1930" t="s">
        <v>4469</v>
      </c>
      <c r="B927" s="1930" t="s">
        <v>4470</v>
      </c>
      <c r="C927" s="1930" t="s">
        <v>4475</v>
      </c>
      <c r="D927" s="1930" t="s">
        <v>4476</v>
      </c>
      <c r="E927" s="1931" t="s">
        <v>33</v>
      </c>
      <c r="F927" s="1930" t="s">
        <v>33</v>
      </c>
      <c r="G927" s="1932">
        <v>91631</v>
      </c>
      <c r="H927" s="1930" t="s">
        <v>960</v>
      </c>
      <c r="I927" s="1930" t="s">
        <v>65</v>
      </c>
      <c r="J927" s="1930" t="s">
        <v>137</v>
      </c>
      <c r="K927" s="1933">
        <v>0.75</v>
      </c>
      <c r="L927" s="1930" t="s">
        <v>138</v>
      </c>
    </row>
    <row r="928" spans="1:12" ht="13.5" x14ac:dyDescent="0.25">
      <c r="A928" s="1930" t="s">
        <v>4469</v>
      </c>
      <c r="B928" s="1930" t="s">
        <v>4470</v>
      </c>
      <c r="C928" s="1930" t="s">
        <v>4475</v>
      </c>
      <c r="D928" s="1930" t="s">
        <v>4476</v>
      </c>
      <c r="E928" s="1931" t="s">
        <v>33</v>
      </c>
      <c r="F928" s="1930" t="s">
        <v>33</v>
      </c>
      <c r="G928" s="1932">
        <v>91632</v>
      </c>
      <c r="H928" s="1930" t="s">
        <v>961</v>
      </c>
      <c r="I928" s="1930" t="s">
        <v>65</v>
      </c>
      <c r="J928" s="1930" t="s">
        <v>137</v>
      </c>
      <c r="K928" s="1933">
        <v>17.36</v>
      </c>
      <c r="L928" s="1930" t="s">
        <v>138</v>
      </c>
    </row>
    <row r="929" spans="1:12" ht="13.5" x14ac:dyDescent="0.25">
      <c r="A929" s="1930" t="s">
        <v>4469</v>
      </c>
      <c r="B929" s="1930" t="s">
        <v>4470</v>
      </c>
      <c r="C929" s="1930" t="s">
        <v>4475</v>
      </c>
      <c r="D929" s="1930" t="s">
        <v>4476</v>
      </c>
      <c r="E929" s="1931" t="s">
        <v>33</v>
      </c>
      <c r="F929" s="1930" t="s">
        <v>33</v>
      </c>
      <c r="G929" s="1932">
        <v>91633</v>
      </c>
      <c r="H929" s="1930" t="s">
        <v>962</v>
      </c>
      <c r="I929" s="1930" t="s">
        <v>65</v>
      </c>
      <c r="J929" s="1930" t="s">
        <v>346</v>
      </c>
      <c r="K929" s="1933">
        <v>83.21</v>
      </c>
      <c r="L929" s="1930" t="s">
        <v>138</v>
      </c>
    </row>
    <row r="930" spans="1:12" ht="13.5" x14ac:dyDescent="0.25">
      <c r="A930" s="1930" t="s">
        <v>4469</v>
      </c>
      <c r="B930" s="1930" t="s">
        <v>4470</v>
      </c>
      <c r="C930" s="1930" t="s">
        <v>4475</v>
      </c>
      <c r="D930" s="1930" t="s">
        <v>4476</v>
      </c>
      <c r="E930" s="1931" t="s">
        <v>33</v>
      </c>
      <c r="F930" s="1930" t="s">
        <v>33</v>
      </c>
      <c r="G930" s="1932">
        <v>91640</v>
      </c>
      <c r="H930" s="1930" t="s">
        <v>963</v>
      </c>
      <c r="I930" s="1930" t="s">
        <v>65</v>
      </c>
      <c r="J930" s="1930" t="s">
        <v>137</v>
      </c>
      <c r="K930" s="1933">
        <v>21.05</v>
      </c>
      <c r="L930" s="1930" t="s">
        <v>138</v>
      </c>
    </row>
    <row r="931" spans="1:12" ht="13.5" x14ac:dyDescent="0.25">
      <c r="A931" s="1930" t="s">
        <v>4469</v>
      </c>
      <c r="B931" s="1930" t="s">
        <v>4470</v>
      </c>
      <c r="C931" s="1930" t="s">
        <v>4475</v>
      </c>
      <c r="D931" s="1930" t="s">
        <v>4476</v>
      </c>
      <c r="E931" s="1931" t="s">
        <v>33</v>
      </c>
      <c r="F931" s="1930" t="s">
        <v>33</v>
      </c>
      <c r="G931" s="1932">
        <v>91641</v>
      </c>
      <c r="H931" s="1930" t="s">
        <v>964</v>
      </c>
      <c r="I931" s="1930" t="s">
        <v>65</v>
      </c>
      <c r="J931" s="1930" t="s">
        <v>137</v>
      </c>
      <c r="K931" s="1933">
        <v>4.41</v>
      </c>
      <c r="L931" s="1930" t="s">
        <v>138</v>
      </c>
    </row>
    <row r="932" spans="1:12" ht="13.5" x14ac:dyDescent="0.25">
      <c r="A932" s="1930" t="s">
        <v>4469</v>
      </c>
      <c r="B932" s="1930" t="s">
        <v>4470</v>
      </c>
      <c r="C932" s="1930" t="s">
        <v>4475</v>
      </c>
      <c r="D932" s="1930" t="s">
        <v>4476</v>
      </c>
      <c r="E932" s="1931" t="s">
        <v>33</v>
      </c>
      <c r="F932" s="1930" t="s">
        <v>33</v>
      </c>
      <c r="G932" s="1932">
        <v>91642</v>
      </c>
      <c r="H932" s="1930" t="s">
        <v>965</v>
      </c>
      <c r="I932" s="1930" t="s">
        <v>65</v>
      </c>
      <c r="J932" s="1930" t="s">
        <v>137</v>
      </c>
      <c r="K932" s="1933">
        <v>1.7</v>
      </c>
      <c r="L932" s="1930" t="s">
        <v>138</v>
      </c>
    </row>
    <row r="933" spans="1:12" ht="13.5" x14ac:dyDescent="0.25">
      <c r="A933" s="1930" t="s">
        <v>4469</v>
      </c>
      <c r="B933" s="1930" t="s">
        <v>4470</v>
      </c>
      <c r="C933" s="1930" t="s">
        <v>4475</v>
      </c>
      <c r="D933" s="1930" t="s">
        <v>4476</v>
      </c>
      <c r="E933" s="1931" t="s">
        <v>33</v>
      </c>
      <c r="F933" s="1930" t="s">
        <v>33</v>
      </c>
      <c r="G933" s="1932">
        <v>91643</v>
      </c>
      <c r="H933" s="1930" t="s">
        <v>966</v>
      </c>
      <c r="I933" s="1930" t="s">
        <v>65</v>
      </c>
      <c r="J933" s="1930" t="s">
        <v>137</v>
      </c>
      <c r="K933" s="1933">
        <v>39.46</v>
      </c>
      <c r="L933" s="1930" t="s">
        <v>138</v>
      </c>
    </row>
    <row r="934" spans="1:12" ht="13.5" x14ac:dyDescent="0.25">
      <c r="A934" s="1930" t="s">
        <v>4469</v>
      </c>
      <c r="B934" s="1930" t="s">
        <v>4470</v>
      </c>
      <c r="C934" s="1930" t="s">
        <v>4475</v>
      </c>
      <c r="D934" s="1930" t="s">
        <v>4476</v>
      </c>
      <c r="E934" s="1931" t="s">
        <v>33</v>
      </c>
      <c r="F934" s="1930" t="s">
        <v>33</v>
      </c>
      <c r="G934" s="1932">
        <v>91644</v>
      </c>
      <c r="H934" s="1930" t="s">
        <v>967</v>
      </c>
      <c r="I934" s="1930" t="s">
        <v>65</v>
      </c>
      <c r="J934" s="1930" t="s">
        <v>346</v>
      </c>
      <c r="K934" s="1933">
        <v>187.26</v>
      </c>
      <c r="L934" s="1930" t="s">
        <v>138</v>
      </c>
    </row>
    <row r="935" spans="1:12" ht="13.5" x14ac:dyDescent="0.25">
      <c r="A935" s="1930" t="s">
        <v>4469</v>
      </c>
      <c r="B935" s="1930" t="s">
        <v>4470</v>
      </c>
      <c r="C935" s="1930" t="s">
        <v>4475</v>
      </c>
      <c r="D935" s="1930" t="s">
        <v>4476</v>
      </c>
      <c r="E935" s="1931" t="s">
        <v>33</v>
      </c>
      <c r="F935" s="1930" t="s">
        <v>33</v>
      </c>
      <c r="G935" s="1932">
        <v>91688</v>
      </c>
      <c r="H935" s="1930" t="s">
        <v>968</v>
      </c>
      <c r="I935" s="1930" t="s">
        <v>65</v>
      </c>
      <c r="J935" s="1930" t="s">
        <v>320</v>
      </c>
      <c r="K935" s="1933">
        <v>0.06</v>
      </c>
      <c r="L935" s="1930" t="s">
        <v>138</v>
      </c>
    </row>
    <row r="936" spans="1:12" ht="13.5" x14ac:dyDescent="0.25">
      <c r="A936" s="1930" t="s">
        <v>4469</v>
      </c>
      <c r="B936" s="1930" t="s">
        <v>4470</v>
      </c>
      <c r="C936" s="1930" t="s">
        <v>4475</v>
      </c>
      <c r="D936" s="1930" t="s">
        <v>4476</v>
      </c>
      <c r="E936" s="1931" t="s">
        <v>33</v>
      </c>
      <c r="F936" s="1930" t="s">
        <v>33</v>
      </c>
      <c r="G936" s="1932">
        <v>91689</v>
      </c>
      <c r="H936" s="1930" t="s">
        <v>969</v>
      </c>
      <c r="I936" s="1930" t="s">
        <v>65</v>
      </c>
      <c r="J936" s="1930" t="s">
        <v>320</v>
      </c>
      <c r="K936" s="1933">
        <v>0.01</v>
      </c>
      <c r="L936" s="1930" t="s">
        <v>138</v>
      </c>
    </row>
    <row r="937" spans="1:12" ht="13.5" x14ac:dyDescent="0.25">
      <c r="A937" s="1930" t="s">
        <v>4469</v>
      </c>
      <c r="B937" s="1930" t="s">
        <v>4470</v>
      </c>
      <c r="C937" s="1930" t="s">
        <v>4475</v>
      </c>
      <c r="D937" s="1930" t="s">
        <v>4476</v>
      </c>
      <c r="E937" s="1931" t="s">
        <v>33</v>
      </c>
      <c r="F937" s="1930" t="s">
        <v>33</v>
      </c>
      <c r="G937" s="1932">
        <v>91690</v>
      </c>
      <c r="H937" s="1930" t="s">
        <v>970</v>
      </c>
      <c r="I937" s="1930" t="s">
        <v>65</v>
      </c>
      <c r="J937" s="1930" t="s">
        <v>320</v>
      </c>
      <c r="K937" s="1933">
        <v>0.04</v>
      </c>
      <c r="L937" s="1930" t="s">
        <v>138</v>
      </c>
    </row>
    <row r="938" spans="1:12" ht="13.5" x14ac:dyDescent="0.25">
      <c r="A938" s="1930" t="s">
        <v>4469</v>
      </c>
      <c r="B938" s="1930" t="s">
        <v>4470</v>
      </c>
      <c r="C938" s="1930" t="s">
        <v>4475</v>
      </c>
      <c r="D938" s="1930" t="s">
        <v>4476</v>
      </c>
      <c r="E938" s="1931" t="s">
        <v>33</v>
      </c>
      <c r="F938" s="1930" t="s">
        <v>33</v>
      </c>
      <c r="G938" s="1932">
        <v>91691</v>
      </c>
      <c r="H938" s="1930" t="s">
        <v>971</v>
      </c>
      <c r="I938" s="1930" t="s">
        <v>65</v>
      </c>
      <c r="J938" s="1930" t="s">
        <v>320</v>
      </c>
      <c r="K938" s="1933">
        <v>1.9</v>
      </c>
      <c r="L938" s="1930" t="s">
        <v>138</v>
      </c>
    </row>
    <row r="939" spans="1:12" ht="13.5" x14ac:dyDescent="0.25">
      <c r="A939" s="1930" t="s">
        <v>4469</v>
      </c>
      <c r="B939" s="1930" t="s">
        <v>4470</v>
      </c>
      <c r="C939" s="1930" t="s">
        <v>4475</v>
      </c>
      <c r="D939" s="1930" t="s">
        <v>4476</v>
      </c>
      <c r="E939" s="1931" t="s">
        <v>33</v>
      </c>
      <c r="F939" s="1930" t="s">
        <v>33</v>
      </c>
      <c r="G939" s="1932">
        <v>92040</v>
      </c>
      <c r="H939" s="1930" t="s">
        <v>972</v>
      </c>
      <c r="I939" s="1930" t="s">
        <v>65</v>
      </c>
      <c r="J939" s="1930" t="s">
        <v>137</v>
      </c>
      <c r="K939" s="1933">
        <v>4.13</v>
      </c>
      <c r="L939" s="1930" t="s">
        <v>138</v>
      </c>
    </row>
    <row r="940" spans="1:12" ht="13.5" x14ac:dyDescent="0.25">
      <c r="A940" s="1930" t="s">
        <v>4469</v>
      </c>
      <c r="B940" s="1930" t="s">
        <v>4470</v>
      </c>
      <c r="C940" s="1930" t="s">
        <v>4475</v>
      </c>
      <c r="D940" s="1930" t="s">
        <v>4476</v>
      </c>
      <c r="E940" s="1931" t="s">
        <v>33</v>
      </c>
      <c r="F940" s="1930" t="s">
        <v>33</v>
      </c>
      <c r="G940" s="1932">
        <v>92041</v>
      </c>
      <c r="H940" s="1930" t="s">
        <v>973</v>
      </c>
      <c r="I940" s="1930" t="s">
        <v>65</v>
      </c>
      <c r="J940" s="1930" t="s">
        <v>137</v>
      </c>
      <c r="K940" s="1933">
        <v>0.43</v>
      </c>
      <c r="L940" s="1930" t="s">
        <v>138</v>
      </c>
    </row>
    <row r="941" spans="1:12" ht="13.5" x14ac:dyDescent="0.25">
      <c r="A941" s="1930" t="s">
        <v>4469</v>
      </c>
      <c r="B941" s="1930" t="s">
        <v>4470</v>
      </c>
      <c r="C941" s="1930" t="s">
        <v>4475</v>
      </c>
      <c r="D941" s="1930" t="s">
        <v>4476</v>
      </c>
      <c r="E941" s="1931" t="s">
        <v>33</v>
      </c>
      <c r="F941" s="1930" t="s">
        <v>33</v>
      </c>
      <c r="G941" s="1932">
        <v>92042</v>
      </c>
      <c r="H941" s="1930" t="s">
        <v>974</v>
      </c>
      <c r="I941" s="1930" t="s">
        <v>65</v>
      </c>
      <c r="J941" s="1930" t="s">
        <v>137</v>
      </c>
      <c r="K941" s="1933">
        <v>3.44</v>
      </c>
      <c r="L941" s="1930" t="s">
        <v>138</v>
      </c>
    </row>
    <row r="942" spans="1:12" ht="13.5" x14ac:dyDescent="0.25">
      <c r="A942" s="1930" t="s">
        <v>4469</v>
      </c>
      <c r="B942" s="1930" t="s">
        <v>4470</v>
      </c>
      <c r="C942" s="1930" t="s">
        <v>4475</v>
      </c>
      <c r="D942" s="1930" t="s">
        <v>4476</v>
      </c>
      <c r="E942" s="1931" t="s">
        <v>33</v>
      </c>
      <c r="F942" s="1930" t="s">
        <v>33</v>
      </c>
      <c r="G942" s="1932">
        <v>92101</v>
      </c>
      <c r="H942" s="1930" t="s">
        <v>975</v>
      </c>
      <c r="I942" s="1930" t="s">
        <v>65</v>
      </c>
      <c r="J942" s="1930" t="s">
        <v>137</v>
      </c>
      <c r="K942" s="1933">
        <v>14.4</v>
      </c>
      <c r="L942" s="1930" t="s">
        <v>138</v>
      </c>
    </row>
    <row r="943" spans="1:12" ht="13.5" x14ac:dyDescent="0.25">
      <c r="A943" s="1930" t="s">
        <v>4469</v>
      </c>
      <c r="B943" s="1930" t="s">
        <v>4470</v>
      </c>
      <c r="C943" s="1930" t="s">
        <v>4475</v>
      </c>
      <c r="D943" s="1930" t="s">
        <v>4476</v>
      </c>
      <c r="E943" s="1931" t="s">
        <v>33</v>
      </c>
      <c r="F943" s="1930" t="s">
        <v>33</v>
      </c>
      <c r="G943" s="1932">
        <v>92102</v>
      </c>
      <c r="H943" s="1930" t="s">
        <v>976</v>
      </c>
      <c r="I943" s="1930" t="s">
        <v>65</v>
      </c>
      <c r="J943" s="1930" t="s">
        <v>137</v>
      </c>
      <c r="K943" s="1933">
        <v>3.01</v>
      </c>
      <c r="L943" s="1930" t="s">
        <v>138</v>
      </c>
    </row>
    <row r="944" spans="1:12" ht="13.5" x14ac:dyDescent="0.25">
      <c r="A944" s="1930" t="s">
        <v>4469</v>
      </c>
      <c r="B944" s="1930" t="s">
        <v>4470</v>
      </c>
      <c r="C944" s="1930" t="s">
        <v>4475</v>
      </c>
      <c r="D944" s="1930" t="s">
        <v>4476</v>
      </c>
      <c r="E944" s="1931" t="s">
        <v>33</v>
      </c>
      <c r="F944" s="1930" t="s">
        <v>33</v>
      </c>
      <c r="G944" s="1932">
        <v>92103</v>
      </c>
      <c r="H944" s="1930" t="s">
        <v>977</v>
      </c>
      <c r="I944" s="1930" t="s">
        <v>65</v>
      </c>
      <c r="J944" s="1930" t="s">
        <v>137</v>
      </c>
      <c r="K944" s="1933">
        <v>1.17</v>
      </c>
      <c r="L944" s="1930" t="s">
        <v>138</v>
      </c>
    </row>
    <row r="945" spans="1:12" ht="13.5" x14ac:dyDescent="0.25">
      <c r="A945" s="1930" t="s">
        <v>4469</v>
      </c>
      <c r="B945" s="1930" t="s">
        <v>4470</v>
      </c>
      <c r="C945" s="1930" t="s">
        <v>4475</v>
      </c>
      <c r="D945" s="1930" t="s">
        <v>4476</v>
      </c>
      <c r="E945" s="1931" t="s">
        <v>33</v>
      </c>
      <c r="F945" s="1930" t="s">
        <v>33</v>
      </c>
      <c r="G945" s="1932">
        <v>92104</v>
      </c>
      <c r="H945" s="1930" t="s">
        <v>978</v>
      </c>
      <c r="I945" s="1930" t="s">
        <v>65</v>
      </c>
      <c r="J945" s="1930" t="s">
        <v>137</v>
      </c>
      <c r="K945" s="1933">
        <v>27.01</v>
      </c>
      <c r="L945" s="1930" t="s">
        <v>138</v>
      </c>
    </row>
    <row r="946" spans="1:12" ht="13.5" x14ac:dyDescent="0.25">
      <c r="A946" s="1930" t="s">
        <v>4469</v>
      </c>
      <c r="B946" s="1930" t="s">
        <v>4470</v>
      </c>
      <c r="C946" s="1930" t="s">
        <v>4475</v>
      </c>
      <c r="D946" s="1930" t="s">
        <v>4476</v>
      </c>
      <c r="E946" s="1931" t="s">
        <v>33</v>
      </c>
      <c r="F946" s="1930" t="s">
        <v>33</v>
      </c>
      <c r="G946" s="1932">
        <v>92105</v>
      </c>
      <c r="H946" s="1930" t="s">
        <v>6306</v>
      </c>
      <c r="I946" s="1930" t="s">
        <v>65</v>
      </c>
      <c r="J946" s="1930" t="s">
        <v>346</v>
      </c>
      <c r="K946" s="1933">
        <v>119.63</v>
      </c>
      <c r="L946" s="1930" t="s">
        <v>138</v>
      </c>
    </row>
    <row r="947" spans="1:12" ht="13.5" x14ac:dyDescent="0.25">
      <c r="A947" s="1930" t="s">
        <v>4469</v>
      </c>
      <c r="B947" s="1930" t="s">
        <v>4470</v>
      </c>
      <c r="C947" s="1930" t="s">
        <v>4475</v>
      </c>
      <c r="D947" s="1930" t="s">
        <v>4476</v>
      </c>
      <c r="E947" s="1931" t="s">
        <v>33</v>
      </c>
      <c r="F947" s="1930" t="s">
        <v>33</v>
      </c>
      <c r="G947" s="1932">
        <v>92108</v>
      </c>
      <c r="H947" s="1930" t="s">
        <v>979</v>
      </c>
      <c r="I947" s="1930" t="s">
        <v>65</v>
      </c>
      <c r="J947" s="1930" t="s">
        <v>320</v>
      </c>
      <c r="K947" s="1933">
        <v>0.71</v>
      </c>
      <c r="L947" s="1930" t="s">
        <v>138</v>
      </c>
    </row>
    <row r="948" spans="1:12" ht="13.5" x14ac:dyDescent="0.25">
      <c r="A948" s="1930" t="s">
        <v>4469</v>
      </c>
      <c r="B948" s="1930" t="s">
        <v>4470</v>
      </c>
      <c r="C948" s="1930" t="s">
        <v>4475</v>
      </c>
      <c r="D948" s="1930" t="s">
        <v>4476</v>
      </c>
      <c r="E948" s="1931" t="s">
        <v>33</v>
      </c>
      <c r="F948" s="1930" t="s">
        <v>33</v>
      </c>
      <c r="G948" s="1932">
        <v>92109</v>
      </c>
      <c r="H948" s="1930" t="s">
        <v>980</v>
      </c>
      <c r="I948" s="1930" t="s">
        <v>65</v>
      </c>
      <c r="J948" s="1930" t="s">
        <v>320</v>
      </c>
      <c r="K948" s="1933">
        <v>0.08</v>
      </c>
      <c r="L948" s="1930" t="s">
        <v>138</v>
      </c>
    </row>
    <row r="949" spans="1:12" ht="13.5" x14ac:dyDescent="0.25">
      <c r="A949" s="1930" t="s">
        <v>4469</v>
      </c>
      <c r="B949" s="1930" t="s">
        <v>4470</v>
      </c>
      <c r="C949" s="1930" t="s">
        <v>4475</v>
      </c>
      <c r="D949" s="1930" t="s">
        <v>4476</v>
      </c>
      <c r="E949" s="1931" t="s">
        <v>33</v>
      </c>
      <c r="F949" s="1930" t="s">
        <v>33</v>
      </c>
      <c r="G949" s="1932">
        <v>92110</v>
      </c>
      <c r="H949" s="1930" t="s">
        <v>981</v>
      </c>
      <c r="I949" s="1930" t="s">
        <v>65</v>
      </c>
      <c r="J949" s="1930" t="s">
        <v>320</v>
      </c>
      <c r="K949" s="1933">
        <v>0.55000000000000004</v>
      </c>
      <c r="L949" s="1930" t="s">
        <v>138</v>
      </c>
    </row>
    <row r="950" spans="1:12" ht="13.5" x14ac:dyDescent="0.25">
      <c r="A950" s="1930" t="s">
        <v>4469</v>
      </c>
      <c r="B950" s="1930" t="s">
        <v>4470</v>
      </c>
      <c r="C950" s="1930" t="s">
        <v>4475</v>
      </c>
      <c r="D950" s="1930" t="s">
        <v>4476</v>
      </c>
      <c r="E950" s="1931" t="s">
        <v>33</v>
      </c>
      <c r="F950" s="1930" t="s">
        <v>33</v>
      </c>
      <c r="G950" s="1932">
        <v>92111</v>
      </c>
      <c r="H950" s="1930" t="s">
        <v>982</v>
      </c>
      <c r="I950" s="1930" t="s">
        <v>65</v>
      </c>
      <c r="J950" s="1930" t="s">
        <v>320</v>
      </c>
      <c r="K950" s="1933">
        <v>0.75</v>
      </c>
      <c r="L950" s="1930" t="s">
        <v>138</v>
      </c>
    </row>
    <row r="951" spans="1:12" ht="13.5" x14ac:dyDescent="0.25">
      <c r="A951" s="1930" t="s">
        <v>4469</v>
      </c>
      <c r="B951" s="1930" t="s">
        <v>4470</v>
      </c>
      <c r="C951" s="1930" t="s">
        <v>4475</v>
      </c>
      <c r="D951" s="1930" t="s">
        <v>4476</v>
      </c>
      <c r="E951" s="1931" t="s">
        <v>33</v>
      </c>
      <c r="F951" s="1930" t="s">
        <v>33</v>
      </c>
      <c r="G951" s="1932">
        <v>92114</v>
      </c>
      <c r="H951" s="1930" t="s">
        <v>983</v>
      </c>
      <c r="I951" s="1930" t="s">
        <v>65</v>
      </c>
      <c r="J951" s="1930" t="s">
        <v>320</v>
      </c>
      <c r="K951" s="1933">
        <v>0.08</v>
      </c>
      <c r="L951" s="1930" t="s">
        <v>138</v>
      </c>
    </row>
    <row r="952" spans="1:12" ht="13.5" x14ac:dyDescent="0.25">
      <c r="A952" s="1930" t="s">
        <v>4469</v>
      </c>
      <c r="B952" s="1930" t="s">
        <v>4470</v>
      </c>
      <c r="C952" s="1930" t="s">
        <v>4475</v>
      </c>
      <c r="D952" s="1930" t="s">
        <v>4476</v>
      </c>
      <c r="E952" s="1931" t="s">
        <v>33</v>
      </c>
      <c r="F952" s="1930" t="s">
        <v>33</v>
      </c>
      <c r="G952" s="1932">
        <v>92115</v>
      </c>
      <c r="H952" s="1930" t="s">
        <v>984</v>
      </c>
      <c r="I952" s="1930" t="s">
        <v>65</v>
      </c>
      <c r="J952" s="1930" t="s">
        <v>320</v>
      </c>
      <c r="K952" s="1933">
        <v>0</v>
      </c>
      <c r="L952" s="1930" t="s">
        <v>138</v>
      </c>
    </row>
    <row r="953" spans="1:12" ht="13.5" x14ac:dyDescent="0.25">
      <c r="A953" s="1930" t="s">
        <v>4469</v>
      </c>
      <c r="B953" s="1930" t="s">
        <v>4470</v>
      </c>
      <c r="C953" s="1930" t="s">
        <v>4475</v>
      </c>
      <c r="D953" s="1930" t="s">
        <v>4476</v>
      </c>
      <c r="E953" s="1931" t="s">
        <v>33</v>
      </c>
      <c r="F953" s="1930" t="s">
        <v>33</v>
      </c>
      <c r="G953" s="1932">
        <v>92116</v>
      </c>
      <c r="H953" s="1930" t="s">
        <v>985</v>
      </c>
      <c r="I953" s="1930" t="s">
        <v>65</v>
      </c>
      <c r="J953" s="1930" t="s">
        <v>320</v>
      </c>
      <c r="K953" s="1933">
        <v>0.1</v>
      </c>
      <c r="L953" s="1930" t="s">
        <v>138</v>
      </c>
    </row>
    <row r="954" spans="1:12" ht="13.5" x14ac:dyDescent="0.25">
      <c r="A954" s="1930" t="s">
        <v>4469</v>
      </c>
      <c r="B954" s="1930" t="s">
        <v>4470</v>
      </c>
      <c r="C954" s="1930" t="s">
        <v>4475</v>
      </c>
      <c r="D954" s="1930" t="s">
        <v>4476</v>
      </c>
      <c r="E954" s="1931" t="s">
        <v>33</v>
      </c>
      <c r="F954" s="1930" t="s">
        <v>33</v>
      </c>
      <c r="G954" s="1932">
        <v>92133</v>
      </c>
      <c r="H954" s="1930" t="s">
        <v>986</v>
      </c>
      <c r="I954" s="1930" t="s">
        <v>65</v>
      </c>
      <c r="J954" s="1930" t="s">
        <v>346</v>
      </c>
      <c r="K954" s="1933">
        <v>7.8</v>
      </c>
      <c r="L954" s="1930" t="s">
        <v>138</v>
      </c>
    </row>
    <row r="955" spans="1:12" ht="13.5" x14ac:dyDescent="0.25">
      <c r="A955" s="1930" t="s">
        <v>4469</v>
      </c>
      <c r="B955" s="1930" t="s">
        <v>4470</v>
      </c>
      <c r="C955" s="1930" t="s">
        <v>4475</v>
      </c>
      <c r="D955" s="1930" t="s">
        <v>4476</v>
      </c>
      <c r="E955" s="1931" t="s">
        <v>33</v>
      </c>
      <c r="F955" s="1930" t="s">
        <v>33</v>
      </c>
      <c r="G955" s="1932">
        <v>92134</v>
      </c>
      <c r="H955" s="1930" t="s">
        <v>987</v>
      </c>
      <c r="I955" s="1930" t="s">
        <v>65</v>
      </c>
      <c r="J955" s="1930" t="s">
        <v>346</v>
      </c>
      <c r="K955" s="1933">
        <v>1.23</v>
      </c>
      <c r="L955" s="1930" t="s">
        <v>138</v>
      </c>
    </row>
    <row r="956" spans="1:12" ht="13.5" x14ac:dyDescent="0.25">
      <c r="A956" s="1930" t="s">
        <v>4469</v>
      </c>
      <c r="B956" s="1930" t="s">
        <v>4470</v>
      </c>
      <c r="C956" s="1930" t="s">
        <v>4475</v>
      </c>
      <c r="D956" s="1930" t="s">
        <v>4476</v>
      </c>
      <c r="E956" s="1931" t="s">
        <v>33</v>
      </c>
      <c r="F956" s="1930" t="s">
        <v>33</v>
      </c>
      <c r="G956" s="1932">
        <v>92135</v>
      </c>
      <c r="H956" s="1930" t="s">
        <v>988</v>
      </c>
      <c r="I956" s="1930" t="s">
        <v>65</v>
      </c>
      <c r="J956" s="1930" t="s">
        <v>346</v>
      </c>
      <c r="K956" s="1933">
        <v>0.48</v>
      </c>
      <c r="L956" s="1930" t="s">
        <v>138</v>
      </c>
    </row>
    <row r="957" spans="1:12" ht="13.5" x14ac:dyDescent="0.25">
      <c r="A957" s="1930" t="s">
        <v>4469</v>
      </c>
      <c r="B957" s="1930" t="s">
        <v>4470</v>
      </c>
      <c r="C957" s="1930" t="s">
        <v>4475</v>
      </c>
      <c r="D957" s="1930" t="s">
        <v>4476</v>
      </c>
      <c r="E957" s="1931" t="s">
        <v>33</v>
      </c>
      <c r="F957" s="1930" t="s">
        <v>33</v>
      </c>
      <c r="G957" s="1932">
        <v>92136</v>
      </c>
      <c r="H957" s="1930" t="s">
        <v>989</v>
      </c>
      <c r="I957" s="1930" t="s">
        <v>65</v>
      </c>
      <c r="J957" s="1930" t="s">
        <v>346</v>
      </c>
      <c r="K957" s="1933">
        <v>9.75</v>
      </c>
      <c r="L957" s="1930" t="s">
        <v>138</v>
      </c>
    </row>
    <row r="958" spans="1:12" ht="13.5" x14ac:dyDescent="0.25">
      <c r="A958" s="1930" t="s">
        <v>4469</v>
      </c>
      <c r="B958" s="1930" t="s">
        <v>4470</v>
      </c>
      <c r="C958" s="1930" t="s">
        <v>4475</v>
      </c>
      <c r="D958" s="1930" t="s">
        <v>4476</v>
      </c>
      <c r="E958" s="1931" t="s">
        <v>33</v>
      </c>
      <c r="F958" s="1930" t="s">
        <v>33</v>
      </c>
      <c r="G958" s="1932">
        <v>92137</v>
      </c>
      <c r="H958" s="1930" t="s">
        <v>990</v>
      </c>
      <c r="I958" s="1930" t="s">
        <v>65</v>
      </c>
      <c r="J958" s="1930" t="s">
        <v>346</v>
      </c>
      <c r="K958" s="1933">
        <v>24.62</v>
      </c>
      <c r="L958" s="1930" t="s">
        <v>138</v>
      </c>
    </row>
    <row r="959" spans="1:12" ht="13.5" x14ac:dyDescent="0.25">
      <c r="A959" s="1930" t="s">
        <v>4469</v>
      </c>
      <c r="B959" s="1930" t="s">
        <v>4470</v>
      </c>
      <c r="C959" s="1930" t="s">
        <v>4475</v>
      </c>
      <c r="D959" s="1930" t="s">
        <v>4476</v>
      </c>
      <c r="E959" s="1931" t="s">
        <v>33</v>
      </c>
      <c r="F959" s="1930" t="s">
        <v>33</v>
      </c>
      <c r="G959" s="1932">
        <v>92140</v>
      </c>
      <c r="H959" s="1930" t="s">
        <v>991</v>
      </c>
      <c r="I959" s="1930" t="s">
        <v>65</v>
      </c>
      <c r="J959" s="1930" t="s">
        <v>320</v>
      </c>
      <c r="K959" s="1933">
        <v>2.37</v>
      </c>
      <c r="L959" s="1930" t="s">
        <v>138</v>
      </c>
    </row>
    <row r="960" spans="1:12" ht="13.5" x14ac:dyDescent="0.25">
      <c r="A960" s="1930" t="s">
        <v>4469</v>
      </c>
      <c r="B960" s="1930" t="s">
        <v>4470</v>
      </c>
      <c r="C960" s="1930" t="s">
        <v>4475</v>
      </c>
      <c r="D960" s="1930" t="s">
        <v>4476</v>
      </c>
      <c r="E960" s="1931" t="s">
        <v>33</v>
      </c>
      <c r="F960" s="1930" t="s">
        <v>33</v>
      </c>
      <c r="G960" s="1932">
        <v>92141</v>
      </c>
      <c r="H960" s="1930" t="s">
        <v>992</v>
      </c>
      <c r="I960" s="1930" t="s">
        <v>65</v>
      </c>
      <c r="J960" s="1930" t="s">
        <v>320</v>
      </c>
      <c r="K960" s="1933">
        <v>0.37</v>
      </c>
      <c r="L960" s="1930" t="s">
        <v>138</v>
      </c>
    </row>
    <row r="961" spans="1:12" ht="13.5" x14ac:dyDescent="0.25">
      <c r="A961" s="1930" t="s">
        <v>4469</v>
      </c>
      <c r="B961" s="1930" t="s">
        <v>4470</v>
      </c>
      <c r="C961" s="1930" t="s">
        <v>4475</v>
      </c>
      <c r="D961" s="1930" t="s">
        <v>4476</v>
      </c>
      <c r="E961" s="1931" t="s">
        <v>33</v>
      </c>
      <c r="F961" s="1930" t="s">
        <v>33</v>
      </c>
      <c r="G961" s="1932">
        <v>92142</v>
      </c>
      <c r="H961" s="1930" t="s">
        <v>993</v>
      </c>
      <c r="I961" s="1930" t="s">
        <v>65</v>
      </c>
      <c r="J961" s="1930" t="s">
        <v>320</v>
      </c>
      <c r="K961" s="1933">
        <v>0.14000000000000001</v>
      </c>
      <c r="L961" s="1930" t="s">
        <v>138</v>
      </c>
    </row>
    <row r="962" spans="1:12" ht="13.5" x14ac:dyDescent="0.25">
      <c r="A962" s="1930" t="s">
        <v>4469</v>
      </c>
      <c r="B962" s="1930" t="s">
        <v>4470</v>
      </c>
      <c r="C962" s="1930" t="s">
        <v>4475</v>
      </c>
      <c r="D962" s="1930" t="s">
        <v>4476</v>
      </c>
      <c r="E962" s="1931" t="s">
        <v>33</v>
      </c>
      <c r="F962" s="1930" t="s">
        <v>33</v>
      </c>
      <c r="G962" s="1932">
        <v>92143</v>
      </c>
      <c r="H962" s="1930" t="s">
        <v>994</v>
      </c>
      <c r="I962" s="1930" t="s">
        <v>65</v>
      </c>
      <c r="J962" s="1930" t="s">
        <v>320</v>
      </c>
      <c r="K962" s="1933">
        <v>2.97</v>
      </c>
      <c r="L962" s="1930" t="s">
        <v>138</v>
      </c>
    </row>
    <row r="963" spans="1:12" ht="13.5" x14ac:dyDescent="0.25">
      <c r="A963" s="1930" t="s">
        <v>4469</v>
      </c>
      <c r="B963" s="1930" t="s">
        <v>4470</v>
      </c>
      <c r="C963" s="1930" t="s">
        <v>4475</v>
      </c>
      <c r="D963" s="1930" t="s">
        <v>4476</v>
      </c>
      <c r="E963" s="1931" t="s">
        <v>33</v>
      </c>
      <c r="F963" s="1930" t="s">
        <v>33</v>
      </c>
      <c r="G963" s="1932">
        <v>92144</v>
      </c>
      <c r="H963" s="1930" t="s">
        <v>995</v>
      </c>
      <c r="I963" s="1930" t="s">
        <v>65</v>
      </c>
      <c r="J963" s="1930" t="s">
        <v>346</v>
      </c>
      <c r="K963" s="1933">
        <v>29.1</v>
      </c>
      <c r="L963" s="1930" t="s">
        <v>138</v>
      </c>
    </row>
    <row r="964" spans="1:12" ht="13.5" x14ac:dyDescent="0.25">
      <c r="A964" s="1930" t="s">
        <v>4469</v>
      </c>
      <c r="B964" s="1930" t="s">
        <v>4470</v>
      </c>
      <c r="C964" s="1930" t="s">
        <v>4475</v>
      </c>
      <c r="D964" s="1930" t="s">
        <v>4476</v>
      </c>
      <c r="E964" s="1931" t="s">
        <v>33</v>
      </c>
      <c r="F964" s="1930" t="s">
        <v>33</v>
      </c>
      <c r="G964" s="1932">
        <v>92237</v>
      </c>
      <c r="H964" s="1930" t="s">
        <v>996</v>
      </c>
      <c r="I964" s="1930" t="s">
        <v>65</v>
      </c>
      <c r="J964" s="1930" t="s">
        <v>137</v>
      </c>
      <c r="K964" s="1933">
        <v>15.38</v>
      </c>
      <c r="L964" s="1930" t="s">
        <v>138</v>
      </c>
    </row>
    <row r="965" spans="1:12" ht="13.5" x14ac:dyDescent="0.25">
      <c r="A965" s="1930" t="s">
        <v>4469</v>
      </c>
      <c r="B965" s="1930" t="s">
        <v>4470</v>
      </c>
      <c r="C965" s="1930" t="s">
        <v>4475</v>
      </c>
      <c r="D965" s="1930" t="s">
        <v>4476</v>
      </c>
      <c r="E965" s="1931" t="s">
        <v>33</v>
      </c>
      <c r="F965" s="1930" t="s">
        <v>33</v>
      </c>
      <c r="G965" s="1932">
        <v>92238</v>
      </c>
      <c r="H965" s="1930" t="s">
        <v>997</v>
      </c>
      <c r="I965" s="1930" t="s">
        <v>65</v>
      </c>
      <c r="J965" s="1930" t="s">
        <v>137</v>
      </c>
      <c r="K965" s="1933">
        <v>3.22</v>
      </c>
      <c r="L965" s="1930" t="s">
        <v>138</v>
      </c>
    </row>
    <row r="966" spans="1:12" ht="13.5" x14ac:dyDescent="0.25">
      <c r="A966" s="1930" t="s">
        <v>4469</v>
      </c>
      <c r="B966" s="1930" t="s">
        <v>4470</v>
      </c>
      <c r="C966" s="1930" t="s">
        <v>4475</v>
      </c>
      <c r="D966" s="1930" t="s">
        <v>4476</v>
      </c>
      <c r="E966" s="1931" t="s">
        <v>33</v>
      </c>
      <c r="F966" s="1930" t="s">
        <v>33</v>
      </c>
      <c r="G966" s="1932">
        <v>92239</v>
      </c>
      <c r="H966" s="1930" t="s">
        <v>998</v>
      </c>
      <c r="I966" s="1930" t="s">
        <v>65</v>
      </c>
      <c r="J966" s="1930" t="s">
        <v>137</v>
      </c>
      <c r="K966" s="1933">
        <v>1.25</v>
      </c>
      <c r="L966" s="1930" t="s">
        <v>138</v>
      </c>
    </row>
    <row r="967" spans="1:12" ht="13.5" x14ac:dyDescent="0.25">
      <c r="A967" s="1930" t="s">
        <v>4469</v>
      </c>
      <c r="B967" s="1930" t="s">
        <v>4470</v>
      </c>
      <c r="C967" s="1930" t="s">
        <v>4475</v>
      </c>
      <c r="D967" s="1930" t="s">
        <v>4476</v>
      </c>
      <c r="E967" s="1931" t="s">
        <v>33</v>
      </c>
      <c r="F967" s="1930" t="s">
        <v>33</v>
      </c>
      <c r="G967" s="1932">
        <v>92240</v>
      </c>
      <c r="H967" s="1930" t="s">
        <v>999</v>
      </c>
      <c r="I967" s="1930" t="s">
        <v>65</v>
      </c>
      <c r="J967" s="1930" t="s">
        <v>137</v>
      </c>
      <c r="K967" s="1933">
        <v>28.84</v>
      </c>
      <c r="L967" s="1930" t="s">
        <v>138</v>
      </c>
    </row>
    <row r="968" spans="1:12" ht="13.5" x14ac:dyDescent="0.25">
      <c r="A968" s="1930" t="s">
        <v>4469</v>
      </c>
      <c r="B968" s="1930" t="s">
        <v>4470</v>
      </c>
      <c r="C968" s="1930" t="s">
        <v>4475</v>
      </c>
      <c r="D968" s="1930" t="s">
        <v>4476</v>
      </c>
      <c r="E968" s="1931" t="s">
        <v>33</v>
      </c>
      <c r="F968" s="1930" t="s">
        <v>33</v>
      </c>
      <c r="G968" s="1932">
        <v>92241</v>
      </c>
      <c r="H968" s="1930" t="s">
        <v>1000</v>
      </c>
      <c r="I968" s="1930" t="s">
        <v>65</v>
      </c>
      <c r="J968" s="1930" t="s">
        <v>346</v>
      </c>
      <c r="K968" s="1933">
        <v>171.67</v>
      </c>
      <c r="L968" s="1930" t="s">
        <v>138</v>
      </c>
    </row>
    <row r="969" spans="1:12" ht="13.5" x14ac:dyDescent="0.25">
      <c r="A969" s="1930" t="s">
        <v>4469</v>
      </c>
      <c r="B969" s="1930" t="s">
        <v>4470</v>
      </c>
      <c r="C969" s="1930" t="s">
        <v>4475</v>
      </c>
      <c r="D969" s="1930" t="s">
        <v>4476</v>
      </c>
      <c r="E969" s="1931" t="s">
        <v>33</v>
      </c>
      <c r="F969" s="1930" t="s">
        <v>33</v>
      </c>
      <c r="G969" s="1932">
        <v>92712</v>
      </c>
      <c r="H969" s="1930" t="s">
        <v>1001</v>
      </c>
      <c r="I969" s="1930" t="s">
        <v>65</v>
      </c>
      <c r="J969" s="1930" t="s">
        <v>137</v>
      </c>
      <c r="K969" s="1933">
        <v>0.16</v>
      </c>
      <c r="L969" s="1930" t="s">
        <v>138</v>
      </c>
    </row>
    <row r="970" spans="1:12" ht="13.5" x14ac:dyDescent="0.25">
      <c r="A970" s="1930" t="s">
        <v>4469</v>
      </c>
      <c r="B970" s="1930" t="s">
        <v>4470</v>
      </c>
      <c r="C970" s="1930" t="s">
        <v>4475</v>
      </c>
      <c r="D970" s="1930" t="s">
        <v>4476</v>
      </c>
      <c r="E970" s="1931" t="s">
        <v>33</v>
      </c>
      <c r="F970" s="1930" t="s">
        <v>33</v>
      </c>
      <c r="G970" s="1932">
        <v>92713</v>
      </c>
      <c r="H970" s="1930" t="s">
        <v>1002</v>
      </c>
      <c r="I970" s="1930" t="s">
        <v>65</v>
      </c>
      <c r="J970" s="1930" t="s">
        <v>137</v>
      </c>
      <c r="K970" s="1933">
        <v>0.01</v>
      </c>
      <c r="L970" s="1930" t="s">
        <v>138</v>
      </c>
    </row>
    <row r="971" spans="1:12" ht="13.5" x14ac:dyDescent="0.25">
      <c r="A971" s="1930" t="s">
        <v>4469</v>
      </c>
      <c r="B971" s="1930" t="s">
        <v>4470</v>
      </c>
      <c r="C971" s="1930" t="s">
        <v>4475</v>
      </c>
      <c r="D971" s="1930" t="s">
        <v>4476</v>
      </c>
      <c r="E971" s="1931" t="s">
        <v>33</v>
      </c>
      <c r="F971" s="1930" t="s">
        <v>33</v>
      </c>
      <c r="G971" s="1932">
        <v>92714</v>
      </c>
      <c r="H971" s="1930" t="s">
        <v>1003</v>
      </c>
      <c r="I971" s="1930" t="s">
        <v>65</v>
      </c>
      <c r="J971" s="1930" t="s">
        <v>137</v>
      </c>
      <c r="K971" s="1933">
        <v>0.21</v>
      </c>
      <c r="L971" s="1930" t="s">
        <v>138</v>
      </c>
    </row>
    <row r="972" spans="1:12" ht="13.5" x14ac:dyDescent="0.25">
      <c r="A972" s="1930" t="s">
        <v>4469</v>
      </c>
      <c r="B972" s="1930" t="s">
        <v>4470</v>
      </c>
      <c r="C972" s="1930" t="s">
        <v>4475</v>
      </c>
      <c r="D972" s="1930" t="s">
        <v>4476</v>
      </c>
      <c r="E972" s="1931" t="s">
        <v>33</v>
      </c>
      <c r="F972" s="1930" t="s">
        <v>33</v>
      </c>
      <c r="G972" s="1932">
        <v>92715</v>
      </c>
      <c r="H972" s="1930" t="s">
        <v>1004</v>
      </c>
      <c r="I972" s="1930" t="s">
        <v>65</v>
      </c>
      <c r="J972" s="1930" t="s">
        <v>320</v>
      </c>
      <c r="K972" s="1933">
        <v>15.93</v>
      </c>
      <c r="L972" s="1930" t="s">
        <v>138</v>
      </c>
    </row>
    <row r="973" spans="1:12" ht="13.5" x14ac:dyDescent="0.25">
      <c r="A973" s="1930" t="s">
        <v>4469</v>
      </c>
      <c r="B973" s="1930" t="s">
        <v>4470</v>
      </c>
      <c r="C973" s="1930" t="s">
        <v>4475</v>
      </c>
      <c r="D973" s="1930" t="s">
        <v>4476</v>
      </c>
      <c r="E973" s="1931" t="s">
        <v>33</v>
      </c>
      <c r="F973" s="1930" t="s">
        <v>33</v>
      </c>
      <c r="G973" s="1932">
        <v>92956</v>
      </c>
      <c r="H973" s="1930" t="s">
        <v>1005</v>
      </c>
      <c r="I973" s="1930" t="s">
        <v>65</v>
      </c>
      <c r="J973" s="1930" t="s">
        <v>137</v>
      </c>
      <c r="K973" s="1933">
        <v>3.75</v>
      </c>
      <c r="L973" s="1930" t="s">
        <v>138</v>
      </c>
    </row>
    <row r="974" spans="1:12" ht="13.5" x14ac:dyDescent="0.25">
      <c r="A974" s="1930" t="s">
        <v>4469</v>
      </c>
      <c r="B974" s="1930" t="s">
        <v>4470</v>
      </c>
      <c r="C974" s="1930" t="s">
        <v>4475</v>
      </c>
      <c r="D974" s="1930" t="s">
        <v>4476</v>
      </c>
      <c r="E974" s="1931" t="s">
        <v>33</v>
      </c>
      <c r="F974" s="1930" t="s">
        <v>33</v>
      </c>
      <c r="G974" s="1932">
        <v>92957</v>
      </c>
      <c r="H974" s="1930" t="s">
        <v>1006</v>
      </c>
      <c r="I974" s="1930" t="s">
        <v>65</v>
      </c>
      <c r="J974" s="1930" t="s">
        <v>137</v>
      </c>
      <c r="K974" s="1933">
        <v>0.44</v>
      </c>
      <c r="L974" s="1930" t="s">
        <v>138</v>
      </c>
    </row>
    <row r="975" spans="1:12" ht="13.5" x14ac:dyDescent="0.25">
      <c r="A975" s="1930" t="s">
        <v>4469</v>
      </c>
      <c r="B975" s="1930" t="s">
        <v>4470</v>
      </c>
      <c r="C975" s="1930" t="s">
        <v>4475</v>
      </c>
      <c r="D975" s="1930" t="s">
        <v>4476</v>
      </c>
      <c r="E975" s="1931" t="s">
        <v>33</v>
      </c>
      <c r="F975" s="1930" t="s">
        <v>33</v>
      </c>
      <c r="G975" s="1932">
        <v>92958</v>
      </c>
      <c r="H975" s="1930" t="s">
        <v>1007</v>
      </c>
      <c r="I975" s="1930" t="s">
        <v>65</v>
      </c>
      <c r="J975" s="1930" t="s">
        <v>137</v>
      </c>
      <c r="K975" s="1933">
        <v>4.1100000000000003</v>
      </c>
      <c r="L975" s="1930" t="s">
        <v>138</v>
      </c>
    </row>
    <row r="976" spans="1:12" ht="13.5" x14ac:dyDescent="0.25">
      <c r="A976" s="1930" t="s">
        <v>4469</v>
      </c>
      <c r="B976" s="1930" t="s">
        <v>4470</v>
      </c>
      <c r="C976" s="1930" t="s">
        <v>4475</v>
      </c>
      <c r="D976" s="1930" t="s">
        <v>4476</v>
      </c>
      <c r="E976" s="1931" t="s">
        <v>33</v>
      </c>
      <c r="F976" s="1930" t="s">
        <v>33</v>
      </c>
      <c r="G976" s="1932">
        <v>92959</v>
      </c>
      <c r="H976" s="1930" t="s">
        <v>1008</v>
      </c>
      <c r="I976" s="1930" t="s">
        <v>65</v>
      </c>
      <c r="J976" s="1930" t="s">
        <v>346</v>
      </c>
      <c r="K976" s="1933">
        <v>5.76</v>
      </c>
      <c r="L976" s="1930" t="s">
        <v>138</v>
      </c>
    </row>
    <row r="977" spans="1:12" ht="13.5" x14ac:dyDescent="0.25">
      <c r="A977" s="1930" t="s">
        <v>4469</v>
      </c>
      <c r="B977" s="1930" t="s">
        <v>4470</v>
      </c>
      <c r="C977" s="1930" t="s">
        <v>4475</v>
      </c>
      <c r="D977" s="1930" t="s">
        <v>4476</v>
      </c>
      <c r="E977" s="1931" t="s">
        <v>33</v>
      </c>
      <c r="F977" s="1930" t="s">
        <v>33</v>
      </c>
      <c r="G977" s="1932">
        <v>92963</v>
      </c>
      <c r="H977" s="1930" t="s">
        <v>1009</v>
      </c>
      <c r="I977" s="1930" t="s">
        <v>65</v>
      </c>
      <c r="J977" s="1930" t="s">
        <v>137</v>
      </c>
      <c r="K977" s="1933">
        <v>0.99</v>
      </c>
      <c r="L977" s="1930" t="s">
        <v>138</v>
      </c>
    </row>
    <row r="978" spans="1:12" ht="13.5" x14ac:dyDescent="0.25">
      <c r="A978" s="1930" t="s">
        <v>4469</v>
      </c>
      <c r="B978" s="1930" t="s">
        <v>4470</v>
      </c>
      <c r="C978" s="1930" t="s">
        <v>4475</v>
      </c>
      <c r="D978" s="1930" t="s">
        <v>4476</v>
      </c>
      <c r="E978" s="1931" t="s">
        <v>33</v>
      </c>
      <c r="F978" s="1930" t="s">
        <v>33</v>
      </c>
      <c r="G978" s="1932">
        <v>92964</v>
      </c>
      <c r="H978" s="1930" t="s">
        <v>1010</v>
      </c>
      <c r="I978" s="1930" t="s">
        <v>65</v>
      </c>
      <c r="J978" s="1930" t="s">
        <v>137</v>
      </c>
      <c r="K978" s="1933">
        <v>0.11</v>
      </c>
      <c r="L978" s="1930" t="s">
        <v>138</v>
      </c>
    </row>
    <row r="979" spans="1:12" ht="13.5" x14ac:dyDescent="0.25">
      <c r="A979" s="1930" t="s">
        <v>4469</v>
      </c>
      <c r="B979" s="1930" t="s">
        <v>4470</v>
      </c>
      <c r="C979" s="1930" t="s">
        <v>4475</v>
      </c>
      <c r="D979" s="1930" t="s">
        <v>4476</v>
      </c>
      <c r="E979" s="1931" t="s">
        <v>33</v>
      </c>
      <c r="F979" s="1930" t="s">
        <v>33</v>
      </c>
      <c r="G979" s="1932">
        <v>92965</v>
      </c>
      <c r="H979" s="1930" t="s">
        <v>1011</v>
      </c>
      <c r="I979" s="1930" t="s">
        <v>65</v>
      </c>
      <c r="J979" s="1930" t="s">
        <v>137</v>
      </c>
      <c r="K979" s="1933">
        <v>1.24</v>
      </c>
      <c r="L979" s="1930" t="s">
        <v>138</v>
      </c>
    </row>
    <row r="980" spans="1:12" ht="13.5" x14ac:dyDescent="0.25">
      <c r="A980" s="1930" t="s">
        <v>4469</v>
      </c>
      <c r="B980" s="1930" t="s">
        <v>4470</v>
      </c>
      <c r="C980" s="1930" t="s">
        <v>4475</v>
      </c>
      <c r="D980" s="1930" t="s">
        <v>4476</v>
      </c>
      <c r="E980" s="1931" t="s">
        <v>33</v>
      </c>
      <c r="F980" s="1930" t="s">
        <v>33</v>
      </c>
      <c r="G980" s="1932">
        <v>93220</v>
      </c>
      <c r="H980" s="1930" t="s">
        <v>1012</v>
      </c>
      <c r="I980" s="1930" t="s">
        <v>65</v>
      </c>
      <c r="J980" s="1930" t="s">
        <v>137</v>
      </c>
      <c r="K980" s="1933">
        <v>168.8</v>
      </c>
      <c r="L980" s="1930" t="s">
        <v>138</v>
      </c>
    </row>
    <row r="981" spans="1:12" ht="13.5" x14ac:dyDescent="0.25">
      <c r="A981" s="1930" t="s">
        <v>4469</v>
      </c>
      <c r="B981" s="1930" t="s">
        <v>4470</v>
      </c>
      <c r="C981" s="1930" t="s">
        <v>4475</v>
      </c>
      <c r="D981" s="1930" t="s">
        <v>4476</v>
      </c>
      <c r="E981" s="1931" t="s">
        <v>33</v>
      </c>
      <c r="F981" s="1930" t="s">
        <v>33</v>
      </c>
      <c r="G981" s="1932">
        <v>93221</v>
      </c>
      <c r="H981" s="1930" t="s">
        <v>1013</v>
      </c>
      <c r="I981" s="1930" t="s">
        <v>65</v>
      </c>
      <c r="J981" s="1930" t="s">
        <v>137</v>
      </c>
      <c r="K981" s="1933">
        <v>23.43</v>
      </c>
      <c r="L981" s="1930" t="s">
        <v>138</v>
      </c>
    </row>
    <row r="982" spans="1:12" ht="13.5" x14ac:dyDescent="0.25">
      <c r="A982" s="1930" t="s">
        <v>4469</v>
      </c>
      <c r="B982" s="1930" t="s">
        <v>4470</v>
      </c>
      <c r="C982" s="1930" t="s">
        <v>4475</v>
      </c>
      <c r="D982" s="1930" t="s">
        <v>4476</v>
      </c>
      <c r="E982" s="1931" t="s">
        <v>33</v>
      </c>
      <c r="F982" s="1930" t="s">
        <v>33</v>
      </c>
      <c r="G982" s="1932">
        <v>93222</v>
      </c>
      <c r="H982" s="1930" t="s">
        <v>1014</v>
      </c>
      <c r="I982" s="1930" t="s">
        <v>65</v>
      </c>
      <c r="J982" s="1930" t="s">
        <v>137</v>
      </c>
      <c r="K982" s="1933">
        <v>211.24</v>
      </c>
      <c r="L982" s="1930" t="s">
        <v>138</v>
      </c>
    </row>
    <row r="983" spans="1:12" ht="13.5" x14ac:dyDescent="0.25">
      <c r="A983" s="1930" t="s">
        <v>4469</v>
      </c>
      <c r="B983" s="1930" t="s">
        <v>4470</v>
      </c>
      <c r="C983" s="1930" t="s">
        <v>4475</v>
      </c>
      <c r="D983" s="1930" t="s">
        <v>4476</v>
      </c>
      <c r="E983" s="1931" t="s">
        <v>33</v>
      </c>
      <c r="F983" s="1930" t="s">
        <v>33</v>
      </c>
      <c r="G983" s="1932">
        <v>93223</v>
      </c>
      <c r="H983" s="1930" t="s">
        <v>1015</v>
      </c>
      <c r="I983" s="1930" t="s">
        <v>65</v>
      </c>
      <c r="J983" s="1930" t="s">
        <v>346</v>
      </c>
      <c r="K983" s="1933">
        <v>97.16</v>
      </c>
      <c r="L983" s="1930" t="s">
        <v>138</v>
      </c>
    </row>
    <row r="984" spans="1:12" ht="13.5" x14ac:dyDescent="0.25">
      <c r="A984" s="1930" t="s">
        <v>4469</v>
      </c>
      <c r="B984" s="1930" t="s">
        <v>4470</v>
      </c>
      <c r="C984" s="1930" t="s">
        <v>4475</v>
      </c>
      <c r="D984" s="1930" t="s">
        <v>4476</v>
      </c>
      <c r="E984" s="1931" t="s">
        <v>33</v>
      </c>
      <c r="F984" s="1930" t="s">
        <v>33</v>
      </c>
      <c r="G984" s="1932">
        <v>93229</v>
      </c>
      <c r="H984" s="1930" t="s">
        <v>1016</v>
      </c>
      <c r="I984" s="1930" t="s">
        <v>65</v>
      </c>
      <c r="J984" s="1930" t="s">
        <v>320</v>
      </c>
      <c r="K984" s="1933">
        <v>0.3</v>
      </c>
      <c r="L984" s="1930" t="s">
        <v>138</v>
      </c>
    </row>
    <row r="985" spans="1:12" ht="13.5" x14ac:dyDescent="0.25">
      <c r="A985" s="1930" t="s">
        <v>4469</v>
      </c>
      <c r="B985" s="1930" t="s">
        <v>4470</v>
      </c>
      <c r="C985" s="1930" t="s">
        <v>4475</v>
      </c>
      <c r="D985" s="1930" t="s">
        <v>4476</v>
      </c>
      <c r="E985" s="1931" t="s">
        <v>33</v>
      </c>
      <c r="F985" s="1930" t="s">
        <v>33</v>
      </c>
      <c r="G985" s="1932">
        <v>93230</v>
      </c>
      <c r="H985" s="1930" t="s">
        <v>1017</v>
      </c>
      <c r="I985" s="1930" t="s">
        <v>65</v>
      </c>
      <c r="J985" s="1930" t="s">
        <v>320</v>
      </c>
      <c r="K985" s="1933">
        <v>0.03</v>
      </c>
      <c r="L985" s="1930" t="s">
        <v>138</v>
      </c>
    </row>
    <row r="986" spans="1:12" ht="13.5" x14ac:dyDescent="0.25">
      <c r="A986" s="1930" t="s">
        <v>4469</v>
      </c>
      <c r="B986" s="1930" t="s">
        <v>4470</v>
      </c>
      <c r="C986" s="1930" t="s">
        <v>4475</v>
      </c>
      <c r="D986" s="1930" t="s">
        <v>4476</v>
      </c>
      <c r="E986" s="1931" t="s">
        <v>33</v>
      </c>
      <c r="F986" s="1930" t="s">
        <v>33</v>
      </c>
      <c r="G986" s="1932">
        <v>93231</v>
      </c>
      <c r="H986" s="1930" t="s">
        <v>1018</v>
      </c>
      <c r="I986" s="1930" t="s">
        <v>65</v>
      </c>
      <c r="J986" s="1930" t="s">
        <v>320</v>
      </c>
      <c r="K986" s="1933">
        <v>0.28000000000000003</v>
      </c>
      <c r="L986" s="1930" t="s">
        <v>138</v>
      </c>
    </row>
    <row r="987" spans="1:12" ht="13.5" x14ac:dyDescent="0.25">
      <c r="A987" s="1930" t="s">
        <v>4469</v>
      </c>
      <c r="B987" s="1930" t="s">
        <v>4470</v>
      </c>
      <c r="C987" s="1930" t="s">
        <v>4475</v>
      </c>
      <c r="D987" s="1930" t="s">
        <v>4476</v>
      </c>
      <c r="E987" s="1931" t="s">
        <v>33</v>
      </c>
      <c r="F987" s="1930" t="s">
        <v>33</v>
      </c>
      <c r="G987" s="1932">
        <v>93232</v>
      </c>
      <c r="H987" s="1930" t="s">
        <v>1019</v>
      </c>
      <c r="I987" s="1930" t="s">
        <v>65</v>
      </c>
      <c r="J987" s="1930" t="s">
        <v>346</v>
      </c>
      <c r="K987" s="1933">
        <v>6.26</v>
      </c>
      <c r="L987" s="1930" t="s">
        <v>138</v>
      </c>
    </row>
    <row r="988" spans="1:12" ht="13.5" x14ac:dyDescent="0.25">
      <c r="A988" s="1930" t="s">
        <v>4469</v>
      </c>
      <c r="B988" s="1930" t="s">
        <v>4470</v>
      </c>
      <c r="C988" s="1930" t="s">
        <v>4475</v>
      </c>
      <c r="D988" s="1930" t="s">
        <v>4476</v>
      </c>
      <c r="E988" s="1931" t="s">
        <v>33</v>
      </c>
      <c r="F988" s="1930" t="s">
        <v>33</v>
      </c>
      <c r="G988" s="1932">
        <v>93235</v>
      </c>
      <c r="H988" s="1930" t="s">
        <v>1020</v>
      </c>
      <c r="I988" s="1930" t="s">
        <v>65</v>
      </c>
      <c r="J988" s="1930" t="s">
        <v>137</v>
      </c>
      <c r="K988" s="1933">
        <v>0.76</v>
      </c>
      <c r="L988" s="1930" t="s">
        <v>138</v>
      </c>
    </row>
    <row r="989" spans="1:12" ht="13.5" x14ac:dyDescent="0.25">
      <c r="A989" s="1930" t="s">
        <v>4469</v>
      </c>
      <c r="B989" s="1930" t="s">
        <v>4470</v>
      </c>
      <c r="C989" s="1930" t="s">
        <v>4475</v>
      </c>
      <c r="D989" s="1930" t="s">
        <v>4476</v>
      </c>
      <c r="E989" s="1931" t="s">
        <v>33</v>
      </c>
      <c r="F989" s="1930" t="s">
        <v>33</v>
      </c>
      <c r="G989" s="1932">
        <v>93238</v>
      </c>
      <c r="H989" s="1930" t="s">
        <v>1021</v>
      </c>
      <c r="I989" s="1930" t="s">
        <v>65</v>
      </c>
      <c r="J989" s="1930" t="s">
        <v>137</v>
      </c>
      <c r="K989" s="1933">
        <v>0.63</v>
      </c>
      <c r="L989" s="1930" t="s">
        <v>138</v>
      </c>
    </row>
    <row r="990" spans="1:12" ht="13.5" x14ac:dyDescent="0.25">
      <c r="A990" s="1930" t="s">
        <v>4469</v>
      </c>
      <c r="B990" s="1930" t="s">
        <v>4470</v>
      </c>
      <c r="C990" s="1930" t="s">
        <v>4475</v>
      </c>
      <c r="D990" s="1930" t="s">
        <v>4476</v>
      </c>
      <c r="E990" s="1931" t="s">
        <v>33</v>
      </c>
      <c r="F990" s="1930" t="s">
        <v>33</v>
      </c>
      <c r="G990" s="1932">
        <v>93239</v>
      </c>
      <c r="H990" s="1930" t="s">
        <v>1022</v>
      </c>
      <c r="I990" s="1930" t="s">
        <v>65</v>
      </c>
      <c r="J990" s="1930" t="s">
        <v>137</v>
      </c>
      <c r="K990" s="1933">
        <v>2.85</v>
      </c>
      <c r="L990" s="1930" t="s">
        <v>138</v>
      </c>
    </row>
    <row r="991" spans="1:12" ht="13.5" x14ac:dyDescent="0.25">
      <c r="A991" s="1930" t="s">
        <v>4469</v>
      </c>
      <c r="B991" s="1930" t="s">
        <v>4470</v>
      </c>
      <c r="C991" s="1930" t="s">
        <v>4475</v>
      </c>
      <c r="D991" s="1930" t="s">
        <v>4476</v>
      </c>
      <c r="E991" s="1931" t="s">
        <v>33</v>
      </c>
      <c r="F991" s="1930" t="s">
        <v>33</v>
      </c>
      <c r="G991" s="1932">
        <v>93240</v>
      </c>
      <c r="H991" s="1930" t="s">
        <v>1023</v>
      </c>
      <c r="I991" s="1930" t="s">
        <v>65</v>
      </c>
      <c r="J991" s="1930" t="s">
        <v>346</v>
      </c>
      <c r="K991" s="1933">
        <v>7.44</v>
      </c>
      <c r="L991" s="1930" t="s">
        <v>138</v>
      </c>
    </row>
    <row r="992" spans="1:12" ht="13.5" x14ac:dyDescent="0.25">
      <c r="A992" s="1930" t="s">
        <v>4469</v>
      </c>
      <c r="B992" s="1930" t="s">
        <v>4470</v>
      </c>
      <c r="C992" s="1930" t="s">
        <v>4475</v>
      </c>
      <c r="D992" s="1930" t="s">
        <v>4476</v>
      </c>
      <c r="E992" s="1931" t="s">
        <v>33</v>
      </c>
      <c r="F992" s="1930" t="s">
        <v>33</v>
      </c>
      <c r="G992" s="1932">
        <v>93267</v>
      </c>
      <c r="H992" s="1930" t="s">
        <v>1024</v>
      </c>
      <c r="I992" s="1930" t="s">
        <v>65</v>
      </c>
      <c r="J992" s="1930" t="s">
        <v>137</v>
      </c>
      <c r="K992" s="1933">
        <v>24.17</v>
      </c>
      <c r="L992" s="1930" t="s">
        <v>138</v>
      </c>
    </row>
    <row r="993" spans="1:12" ht="13.5" x14ac:dyDescent="0.25">
      <c r="A993" s="1930" t="s">
        <v>4469</v>
      </c>
      <c r="B993" s="1930" t="s">
        <v>4470</v>
      </c>
      <c r="C993" s="1930" t="s">
        <v>4475</v>
      </c>
      <c r="D993" s="1930" t="s">
        <v>4476</v>
      </c>
      <c r="E993" s="1931" t="s">
        <v>33</v>
      </c>
      <c r="F993" s="1930" t="s">
        <v>33</v>
      </c>
      <c r="G993" s="1932">
        <v>93269</v>
      </c>
      <c r="H993" s="1930" t="s">
        <v>1025</v>
      </c>
      <c r="I993" s="1930" t="s">
        <v>65</v>
      </c>
      <c r="J993" s="1930" t="s">
        <v>137</v>
      </c>
      <c r="K993" s="1933">
        <v>2.87</v>
      </c>
      <c r="L993" s="1930" t="s">
        <v>138</v>
      </c>
    </row>
    <row r="994" spans="1:12" ht="13.5" x14ac:dyDescent="0.25">
      <c r="A994" s="1930" t="s">
        <v>4469</v>
      </c>
      <c r="B994" s="1930" t="s">
        <v>4470</v>
      </c>
      <c r="C994" s="1930" t="s">
        <v>4475</v>
      </c>
      <c r="D994" s="1930" t="s">
        <v>4476</v>
      </c>
      <c r="E994" s="1931" t="s">
        <v>33</v>
      </c>
      <c r="F994" s="1930" t="s">
        <v>33</v>
      </c>
      <c r="G994" s="1932">
        <v>93270</v>
      </c>
      <c r="H994" s="1930" t="s">
        <v>1026</v>
      </c>
      <c r="I994" s="1930" t="s">
        <v>65</v>
      </c>
      <c r="J994" s="1930" t="s">
        <v>137</v>
      </c>
      <c r="K994" s="1933">
        <v>26.44</v>
      </c>
      <c r="L994" s="1930" t="s">
        <v>138</v>
      </c>
    </row>
    <row r="995" spans="1:12" ht="13.5" x14ac:dyDescent="0.25">
      <c r="A995" s="1930" t="s">
        <v>4469</v>
      </c>
      <c r="B995" s="1930" t="s">
        <v>4470</v>
      </c>
      <c r="C995" s="1930" t="s">
        <v>4475</v>
      </c>
      <c r="D995" s="1930" t="s">
        <v>4476</v>
      </c>
      <c r="E995" s="1931" t="s">
        <v>33</v>
      </c>
      <c r="F995" s="1930" t="s">
        <v>33</v>
      </c>
      <c r="G995" s="1932">
        <v>93271</v>
      </c>
      <c r="H995" s="1930" t="s">
        <v>1027</v>
      </c>
      <c r="I995" s="1930" t="s">
        <v>65</v>
      </c>
      <c r="J995" s="1930" t="s">
        <v>320</v>
      </c>
      <c r="K995" s="1933">
        <v>5.61</v>
      </c>
      <c r="L995" s="1930" t="s">
        <v>138</v>
      </c>
    </row>
    <row r="996" spans="1:12" ht="13.5" x14ac:dyDescent="0.25">
      <c r="A996" s="1930" t="s">
        <v>4469</v>
      </c>
      <c r="B996" s="1930" t="s">
        <v>4470</v>
      </c>
      <c r="C996" s="1930" t="s">
        <v>4475</v>
      </c>
      <c r="D996" s="1930" t="s">
        <v>4476</v>
      </c>
      <c r="E996" s="1931" t="s">
        <v>33</v>
      </c>
      <c r="F996" s="1930" t="s">
        <v>33</v>
      </c>
      <c r="G996" s="1932">
        <v>93277</v>
      </c>
      <c r="H996" s="1930" t="s">
        <v>1028</v>
      </c>
      <c r="I996" s="1930" t="s">
        <v>65</v>
      </c>
      <c r="J996" s="1930" t="s">
        <v>137</v>
      </c>
      <c r="K996" s="1933">
        <v>0.26</v>
      </c>
      <c r="L996" s="1930" t="s">
        <v>138</v>
      </c>
    </row>
    <row r="997" spans="1:12" ht="13.5" x14ac:dyDescent="0.25">
      <c r="A997" s="1930" t="s">
        <v>4469</v>
      </c>
      <c r="B997" s="1930" t="s">
        <v>4470</v>
      </c>
      <c r="C997" s="1930" t="s">
        <v>4475</v>
      </c>
      <c r="D997" s="1930" t="s">
        <v>4476</v>
      </c>
      <c r="E997" s="1931" t="s">
        <v>33</v>
      </c>
      <c r="F997" s="1930" t="s">
        <v>33</v>
      </c>
      <c r="G997" s="1932">
        <v>93278</v>
      </c>
      <c r="H997" s="1930" t="s">
        <v>1029</v>
      </c>
      <c r="I997" s="1930" t="s">
        <v>65</v>
      </c>
      <c r="J997" s="1930" t="s">
        <v>137</v>
      </c>
      <c r="K997" s="1933">
        <v>0.03</v>
      </c>
      <c r="L997" s="1930" t="s">
        <v>138</v>
      </c>
    </row>
    <row r="998" spans="1:12" ht="13.5" x14ac:dyDescent="0.25">
      <c r="A998" s="1930" t="s">
        <v>4469</v>
      </c>
      <c r="B998" s="1930" t="s">
        <v>4470</v>
      </c>
      <c r="C998" s="1930" t="s">
        <v>4475</v>
      </c>
      <c r="D998" s="1930" t="s">
        <v>4476</v>
      </c>
      <c r="E998" s="1931" t="s">
        <v>33</v>
      </c>
      <c r="F998" s="1930" t="s">
        <v>33</v>
      </c>
      <c r="G998" s="1932">
        <v>93279</v>
      </c>
      <c r="H998" s="1930" t="s">
        <v>1030</v>
      </c>
      <c r="I998" s="1930" t="s">
        <v>65</v>
      </c>
      <c r="J998" s="1930" t="s">
        <v>137</v>
      </c>
      <c r="K998" s="1933">
        <v>0.25</v>
      </c>
      <c r="L998" s="1930" t="s">
        <v>138</v>
      </c>
    </row>
    <row r="999" spans="1:12" ht="13.5" x14ac:dyDescent="0.25">
      <c r="A999" s="1930" t="s">
        <v>4469</v>
      </c>
      <c r="B999" s="1930" t="s">
        <v>4470</v>
      </c>
      <c r="C999" s="1930" t="s">
        <v>4475</v>
      </c>
      <c r="D999" s="1930" t="s">
        <v>4476</v>
      </c>
      <c r="E999" s="1931" t="s">
        <v>33</v>
      </c>
      <c r="F999" s="1930" t="s">
        <v>33</v>
      </c>
      <c r="G999" s="1932">
        <v>93280</v>
      </c>
      <c r="H999" s="1930" t="s">
        <v>1031</v>
      </c>
      <c r="I999" s="1930" t="s">
        <v>65</v>
      </c>
      <c r="J999" s="1930" t="s">
        <v>320</v>
      </c>
      <c r="K999" s="1933">
        <v>0.46</v>
      </c>
      <c r="L999" s="1930" t="s">
        <v>138</v>
      </c>
    </row>
    <row r="1000" spans="1:12" ht="13.5" x14ac:dyDescent="0.25">
      <c r="A1000" s="1930" t="s">
        <v>4469</v>
      </c>
      <c r="B1000" s="1930" t="s">
        <v>4470</v>
      </c>
      <c r="C1000" s="1930" t="s">
        <v>4475</v>
      </c>
      <c r="D1000" s="1930" t="s">
        <v>4476</v>
      </c>
      <c r="E1000" s="1931" t="s">
        <v>33</v>
      </c>
      <c r="F1000" s="1930" t="s">
        <v>33</v>
      </c>
      <c r="G1000" s="1932">
        <v>93283</v>
      </c>
      <c r="H1000" s="1930" t="s">
        <v>1032</v>
      </c>
      <c r="I1000" s="1930" t="s">
        <v>65</v>
      </c>
      <c r="J1000" s="1930" t="s">
        <v>137</v>
      </c>
      <c r="K1000" s="1933">
        <v>50.81</v>
      </c>
      <c r="L1000" s="1930" t="s">
        <v>138</v>
      </c>
    </row>
    <row r="1001" spans="1:12" ht="13.5" x14ac:dyDescent="0.25">
      <c r="A1001" s="1930" t="s">
        <v>4469</v>
      </c>
      <c r="B1001" s="1930" t="s">
        <v>4470</v>
      </c>
      <c r="C1001" s="1930" t="s">
        <v>4475</v>
      </c>
      <c r="D1001" s="1930" t="s">
        <v>4476</v>
      </c>
      <c r="E1001" s="1931" t="s">
        <v>33</v>
      </c>
      <c r="F1001" s="1930" t="s">
        <v>33</v>
      </c>
      <c r="G1001" s="1932">
        <v>93284</v>
      </c>
      <c r="H1001" s="1930" t="s">
        <v>1033</v>
      </c>
      <c r="I1001" s="1930" t="s">
        <v>65</v>
      </c>
      <c r="J1001" s="1930" t="s">
        <v>137</v>
      </c>
      <c r="K1001" s="1933">
        <v>9.65</v>
      </c>
      <c r="L1001" s="1930" t="s">
        <v>138</v>
      </c>
    </row>
    <row r="1002" spans="1:12" ht="13.5" x14ac:dyDescent="0.25">
      <c r="A1002" s="1930" t="s">
        <v>4469</v>
      </c>
      <c r="B1002" s="1930" t="s">
        <v>4470</v>
      </c>
      <c r="C1002" s="1930" t="s">
        <v>4475</v>
      </c>
      <c r="D1002" s="1930" t="s">
        <v>4476</v>
      </c>
      <c r="E1002" s="1931" t="s">
        <v>33</v>
      </c>
      <c r="F1002" s="1930" t="s">
        <v>33</v>
      </c>
      <c r="G1002" s="1932">
        <v>93285</v>
      </c>
      <c r="H1002" s="1930" t="s">
        <v>1034</v>
      </c>
      <c r="I1002" s="1930" t="s">
        <v>65</v>
      </c>
      <c r="J1002" s="1930" t="s">
        <v>137</v>
      </c>
      <c r="K1002" s="1933">
        <v>81.69</v>
      </c>
      <c r="L1002" s="1930" t="s">
        <v>138</v>
      </c>
    </row>
    <row r="1003" spans="1:12" ht="13.5" x14ac:dyDescent="0.25">
      <c r="A1003" s="1930" t="s">
        <v>4469</v>
      </c>
      <c r="B1003" s="1930" t="s">
        <v>4470</v>
      </c>
      <c r="C1003" s="1930" t="s">
        <v>4475</v>
      </c>
      <c r="D1003" s="1930" t="s">
        <v>4476</v>
      </c>
      <c r="E1003" s="1931" t="s">
        <v>33</v>
      </c>
      <c r="F1003" s="1930" t="s">
        <v>33</v>
      </c>
      <c r="G1003" s="1932">
        <v>93286</v>
      </c>
      <c r="H1003" s="1930" t="s">
        <v>1035</v>
      </c>
      <c r="I1003" s="1930" t="s">
        <v>65</v>
      </c>
      <c r="J1003" s="1930" t="s">
        <v>320</v>
      </c>
      <c r="K1003" s="1933">
        <v>132.6</v>
      </c>
      <c r="L1003" s="1930" t="s">
        <v>138</v>
      </c>
    </row>
    <row r="1004" spans="1:12" ht="13.5" x14ac:dyDescent="0.25">
      <c r="A1004" s="1930" t="s">
        <v>4469</v>
      </c>
      <c r="B1004" s="1930" t="s">
        <v>4470</v>
      </c>
      <c r="C1004" s="1930" t="s">
        <v>4475</v>
      </c>
      <c r="D1004" s="1930" t="s">
        <v>4476</v>
      </c>
      <c r="E1004" s="1931" t="s">
        <v>33</v>
      </c>
      <c r="F1004" s="1930" t="s">
        <v>33</v>
      </c>
      <c r="G1004" s="1932">
        <v>93296</v>
      </c>
      <c r="H1004" s="1930" t="s">
        <v>1036</v>
      </c>
      <c r="I1004" s="1930" t="s">
        <v>65</v>
      </c>
      <c r="J1004" s="1930" t="s">
        <v>137</v>
      </c>
      <c r="K1004" s="1933">
        <v>3.55</v>
      </c>
      <c r="L1004" s="1930" t="s">
        <v>138</v>
      </c>
    </row>
    <row r="1005" spans="1:12" ht="13.5" x14ac:dyDescent="0.25">
      <c r="A1005" s="1930" t="s">
        <v>4469</v>
      </c>
      <c r="B1005" s="1930" t="s">
        <v>4470</v>
      </c>
      <c r="C1005" s="1930" t="s">
        <v>4475</v>
      </c>
      <c r="D1005" s="1930" t="s">
        <v>4476</v>
      </c>
      <c r="E1005" s="1931" t="s">
        <v>33</v>
      </c>
      <c r="F1005" s="1930" t="s">
        <v>33</v>
      </c>
      <c r="G1005" s="1932">
        <v>93397</v>
      </c>
      <c r="H1005" s="1930" t="s">
        <v>1037</v>
      </c>
      <c r="I1005" s="1930" t="s">
        <v>65</v>
      </c>
      <c r="J1005" s="1930" t="s">
        <v>137</v>
      </c>
      <c r="K1005" s="1933">
        <v>9.25</v>
      </c>
      <c r="L1005" s="1930" t="s">
        <v>138</v>
      </c>
    </row>
    <row r="1006" spans="1:12" ht="13.5" x14ac:dyDescent="0.25">
      <c r="A1006" s="1930" t="s">
        <v>4469</v>
      </c>
      <c r="B1006" s="1930" t="s">
        <v>4470</v>
      </c>
      <c r="C1006" s="1930" t="s">
        <v>4475</v>
      </c>
      <c r="D1006" s="1930" t="s">
        <v>4476</v>
      </c>
      <c r="E1006" s="1931" t="s">
        <v>33</v>
      </c>
      <c r="F1006" s="1930" t="s">
        <v>33</v>
      </c>
      <c r="G1006" s="1932">
        <v>93398</v>
      </c>
      <c r="H1006" s="1930" t="s">
        <v>1038</v>
      </c>
      <c r="I1006" s="1930" t="s">
        <v>65</v>
      </c>
      <c r="J1006" s="1930" t="s">
        <v>137</v>
      </c>
      <c r="K1006" s="1933">
        <v>1.93</v>
      </c>
      <c r="L1006" s="1930" t="s">
        <v>138</v>
      </c>
    </row>
    <row r="1007" spans="1:12" ht="13.5" x14ac:dyDescent="0.25">
      <c r="A1007" s="1930" t="s">
        <v>4469</v>
      </c>
      <c r="B1007" s="1930" t="s">
        <v>4470</v>
      </c>
      <c r="C1007" s="1930" t="s">
        <v>4475</v>
      </c>
      <c r="D1007" s="1930" t="s">
        <v>4476</v>
      </c>
      <c r="E1007" s="1931" t="s">
        <v>33</v>
      </c>
      <c r="F1007" s="1930" t="s">
        <v>33</v>
      </c>
      <c r="G1007" s="1932">
        <v>93399</v>
      </c>
      <c r="H1007" s="1930" t="s">
        <v>1039</v>
      </c>
      <c r="I1007" s="1930" t="s">
        <v>65</v>
      </c>
      <c r="J1007" s="1930" t="s">
        <v>137</v>
      </c>
      <c r="K1007" s="1933">
        <v>0.75</v>
      </c>
      <c r="L1007" s="1930" t="s">
        <v>138</v>
      </c>
    </row>
    <row r="1008" spans="1:12" ht="13.5" x14ac:dyDescent="0.25">
      <c r="A1008" s="1930" t="s">
        <v>4469</v>
      </c>
      <c r="B1008" s="1930" t="s">
        <v>4470</v>
      </c>
      <c r="C1008" s="1930" t="s">
        <v>4475</v>
      </c>
      <c r="D1008" s="1930" t="s">
        <v>4476</v>
      </c>
      <c r="E1008" s="1931" t="s">
        <v>33</v>
      </c>
      <c r="F1008" s="1930" t="s">
        <v>33</v>
      </c>
      <c r="G1008" s="1932">
        <v>93400</v>
      </c>
      <c r="H1008" s="1930" t="s">
        <v>1040</v>
      </c>
      <c r="I1008" s="1930" t="s">
        <v>65</v>
      </c>
      <c r="J1008" s="1930" t="s">
        <v>137</v>
      </c>
      <c r="K1008" s="1933">
        <v>17.36</v>
      </c>
      <c r="L1008" s="1930" t="s">
        <v>138</v>
      </c>
    </row>
    <row r="1009" spans="1:12" ht="13.5" x14ac:dyDescent="0.25">
      <c r="A1009" s="1930" t="s">
        <v>4469</v>
      </c>
      <c r="B1009" s="1930" t="s">
        <v>4470</v>
      </c>
      <c r="C1009" s="1930" t="s">
        <v>4475</v>
      </c>
      <c r="D1009" s="1930" t="s">
        <v>4476</v>
      </c>
      <c r="E1009" s="1931" t="s">
        <v>33</v>
      </c>
      <c r="F1009" s="1930" t="s">
        <v>33</v>
      </c>
      <c r="G1009" s="1932">
        <v>93401</v>
      </c>
      <c r="H1009" s="1930" t="s">
        <v>1041</v>
      </c>
      <c r="I1009" s="1930" t="s">
        <v>65</v>
      </c>
      <c r="J1009" s="1930" t="s">
        <v>346</v>
      </c>
      <c r="K1009" s="1933">
        <v>98.31</v>
      </c>
      <c r="L1009" s="1930" t="s">
        <v>138</v>
      </c>
    </row>
    <row r="1010" spans="1:12" ht="13.5" x14ac:dyDescent="0.25">
      <c r="A1010" s="1930" t="s">
        <v>4469</v>
      </c>
      <c r="B1010" s="1930" t="s">
        <v>4470</v>
      </c>
      <c r="C1010" s="1930" t="s">
        <v>4475</v>
      </c>
      <c r="D1010" s="1930" t="s">
        <v>4476</v>
      </c>
      <c r="E1010" s="1931" t="s">
        <v>33</v>
      </c>
      <c r="F1010" s="1930" t="s">
        <v>33</v>
      </c>
      <c r="G1010" s="1932">
        <v>93404</v>
      </c>
      <c r="H1010" s="1930" t="s">
        <v>9130</v>
      </c>
      <c r="I1010" s="1930" t="s">
        <v>65</v>
      </c>
      <c r="J1010" s="1930" t="s">
        <v>137</v>
      </c>
      <c r="K1010" s="1933">
        <v>4.3899999999999997</v>
      </c>
      <c r="L1010" s="1930" t="s">
        <v>138</v>
      </c>
    </row>
    <row r="1011" spans="1:12" ht="13.5" x14ac:dyDescent="0.25">
      <c r="A1011" s="1930" t="s">
        <v>4469</v>
      </c>
      <c r="B1011" s="1930" t="s">
        <v>4470</v>
      </c>
      <c r="C1011" s="1930" t="s">
        <v>4475</v>
      </c>
      <c r="D1011" s="1930" t="s">
        <v>4476</v>
      </c>
      <c r="E1011" s="1931" t="s">
        <v>33</v>
      </c>
      <c r="F1011" s="1930" t="s">
        <v>33</v>
      </c>
      <c r="G1011" s="1932">
        <v>93405</v>
      </c>
      <c r="H1011" s="1930" t="s">
        <v>9131</v>
      </c>
      <c r="I1011" s="1930" t="s">
        <v>65</v>
      </c>
      <c r="J1011" s="1930" t="s">
        <v>137</v>
      </c>
      <c r="K1011" s="1933">
        <v>0.44</v>
      </c>
      <c r="L1011" s="1930" t="s">
        <v>138</v>
      </c>
    </row>
    <row r="1012" spans="1:12" ht="13.5" x14ac:dyDescent="0.25">
      <c r="A1012" s="1930" t="s">
        <v>4469</v>
      </c>
      <c r="B1012" s="1930" t="s">
        <v>4470</v>
      </c>
      <c r="C1012" s="1930" t="s">
        <v>4475</v>
      </c>
      <c r="D1012" s="1930" t="s">
        <v>4476</v>
      </c>
      <c r="E1012" s="1931" t="s">
        <v>33</v>
      </c>
      <c r="F1012" s="1930" t="s">
        <v>33</v>
      </c>
      <c r="G1012" s="1932">
        <v>93406</v>
      </c>
      <c r="H1012" s="1930" t="s">
        <v>9132</v>
      </c>
      <c r="I1012" s="1930" t="s">
        <v>65</v>
      </c>
      <c r="J1012" s="1930" t="s">
        <v>137</v>
      </c>
      <c r="K1012" s="1933">
        <v>5.49</v>
      </c>
      <c r="L1012" s="1930" t="s">
        <v>138</v>
      </c>
    </row>
    <row r="1013" spans="1:12" ht="13.5" x14ac:dyDescent="0.25">
      <c r="A1013" s="1930" t="s">
        <v>4469</v>
      </c>
      <c r="B1013" s="1930" t="s">
        <v>4470</v>
      </c>
      <c r="C1013" s="1930" t="s">
        <v>4475</v>
      </c>
      <c r="D1013" s="1930" t="s">
        <v>4476</v>
      </c>
      <c r="E1013" s="1931" t="s">
        <v>33</v>
      </c>
      <c r="F1013" s="1930" t="s">
        <v>33</v>
      </c>
      <c r="G1013" s="1932">
        <v>93407</v>
      </c>
      <c r="H1013" s="1930" t="s">
        <v>9133</v>
      </c>
      <c r="I1013" s="1930" t="s">
        <v>65</v>
      </c>
      <c r="J1013" s="1930" t="s">
        <v>346</v>
      </c>
      <c r="K1013" s="1933">
        <v>29.31</v>
      </c>
      <c r="L1013" s="1930" t="s">
        <v>138</v>
      </c>
    </row>
    <row r="1014" spans="1:12" ht="13.5" x14ac:dyDescent="0.25">
      <c r="A1014" s="1930" t="s">
        <v>4469</v>
      </c>
      <c r="B1014" s="1930" t="s">
        <v>4470</v>
      </c>
      <c r="C1014" s="1930" t="s">
        <v>4475</v>
      </c>
      <c r="D1014" s="1930" t="s">
        <v>4476</v>
      </c>
      <c r="E1014" s="1931" t="s">
        <v>33</v>
      </c>
      <c r="F1014" s="1930" t="s">
        <v>33</v>
      </c>
      <c r="G1014" s="1932">
        <v>93411</v>
      </c>
      <c r="H1014" s="1930" t="s">
        <v>1042</v>
      </c>
      <c r="I1014" s="1930" t="s">
        <v>65</v>
      </c>
      <c r="J1014" s="1930" t="s">
        <v>137</v>
      </c>
      <c r="K1014" s="1933">
        <v>0.2</v>
      </c>
      <c r="L1014" s="1930" t="s">
        <v>138</v>
      </c>
    </row>
    <row r="1015" spans="1:12" ht="13.5" x14ac:dyDescent="0.25">
      <c r="A1015" s="1930" t="s">
        <v>4469</v>
      </c>
      <c r="B1015" s="1930" t="s">
        <v>4470</v>
      </c>
      <c r="C1015" s="1930" t="s">
        <v>4475</v>
      </c>
      <c r="D1015" s="1930" t="s">
        <v>4476</v>
      </c>
      <c r="E1015" s="1931" t="s">
        <v>33</v>
      </c>
      <c r="F1015" s="1930" t="s">
        <v>33</v>
      </c>
      <c r="G1015" s="1932">
        <v>93412</v>
      </c>
      <c r="H1015" s="1930" t="s">
        <v>1043</v>
      </c>
      <c r="I1015" s="1930" t="s">
        <v>65</v>
      </c>
      <c r="J1015" s="1930" t="s">
        <v>137</v>
      </c>
      <c r="K1015" s="1933">
        <v>0.03</v>
      </c>
      <c r="L1015" s="1930" t="s">
        <v>138</v>
      </c>
    </row>
    <row r="1016" spans="1:12" ht="13.5" x14ac:dyDescent="0.25">
      <c r="A1016" s="1930" t="s">
        <v>4469</v>
      </c>
      <c r="B1016" s="1930" t="s">
        <v>4470</v>
      </c>
      <c r="C1016" s="1930" t="s">
        <v>4475</v>
      </c>
      <c r="D1016" s="1930" t="s">
        <v>4476</v>
      </c>
      <c r="E1016" s="1931" t="s">
        <v>33</v>
      </c>
      <c r="F1016" s="1930" t="s">
        <v>33</v>
      </c>
      <c r="G1016" s="1932">
        <v>93413</v>
      </c>
      <c r="H1016" s="1930" t="s">
        <v>1044</v>
      </c>
      <c r="I1016" s="1930" t="s">
        <v>65</v>
      </c>
      <c r="J1016" s="1930" t="s">
        <v>137</v>
      </c>
      <c r="K1016" s="1933">
        <v>0.18</v>
      </c>
      <c r="L1016" s="1930" t="s">
        <v>138</v>
      </c>
    </row>
    <row r="1017" spans="1:12" ht="13.5" x14ac:dyDescent="0.25">
      <c r="A1017" s="1930" t="s">
        <v>4469</v>
      </c>
      <c r="B1017" s="1930" t="s">
        <v>4470</v>
      </c>
      <c r="C1017" s="1930" t="s">
        <v>4475</v>
      </c>
      <c r="D1017" s="1930" t="s">
        <v>4476</v>
      </c>
      <c r="E1017" s="1931" t="s">
        <v>33</v>
      </c>
      <c r="F1017" s="1930" t="s">
        <v>33</v>
      </c>
      <c r="G1017" s="1932">
        <v>93414</v>
      </c>
      <c r="H1017" s="1930" t="s">
        <v>1045</v>
      </c>
      <c r="I1017" s="1930" t="s">
        <v>65</v>
      </c>
      <c r="J1017" s="1930" t="s">
        <v>346</v>
      </c>
      <c r="K1017" s="1933">
        <v>10.8</v>
      </c>
      <c r="L1017" s="1930" t="s">
        <v>138</v>
      </c>
    </row>
    <row r="1018" spans="1:12" ht="13.5" x14ac:dyDescent="0.25">
      <c r="A1018" s="1930" t="s">
        <v>4469</v>
      </c>
      <c r="B1018" s="1930" t="s">
        <v>4470</v>
      </c>
      <c r="C1018" s="1930" t="s">
        <v>4475</v>
      </c>
      <c r="D1018" s="1930" t="s">
        <v>4476</v>
      </c>
      <c r="E1018" s="1931" t="s">
        <v>33</v>
      </c>
      <c r="F1018" s="1930" t="s">
        <v>33</v>
      </c>
      <c r="G1018" s="1932">
        <v>93417</v>
      </c>
      <c r="H1018" s="1930" t="s">
        <v>1046</v>
      </c>
      <c r="I1018" s="1930" t="s">
        <v>65</v>
      </c>
      <c r="J1018" s="1930" t="s">
        <v>137</v>
      </c>
      <c r="K1018" s="1933">
        <v>2.68</v>
      </c>
      <c r="L1018" s="1930" t="s">
        <v>138</v>
      </c>
    </row>
    <row r="1019" spans="1:12" ht="13.5" x14ac:dyDescent="0.25">
      <c r="A1019" s="1930" t="s">
        <v>4469</v>
      </c>
      <c r="B1019" s="1930" t="s">
        <v>4470</v>
      </c>
      <c r="C1019" s="1930" t="s">
        <v>4475</v>
      </c>
      <c r="D1019" s="1930" t="s">
        <v>4476</v>
      </c>
      <c r="E1019" s="1931" t="s">
        <v>33</v>
      </c>
      <c r="F1019" s="1930" t="s">
        <v>33</v>
      </c>
      <c r="G1019" s="1932">
        <v>93418</v>
      </c>
      <c r="H1019" s="1930" t="s">
        <v>1047</v>
      </c>
      <c r="I1019" s="1930" t="s">
        <v>65</v>
      </c>
      <c r="J1019" s="1930" t="s">
        <v>137</v>
      </c>
      <c r="K1019" s="1933">
        <v>0.48</v>
      </c>
      <c r="L1019" s="1930" t="s">
        <v>138</v>
      </c>
    </row>
    <row r="1020" spans="1:12" ht="13.5" x14ac:dyDescent="0.25">
      <c r="A1020" s="1930" t="s">
        <v>4469</v>
      </c>
      <c r="B1020" s="1930" t="s">
        <v>4470</v>
      </c>
      <c r="C1020" s="1930" t="s">
        <v>4475</v>
      </c>
      <c r="D1020" s="1930" t="s">
        <v>4476</v>
      </c>
      <c r="E1020" s="1931" t="s">
        <v>33</v>
      </c>
      <c r="F1020" s="1930" t="s">
        <v>33</v>
      </c>
      <c r="G1020" s="1932">
        <v>93419</v>
      </c>
      <c r="H1020" s="1930" t="s">
        <v>1048</v>
      </c>
      <c r="I1020" s="1930" t="s">
        <v>65</v>
      </c>
      <c r="J1020" s="1930" t="s">
        <v>137</v>
      </c>
      <c r="K1020" s="1933">
        <v>2.39</v>
      </c>
      <c r="L1020" s="1930" t="s">
        <v>138</v>
      </c>
    </row>
    <row r="1021" spans="1:12" ht="13.5" x14ac:dyDescent="0.25">
      <c r="A1021" s="1930" t="s">
        <v>4469</v>
      </c>
      <c r="B1021" s="1930" t="s">
        <v>4470</v>
      </c>
      <c r="C1021" s="1930" t="s">
        <v>4475</v>
      </c>
      <c r="D1021" s="1930" t="s">
        <v>4476</v>
      </c>
      <c r="E1021" s="1931" t="s">
        <v>33</v>
      </c>
      <c r="F1021" s="1930" t="s">
        <v>33</v>
      </c>
      <c r="G1021" s="1932">
        <v>93420</v>
      </c>
      <c r="H1021" s="1930" t="s">
        <v>1049</v>
      </c>
      <c r="I1021" s="1930" t="s">
        <v>65</v>
      </c>
      <c r="J1021" s="1930" t="s">
        <v>346</v>
      </c>
      <c r="K1021" s="1933">
        <v>41.7</v>
      </c>
      <c r="L1021" s="1930" t="s">
        <v>138</v>
      </c>
    </row>
    <row r="1022" spans="1:12" ht="13.5" x14ac:dyDescent="0.25">
      <c r="A1022" s="1930" t="s">
        <v>4469</v>
      </c>
      <c r="B1022" s="1930" t="s">
        <v>4470</v>
      </c>
      <c r="C1022" s="1930" t="s">
        <v>4475</v>
      </c>
      <c r="D1022" s="1930" t="s">
        <v>4476</v>
      </c>
      <c r="E1022" s="1931" t="s">
        <v>33</v>
      </c>
      <c r="F1022" s="1930" t="s">
        <v>33</v>
      </c>
      <c r="G1022" s="1932">
        <v>93423</v>
      </c>
      <c r="H1022" s="1930" t="s">
        <v>1050</v>
      </c>
      <c r="I1022" s="1930" t="s">
        <v>65</v>
      </c>
      <c r="J1022" s="1930" t="s">
        <v>137</v>
      </c>
      <c r="K1022" s="1933">
        <v>3.79</v>
      </c>
      <c r="L1022" s="1930" t="s">
        <v>138</v>
      </c>
    </row>
    <row r="1023" spans="1:12" ht="13.5" x14ac:dyDescent="0.25">
      <c r="A1023" s="1930" t="s">
        <v>4469</v>
      </c>
      <c r="B1023" s="1930" t="s">
        <v>4470</v>
      </c>
      <c r="C1023" s="1930" t="s">
        <v>4475</v>
      </c>
      <c r="D1023" s="1930" t="s">
        <v>4476</v>
      </c>
      <c r="E1023" s="1931" t="s">
        <v>33</v>
      </c>
      <c r="F1023" s="1930" t="s">
        <v>33</v>
      </c>
      <c r="G1023" s="1932">
        <v>93424</v>
      </c>
      <c r="H1023" s="1930" t="s">
        <v>1051</v>
      </c>
      <c r="I1023" s="1930" t="s">
        <v>65</v>
      </c>
      <c r="J1023" s="1930" t="s">
        <v>137</v>
      </c>
      <c r="K1023" s="1933">
        <v>0.68</v>
      </c>
      <c r="L1023" s="1930" t="s">
        <v>138</v>
      </c>
    </row>
    <row r="1024" spans="1:12" ht="13.5" x14ac:dyDescent="0.25">
      <c r="A1024" s="1930" t="s">
        <v>4469</v>
      </c>
      <c r="B1024" s="1930" t="s">
        <v>4470</v>
      </c>
      <c r="C1024" s="1930" t="s">
        <v>4475</v>
      </c>
      <c r="D1024" s="1930" t="s">
        <v>4476</v>
      </c>
      <c r="E1024" s="1931" t="s">
        <v>33</v>
      </c>
      <c r="F1024" s="1930" t="s">
        <v>33</v>
      </c>
      <c r="G1024" s="1932">
        <v>93425</v>
      </c>
      <c r="H1024" s="1930" t="s">
        <v>1052</v>
      </c>
      <c r="I1024" s="1930" t="s">
        <v>65</v>
      </c>
      <c r="J1024" s="1930" t="s">
        <v>137</v>
      </c>
      <c r="K1024" s="1933">
        <v>3.38</v>
      </c>
      <c r="L1024" s="1930" t="s">
        <v>138</v>
      </c>
    </row>
    <row r="1025" spans="1:12" ht="13.5" x14ac:dyDescent="0.25">
      <c r="A1025" s="1930" t="s">
        <v>4469</v>
      </c>
      <c r="B1025" s="1930" t="s">
        <v>4470</v>
      </c>
      <c r="C1025" s="1930" t="s">
        <v>4475</v>
      </c>
      <c r="D1025" s="1930" t="s">
        <v>4476</v>
      </c>
      <c r="E1025" s="1931" t="s">
        <v>33</v>
      </c>
      <c r="F1025" s="1930" t="s">
        <v>33</v>
      </c>
      <c r="G1025" s="1932">
        <v>93426</v>
      </c>
      <c r="H1025" s="1930" t="s">
        <v>1053</v>
      </c>
      <c r="I1025" s="1930" t="s">
        <v>65</v>
      </c>
      <c r="J1025" s="1930" t="s">
        <v>346</v>
      </c>
      <c r="K1025" s="1933">
        <v>99.65</v>
      </c>
      <c r="L1025" s="1930" t="s">
        <v>138</v>
      </c>
    </row>
    <row r="1026" spans="1:12" ht="13.5" x14ac:dyDescent="0.25">
      <c r="A1026" s="1930" t="s">
        <v>4469</v>
      </c>
      <c r="B1026" s="1930" t="s">
        <v>4470</v>
      </c>
      <c r="C1026" s="1930" t="s">
        <v>4475</v>
      </c>
      <c r="D1026" s="1930" t="s">
        <v>4476</v>
      </c>
      <c r="E1026" s="1931" t="s">
        <v>33</v>
      </c>
      <c r="F1026" s="1930" t="s">
        <v>33</v>
      </c>
      <c r="G1026" s="1932">
        <v>93429</v>
      </c>
      <c r="H1026" s="1930" t="s">
        <v>1054</v>
      </c>
      <c r="I1026" s="1930" t="s">
        <v>65</v>
      </c>
      <c r="J1026" s="1930" t="s">
        <v>137</v>
      </c>
      <c r="K1026" s="1933">
        <v>66</v>
      </c>
      <c r="L1026" s="1930" t="s">
        <v>138</v>
      </c>
    </row>
    <row r="1027" spans="1:12" ht="13.5" x14ac:dyDescent="0.25">
      <c r="A1027" s="1930" t="s">
        <v>4469</v>
      </c>
      <c r="B1027" s="1930" t="s">
        <v>4470</v>
      </c>
      <c r="C1027" s="1930" t="s">
        <v>4475</v>
      </c>
      <c r="D1027" s="1930" t="s">
        <v>4476</v>
      </c>
      <c r="E1027" s="1931" t="s">
        <v>33</v>
      </c>
      <c r="F1027" s="1930" t="s">
        <v>33</v>
      </c>
      <c r="G1027" s="1932">
        <v>93430</v>
      </c>
      <c r="H1027" s="1930" t="s">
        <v>1055</v>
      </c>
      <c r="I1027" s="1930" t="s">
        <v>65</v>
      </c>
      <c r="J1027" s="1930" t="s">
        <v>137</v>
      </c>
      <c r="K1027" s="1933">
        <v>11.88</v>
      </c>
      <c r="L1027" s="1930" t="s">
        <v>138</v>
      </c>
    </row>
    <row r="1028" spans="1:12" ht="13.5" x14ac:dyDescent="0.25">
      <c r="A1028" s="1930" t="s">
        <v>4469</v>
      </c>
      <c r="B1028" s="1930" t="s">
        <v>4470</v>
      </c>
      <c r="C1028" s="1930" t="s">
        <v>4475</v>
      </c>
      <c r="D1028" s="1930" t="s">
        <v>4476</v>
      </c>
      <c r="E1028" s="1931" t="s">
        <v>33</v>
      </c>
      <c r="F1028" s="1930" t="s">
        <v>33</v>
      </c>
      <c r="G1028" s="1932">
        <v>93431</v>
      </c>
      <c r="H1028" s="1930" t="s">
        <v>1056</v>
      </c>
      <c r="I1028" s="1930" t="s">
        <v>65</v>
      </c>
      <c r="J1028" s="1930" t="s">
        <v>137</v>
      </c>
      <c r="K1028" s="1933">
        <v>106.09</v>
      </c>
      <c r="L1028" s="1930" t="s">
        <v>138</v>
      </c>
    </row>
    <row r="1029" spans="1:12" ht="13.5" x14ac:dyDescent="0.25">
      <c r="A1029" s="1930" t="s">
        <v>4469</v>
      </c>
      <c r="B1029" s="1930" t="s">
        <v>4470</v>
      </c>
      <c r="C1029" s="1930" t="s">
        <v>4475</v>
      </c>
      <c r="D1029" s="1930" t="s">
        <v>4476</v>
      </c>
      <c r="E1029" s="1931" t="s">
        <v>33</v>
      </c>
      <c r="F1029" s="1930" t="s">
        <v>33</v>
      </c>
      <c r="G1029" s="1932">
        <v>93432</v>
      </c>
      <c r="H1029" s="1930" t="s">
        <v>1057</v>
      </c>
      <c r="I1029" s="1930" t="s">
        <v>65</v>
      </c>
      <c r="J1029" s="1930" t="s">
        <v>346</v>
      </c>
      <c r="K1029" s="1933">
        <v>1785.6</v>
      </c>
      <c r="L1029" s="1930" t="s">
        <v>138</v>
      </c>
    </row>
    <row r="1030" spans="1:12" ht="13.5" x14ac:dyDescent="0.25">
      <c r="A1030" s="1930" t="s">
        <v>4469</v>
      </c>
      <c r="B1030" s="1930" t="s">
        <v>4470</v>
      </c>
      <c r="C1030" s="1930" t="s">
        <v>4475</v>
      </c>
      <c r="D1030" s="1930" t="s">
        <v>4476</v>
      </c>
      <c r="E1030" s="1931" t="s">
        <v>33</v>
      </c>
      <c r="F1030" s="1930" t="s">
        <v>33</v>
      </c>
      <c r="G1030" s="1932">
        <v>93435</v>
      </c>
      <c r="H1030" s="1930" t="s">
        <v>1058</v>
      </c>
      <c r="I1030" s="1930" t="s">
        <v>65</v>
      </c>
      <c r="J1030" s="1930" t="s">
        <v>137</v>
      </c>
      <c r="K1030" s="1933">
        <v>3.57</v>
      </c>
      <c r="L1030" s="1930" t="s">
        <v>138</v>
      </c>
    </row>
    <row r="1031" spans="1:12" ht="13.5" x14ac:dyDescent="0.25">
      <c r="A1031" s="1930" t="s">
        <v>4469</v>
      </c>
      <c r="B1031" s="1930" t="s">
        <v>4470</v>
      </c>
      <c r="C1031" s="1930" t="s">
        <v>4475</v>
      </c>
      <c r="D1031" s="1930" t="s">
        <v>4476</v>
      </c>
      <c r="E1031" s="1931" t="s">
        <v>33</v>
      </c>
      <c r="F1031" s="1930" t="s">
        <v>33</v>
      </c>
      <c r="G1031" s="1932">
        <v>93436</v>
      </c>
      <c r="H1031" s="1930" t="s">
        <v>1059</v>
      </c>
      <c r="I1031" s="1930" t="s">
        <v>65</v>
      </c>
      <c r="J1031" s="1930" t="s">
        <v>137</v>
      </c>
      <c r="K1031" s="1933">
        <v>0.75</v>
      </c>
      <c r="L1031" s="1930" t="s">
        <v>138</v>
      </c>
    </row>
    <row r="1032" spans="1:12" ht="13.5" x14ac:dyDescent="0.25">
      <c r="A1032" s="1930" t="s">
        <v>4469</v>
      </c>
      <c r="B1032" s="1930" t="s">
        <v>4470</v>
      </c>
      <c r="C1032" s="1930" t="s">
        <v>4475</v>
      </c>
      <c r="D1032" s="1930" t="s">
        <v>4476</v>
      </c>
      <c r="E1032" s="1931" t="s">
        <v>33</v>
      </c>
      <c r="F1032" s="1930" t="s">
        <v>33</v>
      </c>
      <c r="G1032" s="1932">
        <v>93437</v>
      </c>
      <c r="H1032" s="1930" t="s">
        <v>1060</v>
      </c>
      <c r="I1032" s="1930" t="s">
        <v>65</v>
      </c>
      <c r="J1032" s="1930" t="s">
        <v>137</v>
      </c>
      <c r="K1032" s="1933">
        <v>6.69</v>
      </c>
      <c r="L1032" s="1930" t="s">
        <v>138</v>
      </c>
    </row>
    <row r="1033" spans="1:12" ht="13.5" x14ac:dyDescent="0.25">
      <c r="A1033" s="1930" t="s">
        <v>4469</v>
      </c>
      <c r="B1033" s="1930" t="s">
        <v>4470</v>
      </c>
      <c r="C1033" s="1930" t="s">
        <v>4475</v>
      </c>
      <c r="D1033" s="1930" t="s">
        <v>4476</v>
      </c>
      <c r="E1033" s="1931" t="s">
        <v>33</v>
      </c>
      <c r="F1033" s="1930" t="s">
        <v>33</v>
      </c>
      <c r="G1033" s="1932">
        <v>93438</v>
      </c>
      <c r="H1033" s="1930" t="s">
        <v>1061</v>
      </c>
      <c r="I1033" s="1930" t="s">
        <v>65</v>
      </c>
      <c r="J1033" s="1930" t="s">
        <v>346</v>
      </c>
      <c r="K1033" s="1933">
        <v>18.45</v>
      </c>
      <c r="L1033" s="1930" t="s">
        <v>138</v>
      </c>
    </row>
    <row r="1034" spans="1:12" ht="13.5" x14ac:dyDescent="0.25">
      <c r="A1034" s="1930" t="s">
        <v>4469</v>
      </c>
      <c r="B1034" s="1930" t="s">
        <v>4470</v>
      </c>
      <c r="C1034" s="1930" t="s">
        <v>4475</v>
      </c>
      <c r="D1034" s="1930" t="s">
        <v>4476</v>
      </c>
      <c r="E1034" s="1931" t="s">
        <v>33</v>
      </c>
      <c r="F1034" s="1930" t="s">
        <v>33</v>
      </c>
      <c r="G1034" s="1932">
        <v>95114</v>
      </c>
      <c r="H1034" s="1930" t="s">
        <v>1062</v>
      </c>
      <c r="I1034" s="1930" t="s">
        <v>65</v>
      </c>
      <c r="J1034" s="1930" t="s">
        <v>137</v>
      </c>
      <c r="K1034" s="1933">
        <v>0.97</v>
      </c>
      <c r="L1034" s="1930" t="s">
        <v>138</v>
      </c>
    </row>
    <row r="1035" spans="1:12" ht="13.5" x14ac:dyDescent="0.25">
      <c r="A1035" s="1930" t="s">
        <v>4469</v>
      </c>
      <c r="B1035" s="1930" t="s">
        <v>4470</v>
      </c>
      <c r="C1035" s="1930" t="s">
        <v>4475</v>
      </c>
      <c r="D1035" s="1930" t="s">
        <v>4476</v>
      </c>
      <c r="E1035" s="1931" t="s">
        <v>33</v>
      </c>
      <c r="F1035" s="1930" t="s">
        <v>33</v>
      </c>
      <c r="G1035" s="1932">
        <v>95115</v>
      </c>
      <c r="H1035" s="1930" t="s">
        <v>1063</v>
      </c>
      <c r="I1035" s="1930" t="s">
        <v>65</v>
      </c>
      <c r="J1035" s="1930" t="s">
        <v>137</v>
      </c>
      <c r="K1035" s="1933">
        <v>0.11</v>
      </c>
      <c r="L1035" s="1930" t="s">
        <v>138</v>
      </c>
    </row>
    <row r="1036" spans="1:12" ht="13.5" x14ac:dyDescent="0.25">
      <c r="A1036" s="1930" t="s">
        <v>4469</v>
      </c>
      <c r="B1036" s="1930" t="s">
        <v>4470</v>
      </c>
      <c r="C1036" s="1930" t="s">
        <v>4475</v>
      </c>
      <c r="D1036" s="1930" t="s">
        <v>4476</v>
      </c>
      <c r="E1036" s="1931" t="s">
        <v>33</v>
      </c>
      <c r="F1036" s="1930" t="s">
        <v>33</v>
      </c>
      <c r="G1036" s="1932">
        <v>95116</v>
      </c>
      <c r="H1036" s="1930" t="s">
        <v>1064</v>
      </c>
      <c r="I1036" s="1930" t="s">
        <v>65</v>
      </c>
      <c r="J1036" s="1930" t="s">
        <v>137</v>
      </c>
      <c r="K1036" s="1933">
        <v>31.99</v>
      </c>
      <c r="L1036" s="1930" t="s">
        <v>138</v>
      </c>
    </row>
    <row r="1037" spans="1:12" ht="13.5" x14ac:dyDescent="0.25">
      <c r="A1037" s="1930" t="s">
        <v>4469</v>
      </c>
      <c r="B1037" s="1930" t="s">
        <v>4470</v>
      </c>
      <c r="C1037" s="1930" t="s">
        <v>4475</v>
      </c>
      <c r="D1037" s="1930" t="s">
        <v>4476</v>
      </c>
      <c r="E1037" s="1931" t="s">
        <v>33</v>
      </c>
      <c r="F1037" s="1930" t="s">
        <v>33</v>
      </c>
      <c r="G1037" s="1932">
        <v>95117</v>
      </c>
      <c r="H1037" s="1930" t="s">
        <v>1065</v>
      </c>
      <c r="I1037" s="1930" t="s">
        <v>65</v>
      </c>
      <c r="J1037" s="1930" t="s">
        <v>137</v>
      </c>
      <c r="K1037" s="1933">
        <v>5.04</v>
      </c>
      <c r="L1037" s="1930" t="s">
        <v>138</v>
      </c>
    </row>
    <row r="1038" spans="1:12" ht="13.5" x14ac:dyDescent="0.25">
      <c r="A1038" s="1930" t="s">
        <v>4469</v>
      </c>
      <c r="B1038" s="1930" t="s">
        <v>4470</v>
      </c>
      <c r="C1038" s="1930" t="s">
        <v>4475</v>
      </c>
      <c r="D1038" s="1930" t="s">
        <v>4476</v>
      </c>
      <c r="E1038" s="1931" t="s">
        <v>33</v>
      </c>
      <c r="F1038" s="1930" t="s">
        <v>33</v>
      </c>
      <c r="G1038" s="1932">
        <v>95118</v>
      </c>
      <c r="H1038" s="1930" t="s">
        <v>1066</v>
      </c>
      <c r="I1038" s="1930" t="s">
        <v>65</v>
      </c>
      <c r="J1038" s="1930" t="s">
        <v>137</v>
      </c>
      <c r="K1038" s="1933">
        <v>34.04</v>
      </c>
      <c r="L1038" s="1930" t="s">
        <v>138</v>
      </c>
    </row>
    <row r="1039" spans="1:12" ht="13.5" x14ac:dyDescent="0.25">
      <c r="A1039" s="1930" t="s">
        <v>4469</v>
      </c>
      <c r="B1039" s="1930" t="s">
        <v>4470</v>
      </c>
      <c r="C1039" s="1930" t="s">
        <v>4475</v>
      </c>
      <c r="D1039" s="1930" t="s">
        <v>4476</v>
      </c>
      <c r="E1039" s="1931" t="s">
        <v>33</v>
      </c>
      <c r="F1039" s="1930" t="s">
        <v>33</v>
      </c>
      <c r="G1039" s="1932">
        <v>95119</v>
      </c>
      <c r="H1039" s="1930" t="s">
        <v>1067</v>
      </c>
      <c r="I1039" s="1930" t="s">
        <v>65</v>
      </c>
      <c r="J1039" s="1930" t="s">
        <v>137</v>
      </c>
      <c r="K1039" s="1933">
        <v>6.12</v>
      </c>
      <c r="L1039" s="1930" t="s">
        <v>138</v>
      </c>
    </row>
    <row r="1040" spans="1:12" ht="13.5" x14ac:dyDescent="0.25">
      <c r="A1040" s="1930" t="s">
        <v>4469</v>
      </c>
      <c r="B1040" s="1930" t="s">
        <v>4470</v>
      </c>
      <c r="C1040" s="1930" t="s">
        <v>4475</v>
      </c>
      <c r="D1040" s="1930" t="s">
        <v>4476</v>
      </c>
      <c r="E1040" s="1931" t="s">
        <v>33</v>
      </c>
      <c r="F1040" s="1930" t="s">
        <v>33</v>
      </c>
      <c r="G1040" s="1932">
        <v>95120</v>
      </c>
      <c r="H1040" s="1930" t="s">
        <v>1068</v>
      </c>
      <c r="I1040" s="1930" t="s">
        <v>65</v>
      </c>
      <c r="J1040" s="1930" t="s">
        <v>320</v>
      </c>
      <c r="K1040" s="1933">
        <v>38.25</v>
      </c>
      <c r="L1040" s="1930" t="s">
        <v>138</v>
      </c>
    </row>
    <row r="1041" spans="1:12" ht="13.5" x14ac:dyDescent="0.25">
      <c r="A1041" s="1930" t="s">
        <v>4469</v>
      </c>
      <c r="B1041" s="1930" t="s">
        <v>4470</v>
      </c>
      <c r="C1041" s="1930" t="s">
        <v>4475</v>
      </c>
      <c r="D1041" s="1930" t="s">
        <v>4476</v>
      </c>
      <c r="E1041" s="1931" t="s">
        <v>33</v>
      </c>
      <c r="F1041" s="1930" t="s">
        <v>33</v>
      </c>
      <c r="G1041" s="1932">
        <v>95123</v>
      </c>
      <c r="H1041" s="1930" t="s">
        <v>1069</v>
      </c>
      <c r="I1041" s="1930" t="s">
        <v>65</v>
      </c>
      <c r="J1041" s="1930" t="s">
        <v>137</v>
      </c>
      <c r="K1041" s="1933">
        <v>11.4</v>
      </c>
      <c r="L1041" s="1930" t="s">
        <v>138</v>
      </c>
    </row>
    <row r="1042" spans="1:12" ht="13.5" x14ac:dyDescent="0.25">
      <c r="A1042" s="1930" t="s">
        <v>4469</v>
      </c>
      <c r="B1042" s="1930" t="s">
        <v>4470</v>
      </c>
      <c r="C1042" s="1930" t="s">
        <v>4475</v>
      </c>
      <c r="D1042" s="1930" t="s">
        <v>4476</v>
      </c>
      <c r="E1042" s="1931" t="s">
        <v>33</v>
      </c>
      <c r="F1042" s="1930" t="s">
        <v>33</v>
      </c>
      <c r="G1042" s="1932">
        <v>95124</v>
      </c>
      <c r="H1042" s="1930" t="s">
        <v>1070</v>
      </c>
      <c r="I1042" s="1930" t="s">
        <v>65</v>
      </c>
      <c r="J1042" s="1930" t="s">
        <v>137</v>
      </c>
      <c r="K1042" s="1933">
        <v>1.79</v>
      </c>
      <c r="L1042" s="1930" t="s">
        <v>138</v>
      </c>
    </row>
    <row r="1043" spans="1:12" ht="13.5" x14ac:dyDescent="0.25">
      <c r="A1043" s="1930" t="s">
        <v>4469</v>
      </c>
      <c r="B1043" s="1930" t="s">
        <v>4470</v>
      </c>
      <c r="C1043" s="1930" t="s">
        <v>4475</v>
      </c>
      <c r="D1043" s="1930" t="s">
        <v>4476</v>
      </c>
      <c r="E1043" s="1931" t="s">
        <v>33</v>
      </c>
      <c r="F1043" s="1930" t="s">
        <v>33</v>
      </c>
      <c r="G1043" s="1932">
        <v>95125</v>
      </c>
      <c r="H1043" s="1930" t="s">
        <v>1071</v>
      </c>
      <c r="I1043" s="1930" t="s">
        <v>65</v>
      </c>
      <c r="J1043" s="1930" t="s">
        <v>137</v>
      </c>
      <c r="K1043" s="1933">
        <v>12.47</v>
      </c>
      <c r="L1043" s="1930" t="s">
        <v>138</v>
      </c>
    </row>
    <row r="1044" spans="1:12" ht="13.5" x14ac:dyDescent="0.25">
      <c r="A1044" s="1930" t="s">
        <v>4469</v>
      </c>
      <c r="B1044" s="1930" t="s">
        <v>4470</v>
      </c>
      <c r="C1044" s="1930" t="s">
        <v>4475</v>
      </c>
      <c r="D1044" s="1930" t="s">
        <v>4476</v>
      </c>
      <c r="E1044" s="1931" t="s">
        <v>33</v>
      </c>
      <c r="F1044" s="1930" t="s">
        <v>33</v>
      </c>
      <c r="G1044" s="1932">
        <v>95126</v>
      </c>
      <c r="H1044" s="1930" t="s">
        <v>1072</v>
      </c>
      <c r="I1044" s="1930" t="s">
        <v>65</v>
      </c>
      <c r="J1044" s="1930" t="s">
        <v>346</v>
      </c>
      <c r="K1044" s="1933">
        <v>91.54</v>
      </c>
      <c r="L1044" s="1930" t="s">
        <v>138</v>
      </c>
    </row>
    <row r="1045" spans="1:12" ht="13.5" x14ac:dyDescent="0.25">
      <c r="A1045" s="1930" t="s">
        <v>4469</v>
      </c>
      <c r="B1045" s="1930" t="s">
        <v>4470</v>
      </c>
      <c r="C1045" s="1930" t="s">
        <v>4475</v>
      </c>
      <c r="D1045" s="1930" t="s">
        <v>4476</v>
      </c>
      <c r="E1045" s="1931" t="s">
        <v>33</v>
      </c>
      <c r="F1045" s="1930" t="s">
        <v>33</v>
      </c>
      <c r="G1045" s="1932">
        <v>95129</v>
      </c>
      <c r="H1045" s="1930" t="s">
        <v>1073</v>
      </c>
      <c r="I1045" s="1930" t="s">
        <v>65</v>
      </c>
      <c r="J1045" s="1930" t="s">
        <v>137</v>
      </c>
      <c r="K1045" s="1933">
        <v>20.23</v>
      </c>
      <c r="L1045" s="1930" t="s">
        <v>138</v>
      </c>
    </row>
    <row r="1046" spans="1:12" ht="13.5" x14ac:dyDescent="0.25">
      <c r="A1046" s="1930" t="s">
        <v>4469</v>
      </c>
      <c r="B1046" s="1930" t="s">
        <v>4470</v>
      </c>
      <c r="C1046" s="1930" t="s">
        <v>4475</v>
      </c>
      <c r="D1046" s="1930" t="s">
        <v>4476</v>
      </c>
      <c r="E1046" s="1931" t="s">
        <v>33</v>
      </c>
      <c r="F1046" s="1930" t="s">
        <v>33</v>
      </c>
      <c r="G1046" s="1932">
        <v>95130</v>
      </c>
      <c r="H1046" s="1930" t="s">
        <v>1074</v>
      </c>
      <c r="I1046" s="1930" t="s">
        <v>65</v>
      </c>
      <c r="J1046" s="1930" t="s">
        <v>137</v>
      </c>
      <c r="K1046" s="1933">
        <v>3.64</v>
      </c>
      <c r="L1046" s="1930" t="s">
        <v>138</v>
      </c>
    </row>
    <row r="1047" spans="1:12" ht="13.5" x14ac:dyDescent="0.25">
      <c r="A1047" s="1930" t="s">
        <v>4469</v>
      </c>
      <c r="B1047" s="1930" t="s">
        <v>4470</v>
      </c>
      <c r="C1047" s="1930" t="s">
        <v>4475</v>
      </c>
      <c r="D1047" s="1930" t="s">
        <v>4476</v>
      </c>
      <c r="E1047" s="1931" t="s">
        <v>33</v>
      </c>
      <c r="F1047" s="1930" t="s">
        <v>33</v>
      </c>
      <c r="G1047" s="1932">
        <v>95131</v>
      </c>
      <c r="H1047" s="1930" t="s">
        <v>1075</v>
      </c>
      <c r="I1047" s="1930" t="s">
        <v>65</v>
      </c>
      <c r="J1047" s="1930" t="s">
        <v>137</v>
      </c>
      <c r="K1047" s="1933">
        <v>37.94</v>
      </c>
      <c r="L1047" s="1930" t="s">
        <v>138</v>
      </c>
    </row>
    <row r="1048" spans="1:12" ht="13.5" x14ac:dyDescent="0.25">
      <c r="A1048" s="1930" t="s">
        <v>4469</v>
      </c>
      <c r="B1048" s="1930" t="s">
        <v>4470</v>
      </c>
      <c r="C1048" s="1930" t="s">
        <v>4475</v>
      </c>
      <c r="D1048" s="1930" t="s">
        <v>4476</v>
      </c>
      <c r="E1048" s="1931" t="s">
        <v>33</v>
      </c>
      <c r="F1048" s="1930" t="s">
        <v>33</v>
      </c>
      <c r="G1048" s="1932">
        <v>95132</v>
      </c>
      <c r="H1048" s="1930" t="s">
        <v>1076</v>
      </c>
      <c r="I1048" s="1930" t="s">
        <v>65</v>
      </c>
      <c r="J1048" s="1930" t="s">
        <v>346</v>
      </c>
      <c r="K1048" s="1933">
        <v>20.05</v>
      </c>
      <c r="L1048" s="1930" t="s">
        <v>138</v>
      </c>
    </row>
    <row r="1049" spans="1:12" ht="13.5" x14ac:dyDescent="0.25">
      <c r="A1049" s="1930" t="s">
        <v>4469</v>
      </c>
      <c r="B1049" s="1930" t="s">
        <v>4470</v>
      </c>
      <c r="C1049" s="1930" t="s">
        <v>4475</v>
      </c>
      <c r="D1049" s="1930" t="s">
        <v>4476</v>
      </c>
      <c r="E1049" s="1931" t="s">
        <v>33</v>
      </c>
      <c r="F1049" s="1930" t="s">
        <v>33</v>
      </c>
      <c r="G1049" s="1932">
        <v>95136</v>
      </c>
      <c r="H1049" s="1930" t="s">
        <v>1077</v>
      </c>
      <c r="I1049" s="1930" t="s">
        <v>65</v>
      </c>
      <c r="J1049" s="1930" t="s">
        <v>137</v>
      </c>
      <c r="K1049" s="1933">
        <v>0.03</v>
      </c>
      <c r="L1049" s="1930" t="s">
        <v>138</v>
      </c>
    </row>
    <row r="1050" spans="1:12" ht="13.5" x14ac:dyDescent="0.25">
      <c r="A1050" s="1930" t="s">
        <v>4469</v>
      </c>
      <c r="B1050" s="1930" t="s">
        <v>4470</v>
      </c>
      <c r="C1050" s="1930" t="s">
        <v>4475</v>
      </c>
      <c r="D1050" s="1930" t="s">
        <v>4476</v>
      </c>
      <c r="E1050" s="1931" t="s">
        <v>33</v>
      </c>
      <c r="F1050" s="1930" t="s">
        <v>33</v>
      </c>
      <c r="G1050" s="1932">
        <v>95137</v>
      </c>
      <c r="H1050" s="1930" t="s">
        <v>1078</v>
      </c>
      <c r="I1050" s="1930" t="s">
        <v>65</v>
      </c>
      <c r="J1050" s="1930" t="s">
        <v>137</v>
      </c>
      <c r="K1050" s="1933">
        <v>0.01</v>
      </c>
      <c r="L1050" s="1930" t="s">
        <v>138</v>
      </c>
    </row>
    <row r="1051" spans="1:12" ht="13.5" x14ac:dyDescent="0.25">
      <c r="A1051" s="1930" t="s">
        <v>4469</v>
      </c>
      <c r="B1051" s="1930" t="s">
        <v>4470</v>
      </c>
      <c r="C1051" s="1930" t="s">
        <v>4475</v>
      </c>
      <c r="D1051" s="1930" t="s">
        <v>4476</v>
      </c>
      <c r="E1051" s="1931" t="s">
        <v>33</v>
      </c>
      <c r="F1051" s="1930" t="s">
        <v>33</v>
      </c>
      <c r="G1051" s="1932">
        <v>95138</v>
      </c>
      <c r="H1051" s="1930" t="s">
        <v>1079</v>
      </c>
      <c r="I1051" s="1930" t="s">
        <v>65</v>
      </c>
      <c r="J1051" s="1930" t="s">
        <v>137</v>
      </c>
      <c r="K1051" s="1933">
        <v>0.02</v>
      </c>
      <c r="L1051" s="1930" t="s">
        <v>138</v>
      </c>
    </row>
    <row r="1052" spans="1:12" ht="13.5" x14ac:dyDescent="0.25">
      <c r="A1052" s="1930" t="s">
        <v>4469</v>
      </c>
      <c r="B1052" s="1930" t="s">
        <v>4470</v>
      </c>
      <c r="C1052" s="1930" t="s">
        <v>4475</v>
      </c>
      <c r="D1052" s="1930" t="s">
        <v>4476</v>
      </c>
      <c r="E1052" s="1931" t="s">
        <v>33</v>
      </c>
      <c r="F1052" s="1930" t="s">
        <v>33</v>
      </c>
      <c r="G1052" s="1932">
        <v>95208</v>
      </c>
      <c r="H1052" s="1930" t="s">
        <v>1080</v>
      </c>
      <c r="I1052" s="1930" t="s">
        <v>65</v>
      </c>
      <c r="J1052" s="1930" t="s">
        <v>137</v>
      </c>
      <c r="K1052" s="1933">
        <v>27.39</v>
      </c>
      <c r="L1052" s="1930" t="s">
        <v>138</v>
      </c>
    </row>
    <row r="1053" spans="1:12" ht="13.5" x14ac:dyDescent="0.25">
      <c r="A1053" s="1930" t="s">
        <v>4469</v>
      </c>
      <c r="B1053" s="1930" t="s">
        <v>4470</v>
      </c>
      <c r="C1053" s="1930" t="s">
        <v>4475</v>
      </c>
      <c r="D1053" s="1930" t="s">
        <v>4476</v>
      </c>
      <c r="E1053" s="1931" t="s">
        <v>33</v>
      </c>
      <c r="F1053" s="1930" t="s">
        <v>33</v>
      </c>
      <c r="G1053" s="1932">
        <v>95209</v>
      </c>
      <c r="H1053" s="1930" t="s">
        <v>1081</v>
      </c>
      <c r="I1053" s="1930" t="s">
        <v>65</v>
      </c>
      <c r="J1053" s="1930" t="s">
        <v>137</v>
      </c>
      <c r="K1053" s="1933">
        <v>3.25</v>
      </c>
      <c r="L1053" s="1930" t="s">
        <v>138</v>
      </c>
    </row>
    <row r="1054" spans="1:12" ht="13.5" x14ac:dyDescent="0.25">
      <c r="A1054" s="1930" t="s">
        <v>4469</v>
      </c>
      <c r="B1054" s="1930" t="s">
        <v>4470</v>
      </c>
      <c r="C1054" s="1930" t="s">
        <v>4475</v>
      </c>
      <c r="D1054" s="1930" t="s">
        <v>4476</v>
      </c>
      <c r="E1054" s="1931" t="s">
        <v>33</v>
      </c>
      <c r="F1054" s="1930" t="s">
        <v>33</v>
      </c>
      <c r="G1054" s="1932">
        <v>95210</v>
      </c>
      <c r="H1054" s="1930" t="s">
        <v>1082</v>
      </c>
      <c r="I1054" s="1930" t="s">
        <v>65</v>
      </c>
      <c r="J1054" s="1930" t="s">
        <v>137</v>
      </c>
      <c r="K1054" s="1933">
        <v>29.96</v>
      </c>
      <c r="L1054" s="1930" t="s">
        <v>138</v>
      </c>
    </row>
    <row r="1055" spans="1:12" ht="13.5" x14ac:dyDescent="0.25">
      <c r="A1055" s="1930" t="s">
        <v>4469</v>
      </c>
      <c r="B1055" s="1930" t="s">
        <v>4470</v>
      </c>
      <c r="C1055" s="1930" t="s">
        <v>4475</v>
      </c>
      <c r="D1055" s="1930" t="s">
        <v>4476</v>
      </c>
      <c r="E1055" s="1931" t="s">
        <v>33</v>
      </c>
      <c r="F1055" s="1930" t="s">
        <v>33</v>
      </c>
      <c r="G1055" s="1932">
        <v>95211</v>
      </c>
      <c r="H1055" s="1930" t="s">
        <v>1083</v>
      </c>
      <c r="I1055" s="1930" t="s">
        <v>65</v>
      </c>
      <c r="J1055" s="1930" t="s">
        <v>320</v>
      </c>
      <c r="K1055" s="1933">
        <v>5.61</v>
      </c>
      <c r="L1055" s="1930" t="s">
        <v>138</v>
      </c>
    </row>
    <row r="1056" spans="1:12" ht="13.5" x14ac:dyDescent="0.25">
      <c r="A1056" s="1930" t="s">
        <v>4469</v>
      </c>
      <c r="B1056" s="1930" t="s">
        <v>4470</v>
      </c>
      <c r="C1056" s="1930" t="s">
        <v>4475</v>
      </c>
      <c r="D1056" s="1930" t="s">
        <v>4476</v>
      </c>
      <c r="E1056" s="1931" t="s">
        <v>33</v>
      </c>
      <c r="F1056" s="1930" t="s">
        <v>33</v>
      </c>
      <c r="G1056" s="1932">
        <v>95214</v>
      </c>
      <c r="H1056" s="1930" t="s">
        <v>1084</v>
      </c>
      <c r="I1056" s="1930" t="s">
        <v>65</v>
      </c>
      <c r="J1056" s="1930" t="s">
        <v>137</v>
      </c>
      <c r="K1056" s="1933">
        <v>0.23</v>
      </c>
      <c r="L1056" s="1930" t="s">
        <v>138</v>
      </c>
    </row>
    <row r="1057" spans="1:12" ht="13.5" x14ac:dyDescent="0.25">
      <c r="A1057" s="1930" t="s">
        <v>4469</v>
      </c>
      <c r="B1057" s="1930" t="s">
        <v>4470</v>
      </c>
      <c r="C1057" s="1930" t="s">
        <v>4475</v>
      </c>
      <c r="D1057" s="1930" t="s">
        <v>4476</v>
      </c>
      <c r="E1057" s="1931" t="s">
        <v>33</v>
      </c>
      <c r="F1057" s="1930" t="s">
        <v>33</v>
      </c>
      <c r="G1057" s="1932">
        <v>95215</v>
      </c>
      <c r="H1057" s="1930" t="s">
        <v>1085</v>
      </c>
      <c r="I1057" s="1930" t="s">
        <v>65</v>
      </c>
      <c r="J1057" s="1930" t="s">
        <v>137</v>
      </c>
      <c r="K1057" s="1933">
        <v>0.02</v>
      </c>
      <c r="L1057" s="1930" t="s">
        <v>138</v>
      </c>
    </row>
    <row r="1058" spans="1:12" ht="13.5" x14ac:dyDescent="0.25">
      <c r="A1058" s="1930" t="s">
        <v>4469</v>
      </c>
      <c r="B1058" s="1930" t="s">
        <v>4470</v>
      </c>
      <c r="C1058" s="1930" t="s">
        <v>4475</v>
      </c>
      <c r="D1058" s="1930" t="s">
        <v>4476</v>
      </c>
      <c r="E1058" s="1931" t="s">
        <v>33</v>
      </c>
      <c r="F1058" s="1930" t="s">
        <v>33</v>
      </c>
      <c r="G1058" s="1932">
        <v>95216</v>
      </c>
      <c r="H1058" s="1930" t="s">
        <v>1086</v>
      </c>
      <c r="I1058" s="1930" t="s">
        <v>65</v>
      </c>
      <c r="J1058" s="1930" t="s">
        <v>137</v>
      </c>
      <c r="K1058" s="1933">
        <v>0.16</v>
      </c>
      <c r="L1058" s="1930" t="s">
        <v>138</v>
      </c>
    </row>
    <row r="1059" spans="1:12" ht="13.5" x14ac:dyDescent="0.25">
      <c r="A1059" s="1930" t="s">
        <v>4469</v>
      </c>
      <c r="B1059" s="1930" t="s">
        <v>4470</v>
      </c>
      <c r="C1059" s="1930" t="s">
        <v>4475</v>
      </c>
      <c r="D1059" s="1930" t="s">
        <v>4476</v>
      </c>
      <c r="E1059" s="1931" t="s">
        <v>33</v>
      </c>
      <c r="F1059" s="1930" t="s">
        <v>33</v>
      </c>
      <c r="G1059" s="1932">
        <v>95217</v>
      </c>
      <c r="H1059" s="1930" t="s">
        <v>1087</v>
      </c>
      <c r="I1059" s="1930" t="s">
        <v>65</v>
      </c>
      <c r="J1059" s="1930" t="s">
        <v>320</v>
      </c>
      <c r="K1059" s="1933">
        <v>0.37</v>
      </c>
      <c r="L1059" s="1930" t="s">
        <v>138</v>
      </c>
    </row>
    <row r="1060" spans="1:12" ht="13.5" x14ac:dyDescent="0.25">
      <c r="A1060" s="1930" t="s">
        <v>4469</v>
      </c>
      <c r="B1060" s="1930" t="s">
        <v>4470</v>
      </c>
      <c r="C1060" s="1930" t="s">
        <v>4475</v>
      </c>
      <c r="D1060" s="1930" t="s">
        <v>4476</v>
      </c>
      <c r="E1060" s="1931" t="s">
        <v>33</v>
      </c>
      <c r="F1060" s="1930" t="s">
        <v>33</v>
      </c>
      <c r="G1060" s="1932">
        <v>95255</v>
      </c>
      <c r="H1060" s="1930" t="s">
        <v>1088</v>
      </c>
      <c r="I1060" s="1930" t="s">
        <v>65</v>
      </c>
      <c r="J1060" s="1930" t="s">
        <v>137</v>
      </c>
      <c r="K1060" s="1933">
        <v>0.86</v>
      </c>
      <c r="L1060" s="1930" t="s">
        <v>138</v>
      </c>
    </row>
    <row r="1061" spans="1:12" ht="13.5" x14ac:dyDescent="0.25">
      <c r="A1061" s="1930" t="s">
        <v>4469</v>
      </c>
      <c r="B1061" s="1930" t="s">
        <v>4470</v>
      </c>
      <c r="C1061" s="1930" t="s">
        <v>4475</v>
      </c>
      <c r="D1061" s="1930" t="s">
        <v>4476</v>
      </c>
      <c r="E1061" s="1931" t="s">
        <v>33</v>
      </c>
      <c r="F1061" s="1930" t="s">
        <v>33</v>
      </c>
      <c r="G1061" s="1932">
        <v>95256</v>
      </c>
      <c r="H1061" s="1930" t="s">
        <v>1089</v>
      </c>
      <c r="I1061" s="1930" t="s">
        <v>65</v>
      </c>
      <c r="J1061" s="1930" t="s">
        <v>137</v>
      </c>
      <c r="K1061" s="1933">
        <v>0.1</v>
      </c>
      <c r="L1061" s="1930" t="s">
        <v>138</v>
      </c>
    </row>
    <row r="1062" spans="1:12" ht="13.5" x14ac:dyDescent="0.25">
      <c r="A1062" s="1930" t="s">
        <v>4469</v>
      </c>
      <c r="B1062" s="1930" t="s">
        <v>4470</v>
      </c>
      <c r="C1062" s="1930" t="s">
        <v>4475</v>
      </c>
      <c r="D1062" s="1930" t="s">
        <v>4476</v>
      </c>
      <c r="E1062" s="1931" t="s">
        <v>33</v>
      </c>
      <c r="F1062" s="1930" t="s">
        <v>33</v>
      </c>
      <c r="G1062" s="1932">
        <v>95257</v>
      </c>
      <c r="H1062" s="1930" t="s">
        <v>1090</v>
      </c>
      <c r="I1062" s="1930" t="s">
        <v>65</v>
      </c>
      <c r="J1062" s="1930" t="s">
        <v>137</v>
      </c>
      <c r="K1062" s="1933">
        <v>1.07</v>
      </c>
      <c r="L1062" s="1930" t="s">
        <v>138</v>
      </c>
    </row>
    <row r="1063" spans="1:12" ht="13.5" x14ac:dyDescent="0.25">
      <c r="A1063" s="1930" t="s">
        <v>4469</v>
      </c>
      <c r="B1063" s="1930" t="s">
        <v>4470</v>
      </c>
      <c r="C1063" s="1930" t="s">
        <v>4475</v>
      </c>
      <c r="D1063" s="1930" t="s">
        <v>4476</v>
      </c>
      <c r="E1063" s="1931" t="s">
        <v>33</v>
      </c>
      <c r="F1063" s="1930" t="s">
        <v>33</v>
      </c>
      <c r="G1063" s="1932">
        <v>95260</v>
      </c>
      <c r="H1063" s="1930" t="s">
        <v>1091</v>
      </c>
      <c r="I1063" s="1930" t="s">
        <v>65</v>
      </c>
      <c r="J1063" s="1930" t="s">
        <v>346</v>
      </c>
      <c r="K1063" s="1933">
        <v>0.62</v>
      </c>
      <c r="L1063" s="1930" t="s">
        <v>138</v>
      </c>
    </row>
    <row r="1064" spans="1:12" ht="13.5" x14ac:dyDescent="0.25">
      <c r="A1064" s="1930" t="s">
        <v>4469</v>
      </c>
      <c r="B1064" s="1930" t="s">
        <v>4470</v>
      </c>
      <c r="C1064" s="1930" t="s">
        <v>4475</v>
      </c>
      <c r="D1064" s="1930" t="s">
        <v>4476</v>
      </c>
      <c r="E1064" s="1931" t="s">
        <v>33</v>
      </c>
      <c r="F1064" s="1930" t="s">
        <v>33</v>
      </c>
      <c r="G1064" s="1932">
        <v>95261</v>
      </c>
      <c r="H1064" s="1930" t="s">
        <v>1092</v>
      </c>
      <c r="I1064" s="1930" t="s">
        <v>65</v>
      </c>
      <c r="J1064" s="1930" t="s">
        <v>137</v>
      </c>
      <c r="K1064" s="1933">
        <v>0.09</v>
      </c>
      <c r="L1064" s="1930" t="s">
        <v>138</v>
      </c>
    </row>
    <row r="1065" spans="1:12" ht="13.5" x14ac:dyDescent="0.25">
      <c r="A1065" s="1930" t="s">
        <v>4469</v>
      </c>
      <c r="B1065" s="1930" t="s">
        <v>4470</v>
      </c>
      <c r="C1065" s="1930" t="s">
        <v>4475</v>
      </c>
      <c r="D1065" s="1930" t="s">
        <v>4476</v>
      </c>
      <c r="E1065" s="1931" t="s">
        <v>33</v>
      </c>
      <c r="F1065" s="1930" t="s">
        <v>33</v>
      </c>
      <c r="G1065" s="1932">
        <v>95262</v>
      </c>
      <c r="H1065" s="1930" t="s">
        <v>1093</v>
      </c>
      <c r="I1065" s="1930" t="s">
        <v>65</v>
      </c>
      <c r="J1065" s="1930" t="s">
        <v>137</v>
      </c>
      <c r="K1065" s="1933">
        <v>0.89</v>
      </c>
      <c r="L1065" s="1930" t="s">
        <v>138</v>
      </c>
    </row>
    <row r="1066" spans="1:12" ht="13.5" x14ac:dyDescent="0.25">
      <c r="A1066" s="1930" t="s">
        <v>4469</v>
      </c>
      <c r="B1066" s="1930" t="s">
        <v>4470</v>
      </c>
      <c r="C1066" s="1930" t="s">
        <v>4475</v>
      </c>
      <c r="D1066" s="1930" t="s">
        <v>4476</v>
      </c>
      <c r="E1066" s="1931" t="s">
        <v>33</v>
      </c>
      <c r="F1066" s="1930" t="s">
        <v>33</v>
      </c>
      <c r="G1066" s="1932">
        <v>95263</v>
      </c>
      <c r="H1066" s="1930" t="s">
        <v>1094</v>
      </c>
      <c r="I1066" s="1930" t="s">
        <v>65</v>
      </c>
      <c r="J1066" s="1930" t="s">
        <v>346</v>
      </c>
      <c r="K1066" s="1933">
        <v>3.34</v>
      </c>
      <c r="L1066" s="1930" t="s">
        <v>138</v>
      </c>
    </row>
    <row r="1067" spans="1:12" ht="13.5" x14ac:dyDescent="0.25">
      <c r="A1067" s="1930" t="s">
        <v>4469</v>
      </c>
      <c r="B1067" s="1930" t="s">
        <v>4470</v>
      </c>
      <c r="C1067" s="1930" t="s">
        <v>4475</v>
      </c>
      <c r="D1067" s="1930" t="s">
        <v>4476</v>
      </c>
      <c r="E1067" s="1931" t="s">
        <v>33</v>
      </c>
      <c r="F1067" s="1930" t="s">
        <v>33</v>
      </c>
      <c r="G1067" s="1932">
        <v>95266</v>
      </c>
      <c r="H1067" s="1930" t="s">
        <v>1095</v>
      </c>
      <c r="I1067" s="1930" t="s">
        <v>65</v>
      </c>
      <c r="J1067" s="1930" t="s">
        <v>137</v>
      </c>
      <c r="K1067" s="1933">
        <v>0.38</v>
      </c>
      <c r="L1067" s="1930" t="s">
        <v>138</v>
      </c>
    </row>
    <row r="1068" spans="1:12" ht="13.5" x14ac:dyDescent="0.25">
      <c r="A1068" s="1930" t="s">
        <v>4469</v>
      </c>
      <c r="B1068" s="1930" t="s">
        <v>4470</v>
      </c>
      <c r="C1068" s="1930" t="s">
        <v>4475</v>
      </c>
      <c r="D1068" s="1930" t="s">
        <v>4476</v>
      </c>
      <c r="E1068" s="1931" t="s">
        <v>33</v>
      </c>
      <c r="F1068" s="1930" t="s">
        <v>33</v>
      </c>
      <c r="G1068" s="1932">
        <v>95267</v>
      </c>
      <c r="H1068" s="1930" t="s">
        <v>1096</v>
      </c>
      <c r="I1068" s="1930" t="s">
        <v>65</v>
      </c>
      <c r="J1068" s="1930" t="s">
        <v>137</v>
      </c>
      <c r="K1068" s="1933">
        <v>0.04</v>
      </c>
      <c r="L1068" s="1930" t="s">
        <v>138</v>
      </c>
    </row>
    <row r="1069" spans="1:12" ht="13.5" x14ac:dyDescent="0.25">
      <c r="A1069" s="1930" t="s">
        <v>4469</v>
      </c>
      <c r="B1069" s="1930" t="s">
        <v>4470</v>
      </c>
      <c r="C1069" s="1930" t="s">
        <v>4475</v>
      </c>
      <c r="D1069" s="1930" t="s">
        <v>4476</v>
      </c>
      <c r="E1069" s="1931" t="s">
        <v>33</v>
      </c>
      <c r="F1069" s="1930" t="s">
        <v>33</v>
      </c>
      <c r="G1069" s="1932">
        <v>95268</v>
      </c>
      <c r="H1069" s="1930" t="s">
        <v>1097</v>
      </c>
      <c r="I1069" s="1930" t="s">
        <v>65</v>
      </c>
      <c r="J1069" s="1930" t="s">
        <v>137</v>
      </c>
      <c r="K1069" s="1933">
        <v>0.37</v>
      </c>
      <c r="L1069" s="1930" t="s">
        <v>138</v>
      </c>
    </row>
    <row r="1070" spans="1:12" ht="13.5" x14ac:dyDescent="0.25">
      <c r="A1070" s="1930" t="s">
        <v>4469</v>
      </c>
      <c r="B1070" s="1930" t="s">
        <v>4470</v>
      </c>
      <c r="C1070" s="1930" t="s">
        <v>4475</v>
      </c>
      <c r="D1070" s="1930" t="s">
        <v>4476</v>
      </c>
      <c r="E1070" s="1931" t="s">
        <v>33</v>
      </c>
      <c r="F1070" s="1930" t="s">
        <v>33</v>
      </c>
      <c r="G1070" s="1932">
        <v>95269</v>
      </c>
      <c r="H1070" s="1930" t="s">
        <v>1098</v>
      </c>
      <c r="I1070" s="1930" t="s">
        <v>65</v>
      </c>
      <c r="J1070" s="1930" t="s">
        <v>346</v>
      </c>
      <c r="K1070" s="1933">
        <v>6.26</v>
      </c>
      <c r="L1070" s="1930" t="s">
        <v>138</v>
      </c>
    </row>
    <row r="1071" spans="1:12" ht="13.5" x14ac:dyDescent="0.25">
      <c r="A1071" s="1930" t="s">
        <v>4469</v>
      </c>
      <c r="B1071" s="1930" t="s">
        <v>4470</v>
      </c>
      <c r="C1071" s="1930" t="s">
        <v>4475</v>
      </c>
      <c r="D1071" s="1930" t="s">
        <v>4476</v>
      </c>
      <c r="E1071" s="1931" t="s">
        <v>33</v>
      </c>
      <c r="F1071" s="1930" t="s">
        <v>33</v>
      </c>
      <c r="G1071" s="1932">
        <v>95272</v>
      </c>
      <c r="H1071" s="1930" t="s">
        <v>1099</v>
      </c>
      <c r="I1071" s="1930" t="s">
        <v>65</v>
      </c>
      <c r="J1071" s="1930" t="s">
        <v>137</v>
      </c>
      <c r="K1071" s="1933">
        <v>0.37</v>
      </c>
      <c r="L1071" s="1930" t="s">
        <v>138</v>
      </c>
    </row>
    <row r="1072" spans="1:12" ht="13.5" x14ac:dyDescent="0.25">
      <c r="A1072" s="1930" t="s">
        <v>4469</v>
      </c>
      <c r="B1072" s="1930" t="s">
        <v>4470</v>
      </c>
      <c r="C1072" s="1930" t="s">
        <v>4475</v>
      </c>
      <c r="D1072" s="1930" t="s">
        <v>4476</v>
      </c>
      <c r="E1072" s="1931" t="s">
        <v>33</v>
      </c>
      <c r="F1072" s="1930" t="s">
        <v>33</v>
      </c>
      <c r="G1072" s="1932">
        <v>95273</v>
      </c>
      <c r="H1072" s="1930" t="s">
        <v>1100</v>
      </c>
      <c r="I1072" s="1930" t="s">
        <v>65</v>
      </c>
      <c r="J1072" s="1930" t="s">
        <v>137</v>
      </c>
      <c r="K1072" s="1933">
        <v>0.04</v>
      </c>
      <c r="L1072" s="1930" t="s">
        <v>138</v>
      </c>
    </row>
    <row r="1073" spans="1:12" ht="13.5" x14ac:dyDescent="0.25">
      <c r="A1073" s="1930" t="s">
        <v>4469</v>
      </c>
      <c r="B1073" s="1930" t="s">
        <v>4470</v>
      </c>
      <c r="C1073" s="1930" t="s">
        <v>4475</v>
      </c>
      <c r="D1073" s="1930" t="s">
        <v>4476</v>
      </c>
      <c r="E1073" s="1931" t="s">
        <v>33</v>
      </c>
      <c r="F1073" s="1930" t="s">
        <v>33</v>
      </c>
      <c r="G1073" s="1932">
        <v>95274</v>
      </c>
      <c r="H1073" s="1930" t="s">
        <v>1101</v>
      </c>
      <c r="I1073" s="1930" t="s">
        <v>65</v>
      </c>
      <c r="J1073" s="1930" t="s">
        <v>137</v>
      </c>
      <c r="K1073" s="1933">
        <v>0.28999999999999998</v>
      </c>
      <c r="L1073" s="1930" t="s">
        <v>138</v>
      </c>
    </row>
    <row r="1074" spans="1:12" ht="13.5" x14ac:dyDescent="0.25">
      <c r="A1074" s="1930" t="s">
        <v>4469</v>
      </c>
      <c r="B1074" s="1930" t="s">
        <v>4470</v>
      </c>
      <c r="C1074" s="1930" t="s">
        <v>4475</v>
      </c>
      <c r="D1074" s="1930" t="s">
        <v>4476</v>
      </c>
      <c r="E1074" s="1931" t="s">
        <v>33</v>
      </c>
      <c r="F1074" s="1930" t="s">
        <v>33</v>
      </c>
      <c r="G1074" s="1932">
        <v>95275</v>
      </c>
      <c r="H1074" s="1930" t="s">
        <v>1102</v>
      </c>
      <c r="I1074" s="1930" t="s">
        <v>65</v>
      </c>
      <c r="J1074" s="1930" t="s">
        <v>320</v>
      </c>
      <c r="K1074" s="1933">
        <v>1.52</v>
      </c>
      <c r="L1074" s="1930" t="s">
        <v>138</v>
      </c>
    </row>
    <row r="1075" spans="1:12" ht="13.5" x14ac:dyDescent="0.25">
      <c r="A1075" s="1930" t="s">
        <v>4469</v>
      </c>
      <c r="B1075" s="1930" t="s">
        <v>4470</v>
      </c>
      <c r="C1075" s="1930" t="s">
        <v>4475</v>
      </c>
      <c r="D1075" s="1930" t="s">
        <v>4476</v>
      </c>
      <c r="E1075" s="1931" t="s">
        <v>33</v>
      </c>
      <c r="F1075" s="1930" t="s">
        <v>33</v>
      </c>
      <c r="G1075" s="1932">
        <v>95278</v>
      </c>
      <c r="H1075" s="1930" t="s">
        <v>1103</v>
      </c>
      <c r="I1075" s="1930" t="s">
        <v>65</v>
      </c>
      <c r="J1075" s="1930" t="s">
        <v>137</v>
      </c>
      <c r="K1075" s="1933">
        <v>0.41</v>
      </c>
      <c r="L1075" s="1930" t="s">
        <v>138</v>
      </c>
    </row>
    <row r="1076" spans="1:12" ht="13.5" x14ac:dyDescent="0.25">
      <c r="A1076" s="1930" t="s">
        <v>4469</v>
      </c>
      <c r="B1076" s="1930" t="s">
        <v>4470</v>
      </c>
      <c r="C1076" s="1930" t="s">
        <v>4475</v>
      </c>
      <c r="D1076" s="1930" t="s">
        <v>4476</v>
      </c>
      <c r="E1076" s="1931" t="s">
        <v>33</v>
      </c>
      <c r="F1076" s="1930" t="s">
        <v>33</v>
      </c>
      <c r="G1076" s="1932">
        <v>95279</v>
      </c>
      <c r="H1076" s="1930" t="s">
        <v>1104</v>
      </c>
      <c r="I1076" s="1930" t="s">
        <v>65</v>
      </c>
      <c r="J1076" s="1930" t="s">
        <v>137</v>
      </c>
      <c r="K1076" s="1933">
        <v>0.04</v>
      </c>
      <c r="L1076" s="1930" t="s">
        <v>138</v>
      </c>
    </row>
    <row r="1077" spans="1:12" ht="13.5" x14ac:dyDescent="0.25">
      <c r="A1077" s="1930" t="s">
        <v>4469</v>
      </c>
      <c r="B1077" s="1930" t="s">
        <v>4470</v>
      </c>
      <c r="C1077" s="1930" t="s">
        <v>4475</v>
      </c>
      <c r="D1077" s="1930" t="s">
        <v>4476</v>
      </c>
      <c r="E1077" s="1931" t="s">
        <v>33</v>
      </c>
      <c r="F1077" s="1930" t="s">
        <v>33</v>
      </c>
      <c r="G1077" s="1932">
        <v>95280</v>
      </c>
      <c r="H1077" s="1930" t="s">
        <v>1105</v>
      </c>
      <c r="I1077" s="1930" t="s">
        <v>65</v>
      </c>
      <c r="J1077" s="1930" t="s">
        <v>137</v>
      </c>
      <c r="K1077" s="1933">
        <v>0.32</v>
      </c>
      <c r="L1077" s="1930" t="s">
        <v>138</v>
      </c>
    </row>
    <row r="1078" spans="1:12" ht="13.5" x14ac:dyDescent="0.25">
      <c r="A1078" s="1930" t="s">
        <v>4469</v>
      </c>
      <c r="B1078" s="1930" t="s">
        <v>4470</v>
      </c>
      <c r="C1078" s="1930" t="s">
        <v>4475</v>
      </c>
      <c r="D1078" s="1930" t="s">
        <v>4476</v>
      </c>
      <c r="E1078" s="1931" t="s">
        <v>33</v>
      </c>
      <c r="F1078" s="1930" t="s">
        <v>33</v>
      </c>
      <c r="G1078" s="1932">
        <v>95281</v>
      </c>
      <c r="H1078" s="1930" t="s">
        <v>1106</v>
      </c>
      <c r="I1078" s="1930" t="s">
        <v>65</v>
      </c>
      <c r="J1078" s="1930" t="s">
        <v>346</v>
      </c>
      <c r="K1078" s="1933">
        <v>6.26</v>
      </c>
      <c r="L1078" s="1930" t="s">
        <v>138</v>
      </c>
    </row>
    <row r="1079" spans="1:12" ht="13.5" x14ac:dyDescent="0.25">
      <c r="A1079" s="1930" t="s">
        <v>4469</v>
      </c>
      <c r="B1079" s="1930" t="s">
        <v>4470</v>
      </c>
      <c r="C1079" s="1930" t="s">
        <v>4475</v>
      </c>
      <c r="D1079" s="1930" t="s">
        <v>4476</v>
      </c>
      <c r="E1079" s="1931" t="s">
        <v>33</v>
      </c>
      <c r="F1079" s="1930" t="s">
        <v>33</v>
      </c>
      <c r="G1079" s="1932">
        <v>95617</v>
      </c>
      <c r="H1079" s="1930" t="s">
        <v>1107</v>
      </c>
      <c r="I1079" s="1930" t="s">
        <v>65</v>
      </c>
      <c r="J1079" s="1930" t="s">
        <v>137</v>
      </c>
      <c r="K1079" s="1933">
        <v>0.7</v>
      </c>
      <c r="L1079" s="1930" t="s">
        <v>138</v>
      </c>
    </row>
    <row r="1080" spans="1:12" ht="13.5" x14ac:dyDescent="0.25">
      <c r="A1080" s="1930" t="s">
        <v>4469</v>
      </c>
      <c r="B1080" s="1930" t="s">
        <v>4470</v>
      </c>
      <c r="C1080" s="1930" t="s">
        <v>4475</v>
      </c>
      <c r="D1080" s="1930" t="s">
        <v>4476</v>
      </c>
      <c r="E1080" s="1931" t="s">
        <v>33</v>
      </c>
      <c r="F1080" s="1930" t="s">
        <v>33</v>
      </c>
      <c r="G1080" s="1932">
        <v>95618</v>
      </c>
      <c r="H1080" s="1930" t="s">
        <v>1108</v>
      </c>
      <c r="I1080" s="1930" t="s">
        <v>65</v>
      </c>
      <c r="J1080" s="1930" t="s">
        <v>137</v>
      </c>
      <c r="K1080" s="1933">
        <v>0.08</v>
      </c>
      <c r="L1080" s="1930" t="s">
        <v>138</v>
      </c>
    </row>
    <row r="1081" spans="1:12" ht="13.5" x14ac:dyDescent="0.25">
      <c r="A1081" s="1930" t="s">
        <v>4469</v>
      </c>
      <c r="B1081" s="1930" t="s">
        <v>4470</v>
      </c>
      <c r="C1081" s="1930" t="s">
        <v>4475</v>
      </c>
      <c r="D1081" s="1930" t="s">
        <v>4476</v>
      </c>
      <c r="E1081" s="1931" t="s">
        <v>33</v>
      </c>
      <c r="F1081" s="1930" t="s">
        <v>33</v>
      </c>
      <c r="G1081" s="1932">
        <v>95619</v>
      </c>
      <c r="H1081" s="1930" t="s">
        <v>1109</v>
      </c>
      <c r="I1081" s="1930" t="s">
        <v>65</v>
      </c>
      <c r="J1081" s="1930" t="s">
        <v>137</v>
      </c>
      <c r="K1081" s="1933">
        <v>0.88</v>
      </c>
      <c r="L1081" s="1930" t="s">
        <v>138</v>
      </c>
    </row>
    <row r="1082" spans="1:12" ht="13.5" x14ac:dyDescent="0.25">
      <c r="A1082" s="1930" t="s">
        <v>4469</v>
      </c>
      <c r="B1082" s="1930" t="s">
        <v>4470</v>
      </c>
      <c r="C1082" s="1930" t="s">
        <v>4475</v>
      </c>
      <c r="D1082" s="1930" t="s">
        <v>4476</v>
      </c>
      <c r="E1082" s="1931" t="s">
        <v>33</v>
      </c>
      <c r="F1082" s="1930" t="s">
        <v>33</v>
      </c>
      <c r="G1082" s="1932">
        <v>95627</v>
      </c>
      <c r="H1082" s="1930" t="s">
        <v>1110</v>
      </c>
      <c r="I1082" s="1930" t="s">
        <v>65</v>
      </c>
      <c r="J1082" s="1930" t="s">
        <v>137</v>
      </c>
      <c r="K1082" s="1933">
        <v>22.52</v>
      </c>
      <c r="L1082" s="1930" t="s">
        <v>138</v>
      </c>
    </row>
    <row r="1083" spans="1:12" ht="13.5" x14ac:dyDescent="0.25">
      <c r="A1083" s="1930" t="s">
        <v>4469</v>
      </c>
      <c r="B1083" s="1930" t="s">
        <v>4470</v>
      </c>
      <c r="C1083" s="1930" t="s">
        <v>4475</v>
      </c>
      <c r="D1083" s="1930" t="s">
        <v>4476</v>
      </c>
      <c r="E1083" s="1931" t="s">
        <v>33</v>
      </c>
      <c r="F1083" s="1930" t="s">
        <v>33</v>
      </c>
      <c r="G1083" s="1932">
        <v>95628</v>
      </c>
      <c r="H1083" s="1930" t="s">
        <v>1111</v>
      </c>
      <c r="I1083" s="1930" t="s">
        <v>65</v>
      </c>
      <c r="J1083" s="1930" t="s">
        <v>137</v>
      </c>
      <c r="K1083" s="1933">
        <v>3.12</v>
      </c>
      <c r="L1083" s="1930" t="s">
        <v>138</v>
      </c>
    </row>
    <row r="1084" spans="1:12" ht="13.5" x14ac:dyDescent="0.25">
      <c r="A1084" s="1930" t="s">
        <v>4469</v>
      </c>
      <c r="B1084" s="1930" t="s">
        <v>4470</v>
      </c>
      <c r="C1084" s="1930" t="s">
        <v>4475</v>
      </c>
      <c r="D1084" s="1930" t="s">
        <v>4476</v>
      </c>
      <c r="E1084" s="1931" t="s">
        <v>33</v>
      </c>
      <c r="F1084" s="1930" t="s">
        <v>33</v>
      </c>
      <c r="G1084" s="1932">
        <v>95629</v>
      </c>
      <c r="H1084" s="1930" t="s">
        <v>1112</v>
      </c>
      <c r="I1084" s="1930" t="s">
        <v>65</v>
      </c>
      <c r="J1084" s="1930" t="s">
        <v>137</v>
      </c>
      <c r="K1084" s="1933">
        <v>28.19</v>
      </c>
      <c r="L1084" s="1930" t="s">
        <v>138</v>
      </c>
    </row>
    <row r="1085" spans="1:12" ht="13.5" x14ac:dyDescent="0.25">
      <c r="A1085" s="1930" t="s">
        <v>4469</v>
      </c>
      <c r="B1085" s="1930" t="s">
        <v>4470</v>
      </c>
      <c r="C1085" s="1930" t="s">
        <v>4475</v>
      </c>
      <c r="D1085" s="1930" t="s">
        <v>4476</v>
      </c>
      <c r="E1085" s="1931" t="s">
        <v>33</v>
      </c>
      <c r="F1085" s="1930" t="s">
        <v>33</v>
      </c>
      <c r="G1085" s="1932">
        <v>95630</v>
      </c>
      <c r="H1085" s="1930" t="s">
        <v>1113</v>
      </c>
      <c r="I1085" s="1930" t="s">
        <v>65</v>
      </c>
      <c r="J1085" s="1930" t="s">
        <v>346</v>
      </c>
      <c r="K1085" s="1933">
        <v>55.5</v>
      </c>
      <c r="L1085" s="1930" t="s">
        <v>138</v>
      </c>
    </row>
    <row r="1086" spans="1:12" ht="13.5" x14ac:dyDescent="0.25">
      <c r="A1086" s="1930" t="s">
        <v>4469</v>
      </c>
      <c r="B1086" s="1930" t="s">
        <v>4470</v>
      </c>
      <c r="C1086" s="1930" t="s">
        <v>4475</v>
      </c>
      <c r="D1086" s="1930" t="s">
        <v>4476</v>
      </c>
      <c r="E1086" s="1931" t="s">
        <v>33</v>
      </c>
      <c r="F1086" s="1930" t="s">
        <v>33</v>
      </c>
      <c r="G1086" s="1932">
        <v>95698</v>
      </c>
      <c r="H1086" s="1930" t="s">
        <v>1114</v>
      </c>
      <c r="I1086" s="1930" t="s">
        <v>65</v>
      </c>
      <c r="J1086" s="1930" t="s">
        <v>137</v>
      </c>
      <c r="K1086" s="1933">
        <v>2.86</v>
      </c>
      <c r="L1086" s="1930" t="s">
        <v>138</v>
      </c>
    </row>
    <row r="1087" spans="1:12" ht="13.5" x14ac:dyDescent="0.25">
      <c r="A1087" s="1930" t="s">
        <v>4469</v>
      </c>
      <c r="B1087" s="1930" t="s">
        <v>4470</v>
      </c>
      <c r="C1087" s="1930" t="s">
        <v>4475</v>
      </c>
      <c r="D1087" s="1930" t="s">
        <v>4476</v>
      </c>
      <c r="E1087" s="1931" t="s">
        <v>33</v>
      </c>
      <c r="F1087" s="1930" t="s">
        <v>33</v>
      </c>
      <c r="G1087" s="1932">
        <v>95699</v>
      </c>
      <c r="H1087" s="1930" t="s">
        <v>1115</v>
      </c>
      <c r="I1087" s="1930" t="s">
        <v>65</v>
      </c>
      <c r="J1087" s="1930" t="s">
        <v>137</v>
      </c>
      <c r="K1087" s="1933">
        <v>0.34</v>
      </c>
      <c r="L1087" s="1930" t="s">
        <v>138</v>
      </c>
    </row>
    <row r="1088" spans="1:12" ht="13.5" x14ac:dyDescent="0.25">
      <c r="A1088" s="1930" t="s">
        <v>4469</v>
      </c>
      <c r="B1088" s="1930" t="s">
        <v>4470</v>
      </c>
      <c r="C1088" s="1930" t="s">
        <v>4475</v>
      </c>
      <c r="D1088" s="1930" t="s">
        <v>4476</v>
      </c>
      <c r="E1088" s="1931" t="s">
        <v>33</v>
      </c>
      <c r="F1088" s="1930" t="s">
        <v>33</v>
      </c>
      <c r="G1088" s="1932">
        <v>95700</v>
      </c>
      <c r="H1088" s="1930" t="s">
        <v>1116</v>
      </c>
      <c r="I1088" s="1930" t="s">
        <v>65</v>
      </c>
      <c r="J1088" s="1930" t="s">
        <v>137</v>
      </c>
      <c r="K1088" s="1933">
        <v>3.58</v>
      </c>
      <c r="L1088" s="1930" t="s">
        <v>138</v>
      </c>
    </row>
    <row r="1089" spans="1:12" ht="13.5" x14ac:dyDescent="0.25">
      <c r="A1089" s="1930" t="s">
        <v>4469</v>
      </c>
      <c r="B1089" s="1930" t="s">
        <v>4470</v>
      </c>
      <c r="C1089" s="1930" t="s">
        <v>4475</v>
      </c>
      <c r="D1089" s="1930" t="s">
        <v>4476</v>
      </c>
      <c r="E1089" s="1931" t="s">
        <v>33</v>
      </c>
      <c r="F1089" s="1930" t="s">
        <v>33</v>
      </c>
      <c r="G1089" s="1932">
        <v>95701</v>
      </c>
      <c r="H1089" s="1930" t="s">
        <v>1117</v>
      </c>
      <c r="I1089" s="1930" t="s">
        <v>65</v>
      </c>
      <c r="J1089" s="1930" t="s">
        <v>320</v>
      </c>
      <c r="K1089" s="1933">
        <v>1.87</v>
      </c>
      <c r="L1089" s="1930" t="s">
        <v>138</v>
      </c>
    </row>
    <row r="1090" spans="1:12" ht="13.5" x14ac:dyDescent="0.25">
      <c r="A1090" s="1930" t="s">
        <v>4469</v>
      </c>
      <c r="B1090" s="1930" t="s">
        <v>4470</v>
      </c>
      <c r="C1090" s="1930" t="s">
        <v>4475</v>
      </c>
      <c r="D1090" s="1930" t="s">
        <v>4476</v>
      </c>
      <c r="E1090" s="1931" t="s">
        <v>33</v>
      </c>
      <c r="F1090" s="1930" t="s">
        <v>33</v>
      </c>
      <c r="G1090" s="1932">
        <v>95704</v>
      </c>
      <c r="H1090" s="1930" t="s">
        <v>1118</v>
      </c>
      <c r="I1090" s="1930" t="s">
        <v>65</v>
      </c>
      <c r="J1090" s="1930" t="s">
        <v>137</v>
      </c>
      <c r="K1090" s="1933">
        <v>22.67</v>
      </c>
      <c r="L1090" s="1930" t="s">
        <v>138</v>
      </c>
    </row>
    <row r="1091" spans="1:12" ht="13.5" x14ac:dyDescent="0.25">
      <c r="A1091" s="1930" t="s">
        <v>4469</v>
      </c>
      <c r="B1091" s="1930" t="s">
        <v>4470</v>
      </c>
      <c r="C1091" s="1930" t="s">
        <v>4475</v>
      </c>
      <c r="D1091" s="1930" t="s">
        <v>4476</v>
      </c>
      <c r="E1091" s="1931" t="s">
        <v>33</v>
      </c>
      <c r="F1091" s="1930" t="s">
        <v>33</v>
      </c>
      <c r="G1091" s="1932">
        <v>95705</v>
      </c>
      <c r="H1091" s="1930" t="s">
        <v>1119</v>
      </c>
      <c r="I1091" s="1930" t="s">
        <v>65</v>
      </c>
      <c r="J1091" s="1930" t="s">
        <v>137</v>
      </c>
      <c r="K1091" s="1933">
        <v>3.23</v>
      </c>
      <c r="L1091" s="1930" t="s">
        <v>138</v>
      </c>
    </row>
    <row r="1092" spans="1:12" ht="13.5" x14ac:dyDescent="0.25">
      <c r="A1092" s="1930" t="s">
        <v>4469</v>
      </c>
      <c r="B1092" s="1930" t="s">
        <v>4470</v>
      </c>
      <c r="C1092" s="1930" t="s">
        <v>4475</v>
      </c>
      <c r="D1092" s="1930" t="s">
        <v>4476</v>
      </c>
      <c r="E1092" s="1931" t="s">
        <v>33</v>
      </c>
      <c r="F1092" s="1930" t="s">
        <v>33</v>
      </c>
      <c r="G1092" s="1932">
        <v>95706</v>
      </c>
      <c r="H1092" s="1930" t="s">
        <v>1120</v>
      </c>
      <c r="I1092" s="1930" t="s">
        <v>65</v>
      </c>
      <c r="J1092" s="1930" t="s">
        <v>137</v>
      </c>
      <c r="K1092" s="1933">
        <v>28.37</v>
      </c>
      <c r="L1092" s="1930" t="s">
        <v>138</v>
      </c>
    </row>
    <row r="1093" spans="1:12" ht="13.5" x14ac:dyDescent="0.25">
      <c r="A1093" s="1930" t="s">
        <v>4469</v>
      </c>
      <c r="B1093" s="1930" t="s">
        <v>4470</v>
      </c>
      <c r="C1093" s="1930" t="s">
        <v>4475</v>
      </c>
      <c r="D1093" s="1930" t="s">
        <v>4476</v>
      </c>
      <c r="E1093" s="1931" t="s">
        <v>33</v>
      </c>
      <c r="F1093" s="1930" t="s">
        <v>33</v>
      </c>
      <c r="G1093" s="1932">
        <v>95707</v>
      </c>
      <c r="H1093" s="1930" t="s">
        <v>1121</v>
      </c>
      <c r="I1093" s="1930" t="s">
        <v>65</v>
      </c>
      <c r="J1093" s="1930" t="s">
        <v>320</v>
      </c>
      <c r="K1093" s="1933">
        <v>20.92</v>
      </c>
      <c r="L1093" s="1930" t="s">
        <v>138</v>
      </c>
    </row>
    <row r="1094" spans="1:12" ht="13.5" x14ac:dyDescent="0.25">
      <c r="A1094" s="1930" t="s">
        <v>4469</v>
      </c>
      <c r="B1094" s="1930" t="s">
        <v>4470</v>
      </c>
      <c r="C1094" s="1930" t="s">
        <v>4475</v>
      </c>
      <c r="D1094" s="1930" t="s">
        <v>4476</v>
      </c>
      <c r="E1094" s="1931" t="s">
        <v>33</v>
      </c>
      <c r="F1094" s="1930" t="s">
        <v>33</v>
      </c>
      <c r="G1094" s="1932">
        <v>95710</v>
      </c>
      <c r="H1094" s="1930" t="s">
        <v>1122</v>
      </c>
      <c r="I1094" s="1930" t="s">
        <v>65</v>
      </c>
      <c r="J1094" s="1930" t="s">
        <v>137</v>
      </c>
      <c r="K1094" s="1933">
        <v>27.24</v>
      </c>
      <c r="L1094" s="1930" t="s">
        <v>138</v>
      </c>
    </row>
    <row r="1095" spans="1:12" ht="13.5" x14ac:dyDescent="0.25">
      <c r="A1095" s="1930" t="s">
        <v>4469</v>
      </c>
      <c r="B1095" s="1930" t="s">
        <v>4470</v>
      </c>
      <c r="C1095" s="1930" t="s">
        <v>4475</v>
      </c>
      <c r="D1095" s="1930" t="s">
        <v>4476</v>
      </c>
      <c r="E1095" s="1931" t="s">
        <v>33</v>
      </c>
      <c r="F1095" s="1930" t="s">
        <v>33</v>
      </c>
      <c r="G1095" s="1932">
        <v>95711</v>
      </c>
      <c r="H1095" s="1930" t="s">
        <v>1123</v>
      </c>
      <c r="I1095" s="1930" t="s">
        <v>65</v>
      </c>
      <c r="J1095" s="1930" t="s">
        <v>137</v>
      </c>
      <c r="K1095" s="1933">
        <v>3.69</v>
      </c>
      <c r="L1095" s="1930" t="s">
        <v>138</v>
      </c>
    </row>
    <row r="1096" spans="1:12" ht="13.5" x14ac:dyDescent="0.25">
      <c r="A1096" s="1930" t="s">
        <v>4469</v>
      </c>
      <c r="B1096" s="1930" t="s">
        <v>4470</v>
      </c>
      <c r="C1096" s="1930" t="s">
        <v>4475</v>
      </c>
      <c r="D1096" s="1930" t="s">
        <v>4476</v>
      </c>
      <c r="E1096" s="1931" t="s">
        <v>33</v>
      </c>
      <c r="F1096" s="1930" t="s">
        <v>33</v>
      </c>
      <c r="G1096" s="1932">
        <v>95712</v>
      </c>
      <c r="H1096" s="1930" t="s">
        <v>1124</v>
      </c>
      <c r="I1096" s="1930" t="s">
        <v>65</v>
      </c>
      <c r="J1096" s="1930" t="s">
        <v>137</v>
      </c>
      <c r="K1096" s="1933">
        <v>34.06</v>
      </c>
      <c r="L1096" s="1930" t="s">
        <v>138</v>
      </c>
    </row>
    <row r="1097" spans="1:12" ht="13.5" x14ac:dyDescent="0.25">
      <c r="A1097" s="1930" t="s">
        <v>4469</v>
      </c>
      <c r="B1097" s="1930" t="s">
        <v>4470</v>
      </c>
      <c r="C1097" s="1930" t="s">
        <v>4475</v>
      </c>
      <c r="D1097" s="1930" t="s">
        <v>4476</v>
      </c>
      <c r="E1097" s="1931" t="s">
        <v>33</v>
      </c>
      <c r="F1097" s="1930" t="s">
        <v>33</v>
      </c>
      <c r="G1097" s="1932">
        <v>95713</v>
      </c>
      <c r="H1097" s="1930" t="s">
        <v>1125</v>
      </c>
      <c r="I1097" s="1930" t="s">
        <v>65</v>
      </c>
      <c r="J1097" s="1930" t="s">
        <v>346</v>
      </c>
      <c r="K1097" s="1933">
        <v>55.91</v>
      </c>
      <c r="L1097" s="1930" t="s">
        <v>138</v>
      </c>
    </row>
    <row r="1098" spans="1:12" ht="13.5" x14ac:dyDescent="0.25">
      <c r="A1098" s="1930" t="s">
        <v>4469</v>
      </c>
      <c r="B1098" s="1930" t="s">
        <v>4470</v>
      </c>
      <c r="C1098" s="1930" t="s">
        <v>4475</v>
      </c>
      <c r="D1098" s="1930" t="s">
        <v>4476</v>
      </c>
      <c r="E1098" s="1931" t="s">
        <v>33</v>
      </c>
      <c r="F1098" s="1930" t="s">
        <v>33</v>
      </c>
      <c r="G1098" s="1932">
        <v>95716</v>
      </c>
      <c r="H1098" s="1930" t="s">
        <v>1126</v>
      </c>
      <c r="I1098" s="1930" t="s">
        <v>65</v>
      </c>
      <c r="J1098" s="1930" t="s">
        <v>137</v>
      </c>
      <c r="K1098" s="1933">
        <v>26.23</v>
      </c>
      <c r="L1098" s="1930" t="s">
        <v>138</v>
      </c>
    </row>
    <row r="1099" spans="1:12" ht="13.5" x14ac:dyDescent="0.25">
      <c r="A1099" s="1930" t="s">
        <v>4469</v>
      </c>
      <c r="B1099" s="1930" t="s">
        <v>4470</v>
      </c>
      <c r="C1099" s="1930" t="s">
        <v>4475</v>
      </c>
      <c r="D1099" s="1930" t="s">
        <v>4476</v>
      </c>
      <c r="E1099" s="1931" t="s">
        <v>33</v>
      </c>
      <c r="F1099" s="1930" t="s">
        <v>33</v>
      </c>
      <c r="G1099" s="1932">
        <v>95717</v>
      </c>
      <c r="H1099" s="1930" t="s">
        <v>1127</v>
      </c>
      <c r="I1099" s="1930" t="s">
        <v>65</v>
      </c>
      <c r="J1099" s="1930" t="s">
        <v>137</v>
      </c>
      <c r="K1099" s="1933">
        <v>3.56</v>
      </c>
      <c r="L1099" s="1930" t="s">
        <v>138</v>
      </c>
    </row>
    <row r="1100" spans="1:12" ht="13.5" x14ac:dyDescent="0.25">
      <c r="A1100" s="1930" t="s">
        <v>4469</v>
      </c>
      <c r="B1100" s="1930" t="s">
        <v>4470</v>
      </c>
      <c r="C1100" s="1930" t="s">
        <v>4475</v>
      </c>
      <c r="D1100" s="1930" t="s">
        <v>4476</v>
      </c>
      <c r="E1100" s="1931" t="s">
        <v>33</v>
      </c>
      <c r="F1100" s="1930" t="s">
        <v>33</v>
      </c>
      <c r="G1100" s="1932">
        <v>95718</v>
      </c>
      <c r="H1100" s="1930" t="s">
        <v>1128</v>
      </c>
      <c r="I1100" s="1930" t="s">
        <v>65</v>
      </c>
      <c r="J1100" s="1930" t="s">
        <v>137</v>
      </c>
      <c r="K1100" s="1933">
        <v>32.79</v>
      </c>
      <c r="L1100" s="1930" t="s">
        <v>138</v>
      </c>
    </row>
    <row r="1101" spans="1:12" ht="13.5" x14ac:dyDescent="0.25">
      <c r="A1101" s="1930" t="s">
        <v>4469</v>
      </c>
      <c r="B1101" s="1930" t="s">
        <v>4470</v>
      </c>
      <c r="C1101" s="1930" t="s">
        <v>4475</v>
      </c>
      <c r="D1101" s="1930" t="s">
        <v>4476</v>
      </c>
      <c r="E1101" s="1931" t="s">
        <v>33</v>
      </c>
      <c r="F1101" s="1930" t="s">
        <v>33</v>
      </c>
      <c r="G1101" s="1932">
        <v>95719</v>
      </c>
      <c r="H1101" s="1930" t="s">
        <v>1129</v>
      </c>
      <c r="I1101" s="1930" t="s">
        <v>65</v>
      </c>
      <c r="J1101" s="1930" t="s">
        <v>346</v>
      </c>
      <c r="K1101" s="1933">
        <v>55.91</v>
      </c>
      <c r="L1101" s="1930" t="s">
        <v>138</v>
      </c>
    </row>
    <row r="1102" spans="1:12" ht="13.5" x14ac:dyDescent="0.25">
      <c r="A1102" s="1930" t="s">
        <v>4469</v>
      </c>
      <c r="B1102" s="1930" t="s">
        <v>4470</v>
      </c>
      <c r="C1102" s="1930" t="s">
        <v>4475</v>
      </c>
      <c r="D1102" s="1930" t="s">
        <v>4476</v>
      </c>
      <c r="E1102" s="1931" t="s">
        <v>33</v>
      </c>
      <c r="F1102" s="1930" t="s">
        <v>33</v>
      </c>
      <c r="G1102" s="1932">
        <v>95869</v>
      </c>
      <c r="H1102" s="1930" t="s">
        <v>1130</v>
      </c>
      <c r="I1102" s="1930" t="s">
        <v>65</v>
      </c>
      <c r="J1102" s="1930" t="s">
        <v>137</v>
      </c>
      <c r="K1102" s="1933">
        <v>1.0900000000000001</v>
      </c>
      <c r="L1102" s="1930" t="s">
        <v>138</v>
      </c>
    </row>
    <row r="1103" spans="1:12" ht="13.5" x14ac:dyDescent="0.25">
      <c r="A1103" s="1930" t="s">
        <v>4469</v>
      </c>
      <c r="B1103" s="1930" t="s">
        <v>4470</v>
      </c>
      <c r="C1103" s="1930" t="s">
        <v>4475</v>
      </c>
      <c r="D1103" s="1930" t="s">
        <v>4476</v>
      </c>
      <c r="E1103" s="1931" t="s">
        <v>33</v>
      </c>
      <c r="F1103" s="1930" t="s">
        <v>33</v>
      </c>
      <c r="G1103" s="1932">
        <v>95870</v>
      </c>
      <c r="H1103" s="1930" t="s">
        <v>1131</v>
      </c>
      <c r="I1103" s="1930" t="s">
        <v>65</v>
      </c>
      <c r="J1103" s="1930" t="s">
        <v>137</v>
      </c>
      <c r="K1103" s="1933">
        <v>5.41</v>
      </c>
      <c r="L1103" s="1930" t="s">
        <v>138</v>
      </c>
    </row>
    <row r="1104" spans="1:12" ht="13.5" x14ac:dyDescent="0.25">
      <c r="A1104" s="1930" t="s">
        <v>4469</v>
      </c>
      <c r="B1104" s="1930" t="s">
        <v>4470</v>
      </c>
      <c r="C1104" s="1930" t="s">
        <v>4475</v>
      </c>
      <c r="D1104" s="1930" t="s">
        <v>4476</v>
      </c>
      <c r="E1104" s="1931" t="s">
        <v>33</v>
      </c>
      <c r="F1104" s="1930" t="s">
        <v>33</v>
      </c>
      <c r="G1104" s="1932">
        <v>95871</v>
      </c>
      <c r="H1104" s="1930" t="s">
        <v>1132</v>
      </c>
      <c r="I1104" s="1930" t="s">
        <v>65</v>
      </c>
      <c r="J1104" s="1930" t="s">
        <v>346</v>
      </c>
      <c r="K1104" s="1933">
        <v>169.78</v>
      </c>
      <c r="L1104" s="1930" t="s">
        <v>138</v>
      </c>
    </row>
    <row r="1105" spans="1:12" ht="13.5" x14ac:dyDescent="0.25">
      <c r="A1105" s="1930" t="s">
        <v>4469</v>
      </c>
      <c r="B1105" s="1930" t="s">
        <v>4470</v>
      </c>
      <c r="C1105" s="1930" t="s">
        <v>4475</v>
      </c>
      <c r="D1105" s="1930" t="s">
        <v>4476</v>
      </c>
      <c r="E1105" s="1931" t="s">
        <v>33</v>
      </c>
      <c r="F1105" s="1930" t="s">
        <v>33</v>
      </c>
      <c r="G1105" s="1932">
        <v>95874</v>
      </c>
      <c r="H1105" s="1930" t="s">
        <v>1133</v>
      </c>
      <c r="I1105" s="1930" t="s">
        <v>65</v>
      </c>
      <c r="J1105" s="1930" t="s">
        <v>137</v>
      </c>
      <c r="K1105" s="1933">
        <v>6.07</v>
      </c>
      <c r="L1105" s="1930" t="s">
        <v>138</v>
      </c>
    </row>
    <row r="1106" spans="1:12" ht="13.5" x14ac:dyDescent="0.25">
      <c r="A1106" s="1930" t="s">
        <v>4469</v>
      </c>
      <c r="B1106" s="1930" t="s">
        <v>4470</v>
      </c>
      <c r="C1106" s="1930" t="s">
        <v>4475</v>
      </c>
      <c r="D1106" s="1930" t="s">
        <v>4476</v>
      </c>
      <c r="E1106" s="1931" t="s">
        <v>33</v>
      </c>
      <c r="F1106" s="1930" t="s">
        <v>33</v>
      </c>
      <c r="G1106" s="1932">
        <v>96008</v>
      </c>
      <c r="H1106" s="1930" t="s">
        <v>1134</v>
      </c>
      <c r="I1106" s="1930" t="s">
        <v>65</v>
      </c>
      <c r="J1106" s="1930" t="s">
        <v>137</v>
      </c>
      <c r="K1106" s="1933">
        <v>12.08</v>
      </c>
      <c r="L1106" s="1930" t="s">
        <v>138</v>
      </c>
    </row>
    <row r="1107" spans="1:12" ht="13.5" x14ac:dyDescent="0.25">
      <c r="A1107" s="1930" t="s">
        <v>4469</v>
      </c>
      <c r="B1107" s="1930" t="s">
        <v>4470</v>
      </c>
      <c r="C1107" s="1930" t="s">
        <v>4475</v>
      </c>
      <c r="D1107" s="1930" t="s">
        <v>4476</v>
      </c>
      <c r="E1107" s="1931" t="s">
        <v>33</v>
      </c>
      <c r="F1107" s="1930" t="s">
        <v>33</v>
      </c>
      <c r="G1107" s="1932">
        <v>96009</v>
      </c>
      <c r="H1107" s="1930" t="s">
        <v>1135</v>
      </c>
      <c r="I1107" s="1930" t="s">
        <v>65</v>
      </c>
      <c r="J1107" s="1930" t="s">
        <v>137</v>
      </c>
      <c r="K1107" s="1933">
        <v>1.67</v>
      </c>
      <c r="L1107" s="1930" t="s">
        <v>138</v>
      </c>
    </row>
    <row r="1108" spans="1:12" ht="13.5" x14ac:dyDescent="0.25">
      <c r="A1108" s="1930" t="s">
        <v>4469</v>
      </c>
      <c r="B1108" s="1930" t="s">
        <v>4470</v>
      </c>
      <c r="C1108" s="1930" t="s">
        <v>4475</v>
      </c>
      <c r="D1108" s="1930" t="s">
        <v>4476</v>
      </c>
      <c r="E1108" s="1931" t="s">
        <v>33</v>
      </c>
      <c r="F1108" s="1930" t="s">
        <v>33</v>
      </c>
      <c r="G1108" s="1932">
        <v>96011</v>
      </c>
      <c r="H1108" s="1930" t="s">
        <v>1136</v>
      </c>
      <c r="I1108" s="1930" t="s">
        <v>65</v>
      </c>
      <c r="J1108" s="1930" t="s">
        <v>137</v>
      </c>
      <c r="K1108" s="1933">
        <v>13.21</v>
      </c>
      <c r="L1108" s="1930" t="s">
        <v>138</v>
      </c>
    </row>
    <row r="1109" spans="1:12" ht="13.5" x14ac:dyDescent="0.25">
      <c r="A1109" s="1930" t="s">
        <v>4469</v>
      </c>
      <c r="B1109" s="1930" t="s">
        <v>4470</v>
      </c>
      <c r="C1109" s="1930" t="s">
        <v>4475</v>
      </c>
      <c r="D1109" s="1930" t="s">
        <v>4476</v>
      </c>
      <c r="E1109" s="1931" t="s">
        <v>33</v>
      </c>
      <c r="F1109" s="1930" t="s">
        <v>33</v>
      </c>
      <c r="G1109" s="1932">
        <v>96012</v>
      </c>
      <c r="H1109" s="1930" t="s">
        <v>1137</v>
      </c>
      <c r="I1109" s="1930" t="s">
        <v>65</v>
      </c>
      <c r="J1109" s="1930" t="s">
        <v>346</v>
      </c>
      <c r="K1109" s="1933">
        <v>106.87</v>
      </c>
      <c r="L1109" s="1930" t="s">
        <v>138</v>
      </c>
    </row>
    <row r="1110" spans="1:12" ht="13.5" x14ac:dyDescent="0.25">
      <c r="A1110" s="1930" t="s">
        <v>4469</v>
      </c>
      <c r="B1110" s="1930" t="s">
        <v>4470</v>
      </c>
      <c r="C1110" s="1930" t="s">
        <v>4475</v>
      </c>
      <c r="D1110" s="1930" t="s">
        <v>4476</v>
      </c>
      <c r="E1110" s="1931" t="s">
        <v>33</v>
      </c>
      <c r="F1110" s="1930" t="s">
        <v>33</v>
      </c>
      <c r="G1110" s="1932">
        <v>96015</v>
      </c>
      <c r="H1110" s="1930" t="s">
        <v>1138</v>
      </c>
      <c r="I1110" s="1930" t="s">
        <v>65</v>
      </c>
      <c r="J1110" s="1930" t="s">
        <v>137</v>
      </c>
      <c r="K1110" s="1933">
        <v>11.97</v>
      </c>
      <c r="L1110" s="1930" t="s">
        <v>138</v>
      </c>
    </row>
    <row r="1111" spans="1:12" ht="13.5" x14ac:dyDescent="0.25">
      <c r="A1111" s="1930" t="s">
        <v>4469</v>
      </c>
      <c r="B1111" s="1930" t="s">
        <v>4470</v>
      </c>
      <c r="C1111" s="1930" t="s">
        <v>4475</v>
      </c>
      <c r="D1111" s="1930" t="s">
        <v>4476</v>
      </c>
      <c r="E1111" s="1931" t="s">
        <v>33</v>
      </c>
      <c r="F1111" s="1930" t="s">
        <v>33</v>
      </c>
      <c r="G1111" s="1932">
        <v>96016</v>
      </c>
      <c r="H1111" s="1930" t="s">
        <v>1139</v>
      </c>
      <c r="I1111" s="1930" t="s">
        <v>65</v>
      </c>
      <c r="J1111" s="1930" t="s">
        <v>137</v>
      </c>
      <c r="K1111" s="1933">
        <v>1.65</v>
      </c>
      <c r="L1111" s="1930" t="s">
        <v>138</v>
      </c>
    </row>
    <row r="1112" spans="1:12" ht="13.5" x14ac:dyDescent="0.25">
      <c r="A1112" s="1930" t="s">
        <v>4469</v>
      </c>
      <c r="B1112" s="1930" t="s">
        <v>4470</v>
      </c>
      <c r="C1112" s="1930" t="s">
        <v>4475</v>
      </c>
      <c r="D1112" s="1930" t="s">
        <v>4476</v>
      </c>
      <c r="E1112" s="1931" t="s">
        <v>33</v>
      </c>
      <c r="F1112" s="1930" t="s">
        <v>33</v>
      </c>
      <c r="G1112" s="1932">
        <v>96018</v>
      </c>
      <c r="H1112" s="1930" t="s">
        <v>1140</v>
      </c>
      <c r="I1112" s="1930" t="s">
        <v>65</v>
      </c>
      <c r="J1112" s="1930" t="s">
        <v>137</v>
      </c>
      <c r="K1112" s="1933">
        <v>13.09</v>
      </c>
      <c r="L1112" s="1930" t="s">
        <v>138</v>
      </c>
    </row>
    <row r="1113" spans="1:12" ht="13.5" x14ac:dyDescent="0.25">
      <c r="A1113" s="1930" t="s">
        <v>4469</v>
      </c>
      <c r="B1113" s="1930" t="s">
        <v>4470</v>
      </c>
      <c r="C1113" s="1930" t="s">
        <v>4475</v>
      </c>
      <c r="D1113" s="1930" t="s">
        <v>4476</v>
      </c>
      <c r="E1113" s="1931" t="s">
        <v>33</v>
      </c>
      <c r="F1113" s="1930" t="s">
        <v>33</v>
      </c>
      <c r="G1113" s="1932">
        <v>96019</v>
      </c>
      <c r="H1113" s="1930" t="s">
        <v>1141</v>
      </c>
      <c r="I1113" s="1930" t="s">
        <v>65</v>
      </c>
      <c r="J1113" s="1930" t="s">
        <v>346</v>
      </c>
      <c r="K1113" s="1933">
        <v>106.87</v>
      </c>
      <c r="L1113" s="1930" t="s">
        <v>138</v>
      </c>
    </row>
    <row r="1114" spans="1:12" ht="13.5" x14ac:dyDescent="0.25">
      <c r="A1114" s="1930" t="s">
        <v>4469</v>
      </c>
      <c r="B1114" s="1930" t="s">
        <v>4470</v>
      </c>
      <c r="C1114" s="1930" t="s">
        <v>4475</v>
      </c>
      <c r="D1114" s="1930" t="s">
        <v>4476</v>
      </c>
      <c r="E1114" s="1931" t="s">
        <v>33</v>
      </c>
      <c r="F1114" s="1930" t="s">
        <v>33</v>
      </c>
      <c r="G1114" s="1932">
        <v>96023</v>
      </c>
      <c r="H1114" s="1930" t="s">
        <v>1142</v>
      </c>
      <c r="I1114" s="1930" t="s">
        <v>65</v>
      </c>
      <c r="J1114" s="1930" t="s">
        <v>137</v>
      </c>
      <c r="K1114" s="1933">
        <v>9.25</v>
      </c>
      <c r="L1114" s="1930" t="s">
        <v>138</v>
      </c>
    </row>
    <row r="1115" spans="1:12" ht="13.5" x14ac:dyDescent="0.25">
      <c r="A1115" s="1930" t="s">
        <v>4469</v>
      </c>
      <c r="B1115" s="1930" t="s">
        <v>4470</v>
      </c>
      <c r="C1115" s="1930" t="s">
        <v>4475</v>
      </c>
      <c r="D1115" s="1930" t="s">
        <v>4476</v>
      </c>
      <c r="E1115" s="1931" t="s">
        <v>33</v>
      </c>
      <c r="F1115" s="1930" t="s">
        <v>33</v>
      </c>
      <c r="G1115" s="1932">
        <v>96024</v>
      </c>
      <c r="H1115" s="1930" t="s">
        <v>1143</v>
      </c>
      <c r="I1115" s="1930" t="s">
        <v>65</v>
      </c>
      <c r="J1115" s="1930" t="s">
        <v>137</v>
      </c>
      <c r="K1115" s="1933">
        <v>1.27</v>
      </c>
      <c r="L1115" s="1930" t="s">
        <v>138</v>
      </c>
    </row>
    <row r="1116" spans="1:12" ht="13.5" x14ac:dyDescent="0.25">
      <c r="A1116" s="1930" t="s">
        <v>4469</v>
      </c>
      <c r="B1116" s="1930" t="s">
        <v>4470</v>
      </c>
      <c r="C1116" s="1930" t="s">
        <v>4475</v>
      </c>
      <c r="D1116" s="1930" t="s">
        <v>4476</v>
      </c>
      <c r="E1116" s="1931" t="s">
        <v>33</v>
      </c>
      <c r="F1116" s="1930" t="s">
        <v>33</v>
      </c>
      <c r="G1116" s="1932">
        <v>96026</v>
      </c>
      <c r="H1116" s="1930" t="s">
        <v>1144</v>
      </c>
      <c r="I1116" s="1930" t="s">
        <v>65</v>
      </c>
      <c r="J1116" s="1930" t="s">
        <v>137</v>
      </c>
      <c r="K1116" s="1933">
        <v>10.119999999999999</v>
      </c>
      <c r="L1116" s="1930" t="s">
        <v>138</v>
      </c>
    </row>
    <row r="1117" spans="1:12" ht="13.5" x14ac:dyDescent="0.25">
      <c r="A1117" s="1930" t="s">
        <v>4469</v>
      </c>
      <c r="B1117" s="1930" t="s">
        <v>4470</v>
      </c>
      <c r="C1117" s="1930" t="s">
        <v>4475</v>
      </c>
      <c r="D1117" s="1930" t="s">
        <v>4476</v>
      </c>
      <c r="E1117" s="1931" t="s">
        <v>33</v>
      </c>
      <c r="F1117" s="1930" t="s">
        <v>33</v>
      </c>
      <c r="G1117" s="1932">
        <v>96027</v>
      </c>
      <c r="H1117" s="1930" t="s">
        <v>1145</v>
      </c>
      <c r="I1117" s="1930" t="s">
        <v>65</v>
      </c>
      <c r="J1117" s="1930" t="s">
        <v>346</v>
      </c>
      <c r="K1117" s="1933">
        <v>74.47</v>
      </c>
      <c r="L1117" s="1930" t="s">
        <v>138</v>
      </c>
    </row>
    <row r="1118" spans="1:12" ht="13.5" x14ac:dyDescent="0.25">
      <c r="A1118" s="1930" t="s">
        <v>4469</v>
      </c>
      <c r="B1118" s="1930" t="s">
        <v>4470</v>
      </c>
      <c r="C1118" s="1930" t="s">
        <v>4475</v>
      </c>
      <c r="D1118" s="1930" t="s">
        <v>4476</v>
      </c>
      <c r="E1118" s="1931" t="s">
        <v>33</v>
      </c>
      <c r="F1118" s="1930" t="s">
        <v>33</v>
      </c>
      <c r="G1118" s="1932">
        <v>96030</v>
      </c>
      <c r="H1118" s="1930" t="s">
        <v>1146</v>
      </c>
      <c r="I1118" s="1930" t="s">
        <v>65</v>
      </c>
      <c r="J1118" s="1930" t="s">
        <v>137</v>
      </c>
      <c r="K1118" s="1933">
        <v>16.96</v>
      </c>
      <c r="L1118" s="1930" t="s">
        <v>138</v>
      </c>
    </row>
    <row r="1119" spans="1:12" ht="13.5" x14ac:dyDescent="0.25">
      <c r="A1119" s="1930" t="s">
        <v>4469</v>
      </c>
      <c r="B1119" s="1930" t="s">
        <v>4470</v>
      </c>
      <c r="C1119" s="1930" t="s">
        <v>4475</v>
      </c>
      <c r="D1119" s="1930" t="s">
        <v>4476</v>
      </c>
      <c r="E1119" s="1931" t="s">
        <v>33</v>
      </c>
      <c r="F1119" s="1930" t="s">
        <v>33</v>
      </c>
      <c r="G1119" s="1932">
        <v>96031</v>
      </c>
      <c r="H1119" s="1930" t="s">
        <v>1147</v>
      </c>
      <c r="I1119" s="1930" t="s">
        <v>65</v>
      </c>
      <c r="J1119" s="1930" t="s">
        <v>137</v>
      </c>
      <c r="K1119" s="1933">
        <v>3.12</v>
      </c>
      <c r="L1119" s="1930" t="s">
        <v>138</v>
      </c>
    </row>
    <row r="1120" spans="1:12" ht="13.5" x14ac:dyDescent="0.25">
      <c r="A1120" s="1930" t="s">
        <v>4469</v>
      </c>
      <c r="B1120" s="1930" t="s">
        <v>4470</v>
      </c>
      <c r="C1120" s="1930" t="s">
        <v>4475</v>
      </c>
      <c r="D1120" s="1930" t="s">
        <v>4476</v>
      </c>
      <c r="E1120" s="1931" t="s">
        <v>33</v>
      </c>
      <c r="F1120" s="1930" t="s">
        <v>33</v>
      </c>
      <c r="G1120" s="1932">
        <v>96032</v>
      </c>
      <c r="H1120" s="1930" t="s">
        <v>1148</v>
      </c>
      <c r="I1120" s="1930" t="s">
        <v>65</v>
      </c>
      <c r="J1120" s="1930" t="s">
        <v>137</v>
      </c>
      <c r="K1120" s="1933">
        <v>1.22</v>
      </c>
      <c r="L1120" s="1930" t="s">
        <v>138</v>
      </c>
    </row>
    <row r="1121" spans="1:12" ht="13.5" x14ac:dyDescent="0.25">
      <c r="A1121" s="1930" t="s">
        <v>4469</v>
      </c>
      <c r="B1121" s="1930" t="s">
        <v>4470</v>
      </c>
      <c r="C1121" s="1930" t="s">
        <v>4475</v>
      </c>
      <c r="D1121" s="1930" t="s">
        <v>4476</v>
      </c>
      <c r="E1121" s="1931" t="s">
        <v>33</v>
      </c>
      <c r="F1121" s="1930" t="s">
        <v>33</v>
      </c>
      <c r="G1121" s="1932">
        <v>96033</v>
      </c>
      <c r="H1121" s="1930" t="s">
        <v>1149</v>
      </c>
      <c r="I1121" s="1930" t="s">
        <v>65</v>
      </c>
      <c r="J1121" s="1930" t="s">
        <v>137</v>
      </c>
      <c r="K1121" s="1933">
        <v>31.81</v>
      </c>
      <c r="L1121" s="1930" t="s">
        <v>138</v>
      </c>
    </row>
    <row r="1122" spans="1:12" ht="13.5" x14ac:dyDescent="0.25">
      <c r="A1122" s="1930" t="s">
        <v>4469</v>
      </c>
      <c r="B1122" s="1930" t="s">
        <v>4470</v>
      </c>
      <c r="C1122" s="1930" t="s">
        <v>4475</v>
      </c>
      <c r="D1122" s="1930" t="s">
        <v>4476</v>
      </c>
      <c r="E1122" s="1931" t="s">
        <v>33</v>
      </c>
      <c r="F1122" s="1930" t="s">
        <v>33</v>
      </c>
      <c r="G1122" s="1932">
        <v>96034</v>
      </c>
      <c r="H1122" s="1930" t="s">
        <v>1150</v>
      </c>
      <c r="I1122" s="1930" t="s">
        <v>65</v>
      </c>
      <c r="J1122" s="1930" t="s">
        <v>346</v>
      </c>
      <c r="K1122" s="1933">
        <v>88.16</v>
      </c>
      <c r="L1122" s="1930" t="s">
        <v>138</v>
      </c>
    </row>
    <row r="1123" spans="1:12" ht="13.5" x14ac:dyDescent="0.25">
      <c r="A1123" s="1930" t="s">
        <v>4469</v>
      </c>
      <c r="B1123" s="1930" t="s">
        <v>4470</v>
      </c>
      <c r="C1123" s="1930" t="s">
        <v>4475</v>
      </c>
      <c r="D1123" s="1930" t="s">
        <v>4476</v>
      </c>
      <c r="E1123" s="1931" t="s">
        <v>33</v>
      </c>
      <c r="F1123" s="1930" t="s">
        <v>33</v>
      </c>
      <c r="G1123" s="1932">
        <v>96053</v>
      </c>
      <c r="H1123" s="1930" t="s">
        <v>1151</v>
      </c>
      <c r="I1123" s="1930" t="s">
        <v>65</v>
      </c>
      <c r="J1123" s="1930" t="s">
        <v>137</v>
      </c>
      <c r="K1123" s="1933">
        <v>9.36</v>
      </c>
      <c r="L1123" s="1930" t="s">
        <v>138</v>
      </c>
    </row>
    <row r="1124" spans="1:12" ht="13.5" x14ac:dyDescent="0.25">
      <c r="A1124" s="1930" t="s">
        <v>4469</v>
      </c>
      <c r="B1124" s="1930" t="s">
        <v>4470</v>
      </c>
      <c r="C1124" s="1930" t="s">
        <v>4475</v>
      </c>
      <c r="D1124" s="1930" t="s">
        <v>4476</v>
      </c>
      <c r="E1124" s="1931" t="s">
        <v>33</v>
      </c>
      <c r="F1124" s="1930" t="s">
        <v>33</v>
      </c>
      <c r="G1124" s="1932">
        <v>96054</v>
      </c>
      <c r="H1124" s="1930" t="s">
        <v>1152</v>
      </c>
      <c r="I1124" s="1930" t="s">
        <v>65</v>
      </c>
      <c r="J1124" s="1930" t="s">
        <v>137</v>
      </c>
      <c r="K1124" s="1933">
        <v>14.71</v>
      </c>
      <c r="L1124" s="1930" t="s">
        <v>138</v>
      </c>
    </row>
    <row r="1125" spans="1:12" ht="13.5" x14ac:dyDescent="0.25">
      <c r="A1125" s="1930" t="s">
        <v>4469</v>
      </c>
      <c r="B1125" s="1930" t="s">
        <v>4470</v>
      </c>
      <c r="C1125" s="1930" t="s">
        <v>4475</v>
      </c>
      <c r="D1125" s="1930" t="s">
        <v>4476</v>
      </c>
      <c r="E1125" s="1931" t="s">
        <v>33</v>
      </c>
      <c r="F1125" s="1930" t="s">
        <v>33</v>
      </c>
      <c r="G1125" s="1932">
        <v>96055</v>
      </c>
      <c r="H1125" s="1930" t="s">
        <v>1153</v>
      </c>
      <c r="I1125" s="1930" t="s">
        <v>65</v>
      </c>
      <c r="J1125" s="1930" t="s">
        <v>137</v>
      </c>
      <c r="K1125" s="1933">
        <v>1.29</v>
      </c>
      <c r="L1125" s="1930" t="s">
        <v>138</v>
      </c>
    </row>
    <row r="1126" spans="1:12" ht="13.5" x14ac:dyDescent="0.25">
      <c r="A1126" s="1930" t="s">
        <v>4469</v>
      </c>
      <c r="B1126" s="1930" t="s">
        <v>4470</v>
      </c>
      <c r="C1126" s="1930" t="s">
        <v>4475</v>
      </c>
      <c r="D1126" s="1930" t="s">
        <v>4476</v>
      </c>
      <c r="E1126" s="1931" t="s">
        <v>33</v>
      </c>
      <c r="F1126" s="1930" t="s">
        <v>33</v>
      </c>
      <c r="G1126" s="1932">
        <v>96056</v>
      </c>
      <c r="H1126" s="1930" t="s">
        <v>1154</v>
      </c>
      <c r="I1126" s="1930" t="s">
        <v>65</v>
      </c>
      <c r="J1126" s="1930" t="s">
        <v>137</v>
      </c>
      <c r="K1126" s="1933">
        <v>10.24</v>
      </c>
      <c r="L1126" s="1930" t="s">
        <v>138</v>
      </c>
    </row>
    <row r="1127" spans="1:12" ht="13.5" x14ac:dyDescent="0.25">
      <c r="A1127" s="1930" t="s">
        <v>4469</v>
      </c>
      <c r="B1127" s="1930" t="s">
        <v>4470</v>
      </c>
      <c r="C1127" s="1930" t="s">
        <v>4475</v>
      </c>
      <c r="D1127" s="1930" t="s">
        <v>4476</v>
      </c>
      <c r="E1127" s="1931" t="s">
        <v>33</v>
      </c>
      <c r="F1127" s="1930" t="s">
        <v>33</v>
      </c>
      <c r="G1127" s="1932">
        <v>96057</v>
      </c>
      <c r="H1127" s="1930" t="s">
        <v>1155</v>
      </c>
      <c r="I1127" s="1930" t="s">
        <v>65</v>
      </c>
      <c r="J1127" s="1930" t="s">
        <v>346</v>
      </c>
      <c r="K1127" s="1933">
        <v>74.47</v>
      </c>
      <c r="L1127" s="1930" t="s">
        <v>138</v>
      </c>
    </row>
    <row r="1128" spans="1:12" ht="13.5" x14ac:dyDescent="0.25">
      <c r="A1128" s="1930" t="s">
        <v>4469</v>
      </c>
      <c r="B1128" s="1930" t="s">
        <v>4470</v>
      </c>
      <c r="C1128" s="1930" t="s">
        <v>4475</v>
      </c>
      <c r="D1128" s="1930" t="s">
        <v>4476</v>
      </c>
      <c r="E1128" s="1931" t="s">
        <v>33</v>
      </c>
      <c r="F1128" s="1930" t="s">
        <v>33</v>
      </c>
      <c r="G1128" s="1932">
        <v>96060</v>
      </c>
      <c r="H1128" s="1930" t="s">
        <v>1156</v>
      </c>
      <c r="I1128" s="1930" t="s">
        <v>65</v>
      </c>
      <c r="J1128" s="1930" t="s">
        <v>137</v>
      </c>
      <c r="K1128" s="1933">
        <v>1.48</v>
      </c>
      <c r="L1128" s="1930" t="s">
        <v>138</v>
      </c>
    </row>
    <row r="1129" spans="1:12" ht="13.5" x14ac:dyDescent="0.25">
      <c r="A1129" s="1930" t="s">
        <v>4469</v>
      </c>
      <c r="B1129" s="1930" t="s">
        <v>4470</v>
      </c>
      <c r="C1129" s="1930" t="s">
        <v>4475</v>
      </c>
      <c r="D1129" s="1930" t="s">
        <v>4476</v>
      </c>
      <c r="E1129" s="1931" t="s">
        <v>33</v>
      </c>
      <c r="F1129" s="1930" t="s">
        <v>33</v>
      </c>
      <c r="G1129" s="1932">
        <v>96061</v>
      </c>
      <c r="H1129" s="1930" t="s">
        <v>1157</v>
      </c>
      <c r="I1129" s="1930" t="s">
        <v>65</v>
      </c>
      <c r="J1129" s="1930" t="s">
        <v>137</v>
      </c>
      <c r="K1129" s="1933">
        <v>18.399999999999999</v>
      </c>
      <c r="L1129" s="1930" t="s">
        <v>138</v>
      </c>
    </row>
    <row r="1130" spans="1:12" ht="13.5" x14ac:dyDescent="0.25">
      <c r="A1130" s="1930" t="s">
        <v>4469</v>
      </c>
      <c r="B1130" s="1930" t="s">
        <v>4470</v>
      </c>
      <c r="C1130" s="1930" t="s">
        <v>4475</v>
      </c>
      <c r="D1130" s="1930" t="s">
        <v>4476</v>
      </c>
      <c r="E1130" s="1931" t="s">
        <v>33</v>
      </c>
      <c r="F1130" s="1930" t="s">
        <v>33</v>
      </c>
      <c r="G1130" s="1932">
        <v>96062</v>
      </c>
      <c r="H1130" s="1930" t="s">
        <v>1158</v>
      </c>
      <c r="I1130" s="1930" t="s">
        <v>65</v>
      </c>
      <c r="J1130" s="1930" t="s">
        <v>346</v>
      </c>
      <c r="K1130" s="1933">
        <v>32.58</v>
      </c>
      <c r="L1130" s="1930" t="s">
        <v>138</v>
      </c>
    </row>
    <row r="1131" spans="1:12" ht="13.5" x14ac:dyDescent="0.25">
      <c r="A1131" s="1930" t="s">
        <v>4469</v>
      </c>
      <c r="B1131" s="1930" t="s">
        <v>4470</v>
      </c>
      <c r="C1131" s="1930" t="s">
        <v>4475</v>
      </c>
      <c r="D1131" s="1930" t="s">
        <v>4476</v>
      </c>
      <c r="E1131" s="1931" t="s">
        <v>33</v>
      </c>
      <c r="F1131" s="1930" t="s">
        <v>33</v>
      </c>
      <c r="G1131" s="1932">
        <v>96241</v>
      </c>
      <c r="H1131" s="1930" t="s">
        <v>1159</v>
      </c>
      <c r="I1131" s="1930" t="s">
        <v>65</v>
      </c>
      <c r="J1131" s="1930" t="s">
        <v>137</v>
      </c>
      <c r="K1131" s="1933">
        <v>12.61</v>
      </c>
      <c r="L1131" s="1930" t="s">
        <v>138</v>
      </c>
    </row>
    <row r="1132" spans="1:12" ht="13.5" x14ac:dyDescent="0.25">
      <c r="A1132" s="1930" t="s">
        <v>4469</v>
      </c>
      <c r="B1132" s="1930" t="s">
        <v>4470</v>
      </c>
      <c r="C1132" s="1930" t="s">
        <v>4475</v>
      </c>
      <c r="D1132" s="1930" t="s">
        <v>4476</v>
      </c>
      <c r="E1132" s="1931" t="s">
        <v>33</v>
      </c>
      <c r="F1132" s="1930" t="s">
        <v>33</v>
      </c>
      <c r="G1132" s="1932">
        <v>96242</v>
      </c>
      <c r="H1132" s="1930" t="s">
        <v>1160</v>
      </c>
      <c r="I1132" s="1930" t="s">
        <v>65</v>
      </c>
      <c r="J1132" s="1930" t="s">
        <v>137</v>
      </c>
      <c r="K1132" s="1933">
        <v>1.71</v>
      </c>
      <c r="L1132" s="1930" t="s">
        <v>138</v>
      </c>
    </row>
    <row r="1133" spans="1:12" ht="13.5" x14ac:dyDescent="0.25">
      <c r="A1133" s="1930" t="s">
        <v>4469</v>
      </c>
      <c r="B1133" s="1930" t="s">
        <v>4470</v>
      </c>
      <c r="C1133" s="1930" t="s">
        <v>4475</v>
      </c>
      <c r="D1133" s="1930" t="s">
        <v>4476</v>
      </c>
      <c r="E1133" s="1931" t="s">
        <v>33</v>
      </c>
      <c r="F1133" s="1930" t="s">
        <v>33</v>
      </c>
      <c r="G1133" s="1932">
        <v>96243</v>
      </c>
      <c r="H1133" s="1930" t="s">
        <v>1161</v>
      </c>
      <c r="I1133" s="1930" t="s">
        <v>65</v>
      </c>
      <c r="J1133" s="1930" t="s">
        <v>137</v>
      </c>
      <c r="K1133" s="1933">
        <v>15.76</v>
      </c>
      <c r="L1133" s="1930" t="s">
        <v>138</v>
      </c>
    </row>
    <row r="1134" spans="1:12" ht="13.5" x14ac:dyDescent="0.25">
      <c r="A1134" s="1930" t="s">
        <v>4469</v>
      </c>
      <c r="B1134" s="1930" t="s">
        <v>4470</v>
      </c>
      <c r="C1134" s="1930" t="s">
        <v>4475</v>
      </c>
      <c r="D1134" s="1930" t="s">
        <v>4476</v>
      </c>
      <c r="E1134" s="1931" t="s">
        <v>33</v>
      </c>
      <c r="F1134" s="1930" t="s">
        <v>33</v>
      </c>
      <c r="G1134" s="1932">
        <v>96244</v>
      </c>
      <c r="H1134" s="1930" t="s">
        <v>1162</v>
      </c>
      <c r="I1134" s="1930" t="s">
        <v>65</v>
      </c>
      <c r="J1134" s="1930" t="s">
        <v>346</v>
      </c>
      <c r="K1134" s="1933">
        <v>10.82</v>
      </c>
      <c r="L1134" s="1930" t="s">
        <v>138</v>
      </c>
    </row>
    <row r="1135" spans="1:12" ht="13.5" x14ac:dyDescent="0.25">
      <c r="A1135" s="1930" t="s">
        <v>4469</v>
      </c>
      <c r="B1135" s="1930" t="s">
        <v>4470</v>
      </c>
      <c r="C1135" s="1930" t="s">
        <v>4475</v>
      </c>
      <c r="D1135" s="1930" t="s">
        <v>4476</v>
      </c>
      <c r="E1135" s="1931" t="s">
        <v>33</v>
      </c>
      <c r="F1135" s="1930" t="s">
        <v>33</v>
      </c>
      <c r="G1135" s="1932">
        <v>96298</v>
      </c>
      <c r="H1135" s="1930" t="s">
        <v>1163</v>
      </c>
      <c r="I1135" s="1930" t="s">
        <v>65</v>
      </c>
      <c r="J1135" s="1930" t="s">
        <v>137</v>
      </c>
      <c r="K1135" s="1933">
        <v>35.39</v>
      </c>
      <c r="L1135" s="1930" t="s">
        <v>138</v>
      </c>
    </row>
    <row r="1136" spans="1:12" ht="13.5" x14ac:dyDescent="0.25">
      <c r="A1136" s="1930" t="s">
        <v>4469</v>
      </c>
      <c r="B1136" s="1930" t="s">
        <v>4470</v>
      </c>
      <c r="C1136" s="1930" t="s">
        <v>4475</v>
      </c>
      <c r="D1136" s="1930" t="s">
        <v>4476</v>
      </c>
      <c r="E1136" s="1931" t="s">
        <v>33</v>
      </c>
      <c r="F1136" s="1930" t="s">
        <v>33</v>
      </c>
      <c r="G1136" s="1932">
        <v>96299</v>
      </c>
      <c r="H1136" s="1930" t="s">
        <v>1164</v>
      </c>
      <c r="I1136" s="1930" t="s">
        <v>65</v>
      </c>
      <c r="J1136" s="1930" t="s">
        <v>137</v>
      </c>
      <c r="K1136" s="1933">
        <v>4.91</v>
      </c>
      <c r="L1136" s="1930" t="s">
        <v>138</v>
      </c>
    </row>
    <row r="1137" spans="1:12" ht="13.5" x14ac:dyDescent="0.25">
      <c r="A1137" s="1930" t="s">
        <v>4469</v>
      </c>
      <c r="B1137" s="1930" t="s">
        <v>4470</v>
      </c>
      <c r="C1137" s="1930" t="s">
        <v>4475</v>
      </c>
      <c r="D1137" s="1930" t="s">
        <v>4476</v>
      </c>
      <c r="E1137" s="1931" t="s">
        <v>33</v>
      </c>
      <c r="F1137" s="1930" t="s">
        <v>33</v>
      </c>
      <c r="G1137" s="1932">
        <v>96300</v>
      </c>
      <c r="H1137" s="1930" t="s">
        <v>1165</v>
      </c>
      <c r="I1137" s="1930" t="s">
        <v>65</v>
      </c>
      <c r="J1137" s="1930" t="s">
        <v>137</v>
      </c>
      <c r="K1137" s="1933">
        <v>44.29</v>
      </c>
      <c r="L1137" s="1930" t="s">
        <v>138</v>
      </c>
    </row>
    <row r="1138" spans="1:12" ht="13.5" x14ac:dyDescent="0.25">
      <c r="A1138" s="1930" t="s">
        <v>4469</v>
      </c>
      <c r="B1138" s="1930" t="s">
        <v>4470</v>
      </c>
      <c r="C1138" s="1930" t="s">
        <v>4475</v>
      </c>
      <c r="D1138" s="1930" t="s">
        <v>4476</v>
      </c>
      <c r="E1138" s="1931" t="s">
        <v>33</v>
      </c>
      <c r="F1138" s="1930" t="s">
        <v>33</v>
      </c>
      <c r="G1138" s="1932">
        <v>96301</v>
      </c>
      <c r="H1138" s="1930" t="s">
        <v>1166</v>
      </c>
      <c r="I1138" s="1930" t="s">
        <v>65</v>
      </c>
      <c r="J1138" s="1930" t="s">
        <v>346</v>
      </c>
      <c r="K1138" s="1933">
        <v>30.54</v>
      </c>
      <c r="L1138" s="1930" t="s">
        <v>138</v>
      </c>
    </row>
    <row r="1139" spans="1:12" ht="13.5" x14ac:dyDescent="0.25">
      <c r="A1139" s="1930" t="s">
        <v>4469</v>
      </c>
      <c r="B1139" s="1930" t="s">
        <v>4470</v>
      </c>
      <c r="C1139" s="1930" t="s">
        <v>4475</v>
      </c>
      <c r="D1139" s="1930" t="s">
        <v>4476</v>
      </c>
      <c r="E1139" s="1931" t="s">
        <v>33</v>
      </c>
      <c r="F1139" s="1930" t="s">
        <v>33</v>
      </c>
      <c r="G1139" s="1932">
        <v>96304</v>
      </c>
      <c r="H1139" s="1930" t="s">
        <v>1167</v>
      </c>
      <c r="I1139" s="1930" t="s">
        <v>65</v>
      </c>
      <c r="J1139" s="1930" t="s">
        <v>137</v>
      </c>
      <c r="K1139" s="1933">
        <v>0.11</v>
      </c>
      <c r="L1139" s="1930" t="s">
        <v>138</v>
      </c>
    </row>
    <row r="1140" spans="1:12" ht="13.5" x14ac:dyDescent="0.25">
      <c r="A1140" s="1930" t="s">
        <v>4469</v>
      </c>
      <c r="B1140" s="1930" t="s">
        <v>4470</v>
      </c>
      <c r="C1140" s="1930" t="s">
        <v>4475</v>
      </c>
      <c r="D1140" s="1930" t="s">
        <v>4476</v>
      </c>
      <c r="E1140" s="1931" t="s">
        <v>33</v>
      </c>
      <c r="F1140" s="1930" t="s">
        <v>33</v>
      </c>
      <c r="G1140" s="1932">
        <v>96305</v>
      </c>
      <c r="H1140" s="1930" t="s">
        <v>1168</v>
      </c>
      <c r="I1140" s="1930" t="s">
        <v>65</v>
      </c>
      <c r="J1140" s="1930" t="s">
        <v>137</v>
      </c>
      <c r="K1140" s="1933">
        <v>0.01</v>
      </c>
      <c r="L1140" s="1930" t="s">
        <v>138</v>
      </c>
    </row>
    <row r="1141" spans="1:12" ht="13.5" x14ac:dyDescent="0.25">
      <c r="A1141" s="1930" t="s">
        <v>4469</v>
      </c>
      <c r="B1141" s="1930" t="s">
        <v>4470</v>
      </c>
      <c r="C1141" s="1930" t="s">
        <v>4475</v>
      </c>
      <c r="D1141" s="1930" t="s">
        <v>4476</v>
      </c>
      <c r="E1141" s="1931" t="s">
        <v>33</v>
      </c>
      <c r="F1141" s="1930" t="s">
        <v>33</v>
      </c>
      <c r="G1141" s="1932">
        <v>96306</v>
      </c>
      <c r="H1141" s="1930" t="s">
        <v>1169</v>
      </c>
      <c r="I1141" s="1930" t="s">
        <v>65</v>
      </c>
      <c r="J1141" s="1930" t="s">
        <v>137</v>
      </c>
      <c r="K1141" s="1933">
        <v>0.14000000000000001</v>
      </c>
      <c r="L1141" s="1930" t="s">
        <v>138</v>
      </c>
    </row>
    <row r="1142" spans="1:12" ht="13.5" x14ac:dyDescent="0.25">
      <c r="A1142" s="1930" t="s">
        <v>4469</v>
      </c>
      <c r="B1142" s="1930" t="s">
        <v>4470</v>
      </c>
      <c r="C1142" s="1930" t="s">
        <v>4475</v>
      </c>
      <c r="D1142" s="1930" t="s">
        <v>4476</v>
      </c>
      <c r="E1142" s="1931" t="s">
        <v>33</v>
      </c>
      <c r="F1142" s="1930" t="s">
        <v>33</v>
      </c>
      <c r="G1142" s="1932">
        <v>96307</v>
      </c>
      <c r="H1142" s="1930" t="s">
        <v>1170</v>
      </c>
      <c r="I1142" s="1930" t="s">
        <v>65</v>
      </c>
      <c r="J1142" s="1930" t="s">
        <v>320</v>
      </c>
      <c r="K1142" s="1933">
        <v>0.76</v>
      </c>
      <c r="L1142" s="1930" t="s">
        <v>138</v>
      </c>
    </row>
    <row r="1143" spans="1:12" ht="13.5" x14ac:dyDescent="0.25">
      <c r="A1143" s="1930" t="s">
        <v>4469</v>
      </c>
      <c r="B1143" s="1930" t="s">
        <v>4470</v>
      </c>
      <c r="C1143" s="1930" t="s">
        <v>4475</v>
      </c>
      <c r="D1143" s="1930" t="s">
        <v>4476</v>
      </c>
      <c r="E1143" s="1931" t="s">
        <v>33</v>
      </c>
      <c r="F1143" s="1930" t="s">
        <v>33</v>
      </c>
      <c r="G1143" s="1932">
        <v>96457</v>
      </c>
      <c r="H1143" s="1930" t="s">
        <v>1171</v>
      </c>
      <c r="I1143" s="1930" t="s">
        <v>65</v>
      </c>
      <c r="J1143" s="1930" t="s">
        <v>346</v>
      </c>
      <c r="K1143" s="1933">
        <v>39.69</v>
      </c>
      <c r="L1143" s="1930" t="s">
        <v>138</v>
      </c>
    </row>
    <row r="1144" spans="1:12" ht="13.5" x14ac:dyDescent="0.25">
      <c r="A1144" s="1930" t="s">
        <v>4469</v>
      </c>
      <c r="B1144" s="1930" t="s">
        <v>4470</v>
      </c>
      <c r="C1144" s="1930" t="s">
        <v>4475</v>
      </c>
      <c r="D1144" s="1930" t="s">
        <v>4476</v>
      </c>
      <c r="E1144" s="1931" t="s">
        <v>33</v>
      </c>
      <c r="F1144" s="1930" t="s">
        <v>33</v>
      </c>
      <c r="G1144" s="1932">
        <v>96458</v>
      </c>
      <c r="H1144" s="1930" t="s">
        <v>1172</v>
      </c>
      <c r="I1144" s="1930" t="s">
        <v>65</v>
      </c>
      <c r="J1144" s="1930" t="s">
        <v>137</v>
      </c>
      <c r="K1144" s="1933">
        <v>31.26</v>
      </c>
      <c r="L1144" s="1930" t="s">
        <v>138</v>
      </c>
    </row>
    <row r="1145" spans="1:12" ht="13.5" x14ac:dyDescent="0.25">
      <c r="A1145" s="1930" t="s">
        <v>4469</v>
      </c>
      <c r="B1145" s="1930" t="s">
        <v>4470</v>
      </c>
      <c r="C1145" s="1930" t="s">
        <v>4475</v>
      </c>
      <c r="D1145" s="1930" t="s">
        <v>4476</v>
      </c>
      <c r="E1145" s="1931" t="s">
        <v>33</v>
      </c>
      <c r="F1145" s="1930" t="s">
        <v>33</v>
      </c>
      <c r="G1145" s="1932">
        <v>96459</v>
      </c>
      <c r="H1145" s="1930" t="s">
        <v>1173</v>
      </c>
      <c r="I1145" s="1930" t="s">
        <v>65</v>
      </c>
      <c r="J1145" s="1930" t="s">
        <v>137</v>
      </c>
      <c r="K1145" s="1933">
        <v>3.46</v>
      </c>
      <c r="L1145" s="1930" t="s">
        <v>138</v>
      </c>
    </row>
    <row r="1146" spans="1:12" ht="13.5" x14ac:dyDescent="0.25">
      <c r="A1146" s="1930" t="s">
        <v>4469</v>
      </c>
      <c r="B1146" s="1930" t="s">
        <v>4470</v>
      </c>
      <c r="C1146" s="1930" t="s">
        <v>4475</v>
      </c>
      <c r="D1146" s="1930" t="s">
        <v>4476</v>
      </c>
      <c r="E1146" s="1931" t="s">
        <v>33</v>
      </c>
      <c r="F1146" s="1930" t="s">
        <v>33</v>
      </c>
      <c r="G1146" s="1932">
        <v>96460</v>
      </c>
      <c r="H1146" s="1930" t="s">
        <v>1174</v>
      </c>
      <c r="I1146" s="1930" t="s">
        <v>65</v>
      </c>
      <c r="J1146" s="1930" t="s">
        <v>137</v>
      </c>
      <c r="K1146" s="1933">
        <v>24.98</v>
      </c>
      <c r="L1146" s="1930" t="s">
        <v>138</v>
      </c>
    </row>
    <row r="1147" spans="1:12" ht="13.5" x14ac:dyDescent="0.25">
      <c r="A1147" s="1930" t="s">
        <v>4469</v>
      </c>
      <c r="B1147" s="1930" t="s">
        <v>4470</v>
      </c>
      <c r="C1147" s="1930" t="s">
        <v>4475</v>
      </c>
      <c r="D1147" s="1930" t="s">
        <v>4476</v>
      </c>
      <c r="E1147" s="1931" t="s">
        <v>33</v>
      </c>
      <c r="F1147" s="1930" t="s">
        <v>33</v>
      </c>
      <c r="G1147" s="1932">
        <v>98760</v>
      </c>
      <c r="H1147" s="1930" t="s">
        <v>5309</v>
      </c>
      <c r="I1147" s="1930" t="s">
        <v>65</v>
      </c>
      <c r="J1147" s="1930" t="s">
        <v>137</v>
      </c>
      <c r="K1147" s="1933">
        <v>0.06</v>
      </c>
      <c r="L1147" s="1930" t="s">
        <v>138</v>
      </c>
    </row>
    <row r="1148" spans="1:12" ht="13.5" x14ac:dyDescent="0.25">
      <c r="A1148" s="1930" t="s">
        <v>4469</v>
      </c>
      <c r="B1148" s="1930" t="s">
        <v>4470</v>
      </c>
      <c r="C1148" s="1930" t="s">
        <v>4475</v>
      </c>
      <c r="D1148" s="1930" t="s">
        <v>4476</v>
      </c>
      <c r="E1148" s="1931" t="s">
        <v>33</v>
      </c>
      <c r="F1148" s="1930" t="s">
        <v>33</v>
      </c>
      <c r="G1148" s="1932">
        <v>98761</v>
      </c>
      <c r="H1148" s="1930" t="s">
        <v>5310</v>
      </c>
      <c r="I1148" s="1930" t="s">
        <v>65</v>
      </c>
      <c r="J1148" s="1930" t="s">
        <v>137</v>
      </c>
      <c r="K1148" s="1933">
        <v>0.01</v>
      </c>
      <c r="L1148" s="1930" t="s">
        <v>138</v>
      </c>
    </row>
    <row r="1149" spans="1:12" ht="13.5" x14ac:dyDescent="0.25">
      <c r="A1149" s="1930" t="s">
        <v>4469</v>
      </c>
      <c r="B1149" s="1930" t="s">
        <v>4470</v>
      </c>
      <c r="C1149" s="1930" t="s">
        <v>4475</v>
      </c>
      <c r="D1149" s="1930" t="s">
        <v>4476</v>
      </c>
      <c r="E1149" s="1931" t="s">
        <v>33</v>
      </c>
      <c r="F1149" s="1930" t="s">
        <v>33</v>
      </c>
      <c r="G1149" s="1932">
        <v>98762</v>
      </c>
      <c r="H1149" s="1930" t="s">
        <v>5311</v>
      </c>
      <c r="I1149" s="1930" t="s">
        <v>65</v>
      </c>
      <c r="J1149" s="1930" t="s">
        <v>137</v>
      </c>
      <c r="K1149" s="1933">
        <v>7.0000000000000007E-2</v>
      </c>
      <c r="L1149" s="1930" t="s">
        <v>138</v>
      </c>
    </row>
    <row r="1150" spans="1:12" ht="13.5" x14ac:dyDescent="0.25">
      <c r="A1150" s="1930" t="s">
        <v>4469</v>
      </c>
      <c r="B1150" s="1930" t="s">
        <v>4470</v>
      </c>
      <c r="C1150" s="1930" t="s">
        <v>4475</v>
      </c>
      <c r="D1150" s="1930" t="s">
        <v>4476</v>
      </c>
      <c r="E1150" s="1931" t="s">
        <v>33</v>
      </c>
      <c r="F1150" s="1930" t="s">
        <v>33</v>
      </c>
      <c r="G1150" s="1932">
        <v>98763</v>
      </c>
      <c r="H1150" s="1930" t="s">
        <v>5312</v>
      </c>
      <c r="I1150" s="1930" t="s">
        <v>65</v>
      </c>
      <c r="J1150" s="1930" t="s">
        <v>320</v>
      </c>
      <c r="K1150" s="1933">
        <v>2.75</v>
      </c>
      <c r="L1150" s="1930" t="s">
        <v>138</v>
      </c>
    </row>
    <row r="1151" spans="1:12" ht="13.5" x14ac:dyDescent="0.25">
      <c r="A1151" s="1930" t="s">
        <v>4469</v>
      </c>
      <c r="B1151" s="1930" t="s">
        <v>4470</v>
      </c>
      <c r="C1151" s="1930" t="s">
        <v>4475</v>
      </c>
      <c r="D1151" s="1930" t="s">
        <v>4476</v>
      </c>
      <c r="E1151" s="1931" t="s">
        <v>33</v>
      </c>
      <c r="F1151" s="1930" t="s">
        <v>33</v>
      </c>
      <c r="G1151" s="1932">
        <v>99829</v>
      </c>
      <c r="H1151" s="1930" t="s">
        <v>7904</v>
      </c>
      <c r="I1151" s="1930" t="s">
        <v>65</v>
      </c>
      <c r="J1151" s="1930" t="s">
        <v>137</v>
      </c>
      <c r="K1151" s="1933">
        <v>0.12</v>
      </c>
      <c r="L1151" s="1930" t="s">
        <v>138</v>
      </c>
    </row>
    <row r="1152" spans="1:12" ht="13.5" x14ac:dyDescent="0.25">
      <c r="A1152" s="1930" t="s">
        <v>4469</v>
      </c>
      <c r="B1152" s="1930" t="s">
        <v>4470</v>
      </c>
      <c r="C1152" s="1930" t="s">
        <v>4475</v>
      </c>
      <c r="D1152" s="1930" t="s">
        <v>4476</v>
      </c>
      <c r="E1152" s="1931" t="s">
        <v>33</v>
      </c>
      <c r="F1152" s="1930" t="s">
        <v>33</v>
      </c>
      <c r="G1152" s="1932">
        <v>99830</v>
      </c>
      <c r="H1152" s="1930" t="s">
        <v>7905</v>
      </c>
      <c r="I1152" s="1930" t="s">
        <v>65</v>
      </c>
      <c r="J1152" s="1930" t="s">
        <v>137</v>
      </c>
      <c r="K1152" s="1933">
        <v>0.01</v>
      </c>
      <c r="L1152" s="1930" t="s">
        <v>138</v>
      </c>
    </row>
    <row r="1153" spans="1:12" ht="13.5" x14ac:dyDescent="0.25">
      <c r="A1153" s="1930" t="s">
        <v>4469</v>
      </c>
      <c r="B1153" s="1930" t="s">
        <v>4470</v>
      </c>
      <c r="C1153" s="1930" t="s">
        <v>4475</v>
      </c>
      <c r="D1153" s="1930" t="s">
        <v>4476</v>
      </c>
      <c r="E1153" s="1931" t="s">
        <v>33</v>
      </c>
      <c r="F1153" s="1930" t="s">
        <v>33</v>
      </c>
      <c r="G1153" s="1932">
        <v>99831</v>
      </c>
      <c r="H1153" s="1930" t="s">
        <v>7906</v>
      </c>
      <c r="I1153" s="1930" t="s">
        <v>65</v>
      </c>
      <c r="J1153" s="1930" t="s">
        <v>137</v>
      </c>
      <c r="K1153" s="1933">
        <v>0.18</v>
      </c>
      <c r="L1153" s="1930" t="s">
        <v>138</v>
      </c>
    </row>
    <row r="1154" spans="1:12" ht="13.5" x14ac:dyDescent="0.25">
      <c r="A1154" s="1930" t="s">
        <v>4469</v>
      </c>
      <c r="B1154" s="1930" t="s">
        <v>4470</v>
      </c>
      <c r="C1154" s="1930" t="s">
        <v>4475</v>
      </c>
      <c r="D1154" s="1930" t="s">
        <v>4476</v>
      </c>
      <c r="E1154" s="1931" t="s">
        <v>33</v>
      </c>
      <c r="F1154" s="1930" t="s">
        <v>33</v>
      </c>
      <c r="G1154" s="1932">
        <v>99832</v>
      </c>
      <c r="H1154" s="1930" t="s">
        <v>7907</v>
      </c>
      <c r="I1154" s="1930" t="s">
        <v>65</v>
      </c>
      <c r="J1154" s="1930" t="s">
        <v>320</v>
      </c>
      <c r="K1154" s="1933">
        <v>0.71</v>
      </c>
      <c r="L1154" s="1930" t="s">
        <v>138</v>
      </c>
    </row>
    <row r="1155" spans="1:12" ht="13.5" x14ac:dyDescent="0.25">
      <c r="A1155" s="1930" t="s">
        <v>4469</v>
      </c>
      <c r="B1155" s="1930" t="s">
        <v>4470</v>
      </c>
      <c r="C1155" s="1930" t="s">
        <v>4475</v>
      </c>
      <c r="D1155" s="1930" t="s">
        <v>4476</v>
      </c>
      <c r="E1155" s="1931" t="s">
        <v>33</v>
      </c>
      <c r="F1155" s="1930" t="s">
        <v>33</v>
      </c>
      <c r="G1155" s="1932">
        <v>100637</v>
      </c>
      <c r="H1155" s="1930" t="s">
        <v>8605</v>
      </c>
      <c r="I1155" s="1930" t="s">
        <v>65</v>
      </c>
      <c r="J1155" s="1930" t="s">
        <v>137</v>
      </c>
      <c r="K1155" s="1933">
        <v>81.06</v>
      </c>
      <c r="L1155" s="1930" t="s">
        <v>138</v>
      </c>
    </row>
    <row r="1156" spans="1:12" ht="13.5" x14ac:dyDescent="0.25">
      <c r="A1156" s="1930" t="s">
        <v>4469</v>
      </c>
      <c r="B1156" s="1930" t="s">
        <v>4470</v>
      </c>
      <c r="C1156" s="1930" t="s">
        <v>4475</v>
      </c>
      <c r="D1156" s="1930" t="s">
        <v>4476</v>
      </c>
      <c r="E1156" s="1931" t="s">
        <v>33</v>
      </c>
      <c r="F1156" s="1930" t="s">
        <v>33</v>
      </c>
      <c r="G1156" s="1932">
        <v>100638</v>
      </c>
      <c r="H1156" s="1930" t="s">
        <v>8606</v>
      </c>
      <c r="I1156" s="1930" t="s">
        <v>65</v>
      </c>
      <c r="J1156" s="1930" t="s">
        <v>137</v>
      </c>
      <c r="K1156" s="1933">
        <v>14.59</v>
      </c>
      <c r="L1156" s="1930" t="s">
        <v>138</v>
      </c>
    </row>
    <row r="1157" spans="1:12" ht="13.5" x14ac:dyDescent="0.25">
      <c r="A1157" s="1930" t="s">
        <v>4469</v>
      </c>
      <c r="B1157" s="1930" t="s">
        <v>4470</v>
      </c>
      <c r="C1157" s="1930" t="s">
        <v>4475</v>
      </c>
      <c r="D1157" s="1930" t="s">
        <v>4476</v>
      </c>
      <c r="E1157" s="1931" t="s">
        <v>33</v>
      </c>
      <c r="F1157" s="1930" t="s">
        <v>33</v>
      </c>
      <c r="G1157" s="1932">
        <v>100639</v>
      </c>
      <c r="H1157" s="1930" t="s">
        <v>8607</v>
      </c>
      <c r="I1157" s="1930" t="s">
        <v>65</v>
      </c>
      <c r="J1157" s="1930" t="s">
        <v>137</v>
      </c>
      <c r="K1157" s="1933">
        <v>130.31</v>
      </c>
      <c r="L1157" s="1930" t="s">
        <v>138</v>
      </c>
    </row>
    <row r="1158" spans="1:12" ht="13.5" x14ac:dyDescent="0.25">
      <c r="A1158" s="1930" t="s">
        <v>4469</v>
      </c>
      <c r="B1158" s="1930" t="s">
        <v>4470</v>
      </c>
      <c r="C1158" s="1930" t="s">
        <v>4475</v>
      </c>
      <c r="D1158" s="1930" t="s">
        <v>4476</v>
      </c>
      <c r="E1158" s="1931" t="s">
        <v>33</v>
      </c>
      <c r="F1158" s="1930" t="s">
        <v>33</v>
      </c>
      <c r="G1158" s="1932">
        <v>100640</v>
      </c>
      <c r="H1158" s="1930" t="s">
        <v>8608</v>
      </c>
      <c r="I1158" s="1930" t="s">
        <v>65</v>
      </c>
      <c r="J1158" s="1930" t="s">
        <v>320</v>
      </c>
      <c r="K1158" s="1933">
        <v>142.80000000000001</v>
      </c>
      <c r="L1158" s="1930" t="s">
        <v>138</v>
      </c>
    </row>
    <row r="1159" spans="1:12" ht="13.5" x14ac:dyDescent="0.25">
      <c r="A1159" s="1930" t="s">
        <v>4469</v>
      </c>
      <c r="B1159" s="1930" t="s">
        <v>4470</v>
      </c>
      <c r="C1159" s="1930" t="s">
        <v>4475</v>
      </c>
      <c r="D1159" s="1930" t="s">
        <v>4476</v>
      </c>
      <c r="E1159" s="1931" t="s">
        <v>33</v>
      </c>
      <c r="F1159" s="1930" t="s">
        <v>33</v>
      </c>
      <c r="G1159" s="1932">
        <v>100643</v>
      </c>
      <c r="H1159" s="1930" t="s">
        <v>8609</v>
      </c>
      <c r="I1159" s="1930" t="s">
        <v>65</v>
      </c>
      <c r="J1159" s="1930" t="s">
        <v>137</v>
      </c>
      <c r="K1159" s="1933">
        <v>213.45</v>
      </c>
      <c r="L1159" s="1930" t="s">
        <v>138</v>
      </c>
    </row>
    <row r="1160" spans="1:12" ht="13.5" x14ac:dyDescent="0.25">
      <c r="A1160" s="1930" t="s">
        <v>4469</v>
      </c>
      <c r="B1160" s="1930" t="s">
        <v>4470</v>
      </c>
      <c r="C1160" s="1930" t="s">
        <v>4475</v>
      </c>
      <c r="D1160" s="1930" t="s">
        <v>4476</v>
      </c>
      <c r="E1160" s="1931" t="s">
        <v>33</v>
      </c>
      <c r="F1160" s="1930" t="s">
        <v>33</v>
      </c>
      <c r="G1160" s="1932">
        <v>100644</v>
      </c>
      <c r="H1160" s="1930" t="s">
        <v>8610</v>
      </c>
      <c r="I1160" s="1930" t="s">
        <v>65</v>
      </c>
      <c r="J1160" s="1930" t="s">
        <v>137</v>
      </c>
      <c r="K1160" s="1933">
        <v>38.42</v>
      </c>
      <c r="L1160" s="1930" t="s">
        <v>138</v>
      </c>
    </row>
    <row r="1161" spans="1:12" ht="13.5" x14ac:dyDescent="0.25">
      <c r="A1161" s="1930" t="s">
        <v>4469</v>
      </c>
      <c r="B1161" s="1930" t="s">
        <v>4470</v>
      </c>
      <c r="C1161" s="1930" t="s">
        <v>4475</v>
      </c>
      <c r="D1161" s="1930" t="s">
        <v>4476</v>
      </c>
      <c r="E1161" s="1931" t="s">
        <v>33</v>
      </c>
      <c r="F1161" s="1930" t="s">
        <v>33</v>
      </c>
      <c r="G1161" s="1932">
        <v>100645</v>
      </c>
      <c r="H1161" s="1930" t="s">
        <v>8611</v>
      </c>
      <c r="I1161" s="1930" t="s">
        <v>65</v>
      </c>
      <c r="J1161" s="1930" t="s">
        <v>137</v>
      </c>
      <c r="K1161" s="1933">
        <v>343.12</v>
      </c>
      <c r="L1161" s="1930" t="s">
        <v>138</v>
      </c>
    </row>
    <row r="1162" spans="1:12" ht="13.5" x14ac:dyDescent="0.25">
      <c r="A1162" s="1930" t="s">
        <v>4469</v>
      </c>
      <c r="B1162" s="1930" t="s">
        <v>4470</v>
      </c>
      <c r="C1162" s="1930" t="s">
        <v>4475</v>
      </c>
      <c r="D1162" s="1930" t="s">
        <v>4476</v>
      </c>
      <c r="E1162" s="1931" t="s">
        <v>33</v>
      </c>
      <c r="F1162" s="1930" t="s">
        <v>33</v>
      </c>
      <c r="G1162" s="1932">
        <v>100646</v>
      </c>
      <c r="H1162" s="1930" t="s">
        <v>8612</v>
      </c>
      <c r="I1162" s="1930" t="s">
        <v>65</v>
      </c>
      <c r="J1162" s="1930" t="s">
        <v>320</v>
      </c>
      <c r="K1162" s="1933">
        <v>204</v>
      </c>
      <c r="L1162" s="1930" t="s">
        <v>138</v>
      </c>
    </row>
    <row r="1163" spans="1:12" ht="13.5" x14ac:dyDescent="0.25">
      <c r="A1163" s="1930" t="s">
        <v>4477</v>
      </c>
      <c r="B1163" s="1930" t="s">
        <v>4478</v>
      </c>
      <c r="C1163" s="1930" t="s">
        <v>4479</v>
      </c>
      <c r="D1163" s="1930" t="s">
        <v>4480</v>
      </c>
      <c r="E1163" s="1931" t="s">
        <v>33</v>
      </c>
      <c r="F1163" s="1930" t="s">
        <v>33</v>
      </c>
      <c r="G1163" s="1932">
        <v>55960</v>
      </c>
      <c r="H1163" s="1930" t="s">
        <v>1175</v>
      </c>
      <c r="I1163" s="1930" t="s">
        <v>306</v>
      </c>
      <c r="J1163" s="1930" t="s">
        <v>320</v>
      </c>
      <c r="K1163" s="1933">
        <v>5.18</v>
      </c>
      <c r="L1163" s="1930" t="s">
        <v>138</v>
      </c>
    </row>
    <row r="1164" spans="1:12" ht="13.5" x14ac:dyDescent="0.25">
      <c r="A1164" s="1930" t="s">
        <v>4477</v>
      </c>
      <c r="B1164" s="1930" t="s">
        <v>4478</v>
      </c>
      <c r="C1164" s="1930" t="s">
        <v>4479</v>
      </c>
      <c r="D1164" s="1930" t="s">
        <v>4480</v>
      </c>
      <c r="E1164" s="1931" t="s">
        <v>33</v>
      </c>
      <c r="F1164" s="1930" t="s">
        <v>33</v>
      </c>
      <c r="G1164" s="1932">
        <v>92259</v>
      </c>
      <c r="H1164" s="1930" t="s">
        <v>7908</v>
      </c>
      <c r="I1164" s="1930" t="s">
        <v>168</v>
      </c>
      <c r="J1164" s="1930" t="s">
        <v>137</v>
      </c>
      <c r="K1164" s="1933">
        <v>327.73</v>
      </c>
      <c r="L1164" s="1930" t="s">
        <v>138</v>
      </c>
    </row>
    <row r="1165" spans="1:12" ht="13.5" x14ac:dyDescent="0.25">
      <c r="A1165" s="1930" t="s">
        <v>4477</v>
      </c>
      <c r="B1165" s="1930" t="s">
        <v>4478</v>
      </c>
      <c r="C1165" s="1930" t="s">
        <v>4479</v>
      </c>
      <c r="D1165" s="1930" t="s">
        <v>4480</v>
      </c>
      <c r="E1165" s="1931" t="s">
        <v>33</v>
      </c>
      <c r="F1165" s="1930" t="s">
        <v>33</v>
      </c>
      <c r="G1165" s="1932">
        <v>92260</v>
      </c>
      <c r="H1165" s="1930" t="s">
        <v>7909</v>
      </c>
      <c r="I1165" s="1930" t="s">
        <v>168</v>
      </c>
      <c r="J1165" s="1930" t="s">
        <v>137</v>
      </c>
      <c r="K1165" s="1933">
        <v>375.59</v>
      </c>
      <c r="L1165" s="1930" t="s">
        <v>138</v>
      </c>
    </row>
    <row r="1166" spans="1:12" ht="13.5" x14ac:dyDescent="0.25">
      <c r="A1166" s="1930" t="s">
        <v>4477</v>
      </c>
      <c r="B1166" s="1930" t="s">
        <v>4478</v>
      </c>
      <c r="C1166" s="1930" t="s">
        <v>4479</v>
      </c>
      <c r="D1166" s="1930" t="s">
        <v>4480</v>
      </c>
      <c r="E1166" s="1931" t="s">
        <v>33</v>
      </c>
      <c r="F1166" s="1930" t="s">
        <v>33</v>
      </c>
      <c r="G1166" s="1932">
        <v>92261</v>
      </c>
      <c r="H1166" s="1930" t="s">
        <v>7910</v>
      </c>
      <c r="I1166" s="1930" t="s">
        <v>168</v>
      </c>
      <c r="J1166" s="1930" t="s">
        <v>137</v>
      </c>
      <c r="K1166" s="1933">
        <v>422</v>
      </c>
      <c r="L1166" s="1930" t="s">
        <v>138</v>
      </c>
    </row>
    <row r="1167" spans="1:12" ht="13.5" x14ac:dyDescent="0.25">
      <c r="A1167" s="1930" t="s">
        <v>4477</v>
      </c>
      <c r="B1167" s="1930" t="s">
        <v>4478</v>
      </c>
      <c r="C1167" s="1930" t="s">
        <v>4479</v>
      </c>
      <c r="D1167" s="1930" t="s">
        <v>4480</v>
      </c>
      <c r="E1167" s="1931" t="s">
        <v>33</v>
      </c>
      <c r="F1167" s="1930" t="s">
        <v>33</v>
      </c>
      <c r="G1167" s="1932">
        <v>92262</v>
      </c>
      <c r="H1167" s="1930" t="s">
        <v>7911</v>
      </c>
      <c r="I1167" s="1930" t="s">
        <v>168</v>
      </c>
      <c r="J1167" s="1930" t="s">
        <v>137</v>
      </c>
      <c r="K1167" s="1933">
        <v>496.7</v>
      </c>
      <c r="L1167" s="1930" t="s">
        <v>138</v>
      </c>
    </row>
    <row r="1168" spans="1:12" ht="13.5" x14ac:dyDescent="0.25">
      <c r="A1168" s="1930" t="s">
        <v>4477</v>
      </c>
      <c r="B1168" s="1930" t="s">
        <v>4478</v>
      </c>
      <c r="C1168" s="1930" t="s">
        <v>4479</v>
      </c>
      <c r="D1168" s="1930" t="s">
        <v>4480</v>
      </c>
      <c r="E1168" s="1931" t="s">
        <v>33</v>
      </c>
      <c r="F1168" s="1930" t="s">
        <v>33</v>
      </c>
      <c r="G1168" s="1932">
        <v>92539</v>
      </c>
      <c r="H1168" s="1930" t="s">
        <v>7912</v>
      </c>
      <c r="I1168" s="1930" t="s">
        <v>306</v>
      </c>
      <c r="J1168" s="1930" t="s">
        <v>137</v>
      </c>
      <c r="K1168" s="1933">
        <v>57.3</v>
      </c>
      <c r="L1168" s="1930" t="s">
        <v>138</v>
      </c>
    </row>
    <row r="1169" spans="1:12" ht="13.5" x14ac:dyDescent="0.25">
      <c r="A1169" s="1930" t="s">
        <v>4477</v>
      </c>
      <c r="B1169" s="1930" t="s">
        <v>4478</v>
      </c>
      <c r="C1169" s="1930" t="s">
        <v>4479</v>
      </c>
      <c r="D1169" s="1930" t="s">
        <v>4480</v>
      </c>
      <c r="E1169" s="1931" t="s">
        <v>33</v>
      </c>
      <c r="F1169" s="1930" t="s">
        <v>33</v>
      </c>
      <c r="G1169" s="1932">
        <v>92540</v>
      </c>
      <c r="H1169" s="1930" t="s">
        <v>7913</v>
      </c>
      <c r="I1169" s="1930" t="s">
        <v>306</v>
      </c>
      <c r="J1169" s="1930" t="s">
        <v>137</v>
      </c>
      <c r="K1169" s="1933">
        <v>64.47</v>
      </c>
      <c r="L1169" s="1930" t="s">
        <v>138</v>
      </c>
    </row>
    <row r="1170" spans="1:12" ht="13.5" x14ac:dyDescent="0.25">
      <c r="A1170" s="1930" t="s">
        <v>4477</v>
      </c>
      <c r="B1170" s="1930" t="s">
        <v>4478</v>
      </c>
      <c r="C1170" s="1930" t="s">
        <v>4479</v>
      </c>
      <c r="D1170" s="1930" t="s">
        <v>4480</v>
      </c>
      <c r="E1170" s="1931" t="s">
        <v>33</v>
      </c>
      <c r="F1170" s="1930" t="s">
        <v>33</v>
      </c>
      <c r="G1170" s="1932">
        <v>92541</v>
      </c>
      <c r="H1170" s="1930" t="s">
        <v>7914</v>
      </c>
      <c r="I1170" s="1930" t="s">
        <v>306</v>
      </c>
      <c r="J1170" s="1930" t="s">
        <v>137</v>
      </c>
      <c r="K1170" s="1933">
        <v>61.54</v>
      </c>
      <c r="L1170" s="1930" t="s">
        <v>138</v>
      </c>
    </row>
    <row r="1171" spans="1:12" ht="13.5" x14ac:dyDescent="0.25">
      <c r="A1171" s="1930" t="s">
        <v>4477</v>
      </c>
      <c r="B1171" s="1930" t="s">
        <v>4478</v>
      </c>
      <c r="C1171" s="1930" t="s">
        <v>4479</v>
      </c>
      <c r="D1171" s="1930" t="s">
        <v>4480</v>
      </c>
      <c r="E1171" s="1931" t="s">
        <v>33</v>
      </c>
      <c r="F1171" s="1930" t="s">
        <v>33</v>
      </c>
      <c r="G1171" s="1932">
        <v>92542</v>
      </c>
      <c r="H1171" s="1930" t="s">
        <v>7915</v>
      </c>
      <c r="I1171" s="1930" t="s">
        <v>306</v>
      </c>
      <c r="J1171" s="1930" t="s">
        <v>137</v>
      </c>
      <c r="K1171" s="1933">
        <v>74.5</v>
      </c>
      <c r="L1171" s="1930" t="s">
        <v>138</v>
      </c>
    </row>
    <row r="1172" spans="1:12" ht="13.5" x14ac:dyDescent="0.25">
      <c r="A1172" s="1930" t="s">
        <v>4477</v>
      </c>
      <c r="B1172" s="1930" t="s">
        <v>4478</v>
      </c>
      <c r="C1172" s="1930" t="s">
        <v>4479</v>
      </c>
      <c r="D1172" s="1930" t="s">
        <v>4480</v>
      </c>
      <c r="E1172" s="1931" t="s">
        <v>33</v>
      </c>
      <c r="F1172" s="1930" t="s">
        <v>33</v>
      </c>
      <c r="G1172" s="1932">
        <v>92543</v>
      </c>
      <c r="H1172" s="1930" t="s">
        <v>7916</v>
      </c>
      <c r="I1172" s="1930" t="s">
        <v>306</v>
      </c>
      <c r="J1172" s="1930" t="s">
        <v>137</v>
      </c>
      <c r="K1172" s="1933">
        <v>16.28</v>
      </c>
      <c r="L1172" s="1930" t="s">
        <v>138</v>
      </c>
    </row>
    <row r="1173" spans="1:12" ht="13.5" x14ac:dyDescent="0.25">
      <c r="A1173" s="1930" t="s">
        <v>4477</v>
      </c>
      <c r="B1173" s="1930" t="s">
        <v>4478</v>
      </c>
      <c r="C1173" s="1930" t="s">
        <v>4479</v>
      </c>
      <c r="D1173" s="1930" t="s">
        <v>4480</v>
      </c>
      <c r="E1173" s="1931" t="s">
        <v>33</v>
      </c>
      <c r="F1173" s="1930" t="s">
        <v>33</v>
      </c>
      <c r="G1173" s="1932">
        <v>92544</v>
      </c>
      <c r="H1173" s="1930" t="s">
        <v>7917</v>
      </c>
      <c r="I1173" s="1930" t="s">
        <v>306</v>
      </c>
      <c r="J1173" s="1930" t="s">
        <v>137</v>
      </c>
      <c r="K1173" s="1933">
        <v>13.86</v>
      </c>
      <c r="L1173" s="1930" t="s">
        <v>138</v>
      </c>
    </row>
    <row r="1174" spans="1:12" ht="13.5" x14ac:dyDescent="0.25">
      <c r="A1174" s="1930" t="s">
        <v>4477</v>
      </c>
      <c r="B1174" s="1930" t="s">
        <v>4478</v>
      </c>
      <c r="C1174" s="1930" t="s">
        <v>4479</v>
      </c>
      <c r="D1174" s="1930" t="s">
        <v>4480</v>
      </c>
      <c r="E1174" s="1931" t="s">
        <v>33</v>
      </c>
      <c r="F1174" s="1930" t="s">
        <v>33</v>
      </c>
      <c r="G1174" s="1932">
        <v>92545</v>
      </c>
      <c r="H1174" s="1930" t="s">
        <v>7918</v>
      </c>
      <c r="I1174" s="1930" t="s">
        <v>168</v>
      </c>
      <c r="J1174" s="1930" t="s">
        <v>137</v>
      </c>
      <c r="K1174" s="1933">
        <v>711.84</v>
      </c>
      <c r="L1174" s="1930" t="s">
        <v>138</v>
      </c>
    </row>
    <row r="1175" spans="1:12" ht="13.5" x14ac:dyDescent="0.25">
      <c r="A1175" s="1930" t="s">
        <v>4477</v>
      </c>
      <c r="B1175" s="1930" t="s">
        <v>4478</v>
      </c>
      <c r="C1175" s="1930" t="s">
        <v>4479</v>
      </c>
      <c r="D1175" s="1930" t="s">
        <v>4480</v>
      </c>
      <c r="E1175" s="1931" t="s">
        <v>33</v>
      </c>
      <c r="F1175" s="1930" t="s">
        <v>33</v>
      </c>
      <c r="G1175" s="1932">
        <v>92546</v>
      </c>
      <c r="H1175" s="1930" t="s">
        <v>7919</v>
      </c>
      <c r="I1175" s="1930" t="s">
        <v>168</v>
      </c>
      <c r="J1175" s="1930" t="s">
        <v>137</v>
      </c>
      <c r="K1175" s="1933">
        <v>875.05</v>
      </c>
      <c r="L1175" s="1930" t="s">
        <v>138</v>
      </c>
    </row>
    <row r="1176" spans="1:12" ht="13.5" x14ac:dyDescent="0.25">
      <c r="A1176" s="1930" t="s">
        <v>4477</v>
      </c>
      <c r="B1176" s="1930" t="s">
        <v>4478</v>
      </c>
      <c r="C1176" s="1930" t="s">
        <v>4479</v>
      </c>
      <c r="D1176" s="1930" t="s">
        <v>4480</v>
      </c>
      <c r="E1176" s="1931" t="s">
        <v>33</v>
      </c>
      <c r="F1176" s="1930" t="s">
        <v>33</v>
      </c>
      <c r="G1176" s="1932">
        <v>92547</v>
      </c>
      <c r="H1176" s="1930" t="s">
        <v>7920</v>
      </c>
      <c r="I1176" s="1930" t="s">
        <v>168</v>
      </c>
      <c r="J1176" s="1930" t="s">
        <v>137</v>
      </c>
      <c r="K1176" s="1933">
        <v>923.13</v>
      </c>
      <c r="L1176" s="1930" t="s">
        <v>138</v>
      </c>
    </row>
    <row r="1177" spans="1:12" ht="13.5" x14ac:dyDescent="0.25">
      <c r="A1177" s="1930" t="s">
        <v>4477</v>
      </c>
      <c r="B1177" s="1930" t="s">
        <v>4478</v>
      </c>
      <c r="C1177" s="1930" t="s">
        <v>4479</v>
      </c>
      <c r="D1177" s="1930" t="s">
        <v>4480</v>
      </c>
      <c r="E1177" s="1931" t="s">
        <v>33</v>
      </c>
      <c r="F1177" s="1930" t="s">
        <v>33</v>
      </c>
      <c r="G1177" s="1932">
        <v>92548</v>
      </c>
      <c r="H1177" s="1930" t="s">
        <v>7921</v>
      </c>
      <c r="I1177" s="1930" t="s">
        <v>168</v>
      </c>
      <c r="J1177" s="1930" t="s">
        <v>137</v>
      </c>
      <c r="K1177" s="1933">
        <v>1028.8</v>
      </c>
      <c r="L1177" s="1930" t="s">
        <v>138</v>
      </c>
    </row>
    <row r="1178" spans="1:12" ht="13.5" x14ac:dyDescent="0.25">
      <c r="A1178" s="1930" t="s">
        <v>4477</v>
      </c>
      <c r="B1178" s="1930" t="s">
        <v>4478</v>
      </c>
      <c r="C1178" s="1930" t="s">
        <v>4479</v>
      </c>
      <c r="D1178" s="1930" t="s">
        <v>4480</v>
      </c>
      <c r="E1178" s="1931" t="s">
        <v>33</v>
      </c>
      <c r="F1178" s="1930" t="s">
        <v>33</v>
      </c>
      <c r="G1178" s="1932">
        <v>92549</v>
      </c>
      <c r="H1178" s="1930" t="s">
        <v>7922</v>
      </c>
      <c r="I1178" s="1930" t="s">
        <v>168</v>
      </c>
      <c r="J1178" s="1930" t="s">
        <v>137</v>
      </c>
      <c r="K1178" s="1933">
        <v>1297.26</v>
      </c>
      <c r="L1178" s="1930" t="s">
        <v>138</v>
      </c>
    </row>
    <row r="1179" spans="1:12" ht="13.5" x14ac:dyDescent="0.25">
      <c r="A1179" s="1930" t="s">
        <v>4477</v>
      </c>
      <c r="B1179" s="1930" t="s">
        <v>4478</v>
      </c>
      <c r="C1179" s="1930" t="s">
        <v>4479</v>
      </c>
      <c r="D1179" s="1930" t="s">
        <v>4480</v>
      </c>
      <c r="E1179" s="1931" t="s">
        <v>33</v>
      </c>
      <c r="F1179" s="1930" t="s">
        <v>33</v>
      </c>
      <c r="G1179" s="1932">
        <v>92550</v>
      </c>
      <c r="H1179" s="1930" t="s">
        <v>7923</v>
      </c>
      <c r="I1179" s="1930" t="s">
        <v>168</v>
      </c>
      <c r="J1179" s="1930" t="s">
        <v>137</v>
      </c>
      <c r="K1179" s="1933">
        <v>1593.33</v>
      </c>
      <c r="L1179" s="1930" t="s">
        <v>138</v>
      </c>
    </row>
    <row r="1180" spans="1:12" ht="13.5" x14ac:dyDescent="0.25">
      <c r="A1180" s="1930" t="s">
        <v>4477</v>
      </c>
      <c r="B1180" s="1930" t="s">
        <v>4478</v>
      </c>
      <c r="C1180" s="1930" t="s">
        <v>4479</v>
      </c>
      <c r="D1180" s="1930" t="s">
        <v>4480</v>
      </c>
      <c r="E1180" s="1931" t="s">
        <v>33</v>
      </c>
      <c r="F1180" s="1930" t="s">
        <v>33</v>
      </c>
      <c r="G1180" s="1932">
        <v>92551</v>
      </c>
      <c r="H1180" s="1930" t="s">
        <v>7924</v>
      </c>
      <c r="I1180" s="1930" t="s">
        <v>168</v>
      </c>
      <c r="J1180" s="1930" t="s">
        <v>137</v>
      </c>
      <c r="K1180" s="1933">
        <v>1657.27</v>
      </c>
      <c r="L1180" s="1930" t="s">
        <v>138</v>
      </c>
    </row>
    <row r="1181" spans="1:12" ht="13.5" x14ac:dyDescent="0.25">
      <c r="A1181" s="1930" t="s">
        <v>4477</v>
      </c>
      <c r="B1181" s="1930" t="s">
        <v>4478</v>
      </c>
      <c r="C1181" s="1930" t="s">
        <v>4479</v>
      </c>
      <c r="D1181" s="1930" t="s">
        <v>4480</v>
      </c>
      <c r="E1181" s="1931" t="s">
        <v>33</v>
      </c>
      <c r="F1181" s="1930" t="s">
        <v>33</v>
      </c>
      <c r="G1181" s="1932">
        <v>92552</v>
      </c>
      <c r="H1181" s="1930" t="s">
        <v>7925</v>
      </c>
      <c r="I1181" s="1930" t="s">
        <v>168</v>
      </c>
      <c r="J1181" s="1930" t="s">
        <v>137</v>
      </c>
      <c r="K1181" s="1933">
        <v>1805.65</v>
      </c>
      <c r="L1181" s="1930" t="s">
        <v>138</v>
      </c>
    </row>
    <row r="1182" spans="1:12" ht="13.5" x14ac:dyDescent="0.25">
      <c r="A1182" s="1930" t="s">
        <v>4477</v>
      </c>
      <c r="B1182" s="1930" t="s">
        <v>4478</v>
      </c>
      <c r="C1182" s="1930" t="s">
        <v>4479</v>
      </c>
      <c r="D1182" s="1930" t="s">
        <v>4480</v>
      </c>
      <c r="E1182" s="1931" t="s">
        <v>33</v>
      </c>
      <c r="F1182" s="1930" t="s">
        <v>33</v>
      </c>
      <c r="G1182" s="1932">
        <v>92553</v>
      </c>
      <c r="H1182" s="1930" t="s">
        <v>7926</v>
      </c>
      <c r="I1182" s="1930" t="s">
        <v>168</v>
      </c>
      <c r="J1182" s="1930" t="s">
        <v>137</v>
      </c>
      <c r="K1182" s="1933">
        <v>2084.4899999999998</v>
      </c>
      <c r="L1182" s="1930" t="s">
        <v>138</v>
      </c>
    </row>
    <row r="1183" spans="1:12" ht="13.5" x14ac:dyDescent="0.25">
      <c r="A1183" s="1930" t="s">
        <v>4477</v>
      </c>
      <c r="B1183" s="1930" t="s">
        <v>4478</v>
      </c>
      <c r="C1183" s="1930" t="s">
        <v>4479</v>
      </c>
      <c r="D1183" s="1930" t="s">
        <v>4480</v>
      </c>
      <c r="E1183" s="1931" t="s">
        <v>33</v>
      </c>
      <c r="F1183" s="1930" t="s">
        <v>33</v>
      </c>
      <c r="G1183" s="1932">
        <v>92554</v>
      </c>
      <c r="H1183" s="1930" t="s">
        <v>7927</v>
      </c>
      <c r="I1183" s="1930" t="s">
        <v>168</v>
      </c>
      <c r="J1183" s="1930" t="s">
        <v>137</v>
      </c>
      <c r="K1183" s="1933">
        <v>2157.25</v>
      </c>
      <c r="L1183" s="1930" t="s">
        <v>138</v>
      </c>
    </row>
    <row r="1184" spans="1:12" ht="13.5" x14ac:dyDescent="0.25">
      <c r="A1184" s="1930" t="s">
        <v>4477</v>
      </c>
      <c r="B1184" s="1930" t="s">
        <v>4478</v>
      </c>
      <c r="C1184" s="1930" t="s">
        <v>4479</v>
      </c>
      <c r="D1184" s="1930" t="s">
        <v>4480</v>
      </c>
      <c r="E1184" s="1931" t="s">
        <v>33</v>
      </c>
      <c r="F1184" s="1930" t="s">
        <v>33</v>
      </c>
      <c r="G1184" s="1932">
        <v>92555</v>
      </c>
      <c r="H1184" s="1930" t="s">
        <v>7928</v>
      </c>
      <c r="I1184" s="1930" t="s">
        <v>168</v>
      </c>
      <c r="J1184" s="1930" t="s">
        <v>137</v>
      </c>
      <c r="K1184" s="1933">
        <v>702.1</v>
      </c>
      <c r="L1184" s="1930" t="s">
        <v>138</v>
      </c>
    </row>
    <row r="1185" spans="1:12" ht="13.5" x14ac:dyDescent="0.25">
      <c r="A1185" s="1930" t="s">
        <v>4477</v>
      </c>
      <c r="B1185" s="1930" t="s">
        <v>4478</v>
      </c>
      <c r="C1185" s="1930" t="s">
        <v>4479</v>
      </c>
      <c r="D1185" s="1930" t="s">
        <v>4480</v>
      </c>
      <c r="E1185" s="1931" t="s">
        <v>33</v>
      </c>
      <c r="F1185" s="1930" t="s">
        <v>33</v>
      </c>
      <c r="G1185" s="1932">
        <v>92556</v>
      </c>
      <c r="H1185" s="1930" t="s">
        <v>7929</v>
      </c>
      <c r="I1185" s="1930" t="s">
        <v>168</v>
      </c>
      <c r="J1185" s="1930" t="s">
        <v>137</v>
      </c>
      <c r="K1185" s="1933">
        <v>858.96</v>
      </c>
      <c r="L1185" s="1930" t="s">
        <v>138</v>
      </c>
    </row>
    <row r="1186" spans="1:12" ht="13.5" x14ac:dyDescent="0.25">
      <c r="A1186" s="1930" t="s">
        <v>4477</v>
      </c>
      <c r="B1186" s="1930" t="s">
        <v>4478</v>
      </c>
      <c r="C1186" s="1930" t="s">
        <v>4479</v>
      </c>
      <c r="D1186" s="1930" t="s">
        <v>4480</v>
      </c>
      <c r="E1186" s="1931" t="s">
        <v>33</v>
      </c>
      <c r="F1186" s="1930" t="s">
        <v>33</v>
      </c>
      <c r="G1186" s="1932">
        <v>92557</v>
      </c>
      <c r="H1186" s="1930" t="s">
        <v>7930</v>
      </c>
      <c r="I1186" s="1930" t="s">
        <v>168</v>
      </c>
      <c r="J1186" s="1930" t="s">
        <v>137</v>
      </c>
      <c r="K1186" s="1933">
        <v>907.04</v>
      </c>
      <c r="L1186" s="1930" t="s">
        <v>138</v>
      </c>
    </row>
    <row r="1187" spans="1:12" ht="13.5" x14ac:dyDescent="0.25">
      <c r="A1187" s="1930" t="s">
        <v>4477</v>
      </c>
      <c r="B1187" s="1930" t="s">
        <v>4478</v>
      </c>
      <c r="C1187" s="1930" t="s">
        <v>4479</v>
      </c>
      <c r="D1187" s="1930" t="s">
        <v>4480</v>
      </c>
      <c r="E1187" s="1931" t="s">
        <v>33</v>
      </c>
      <c r="F1187" s="1930" t="s">
        <v>33</v>
      </c>
      <c r="G1187" s="1932">
        <v>92558</v>
      </c>
      <c r="H1187" s="1930" t="s">
        <v>7931</v>
      </c>
      <c r="I1187" s="1930" t="s">
        <v>168</v>
      </c>
      <c r="J1187" s="1930" t="s">
        <v>137</v>
      </c>
      <c r="K1187" s="1933">
        <v>1019.06</v>
      </c>
      <c r="L1187" s="1930" t="s">
        <v>138</v>
      </c>
    </row>
    <row r="1188" spans="1:12" ht="13.5" x14ac:dyDescent="0.25">
      <c r="A1188" s="1930" t="s">
        <v>4477</v>
      </c>
      <c r="B1188" s="1930" t="s">
        <v>4478</v>
      </c>
      <c r="C1188" s="1930" t="s">
        <v>4479</v>
      </c>
      <c r="D1188" s="1930" t="s">
        <v>4480</v>
      </c>
      <c r="E1188" s="1931" t="s">
        <v>33</v>
      </c>
      <c r="F1188" s="1930" t="s">
        <v>33</v>
      </c>
      <c r="G1188" s="1932">
        <v>92559</v>
      </c>
      <c r="H1188" s="1930" t="s">
        <v>7932</v>
      </c>
      <c r="I1188" s="1930" t="s">
        <v>168</v>
      </c>
      <c r="J1188" s="1930" t="s">
        <v>137</v>
      </c>
      <c r="K1188" s="1933">
        <v>1280.1199999999999</v>
      </c>
      <c r="L1188" s="1930" t="s">
        <v>138</v>
      </c>
    </row>
    <row r="1189" spans="1:12" ht="13.5" x14ac:dyDescent="0.25">
      <c r="A1189" s="1930" t="s">
        <v>4477</v>
      </c>
      <c r="B1189" s="1930" t="s">
        <v>4478</v>
      </c>
      <c r="C1189" s="1930" t="s">
        <v>4479</v>
      </c>
      <c r="D1189" s="1930" t="s">
        <v>4480</v>
      </c>
      <c r="E1189" s="1931" t="s">
        <v>33</v>
      </c>
      <c r="F1189" s="1930" t="s">
        <v>33</v>
      </c>
      <c r="G1189" s="1932">
        <v>92560</v>
      </c>
      <c r="H1189" s="1930" t="s">
        <v>7933</v>
      </c>
      <c r="I1189" s="1930" t="s">
        <v>168</v>
      </c>
      <c r="J1189" s="1930" t="s">
        <v>137</v>
      </c>
      <c r="K1189" s="1933">
        <v>1567.19</v>
      </c>
      <c r="L1189" s="1930" t="s">
        <v>138</v>
      </c>
    </row>
    <row r="1190" spans="1:12" ht="13.5" x14ac:dyDescent="0.25">
      <c r="A1190" s="1930" t="s">
        <v>4477</v>
      </c>
      <c r="B1190" s="1930" t="s">
        <v>4478</v>
      </c>
      <c r="C1190" s="1930" t="s">
        <v>4479</v>
      </c>
      <c r="D1190" s="1930" t="s">
        <v>4480</v>
      </c>
      <c r="E1190" s="1931" t="s">
        <v>33</v>
      </c>
      <c r="F1190" s="1930" t="s">
        <v>33</v>
      </c>
      <c r="G1190" s="1932">
        <v>92561</v>
      </c>
      <c r="H1190" s="1930" t="s">
        <v>7934</v>
      </c>
      <c r="I1190" s="1930" t="s">
        <v>168</v>
      </c>
      <c r="J1190" s="1930" t="s">
        <v>137</v>
      </c>
      <c r="K1190" s="1933">
        <v>1632.3</v>
      </c>
      <c r="L1190" s="1930" t="s">
        <v>138</v>
      </c>
    </row>
    <row r="1191" spans="1:12" ht="13.5" x14ac:dyDescent="0.25">
      <c r="A1191" s="1930" t="s">
        <v>4477</v>
      </c>
      <c r="B1191" s="1930" t="s">
        <v>4478</v>
      </c>
      <c r="C1191" s="1930" t="s">
        <v>4479</v>
      </c>
      <c r="D1191" s="1930" t="s">
        <v>4480</v>
      </c>
      <c r="E1191" s="1931" t="s">
        <v>33</v>
      </c>
      <c r="F1191" s="1930" t="s">
        <v>33</v>
      </c>
      <c r="G1191" s="1932">
        <v>92562</v>
      </c>
      <c r="H1191" s="1930" t="s">
        <v>7935</v>
      </c>
      <c r="I1191" s="1930" t="s">
        <v>168</v>
      </c>
      <c r="J1191" s="1930" t="s">
        <v>137</v>
      </c>
      <c r="K1191" s="1933">
        <v>1764.59</v>
      </c>
      <c r="L1191" s="1930" t="s">
        <v>138</v>
      </c>
    </row>
    <row r="1192" spans="1:12" ht="13.5" x14ac:dyDescent="0.25">
      <c r="A1192" s="1930" t="s">
        <v>4477</v>
      </c>
      <c r="B1192" s="1930" t="s">
        <v>4478</v>
      </c>
      <c r="C1192" s="1930" t="s">
        <v>4479</v>
      </c>
      <c r="D1192" s="1930" t="s">
        <v>4480</v>
      </c>
      <c r="E1192" s="1931" t="s">
        <v>33</v>
      </c>
      <c r="F1192" s="1930" t="s">
        <v>33</v>
      </c>
      <c r="G1192" s="1932">
        <v>92563</v>
      </c>
      <c r="H1192" s="1930" t="s">
        <v>7936</v>
      </c>
      <c r="I1192" s="1930" t="s">
        <v>168</v>
      </c>
      <c r="J1192" s="1930" t="s">
        <v>137</v>
      </c>
      <c r="K1192" s="1933">
        <v>2034.55</v>
      </c>
      <c r="L1192" s="1930" t="s">
        <v>138</v>
      </c>
    </row>
    <row r="1193" spans="1:12" ht="13.5" x14ac:dyDescent="0.25">
      <c r="A1193" s="1930" t="s">
        <v>4477</v>
      </c>
      <c r="B1193" s="1930" t="s">
        <v>4478</v>
      </c>
      <c r="C1193" s="1930" t="s">
        <v>4479</v>
      </c>
      <c r="D1193" s="1930" t="s">
        <v>4480</v>
      </c>
      <c r="E1193" s="1931" t="s">
        <v>33</v>
      </c>
      <c r="F1193" s="1930" t="s">
        <v>33</v>
      </c>
      <c r="G1193" s="1932">
        <v>92564</v>
      </c>
      <c r="H1193" s="1930" t="s">
        <v>7937</v>
      </c>
      <c r="I1193" s="1930" t="s">
        <v>168</v>
      </c>
      <c r="J1193" s="1930" t="s">
        <v>137</v>
      </c>
      <c r="K1193" s="1933">
        <v>2096.52</v>
      </c>
      <c r="L1193" s="1930" t="s">
        <v>138</v>
      </c>
    </row>
    <row r="1194" spans="1:12" ht="13.5" x14ac:dyDescent="0.25">
      <c r="A1194" s="1930" t="s">
        <v>4477</v>
      </c>
      <c r="B1194" s="1930" t="s">
        <v>4478</v>
      </c>
      <c r="C1194" s="1930" t="s">
        <v>4479</v>
      </c>
      <c r="D1194" s="1930" t="s">
        <v>4480</v>
      </c>
      <c r="E1194" s="1931" t="s">
        <v>33</v>
      </c>
      <c r="F1194" s="1930" t="s">
        <v>33</v>
      </c>
      <c r="G1194" s="1932">
        <v>92565</v>
      </c>
      <c r="H1194" s="1930" t="s">
        <v>1176</v>
      </c>
      <c r="I1194" s="1930" t="s">
        <v>306</v>
      </c>
      <c r="J1194" s="1930" t="s">
        <v>137</v>
      </c>
      <c r="K1194" s="1933">
        <v>27.29</v>
      </c>
      <c r="L1194" s="1930" t="s">
        <v>138</v>
      </c>
    </row>
    <row r="1195" spans="1:12" ht="13.5" x14ac:dyDescent="0.25">
      <c r="A1195" s="1930" t="s">
        <v>4477</v>
      </c>
      <c r="B1195" s="1930" t="s">
        <v>4478</v>
      </c>
      <c r="C1195" s="1930" t="s">
        <v>4479</v>
      </c>
      <c r="D1195" s="1930" t="s">
        <v>4480</v>
      </c>
      <c r="E1195" s="1931" t="s">
        <v>33</v>
      </c>
      <c r="F1195" s="1930" t="s">
        <v>33</v>
      </c>
      <c r="G1195" s="1932">
        <v>92566</v>
      </c>
      <c r="H1195" s="1930" t="s">
        <v>1177</v>
      </c>
      <c r="I1195" s="1930" t="s">
        <v>306</v>
      </c>
      <c r="J1195" s="1930" t="s">
        <v>137</v>
      </c>
      <c r="K1195" s="1933">
        <v>16.87</v>
      </c>
      <c r="L1195" s="1930" t="s">
        <v>138</v>
      </c>
    </row>
    <row r="1196" spans="1:12" ht="13.5" x14ac:dyDescent="0.25">
      <c r="A1196" s="1930" t="s">
        <v>4477</v>
      </c>
      <c r="B1196" s="1930" t="s">
        <v>4478</v>
      </c>
      <c r="C1196" s="1930" t="s">
        <v>4479</v>
      </c>
      <c r="D1196" s="1930" t="s">
        <v>4480</v>
      </c>
      <c r="E1196" s="1931" t="s">
        <v>33</v>
      </c>
      <c r="F1196" s="1930" t="s">
        <v>33</v>
      </c>
      <c r="G1196" s="1932">
        <v>92567</v>
      </c>
      <c r="H1196" s="1930" t="s">
        <v>1178</v>
      </c>
      <c r="I1196" s="1930" t="s">
        <v>306</v>
      </c>
      <c r="J1196" s="1930" t="s">
        <v>137</v>
      </c>
      <c r="K1196" s="1933">
        <v>24.41</v>
      </c>
      <c r="L1196" s="1930" t="s">
        <v>138</v>
      </c>
    </row>
    <row r="1197" spans="1:12" ht="13.5" x14ac:dyDescent="0.25">
      <c r="A1197" s="1930" t="s">
        <v>4477</v>
      </c>
      <c r="B1197" s="1930" t="s">
        <v>4478</v>
      </c>
      <c r="C1197" s="1930" t="s">
        <v>4479</v>
      </c>
      <c r="D1197" s="1930" t="s">
        <v>4480</v>
      </c>
      <c r="E1197" s="1931" t="s">
        <v>33</v>
      </c>
      <c r="F1197" s="1930" t="s">
        <v>33</v>
      </c>
      <c r="G1197" s="1932">
        <v>100379</v>
      </c>
      <c r="H1197" s="1930" t="s">
        <v>7938</v>
      </c>
      <c r="I1197" s="1930" t="s">
        <v>306</v>
      </c>
      <c r="J1197" s="1930" t="s">
        <v>137</v>
      </c>
      <c r="K1197" s="1933">
        <v>27.29</v>
      </c>
      <c r="L1197" s="1930" t="s">
        <v>138</v>
      </c>
    </row>
    <row r="1198" spans="1:12" ht="13.5" x14ac:dyDescent="0.25">
      <c r="A1198" s="1930" t="s">
        <v>4477</v>
      </c>
      <c r="B1198" s="1930" t="s">
        <v>4478</v>
      </c>
      <c r="C1198" s="1930" t="s">
        <v>4479</v>
      </c>
      <c r="D1198" s="1930" t="s">
        <v>4480</v>
      </c>
      <c r="E1198" s="1931" t="s">
        <v>33</v>
      </c>
      <c r="F1198" s="1930" t="s">
        <v>33</v>
      </c>
      <c r="G1198" s="1932">
        <v>100380</v>
      </c>
      <c r="H1198" s="1930" t="s">
        <v>7939</v>
      </c>
      <c r="I1198" s="1930" t="s">
        <v>306</v>
      </c>
      <c r="J1198" s="1930" t="s">
        <v>137</v>
      </c>
      <c r="K1198" s="1933">
        <v>36.479999999999997</v>
      </c>
      <c r="L1198" s="1930" t="s">
        <v>138</v>
      </c>
    </row>
    <row r="1199" spans="1:12" ht="13.5" x14ac:dyDescent="0.25">
      <c r="A1199" s="1930" t="s">
        <v>4477</v>
      </c>
      <c r="B1199" s="1930" t="s">
        <v>4478</v>
      </c>
      <c r="C1199" s="1930" t="s">
        <v>4479</v>
      </c>
      <c r="D1199" s="1930" t="s">
        <v>4480</v>
      </c>
      <c r="E1199" s="1931" t="s">
        <v>33</v>
      </c>
      <c r="F1199" s="1930" t="s">
        <v>33</v>
      </c>
      <c r="G1199" s="1932">
        <v>100381</v>
      </c>
      <c r="H1199" s="1930" t="s">
        <v>7940</v>
      </c>
      <c r="I1199" s="1930" t="s">
        <v>306</v>
      </c>
      <c r="J1199" s="1930" t="s">
        <v>137</v>
      </c>
      <c r="K1199" s="1933">
        <v>41.13</v>
      </c>
      <c r="L1199" s="1930" t="s">
        <v>138</v>
      </c>
    </row>
    <row r="1200" spans="1:12" ht="13.5" x14ac:dyDescent="0.25">
      <c r="A1200" s="1930" t="s">
        <v>4477</v>
      </c>
      <c r="B1200" s="1930" t="s">
        <v>4478</v>
      </c>
      <c r="C1200" s="1930" t="s">
        <v>4479</v>
      </c>
      <c r="D1200" s="1930" t="s">
        <v>4480</v>
      </c>
      <c r="E1200" s="1931" t="s">
        <v>33</v>
      </c>
      <c r="F1200" s="1930" t="s">
        <v>33</v>
      </c>
      <c r="G1200" s="1932">
        <v>100383</v>
      </c>
      <c r="H1200" s="1930" t="s">
        <v>7941</v>
      </c>
      <c r="I1200" s="1930" t="s">
        <v>306</v>
      </c>
      <c r="J1200" s="1930" t="s">
        <v>137</v>
      </c>
      <c r="K1200" s="1933">
        <v>18.329999999999998</v>
      </c>
      <c r="L1200" s="1930" t="s">
        <v>138</v>
      </c>
    </row>
    <row r="1201" spans="1:12" ht="13.5" x14ac:dyDescent="0.25">
      <c r="A1201" s="1930" t="s">
        <v>4477</v>
      </c>
      <c r="B1201" s="1930" t="s">
        <v>4478</v>
      </c>
      <c r="C1201" s="1930" t="s">
        <v>4479</v>
      </c>
      <c r="D1201" s="1930" t="s">
        <v>4480</v>
      </c>
      <c r="E1201" s="1931" t="s">
        <v>33</v>
      </c>
      <c r="F1201" s="1930" t="s">
        <v>33</v>
      </c>
      <c r="G1201" s="1932">
        <v>100384</v>
      </c>
      <c r="H1201" s="1930" t="s">
        <v>7942</v>
      </c>
      <c r="I1201" s="1930" t="s">
        <v>306</v>
      </c>
      <c r="J1201" s="1930" t="s">
        <v>137</v>
      </c>
      <c r="K1201" s="1933">
        <v>19.36</v>
      </c>
      <c r="L1201" s="1930" t="s">
        <v>138</v>
      </c>
    </row>
    <row r="1202" spans="1:12" ht="13.5" x14ac:dyDescent="0.25">
      <c r="A1202" s="1930" t="s">
        <v>4477</v>
      </c>
      <c r="B1202" s="1930" t="s">
        <v>4478</v>
      </c>
      <c r="C1202" s="1930" t="s">
        <v>4479</v>
      </c>
      <c r="D1202" s="1930" t="s">
        <v>4480</v>
      </c>
      <c r="E1202" s="1931" t="s">
        <v>33</v>
      </c>
      <c r="F1202" s="1930" t="s">
        <v>33</v>
      </c>
      <c r="G1202" s="1932">
        <v>100385</v>
      </c>
      <c r="H1202" s="1930" t="s">
        <v>7943</v>
      </c>
      <c r="I1202" s="1930" t="s">
        <v>306</v>
      </c>
      <c r="J1202" s="1930" t="s">
        <v>137</v>
      </c>
      <c r="K1202" s="1933">
        <v>24.41</v>
      </c>
      <c r="L1202" s="1930" t="s">
        <v>138</v>
      </c>
    </row>
    <row r="1203" spans="1:12" ht="13.5" x14ac:dyDescent="0.25">
      <c r="A1203" s="1930" t="s">
        <v>4477</v>
      </c>
      <c r="B1203" s="1930" t="s">
        <v>4478</v>
      </c>
      <c r="C1203" s="1930" t="s">
        <v>4479</v>
      </c>
      <c r="D1203" s="1930" t="s">
        <v>4480</v>
      </c>
      <c r="E1203" s="1931" t="s">
        <v>33</v>
      </c>
      <c r="F1203" s="1930" t="s">
        <v>33</v>
      </c>
      <c r="G1203" s="1932">
        <v>100386</v>
      </c>
      <c r="H1203" s="1930" t="s">
        <v>7944</v>
      </c>
      <c r="I1203" s="1930" t="s">
        <v>306</v>
      </c>
      <c r="J1203" s="1930" t="s">
        <v>137</v>
      </c>
      <c r="K1203" s="1933">
        <v>31.62</v>
      </c>
      <c r="L1203" s="1930" t="s">
        <v>138</v>
      </c>
    </row>
    <row r="1204" spans="1:12" ht="13.5" x14ac:dyDescent="0.25">
      <c r="A1204" s="1930" t="s">
        <v>4477</v>
      </c>
      <c r="B1204" s="1930" t="s">
        <v>4478</v>
      </c>
      <c r="C1204" s="1930" t="s">
        <v>4479</v>
      </c>
      <c r="D1204" s="1930" t="s">
        <v>4480</v>
      </c>
      <c r="E1204" s="1931" t="s">
        <v>33</v>
      </c>
      <c r="F1204" s="1930" t="s">
        <v>33</v>
      </c>
      <c r="G1204" s="1932">
        <v>100387</v>
      </c>
      <c r="H1204" s="1930" t="s">
        <v>7945</v>
      </c>
      <c r="I1204" s="1930" t="s">
        <v>306</v>
      </c>
      <c r="J1204" s="1930" t="s">
        <v>137</v>
      </c>
      <c r="K1204" s="1933">
        <v>39</v>
      </c>
      <c r="L1204" s="1930" t="s">
        <v>138</v>
      </c>
    </row>
    <row r="1205" spans="1:12" ht="13.5" x14ac:dyDescent="0.25">
      <c r="A1205" s="1930" t="s">
        <v>4477</v>
      </c>
      <c r="B1205" s="1930" t="s">
        <v>4478</v>
      </c>
      <c r="C1205" s="1930" t="s">
        <v>4479</v>
      </c>
      <c r="D1205" s="1930" t="s">
        <v>4480</v>
      </c>
      <c r="E1205" s="1931" t="s">
        <v>33</v>
      </c>
      <c r="F1205" s="1930" t="s">
        <v>33</v>
      </c>
      <c r="G1205" s="1932">
        <v>100388</v>
      </c>
      <c r="H1205" s="1930" t="s">
        <v>7946</v>
      </c>
      <c r="I1205" s="1930" t="s">
        <v>306</v>
      </c>
      <c r="J1205" s="1930" t="s">
        <v>137</v>
      </c>
      <c r="K1205" s="1933">
        <v>15.42</v>
      </c>
      <c r="L1205" s="1930" t="s">
        <v>138</v>
      </c>
    </row>
    <row r="1206" spans="1:12" ht="13.5" x14ac:dyDescent="0.25">
      <c r="A1206" s="1930" t="s">
        <v>4477</v>
      </c>
      <c r="B1206" s="1930" t="s">
        <v>4478</v>
      </c>
      <c r="C1206" s="1930" t="s">
        <v>4479</v>
      </c>
      <c r="D1206" s="1930" t="s">
        <v>4480</v>
      </c>
      <c r="E1206" s="1931" t="s">
        <v>33</v>
      </c>
      <c r="F1206" s="1930" t="s">
        <v>33</v>
      </c>
      <c r="G1206" s="1932">
        <v>100389</v>
      </c>
      <c r="H1206" s="1930" t="s">
        <v>7947</v>
      </c>
      <c r="I1206" s="1930" t="s">
        <v>306</v>
      </c>
      <c r="J1206" s="1930" t="s">
        <v>137</v>
      </c>
      <c r="K1206" s="1933">
        <v>12.79</v>
      </c>
      <c r="L1206" s="1930" t="s">
        <v>138</v>
      </c>
    </row>
    <row r="1207" spans="1:12" ht="13.5" x14ac:dyDescent="0.25">
      <c r="A1207" s="1930" t="s">
        <v>4477</v>
      </c>
      <c r="B1207" s="1930" t="s">
        <v>4478</v>
      </c>
      <c r="C1207" s="1930" t="s">
        <v>4479</v>
      </c>
      <c r="D1207" s="1930" t="s">
        <v>4480</v>
      </c>
      <c r="E1207" s="1931" t="s">
        <v>33</v>
      </c>
      <c r="F1207" s="1930" t="s">
        <v>33</v>
      </c>
      <c r="G1207" s="1932">
        <v>100390</v>
      </c>
      <c r="H1207" s="1930" t="s">
        <v>7948</v>
      </c>
      <c r="I1207" s="1930" t="s">
        <v>306</v>
      </c>
      <c r="J1207" s="1930" t="s">
        <v>137</v>
      </c>
      <c r="K1207" s="1933">
        <v>18.260000000000002</v>
      </c>
      <c r="L1207" s="1930" t="s">
        <v>138</v>
      </c>
    </row>
    <row r="1208" spans="1:12" ht="13.5" x14ac:dyDescent="0.25">
      <c r="A1208" s="1930" t="s">
        <v>4477</v>
      </c>
      <c r="B1208" s="1930" t="s">
        <v>4478</v>
      </c>
      <c r="C1208" s="1930" t="s">
        <v>4479</v>
      </c>
      <c r="D1208" s="1930" t="s">
        <v>4480</v>
      </c>
      <c r="E1208" s="1931" t="s">
        <v>33</v>
      </c>
      <c r="F1208" s="1930" t="s">
        <v>33</v>
      </c>
      <c r="G1208" s="1932">
        <v>100391</v>
      </c>
      <c r="H1208" s="1930" t="s">
        <v>7949</v>
      </c>
      <c r="I1208" s="1930" t="s">
        <v>306</v>
      </c>
      <c r="J1208" s="1930" t="s">
        <v>137</v>
      </c>
      <c r="K1208" s="1933">
        <v>14.73</v>
      </c>
      <c r="L1208" s="1930" t="s">
        <v>138</v>
      </c>
    </row>
    <row r="1209" spans="1:12" ht="13.5" x14ac:dyDescent="0.25">
      <c r="A1209" s="1930" t="s">
        <v>4477</v>
      </c>
      <c r="B1209" s="1930" t="s">
        <v>4478</v>
      </c>
      <c r="C1209" s="1930" t="s">
        <v>4479</v>
      </c>
      <c r="D1209" s="1930" t="s">
        <v>4480</v>
      </c>
      <c r="E1209" s="1931" t="s">
        <v>33</v>
      </c>
      <c r="F1209" s="1930" t="s">
        <v>33</v>
      </c>
      <c r="G1209" s="1932">
        <v>100392</v>
      </c>
      <c r="H1209" s="1930" t="s">
        <v>7950</v>
      </c>
      <c r="I1209" s="1930" t="s">
        <v>306</v>
      </c>
      <c r="J1209" s="1930" t="s">
        <v>137</v>
      </c>
      <c r="K1209" s="1933">
        <v>12.11</v>
      </c>
      <c r="L1209" s="1930" t="s">
        <v>138</v>
      </c>
    </row>
    <row r="1210" spans="1:12" ht="13.5" x14ac:dyDescent="0.25">
      <c r="A1210" s="1930" t="s">
        <v>4477</v>
      </c>
      <c r="B1210" s="1930" t="s">
        <v>4478</v>
      </c>
      <c r="C1210" s="1930" t="s">
        <v>4479</v>
      </c>
      <c r="D1210" s="1930" t="s">
        <v>4480</v>
      </c>
      <c r="E1210" s="1931" t="s">
        <v>33</v>
      </c>
      <c r="F1210" s="1930" t="s">
        <v>33</v>
      </c>
      <c r="G1210" s="1932">
        <v>100393</v>
      </c>
      <c r="H1210" s="1930" t="s">
        <v>7951</v>
      </c>
      <c r="I1210" s="1930" t="s">
        <v>306</v>
      </c>
      <c r="J1210" s="1930" t="s">
        <v>137</v>
      </c>
      <c r="K1210" s="1933">
        <v>14.76</v>
      </c>
      <c r="L1210" s="1930" t="s">
        <v>138</v>
      </c>
    </row>
    <row r="1211" spans="1:12" ht="13.5" x14ac:dyDescent="0.25">
      <c r="A1211" s="1930" t="s">
        <v>4477</v>
      </c>
      <c r="B1211" s="1930" t="s">
        <v>4478</v>
      </c>
      <c r="C1211" s="1930" t="s">
        <v>4479</v>
      </c>
      <c r="D1211" s="1930" t="s">
        <v>4480</v>
      </c>
      <c r="E1211" s="1931" t="s">
        <v>33</v>
      </c>
      <c r="F1211" s="1930" t="s">
        <v>33</v>
      </c>
      <c r="G1211" s="1932">
        <v>100394</v>
      </c>
      <c r="H1211" s="1930" t="s">
        <v>7952</v>
      </c>
      <c r="I1211" s="1930" t="s">
        <v>306</v>
      </c>
      <c r="J1211" s="1930" t="s">
        <v>137</v>
      </c>
      <c r="K1211" s="1933">
        <v>14.34</v>
      </c>
      <c r="L1211" s="1930" t="s">
        <v>138</v>
      </c>
    </row>
    <row r="1212" spans="1:12" ht="13.5" x14ac:dyDescent="0.25">
      <c r="A1212" s="1930" t="s">
        <v>4477</v>
      </c>
      <c r="B1212" s="1930" t="s">
        <v>4478</v>
      </c>
      <c r="C1212" s="1930" t="s">
        <v>4479</v>
      </c>
      <c r="D1212" s="1930" t="s">
        <v>4480</v>
      </c>
      <c r="E1212" s="1931" t="s">
        <v>33</v>
      </c>
      <c r="F1212" s="1930" t="s">
        <v>33</v>
      </c>
      <c r="G1212" s="1932">
        <v>100395</v>
      </c>
      <c r="H1212" s="1930" t="s">
        <v>7953</v>
      </c>
      <c r="I1212" s="1930" t="s">
        <v>306</v>
      </c>
      <c r="J1212" s="1930" t="s">
        <v>137</v>
      </c>
      <c r="K1212" s="1933">
        <v>17.59</v>
      </c>
      <c r="L1212" s="1930" t="s">
        <v>138</v>
      </c>
    </row>
    <row r="1213" spans="1:12" ht="13.5" x14ac:dyDescent="0.25">
      <c r="A1213" s="1930" t="s">
        <v>4477</v>
      </c>
      <c r="B1213" s="1930" t="s">
        <v>4478</v>
      </c>
      <c r="C1213" s="1930" t="s">
        <v>4481</v>
      </c>
      <c r="D1213" s="1930" t="s">
        <v>4482</v>
      </c>
      <c r="E1213" s="1931" t="s">
        <v>33</v>
      </c>
      <c r="F1213" s="1930" t="s">
        <v>33</v>
      </c>
      <c r="G1213" s="1932">
        <v>94189</v>
      </c>
      <c r="H1213" s="1930" t="s">
        <v>7954</v>
      </c>
      <c r="I1213" s="1930" t="s">
        <v>306</v>
      </c>
      <c r="J1213" s="1930" t="s">
        <v>137</v>
      </c>
      <c r="K1213" s="1933">
        <v>24.8</v>
      </c>
      <c r="L1213" s="1930" t="s">
        <v>138</v>
      </c>
    </row>
    <row r="1214" spans="1:12" ht="13.5" x14ac:dyDescent="0.25">
      <c r="A1214" s="1930" t="s">
        <v>4477</v>
      </c>
      <c r="B1214" s="1930" t="s">
        <v>4478</v>
      </c>
      <c r="C1214" s="1930" t="s">
        <v>4481</v>
      </c>
      <c r="D1214" s="1930" t="s">
        <v>4482</v>
      </c>
      <c r="E1214" s="1931" t="s">
        <v>33</v>
      </c>
      <c r="F1214" s="1930" t="s">
        <v>33</v>
      </c>
      <c r="G1214" s="1932">
        <v>94192</v>
      </c>
      <c r="H1214" s="1930" t="s">
        <v>7955</v>
      </c>
      <c r="I1214" s="1930" t="s">
        <v>306</v>
      </c>
      <c r="J1214" s="1930" t="s">
        <v>137</v>
      </c>
      <c r="K1214" s="1933">
        <v>26.77</v>
      </c>
      <c r="L1214" s="1930" t="s">
        <v>138</v>
      </c>
    </row>
    <row r="1215" spans="1:12" ht="13.5" x14ac:dyDescent="0.25">
      <c r="A1215" s="1930" t="s">
        <v>4477</v>
      </c>
      <c r="B1215" s="1930" t="s">
        <v>4478</v>
      </c>
      <c r="C1215" s="1930" t="s">
        <v>4481</v>
      </c>
      <c r="D1215" s="1930" t="s">
        <v>4482</v>
      </c>
      <c r="E1215" s="1931" t="s">
        <v>33</v>
      </c>
      <c r="F1215" s="1930" t="s">
        <v>33</v>
      </c>
      <c r="G1215" s="1932">
        <v>94195</v>
      </c>
      <c r="H1215" s="1930" t="s">
        <v>7956</v>
      </c>
      <c r="I1215" s="1930" t="s">
        <v>306</v>
      </c>
      <c r="J1215" s="1930" t="s">
        <v>137</v>
      </c>
      <c r="K1215" s="1933">
        <v>24.22</v>
      </c>
      <c r="L1215" s="1930" t="s">
        <v>138</v>
      </c>
    </row>
    <row r="1216" spans="1:12" ht="13.5" x14ac:dyDescent="0.25">
      <c r="A1216" s="1930" t="s">
        <v>4477</v>
      </c>
      <c r="B1216" s="1930" t="s">
        <v>4478</v>
      </c>
      <c r="C1216" s="1930" t="s">
        <v>4481</v>
      </c>
      <c r="D1216" s="1930" t="s">
        <v>4482</v>
      </c>
      <c r="E1216" s="1931" t="s">
        <v>33</v>
      </c>
      <c r="F1216" s="1930" t="s">
        <v>33</v>
      </c>
      <c r="G1216" s="1932">
        <v>94198</v>
      </c>
      <c r="H1216" s="1930" t="s">
        <v>7957</v>
      </c>
      <c r="I1216" s="1930" t="s">
        <v>306</v>
      </c>
      <c r="J1216" s="1930" t="s">
        <v>137</v>
      </c>
      <c r="K1216" s="1933">
        <v>26.83</v>
      </c>
      <c r="L1216" s="1930" t="s">
        <v>138</v>
      </c>
    </row>
    <row r="1217" spans="1:12" ht="13.5" x14ac:dyDescent="0.25">
      <c r="A1217" s="1930" t="s">
        <v>4477</v>
      </c>
      <c r="B1217" s="1930" t="s">
        <v>4478</v>
      </c>
      <c r="C1217" s="1930" t="s">
        <v>4481</v>
      </c>
      <c r="D1217" s="1930" t="s">
        <v>4482</v>
      </c>
      <c r="E1217" s="1931" t="s">
        <v>33</v>
      </c>
      <c r="F1217" s="1930" t="s">
        <v>33</v>
      </c>
      <c r="G1217" s="1932">
        <v>94201</v>
      </c>
      <c r="H1217" s="1930" t="s">
        <v>7958</v>
      </c>
      <c r="I1217" s="1930" t="s">
        <v>306</v>
      </c>
      <c r="J1217" s="1930" t="s">
        <v>137</v>
      </c>
      <c r="K1217" s="1933">
        <v>34.700000000000003</v>
      </c>
      <c r="L1217" s="1930" t="s">
        <v>138</v>
      </c>
    </row>
    <row r="1218" spans="1:12" ht="13.5" x14ac:dyDescent="0.25">
      <c r="A1218" s="1930" t="s">
        <v>4477</v>
      </c>
      <c r="B1218" s="1930" t="s">
        <v>4478</v>
      </c>
      <c r="C1218" s="1930" t="s">
        <v>4481</v>
      </c>
      <c r="D1218" s="1930" t="s">
        <v>4482</v>
      </c>
      <c r="E1218" s="1931" t="s">
        <v>33</v>
      </c>
      <c r="F1218" s="1930" t="s">
        <v>33</v>
      </c>
      <c r="G1218" s="1932">
        <v>94204</v>
      </c>
      <c r="H1218" s="1930" t="s">
        <v>7959</v>
      </c>
      <c r="I1218" s="1930" t="s">
        <v>306</v>
      </c>
      <c r="J1218" s="1930" t="s">
        <v>137</v>
      </c>
      <c r="K1218" s="1933">
        <v>39.119999999999997</v>
      </c>
      <c r="L1218" s="1930" t="s">
        <v>138</v>
      </c>
    </row>
    <row r="1219" spans="1:12" ht="13.5" x14ac:dyDescent="0.25">
      <c r="A1219" s="1930" t="s">
        <v>4477</v>
      </c>
      <c r="B1219" s="1930" t="s">
        <v>4478</v>
      </c>
      <c r="C1219" s="1930" t="s">
        <v>4481</v>
      </c>
      <c r="D1219" s="1930" t="s">
        <v>4482</v>
      </c>
      <c r="E1219" s="1931" t="s">
        <v>33</v>
      </c>
      <c r="F1219" s="1930" t="s">
        <v>33</v>
      </c>
      <c r="G1219" s="1932">
        <v>94224</v>
      </c>
      <c r="H1219" s="1930" t="s">
        <v>7960</v>
      </c>
      <c r="I1219" s="1930" t="s">
        <v>136</v>
      </c>
      <c r="J1219" s="1930" t="s">
        <v>320</v>
      </c>
      <c r="K1219" s="1933">
        <v>19.309999999999999</v>
      </c>
      <c r="L1219" s="1930" t="s">
        <v>138</v>
      </c>
    </row>
    <row r="1220" spans="1:12" ht="13.5" x14ac:dyDescent="0.25">
      <c r="A1220" s="1930" t="s">
        <v>4477</v>
      </c>
      <c r="B1220" s="1930" t="s">
        <v>4478</v>
      </c>
      <c r="C1220" s="1930" t="s">
        <v>4481</v>
      </c>
      <c r="D1220" s="1930" t="s">
        <v>4482</v>
      </c>
      <c r="E1220" s="1931" t="s">
        <v>33</v>
      </c>
      <c r="F1220" s="1930" t="s">
        <v>33</v>
      </c>
      <c r="G1220" s="1932">
        <v>94225</v>
      </c>
      <c r="H1220" s="1930" t="s">
        <v>7961</v>
      </c>
      <c r="I1220" s="1930" t="s">
        <v>306</v>
      </c>
      <c r="J1220" s="1930" t="s">
        <v>137</v>
      </c>
      <c r="K1220" s="1933">
        <v>23.71</v>
      </c>
      <c r="L1220" s="1930" t="s">
        <v>138</v>
      </c>
    </row>
    <row r="1221" spans="1:12" ht="13.5" x14ac:dyDescent="0.25">
      <c r="A1221" s="1930" t="s">
        <v>4477</v>
      </c>
      <c r="B1221" s="1930" t="s">
        <v>4478</v>
      </c>
      <c r="C1221" s="1930" t="s">
        <v>4481</v>
      </c>
      <c r="D1221" s="1930" t="s">
        <v>4482</v>
      </c>
      <c r="E1221" s="1931" t="s">
        <v>33</v>
      </c>
      <c r="F1221" s="1930" t="s">
        <v>33</v>
      </c>
      <c r="G1221" s="1932">
        <v>94226</v>
      </c>
      <c r="H1221" s="1930" t="s">
        <v>7962</v>
      </c>
      <c r="I1221" s="1930" t="s">
        <v>306</v>
      </c>
      <c r="J1221" s="1930" t="s">
        <v>137</v>
      </c>
      <c r="K1221" s="1933">
        <v>14.62</v>
      </c>
      <c r="L1221" s="1930" t="s">
        <v>138</v>
      </c>
    </row>
    <row r="1222" spans="1:12" ht="13.5" x14ac:dyDescent="0.25">
      <c r="A1222" s="1930" t="s">
        <v>4477</v>
      </c>
      <c r="B1222" s="1930" t="s">
        <v>4478</v>
      </c>
      <c r="C1222" s="1930" t="s">
        <v>4481</v>
      </c>
      <c r="D1222" s="1930" t="s">
        <v>4482</v>
      </c>
      <c r="E1222" s="1931" t="s">
        <v>33</v>
      </c>
      <c r="F1222" s="1930" t="s">
        <v>33</v>
      </c>
      <c r="G1222" s="1932">
        <v>94232</v>
      </c>
      <c r="H1222" s="1930" t="s">
        <v>7963</v>
      </c>
      <c r="I1222" s="1930" t="s">
        <v>168</v>
      </c>
      <c r="J1222" s="1930" t="s">
        <v>320</v>
      </c>
      <c r="K1222" s="1933">
        <v>2.2599999999999998</v>
      </c>
      <c r="L1222" s="1930" t="s">
        <v>138</v>
      </c>
    </row>
    <row r="1223" spans="1:12" ht="13.5" x14ac:dyDescent="0.25">
      <c r="A1223" s="1930" t="s">
        <v>4477</v>
      </c>
      <c r="B1223" s="1930" t="s">
        <v>4478</v>
      </c>
      <c r="C1223" s="1930" t="s">
        <v>4481</v>
      </c>
      <c r="D1223" s="1930" t="s">
        <v>4482</v>
      </c>
      <c r="E1223" s="1931" t="s">
        <v>33</v>
      </c>
      <c r="F1223" s="1930" t="s">
        <v>33</v>
      </c>
      <c r="G1223" s="1932">
        <v>94440</v>
      </c>
      <c r="H1223" s="1930" t="s">
        <v>7964</v>
      </c>
      <c r="I1223" s="1930" t="s">
        <v>306</v>
      </c>
      <c r="J1223" s="1930" t="s">
        <v>137</v>
      </c>
      <c r="K1223" s="1933">
        <v>24.22</v>
      </c>
      <c r="L1223" s="1930" t="s">
        <v>138</v>
      </c>
    </row>
    <row r="1224" spans="1:12" ht="13.5" x14ac:dyDescent="0.25">
      <c r="A1224" s="1930" t="s">
        <v>4477</v>
      </c>
      <c r="B1224" s="1930" t="s">
        <v>4478</v>
      </c>
      <c r="C1224" s="1930" t="s">
        <v>4481</v>
      </c>
      <c r="D1224" s="1930" t="s">
        <v>4482</v>
      </c>
      <c r="E1224" s="1931" t="s">
        <v>33</v>
      </c>
      <c r="F1224" s="1930" t="s">
        <v>33</v>
      </c>
      <c r="G1224" s="1932">
        <v>94441</v>
      </c>
      <c r="H1224" s="1930" t="s">
        <v>7965</v>
      </c>
      <c r="I1224" s="1930" t="s">
        <v>306</v>
      </c>
      <c r="J1224" s="1930" t="s">
        <v>137</v>
      </c>
      <c r="K1224" s="1933">
        <v>26.83</v>
      </c>
      <c r="L1224" s="1930" t="s">
        <v>138</v>
      </c>
    </row>
    <row r="1225" spans="1:12" ht="13.5" x14ac:dyDescent="0.25">
      <c r="A1225" s="1930" t="s">
        <v>4477</v>
      </c>
      <c r="B1225" s="1930" t="s">
        <v>4478</v>
      </c>
      <c r="C1225" s="1930" t="s">
        <v>4481</v>
      </c>
      <c r="D1225" s="1930" t="s">
        <v>4482</v>
      </c>
      <c r="E1225" s="1931" t="s">
        <v>33</v>
      </c>
      <c r="F1225" s="1930" t="s">
        <v>33</v>
      </c>
      <c r="G1225" s="1932">
        <v>94442</v>
      </c>
      <c r="H1225" s="1930" t="s">
        <v>7966</v>
      </c>
      <c r="I1225" s="1930" t="s">
        <v>306</v>
      </c>
      <c r="J1225" s="1930" t="s">
        <v>137</v>
      </c>
      <c r="K1225" s="1933">
        <v>24.22</v>
      </c>
      <c r="L1225" s="1930" t="s">
        <v>138</v>
      </c>
    </row>
    <row r="1226" spans="1:12" ht="13.5" x14ac:dyDescent="0.25">
      <c r="A1226" s="1930" t="s">
        <v>4477</v>
      </c>
      <c r="B1226" s="1930" t="s">
        <v>4478</v>
      </c>
      <c r="C1226" s="1930" t="s">
        <v>4481</v>
      </c>
      <c r="D1226" s="1930" t="s">
        <v>4482</v>
      </c>
      <c r="E1226" s="1931" t="s">
        <v>33</v>
      </c>
      <c r="F1226" s="1930" t="s">
        <v>33</v>
      </c>
      <c r="G1226" s="1932">
        <v>94443</v>
      </c>
      <c r="H1226" s="1930" t="s">
        <v>7967</v>
      </c>
      <c r="I1226" s="1930" t="s">
        <v>306</v>
      </c>
      <c r="J1226" s="1930" t="s">
        <v>137</v>
      </c>
      <c r="K1226" s="1933">
        <v>26.83</v>
      </c>
      <c r="L1226" s="1930" t="s">
        <v>138</v>
      </c>
    </row>
    <row r="1227" spans="1:12" ht="13.5" x14ac:dyDescent="0.25">
      <c r="A1227" s="1930" t="s">
        <v>4477</v>
      </c>
      <c r="B1227" s="1930" t="s">
        <v>4478</v>
      </c>
      <c r="C1227" s="1930" t="s">
        <v>4481</v>
      </c>
      <c r="D1227" s="1930" t="s">
        <v>4482</v>
      </c>
      <c r="E1227" s="1931" t="s">
        <v>33</v>
      </c>
      <c r="F1227" s="1930" t="s">
        <v>33</v>
      </c>
      <c r="G1227" s="1932">
        <v>94445</v>
      </c>
      <c r="H1227" s="1930" t="s">
        <v>7968</v>
      </c>
      <c r="I1227" s="1930" t="s">
        <v>306</v>
      </c>
      <c r="J1227" s="1930" t="s">
        <v>137</v>
      </c>
      <c r="K1227" s="1933">
        <v>34.700000000000003</v>
      </c>
      <c r="L1227" s="1930" t="s">
        <v>138</v>
      </c>
    </row>
    <row r="1228" spans="1:12" ht="13.5" x14ac:dyDescent="0.25">
      <c r="A1228" s="1930" t="s">
        <v>4477</v>
      </c>
      <c r="B1228" s="1930" t="s">
        <v>4478</v>
      </c>
      <c r="C1228" s="1930" t="s">
        <v>4481</v>
      </c>
      <c r="D1228" s="1930" t="s">
        <v>4482</v>
      </c>
      <c r="E1228" s="1931" t="s">
        <v>33</v>
      </c>
      <c r="F1228" s="1930" t="s">
        <v>33</v>
      </c>
      <c r="G1228" s="1932">
        <v>94446</v>
      </c>
      <c r="H1228" s="1930" t="s">
        <v>7969</v>
      </c>
      <c r="I1228" s="1930" t="s">
        <v>306</v>
      </c>
      <c r="J1228" s="1930" t="s">
        <v>137</v>
      </c>
      <c r="K1228" s="1933">
        <v>39.119999999999997</v>
      </c>
      <c r="L1228" s="1930" t="s">
        <v>138</v>
      </c>
    </row>
    <row r="1229" spans="1:12" ht="13.5" x14ac:dyDescent="0.25">
      <c r="A1229" s="1930" t="s">
        <v>4477</v>
      </c>
      <c r="B1229" s="1930" t="s">
        <v>4478</v>
      </c>
      <c r="C1229" s="1930" t="s">
        <v>4481</v>
      </c>
      <c r="D1229" s="1930" t="s">
        <v>4482</v>
      </c>
      <c r="E1229" s="1931" t="s">
        <v>33</v>
      </c>
      <c r="F1229" s="1930" t="s">
        <v>33</v>
      </c>
      <c r="G1229" s="1932">
        <v>94447</v>
      </c>
      <c r="H1229" s="1930" t="s">
        <v>7970</v>
      </c>
      <c r="I1229" s="1930" t="s">
        <v>306</v>
      </c>
      <c r="J1229" s="1930" t="s">
        <v>137</v>
      </c>
      <c r="K1229" s="1933">
        <v>34.700000000000003</v>
      </c>
      <c r="L1229" s="1930" t="s">
        <v>138</v>
      </c>
    </row>
    <row r="1230" spans="1:12" ht="13.5" x14ac:dyDescent="0.25">
      <c r="A1230" s="1930" t="s">
        <v>4477</v>
      </c>
      <c r="B1230" s="1930" t="s">
        <v>4478</v>
      </c>
      <c r="C1230" s="1930" t="s">
        <v>4481</v>
      </c>
      <c r="D1230" s="1930" t="s">
        <v>4482</v>
      </c>
      <c r="E1230" s="1931" t="s">
        <v>33</v>
      </c>
      <c r="F1230" s="1930" t="s">
        <v>33</v>
      </c>
      <c r="G1230" s="1932">
        <v>94448</v>
      </c>
      <c r="H1230" s="1930" t="s">
        <v>7971</v>
      </c>
      <c r="I1230" s="1930" t="s">
        <v>306</v>
      </c>
      <c r="J1230" s="1930" t="s">
        <v>137</v>
      </c>
      <c r="K1230" s="1933">
        <v>39.119999999999997</v>
      </c>
      <c r="L1230" s="1930" t="s">
        <v>138</v>
      </c>
    </row>
    <row r="1231" spans="1:12" ht="13.5" x14ac:dyDescent="0.25">
      <c r="A1231" s="1930" t="s">
        <v>4477</v>
      </c>
      <c r="B1231" s="1930" t="s">
        <v>4478</v>
      </c>
      <c r="C1231" s="1930" t="s">
        <v>4483</v>
      </c>
      <c r="D1231" s="1930" t="s">
        <v>4484</v>
      </c>
      <c r="E1231" s="1931" t="s">
        <v>33</v>
      </c>
      <c r="F1231" s="1930" t="s">
        <v>33</v>
      </c>
      <c r="G1231" s="1932">
        <v>94207</v>
      </c>
      <c r="H1231" s="1930" t="s">
        <v>7972</v>
      </c>
      <c r="I1231" s="1930" t="s">
        <v>306</v>
      </c>
      <c r="J1231" s="1930" t="s">
        <v>137</v>
      </c>
      <c r="K1231" s="1933">
        <v>28.15</v>
      </c>
      <c r="L1231" s="1930" t="s">
        <v>138</v>
      </c>
    </row>
    <row r="1232" spans="1:12" ht="13.5" x14ac:dyDescent="0.25">
      <c r="A1232" s="1930" t="s">
        <v>4477</v>
      </c>
      <c r="B1232" s="1930" t="s">
        <v>4478</v>
      </c>
      <c r="C1232" s="1930" t="s">
        <v>4483</v>
      </c>
      <c r="D1232" s="1930" t="s">
        <v>4484</v>
      </c>
      <c r="E1232" s="1931" t="s">
        <v>33</v>
      </c>
      <c r="F1232" s="1930" t="s">
        <v>33</v>
      </c>
      <c r="G1232" s="1932">
        <v>94210</v>
      </c>
      <c r="H1232" s="1930" t="s">
        <v>7973</v>
      </c>
      <c r="I1232" s="1930" t="s">
        <v>306</v>
      </c>
      <c r="J1232" s="1930" t="s">
        <v>137</v>
      </c>
      <c r="K1232" s="1933">
        <v>29.92</v>
      </c>
      <c r="L1232" s="1930" t="s">
        <v>138</v>
      </c>
    </row>
    <row r="1233" spans="1:12" ht="13.5" x14ac:dyDescent="0.25">
      <c r="A1233" s="1930" t="s">
        <v>4477</v>
      </c>
      <c r="B1233" s="1930" t="s">
        <v>4478</v>
      </c>
      <c r="C1233" s="1930" t="s">
        <v>4483</v>
      </c>
      <c r="D1233" s="1930" t="s">
        <v>4484</v>
      </c>
      <c r="E1233" s="1931" t="s">
        <v>33</v>
      </c>
      <c r="F1233" s="1930" t="s">
        <v>33</v>
      </c>
      <c r="G1233" s="1932">
        <v>94218</v>
      </c>
      <c r="H1233" s="1930" t="s">
        <v>7974</v>
      </c>
      <c r="I1233" s="1930" t="s">
        <v>306</v>
      </c>
      <c r="J1233" s="1930" t="s">
        <v>137</v>
      </c>
      <c r="K1233" s="1933">
        <v>59.74</v>
      </c>
      <c r="L1233" s="1930" t="s">
        <v>138</v>
      </c>
    </row>
    <row r="1234" spans="1:12" ht="13.5" x14ac:dyDescent="0.25">
      <c r="A1234" s="1930" t="s">
        <v>4477</v>
      </c>
      <c r="B1234" s="1930" t="s">
        <v>4478</v>
      </c>
      <c r="C1234" s="1930" t="s">
        <v>4485</v>
      </c>
      <c r="D1234" s="1930" t="s">
        <v>4486</v>
      </c>
      <c r="E1234" s="1931" t="s">
        <v>33</v>
      </c>
      <c r="F1234" s="1930" t="s">
        <v>33</v>
      </c>
      <c r="G1234" s="1932">
        <v>94213</v>
      </c>
      <c r="H1234" s="1930" t="s">
        <v>7975</v>
      </c>
      <c r="I1234" s="1930" t="s">
        <v>306</v>
      </c>
      <c r="J1234" s="1930" t="s">
        <v>137</v>
      </c>
      <c r="K1234" s="1933">
        <v>45.2</v>
      </c>
      <c r="L1234" s="1930" t="s">
        <v>138</v>
      </c>
    </row>
    <row r="1235" spans="1:12" ht="13.5" x14ac:dyDescent="0.25">
      <c r="A1235" s="1930" t="s">
        <v>4477</v>
      </c>
      <c r="B1235" s="1930" t="s">
        <v>4478</v>
      </c>
      <c r="C1235" s="1930" t="s">
        <v>4485</v>
      </c>
      <c r="D1235" s="1930" t="s">
        <v>4486</v>
      </c>
      <c r="E1235" s="1931" t="s">
        <v>33</v>
      </c>
      <c r="F1235" s="1930" t="s">
        <v>33</v>
      </c>
      <c r="G1235" s="1932">
        <v>94216</v>
      </c>
      <c r="H1235" s="1930" t="s">
        <v>7976</v>
      </c>
      <c r="I1235" s="1930" t="s">
        <v>306</v>
      </c>
      <c r="J1235" s="1930" t="s">
        <v>137</v>
      </c>
      <c r="K1235" s="1933">
        <v>163.41999999999999</v>
      </c>
      <c r="L1235" s="1930" t="s">
        <v>138</v>
      </c>
    </row>
    <row r="1236" spans="1:12" ht="13.5" x14ac:dyDescent="0.25">
      <c r="A1236" s="1930" t="s">
        <v>4477</v>
      </c>
      <c r="B1236" s="1930" t="s">
        <v>4478</v>
      </c>
      <c r="C1236" s="1930" t="s">
        <v>4487</v>
      </c>
      <c r="D1236" s="1930" t="s">
        <v>4488</v>
      </c>
      <c r="E1236" s="1931" t="s">
        <v>33</v>
      </c>
      <c r="F1236" s="1930" t="s">
        <v>33</v>
      </c>
      <c r="G1236" s="1932">
        <v>94219</v>
      </c>
      <c r="H1236" s="1930" t="s">
        <v>7977</v>
      </c>
      <c r="I1236" s="1930" t="s">
        <v>136</v>
      </c>
      <c r="J1236" s="1930" t="s">
        <v>137</v>
      </c>
      <c r="K1236" s="1933">
        <v>23.26</v>
      </c>
      <c r="L1236" s="1930" t="s">
        <v>138</v>
      </c>
    </row>
    <row r="1237" spans="1:12" ht="13.5" x14ac:dyDescent="0.25">
      <c r="A1237" s="1930" t="s">
        <v>4477</v>
      </c>
      <c r="B1237" s="1930" t="s">
        <v>4478</v>
      </c>
      <c r="C1237" s="1930" t="s">
        <v>4487</v>
      </c>
      <c r="D1237" s="1930" t="s">
        <v>4488</v>
      </c>
      <c r="E1237" s="1931" t="s">
        <v>33</v>
      </c>
      <c r="F1237" s="1930" t="s">
        <v>33</v>
      </c>
      <c r="G1237" s="1932">
        <v>94220</v>
      </c>
      <c r="H1237" s="1930" t="s">
        <v>7978</v>
      </c>
      <c r="I1237" s="1930" t="s">
        <v>136</v>
      </c>
      <c r="J1237" s="1930" t="s">
        <v>137</v>
      </c>
      <c r="K1237" s="1933">
        <v>36.67</v>
      </c>
      <c r="L1237" s="1930" t="s">
        <v>138</v>
      </c>
    </row>
    <row r="1238" spans="1:12" ht="13.5" x14ac:dyDescent="0.25">
      <c r="A1238" s="1930" t="s">
        <v>4477</v>
      </c>
      <c r="B1238" s="1930" t="s">
        <v>4478</v>
      </c>
      <c r="C1238" s="1930" t="s">
        <v>4487</v>
      </c>
      <c r="D1238" s="1930" t="s">
        <v>4488</v>
      </c>
      <c r="E1238" s="1931" t="s">
        <v>33</v>
      </c>
      <c r="F1238" s="1930" t="s">
        <v>33</v>
      </c>
      <c r="G1238" s="1932">
        <v>94221</v>
      </c>
      <c r="H1238" s="1930" t="s">
        <v>7979</v>
      </c>
      <c r="I1238" s="1930" t="s">
        <v>136</v>
      </c>
      <c r="J1238" s="1930" t="s">
        <v>137</v>
      </c>
      <c r="K1238" s="1933">
        <v>18.14</v>
      </c>
      <c r="L1238" s="1930" t="s">
        <v>138</v>
      </c>
    </row>
    <row r="1239" spans="1:12" ht="13.5" x14ac:dyDescent="0.25">
      <c r="A1239" s="1930" t="s">
        <v>4477</v>
      </c>
      <c r="B1239" s="1930" t="s">
        <v>4478</v>
      </c>
      <c r="C1239" s="1930" t="s">
        <v>4487</v>
      </c>
      <c r="D1239" s="1930" t="s">
        <v>4488</v>
      </c>
      <c r="E1239" s="1931" t="s">
        <v>33</v>
      </c>
      <c r="F1239" s="1930" t="s">
        <v>33</v>
      </c>
      <c r="G1239" s="1932">
        <v>94222</v>
      </c>
      <c r="H1239" s="1930" t="s">
        <v>7980</v>
      </c>
      <c r="I1239" s="1930" t="s">
        <v>136</v>
      </c>
      <c r="J1239" s="1930" t="s">
        <v>137</v>
      </c>
      <c r="K1239" s="1933">
        <v>31.55</v>
      </c>
      <c r="L1239" s="1930" t="s">
        <v>138</v>
      </c>
    </row>
    <row r="1240" spans="1:12" ht="13.5" x14ac:dyDescent="0.25">
      <c r="A1240" s="1930" t="s">
        <v>4477</v>
      </c>
      <c r="B1240" s="1930" t="s">
        <v>4478</v>
      </c>
      <c r="C1240" s="1930" t="s">
        <v>4489</v>
      </c>
      <c r="D1240" s="1930" t="s">
        <v>4490</v>
      </c>
      <c r="E1240" s="1931" t="s">
        <v>33</v>
      </c>
      <c r="F1240" s="1930" t="s">
        <v>33</v>
      </c>
      <c r="G1240" s="1932">
        <v>94223</v>
      </c>
      <c r="H1240" s="1930" t="s">
        <v>7981</v>
      </c>
      <c r="I1240" s="1930" t="s">
        <v>136</v>
      </c>
      <c r="J1240" s="1930" t="s">
        <v>137</v>
      </c>
      <c r="K1240" s="1933">
        <v>35.76</v>
      </c>
      <c r="L1240" s="1930" t="s">
        <v>138</v>
      </c>
    </row>
    <row r="1241" spans="1:12" ht="13.5" x14ac:dyDescent="0.25">
      <c r="A1241" s="1930" t="s">
        <v>4477</v>
      </c>
      <c r="B1241" s="1930" t="s">
        <v>4478</v>
      </c>
      <c r="C1241" s="1930" t="s">
        <v>4489</v>
      </c>
      <c r="D1241" s="1930" t="s">
        <v>4490</v>
      </c>
      <c r="E1241" s="1931" t="s">
        <v>33</v>
      </c>
      <c r="F1241" s="1930" t="s">
        <v>33</v>
      </c>
      <c r="G1241" s="1932">
        <v>94451</v>
      </c>
      <c r="H1241" s="1930" t="s">
        <v>7982</v>
      </c>
      <c r="I1241" s="1930" t="s">
        <v>136</v>
      </c>
      <c r="J1241" s="1930" t="s">
        <v>137</v>
      </c>
      <c r="K1241" s="1933">
        <v>77.89</v>
      </c>
      <c r="L1241" s="1930" t="s">
        <v>138</v>
      </c>
    </row>
    <row r="1242" spans="1:12" ht="13.5" x14ac:dyDescent="0.25">
      <c r="A1242" s="1930" t="s">
        <v>4477</v>
      </c>
      <c r="B1242" s="1930" t="s">
        <v>4478</v>
      </c>
      <c r="C1242" s="1930" t="s">
        <v>4489</v>
      </c>
      <c r="D1242" s="1930" t="s">
        <v>4490</v>
      </c>
      <c r="E1242" s="1931" t="s">
        <v>33</v>
      </c>
      <c r="F1242" s="1930" t="s">
        <v>33</v>
      </c>
      <c r="G1242" s="1932">
        <v>100325</v>
      </c>
      <c r="H1242" s="1930" t="s">
        <v>7983</v>
      </c>
      <c r="I1242" s="1930" t="s">
        <v>136</v>
      </c>
      <c r="J1242" s="1930" t="s">
        <v>137</v>
      </c>
      <c r="K1242" s="1933">
        <v>34.29</v>
      </c>
      <c r="L1242" s="1930" t="s">
        <v>138</v>
      </c>
    </row>
    <row r="1243" spans="1:12" ht="13.5" x14ac:dyDescent="0.25">
      <c r="A1243" s="1930" t="s">
        <v>4477</v>
      </c>
      <c r="B1243" s="1930" t="s">
        <v>4478</v>
      </c>
      <c r="C1243" s="1930" t="s">
        <v>4489</v>
      </c>
      <c r="D1243" s="1930" t="s">
        <v>4490</v>
      </c>
      <c r="E1243" s="1931" t="s">
        <v>33</v>
      </c>
      <c r="F1243" s="1930" t="s">
        <v>33</v>
      </c>
      <c r="G1243" s="1932">
        <v>100327</v>
      </c>
      <c r="H1243" s="1930" t="s">
        <v>7984</v>
      </c>
      <c r="I1243" s="1930" t="s">
        <v>136</v>
      </c>
      <c r="J1243" s="1930" t="s">
        <v>137</v>
      </c>
      <c r="K1243" s="1933">
        <v>34.69</v>
      </c>
      <c r="L1243" s="1930" t="s">
        <v>138</v>
      </c>
    </row>
    <row r="1244" spans="1:12" ht="13.5" x14ac:dyDescent="0.25">
      <c r="A1244" s="1930" t="s">
        <v>4477</v>
      </c>
      <c r="B1244" s="1930" t="s">
        <v>4478</v>
      </c>
      <c r="C1244" s="1930" t="s">
        <v>4489</v>
      </c>
      <c r="D1244" s="1930" t="s">
        <v>4490</v>
      </c>
      <c r="E1244" s="1931" t="s">
        <v>33</v>
      </c>
      <c r="F1244" s="1930" t="s">
        <v>33</v>
      </c>
      <c r="G1244" s="1932">
        <v>100328</v>
      </c>
      <c r="H1244" s="1930" t="s">
        <v>7985</v>
      </c>
      <c r="I1244" s="1930" t="s">
        <v>306</v>
      </c>
      <c r="J1244" s="1930" t="s">
        <v>137</v>
      </c>
      <c r="K1244" s="1933">
        <v>9.84</v>
      </c>
      <c r="L1244" s="1930" t="s">
        <v>138</v>
      </c>
    </row>
    <row r="1245" spans="1:12" ht="13.5" x14ac:dyDescent="0.25">
      <c r="A1245" s="1930" t="s">
        <v>4477</v>
      </c>
      <c r="B1245" s="1930" t="s">
        <v>4478</v>
      </c>
      <c r="C1245" s="1930" t="s">
        <v>4489</v>
      </c>
      <c r="D1245" s="1930" t="s">
        <v>4490</v>
      </c>
      <c r="E1245" s="1931" t="s">
        <v>33</v>
      </c>
      <c r="F1245" s="1930" t="s">
        <v>33</v>
      </c>
      <c r="G1245" s="1932">
        <v>100329</v>
      </c>
      <c r="H1245" s="1930" t="s">
        <v>7986</v>
      </c>
      <c r="I1245" s="1930" t="s">
        <v>306</v>
      </c>
      <c r="J1245" s="1930" t="s">
        <v>137</v>
      </c>
      <c r="K1245" s="1933">
        <v>12.44</v>
      </c>
      <c r="L1245" s="1930" t="s">
        <v>138</v>
      </c>
    </row>
    <row r="1246" spans="1:12" ht="13.5" x14ac:dyDescent="0.25">
      <c r="A1246" s="1930" t="s">
        <v>4477</v>
      </c>
      <c r="B1246" s="1930" t="s">
        <v>4478</v>
      </c>
      <c r="C1246" s="1930" t="s">
        <v>4489</v>
      </c>
      <c r="D1246" s="1930" t="s">
        <v>4490</v>
      </c>
      <c r="E1246" s="1931" t="s">
        <v>33</v>
      </c>
      <c r="F1246" s="1930" t="s">
        <v>33</v>
      </c>
      <c r="G1246" s="1932">
        <v>100330</v>
      </c>
      <c r="H1246" s="1930" t="s">
        <v>7987</v>
      </c>
      <c r="I1246" s="1930" t="s">
        <v>306</v>
      </c>
      <c r="J1246" s="1930" t="s">
        <v>137</v>
      </c>
      <c r="K1246" s="1933">
        <v>13.34</v>
      </c>
      <c r="L1246" s="1930" t="s">
        <v>138</v>
      </c>
    </row>
    <row r="1247" spans="1:12" ht="13.5" x14ac:dyDescent="0.25">
      <c r="A1247" s="1930" t="s">
        <v>4477</v>
      </c>
      <c r="B1247" s="1930" t="s">
        <v>4478</v>
      </c>
      <c r="C1247" s="1930" t="s">
        <v>4489</v>
      </c>
      <c r="D1247" s="1930" t="s">
        <v>4490</v>
      </c>
      <c r="E1247" s="1931" t="s">
        <v>33</v>
      </c>
      <c r="F1247" s="1930" t="s">
        <v>33</v>
      </c>
      <c r="G1247" s="1932">
        <v>100331</v>
      </c>
      <c r="H1247" s="1930" t="s">
        <v>7988</v>
      </c>
      <c r="I1247" s="1930" t="s">
        <v>306</v>
      </c>
      <c r="J1247" s="1930" t="s">
        <v>137</v>
      </c>
      <c r="K1247" s="1933">
        <v>17.78</v>
      </c>
      <c r="L1247" s="1930" t="s">
        <v>138</v>
      </c>
    </row>
    <row r="1248" spans="1:12" ht="13.5" x14ac:dyDescent="0.25">
      <c r="A1248" s="1930" t="s">
        <v>4477</v>
      </c>
      <c r="B1248" s="1930" t="s">
        <v>4478</v>
      </c>
      <c r="C1248" s="1930" t="s">
        <v>8382</v>
      </c>
      <c r="D1248" s="1930" t="s">
        <v>8383</v>
      </c>
      <c r="E1248" s="1931" t="s">
        <v>33</v>
      </c>
      <c r="F1248" s="1930" t="s">
        <v>33</v>
      </c>
      <c r="G1248" s="1932">
        <v>100434</v>
      </c>
      <c r="H1248" s="1930" t="s">
        <v>8384</v>
      </c>
      <c r="I1248" s="1930" t="s">
        <v>136</v>
      </c>
      <c r="J1248" s="1930" t="s">
        <v>137</v>
      </c>
      <c r="K1248" s="1933">
        <v>45.21</v>
      </c>
      <c r="L1248" s="1930" t="s">
        <v>138</v>
      </c>
    </row>
    <row r="1249" spans="1:12" ht="13.5" x14ac:dyDescent="0.25">
      <c r="A1249" s="1930" t="s">
        <v>4477</v>
      </c>
      <c r="B1249" s="1930" t="s">
        <v>4478</v>
      </c>
      <c r="C1249" s="1930" t="s">
        <v>8382</v>
      </c>
      <c r="D1249" s="1930" t="s">
        <v>8383</v>
      </c>
      <c r="E1249" s="1931" t="s">
        <v>33</v>
      </c>
      <c r="F1249" s="1930" t="s">
        <v>33</v>
      </c>
      <c r="G1249" s="1932">
        <v>100435</v>
      </c>
      <c r="H1249" s="1930" t="s">
        <v>8385</v>
      </c>
      <c r="I1249" s="1930" t="s">
        <v>136</v>
      </c>
      <c r="J1249" s="1930" t="s">
        <v>137</v>
      </c>
      <c r="K1249" s="1933">
        <v>18.940000000000001</v>
      </c>
      <c r="L1249" s="1930" t="s">
        <v>138</v>
      </c>
    </row>
    <row r="1250" spans="1:12" ht="13.5" x14ac:dyDescent="0.25">
      <c r="A1250" s="1930" t="s">
        <v>4477</v>
      </c>
      <c r="B1250" s="1930" t="s">
        <v>4478</v>
      </c>
      <c r="C1250" s="1930" t="s">
        <v>4491</v>
      </c>
      <c r="D1250" s="1930" t="s">
        <v>4492</v>
      </c>
      <c r="E1250" s="1931" t="s">
        <v>33</v>
      </c>
      <c r="F1250" s="1930" t="s">
        <v>33</v>
      </c>
      <c r="G1250" s="1932">
        <v>94227</v>
      </c>
      <c r="H1250" s="1930" t="s">
        <v>7989</v>
      </c>
      <c r="I1250" s="1930" t="s">
        <v>136</v>
      </c>
      <c r="J1250" s="1930" t="s">
        <v>137</v>
      </c>
      <c r="K1250" s="1933">
        <v>37.69</v>
      </c>
      <c r="L1250" s="1930" t="s">
        <v>138</v>
      </c>
    </row>
    <row r="1251" spans="1:12" ht="13.5" x14ac:dyDescent="0.25">
      <c r="A1251" s="1930" t="s">
        <v>4477</v>
      </c>
      <c r="B1251" s="1930" t="s">
        <v>4478</v>
      </c>
      <c r="C1251" s="1930" t="s">
        <v>4491</v>
      </c>
      <c r="D1251" s="1930" t="s">
        <v>4492</v>
      </c>
      <c r="E1251" s="1931" t="s">
        <v>33</v>
      </c>
      <c r="F1251" s="1930" t="s">
        <v>33</v>
      </c>
      <c r="G1251" s="1932">
        <v>94228</v>
      </c>
      <c r="H1251" s="1930" t="s">
        <v>7990</v>
      </c>
      <c r="I1251" s="1930" t="s">
        <v>136</v>
      </c>
      <c r="J1251" s="1930" t="s">
        <v>137</v>
      </c>
      <c r="K1251" s="1933">
        <v>51.16</v>
      </c>
      <c r="L1251" s="1930" t="s">
        <v>138</v>
      </c>
    </row>
    <row r="1252" spans="1:12" ht="13.5" x14ac:dyDescent="0.25">
      <c r="A1252" s="1930" t="s">
        <v>4477</v>
      </c>
      <c r="B1252" s="1930" t="s">
        <v>4478</v>
      </c>
      <c r="C1252" s="1930" t="s">
        <v>4491</v>
      </c>
      <c r="D1252" s="1930" t="s">
        <v>4492</v>
      </c>
      <c r="E1252" s="1931" t="s">
        <v>33</v>
      </c>
      <c r="F1252" s="1930" t="s">
        <v>33</v>
      </c>
      <c r="G1252" s="1932">
        <v>94229</v>
      </c>
      <c r="H1252" s="1930" t="s">
        <v>7991</v>
      </c>
      <c r="I1252" s="1930" t="s">
        <v>136</v>
      </c>
      <c r="J1252" s="1930" t="s">
        <v>137</v>
      </c>
      <c r="K1252" s="1933">
        <v>98.57</v>
      </c>
      <c r="L1252" s="1930" t="s">
        <v>138</v>
      </c>
    </row>
    <row r="1253" spans="1:12" ht="13.5" x14ac:dyDescent="0.25">
      <c r="A1253" s="1930" t="s">
        <v>4477</v>
      </c>
      <c r="B1253" s="1930" t="s">
        <v>4478</v>
      </c>
      <c r="C1253" s="1930" t="s">
        <v>4493</v>
      </c>
      <c r="D1253" s="1930" t="s">
        <v>4494</v>
      </c>
      <c r="E1253" s="1931" t="s">
        <v>33</v>
      </c>
      <c r="F1253" s="1930" t="s">
        <v>33</v>
      </c>
      <c r="G1253" s="1932">
        <v>94231</v>
      </c>
      <c r="H1253" s="1930" t="s">
        <v>7992</v>
      </c>
      <c r="I1253" s="1930" t="s">
        <v>136</v>
      </c>
      <c r="J1253" s="1930" t="s">
        <v>137</v>
      </c>
      <c r="K1253" s="1933">
        <v>30.78</v>
      </c>
      <c r="L1253" s="1930" t="s">
        <v>138</v>
      </c>
    </row>
    <row r="1254" spans="1:12" ht="13.5" x14ac:dyDescent="0.25">
      <c r="A1254" s="1930" t="s">
        <v>4477</v>
      </c>
      <c r="B1254" s="1930" t="s">
        <v>4478</v>
      </c>
      <c r="C1254" s="1930" t="s">
        <v>4495</v>
      </c>
      <c r="D1254" s="1930" t="s">
        <v>4496</v>
      </c>
      <c r="E1254" s="1931" t="s">
        <v>33</v>
      </c>
      <c r="F1254" s="1930" t="s">
        <v>33</v>
      </c>
      <c r="G1254" s="1932">
        <v>94449</v>
      </c>
      <c r="H1254" s="1930" t="s">
        <v>7993</v>
      </c>
      <c r="I1254" s="1930" t="s">
        <v>306</v>
      </c>
      <c r="J1254" s="1930" t="s">
        <v>137</v>
      </c>
      <c r="K1254" s="1933">
        <v>43.51</v>
      </c>
      <c r="L1254" s="1930" t="s">
        <v>138</v>
      </c>
    </row>
    <row r="1255" spans="1:12" ht="13.5" x14ac:dyDescent="0.25">
      <c r="A1255" s="1930" t="s">
        <v>4477</v>
      </c>
      <c r="B1255" s="1930" t="s">
        <v>4478</v>
      </c>
      <c r="C1255" s="1930" t="s">
        <v>4497</v>
      </c>
      <c r="D1255" s="1930" t="s">
        <v>4498</v>
      </c>
      <c r="E1255" s="1931" t="s">
        <v>33</v>
      </c>
      <c r="F1255" s="1930" t="s">
        <v>33</v>
      </c>
      <c r="G1255" s="1932">
        <v>92255</v>
      </c>
      <c r="H1255" s="1930" t="s">
        <v>7994</v>
      </c>
      <c r="I1255" s="1930" t="s">
        <v>168</v>
      </c>
      <c r="J1255" s="1930" t="s">
        <v>137</v>
      </c>
      <c r="K1255" s="1933">
        <v>128.22</v>
      </c>
      <c r="L1255" s="1930" t="s">
        <v>138</v>
      </c>
    </row>
    <row r="1256" spans="1:12" ht="13.5" x14ac:dyDescent="0.25">
      <c r="A1256" s="1930" t="s">
        <v>4477</v>
      </c>
      <c r="B1256" s="1930" t="s">
        <v>4478</v>
      </c>
      <c r="C1256" s="1930" t="s">
        <v>4497</v>
      </c>
      <c r="D1256" s="1930" t="s">
        <v>4498</v>
      </c>
      <c r="E1256" s="1931" t="s">
        <v>33</v>
      </c>
      <c r="F1256" s="1930" t="s">
        <v>33</v>
      </c>
      <c r="G1256" s="1932">
        <v>92256</v>
      </c>
      <c r="H1256" s="1930" t="s">
        <v>7995</v>
      </c>
      <c r="I1256" s="1930" t="s">
        <v>168</v>
      </c>
      <c r="J1256" s="1930" t="s">
        <v>137</v>
      </c>
      <c r="K1256" s="1933">
        <v>156.57</v>
      </c>
      <c r="L1256" s="1930" t="s">
        <v>138</v>
      </c>
    </row>
    <row r="1257" spans="1:12" ht="13.5" x14ac:dyDescent="0.25">
      <c r="A1257" s="1930" t="s">
        <v>4477</v>
      </c>
      <c r="B1257" s="1930" t="s">
        <v>4478</v>
      </c>
      <c r="C1257" s="1930" t="s">
        <v>4497</v>
      </c>
      <c r="D1257" s="1930" t="s">
        <v>4498</v>
      </c>
      <c r="E1257" s="1931" t="s">
        <v>33</v>
      </c>
      <c r="F1257" s="1930" t="s">
        <v>33</v>
      </c>
      <c r="G1257" s="1932">
        <v>92257</v>
      </c>
      <c r="H1257" s="1930" t="s">
        <v>7996</v>
      </c>
      <c r="I1257" s="1930" t="s">
        <v>168</v>
      </c>
      <c r="J1257" s="1930" t="s">
        <v>137</v>
      </c>
      <c r="K1257" s="1933">
        <v>184.64</v>
      </c>
      <c r="L1257" s="1930" t="s">
        <v>138</v>
      </c>
    </row>
    <row r="1258" spans="1:12" ht="13.5" x14ac:dyDescent="0.25">
      <c r="A1258" s="1930" t="s">
        <v>4477</v>
      </c>
      <c r="B1258" s="1930" t="s">
        <v>4478</v>
      </c>
      <c r="C1258" s="1930" t="s">
        <v>4497</v>
      </c>
      <c r="D1258" s="1930" t="s">
        <v>4498</v>
      </c>
      <c r="E1258" s="1931" t="s">
        <v>33</v>
      </c>
      <c r="F1258" s="1930" t="s">
        <v>33</v>
      </c>
      <c r="G1258" s="1932">
        <v>92258</v>
      </c>
      <c r="H1258" s="1930" t="s">
        <v>7997</v>
      </c>
      <c r="I1258" s="1930" t="s">
        <v>168</v>
      </c>
      <c r="J1258" s="1930" t="s">
        <v>137</v>
      </c>
      <c r="K1258" s="1933">
        <v>229.81</v>
      </c>
      <c r="L1258" s="1930" t="s">
        <v>138</v>
      </c>
    </row>
    <row r="1259" spans="1:12" ht="13.5" x14ac:dyDescent="0.25">
      <c r="A1259" s="1930" t="s">
        <v>4477</v>
      </c>
      <c r="B1259" s="1930" t="s">
        <v>4478</v>
      </c>
      <c r="C1259" s="1930" t="s">
        <v>4497</v>
      </c>
      <c r="D1259" s="1930" t="s">
        <v>4498</v>
      </c>
      <c r="E1259" s="1931" t="s">
        <v>33</v>
      </c>
      <c r="F1259" s="1930" t="s">
        <v>33</v>
      </c>
      <c r="G1259" s="1932">
        <v>92568</v>
      </c>
      <c r="H1259" s="1930" t="s">
        <v>7998</v>
      </c>
      <c r="I1259" s="1930" t="s">
        <v>306</v>
      </c>
      <c r="J1259" s="1930" t="s">
        <v>137</v>
      </c>
      <c r="K1259" s="1933">
        <v>72.180000000000007</v>
      </c>
      <c r="L1259" s="1930" t="s">
        <v>138</v>
      </c>
    </row>
    <row r="1260" spans="1:12" ht="13.5" x14ac:dyDescent="0.25">
      <c r="A1260" s="1930" t="s">
        <v>4477</v>
      </c>
      <c r="B1260" s="1930" t="s">
        <v>4478</v>
      </c>
      <c r="C1260" s="1930" t="s">
        <v>4497</v>
      </c>
      <c r="D1260" s="1930" t="s">
        <v>4498</v>
      </c>
      <c r="E1260" s="1931" t="s">
        <v>33</v>
      </c>
      <c r="F1260" s="1930" t="s">
        <v>33</v>
      </c>
      <c r="G1260" s="1932">
        <v>92569</v>
      </c>
      <c r="H1260" s="1930" t="s">
        <v>7999</v>
      </c>
      <c r="I1260" s="1930" t="s">
        <v>306</v>
      </c>
      <c r="J1260" s="1930" t="s">
        <v>137</v>
      </c>
      <c r="K1260" s="1933">
        <v>40.049999999999997</v>
      </c>
      <c r="L1260" s="1930" t="s">
        <v>138</v>
      </c>
    </row>
    <row r="1261" spans="1:12" ht="13.5" x14ac:dyDescent="0.25">
      <c r="A1261" s="1930" t="s">
        <v>4477</v>
      </c>
      <c r="B1261" s="1930" t="s">
        <v>4478</v>
      </c>
      <c r="C1261" s="1930" t="s">
        <v>4497</v>
      </c>
      <c r="D1261" s="1930" t="s">
        <v>4498</v>
      </c>
      <c r="E1261" s="1931" t="s">
        <v>33</v>
      </c>
      <c r="F1261" s="1930" t="s">
        <v>33</v>
      </c>
      <c r="G1261" s="1932">
        <v>92570</v>
      </c>
      <c r="H1261" s="1930" t="s">
        <v>8000</v>
      </c>
      <c r="I1261" s="1930" t="s">
        <v>306</v>
      </c>
      <c r="J1261" s="1930" t="s">
        <v>137</v>
      </c>
      <c r="K1261" s="1933">
        <v>25.3</v>
      </c>
      <c r="L1261" s="1930" t="s">
        <v>138</v>
      </c>
    </row>
    <row r="1262" spans="1:12" ht="13.5" x14ac:dyDescent="0.25">
      <c r="A1262" s="1930" t="s">
        <v>4477</v>
      </c>
      <c r="B1262" s="1930" t="s">
        <v>4478</v>
      </c>
      <c r="C1262" s="1930" t="s">
        <v>4497</v>
      </c>
      <c r="D1262" s="1930" t="s">
        <v>4498</v>
      </c>
      <c r="E1262" s="1931" t="s">
        <v>33</v>
      </c>
      <c r="F1262" s="1930" t="s">
        <v>33</v>
      </c>
      <c r="G1262" s="1932">
        <v>92571</v>
      </c>
      <c r="H1262" s="1930" t="s">
        <v>8001</v>
      </c>
      <c r="I1262" s="1930" t="s">
        <v>306</v>
      </c>
      <c r="J1262" s="1930" t="s">
        <v>137</v>
      </c>
      <c r="K1262" s="1933">
        <v>77.569999999999993</v>
      </c>
      <c r="L1262" s="1930" t="s">
        <v>138</v>
      </c>
    </row>
    <row r="1263" spans="1:12" ht="13.5" x14ac:dyDescent="0.25">
      <c r="A1263" s="1930" t="s">
        <v>4477</v>
      </c>
      <c r="B1263" s="1930" t="s">
        <v>4478</v>
      </c>
      <c r="C1263" s="1930" t="s">
        <v>4497</v>
      </c>
      <c r="D1263" s="1930" t="s">
        <v>4498</v>
      </c>
      <c r="E1263" s="1931" t="s">
        <v>33</v>
      </c>
      <c r="F1263" s="1930" t="s">
        <v>33</v>
      </c>
      <c r="G1263" s="1932">
        <v>92572</v>
      </c>
      <c r="H1263" s="1930" t="s">
        <v>8002</v>
      </c>
      <c r="I1263" s="1930" t="s">
        <v>306</v>
      </c>
      <c r="J1263" s="1930" t="s">
        <v>137</v>
      </c>
      <c r="K1263" s="1933">
        <v>46.3</v>
      </c>
      <c r="L1263" s="1930" t="s">
        <v>138</v>
      </c>
    </row>
    <row r="1264" spans="1:12" ht="13.5" x14ac:dyDescent="0.25">
      <c r="A1264" s="1930" t="s">
        <v>4477</v>
      </c>
      <c r="B1264" s="1930" t="s">
        <v>4478</v>
      </c>
      <c r="C1264" s="1930" t="s">
        <v>4497</v>
      </c>
      <c r="D1264" s="1930" t="s">
        <v>4498</v>
      </c>
      <c r="E1264" s="1931" t="s">
        <v>33</v>
      </c>
      <c r="F1264" s="1930" t="s">
        <v>33</v>
      </c>
      <c r="G1264" s="1932">
        <v>92573</v>
      </c>
      <c r="H1264" s="1930" t="s">
        <v>8003</v>
      </c>
      <c r="I1264" s="1930" t="s">
        <v>306</v>
      </c>
      <c r="J1264" s="1930" t="s">
        <v>137</v>
      </c>
      <c r="K1264" s="1933">
        <v>27.63</v>
      </c>
      <c r="L1264" s="1930" t="s">
        <v>138</v>
      </c>
    </row>
    <row r="1265" spans="1:12" ht="13.5" x14ac:dyDescent="0.25">
      <c r="A1265" s="1930" t="s">
        <v>4477</v>
      </c>
      <c r="B1265" s="1930" t="s">
        <v>4478</v>
      </c>
      <c r="C1265" s="1930" t="s">
        <v>4497</v>
      </c>
      <c r="D1265" s="1930" t="s">
        <v>4498</v>
      </c>
      <c r="E1265" s="1931" t="s">
        <v>33</v>
      </c>
      <c r="F1265" s="1930" t="s">
        <v>33</v>
      </c>
      <c r="G1265" s="1932">
        <v>92574</v>
      </c>
      <c r="H1265" s="1930" t="s">
        <v>8004</v>
      </c>
      <c r="I1265" s="1930" t="s">
        <v>306</v>
      </c>
      <c r="J1265" s="1930" t="s">
        <v>137</v>
      </c>
      <c r="K1265" s="1933">
        <v>73.459999999999994</v>
      </c>
      <c r="L1265" s="1930" t="s">
        <v>138</v>
      </c>
    </row>
    <row r="1266" spans="1:12" ht="13.5" x14ac:dyDescent="0.25">
      <c r="A1266" s="1930" t="s">
        <v>4477</v>
      </c>
      <c r="B1266" s="1930" t="s">
        <v>4478</v>
      </c>
      <c r="C1266" s="1930" t="s">
        <v>4497</v>
      </c>
      <c r="D1266" s="1930" t="s">
        <v>4498</v>
      </c>
      <c r="E1266" s="1931" t="s">
        <v>33</v>
      </c>
      <c r="F1266" s="1930" t="s">
        <v>33</v>
      </c>
      <c r="G1266" s="1932">
        <v>92575</v>
      </c>
      <c r="H1266" s="1930" t="s">
        <v>8005</v>
      </c>
      <c r="I1266" s="1930" t="s">
        <v>306</v>
      </c>
      <c r="J1266" s="1930" t="s">
        <v>137</v>
      </c>
      <c r="K1266" s="1933">
        <v>36.729999999999997</v>
      </c>
      <c r="L1266" s="1930" t="s">
        <v>138</v>
      </c>
    </row>
    <row r="1267" spans="1:12" ht="13.5" x14ac:dyDescent="0.25">
      <c r="A1267" s="1930" t="s">
        <v>4477</v>
      </c>
      <c r="B1267" s="1930" t="s">
        <v>4478</v>
      </c>
      <c r="C1267" s="1930" t="s">
        <v>4497</v>
      </c>
      <c r="D1267" s="1930" t="s">
        <v>4498</v>
      </c>
      <c r="E1267" s="1931" t="s">
        <v>33</v>
      </c>
      <c r="F1267" s="1930" t="s">
        <v>33</v>
      </c>
      <c r="G1267" s="1932">
        <v>92576</v>
      </c>
      <c r="H1267" s="1930" t="s">
        <v>8006</v>
      </c>
      <c r="I1267" s="1930" t="s">
        <v>306</v>
      </c>
      <c r="J1267" s="1930" t="s">
        <v>137</v>
      </c>
      <c r="K1267" s="1933">
        <v>20.059999999999999</v>
      </c>
      <c r="L1267" s="1930" t="s">
        <v>138</v>
      </c>
    </row>
    <row r="1268" spans="1:12" ht="13.5" x14ac:dyDescent="0.25">
      <c r="A1268" s="1930" t="s">
        <v>4477</v>
      </c>
      <c r="B1268" s="1930" t="s">
        <v>4478</v>
      </c>
      <c r="C1268" s="1930" t="s">
        <v>4497</v>
      </c>
      <c r="D1268" s="1930" t="s">
        <v>4498</v>
      </c>
      <c r="E1268" s="1931" t="s">
        <v>33</v>
      </c>
      <c r="F1268" s="1930" t="s">
        <v>33</v>
      </c>
      <c r="G1268" s="1932">
        <v>92577</v>
      </c>
      <c r="H1268" s="1930" t="s">
        <v>8007</v>
      </c>
      <c r="I1268" s="1930" t="s">
        <v>306</v>
      </c>
      <c r="J1268" s="1930" t="s">
        <v>137</v>
      </c>
      <c r="K1268" s="1933">
        <v>79.11</v>
      </c>
      <c r="L1268" s="1930" t="s">
        <v>138</v>
      </c>
    </row>
    <row r="1269" spans="1:12" ht="13.5" x14ac:dyDescent="0.25">
      <c r="A1269" s="1930" t="s">
        <v>4477</v>
      </c>
      <c r="B1269" s="1930" t="s">
        <v>4478</v>
      </c>
      <c r="C1269" s="1930" t="s">
        <v>4497</v>
      </c>
      <c r="D1269" s="1930" t="s">
        <v>4498</v>
      </c>
      <c r="E1269" s="1931" t="s">
        <v>33</v>
      </c>
      <c r="F1269" s="1930" t="s">
        <v>33</v>
      </c>
      <c r="G1269" s="1932">
        <v>92578</v>
      </c>
      <c r="H1269" s="1930" t="s">
        <v>8008</v>
      </c>
      <c r="I1269" s="1930" t="s">
        <v>306</v>
      </c>
      <c r="J1269" s="1930" t="s">
        <v>137</v>
      </c>
      <c r="K1269" s="1933">
        <v>39.9</v>
      </c>
      <c r="L1269" s="1930" t="s">
        <v>138</v>
      </c>
    </row>
    <row r="1270" spans="1:12" ht="13.5" x14ac:dyDescent="0.25">
      <c r="A1270" s="1930" t="s">
        <v>4477</v>
      </c>
      <c r="B1270" s="1930" t="s">
        <v>4478</v>
      </c>
      <c r="C1270" s="1930" t="s">
        <v>4497</v>
      </c>
      <c r="D1270" s="1930" t="s">
        <v>4498</v>
      </c>
      <c r="E1270" s="1931" t="s">
        <v>33</v>
      </c>
      <c r="F1270" s="1930" t="s">
        <v>33</v>
      </c>
      <c r="G1270" s="1932">
        <v>92579</v>
      </c>
      <c r="H1270" s="1930" t="s">
        <v>8009</v>
      </c>
      <c r="I1270" s="1930" t="s">
        <v>306</v>
      </c>
      <c r="J1270" s="1930" t="s">
        <v>137</v>
      </c>
      <c r="K1270" s="1933">
        <v>21.91</v>
      </c>
      <c r="L1270" s="1930" t="s">
        <v>138</v>
      </c>
    </row>
    <row r="1271" spans="1:12" ht="13.5" x14ac:dyDescent="0.25">
      <c r="A1271" s="1930" t="s">
        <v>4477</v>
      </c>
      <c r="B1271" s="1930" t="s">
        <v>4478</v>
      </c>
      <c r="C1271" s="1930" t="s">
        <v>4497</v>
      </c>
      <c r="D1271" s="1930" t="s">
        <v>4498</v>
      </c>
      <c r="E1271" s="1931" t="s">
        <v>33</v>
      </c>
      <c r="F1271" s="1930" t="s">
        <v>33</v>
      </c>
      <c r="G1271" s="1932">
        <v>92580</v>
      </c>
      <c r="H1271" s="1930" t="s">
        <v>8010</v>
      </c>
      <c r="I1271" s="1930" t="s">
        <v>306</v>
      </c>
      <c r="J1271" s="1930" t="s">
        <v>137</v>
      </c>
      <c r="K1271" s="1933">
        <v>27.45</v>
      </c>
      <c r="L1271" s="1930" t="s">
        <v>138</v>
      </c>
    </row>
    <row r="1272" spans="1:12" ht="13.5" x14ac:dyDescent="0.25">
      <c r="A1272" s="1930" t="s">
        <v>4477</v>
      </c>
      <c r="B1272" s="1930" t="s">
        <v>4478</v>
      </c>
      <c r="C1272" s="1930" t="s">
        <v>4497</v>
      </c>
      <c r="D1272" s="1930" t="s">
        <v>4498</v>
      </c>
      <c r="E1272" s="1931" t="s">
        <v>33</v>
      </c>
      <c r="F1272" s="1930" t="s">
        <v>33</v>
      </c>
      <c r="G1272" s="1932">
        <v>92581</v>
      </c>
      <c r="H1272" s="1930" t="s">
        <v>8011</v>
      </c>
      <c r="I1272" s="1930" t="s">
        <v>306</v>
      </c>
      <c r="J1272" s="1930" t="s">
        <v>137</v>
      </c>
      <c r="K1272" s="1933">
        <v>28.5</v>
      </c>
      <c r="L1272" s="1930" t="s">
        <v>138</v>
      </c>
    </row>
    <row r="1273" spans="1:12" ht="13.5" x14ac:dyDescent="0.25">
      <c r="A1273" s="1930" t="s">
        <v>4477</v>
      </c>
      <c r="B1273" s="1930" t="s">
        <v>4478</v>
      </c>
      <c r="C1273" s="1930" t="s">
        <v>4497</v>
      </c>
      <c r="D1273" s="1930" t="s">
        <v>4498</v>
      </c>
      <c r="E1273" s="1931" t="s">
        <v>33</v>
      </c>
      <c r="F1273" s="1930" t="s">
        <v>33</v>
      </c>
      <c r="G1273" s="1932">
        <v>92582</v>
      </c>
      <c r="H1273" s="1930" t="s">
        <v>1179</v>
      </c>
      <c r="I1273" s="1930" t="s">
        <v>168</v>
      </c>
      <c r="J1273" s="1930" t="s">
        <v>137</v>
      </c>
      <c r="K1273" s="1933">
        <v>416.07</v>
      </c>
      <c r="L1273" s="1930" t="s">
        <v>138</v>
      </c>
    </row>
    <row r="1274" spans="1:12" ht="13.5" x14ac:dyDescent="0.25">
      <c r="A1274" s="1930" t="s">
        <v>4477</v>
      </c>
      <c r="B1274" s="1930" t="s">
        <v>4478</v>
      </c>
      <c r="C1274" s="1930" t="s">
        <v>4497</v>
      </c>
      <c r="D1274" s="1930" t="s">
        <v>4498</v>
      </c>
      <c r="E1274" s="1931" t="s">
        <v>33</v>
      </c>
      <c r="F1274" s="1930" t="s">
        <v>33</v>
      </c>
      <c r="G1274" s="1932">
        <v>92584</v>
      </c>
      <c r="H1274" s="1930" t="s">
        <v>1180</v>
      </c>
      <c r="I1274" s="1930" t="s">
        <v>168</v>
      </c>
      <c r="J1274" s="1930" t="s">
        <v>137</v>
      </c>
      <c r="K1274" s="1933">
        <v>482.15</v>
      </c>
      <c r="L1274" s="1930" t="s">
        <v>138</v>
      </c>
    </row>
    <row r="1275" spans="1:12" ht="13.5" x14ac:dyDescent="0.25">
      <c r="A1275" s="1930" t="s">
        <v>4477</v>
      </c>
      <c r="B1275" s="1930" t="s">
        <v>4478</v>
      </c>
      <c r="C1275" s="1930" t="s">
        <v>4497</v>
      </c>
      <c r="D1275" s="1930" t="s">
        <v>4498</v>
      </c>
      <c r="E1275" s="1931" t="s">
        <v>33</v>
      </c>
      <c r="F1275" s="1930" t="s">
        <v>33</v>
      </c>
      <c r="G1275" s="1932">
        <v>92586</v>
      </c>
      <c r="H1275" s="1930" t="s">
        <v>1181</v>
      </c>
      <c r="I1275" s="1930" t="s">
        <v>168</v>
      </c>
      <c r="J1275" s="1930" t="s">
        <v>137</v>
      </c>
      <c r="K1275" s="1933">
        <v>548.23</v>
      </c>
      <c r="L1275" s="1930" t="s">
        <v>138</v>
      </c>
    </row>
    <row r="1276" spans="1:12" ht="13.5" x14ac:dyDescent="0.25">
      <c r="A1276" s="1930" t="s">
        <v>4477</v>
      </c>
      <c r="B1276" s="1930" t="s">
        <v>4478</v>
      </c>
      <c r="C1276" s="1930" t="s">
        <v>4497</v>
      </c>
      <c r="D1276" s="1930" t="s">
        <v>4498</v>
      </c>
      <c r="E1276" s="1931" t="s">
        <v>33</v>
      </c>
      <c r="F1276" s="1930" t="s">
        <v>33</v>
      </c>
      <c r="G1276" s="1932">
        <v>92588</v>
      </c>
      <c r="H1276" s="1930" t="s">
        <v>1182</v>
      </c>
      <c r="I1276" s="1930" t="s">
        <v>168</v>
      </c>
      <c r="J1276" s="1930" t="s">
        <v>137</v>
      </c>
      <c r="K1276" s="1933">
        <v>692.16</v>
      </c>
      <c r="L1276" s="1930" t="s">
        <v>138</v>
      </c>
    </row>
    <row r="1277" spans="1:12" ht="13.5" x14ac:dyDescent="0.25">
      <c r="A1277" s="1930" t="s">
        <v>4477</v>
      </c>
      <c r="B1277" s="1930" t="s">
        <v>4478</v>
      </c>
      <c r="C1277" s="1930" t="s">
        <v>4497</v>
      </c>
      <c r="D1277" s="1930" t="s">
        <v>4498</v>
      </c>
      <c r="E1277" s="1931" t="s">
        <v>33</v>
      </c>
      <c r="F1277" s="1930" t="s">
        <v>33</v>
      </c>
      <c r="G1277" s="1932">
        <v>92590</v>
      </c>
      <c r="H1277" s="1930" t="s">
        <v>1183</v>
      </c>
      <c r="I1277" s="1930" t="s">
        <v>168</v>
      </c>
      <c r="J1277" s="1930" t="s">
        <v>137</v>
      </c>
      <c r="K1277" s="1933">
        <v>758.24</v>
      </c>
      <c r="L1277" s="1930" t="s">
        <v>138</v>
      </c>
    </row>
    <row r="1278" spans="1:12" ht="13.5" x14ac:dyDescent="0.25">
      <c r="A1278" s="1930" t="s">
        <v>4477</v>
      </c>
      <c r="B1278" s="1930" t="s">
        <v>4478</v>
      </c>
      <c r="C1278" s="1930" t="s">
        <v>4497</v>
      </c>
      <c r="D1278" s="1930" t="s">
        <v>4498</v>
      </c>
      <c r="E1278" s="1931" t="s">
        <v>33</v>
      </c>
      <c r="F1278" s="1930" t="s">
        <v>33</v>
      </c>
      <c r="G1278" s="1932">
        <v>92592</v>
      </c>
      <c r="H1278" s="1930" t="s">
        <v>1184</v>
      </c>
      <c r="I1278" s="1930" t="s">
        <v>168</v>
      </c>
      <c r="J1278" s="1930" t="s">
        <v>137</v>
      </c>
      <c r="K1278" s="1933">
        <v>852.39</v>
      </c>
      <c r="L1278" s="1930" t="s">
        <v>138</v>
      </c>
    </row>
    <row r="1279" spans="1:12" ht="13.5" x14ac:dyDescent="0.25">
      <c r="A1279" s="1930" t="s">
        <v>4477</v>
      </c>
      <c r="B1279" s="1930" t="s">
        <v>4478</v>
      </c>
      <c r="C1279" s="1930" t="s">
        <v>4497</v>
      </c>
      <c r="D1279" s="1930" t="s">
        <v>4498</v>
      </c>
      <c r="E1279" s="1931" t="s">
        <v>33</v>
      </c>
      <c r="F1279" s="1930" t="s">
        <v>33</v>
      </c>
      <c r="G1279" s="1932">
        <v>92593</v>
      </c>
      <c r="H1279" s="1930" t="s">
        <v>1185</v>
      </c>
      <c r="I1279" s="1930" t="s">
        <v>305</v>
      </c>
      <c r="J1279" s="1930" t="s">
        <v>137</v>
      </c>
      <c r="K1279" s="1933">
        <v>6.44</v>
      </c>
      <c r="L1279" s="1930" t="s">
        <v>138</v>
      </c>
    </row>
    <row r="1280" spans="1:12" ht="13.5" x14ac:dyDescent="0.25">
      <c r="A1280" s="1930" t="s">
        <v>4477</v>
      </c>
      <c r="B1280" s="1930" t="s">
        <v>4478</v>
      </c>
      <c r="C1280" s="1930" t="s">
        <v>4497</v>
      </c>
      <c r="D1280" s="1930" t="s">
        <v>4498</v>
      </c>
      <c r="E1280" s="1931" t="s">
        <v>33</v>
      </c>
      <c r="F1280" s="1930" t="s">
        <v>33</v>
      </c>
      <c r="G1280" s="1932">
        <v>92594</v>
      </c>
      <c r="H1280" s="1930" t="s">
        <v>1186</v>
      </c>
      <c r="I1280" s="1930" t="s">
        <v>168</v>
      </c>
      <c r="J1280" s="1930" t="s">
        <v>137</v>
      </c>
      <c r="K1280" s="1933">
        <v>984.71</v>
      </c>
      <c r="L1280" s="1930" t="s">
        <v>138</v>
      </c>
    </row>
    <row r="1281" spans="1:12" ht="13.5" x14ac:dyDescent="0.25">
      <c r="A1281" s="1930" t="s">
        <v>4477</v>
      </c>
      <c r="B1281" s="1930" t="s">
        <v>4478</v>
      </c>
      <c r="C1281" s="1930" t="s">
        <v>4497</v>
      </c>
      <c r="D1281" s="1930" t="s">
        <v>4498</v>
      </c>
      <c r="E1281" s="1931" t="s">
        <v>33</v>
      </c>
      <c r="F1281" s="1930" t="s">
        <v>33</v>
      </c>
      <c r="G1281" s="1932">
        <v>92596</v>
      </c>
      <c r="H1281" s="1930" t="s">
        <v>1187</v>
      </c>
      <c r="I1281" s="1930" t="s">
        <v>168</v>
      </c>
      <c r="J1281" s="1930" t="s">
        <v>137</v>
      </c>
      <c r="K1281" s="1933">
        <v>1098.79</v>
      </c>
      <c r="L1281" s="1930" t="s">
        <v>138</v>
      </c>
    </row>
    <row r="1282" spans="1:12" ht="13.5" x14ac:dyDescent="0.25">
      <c r="A1282" s="1930" t="s">
        <v>4477</v>
      </c>
      <c r="B1282" s="1930" t="s">
        <v>4478</v>
      </c>
      <c r="C1282" s="1930" t="s">
        <v>4497</v>
      </c>
      <c r="D1282" s="1930" t="s">
        <v>4498</v>
      </c>
      <c r="E1282" s="1931" t="s">
        <v>33</v>
      </c>
      <c r="F1282" s="1930" t="s">
        <v>33</v>
      </c>
      <c r="G1282" s="1932">
        <v>92598</v>
      </c>
      <c r="H1282" s="1930" t="s">
        <v>1188</v>
      </c>
      <c r="I1282" s="1930" t="s">
        <v>168</v>
      </c>
      <c r="J1282" s="1930" t="s">
        <v>137</v>
      </c>
      <c r="K1282" s="1933">
        <v>1164.8699999999999</v>
      </c>
      <c r="L1282" s="1930" t="s">
        <v>138</v>
      </c>
    </row>
    <row r="1283" spans="1:12" ht="13.5" x14ac:dyDescent="0.25">
      <c r="A1283" s="1930" t="s">
        <v>4477</v>
      </c>
      <c r="B1283" s="1930" t="s">
        <v>4478</v>
      </c>
      <c r="C1283" s="1930" t="s">
        <v>4497</v>
      </c>
      <c r="D1283" s="1930" t="s">
        <v>4498</v>
      </c>
      <c r="E1283" s="1931" t="s">
        <v>33</v>
      </c>
      <c r="F1283" s="1930" t="s">
        <v>33</v>
      </c>
      <c r="G1283" s="1932">
        <v>92600</v>
      </c>
      <c r="H1283" s="1930" t="s">
        <v>1189</v>
      </c>
      <c r="I1283" s="1930" t="s">
        <v>168</v>
      </c>
      <c r="J1283" s="1930" t="s">
        <v>137</v>
      </c>
      <c r="K1283" s="1933">
        <v>1247.67</v>
      </c>
      <c r="L1283" s="1930" t="s">
        <v>138</v>
      </c>
    </row>
    <row r="1284" spans="1:12" ht="13.5" x14ac:dyDescent="0.25">
      <c r="A1284" s="1930" t="s">
        <v>4477</v>
      </c>
      <c r="B1284" s="1930" t="s">
        <v>4478</v>
      </c>
      <c r="C1284" s="1930" t="s">
        <v>4497</v>
      </c>
      <c r="D1284" s="1930" t="s">
        <v>4498</v>
      </c>
      <c r="E1284" s="1931" t="s">
        <v>33</v>
      </c>
      <c r="F1284" s="1930" t="s">
        <v>33</v>
      </c>
      <c r="G1284" s="1932">
        <v>92602</v>
      </c>
      <c r="H1284" s="1930" t="s">
        <v>1190</v>
      </c>
      <c r="I1284" s="1930" t="s">
        <v>168</v>
      </c>
      <c r="J1284" s="1930" t="s">
        <v>137</v>
      </c>
      <c r="K1284" s="1933">
        <v>416.07</v>
      </c>
      <c r="L1284" s="1930" t="s">
        <v>138</v>
      </c>
    </row>
    <row r="1285" spans="1:12" ht="13.5" x14ac:dyDescent="0.25">
      <c r="A1285" s="1930" t="s">
        <v>4477</v>
      </c>
      <c r="B1285" s="1930" t="s">
        <v>4478</v>
      </c>
      <c r="C1285" s="1930" t="s">
        <v>4497</v>
      </c>
      <c r="D1285" s="1930" t="s">
        <v>4498</v>
      </c>
      <c r="E1285" s="1931" t="s">
        <v>33</v>
      </c>
      <c r="F1285" s="1930" t="s">
        <v>33</v>
      </c>
      <c r="G1285" s="1932">
        <v>92604</v>
      </c>
      <c r="H1285" s="1930" t="s">
        <v>1191</v>
      </c>
      <c r="I1285" s="1930" t="s">
        <v>168</v>
      </c>
      <c r="J1285" s="1930" t="s">
        <v>137</v>
      </c>
      <c r="K1285" s="1933">
        <v>465.42</v>
      </c>
      <c r="L1285" s="1930" t="s">
        <v>138</v>
      </c>
    </row>
    <row r="1286" spans="1:12" ht="13.5" x14ac:dyDescent="0.25">
      <c r="A1286" s="1930" t="s">
        <v>4477</v>
      </c>
      <c r="B1286" s="1930" t="s">
        <v>4478</v>
      </c>
      <c r="C1286" s="1930" t="s">
        <v>4497</v>
      </c>
      <c r="D1286" s="1930" t="s">
        <v>4498</v>
      </c>
      <c r="E1286" s="1931" t="s">
        <v>33</v>
      </c>
      <c r="F1286" s="1930" t="s">
        <v>33</v>
      </c>
      <c r="G1286" s="1932">
        <v>92606</v>
      </c>
      <c r="H1286" s="1930" t="s">
        <v>1192</v>
      </c>
      <c r="I1286" s="1930" t="s">
        <v>168</v>
      </c>
      <c r="J1286" s="1930" t="s">
        <v>137</v>
      </c>
      <c r="K1286" s="1933">
        <v>531.5</v>
      </c>
      <c r="L1286" s="1930" t="s">
        <v>138</v>
      </c>
    </row>
    <row r="1287" spans="1:12" ht="13.5" x14ac:dyDescent="0.25">
      <c r="A1287" s="1930" t="s">
        <v>4477</v>
      </c>
      <c r="B1287" s="1930" t="s">
        <v>4478</v>
      </c>
      <c r="C1287" s="1930" t="s">
        <v>4497</v>
      </c>
      <c r="D1287" s="1930" t="s">
        <v>4498</v>
      </c>
      <c r="E1287" s="1931" t="s">
        <v>33</v>
      </c>
      <c r="F1287" s="1930" t="s">
        <v>33</v>
      </c>
      <c r="G1287" s="1932">
        <v>92608</v>
      </c>
      <c r="H1287" s="1930" t="s">
        <v>1193</v>
      </c>
      <c r="I1287" s="1930" t="s">
        <v>168</v>
      </c>
      <c r="J1287" s="1930" t="s">
        <v>137</v>
      </c>
      <c r="K1287" s="1933">
        <v>658.71</v>
      </c>
      <c r="L1287" s="1930" t="s">
        <v>138</v>
      </c>
    </row>
    <row r="1288" spans="1:12" ht="13.5" x14ac:dyDescent="0.25">
      <c r="A1288" s="1930" t="s">
        <v>4477</v>
      </c>
      <c r="B1288" s="1930" t="s">
        <v>4478</v>
      </c>
      <c r="C1288" s="1930" t="s">
        <v>4497</v>
      </c>
      <c r="D1288" s="1930" t="s">
        <v>4498</v>
      </c>
      <c r="E1288" s="1931" t="s">
        <v>33</v>
      </c>
      <c r="F1288" s="1930" t="s">
        <v>33</v>
      </c>
      <c r="G1288" s="1932">
        <v>92610</v>
      </c>
      <c r="H1288" s="1930" t="s">
        <v>1194</v>
      </c>
      <c r="I1288" s="1930" t="s">
        <v>168</v>
      </c>
      <c r="J1288" s="1930" t="s">
        <v>137</v>
      </c>
      <c r="K1288" s="1933">
        <v>724.79</v>
      </c>
      <c r="L1288" s="1930" t="s">
        <v>138</v>
      </c>
    </row>
    <row r="1289" spans="1:12" ht="13.5" x14ac:dyDescent="0.25">
      <c r="A1289" s="1930" t="s">
        <v>4477</v>
      </c>
      <c r="B1289" s="1930" t="s">
        <v>4478</v>
      </c>
      <c r="C1289" s="1930" t="s">
        <v>4497</v>
      </c>
      <c r="D1289" s="1930" t="s">
        <v>4498</v>
      </c>
      <c r="E1289" s="1931" t="s">
        <v>33</v>
      </c>
      <c r="F1289" s="1930" t="s">
        <v>33</v>
      </c>
      <c r="G1289" s="1932">
        <v>92612</v>
      </c>
      <c r="H1289" s="1930" t="s">
        <v>1195</v>
      </c>
      <c r="I1289" s="1930" t="s">
        <v>168</v>
      </c>
      <c r="J1289" s="1930" t="s">
        <v>137</v>
      </c>
      <c r="K1289" s="1933">
        <v>818.93</v>
      </c>
      <c r="L1289" s="1930" t="s">
        <v>138</v>
      </c>
    </row>
    <row r="1290" spans="1:12" ht="13.5" x14ac:dyDescent="0.25">
      <c r="A1290" s="1930" t="s">
        <v>4477</v>
      </c>
      <c r="B1290" s="1930" t="s">
        <v>4478</v>
      </c>
      <c r="C1290" s="1930" t="s">
        <v>4497</v>
      </c>
      <c r="D1290" s="1930" t="s">
        <v>4498</v>
      </c>
      <c r="E1290" s="1931" t="s">
        <v>33</v>
      </c>
      <c r="F1290" s="1930" t="s">
        <v>33</v>
      </c>
      <c r="G1290" s="1932">
        <v>92614</v>
      </c>
      <c r="H1290" s="1930" t="s">
        <v>1196</v>
      </c>
      <c r="I1290" s="1930" t="s">
        <v>168</v>
      </c>
      <c r="J1290" s="1930" t="s">
        <v>137</v>
      </c>
      <c r="K1290" s="1933">
        <v>917.81</v>
      </c>
      <c r="L1290" s="1930" t="s">
        <v>138</v>
      </c>
    </row>
    <row r="1291" spans="1:12" ht="13.5" x14ac:dyDescent="0.25">
      <c r="A1291" s="1930" t="s">
        <v>4477</v>
      </c>
      <c r="B1291" s="1930" t="s">
        <v>4478</v>
      </c>
      <c r="C1291" s="1930" t="s">
        <v>4497</v>
      </c>
      <c r="D1291" s="1930" t="s">
        <v>4498</v>
      </c>
      <c r="E1291" s="1931" t="s">
        <v>33</v>
      </c>
      <c r="F1291" s="1930" t="s">
        <v>33</v>
      </c>
      <c r="G1291" s="1932">
        <v>92616</v>
      </c>
      <c r="H1291" s="1930" t="s">
        <v>1197</v>
      </c>
      <c r="I1291" s="1930" t="s">
        <v>168</v>
      </c>
      <c r="J1291" s="1930" t="s">
        <v>137</v>
      </c>
      <c r="K1291" s="1933">
        <v>1048.6099999999999</v>
      </c>
      <c r="L1291" s="1930" t="s">
        <v>138</v>
      </c>
    </row>
    <row r="1292" spans="1:12" ht="13.5" x14ac:dyDescent="0.25">
      <c r="A1292" s="1930" t="s">
        <v>4477</v>
      </c>
      <c r="B1292" s="1930" t="s">
        <v>4478</v>
      </c>
      <c r="C1292" s="1930" t="s">
        <v>4497</v>
      </c>
      <c r="D1292" s="1930" t="s">
        <v>4498</v>
      </c>
      <c r="E1292" s="1931" t="s">
        <v>33</v>
      </c>
      <c r="F1292" s="1930" t="s">
        <v>33</v>
      </c>
      <c r="G1292" s="1932">
        <v>92618</v>
      </c>
      <c r="H1292" s="1930" t="s">
        <v>1198</v>
      </c>
      <c r="I1292" s="1930" t="s">
        <v>168</v>
      </c>
      <c r="J1292" s="1930" t="s">
        <v>137</v>
      </c>
      <c r="K1292" s="1933">
        <v>1114.69</v>
      </c>
      <c r="L1292" s="1930" t="s">
        <v>138</v>
      </c>
    </row>
    <row r="1293" spans="1:12" ht="13.5" x14ac:dyDescent="0.25">
      <c r="A1293" s="1930" t="s">
        <v>4477</v>
      </c>
      <c r="B1293" s="1930" t="s">
        <v>4478</v>
      </c>
      <c r="C1293" s="1930" t="s">
        <v>4497</v>
      </c>
      <c r="D1293" s="1930" t="s">
        <v>4498</v>
      </c>
      <c r="E1293" s="1931" t="s">
        <v>33</v>
      </c>
      <c r="F1293" s="1930" t="s">
        <v>33</v>
      </c>
      <c r="G1293" s="1932">
        <v>92620</v>
      </c>
      <c r="H1293" s="1930" t="s">
        <v>1199</v>
      </c>
      <c r="I1293" s="1930" t="s">
        <v>168</v>
      </c>
      <c r="J1293" s="1930" t="s">
        <v>137</v>
      </c>
      <c r="K1293" s="1933">
        <v>1180.77</v>
      </c>
      <c r="L1293" s="1930" t="s">
        <v>138</v>
      </c>
    </row>
    <row r="1294" spans="1:12" ht="13.5" x14ac:dyDescent="0.25">
      <c r="A1294" s="1930" t="s">
        <v>4477</v>
      </c>
      <c r="B1294" s="1930" t="s">
        <v>4478</v>
      </c>
      <c r="C1294" s="1930" t="s">
        <v>4497</v>
      </c>
      <c r="D1294" s="1930" t="s">
        <v>4498</v>
      </c>
      <c r="E1294" s="1931" t="s">
        <v>33</v>
      </c>
      <c r="F1294" s="1930" t="s">
        <v>33</v>
      </c>
      <c r="G1294" s="1932">
        <v>100357</v>
      </c>
      <c r="H1294" s="1930" t="s">
        <v>8012</v>
      </c>
      <c r="I1294" s="1930" t="s">
        <v>168</v>
      </c>
      <c r="J1294" s="1930" t="s">
        <v>137</v>
      </c>
      <c r="K1294" s="1933">
        <v>735.74</v>
      </c>
      <c r="L1294" s="1930" t="s">
        <v>138</v>
      </c>
    </row>
    <row r="1295" spans="1:12" ht="13.5" x14ac:dyDescent="0.25">
      <c r="A1295" s="1930" t="s">
        <v>4477</v>
      </c>
      <c r="B1295" s="1930" t="s">
        <v>4478</v>
      </c>
      <c r="C1295" s="1930" t="s">
        <v>4497</v>
      </c>
      <c r="D1295" s="1930" t="s">
        <v>4498</v>
      </c>
      <c r="E1295" s="1931" t="s">
        <v>33</v>
      </c>
      <c r="F1295" s="1930" t="s">
        <v>33</v>
      </c>
      <c r="G1295" s="1932">
        <v>100358</v>
      </c>
      <c r="H1295" s="1930" t="s">
        <v>8013</v>
      </c>
      <c r="I1295" s="1930" t="s">
        <v>168</v>
      </c>
      <c r="J1295" s="1930" t="s">
        <v>137</v>
      </c>
      <c r="K1295" s="1933">
        <v>1009.31</v>
      </c>
      <c r="L1295" s="1930" t="s">
        <v>138</v>
      </c>
    </row>
    <row r="1296" spans="1:12" ht="13.5" x14ac:dyDescent="0.25">
      <c r="A1296" s="1930" t="s">
        <v>4477</v>
      </c>
      <c r="B1296" s="1930" t="s">
        <v>4478</v>
      </c>
      <c r="C1296" s="1930" t="s">
        <v>4497</v>
      </c>
      <c r="D1296" s="1930" t="s">
        <v>4498</v>
      </c>
      <c r="E1296" s="1931" t="s">
        <v>33</v>
      </c>
      <c r="F1296" s="1930" t="s">
        <v>33</v>
      </c>
      <c r="G1296" s="1932">
        <v>100359</v>
      </c>
      <c r="H1296" s="1930" t="s">
        <v>8014</v>
      </c>
      <c r="I1296" s="1930" t="s">
        <v>168</v>
      </c>
      <c r="J1296" s="1930" t="s">
        <v>137</v>
      </c>
      <c r="K1296" s="1933">
        <v>1059.0999999999999</v>
      </c>
      <c r="L1296" s="1930" t="s">
        <v>138</v>
      </c>
    </row>
    <row r="1297" spans="1:12" ht="13.5" x14ac:dyDescent="0.25">
      <c r="A1297" s="1930" t="s">
        <v>4477</v>
      </c>
      <c r="B1297" s="1930" t="s">
        <v>4478</v>
      </c>
      <c r="C1297" s="1930" t="s">
        <v>4497</v>
      </c>
      <c r="D1297" s="1930" t="s">
        <v>4498</v>
      </c>
      <c r="E1297" s="1931" t="s">
        <v>33</v>
      </c>
      <c r="F1297" s="1930" t="s">
        <v>33</v>
      </c>
      <c r="G1297" s="1932">
        <v>100360</v>
      </c>
      <c r="H1297" s="1930" t="s">
        <v>8015</v>
      </c>
      <c r="I1297" s="1930" t="s">
        <v>168</v>
      </c>
      <c r="J1297" s="1930" t="s">
        <v>137</v>
      </c>
      <c r="K1297" s="1933">
        <v>1175.07</v>
      </c>
      <c r="L1297" s="1930" t="s">
        <v>138</v>
      </c>
    </row>
    <row r="1298" spans="1:12" ht="13.5" x14ac:dyDescent="0.25">
      <c r="A1298" s="1930" t="s">
        <v>4477</v>
      </c>
      <c r="B1298" s="1930" t="s">
        <v>4478</v>
      </c>
      <c r="C1298" s="1930" t="s">
        <v>4497</v>
      </c>
      <c r="D1298" s="1930" t="s">
        <v>4498</v>
      </c>
      <c r="E1298" s="1931" t="s">
        <v>33</v>
      </c>
      <c r="F1298" s="1930" t="s">
        <v>33</v>
      </c>
      <c r="G1298" s="1932">
        <v>100361</v>
      </c>
      <c r="H1298" s="1930" t="s">
        <v>8016</v>
      </c>
      <c r="I1298" s="1930" t="s">
        <v>168</v>
      </c>
      <c r="J1298" s="1930" t="s">
        <v>137</v>
      </c>
      <c r="K1298" s="1933">
        <v>1470.21</v>
      </c>
      <c r="L1298" s="1930" t="s">
        <v>138</v>
      </c>
    </row>
    <row r="1299" spans="1:12" ht="13.5" x14ac:dyDescent="0.25">
      <c r="A1299" s="1930" t="s">
        <v>4477</v>
      </c>
      <c r="B1299" s="1930" t="s">
        <v>4478</v>
      </c>
      <c r="C1299" s="1930" t="s">
        <v>4497</v>
      </c>
      <c r="D1299" s="1930" t="s">
        <v>4498</v>
      </c>
      <c r="E1299" s="1931" t="s">
        <v>33</v>
      </c>
      <c r="F1299" s="1930" t="s">
        <v>33</v>
      </c>
      <c r="G1299" s="1932">
        <v>100362</v>
      </c>
      <c r="H1299" s="1930" t="s">
        <v>8017</v>
      </c>
      <c r="I1299" s="1930" t="s">
        <v>168</v>
      </c>
      <c r="J1299" s="1930" t="s">
        <v>137</v>
      </c>
      <c r="K1299" s="1933">
        <v>1922.27</v>
      </c>
      <c r="L1299" s="1930" t="s">
        <v>138</v>
      </c>
    </row>
    <row r="1300" spans="1:12" ht="13.5" x14ac:dyDescent="0.25">
      <c r="A1300" s="1930" t="s">
        <v>4477</v>
      </c>
      <c r="B1300" s="1930" t="s">
        <v>4478</v>
      </c>
      <c r="C1300" s="1930" t="s">
        <v>4497</v>
      </c>
      <c r="D1300" s="1930" t="s">
        <v>4498</v>
      </c>
      <c r="E1300" s="1931" t="s">
        <v>33</v>
      </c>
      <c r="F1300" s="1930" t="s">
        <v>33</v>
      </c>
      <c r="G1300" s="1932">
        <v>100363</v>
      </c>
      <c r="H1300" s="1930" t="s">
        <v>8018</v>
      </c>
      <c r="I1300" s="1930" t="s">
        <v>168</v>
      </c>
      <c r="J1300" s="1930" t="s">
        <v>137</v>
      </c>
      <c r="K1300" s="1933">
        <v>1995.06</v>
      </c>
      <c r="L1300" s="1930" t="s">
        <v>138</v>
      </c>
    </row>
    <row r="1301" spans="1:12" ht="13.5" x14ac:dyDescent="0.25">
      <c r="A1301" s="1930" t="s">
        <v>4477</v>
      </c>
      <c r="B1301" s="1930" t="s">
        <v>4478</v>
      </c>
      <c r="C1301" s="1930" t="s">
        <v>4497</v>
      </c>
      <c r="D1301" s="1930" t="s">
        <v>4498</v>
      </c>
      <c r="E1301" s="1931" t="s">
        <v>33</v>
      </c>
      <c r="F1301" s="1930" t="s">
        <v>33</v>
      </c>
      <c r="G1301" s="1932">
        <v>100364</v>
      </c>
      <c r="H1301" s="1930" t="s">
        <v>8019</v>
      </c>
      <c r="I1301" s="1930" t="s">
        <v>168</v>
      </c>
      <c r="J1301" s="1930" t="s">
        <v>137</v>
      </c>
      <c r="K1301" s="1933">
        <v>2175.56</v>
      </c>
      <c r="L1301" s="1930" t="s">
        <v>138</v>
      </c>
    </row>
    <row r="1302" spans="1:12" ht="13.5" x14ac:dyDescent="0.25">
      <c r="A1302" s="1930" t="s">
        <v>4477</v>
      </c>
      <c r="B1302" s="1930" t="s">
        <v>4478</v>
      </c>
      <c r="C1302" s="1930" t="s">
        <v>4497</v>
      </c>
      <c r="D1302" s="1930" t="s">
        <v>4498</v>
      </c>
      <c r="E1302" s="1931" t="s">
        <v>33</v>
      </c>
      <c r="F1302" s="1930" t="s">
        <v>33</v>
      </c>
      <c r="G1302" s="1932">
        <v>100365</v>
      </c>
      <c r="H1302" s="1930" t="s">
        <v>8020</v>
      </c>
      <c r="I1302" s="1930" t="s">
        <v>168</v>
      </c>
      <c r="J1302" s="1930" t="s">
        <v>137</v>
      </c>
      <c r="K1302" s="1933">
        <v>2511.61</v>
      </c>
      <c r="L1302" s="1930" t="s">
        <v>138</v>
      </c>
    </row>
    <row r="1303" spans="1:12" ht="13.5" x14ac:dyDescent="0.25">
      <c r="A1303" s="1930" t="s">
        <v>4477</v>
      </c>
      <c r="B1303" s="1930" t="s">
        <v>4478</v>
      </c>
      <c r="C1303" s="1930" t="s">
        <v>4497</v>
      </c>
      <c r="D1303" s="1930" t="s">
        <v>4498</v>
      </c>
      <c r="E1303" s="1931" t="s">
        <v>33</v>
      </c>
      <c r="F1303" s="1930" t="s">
        <v>33</v>
      </c>
      <c r="G1303" s="1932">
        <v>100366</v>
      </c>
      <c r="H1303" s="1930" t="s">
        <v>8021</v>
      </c>
      <c r="I1303" s="1930" t="s">
        <v>168</v>
      </c>
      <c r="J1303" s="1930" t="s">
        <v>137</v>
      </c>
      <c r="K1303" s="1933">
        <v>2686.54</v>
      </c>
      <c r="L1303" s="1930" t="s">
        <v>138</v>
      </c>
    </row>
    <row r="1304" spans="1:12" ht="13.5" x14ac:dyDescent="0.25">
      <c r="A1304" s="1930" t="s">
        <v>4477</v>
      </c>
      <c r="B1304" s="1930" t="s">
        <v>4478</v>
      </c>
      <c r="C1304" s="1930" t="s">
        <v>4497</v>
      </c>
      <c r="D1304" s="1930" t="s">
        <v>4498</v>
      </c>
      <c r="E1304" s="1931" t="s">
        <v>33</v>
      </c>
      <c r="F1304" s="1930" t="s">
        <v>33</v>
      </c>
      <c r="G1304" s="1932">
        <v>100367</v>
      </c>
      <c r="H1304" s="1930" t="s">
        <v>8022</v>
      </c>
      <c r="I1304" s="1930" t="s">
        <v>168</v>
      </c>
      <c r="J1304" s="1930" t="s">
        <v>137</v>
      </c>
      <c r="K1304" s="1933">
        <v>716.26</v>
      </c>
      <c r="L1304" s="1930" t="s">
        <v>138</v>
      </c>
    </row>
    <row r="1305" spans="1:12" ht="13.5" x14ac:dyDescent="0.25">
      <c r="A1305" s="1930" t="s">
        <v>4477</v>
      </c>
      <c r="B1305" s="1930" t="s">
        <v>4478</v>
      </c>
      <c r="C1305" s="1930" t="s">
        <v>4497</v>
      </c>
      <c r="D1305" s="1930" t="s">
        <v>4498</v>
      </c>
      <c r="E1305" s="1931" t="s">
        <v>33</v>
      </c>
      <c r="F1305" s="1930" t="s">
        <v>33</v>
      </c>
      <c r="G1305" s="1932">
        <v>100368</v>
      </c>
      <c r="H1305" s="1930" t="s">
        <v>8023</v>
      </c>
      <c r="I1305" s="1930" t="s">
        <v>168</v>
      </c>
      <c r="J1305" s="1930" t="s">
        <v>137</v>
      </c>
      <c r="K1305" s="1933">
        <v>984.34</v>
      </c>
      <c r="L1305" s="1930" t="s">
        <v>138</v>
      </c>
    </row>
    <row r="1306" spans="1:12" ht="13.5" x14ac:dyDescent="0.25">
      <c r="A1306" s="1930" t="s">
        <v>4477</v>
      </c>
      <c r="B1306" s="1930" t="s">
        <v>4478</v>
      </c>
      <c r="C1306" s="1930" t="s">
        <v>4497</v>
      </c>
      <c r="D1306" s="1930" t="s">
        <v>4498</v>
      </c>
      <c r="E1306" s="1931" t="s">
        <v>33</v>
      </c>
      <c r="F1306" s="1930" t="s">
        <v>33</v>
      </c>
      <c r="G1306" s="1932">
        <v>100369</v>
      </c>
      <c r="H1306" s="1930" t="s">
        <v>8024</v>
      </c>
      <c r="I1306" s="1930" t="s">
        <v>168</v>
      </c>
      <c r="J1306" s="1930" t="s">
        <v>137</v>
      </c>
      <c r="K1306" s="1933">
        <v>1034.1300000000001</v>
      </c>
      <c r="L1306" s="1930" t="s">
        <v>138</v>
      </c>
    </row>
    <row r="1307" spans="1:12" ht="13.5" x14ac:dyDescent="0.25">
      <c r="A1307" s="1930" t="s">
        <v>4477</v>
      </c>
      <c r="B1307" s="1930" t="s">
        <v>4478</v>
      </c>
      <c r="C1307" s="1930" t="s">
        <v>4497</v>
      </c>
      <c r="D1307" s="1930" t="s">
        <v>4498</v>
      </c>
      <c r="E1307" s="1931" t="s">
        <v>33</v>
      </c>
      <c r="F1307" s="1930" t="s">
        <v>33</v>
      </c>
      <c r="G1307" s="1932">
        <v>100370</v>
      </c>
      <c r="H1307" s="1930" t="s">
        <v>8025</v>
      </c>
      <c r="I1307" s="1930" t="s">
        <v>168</v>
      </c>
      <c r="J1307" s="1930" t="s">
        <v>137</v>
      </c>
      <c r="K1307" s="1933">
        <v>1223.58</v>
      </c>
      <c r="L1307" s="1930" t="s">
        <v>138</v>
      </c>
    </row>
    <row r="1308" spans="1:12" ht="13.5" x14ac:dyDescent="0.25">
      <c r="A1308" s="1930" t="s">
        <v>4477</v>
      </c>
      <c r="B1308" s="1930" t="s">
        <v>4478</v>
      </c>
      <c r="C1308" s="1930" t="s">
        <v>4497</v>
      </c>
      <c r="D1308" s="1930" t="s">
        <v>4498</v>
      </c>
      <c r="E1308" s="1931" t="s">
        <v>33</v>
      </c>
      <c r="F1308" s="1930" t="s">
        <v>33</v>
      </c>
      <c r="G1308" s="1932">
        <v>100371</v>
      </c>
      <c r="H1308" s="1930" t="s">
        <v>8026</v>
      </c>
      <c r="I1308" s="1930" t="s">
        <v>168</v>
      </c>
      <c r="J1308" s="1930" t="s">
        <v>137</v>
      </c>
      <c r="K1308" s="1933">
        <v>1402.82</v>
      </c>
      <c r="L1308" s="1930" t="s">
        <v>138</v>
      </c>
    </row>
    <row r="1309" spans="1:12" ht="13.5" x14ac:dyDescent="0.25">
      <c r="A1309" s="1930" t="s">
        <v>4477</v>
      </c>
      <c r="B1309" s="1930" t="s">
        <v>4478</v>
      </c>
      <c r="C1309" s="1930" t="s">
        <v>4497</v>
      </c>
      <c r="D1309" s="1930" t="s">
        <v>4498</v>
      </c>
      <c r="E1309" s="1931" t="s">
        <v>33</v>
      </c>
      <c r="F1309" s="1930" t="s">
        <v>33</v>
      </c>
      <c r="G1309" s="1932">
        <v>100372</v>
      </c>
      <c r="H1309" s="1930" t="s">
        <v>8027</v>
      </c>
      <c r="I1309" s="1930" t="s">
        <v>168</v>
      </c>
      <c r="J1309" s="1930" t="s">
        <v>137</v>
      </c>
      <c r="K1309" s="1933">
        <v>1814.56</v>
      </c>
      <c r="L1309" s="1930" t="s">
        <v>138</v>
      </c>
    </row>
    <row r="1310" spans="1:12" ht="13.5" x14ac:dyDescent="0.25">
      <c r="A1310" s="1930" t="s">
        <v>4477</v>
      </c>
      <c r="B1310" s="1930" t="s">
        <v>4478</v>
      </c>
      <c r="C1310" s="1930" t="s">
        <v>4497</v>
      </c>
      <c r="D1310" s="1930" t="s">
        <v>4498</v>
      </c>
      <c r="E1310" s="1931" t="s">
        <v>33</v>
      </c>
      <c r="F1310" s="1930" t="s">
        <v>33</v>
      </c>
      <c r="G1310" s="1932">
        <v>100373</v>
      </c>
      <c r="H1310" s="1930" t="s">
        <v>8028</v>
      </c>
      <c r="I1310" s="1930" t="s">
        <v>168</v>
      </c>
      <c r="J1310" s="1930" t="s">
        <v>137</v>
      </c>
      <c r="K1310" s="1933">
        <v>1875.77</v>
      </c>
      <c r="L1310" s="1930" t="s">
        <v>138</v>
      </c>
    </row>
    <row r="1311" spans="1:12" ht="13.5" x14ac:dyDescent="0.25">
      <c r="A1311" s="1930" t="s">
        <v>4477</v>
      </c>
      <c r="B1311" s="1930" t="s">
        <v>4478</v>
      </c>
      <c r="C1311" s="1930" t="s">
        <v>4497</v>
      </c>
      <c r="D1311" s="1930" t="s">
        <v>4498</v>
      </c>
      <c r="E1311" s="1931" t="s">
        <v>33</v>
      </c>
      <c r="F1311" s="1930" t="s">
        <v>33</v>
      </c>
      <c r="G1311" s="1932">
        <v>100374</v>
      </c>
      <c r="H1311" s="1930" t="s">
        <v>8029</v>
      </c>
      <c r="I1311" s="1930" t="s">
        <v>168</v>
      </c>
      <c r="J1311" s="1930" t="s">
        <v>137</v>
      </c>
      <c r="K1311" s="1933">
        <v>2016.13</v>
      </c>
      <c r="L1311" s="1930" t="s">
        <v>138</v>
      </c>
    </row>
    <row r="1312" spans="1:12" ht="13.5" x14ac:dyDescent="0.25">
      <c r="A1312" s="1930" t="s">
        <v>4477</v>
      </c>
      <c r="B1312" s="1930" t="s">
        <v>4478</v>
      </c>
      <c r="C1312" s="1930" t="s">
        <v>4497</v>
      </c>
      <c r="D1312" s="1930" t="s">
        <v>4498</v>
      </c>
      <c r="E1312" s="1931" t="s">
        <v>33</v>
      </c>
      <c r="F1312" s="1930" t="s">
        <v>33</v>
      </c>
      <c r="G1312" s="1932">
        <v>100375</v>
      </c>
      <c r="H1312" s="1930" t="s">
        <v>8030</v>
      </c>
      <c r="I1312" s="1930" t="s">
        <v>168</v>
      </c>
      <c r="J1312" s="1930" t="s">
        <v>137</v>
      </c>
      <c r="K1312" s="1933">
        <v>2279.2399999999998</v>
      </c>
      <c r="L1312" s="1930" t="s">
        <v>138</v>
      </c>
    </row>
    <row r="1313" spans="1:12" ht="13.5" x14ac:dyDescent="0.25">
      <c r="A1313" s="1930" t="s">
        <v>4477</v>
      </c>
      <c r="B1313" s="1930" t="s">
        <v>4478</v>
      </c>
      <c r="C1313" s="1930" t="s">
        <v>4497</v>
      </c>
      <c r="D1313" s="1930" t="s">
        <v>4498</v>
      </c>
      <c r="E1313" s="1931" t="s">
        <v>33</v>
      </c>
      <c r="F1313" s="1930" t="s">
        <v>33</v>
      </c>
      <c r="G1313" s="1932">
        <v>100376</v>
      </c>
      <c r="H1313" s="1930" t="s">
        <v>8031</v>
      </c>
      <c r="I1313" s="1930" t="s">
        <v>168</v>
      </c>
      <c r="J1313" s="1930" t="s">
        <v>137</v>
      </c>
      <c r="K1313" s="1933">
        <v>2211.7600000000002</v>
      </c>
      <c r="L1313" s="1930" t="s">
        <v>138</v>
      </c>
    </row>
    <row r="1314" spans="1:12" ht="13.5" x14ac:dyDescent="0.25">
      <c r="A1314" s="1930" t="s">
        <v>4477</v>
      </c>
      <c r="B1314" s="1930" t="s">
        <v>4478</v>
      </c>
      <c r="C1314" s="1930" t="s">
        <v>4497</v>
      </c>
      <c r="D1314" s="1930" t="s">
        <v>4498</v>
      </c>
      <c r="E1314" s="1931" t="s">
        <v>33</v>
      </c>
      <c r="F1314" s="1930" t="s">
        <v>33</v>
      </c>
      <c r="G1314" s="1932">
        <v>100377</v>
      </c>
      <c r="H1314" s="1930" t="s">
        <v>8386</v>
      </c>
      <c r="I1314" s="1930" t="s">
        <v>305</v>
      </c>
      <c r="J1314" s="1930" t="s">
        <v>137</v>
      </c>
      <c r="K1314" s="1933">
        <v>6.79</v>
      </c>
      <c r="L1314" s="1930" t="s">
        <v>138</v>
      </c>
    </row>
    <row r="1315" spans="1:12" ht="13.5" x14ac:dyDescent="0.25">
      <c r="A1315" s="1930" t="s">
        <v>4477</v>
      </c>
      <c r="B1315" s="1930" t="s">
        <v>4478</v>
      </c>
      <c r="C1315" s="1930" t="s">
        <v>4497</v>
      </c>
      <c r="D1315" s="1930" t="s">
        <v>4498</v>
      </c>
      <c r="E1315" s="1931" t="s">
        <v>33</v>
      </c>
      <c r="F1315" s="1930" t="s">
        <v>33</v>
      </c>
      <c r="G1315" s="1932">
        <v>100378</v>
      </c>
      <c r="H1315" s="1930" t="s">
        <v>8387</v>
      </c>
      <c r="I1315" s="1930" t="s">
        <v>305</v>
      </c>
      <c r="J1315" s="1930" t="s">
        <v>137</v>
      </c>
      <c r="K1315" s="1933">
        <v>6.22</v>
      </c>
      <c r="L1315" s="1930" t="s">
        <v>138</v>
      </c>
    </row>
    <row r="1316" spans="1:12" ht="13.5" x14ac:dyDescent="0.25">
      <c r="A1316" s="1930" t="s">
        <v>4477</v>
      </c>
      <c r="B1316" s="1930" t="s">
        <v>4478</v>
      </c>
      <c r="C1316" s="1930" t="s">
        <v>4497</v>
      </c>
      <c r="D1316" s="1930" t="s">
        <v>4498</v>
      </c>
      <c r="E1316" s="1931" t="s">
        <v>33</v>
      </c>
      <c r="F1316" s="1930" t="s">
        <v>33</v>
      </c>
      <c r="G1316" s="1932">
        <v>100382</v>
      </c>
      <c r="H1316" s="1930" t="s">
        <v>8032</v>
      </c>
      <c r="I1316" s="1930" t="s">
        <v>306</v>
      </c>
      <c r="J1316" s="1930" t="s">
        <v>137</v>
      </c>
      <c r="K1316" s="1933">
        <v>16.87</v>
      </c>
      <c r="L1316" s="1930" t="s">
        <v>138</v>
      </c>
    </row>
    <row r="1317" spans="1:12" ht="13.5" x14ac:dyDescent="0.25">
      <c r="A1317" s="1930" t="s">
        <v>4477</v>
      </c>
      <c r="B1317" s="1930" t="s">
        <v>4478</v>
      </c>
      <c r="C1317" s="1930" t="s">
        <v>4499</v>
      </c>
      <c r="D1317" s="1930" t="s">
        <v>4500</v>
      </c>
      <c r="E1317" s="1931" t="s">
        <v>33</v>
      </c>
      <c r="F1317" s="1930" t="s">
        <v>33</v>
      </c>
      <c r="G1317" s="1932">
        <v>94444</v>
      </c>
      <c r="H1317" s="1930" t="s">
        <v>8033</v>
      </c>
      <c r="I1317" s="1930" t="s">
        <v>306</v>
      </c>
      <c r="J1317" s="1930" t="s">
        <v>137</v>
      </c>
      <c r="K1317" s="1933">
        <v>488.18</v>
      </c>
      <c r="L1317" s="1930" t="s">
        <v>138</v>
      </c>
    </row>
    <row r="1318" spans="1:12" ht="13.5" x14ac:dyDescent="0.25">
      <c r="A1318" s="1930" t="s">
        <v>4501</v>
      </c>
      <c r="B1318" s="1930" t="s">
        <v>4502</v>
      </c>
      <c r="C1318" s="1930" t="s">
        <v>4503</v>
      </c>
      <c r="D1318" s="1930" t="s">
        <v>4504</v>
      </c>
      <c r="E1318" s="1931">
        <v>73816</v>
      </c>
      <c r="F1318" s="1930" t="s">
        <v>4505</v>
      </c>
      <c r="G1318" s="1932" t="s">
        <v>1200</v>
      </c>
      <c r="H1318" s="1930" t="s">
        <v>1201</v>
      </c>
      <c r="I1318" s="1930" t="s">
        <v>136</v>
      </c>
      <c r="J1318" s="1930" t="s">
        <v>137</v>
      </c>
      <c r="K1318" s="1933">
        <v>27.68</v>
      </c>
      <c r="L1318" s="1930" t="s">
        <v>138</v>
      </c>
    </row>
    <row r="1319" spans="1:12" ht="13.5" x14ac:dyDescent="0.25">
      <c r="A1319" s="1930" t="s">
        <v>4501</v>
      </c>
      <c r="B1319" s="1930" t="s">
        <v>4502</v>
      </c>
      <c r="C1319" s="1930" t="s">
        <v>4503</v>
      </c>
      <c r="D1319" s="1930" t="s">
        <v>4504</v>
      </c>
      <c r="E1319" s="1931">
        <v>73881</v>
      </c>
      <c r="F1319" s="1930" t="s">
        <v>4506</v>
      </c>
      <c r="G1319" s="1932" t="s">
        <v>1202</v>
      </c>
      <c r="H1319" s="1930" t="s">
        <v>1203</v>
      </c>
      <c r="I1319" s="1930" t="s">
        <v>306</v>
      </c>
      <c r="J1319" s="1930" t="s">
        <v>320</v>
      </c>
      <c r="K1319" s="1933">
        <v>6.31</v>
      </c>
      <c r="L1319" s="1930" t="s">
        <v>138</v>
      </c>
    </row>
    <row r="1320" spans="1:12" ht="13.5" x14ac:dyDescent="0.25">
      <c r="A1320" s="1930" t="s">
        <v>4501</v>
      </c>
      <c r="B1320" s="1930" t="s">
        <v>4502</v>
      </c>
      <c r="C1320" s="1930" t="s">
        <v>4503</v>
      </c>
      <c r="D1320" s="1930" t="s">
        <v>4504</v>
      </c>
      <c r="E1320" s="1931">
        <v>73881</v>
      </c>
      <c r="F1320" s="1930" t="s">
        <v>4506</v>
      </c>
      <c r="G1320" s="1932" t="s">
        <v>1204</v>
      </c>
      <c r="H1320" s="1930" t="s">
        <v>1205</v>
      </c>
      <c r="I1320" s="1930" t="s">
        <v>306</v>
      </c>
      <c r="J1320" s="1930" t="s">
        <v>320</v>
      </c>
      <c r="K1320" s="1933">
        <v>12.36</v>
      </c>
      <c r="L1320" s="1930" t="s">
        <v>138</v>
      </c>
    </row>
    <row r="1321" spans="1:12" ht="13.5" x14ac:dyDescent="0.25">
      <c r="A1321" s="1930" t="s">
        <v>4501</v>
      </c>
      <c r="B1321" s="1930" t="s">
        <v>4502</v>
      </c>
      <c r="C1321" s="1930" t="s">
        <v>4503</v>
      </c>
      <c r="D1321" s="1930" t="s">
        <v>4504</v>
      </c>
      <c r="E1321" s="1931">
        <v>73883</v>
      </c>
      <c r="F1321" s="1930" t="s">
        <v>4507</v>
      </c>
      <c r="G1321" s="1932" t="s">
        <v>1206</v>
      </c>
      <c r="H1321" s="1930" t="s">
        <v>1207</v>
      </c>
      <c r="I1321" s="1930" t="s">
        <v>1208</v>
      </c>
      <c r="J1321" s="1930" t="s">
        <v>346</v>
      </c>
      <c r="K1321" s="1933">
        <v>133.6</v>
      </c>
      <c r="L1321" s="1930" t="s">
        <v>138</v>
      </c>
    </row>
    <row r="1322" spans="1:12" ht="13.5" x14ac:dyDescent="0.25">
      <c r="A1322" s="1930" t="s">
        <v>4501</v>
      </c>
      <c r="B1322" s="1930" t="s">
        <v>4502</v>
      </c>
      <c r="C1322" s="1930" t="s">
        <v>4503</v>
      </c>
      <c r="D1322" s="1930" t="s">
        <v>4504</v>
      </c>
      <c r="E1322" s="1931">
        <v>73883</v>
      </c>
      <c r="F1322" s="1930" t="s">
        <v>4507</v>
      </c>
      <c r="G1322" s="1932" t="s">
        <v>1209</v>
      </c>
      <c r="H1322" s="1930" t="s">
        <v>1210</v>
      </c>
      <c r="I1322" s="1930" t="s">
        <v>1208</v>
      </c>
      <c r="J1322" s="1930" t="s">
        <v>346</v>
      </c>
      <c r="K1322" s="1933">
        <v>123.2</v>
      </c>
      <c r="L1322" s="1930" t="s">
        <v>138</v>
      </c>
    </row>
    <row r="1323" spans="1:12" ht="13.5" x14ac:dyDescent="0.25">
      <c r="A1323" s="1930" t="s">
        <v>4501</v>
      </c>
      <c r="B1323" s="1930" t="s">
        <v>4502</v>
      </c>
      <c r="C1323" s="1930" t="s">
        <v>4503</v>
      </c>
      <c r="D1323" s="1930" t="s">
        <v>4504</v>
      </c>
      <c r="E1323" s="1931">
        <v>73883</v>
      </c>
      <c r="F1323" s="1930" t="s">
        <v>4507</v>
      </c>
      <c r="G1323" s="1932" t="s">
        <v>1211</v>
      </c>
      <c r="H1323" s="1930" t="s">
        <v>1212</v>
      </c>
      <c r="I1323" s="1930" t="s">
        <v>1208</v>
      </c>
      <c r="J1323" s="1930" t="s">
        <v>320</v>
      </c>
      <c r="K1323" s="1933">
        <v>75.989999999999995</v>
      </c>
      <c r="L1323" s="1930" t="s">
        <v>138</v>
      </c>
    </row>
    <row r="1324" spans="1:12" ht="13.5" x14ac:dyDescent="0.25">
      <c r="A1324" s="1930" t="s">
        <v>4501</v>
      </c>
      <c r="B1324" s="1930" t="s">
        <v>4502</v>
      </c>
      <c r="C1324" s="1930" t="s">
        <v>4503</v>
      </c>
      <c r="D1324" s="1930" t="s">
        <v>4504</v>
      </c>
      <c r="E1324" s="1931">
        <v>73969</v>
      </c>
      <c r="F1324" s="1930" t="s">
        <v>4508</v>
      </c>
      <c r="G1324" s="1932" t="s">
        <v>1213</v>
      </c>
      <c r="H1324" s="1930" t="s">
        <v>1214</v>
      </c>
      <c r="I1324" s="1930" t="s">
        <v>136</v>
      </c>
      <c r="J1324" s="1930" t="s">
        <v>320</v>
      </c>
      <c r="K1324" s="1933">
        <v>75.97</v>
      </c>
      <c r="L1324" s="1930" t="s">
        <v>138</v>
      </c>
    </row>
    <row r="1325" spans="1:12" ht="13.5" x14ac:dyDescent="0.25">
      <c r="A1325" s="1930" t="s">
        <v>4501</v>
      </c>
      <c r="B1325" s="1930" t="s">
        <v>4502</v>
      </c>
      <c r="C1325" s="1930" t="s">
        <v>4503</v>
      </c>
      <c r="D1325" s="1930" t="s">
        <v>4504</v>
      </c>
      <c r="E1325" s="1931">
        <v>74017</v>
      </c>
      <c r="F1325" s="1930" t="s">
        <v>4509</v>
      </c>
      <c r="G1325" s="1932" t="s">
        <v>1215</v>
      </c>
      <c r="H1325" s="1930" t="s">
        <v>1216</v>
      </c>
      <c r="I1325" s="1930" t="s">
        <v>136</v>
      </c>
      <c r="J1325" s="1930" t="s">
        <v>137</v>
      </c>
      <c r="K1325" s="1933">
        <v>48.64</v>
      </c>
      <c r="L1325" s="1930" t="s">
        <v>138</v>
      </c>
    </row>
    <row r="1326" spans="1:12" ht="13.5" x14ac:dyDescent="0.25">
      <c r="A1326" s="1930" t="s">
        <v>4501</v>
      </c>
      <c r="B1326" s="1930" t="s">
        <v>4502</v>
      </c>
      <c r="C1326" s="1930" t="s">
        <v>4503</v>
      </c>
      <c r="D1326" s="1930" t="s">
        <v>4504</v>
      </c>
      <c r="E1326" s="1931">
        <v>74017</v>
      </c>
      <c r="F1326" s="1930" t="s">
        <v>4509</v>
      </c>
      <c r="G1326" s="1932" t="s">
        <v>1217</v>
      </c>
      <c r="H1326" s="1930" t="s">
        <v>1218</v>
      </c>
      <c r="I1326" s="1930" t="s">
        <v>136</v>
      </c>
      <c r="J1326" s="1930" t="s">
        <v>137</v>
      </c>
      <c r="K1326" s="1933">
        <v>63.3</v>
      </c>
      <c r="L1326" s="1930" t="s">
        <v>138</v>
      </c>
    </row>
    <row r="1327" spans="1:12" ht="13.5" x14ac:dyDescent="0.25">
      <c r="A1327" s="1930" t="s">
        <v>4501</v>
      </c>
      <c r="B1327" s="1930" t="s">
        <v>4502</v>
      </c>
      <c r="C1327" s="1930" t="s">
        <v>4503</v>
      </c>
      <c r="D1327" s="1930" t="s">
        <v>4504</v>
      </c>
      <c r="E1327" s="1931">
        <v>75029</v>
      </c>
      <c r="F1327" s="1930" t="s">
        <v>4510</v>
      </c>
      <c r="G1327" s="1932" t="s">
        <v>1219</v>
      </c>
      <c r="H1327" s="1930" t="s">
        <v>1220</v>
      </c>
      <c r="I1327" s="1930" t="s">
        <v>136</v>
      </c>
      <c r="J1327" s="1930" t="s">
        <v>137</v>
      </c>
      <c r="K1327" s="1933">
        <v>38.880000000000003</v>
      </c>
      <c r="L1327" s="1930" t="s">
        <v>138</v>
      </c>
    </row>
    <row r="1328" spans="1:12" ht="13.5" x14ac:dyDescent="0.25">
      <c r="A1328" s="1930" t="s">
        <v>4501</v>
      </c>
      <c r="B1328" s="1930" t="s">
        <v>4502</v>
      </c>
      <c r="C1328" s="1930" t="s">
        <v>4503</v>
      </c>
      <c r="D1328" s="1930" t="s">
        <v>4504</v>
      </c>
      <c r="E1328" s="1931" t="s">
        <v>33</v>
      </c>
      <c r="F1328" s="1930" t="s">
        <v>33</v>
      </c>
      <c r="G1328" s="1932">
        <v>83651</v>
      </c>
      <c r="H1328" s="1930" t="s">
        <v>1221</v>
      </c>
      <c r="I1328" s="1930" t="s">
        <v>136</v>
      </c>
      <c r="J1328" s="1930" t="s">
        <v>137</v>
      </c>
      <c r="K1328" s="1933">
        <v>29.97</v>
      </c>
      <c r="L1328" s="1930" t="s">
        <v>138</v>
      </c>
    </row>
    <row r="1329" spans="1:12" ht="13.5" x14ac:dyDescent="0.25">
      <c r="A1329" s="1930" t="s">
        <v>4501</v>
      </c>
      <c r="B1329" s="1930" t="s">
        <v>4502</v>
      </c>
      <c r="C1329" s="1930" t="s">
        <v>4503</v>
      </c>
      <c r="D1329" s="1930" t="s">
        <v>4504</v>
      </c>
      <c r="E1329" s="1931" t="s">
        <v>33</v>
      </c>
      <c r="F1329" s="1930" t="s">
        <v>33</v>
      </c>
      <c r="G1329" s="1932">
        <v>83658</v>
      </c>
      <c r="H1329" s="1930" t="s">
        <v>1222</v>
      </c>
      <c r="I1329" s="1930" t="s">
        <v>136</v>
      </c>
      <c r="J1329" s="1930" t="s">
        <v>320</v>
      </c>
      <c r="K1329" s="1933">
        <v>201.57</v>
      </c>
      <c r="L1329" s="1930" t="s">
        <v>138</v>
      </c>
    </row>
    <row r="1330" spans="1:12" ht="13.5" x14ac:dyDescent="0.25">
      <c r="A1330" s="1930" t="s">
        <v>4501</v>
      </c>
      <c r="B1330" s="1930" t="s">
        <v>4502</v>
      </c>
      <c r="C1330" s="1930" t="s">
        <v>4503</v>
      </c>
      <c r="D1330" s="1930" t="s">
        <v>4504</v>
      </c>
      <c r="E1330" s="1931" t="s">
        <v>33</v>
      </c>
      <c r="F1330" s="1930" t="s">
        <v>33</v>
      </c>
      <c r="G1330" s="1932">
        <v>83661</v>
      </c>
      <c r="H1330" s="1930" t="s">
        <v>1223</v>
      </c>
      <c r="I1330" s="1930" t="s">
        <v>136</v>
      </c>
      <c r="J1330" s="1930" t="s">
        <v>137</v>
      </c>
      <c r="K1330" s="1933">
        <v>122.03</v>
      </c>
      <c r="L1330" s="1930" t="s">
        <v>138</v>
      </c>
    </row>
    <row r="1331" spans="1:12" ht="13.5" x14ac:dyDescent="0.25">
      <c r="A1331" s="1930" t="s">
        <v>4501</v>
      </c>
      <c r="B1331" s="1930" t="s">
        <v>4502</v>
      </c>
      <c r="C1331" s="1930" t="s">
        <v>4503</v>
      </c>
      <c r="D1331" s="1930" t="s">
        <v>4504</v>
      </c>
      <c r="E1331" s="1931" t="s">
        <v>33</v>
      </c>
      <c r="F1331" s="1930" t="s">
        <v>33</v>
      </c>
      <c r="G1331" s="1932">
        <v>83662</v>
      </c>
      <c r="H1331" s="1930" t="s">
        <v>1224</v>
      </c>
      <c r="I1331" s="1930" t="s">
        <v>1208</v>
      </c>
      <c r="J1331" s="1930" t="s">
        <v>137</v>
      </c>
      <c r="K1331" s="1933">
        <v>110.49</v>
      </c>
      <c r="L1331" s="1930" t="s">
        <v>138</v>
      </c>
    </row>
    <row r="1332" spans="1:12" ht="13.5" x14ac:dyDescent="0.25">
      <c r="A1332" s="1930" t="s">
        <v>4501</v>
      </c>
      <c r="B1332" s="1930" t="s">
        <v>4502</v>
      </c>
      <c r="C1332" s="1930" t="s">
        <v>4503</v>
      </c>
      <c r="D1332" s="1930" t="s">
        <v>4504</v>
      </c>
      <c r="E1332" s="1931" t="s">
        <v>33</v>
      </c>
      <c r="F1332" s="1930" t="s">
        <v>33</v>
      </c>
      <c r="G1332" s="1932">
        <v>83664</v>
      </c>
      <c r="H1332" s="1930" t="s">
        <v>1225</v>
      </c>
      <c r="I1332" s="1930" t="s">
        <v>136</v>
      </c>
      <c r="J1332" s="1930" t="s">
        <v>320</v>
      </c>
      <c r="K1332" s="1933">
        <v>73.7</v>
      </c>
      <c r="L1332" s="1930" t="s">
        <v>138</v>
      </c>
    </row>
    <row r="1333" spans="1:12" ht="13.5" x14ac:dyDescent="0.25">
      <c r="A1333" s="1930" t="s">
        <v>4501</v>
      </c>
      <c r="B1333" s="1930" t="s">
        <v>4502</v>
      </c>
      <c r="C1333" s="1930" t="s">
        <v>4503</v>
      </c>
      <c r="D1333" s="1930" t="s">
        <v>4504</v>
      </c>
      <c r="E1333" s="1931" t="s">
        <v>33</v>
      </c>
      <c r="F1333" s="1930" t="s">
        <v>33</v>
      </c>
      <c r="G1333" s="1932">
        <v>83670</v>
      </c>
      <c r="H1333" s="1930" t="s">
        <v>1226</v>
      </c>
      <c r="I1333" s="1930" t="s">
        <v>136</v>
      </c>
      <c r="J1333" s="1930" t="s">
        <v>320</v>
      </c>
      <c r="K1333" s="1933">
        <v>45.82</v>
      </c>
      <c r="L1333" s="1930" t="s">
        <v>138</v>
      </c>
    </row>
    <row r="1334" spans="1:12" ht="13.5" x14ac:dyDescent="0.25">
      <c r="A1334" s="1930" t="s">
        <v>4501</v>
      </c>
      <c r="B1334" s="1930" t="s">
        <v>4502</v>
      </c>
      <c r="C1334" s="1930" t="s">
        <v>4503</v>
      </c>
      <c r="D1334" s="1930" t="s">
        <v>4504</v>
      </c>
      <c r="E1334" s="1931" t="s">
        <v>33</v>
      </c>
      <c r="F1334" s="1930" t="s">
        <v>33</v>
      </c>
      <c r="G1334" s="1932">
        <v>83671</v>
      </c>
      <c r="H1334" s="1930" t="s">
        <v>1227</v>
      </c>
      <c r="I1334" s="1930" t="s">
        <v>136</v>
      </c>
      <c r="J1334" s="1930" t="s">
        <v>320</v>
      </c>
      <c r="K1334" s="1933">
        <v>49.21</v>
      </c>
      <c r="L1334" s="1930" t="s">
        <v>138</v>
      </c>
    </row>
    <row r="1335" spans="1:12" ht="13.5" x14ac:dyDescent="0.25">
      <c r="A1335" s="1930" t="s">
        <v>4501</v>
      </c>
      <c r="B1335" s="1930" t="s">
        <v>4502</v>
      </c>
      <c r="C1335" s="1930" t="s">
        <v>4503</v>
      </c>
      <c r="D1335" s="1930" t="s">
        <v>4504</v>
      </c>
      <c r="E1335" s="1931" t="s">
        <v>33</v>
      </c>
      <c r="F1335" s="1930" t="s">
        <v>33</v>
      </c>
      <c r="G1335" s="1932">
        <v>83679</v>
      </c>
      <c r="H1335" s="1930" t="s">
        <v>1228</v>
      </c>
      <c r="I1335" s="1930" t="s">
        <v>136</v>
      </c>
      <c r="J1335" s="1930" t="s">
        <v>320</v>
      </c>
      <c r="K1335" s="1933">
        <v>13.78</v>
      </c>
      <c r="L1335" s="1930" t="s">
        <v>138</v>
      </c>
    </row>
    <row r="1336" spans="1:12" ht="13.5" x14ac:dyDescent="0.25">
      <c r="A1336" s="1930" t="s">
        <v>4501</v>
      </c>
      <c r="B1336" s="1930" t="s">
        <v>4502</v>
      </c>
      <c r="C1336" s="1930" t="s">
        <v>4503</v>
      </c>
      <c r="D1336" s="1930" t="s">
        <v>4504</v>
      </c>
      <c r="E1336" s="1931" t="s">
        <v>33</v>
      </c>
      <c r="F1336" s="1930" t="s">
        <v>33</v>
      </c>
      <c r="G1336" s="1932">
        <v>83680</v>
      </c>
      <c r="H1336" s="1930" t="s">
        <v>1229</v>
      </c>
      <c r="I1336" s="1930" t="s">
        <v>136</v>
      </c>
      <c r="J1336" s="1930" t="s">
        <v>320</v>
      </c>
      <c r="K1336" s="1933">
        <v>16.600000000000001</v>
      </c>
      <c r="L1336" s="1930" t="s">
        <v>138</v>
      </c>
    </row>
    <row r="1337" spans="1:12" ht="13.5" x14ac:dyDescent="0.25">
      <c r="A1337" s="1930" t="s">
        <v>4501</v>
      </c>
      <c r="B1337" s="1930" t="s">
        <v>4502</v>
      </c>
      <c r="C1337" s="1930" t="s">
        <v>4503</v>
      </c>
      <c r="D1337" s="1930" t="s">
        <v>4504</v>
      </c>
      <c r="E1337" s="1931" t="s">
        <v>33</v>
      </c>
      <c r="F1337" s="1930" t="s">
        <v>33</v>
      </c>
      <c r="G1337" s="1932">
        <v>83681</v>
      </c>
      <c r="H1337" s="1930" t="s">
        <v>1230</v>
      </c>
      <c r="I1337" s="1930" t="s">
        <v>136</v>
      </c>
      <c r="J1337" s="1930" t="s">
        <v>320</v>
      </c>
      <c r="K1337" s="1933">
        <v>17.89</v>
      </c>
      <c r="L1337" s="1930" t="s">
        <v>138</v>
      </c>
    </row>
    <row r="1338" spans="1:12" ht="13.5" x14ac:dyDescent="0.25">
      <c r="A1338" s="1930" t="s">
        <v>4501</v>
      </c>
      <c r="B1338" s="1930" t="s">
        <v>4502</v>
      </c>
      <c r="C1338" s="1930" t="s">
        <v>4511</v>
      </c>
      <c r="D1338" s="1930" t="s">
        <v>4512</v>
      </c>
      <c r="E1338" s="1931" t="s">
        <v>33</v>
      </c>
      <c r="F1338" s="1930" t="s">
        <v>33</v>
      </c>
      <c r="G1338" s="1932">
        <v>92743</v>
      </c>
      <c r="H1338" s="1930" t="s">
        <v>5313</v>
      </c>
      <c r="I1338" s="1930" t="s">
        <v>1208</v>
      </c>
      <c r="J1338" s="1930" t="s">
        <v>137</v>
      </c>
      <c r="K1338" s="1933">
        <v>511.1</v>
      </c>
      <c r="L1338" s="1930" t="s">
        <v>138</v>
      </c>
    </row>
    <row r="1339" spans="1:12" ht="13.5" x14ac:dyDescent="0.25">
      <c r="A1339" s="1930" t="s">
        <v>4501</v>
      </c>
      <c r="B1339" s="1930" t="s">
        <v>4502</v>
      </c>
      <c r="C1339" s="1930" t="s">
        <v>4511</v>
      </c>
      <c r="D1339" s="1930" t="s">
        <v>4512</v>
      </c>
      <c r="E1339" s="1931" t="s">
        <v>33</v>
      </c>
      <c r="F1339" s="1930" t="s">
        <v>33</v>
      </c>
      <c r="G1339" s="1932">
        <v>92744</v>
      </c>
      <c r="H1339" s="1930" t="s">
        <v>5314</v>
      </c>
      <c r="I1339" s="1930" t="s">
        <v>1208</v>
      </c>
      <c r="J1339" s="1930" t="s">
        <v>137</v>
      </c>
      <c r="K1339" s="1933">
        <v>500.1</v>
      </c>
      <c r="L1339" s="1930" t="s">
        <v>138</v>
      </c>
    </row>
    <row r="1340" spans="1:12" ht="13.5" x14ac:dyDescent="0.25">
      <c r="A1340" s="1930" t="s">
        <v>4501</v>
      </c>
      <c r="B1340" s="1930" t="s">
        <v>4502</v>
      </c>
      <c r="C1340" s="1930" t="s">
        <v>4511</v>
      </c>
      <c r="D1340" s="1930" t="s">
        <v>4512</v>
      </c>
      <c r="E1340" s="1931" t="s">
        <v>33</v>
      </c>
      <c r="F1340" s="1930" t="s">
        <v>33</v>
      </c>
      <c r="G1340" s="1932">
        <v>92745</v>
      </c>
      <c r="H1340" s="1930" t="s">
        <v>5315</v>
      </c>
      <c r="I1340" s="1930" t="s">
        <v>1208</v>
      </c>
      <c r="J1340" s="1930" t="s">
        <v>137</v>
      </c>
      <c r="K1340" s="1933">
        <v>630.59</v>
      </c>
      <c r="L1340" s="1930" t="s">
        <v>138</v>
      </c>
    </row>
    <row r="1341" spans="1:12" ht="13.5" x14ac:dyDescent="0.25">
      <c r="A1341" s="1930" t="s">
        <v>4501</v>
      </c>
      <c r="B1341" s="1930" t="s">
        <v>4502</v>
      </c>
      <c r="C1341" s="1930" t="s">
        <v>4511</v>
      </c>
      <c r="D1341" s="1930" t="s">
        <v>4512</v>
      </c>
      <c r="E1341" s="1931" t="s">
        <v>33</v>
      </c>
      <c r="F1341" s="1930" t="s">
        <v>33</v>
      </c>
      <c r="G1341" s="1932">
        <v>92746</v>
      </c>
      <c r="H1341" s="1930" t="s">
        <v>6307</v>
      </c>
      <c r="I1341" s="1930" t="s">
        <v>1208</v>
      </c>
      <c r="J1341" s="1930" t="s">
        <v>137</v>
      </c>
      <c r="K1341" s="1933">
        <v>587.16999999999996</v>
      </c>
      <c r="L1341" s="1930" t="s">
        <v>138</v>
      </c>
    </row>
    <row r="1342" spans="1:12" ht="13.5" x14ac:dyDescent="0.25">
      <c r="A1342" s="1930" t="s">
        <v>4501</v>
      </c>
      <c r="B1342" s="1930" t="s">
        <v>4502</v>
      </c>
      <c r="C1342" s="1930" t="s">
        <v>4511</v>
      </c>
      <c r="D1342" s="1930" t="s">
        <v>4512</v>
      </c>
      <c r="E1342" s="1931" t="s">
        <v>33</v>
      </c>
      <c r="F1342" s="1930" t="s">
        <v>33</v>
      </c>
      <c r="G1342" s="1932">
        <v>92747</v>
      </c>
      <c r="H1342" s="1930" t="s">
        <v>6308</v>
      </c>
      <c r="I1342" s="1930" t="s">
        <v>1208</v>
      </c>
      <c r="J1342" s="1930" t="s">
        <v>137</v>
      </c>
      <c r="K1342" s="1933">
        <v>698.05</v>
      </c>
      <c r="L1342" s="1930" t="s">
        <v>138</v>
      </c>
    </row>
    <row r="1343" spans="1:12" ht="13.5" x14ac:dyDescent="0.25">
      <c r="A1343" s="1930" t="s">
        <v>4501</v>
      </c>
      <c r="B1343" s="1930" t="s">
        <v>4502</v>
      </c>
      <c r="C1343" s="1930" t="s">
        <v>4511</v>
      </c>
      <c r="D1343" s="1930" t="s">
        <v>4512</v>
      </c>
      <c r="E1343" s="1931" t="s">
        <v>33</v>
      </c>
      <c r="F1343" s="1930" t="s">
        <v>33</v>
      </c>
      <c r="G1343" s="1932">
        <v>92748</v>
      </c>
      <c r="H1343" s="1930" t="s">
        <v>5316</v>
      </c>
      <c r="I1343" s="1930" t="s">
        <v>1208</v>
      </c>
      <c r="J1343" s="1930" t="s">
        <v>137</v>
      </c>
      <c r="K1343" s="1933">
        <v>636.44000000000005</v>
      </c>
      <c r="L1343" s="1930" t="s">
        <v>138</v>
      </c>
    </row>
    <row r="1344" spans="1:12" ht="13.5" x14ac:dyDescent="0.25">
      <c r="A1344" s="1930" t="s">
        <v>4501</v>
      </c>
      <c r="B1344" s="1930" t="s">
        <v>4502</v>
      </c>
      <c r="C1344" s="1930" t="s">
        <v>4511</v>
      </c>
      <c r="D1344" s="1930" t="s">
        <v>4512</v>
      </c>
      <c r="E1344" s="1931" t="s">
        <v>33</v>
      </c>
      <c r="F1344" s="1930" t="s">
        <v>33</v>
      </c>
      <c r="G1344" s="1932">
        <v>92749</v>
      </c>
      <c r="H1344" s="1930" t="s">
        <v>6309</v>
      </c>
      <c r="I1344" s="1930" t="s">
        <v>1208</v>
      </c>
      <c r="J1344" s="1930" t="s">
        <v>137</v>
      </c>
      <c r="K1344" s="1933">
        <v>732.56</v>
      </c>
      <c r="L1344" s="1930" t="s">
        <v>138</v>
      </c>
    </row>
    <row r="1345" spans="1:12" ht="13.5" x14ac:dyDescent="0.25">
      <c r="A1345" s="1930" t="s">
        <v>4501</v>
      </c>
      <c r="B1345" s="1930" t="s">
        <v>4502</v>
      </c>
      <c r="C1345" s="1930" t="s">
        <v>4511</v>
      </c>
      <c r="D1345" s="1930" t="s">
        <v>4512</v>
      </c>
      <c r="E1345" s="1931" t="s">
        <v>33</v>
      </c>
      <c r="F1345" s="1930" t="s">
        <v>33</v>
      </c>
      <c r="G1345" s="1932">
        <v>92750</v>
      </c>
      <c r="H1345" s="1930" t="s">
        <v>6310</v>
      </c>
      <c r="I1345" s="1930" t="s">
        <v>1208</v>
      </c>
      <c r="J1345" s="1930" t="s">
        <v>137</v>
      </c>
      <c r="K1345" s="1933">
        <v>1253.6400000000001</v>
      </c>
      <c r="L1345" s="1930" t="s">
        <v>138</v>
      </c>
    </row>
    <row r="1346" spans="1:12" ht="13.5" x14ac:dyDescent="0.25">
      <c r="A1346" s="1930" t="s">
        <v>4501</v>
      </c>
      <c r="B1346" s="1930" t="s">
        <v>4502</v>
      </c>
      <c r="C1346" s="1930" t="s">
        <v>4511</v>
      </c>
      <c r="D1346" s="1930" t="s">
        <v>4512</v>
      </c>
      <c r="E1346" s="1931" t="s">
        <v>33</v>
      </c>
      <c r="F1346" s="1930" t="s">
        <v>33</v>
      </c>
      <c r="G1346" s="1932">
        <v>92751</v>
      </c>
      <c r="H1346" s="1930" t="s">
        <v>6311</v>
      </c>
      <c r="I1346" s="1930" t="s">
        <v>1208</v>
      </c>
      <c r="J1346" s="1930" t="s">
        <v>137</v>
      </c>
      <c r="K1346" s="1933">
        <v>1556.18</v>
      </c>
      <c r="L1346" s="1930" t="s">
        <v>138</v>
      </c>
    </row>
    <row r="1347" spans="1:12" ht="13.5" x14ac:dyDescent="0.25">
      <c r="A1347" s="1930" t="s">
        <v>4501</v>
      </c>
      <c r="B1347" s="1930" t="s">
        <v>4502</v>
      </c>
      <c r="C1347" s="1930" t="s">
        <v>4511</v>
      </c>
      <c r="D1347" s="1930" t="s">
        <v>4512</v>
      </c>
      <c r="E1347" s="1931" t="s">
        <v>33</v>
      </c>
      <c r="F1347" s="1930" t="s">
        <v>33</v>
      </c>
      <c r="G1347" s="1932">
        <v>92752</v>
      </c>
      <c r="H1347" s="1930" t="s">
        <v>6312</v>
      </c>
      <c r="I1347" s="1930" t="s">
        <v>1208</v>
      </c>
      <c r="J1347" s="1930" t="s">
        <v>137</v>
      </c>
      <c r="K1347" s="1933">
        <v>1857.69</v>
      </c>
      <c r="L1347" s="1930" t="s">
        <v>138</v>
      </c>
    </row>
    <row r="1348" spans="1:12" ht="13.5" x14ac:dyDescent="0.25">
      <c r="A1348" s="1930" t="s">
        <v>4501</v>
      </c>
      <c r="B1348" s="1930" t="s">
        <v>4502</v>
      </c>
      <c r="C1348" s="1930" t="s">
        <v>4511</v>
      </c>
      <c r="D1348" s="1930" t="s">
        <v>4512</v>
      </c>
      <c r="E1348" s="1931" t="s">
        <v>33</v>
      </c>
      <c r="F1348" s="1930" t="s">
        <v>33</v>
      </c>
      <c r="G1348" s="1932">
        <v>92753</v>
      </c>
      <c r="H1348" s="1930" t="s">
        <v>6313</v>
      </c>
      <c r="I1348" s="1930" t="s">
        <v>1208</v>
      </c>
      <c r="J1348" s="1930" t="s">
        <v>137</v>
      </c>
      <c r="K1348" s="1933">
        <v>467.62</v>
      </c>
      <c r="L1348" s="1930" t="s">
        <v>138</v>
      </c>
    </row>
    <row r="1349" spans="1:12" ht="13.5" x14ac:dyDescent="0.25">
      <c r="A1349" s="1930" t="s">
        <v>4501</v>
      </c>
      <c r="B1349" s="1930" t="s">
        <v>4502</v>
      </c>
      <c r="C1349" s="1930" t="s">
        <v>4511</v>
      </c>
      <c r="D1349" s="1930" t="s">
        <v>4512</v>
      </c>
      <c r="E1349" s="1931" t="s">
        <v>33</v>
      </c>
      <c r="F1349" s="1930" t="s">
        <v>33</v>
      </c>
      <c r="G1349" s="1932">
        <v>92754</v>
      </c>
      <c r="H1349" s="1930" t="s">
        <v>6314</v>
      </c>
      <c r="I1349" s="1930" t="s">
        <v>1208</v>
      </c>
      <c r="J1349" s="1930" t="s">
        <v>137</v>
      </c>
      <c r="K1349" s="1933">
        <v>426.62</v>
      </c>
      <c r="L1349" s="1930" t="s">
        <v>138</v>
      </c>
    </row>
    <row r="1350" spans="1:12" ht="13.5" x14ac:dyDescent="0.25">
      <c r="A1350" s="1930" t="s">
        <v>4501</v>
      </c>
      <c r="B1350" s="1930" t="s">
        <v>4502</v>
      </c>
      <c r="C1350" s="1930" t="s">
        <v>4511</v>
      </c>
      <c r="D1350" s="1930" t="s">
        <v>4512</v>
      </c>
      <c r="E1350" s="1931" t="s">
        <v>33</v>
      </c>
      <c r="F1350" s="1930" t="s">
        <v>33</v>
      </c>
      <c r="G1350" s="1932">
        <v>92755</v>
      </c>
      <c r="H1350" s="1930" t="s">
        <v>1231</v>
      </c>
      <c r="I1350" s="1930" t="s">
        <v>306</v>
      </c>
      <c r="J1350" s="1930" t="s">
        <v>137</v>
      </c>
      <c r="K1350" s="1933">
        <v>183.87</v>
      </c>
      <c r="L1350" s="1930" t="s">
        <v>138</v>
      </c>
    </row>
    <row r="1351" spans="1:12" ht="13.5" x14ac:dyDescent="0.25">
      <c r="A1351" s="1930" t="s">
        <v>4501</v>
      </c>
      <c r="B1351" s="1930" t="s">
        <v>4502</v>
      </c>
      <c r="C1351" s="1930" t="s">
        <v>4511</v>
      </c>
      <c r="D1351" s="1930" t="s">
        <v>4512</v>
      </c>
      <c r="E1351" s="1931" t="s">
        <v>33</v>
      </c>
      <c r="F1351" s="1930" t="s">
        <v>33</v>
      </c>
      <c r="G1351" s="1932">
        <v>92756</v>
      </c>
      <c r="H1351" s="1930" t="s">
        <v>1232</v>
      </c>
      <c r="I1351" s="1930" t="s">
        <v>306</v>
      </c>
      <c r="J1351" s="1930" t="s">
        <v>137</v>
      </c>
      <c r="K1351" s="1933">
        <v>208.84</v>
      </c>
      <c r="L1351" s="1930" t="s">
        <v>138</v>
      </c>
    </row>
    <row r="1352" spans="1:12" ht="13.5" x14ac:dyDescent="0.25">
      <c r="A1352" s="1930" t="s">
        <v>4501</v>
      </c>
      <c r="B1352" s="1930" t="s">
        <v>4502</v>
      </c>
      <c r="C1352" s="1930" t="s">
        <v>4511</v>
      </c>
      <c r="D1352" s="1930" t="s">
        <v>4512</v>
      </c>
      <c r="E1352" s="1931" t="s">
        <v>33</v>
      </c>
      <c r="F1352" s="1930" t="s">
        <v>33</v>
      </c>
      <c r="G1352" s="1932">
        <v>92757</v>
      </c>
      <c r="H1352" s="1930" t="s">
        <v>1233</v>
      </c>
      <c r="I1352" s="1930" t="s">
        <v>306</v>
      </c>
      <c r="J1352" s="1930" t="s">
        <v>137</v>
      </c>
      <c r="K1352" s="1933">
        <v>239.13</v>
      </c>
      <c r="L1352" s="1930" t="s">
        <v>138</v>
      </c>
    </row>
    <row r="1353" spans="1:12" ht="13.5" x14ac:dyDescent="0.25">
      <c r="A1353" s="1930" t="s">
        <v>4501</v>
      </c>
      <c r="B1353" s="1930" t="s">
        <v>4502</v>
      </c>
      <c r="C1353" s="1930" t="s">
        <v>4511</v>
      </c>
      <c r="D1353" s="1930" t="s">
        <v>4512</v>
      </c>
      <c r="E1353" s="1931" t="s">
        <v>33</v>
      </c>
      <c r="F1353" s="1930" t="s">
        <v>33</v>
      </c>
      <c r="G1353" s="1932">
        <v>92758</v>
      </c>
      <c r="H1353" s="1930" t="s">
        <v>1234</v>
      </c>
      <c r="I1353" s="1930" t="s">
        <v>1208</v>
      </c>
      <c r="J1353" s="1930" t="s">
        <v>137</v>
      </c>
      <c r="K1353" s="1933">
        <v>593.94000000000005</v>
      </c>
      <c r="L1353" s="1930" t="s">
        <v>138</v>
      </c>
    </row>
    <row r="1354" spans="1:12" ht="13.5" x14ac:dyDescent="0.25">
      <c r="A1354" s="1930" t="s">
        <v>4501</v>
      </c>
      <c r="B1354" s="1930" t="s">
        <v>4502</v>
      </c>
      <c r="C1354" s="1930" t="s">
        <v>4513</v>
      </c>
      <c r="D1354" s="1930" t="s">
        <v>4514</v>
      </c>
      <c r="E1354" s="1931" t="s">
        <v>33</v>
      </c>
      <c r="F1354" s="1930" t="s">
        <v>33</v>
      </c>
      <c r="G1354" s="1932">
        <v>91069</v>
      </c>
      <c r="H1354" s="1930" t="s">
        <v>1235</v>
      </c>
      <c r="I1354" s="1930" t="s">
        <v>306</v>
      </c>
      <c r="J1354" s="1930" t="s">
        <v>137</v>
      </c>
      <c r="K1354" s="1933">
        <v>77.989999999999995</v>
      </c>
      <c r="L1354" s="1930" t="s">
        <v>138</v>
      </c>
    </row>
    <row r="1355" spans="1:12" ht="13.5" x14ac:dyDescent="0.25">
      <c r="A1355" s="1930" t="s">
        <v>4501</v>
      </c>
      <c r="B1355" s="1930" t="s">
        <v>4502</v>
      </c>
      <c r="C1355" s="1930" t="s">
        <v>4513</v>
      </c>
      <c r="D1355" s="1930" t="s">
        <v>4514</v>
      </c>
      <c r="E1355" s="1931" t="s">
        <v>33</v>
      </c>
      <c r="F1355" s="1930" t="s">
        <v>33</v>
      </c>
      <c r="G1355" s="1932">
        <v>91070</v>
      </c>
      <c r="H1355" s="1930" t="s">
        <v>1236</v>
      </c>
      <c r="I1355" s="1930" t="s">
        <v>306</v>
      </c>
      <c r="J1355" s="1930" t="s">
        <v>137</v>
      </c>
      <c r="K1355" s="1933">
        <v>86.8</v>
      </c>
      <c r="L1355" s="1930" t="s">
        <v>138</v>
      </c>
    </row>
    <row r="1356" spans="1:12" ht="13.5" x14ac:dyDescent="0.25">
      <c r="A1356" s="1930" t="s">
        <v>4501</v>
      </c>
      <c r="B1356" s="1930" t="s">
        <v>4502</v>
      </c>
      <c r="C1356" s="1930" t="s">
        <v>4513</v>
      </c>
      <c r="D1356" s="1930" t="s">
        <v>4514</v>
      </c>
      <c r="E1356" s="1931" t="s">
        <v>33</v>
      </c>
      <c r="F1356" s="1930" t="s">
        <v>33</v>
      </c>
      <c r="G1356" s="1932">
        <v>91071</v>
      </c>
      <c r="H1356" s="1930" t="s">
        <v>1237</v>
      </c>
      <c r="I1356" s="1930" t="s">
        <v>306</v>
      </c>
      <c r="J1356" s="1930" t="s">
        <v>137</v>
      </c>
      <c r="K1356" s="1933">
        <v>108.31</v>
      </c>
      <c r="L1356" s="1930" t="s">
        <v>138</v>
      </c>
    </row>
    <row r="1357" spans="1:12" ht="13.5" x14ac:dyDescent="0.25">
      <c r="A1357" s="1930" t="s">
        <v>4501</v>
      </c>
      <c r="B1357" s="1930" t="s">
        <v>4502</v>
      </c>
      <c r="C1357" s="1930" t="s">
        <v>4513</v>
      </c>
      <c r="D1357" s="1930" t="s">
        <v>4514</v>
      </c>
      <c r="E1357" s="1931" t="s">
        <v>33</v>
      </c>
      <c r="F1357" s="1930" t="s">
        <v>33</v>
      </c>
      <c r="G1357" s="1932">
        <v>91072</v>
      </c>
      <c r="H1357" s="1930" t="s">
        <v>1238</v>
      </c>
      <c r="I1357" s="1930" t="s">
        <v>306</v>
      </c>
      <c r="J1357" s="1930" t="s">
        <v>137</v>
      </c>
      <c r="K1357" s="1933">
        <v>117.1</v>
      </c>
      <c r="L1357" s="1930" t="s">
        <v>138</v>
      </c>
    </row>
    <row r="1358" spans="1:12" ht="13.5" x14ac:dyDescent="0.25">
      <c r="A1358" s="1930" t="s">
        <v>4501</v>
      </c>
      <c r="B1358" s="1930" t="s">
        <v>4502</v>
      </c>
      <c r="C1358" s="1930" t="s">
        <v>4513</v>
      </c>
      <c r="D1358" s="1930" t="s">
        <v>4514</v>
      </c>
      <c r="E1358" s="1931" t="s">
        <v>33</v>
      </c>
      <c r="F1358" s="1930" t="s">
        <v>33</v>
      </c>
      <c r="G1358" s="1932">
        <v>91073</v>
      </c>
      <c r="H1358" s="1930" t="s">
        <v>1239</v>
      </c>
      <c r="I1358" s="1930" t="s">
        <v>306</v>
      </c>
      <c r="J1358" s="1930" t="s">
        <v>137</v>
      </c>
      <c r="K1358" s="1933">
        <v>88.45</v>
      </c>
      <c r="L1358" s="1930" t="s">
        <v>138</v>
      </c>
    </row>
    <row r="1359" spans="1:12" ht="13.5" x14ac:dyDescent="0.25">
      <c r="A1359" s="1930" t="s">
        <v>4501</v>
      </c>
      <c r="B1359" s="1930" t="s">
        <v>4502</v>
      </c>
      <c r="C1359" s="1930" t="s">
        <v>4513</v>
      </c>
      <c r="D1359" s="1930" t="s">
        <v>4514</v>
      </c>
      <c r="E1359" s="1931" t="s">
        <v>33</v>
      </c>
      <c r="F1359" s="1930" t="s">
        <v>33</v>
      </c>
      <c r="G1359" s="1932">
        <v>91074</v>
      </c>
      <c r="H1359" s="1930" t="s">
        <v>1240</v>
      </c>
      <c r="I1359" s="1930" t="s">
        <v>306</v>
      </c>
      <c r="J1359" s="1930" t="s">
        <v>137</v>
      </c>
      <c r="K1359" s="1933">
        <v>98.31</v>
      </c>
      <c r="L1359" s="1930" t="s">
        <v>138</v>
      </c>
    </row>
    <row r="1360" spans="1:12" ht="13.5" x14ac:dyDescent="0.25">
      <c r="A1360" s="1930" t="s">
        <v>4501</v>
      </c>
      <c r="B1360" s="1930" t="s">
        <v>4502</v>
      </c>
      <c r="C1360" s="1930" t="s">
        <v>4513</v>
      </c>
      <c r="D1360" s="1930" t="s">
        <v>4514</v>
      </c>
      <c r="E1360" s="1931" t="s">
        <v>33</v>
      </c>
      <c r="F1360" s="1930" t="s">
        <v>33</v>
      </c>
      <c r="G1360" s="1932">
        <v>91075</v>
      </c>
      <c r="H1360" s="1930" t="s">
        <v>1241</v>
      </c>
      <c r="I1360" s="1930" t="s">
        <v>306</v>
      </c>
      <c r="J1360" s="1930" t="s">
        <v>137</v>
      </c>
      <c r="K1360" s="1933">
        <v>120.93</v>
      </c>
      <c r="L1360" s="1930" t="s">
        <v>138</v>
      </c>
    </row>
    <row r="1361" spans="1:12" ht="13.5" x14ac:dyDescent="0.25">
      <c r="A1361" s="1930" t="s">
        <v>4501</v>
      </c>
      <c r="B1361" s="1930" t="s">
        <v>4502</v>
      </c>
      <c r="C1361" s="1930" t="s">
        <v>4513</v>
      </c>
      <c r="D1361" s="1930" t="s">
        <v>4514</v>
      </c>
      <c r="E1361" s="1931" t="s">
        <v>33</v>
      </c>
      <c r="F1361" s="1930" t="s">
        <v>33</v>
      </c>
      <c r="G1361" s="1932">
        <v>91076</v>
      </c>
      <c r="H1361" s="1930" t="s">
        <v>1242</v>
      </c>
      <c r="I1361" s="1930" t="s">
        <v>306</v>
      </c>
      <c r="J1361" s="1930" t="s">
        <v>137</v>
      </c>
      <c r="K1361" s="1933">
        <v>130.86000000000001</v>
      </c>
      <c r="L1361" s="1930" t="s">
        <v>138</v>
      </c>
    </row>
    <row r="1362" spans="1:12" ht="13.5" x14ac:dyDescent="0.25">
      <c r="A1362" s="1930" t="s">
        <v>4501</v>
      </c>
      <c r="B1362" s="1930" t="s">
        <v>4502</v>
      </c>
      <c r="C1362" s="1930" t="s">
        <v>4513</v>
      </c>
      <c r="D1362" s="1930" t="s">
        <v>4514</v>
      </c>
      <c r="E1362" s="1931" t="s">
        <v>33</v>
      </c>
      <c r="F1362" s="1930" t="s">
        <v>33</v>
      </c>
      <c r="G1362" s="1932">
        <v>91077</v>
      </c>
      <c r="H1362" s="1930" t="s">
        <v>1243</v>
      </c>
      <c r="I1362" s="1930" t="s">
        <v>306</v>
      </c>
      <c r="J1362" s="1930" t="s">
        <v>137</v>
      </c>
      <c r="K1362" s="1933">
        <v>79.739999999999995</v>
      </c>
      <c r="L1362" s="1930" t="s">
        <v>138</v>
      </c>
    </row>
    <row r="1363" spans="1:12" ht="13.5" x14ac:dyDescent="0.25">
      <c r="A1363" s="1930" t="s">
        <v>4501</v>
      </c>
      <c r="B1363" s="1930" t="s">
        <v>4502</v>
      </c>
      <c r="C1363" s="1930" t="s">
        <v>4513</v>
      </c>
      <c r="D1363" s="1930" t="s">
        <v>4514</v>
      </c>
      <c r="E1363" s="1931" t="s">
        <v>33</v>
      </c>
      <c r="F1363" s="1930" t="s">
        <v>33</v>
      </c>
      <c r="G1363" s="1932">
        <v>91078</v>
      </c>
      <c r="H1363" s="1930" t="s">
        <v>1244</v>
      </c>
      <c r="I1363" s="1930" t="s">
        <v>306</v>
      </c>
      <c r="J1363" s="1930" t="s">
        <v>137</v>
      </c>
      <c r="K1363" s="1933">
        <v>93.29</v>
      </c>
      <c r="L1363" s="1930" t="s">
        <v>138</v>
      </c>
    </row>
    <row r="1364" spans="1:12" ht="13.5" x14ac:dyDescent="0.25">
      <c r="A1364" s="1930" t="s">
        <v>4501</v>
      </c>
      <c r="B1364" s="1930" t="s">
        <v>4502</v>
      </c>
      <c r="C1364" s="1930" t="s">
        <v>4513</v>
      </c>
      <c r="D1364" s="1930" t="s">
        <v>4514</v>
      </c>
      <c r="E1364" s="1931" t="s">
        <v>33</v>
      </c>
      <c r="F1364" s="1930" t="s">
        <v>33</v>
      </c>
      <c r="G1364" s="1932">
        <v>91079</v>
      </c>
      <c r="H1364" s="1930" t="s">
        <v>1245</v>
      </c>
      <c r="I1364" s="1930" t="s">
        <v>306</v>
      </c>
      <c r="J1364" s="1930" t="s">
        <v>137</v>
      </c>
      <c r="K1364" s="1933">
        <v>84.28</v>
      </c>
      <c r="L1364" s="1930" t="s">
        <v>138</v>
      </c>
    </row>
    <row r="1365" spans="1:12" ht="13.5" x14ac:dyDescent="0.25">
      <c r="A1365" s="1930" t="s">
        <v>4501</v>
      </c>
      <c r="B1365" s="1930" t="s">
        <v>4502</v>
      </c>
      <c r="C1365" s="1930" t="s">
        <v>4513</v>
      </c>
      <c r="D1365" s="1930" t="s">
        <v>4514</v>
      </c>
      <c r="E1365" s="1931" t="s">
        <v>33</v>
      </c>
      <c r="F1365" s="1930" t="s">
        <v>33</v>
      </c>
      <c r="G1365" s="1932">
        <v>91080</v>
      </c>
      <c r="H1365" s="1930" t="s">
        <v>1246</v>
      </c>
      <c r="I1365" s="1930" t="s">
        <v>306</v>
      </c>
      <c r="J1365" s="1930" t="s">
        <v>137</v>
      </c>
      <c r="K1365" s="1933">
        <v>97.67</v>
      </c>
      <c r="L1365" s="1930" t="s">
        <v>138</v>
      </c>
    </row>
    <row r="1366" spans="1:12" ht="13.5" x14ac:dyDescent="0.25">
      <c r="A1366" s="1930" t="s">
        <v>4501</v>
      </c>
      <c r="B1366" s="1930" t="s">
        <v>4502</v>
      </c>
      <c r="C1366" s="1930" t="s">
        <v>4513</v>
      </c>
      <c r="D1366" s="1930" t="s">
        <v>4514</v>
      </c>
      <c r="E1366" s="1931" t="s">
        <v>33</v>
      </c>
      <c r="F1366" s="1930" t="s">
        <v>33</v>
      </c>
      <c r="G1366" s="1932">
        <v>91081</v>
      </c>
      <c r="H1366" s="1930" t="s">
        <v>1247</v>
      </c>
      <c r="I1366" s="1930" t="s">
        <v>306</v>
      </c>
      <c r="J1366" s="1930" t="s">
        <v>137</v>
      </c>
      <c r="K1366" s="1933">
        <v>91.36</v>
      </c>
      <c r="L1366" s="1930" t="s">
        <v>138</v>
      </c>
    </row>
    <row r="1367" spans="1:12" ht="13.5" x14ac:dyDescent="0.25">
      <c r="A1367" s="1930" t="s">
        <v>4501</v>
      </c>
      <c r="B1367" s="1930" t="s">
        <v>4502</v>
      </c>
      <c r="C1367" s="1930" t="s">
        <v>4513</v>
      </c>
      <c r="D1367" s="1930" t="s">
        <v>4514</v>
      </c>
      <c r="E1367" s="1931" t="s">
        <v>33</v>
      </c>
      <c r="F1367" s="1930" t="s">
        <v>33</v>
      </c>
      <c r="G1367" s="1932">
        <v>91082</v>
      </c>
      <c r="H1367" s="1930" t="s">
        <v>1248</v>
      </c>
      <c r="I1367" s="1930" t="s">
        <v>306</v>
      </c>
      <c r="J1367" s="1930" t="s">
        <v>137</v>
      </c>
      <c r="K1367" s="1933">
        <v>105.83</v>
      </c>
      <c r="L1367" s="1930" t="s">
        <v>138</v>
      </c>
    </row>
    <row r="1368" spans="1:12" ht="13.5" x14ac:dyDescent="0.25">
      <c r="A1368" s="1930" t="s">
        <v>4501</v>
      </c>
      <c r="B1368" s="1930" t="s">
        <v>4502</v>
      </c>
      <c r="C1368" s="1930" t="s">
        <v>4513</v>
      </c>
      <c r="D1368" s="1930" t="s">
        <v>4514</v>
      </c>
      <c r="E1368" s="1931" t="s">
        <v>33</v>
      </c>
      <c r="F1368" s="1930" t="s">
        <v>33</v>
      </c>
      <c r="G1368" s="1932">
        <v>91083</v>
      </c>
      <c r="H1368" s="1930" t="s">
        <v>1249</v>
      </c>
      <c r="I1368" s="1930" t="s">
        <v>306</v>
      </c>
      <c r="J1368" s="1930" t="s">
        <v>137</v>
      </c>
      <c r="K1368" s="1933">
        <v>99.36</v>
      </c>
      <c r="L1368" s="1930" t="s">
        <v>138</v>
      </c>
    </row>
    <row r="1369" spans="1:12" ht="13.5" x14ac:dyDescent="0.25">
      <c r="A1369" s="1930" t="s">
        <v>4501</v>
      </c>
      <c r="B1369" s="1930" t="s">
        <v>4502</v>
      </c>
      <c r="C1369" s="1930" t="s">
        <v>4513</v>
      </c>
      <c r="D1369" s="1930" t="s">
        <v>4514</v>
      </c>
      <c r="E1369" s="1931" t="s">
        <v>33</v>
      </c>
      <c r="F1369" s="1930" t="s">
        <v>33</v>
      </c>
      <c r="G1369" s="1932">
        <v>91084</v>
      </c>
      <c r="H1369" s="1930" t="s">
        <v>1250</v>
      </c>
      <c r="I1369" s="1930" t="s">
        <v>306</v>
      </c>
      <c r="J1369" s="1930" t="s">
        <v>137</v>
      </c>
      <c r="K1369" s="1933">
        <v>113.7</v>
      </c>
      <c r="L1369" s="1930" t="s">
        <v>138</v>
      </c>
    </row>
    <row r="1370" spans="1:12" ht="13.5" x14ac:dyDescent="0.25">
      <c r="A1370" s="1930" t="s">
        <v>4501</v>
      </c>
      <c r="B1370" s="1930" t="s">
        <v>4502</v>
      </c>
      <c r="C1370" s="1930" t="s">
        <v>4513</v>
      </c>
      <c r="D1370" s="1930" t="s">
        <v>4514</v>
      </c>
      <c r="E1370" s="1931" t="s">
        <v>33</v>
      </c>
      <c r="F1370" s="1930" t="s">
        <v>33</v>
      </c>
      <c r="G1370" s="1932">
        <v>91086</v>
      </c>
      <c r="H1370" s="1930" t="s">
        <v>1251</v>
      </c>
      <c r="I1370" s="1930" t="s">
        <v>306</v>
      </c>
      <c r="J1370" s="1930" t="s">
        <v>137</v>
      </c>
      <c r="K1370" s="1933">
        <v>85.63</v>
      </c>
      <c r="L1370" s="1930" t="s">
        <v>138</v>
      </c>
    </row>
    <row r="1371" spans="1:12" ht="13.5" x14ac:dyDescent="0.25">
      <c r="A1371" s="1930" t="s">
        <v>4501</v>
      </c>
      <c r="B1371" s="1930" t="s">
        <v>4502</v>
      </c>
      <c r="C1371" s="1930" t="s">
        <v>4513</v>
      </c>
      <c r="D1371" s="1930" t="s">
        <v>4514</v>
      </c>
      <c r="E1371" s="1931" t="s">
        <v>33</v>
      </c>
      <c r="F1371" s="1930" t="s">
        <v>33</v>
      </c>
      <c r="G1371" s="1932">
        <v>91087</v>
      </c>
      <c r="H1371" s="1930" t="s">
        <v>1252</v>
      </c>
      <c r="I1371" s="1930" t="s">
        <v>306</v>
      </c>
      <c r="J1371" s="1930" t="s">
        <v>137</v>
      </c>
      <c r="K1371" s="1933">
        <v>94.63</v>
      </c>
      <c r="L1371" s="1930" t="s">
        <v>138</v>
      </c>
    </row>
    <row r="1372" spans="1:12" ht="13.5" x14ac:dyDescent="0.25">
      <c r="A1372" s="1930" t="s">
        <v>4501</v>
      </c>
      <c r="B1372" s="1930" t="s">
        <v>4502</v>
      </c>
      <c r="C1372" s="1930" t="s">
        <v>4513</v>
      </c>
      <c r="D1372" s="1930" t="s">
        <v>4514</v>
      </c>
      <c r="E1372" s="1931" t="s">
        <v>33</v>
      </c>
      <c r="F1372" s="1930" t="s">
        <v>33</v>
      </c>
      <c r="G1372" s="1932">
        <v>91088</v>
      </c>
      <c r="H1372" s="1930" t="s">
        <v>1253</v>
      </c>
      <c r="I1372" s="1930" t="s">
        <v>306</v>
      </c>
      <c r="J1372" s="1930" t="s">
        <v>137</v>
      </c>
      <c r="K1372" s="1933">
        <v>117.14</v>
      </c>
      <c r="L1372" s="1930" t="s">
        <v>138</v>
      </c>
    </row>
    <row r="1373" spans="1:12" ht="13.5" x14ac:dyDescent="0.25">
      <c r="A1373" s="1930" t="s">
        <v>4501</v>
      </c>
      <c r="B1373" s="1930" t="s">
        <v>4502</v>
      </c>
      <c r="C1373" s="1930" t="s">
        <v>4513</v>
      </c>
      <c r="D1373" s="1930" t="s">
        <v>4514</v>
      </c>
      <c r="E1373" s="1931" t="s">
        <v>33</v>
      </c>
      <c r="F1373" s="1930" t="s">
        <v>33</v>
      </c>
      <c r="G1373" s="1932">
        <v>91089</v>
      </c>
      <c r="H1373" s="1930" t="s">
        <v>1254</v>
      </c>
      <c r="I1373" s="1930" t="s">
        <v>306</v>
      </c>
      <c r="J1373" s="1930" t="s">
        <v>137</v>
      </c>
      <c r="K1373" s="1933">
        <v>126.29</v>
      </c>
      <c r="L1373" s="1930" t="s">
        <v>138</v>
      </c>
    </row>
    <row r="1374" spans="1:12" ht="13.5" x14ac:dyDescent="0.25">
      <c r="A1374" s="1930" t="s">
        <v>4501</v>
      </c>
      <c r="B1374" s="1930" t="s">
        <v>4502</v>
      </c>
      <c r="C1374" s="1930" t="s">
        <v>4513</v>
      </c>
      <c r="D1374" s="1930" t="s">
        <v>4514</v>
      </c>
      <c r="E1374" s="1931" t="s">
        <v>33</v>
      </c>
      <c r="F1374" s="1930" t="s">
        <v>33</v>
      </c>
      <c r="G1374" s="1932">
        <v>91090</v>
      </c>
      <c r="H1374" s="1930" t="s">
        <v>1255</v>
      </c>
      <c r="I1374" s="1930" t="s">
        <v>306</v>
      </c>
      <c r="J1374" s="1930" t="s">
        <v>137</v>
      </c>
      <c r="K1374" s="1933">
        <v>94.65</v>
      </c>
      <c r="L1374" s="1930" t="s">
        <v>138</v>
      </c>
    </row>
    <row r="1375" spans="1:12" ht="13.5" x14ac:dyDescent="0.25">
      <c r="A1375" s="1930" t="s">
        <v>4501</v>
      </c>
      <c r="B1375" s="1930" t="s">
        <v>4502</v>
      </c>
      <c r="C1375" s="1930" t="s">
        <v>4513</v>
      </c>
      <c r="D1375" s="1930" t="s">
        <v>4514</v>
      </c>
      <c r="E1375" s="1931" t="s">
        <v>33</v>
      </c>
      <c r="F1375" s="1930" t="s">
        <v>33</v>
      </c>
      <c r="G1375" s="1932">
        <v>91091</v>
      </c>
      <c r="H1375" s="1930" t="s">
        <v>1256</v>
      </c>
      <c r="I1375" s="1930" t="s">
        <v>306</v>
      </c>
      <c r="J1375" s="1930" t="s">
        <v>137</v>
      </c>
      <c r="K1375" s="1933">
        <v>104.87</v>
      </c>
      <c r="L1375" s="1930" t="s">
        <v>138</v>
      </c>
    </row>
    <row r="1376" spans="1:12" ht="13.5" x14ac:dyDescent="0.25">
      <c r="A1376" s="1930" t="s">
        <v>4501</v>
      </c>
      <c r="B1376" s="1930" t="s">
        <v>4502</v>
      </c>
      <c r="C1376" s="1930" t="s">
        <v>4513</v>
      </c>
      <c r="D1376" s="1930" t="s">
        <v>4514</v>
      </c>
      <c r="E1376" s="1931" t="s">
        <v>33</v>
      </c>
      <c r="F1376" s="1930" t="s">
        <v>33</v>
      </c>
      <c r="G1376" s="1932">
        <v>91092</v>
      </c>
      <c r="H1376" s="1930" t="s">
        <v>1257</v>
      </c>
      <c r="I1376" s="1930" t="s">
        <v>306</v>
      </c>
      <c r="J1376" s="1930" t="s">
        <v>137</v>
      </c>
      <c r="K1376" s="1933">
        <v>127.95</v>
      </c>
      <c r="L1376" s="1930" t="s">
        <v>138</v>
      </c>
    </row>
    <row r="1377" spans="1:12" ht="13.5" x14ac:dyDescent="0.25">
      <c r="A1377" s="1930" t="s">
        <v>4501</v>
      </c>
      <c r="B1377" s="1930" t="s">
        <v>4502</v>
      </c>
      <c r="C1377" s="1930" t="s">
        <v>4513</v>
      </c>
      <c r="D1377" s="1930" t="s">
        <v>4514</v>
      </c>
      <c r="E1377" s="1931" t="s">
        <v>33</v>
      </c>
      <c r="F1377" s="1930" t="s">
        <v>33</v>
      </c>
      <c r="G1377" s="1932">
        <v>91093</v>
      </c>
      <c r="H1377" s="1930" t="s">
        <v>1258</v>
      </c>
      <c r="I1377" s="1930" t="s">
        <v>306</v>
      </c>
      <c r="J1377" s="1930" t="s">
        <v>137</v>
      </c>
      <c r="K1377" s="1933">
        <v>138.51</v>
      </c>
      <c r="L1377" s="1930" t="s">
        <v>138</v>
      </c>
    </row>
    <row r="1378" spans="1:12" ht="13.5" x14ac:dyDescent="0.25">
      <c r="A1378" s="1930" t="s">
        <v>4501</v>
      </c>
      <c r="B1378" s="1930" t="s">
        <v>4502</v>
      </c>
      <c r="C1378" s="1930" t="s">
        <v>4513</v>
      </c>
      <c r="D1378" s="1930" t="s">
        <v>4514</v>
      </c>
      <c r="E1378" s="1931" t="s">
        <v>33</v>
      </c>
      <c r="F1378" s="1930" t="s">
        <v>33</v>
      </c>
      <c r="G1378" s="1932">
        <v>91094</v>
      </c>
      <c r="H1378" s="1930" t="s">
        <v>1259</v>
      </c>
      <c r="I1378" s="1930" t="s">
        <v>306</v>
      </c>
      <c r="J1378" s="1930" t="s">
        <v>137</v>
      </c>
      <c r="K1378" s="1933">
        <v>84.37</v>
      </c>
      <c r="L1378" s="1930" t="s">
        <v>138</v>
      </c>
    </row>
    <row r="1379" spans="1:12" ht="13.5" x14ac:dyDescent="0.25">
      <c r="A1379" s="1930" t="s">
        <v>4501</v>
      </c>
      <c r="B1379" s="1930" t="s">
        <v>4502</v>
      </c>
      <c r="C1379" s="1930" t="s">
        <v>4513</v>
      </c>
      <c r="D1379" s="1930" t="s">
        <v>4514</v>
      </c>
      <c r="E1379" s="1931" t="s">
        <v>33</v>
      </c>
      <c r="F1379" s="1930" t="s">
        <v>33</v>
      </c>
      <c r="G1379" s="1932">
        <v>91095</v>
      </c>
      <c r="H1379" s="1930" t="s">
        <v>1260</v>
      </c>
      <c r="I1379" s="1930" t="s">
        <v>306</v>
      </c>
      <c r="J1379" s="1930" t="s">
        <v>137</v>
      </c>
      <c r="K1379" s="1933">
        <v>98.19</v>
      </c>
      <c r="L1379" s="1930" t="s">
        <v>138</v>
      </c>
    </row>
    <row r="1380" spans="1:12" ht="13.5" x14ac:dyDescent="0.25">
      <c r="A1380" s="1930" t="s">
        <v>4501</v>
      </c>
      <c r="B1380" s="1930" t="s">
        <v>4502</v>
      </c>
      <c r="C1380" s="1930" t="s">
        <v>4513</v>
      </c>
      <c r="D1380" s="1930" t="s">
        <v>4514</v>
      </c>
      <c r="E1380" s="1931" t="s">
        <v>33</v>
      </c>
      <c r="F1380" s="1930" t="s">
        <v>33</v>
      </c>
      <c r="G1380" s="1932">
        <v>91096</v>
      </c>
      <c r="H1380" s="1930" t="s">
        <v>1261</v>
      </c>
      <c r="I1380" s="1930" t="s">
        <v>306</v>
      </c>
      <c r="J1380" s="1930" t="s">
        <v>137</v>
      </c>
      <c r="K1380" s="1933">
        <v>86.83</v>
      </c>
      <c r="L1380" s="1930" t="s">
        <v>138</v>
      </c>
    </row>
    <row r="1381" spans="1:12" ht="13.5" x14ac:dyDescent="0.25">
      <c r="A1381" s="1930" t="s">
        <v>4501</v>
      </c>
      <c r="B1381" s="1930" t="s">
        <v>4502</v>
      </c>
      <c r="C1381" s="1930" t="s">
        <v>4513</v>
      </c>
      <c r="D1381" s="1930" t="s">
        <v>4514</v>
      </c>
      <c r="E1381" s="1931" t="s">
        <v>33</v>
      </c>
      <c r="F1381" s="1930" t="s">
        <v>33</v>
      </c>
      <c r="G1381" s="1932">
        <v>91097</v>
      </c>
      <c r="H1381" s="1930" t="s">
        <v>1262</v>
      </c>
      <c r="I1381" s="1930" t="s">
        <v>306</v>
      </c>
      <c r="J1381" s="1930" t="s">
        <v>137</v>
      </c>
      <c r="K1381" s="1933">
        <v>100.59</v>
      </c>
      <c r="L1381" s="1930" t="s">
        <v>138</v>
      </c>
    </row>
    <row r="1382" spans="1:12" ht="13.5" x14ac:dyDescent="0.25">
      <c r="A1382" s="1930" t="s">
        <v>4501</v>
      </c>
      <c r="B1382" s="1930" t="s">
        <v>4502</v>
      </c>
      <c r="C1382" s="1930" t="s">
        <v>4513</v>
      </c>
      <c r="D1382" s="1930" t="s">
        <v>4514</v>
      </c>
      <c r="E1382" s="1931" t="s">
        <v>33</v>
      </c>
      <c r="F1382" s="1930" t="s">
        <v>33</v>
      </c>
      <c r="G1382" s="1932">
        <v>91098</v>
      </c>
      <c r="H1382" s="1930" t="s">
        <v>1263</v>
      </c>
      <c r="I1382" s="1930" t="s">
        <v>306</v>
      </c>
      <c r="J1382" s="1930" t="s">
        <v>137</v>
      </c>
      <c r="K1382" s="1933">
        <v>95.89</v>
      </c>
      <c r="L1382" s="1930" t="s">
        <v>138</v>
      </c>
    </row>
    <row r="1383" spans="1:12" ht="13.5" x14ac:dyDescent="0.25">
      <c r="A1383" s="1930" t="s">
        <v>4501</v>
      </c>
      <c r="B1383" s="1930" t="s">
        <v>4502</v>
      </c>
      <c r="C1383" s="1930" t="s">
        <v>4513</v>
      </c>
      <c r="D1383" s="1930" t="s">
        <v>4514</v>
      </c>
      <c r="E1383" s="1931" t="s">
        <v>33</v>
      </c>
      <c r="F1383" s="1930" t="s">
        <v>33</v>
      </c>
      <c r="G1383" s="1932">
        <v>91099</v>
      </c>
      <c r="H1383" s="1930" t="s">
        <v>1264</v>
      </c>
      <c r="I1383" s="1930" t="s">
        <v>306</v>
      </c>
      <c r="J1383" s="1930" t="s">
        <v>137</v>
      </c>
      <c r="K1383" s="1933">
        <v>110.73</v>
      </c>
      <c r="L1383" s="1930" t="s">
        <v>138</v>
      </c>
    </row>
    <row r="1384" spans="1:12" ht="13.5" x14ac:dyDescent="0.25">
      <c r="A1384" s="1930" t="s">
        <v>4501</v>
      </c>
      <c r="B1384" s="1930" t="s">
        <v>4502</v>
      </c>
      <c r="C1384" s="1930" t="s">
        <v>4513</v>
      </c>
      <c r="D1384" s="1930" t="s">
        <v>4514</v>
      </c>
      <c r="E1384" s="1931" t="s">
        <v>33</v>
      </c>
      <c r="F1384" s="1930" t="s">
        <v>33</v>
      </c>
      <c r="G1384" s="1932">
        <v>91100</v>
      </c>
      <c r="H1384" s="1930" t="s">
        <v>1265</v>
      </c>
      <c r="I1384" s="1930" t="s">
        <v>306</v>
      </c>
      <c r="J1384" s="1930" t="s">
        <v>137</v>
      </c>
      <c r="K1384" s="1933">
        <v>102.41</v>
      </c>
      <c r="L1384" s="1930" t="s">
        <v>138</v>
      </c>
    </row>
    <row r="1385" spans="1:12" ht="13.5" x14ac:dyDescent="0.25">
      <c r="A1385" s="1930" t="s">
        <v>4501</v>
      </c>
      <c r="B1385" s="1930" t="s">
        <v>4502</v>
      </c>
      <c r="C1385" s="1930" t="s">
        <v>4513</v>
      </c>
      <c r="D1385" s="1930" t="s">
        <v>4514</v>
      </c>
      <c r="E1385" s="1931" t="s">
        <v>33</v>
      </c>
      <c r="F1385" s="1930" t="s">
        <v>33</v>
      </c>
      <c r="G1385" s="1932">
        <v>91101</v>
      </c>
      <c r="H1385" s="1930" t="s">
        <v>1266</v>
      </c>
      <c r="I1385" s="1930" t="s">
        <v>306</v>
      </c>
      <c r="J1385" s="1930" t="s">
        <v>137</v>
      </c>
      <c r="K1385" s="1933">
        <v>117.21</v>
      </c>
      <c r="L1385" s="1930" t="s">
        <v>138</v>
      </c>
    </row>
    <row r="1386" spans="1:12" ht="13.5" x14ac:dyDescent="0.25">
      <c r="A1386" s="1930" t="s">
        <v>4501</v>
      </c>
      <c r="B1386" s="1930" t="s">
        <v>4502</v>
      </c>
      <c r="C1386" s="1930" t="s">
        <v>4513</v>
      </c>
      <c r="D1386" s="1930" t="s">
        <v>4514</v>
      </c>
      <c r="E1386" s="1931" t="s">
        <v>33</v>
      </c>
      <c r="F1386" s="1930" t="s">
        <v>33</v>
      </c>
      <c r="G1386" s="1932">
        <v>93952</v>
      </c>
      <c r="H1386" s="1930" t="s">
        <v>1267</v>
      </c>
      <c r="I1386" s="1930" t="s">
        <v>136</v>
      </c>
      <c r="J1386" s="1930" t="s">
        <v>137</v>
      </c>
      <c r="K1386" s="1933">
        <v>142.26</v>
      </c>
      <c r="L1386" s="1930" t="s">
        <v>138</v>
      </c>
    </row>
    <row r="1387" spans="1:12" ht="13.5" x14ac:dyDescent="0.25">
      <c r="A1387" s="1930" t="s">
        <v>4501</v>
      </c>
      <c r="B1387" s="1930" t="s">
        <v>4502</v>
      </c>
      <c r="C1387" s="1930" t="s">
        <v>4513</v>
      </c>
      <c r="D1387" s="1930" t="s">
        <v>4514</v>
      </c>
      <c r="E1387" s="1931" t="s">
        <v>33</v>
      </c>
      <c r="F1387" s="1930" t="s">
        <v>33</v>
      </c>
      <c r="G1387" s="1932">
        <v>93953</v>
      </c>
      <c r="H1387" s="1930" t="s">
        <v>1268</v>
      </c>
      <c r="I1387" s="1930" t="s">
        <v>136</v>
      </c>
      <c r="J1387" s="1930" t="s">
        <v>137</v>
      </c>
      <c r="K1387" s="1933">
        <v>132.03</v>
      </c>
      <c r="L1387" s="1930" t="s">
        <v>138</v>
      </c>
    </row>
    <row r="1388" spans="1:12" ht="13.5" x14ac:dyDescent="0.25">
      <c r="A1388" s="1930" t="s">
        <v>4501</v>
      </c>
      <c r="B1388" s="1930" t="s">
        <v>4502</v>
      </c>
      <c r="C1388" s="1930" t="s">
        <v>4513</v>
      </c>
      <c r="D1388" s="1930" t="s">
        <v>4514</v>
      </c>
      <c r="E1388" s="1931" t="s">
        <v>33</v>
      </c>
      <c r="F1388" s="1930" t="s">
        <v>33</v>
      </c>
      <c r="G1388" s="1932">
        <v>93954</v>
      </c>
      <c r="H1388" s="1930" t="s">
        <v>1269</v>
      </c>
      <c r="I1388" s="1930" t="s">
        <v>136</v>
      </c>
      <c r="J1388" s="1930" t="s">
        <v>137</v>
      </c>
      <c r="K1388" s="1933">
        <v>125.91</v>
      </c>
      <c r="L1388" s="1930" t="s">
        <v>138</v>
      </c>
    </row>
    <row r="1389" spans="1:12" ht="13.5" x14ac:dyDescent="0.25">
      <c r="A1389" s="1930" t="s">
        <v>4501</v>
      </c>
      <c r="B1389" s="1930" t="s">
        <v>4502</v>
      </c>
      <c r="C1389" s="1930" t="s">
        <v>4513</v>
      </c>
      <c r="D1389" s="1930" t="s">
        <v>4514</v>
      </c>
      <c r="E1389" s="1931" t="s">
        <v>33</v>
      </c>
      <c r="F1389" s="1930" t="s">
        <v>33</v>
      </c>
      <c r="G1389" s="1932">
        <v>93955</v>
      </c>
      <c r="H1389" s="1930" t="s">
        <v>1270</v>
      </c>
      <c r="I1389" s="1930" t="s">
        <v>136</v>
      </c>
      <c r="J1389" s="1930" t="s">
        <v>137</v>
      </c>
      <c r="K1389" s="1933">
        <v>121.56</v>
      </c>
      <c r="L1389" s="1930" t="s">
        <v>138</v>
      </c>
    </row>
    <row r="1390" spans="1:12" ht="13.5" x14ac:dyDescent="0.25">
      <c r="A1390" s="1930" t="s">
        <v>4501</v>
      </c>
      <c r="B1390" s="1930" t="s">
        <v>4502</v>
      </c>
      <c r="C1390" s="1930" t="s">
        <v>4513</v>
      </c>
      <c r="D1390" s="1930" t="s">
        <v>4514</v>
      </c>
      <c r="E1390" s="1931" t="s">
        <v>33</v>
      </c>
      <c r="F1390" s="1930" t="s">
        <v>33</v>
      </c>
      <c r="G1390" s="1932">
        <v>93956</v>
      </c>
      <c r="H1390" s="1930" t="s">
        <v>1271</v>
      </c>
      <c r="I1390" s="1930" t="s">
        <v>136</v>
      </c>
      <c r="J1390" s="1930" t="s">
        <v>137</v>
      </c>
      <c r="K1390" s="1933">
        <v>118.13</v>
      </c>
      <c r="L1390" s="1930" t="s">
        <v>138</v>
      </c>
    </row>
    <row r="1391" spans="1:12" ht="13.5" x14ac:dyDescent="0.25">
      <c r="A1391" s="1930" t="s">
        <v>4501</v>
      </c>
      <c r="B1391" s="1930" t="s">
        <v>4502</v>
      </c>
      <c r="C1391" s="1930" t="s">
        <v>4513</v>
      </c>
      <c r="D1391" s="1930" t="s">
        <v>4514</v>
      </c>
      <c r="E1391" s="1931" t="s">
        <v>33</v>
      </c>
      <c r="F1391" s="1930" t="s">
        <v>33</v>
      </c>
      <c r="G1391" s="1932">
        <v>93957</v>
      </c>
      <c r="H1391" s="1930" t="s">
        <v>1272</v>
      </c>
      <c r="I1391" s="1930" t="s">
        <v>136</v>
      </c>
      <c r="J1391" s="1930" t="s">
        <v>137</v>
      </c>
      <c r="K1391" s="1933">
        <v>150.91999999999999</v>
      </c>
      <c r="L1391" s="1930" t="s">
        <v>138</v>
      </c>
    </row>
    <row r="1392" spans="1:12" ht="13.5" x14ac:dyDescent="0.25">
      <c r="A1392" s="1930" t="s">
        <v>4501</v>
      </c>
      <c r="B1392" s="1930" t="s">
        <v>4502</v>
      </c>
      <c r="C1392" s="1930" t="s">
        <v>4513</v>
      </c>
      <c r="D1392" s="1930" t="s">
        <v>4514</v>
      </c>
      <c r="E1392" s="1931" t="s">
        <v>33</v>
      </c>
      <c r="F1392" s="1930" t="s">
        <v>33</v>
      </c>
      <c r="G1392" s="1932">
        <v>93958</v>
      </c>
      <c r="H1392" s="1930" t="s">
        <v>1273</v>
      </c>
      <c r="I1392" s="1930" t="s">
        <v>136</v>
      </c>
      <c r="J1392" s="1930" t="s">
        <v>137</v>
      </c>
      <c r="K1392" s="1933">
        <v>140.09</v>
      </c>
      <c r="L1392" s="1930" t="s">
        <v>138</v>
      </c>
    </row>
    <row r="1393" spans="1:12" ht="13.5" x14ac:dyDescent="0.25">
      <c r="A1393" s="1930" t="s">
        <v>4501</v>
      </c>
      <c r="B1393" s="1930" t="s">
        <v>4502</v>
      </c>
      <c r="C1393" s="1930" t="s">
        <v>4513</v>
      </c>
      <c r="D1393" s="1930" t="s">
        <v>4514</v>
      </c>
      <c r="E1393" s="1931" t="s">
        <v>33</v>
      </c>
      <c r="F1393" s="1930" t="s">
        <v>33</v>
      </c>
      <c r="G1393" s="1932">
        <v>93959</v>
      </c>
      <c r="H1393" s="1930" t="s">
        <v>1274</v>
      </c>
      <c r="I1393" s="1930" t="s">
        <v>136</v>
      </c>
      <c r="J1393" s="1930" t="s">
        <v>137</v>
      </c>
      <c r="K1393" s="1933">
        <v>133.66999999999999</v>
      </c>
      <c r="L1393" s="1930" t="s">
        <v>138</v>
      </c>
    </row>
    <row r="1394" spans="1:12" ht="13.5" x14ac:dyDescent="0.25">
      <c r="A1394" s="1930" t="s">
        <v>4501</v>
      </c>
      <c r="B1394" s="1930" t="s">
        <v>4502</v>
      </c>
      <c r="C1394" s="1930" t="s">
        <v>4513</v>
      </c>
      <c r="D1394" s="1930" t="s">
        <v>4514</v>
      </c>
      <c r="E1394" s="1931" t="s">
        <v>33</v>
      </c>
      <c r="F1394" s="1930" t="s">
        <v>33</v>
      </c>
      <c r="G1394" s="1932">
        <v>93960</v>
      </c>
      <c r="H1394" s="1930" t="s">
        <v>1275</v>
      </c>
      <c r="I1394" s="1930" t="s">
        <v>136</v>
      </c>
      <c r="J1394" s="1930" t="s">
        <v>137</v>
      </c>
      <c r="K1394" s="1933">
        <v>129.13</v>
      </c>
      <c r="L1394" s="1930" t="s">
        <v>138</v>
      </c>
    </row>
    <row r="1395" spans="1:12" ht="13.5" x14ac:dyDescent="0.25">
      <c r="A1395" s="1930" t="s">
        <v>4501</v>
      </c>
      <c r="B1395" s="1930" t="s">
        <v>4502</v>
      </c>
      <c r="C1395" s="1930" t="s">
        <v>4513</v>
      </c>
      <c r="D1395" s="1930" t="s">
        <v>4514</v>
      </c>
      <c r="E1395" s="1931" t="s">
        <v>33</v>
      </c>
      <c r="F1395" s="1930" t="s">
        <v>33</v>
      </c>
      <c r="G1395" s="1932">
        <v>93961</v>
      </c>
      <c r="H1395" s="1930" t="s">
        <v>1276</v>
      </c>
      <c r="I1395" s="1930" t="s">
        <v>136</v>
      </c>
      <c r="J1395" s="1930" t="s">
        <v>137</v>
      </c>
      <c r="K1395" s="1933">
        <v>125.59</v>
      </c>
      <c r="L1395" s="1930" t="s">
        <v>138</v>
      </c>
    </row>
    <row r="1396" spans="1:12" ht="13.5" x14ac:dyDescent="0.25">
      <c r="A1396" s="1930" t="s">
        <v>4501</v>
      </c>
      <c r="B1396" s="1930" t="s">
        <v>4502</v>
      </c>
      <c r="C1396" s="1930" t="s">
        <v>4513</v>
      </c>
      <c r="D1396" s="1930" t="s">
        <v>4514</v>
      </c>
      <c r="E1396" s="1931" t="s">
        <v>33</v>
      </c>
      <c r="F1396" s="1930" t="s">
        <v>33</v>
      </c>
      <c r="G1396" s="1932">
        <v>93962</v>
      </c>
      <c r="H1396" s="1930" t="s">
        <v>1277</v>
      </c>
      <c r="I1396" s="1930" t="s">
        <v>136</v>
      </c>
      <c r="J1396" s="1930" t="s">
        <v>137</v>
      </c>
      <c r="K1396" s="1933">
        <v>134.41</v>
      </c>
      <c r="L1396" s="1930" t="s">
        <v>138</v>
      </c>
    </row>
    <row r="1397" spans="1:12" ht="13.5" x14ac:dyDescent="0.25">
      <c r="A1397" s="1930" t="s">
        <v>4501</v>
      </c>
      <c r="B1397" s="1930" t="s">
        <v>4502</v>
      </c>
      <c r="C1397" s="1930" t="s">
        <v>4513</v>
      </c>
      <c r="D1397" s="1930" t="s">
        <v>4514</v>
      </c>
      <c r="E1397" s="1931" t="s">
        <v>33</v>
      </c>
      <c r="F1397" s="1930" t="s">
        <v>33</v>
      </c>
      <c r="G1397" s="1932">
        <v>93963</v>
      </c>
      <c r="H1397" s="1930" t="s">
        <v>1278</v>
      </c>
      <c r="I1397" s="1930" t="s">
        <v>136</v>
      </c>
      <c r="J1397" s="1930" t="s">
        <v>137</v>
      </c>
      <c r="K1397" s="1933">
        <v>124.21</v>
      </c>
      <c r="L1397" s="1930" t="s">
        <v>138</v>
      </c>
    </row>
    <row r="1398" spans="1:12" ht="13.5" x14ac:dyDescent="0.25">
      <c r="A1398" s="1930" t="s">
        <v>4501</v>
      </c>
      <c r="B1398" s="1930" t="s">
        <v>4502</v>
      </c>
      <c r="C1398" s="1930" t="s">
        <v>4513</v>
      </c>
      <c r="D1398" s="1930" t="s">
        <v>4514</v>
      </c>
      <c r="E1398" s="1931" t="s">
        <v>33</v>
      </c>
      <c r="F1398" s="1930" t="s">
        <v>33</v>
      </c>
      <c r="G1398" s="1932">
        <v>93964</v>
      </c>
      <c r="H1398" s="1930" t="s">
        <v>1279</v>
      </c>
      <c r="I1398" s="1930" t="s">
        <v>136</v>
      </c>
      <c r="J1398" s="1930" t="s">
        <v>137</v>
      </c>
      <c r="K1398" s="1933">
        <v>118.1</v>
      </c>
      <c r="L1398" s="1930" t="s">
        <v>138</v>
      </c>
    </row>
    <row r="1399" spans="1:12" ht="13.5" x14ac:dyDescent="0.25">
      <c r="A1399" s="1930" t="s">
        <v>4501</v>
      </c>
      <c r="B1399" s="1930" t="s">
        <v>4502</v>
      </c>
      <c r="C1399" s="1930" t="s">
        <v>4513</v>
      </c>
      <c r="D1399" s="1930" t="s">
        <v>4514</v>
      </c>
      <c r="E1399" s="1931" t="s">
        <v>33</v>
      </c>
      <c r="F1399" s="1930" t="s">
        <v>33</v>
      </c>
      <c r="G1399" s="1932">
        <v>93965</v>
      </c>
      <c r="H1399" s="1930" t="s">
        <v>1280</v>
      </c>
      <c r="I1399" s="1930" t="s">
        <v>136</v>
      </c>
      <c r="J1399" s="1930" t="s">
        <v>137</v>
      </c>
      <c r="K1399" s="1933">
        <v>112.16</v>
      </c>
      <c r="L1399" s="1930" t="s">
        <v>138</v>
      </c>
    </row>
    <row r="1400" spans="1:12" ht="13.5" x14ac:dyDescent="0.25">
      <c r="A1400" s="1930" t="s">
        <v>4501</v>
      </c>
      <c r="B1400" s="1930" t="s">
        <v>4502</v>
      </c>
      <c r="C1400" s="1930" t="s">
        <v>4513</v>
      </c>
      <c r="D1400" s="1930" t="s">
        <v>4514</v>
      </c>
      <c r="E1400" s="1931" t="s">
        <v>33</v>
      </c>
      <c r="F1400" s="1930" t="s">
        <v>33</v>
      </c>
      <c r="G1400" s="1932">
        <v>93966</v>
      </c>
      <c r="H1400" s="1930" t="s">
        <v>1281</v>
      </c>
      <c r="I1400" s="1930" t="s">
        <v>136</v>
      </c>
      <c r="J1400" s="1930" t="s">
        <v>137</v>
      </c>
      <c r="K1400" s="1933">
        <v>110.36</v>
      </c>
      <c r="L1400" s="1930" t="s">
        <v>138</v>
      </c>
    </row>
    <row r="1401" spans="1:12" ht="13.5" x14ac:dyDescent="0.25">
      <c r="A1401" s="1930" t="s">
        <v>4501</v>
      </c>
      <c r="B1401" s="1930" t="s">
        <v>4502</v>
      </c>
      <c r="C1401" s="1930" t="s">
        <v>4513</v>
      </c>
      <c r="D1401" s="1930" t="s">
        <v>4514</v>
      </c>
      <c r="E1401" s="1931" t="s">
        <v>33</v>
      </c>
      <c r="F1401" s="1930" t="s">
        <v>33</v>
      </c>
      <c r="G1401" s="1932">
        <v>93967</v>
      </c>
      <c r="H1401" s="1930" t="s">
        <v>1282</v>
      </c>
      <c r="I1401" s="1930" t="s">
        <v>136</v>
      </c>
      <c r="J1401" s="1930" t="s">
        <v>137</v>
      </c>
      <c r="K1401" s="1933">
        <v>143.04</v>
      </c>
      <c r="L1401" s="1930" t="s">
        <v>138</v>
      </c>
    </row>
    <row r="1402" spans="1:12" ht="13.5" x14ac:dyDescent="0.25">
      <c r="A1402" s="1930" t="s">
        <v>4501</v>
      </c>
      <c r="B1402" s="1930" t="s">
        <v>4502</v>
      </c>
      <c r="C1402" s="1930" t="s">
        <v>4513</v>
      </c>
      <c r="D1402" s="1930" t="s">
        <v>4514</v>
      </c>
      <c r="E1402" s="1931" t="s">
        <v>33</v>
      </c>
      <c r="F1402" s="1930" t="s">
        <v>33</v>
      </c>
      <c r="G1402" s="1932">
        <v>93968</v>
      </c>
      <c r="H1402" s="1930" t="s">
        <v>1283</v>
      </c>
      <c r="I1402" s="1930" t="s">
        <v>136</v>
      </c>
      <c r="J1402" s="1930" t="s">
        <v>137</v>
      </c>
      <c r="K1402" s="1933">
        <v>132.25</v>
      </c>
      <c r="L1402" s="1930" t="s">
        <v>138</v>
      </c>
    </row>
    <row r="1403" spans="1:12" ht="13.5" x14ac:dyDescent="0.25">
      <c r="A1403" s="1930" t="s">
        <v>4501</v>
      </c>
      <c r="B1403" s="1930" t="s">
        <v>4502</v>
      </c>
      <c r="C1403" s="1930" t="s">
        <v>4513</v>
      </c>
      <c r="D1403" s="1930" t="s">
        <v>4514</v>
      </c>
      <c r="E1403" s="1931" t="s">
        <v>33</v>
      </c>
      <c r="F1403" s="1930" t="s">
        <v>33</v>
      </c>
      <c r="G1403" s="1932">
        <v>93969</v>
      </c>
      <c r="H1403" s="1930" t="s">
        <v>1284</v>
      </c>
      <c r="I1403" s="1930" t="s">
        <v>136</v>
      </c>
      <c r="J1403" s="1930" t="s">
        <v>137</v>
      </c>
      <c r="K1403" s="1933">
        <v>125.84</v>
      </c>
      <c r="L1403" s="1930" t="s">
        <v>138</v>
      </c>
    </row>
    <row r="1404" spans="1:12" ht="13.5" x14ac:dyDescent="0.25">
      <c r="A1404" s="1930" t="s">
        <v>4501</v>
      </c>
      <c r="B1404" s="1930" t="s">
        <v>4502</v>
      </c>
      <c r="C1404" s="1930" t="s">
        <v>4513</v>
      </c>
      <c r="D1404" s="1930" t="s">
        <v>4514</v>
      </c>
      <c r="E1404" s="1931" t="s">
        <v>33</v>
      </c>
      <c r="F1404" s="1930" t="s">
        <v>33</v>
      </c>
      <c r="G1404" s="1932">
        <v>93970</v>
      </c>
      <c r="H1404" s="1930" t="s">
        <v>1285</v>
      </c>
      <c r="I1404" s="1930" t="s">
        <v>136</v>
      </c>
      <c r="J1404" s="1930" t="s">
        <v>137</v>
      </c>
      <c r="K1404" s="1933">
        <v>121.36</v>
      </c>
      <c r="L1404" s="1930" t="s">
        <v>138</v>
      </c>
    </row>
    <row r="1405" spans="1:12" ht="13.5" x14ac:dyDescent="0.25">
      <c r="A1405" s="1930" t="s">
        <v>4501</v>
      </c>
      <c r="B1405" s="1930" t="s">
        <v>4502</v>
      </c>
      <c r="C1405" s="1930" t="s">
        <v>4513</v>
      </c>
      <c r="D1405" s="1930" t="s">
        <v>4514</v>
      </c>
      <c r="E1405" s="1931" t="s">
        <v>33</v>
      </c>
      <c r="F1405" s="1930" t="s">
        <v>33</v>
      </c>
      <c r="G1405" s="1932">
        <v>93971</v>
      </c>
      <c r="H1405" s="1930" t="s">
        <v>1286</v>
      </c>
      <c r="I1405" s="1930" t="s">
        <v>136</v>
      </c>
      <c r="J1405" s="1930" t="s">
        <v>137</v>
      </c>
      <c r="K1405" s="1933">
        <v>114.42</v>
      </c>
      <c r="L1405" s="1930" t="s">
        <v>138</v>
      </c>
    </row>
    <row r="1406" spans="1:12" ht="13.5" x14ac:dyDescent="0.25">
      <c r="A1406" s="1930" t="s">
        <v>4501</v>
      </c>
      <c r="B1406" s="1930" t="s">
        <v>4502</v>
      </c>
      <c r="C1406" s="1930" t="s">
        <v>4513</v>
      </c>
      <c r="D1406" s="1930" t="s">
        <v>4514</v>
      </c>
      <c r="E1406" s="1931" t="s">
        <v>33</v>
      </c>
      <c r="F1406" s="1930" t="s">
        <v>33</v>
      </c>
      <c r="G1406" s="1932">
        <v>95108</v>
      </c>
      <c r="H1406" s="1930" t="s">
        <v>1287</v>
      </c>
      <c r="I1406" s="1930" t="s">
        <v>168</v>
      </c>
      <c r="J1406" s="1930" t="s">
        <v>320</v>
      </c>
      <c r="K1406" s="1933">
        <v>22.72</v>
      </c>
      <c r="L1406" s="1930" t="s">
        <v>138</v>
      </c>
    </row>
    <row r="1407" spans="1:12" ht="13.5" x14ac:dyDescent="0.25">
      <c r="A1407" s="1930" t="s">
        <v>4501</v>
      </c>
      <c r="B1407" s="1930" t="s">
        <v>4502</v>
      </c>
      <c r="C1407" s="1930" t="s">
        <v>4513</v>
      </c>
      <c r="D1407" s="1930" t="s">
        <v>4514</v>
      </c>
      <c r="E1407" s="1931" t="s">
        <v>33</v>
      </c>
      <c r="F1407" s="1930" t="s">
        <v>33</v>
      </c>
      <c r="G1407" s="1932">
        <v>100332</v>
      </c>
      <c r="H1407" s="1930" t="s">
        <v>8034</v>
      </c>
      <c r="I1407" s="1930" t="s">
        <v>306</v>
      </c>
      <c r="J1407" s="1930" t="s">
        <v>137</v>
      </c>
      <c r="K1407" s="1933">
        <v>484.02</v>
      </c>
      <c r="L1407" s="1930" t="s">
        <v>138</v>
      </c>
    </row>
    <row r="1408" spans="1:12" ht="13.5" x14ac:dyDescent="0.25">
      <c r="A1408" s="1930" t="s">
        <v>4501</v>
      </c>
      <c r="B1408" s="1930" t="s">
        <v>4502</v>
      </c>
      <c r="C1408" s="1930" t="s">
        <v>4513</v>
      </c>
      <c r="D1408" s="1930" t="s">
        <v>4514</v>
      </c>
      <c r="E1408" s="1931" t="s">
        <v>33</v>
      </c>
      <c r="F1408" s="1930" t="s">
        <v>33</v>
      </c>
      <c r="G1408" s="1932">
        <v>100333</v>
      </c>
      <c r="H1408" s="1930" t="s">
        <v>8035</v>
      </c>
      <c r="I1408" s="1930" t="s">
        <v>306</v>
      </c>
      <c r="J1408" s="1930" t="s">
        <v>137</v>
      </c>
      <c r="K1408" s="1933">
        <v>303.19</v>
      </c>
      <c r="L1408" s="1930" t="s">
        <v>138</v>
      </c>
    </row>
    <row r="1409" spans="1:12" ht="13.5" x14ac:dyDescent="0.25">
      <c r="A1409" s="1930" t="s">
        <v>4501</v>
      </c>
      <c r="B1409" s="1930" t="s">
        <v>4502</v>
      </c>
      <c r="C1409" s="1930" t="s">
        <v>4513</v>
      </c>
      <c r="D1409" s="1930" t="s">
        <v>4514</v>
      </c>
      <c r="E1409" s="1931" t="s">
        <v>33</v>
      </c>
      <c r="F1409" s="1930" t="s">
        <v>33</v>
      </c>
      <c r="G1409" s="1932">
        <v>100334</v>
      </c>
      <c r="H1409" s="1930" t="s">
        <v>8036</v>
      </c>
      <c r="I1409" s="1930" t="s">
        <v>306</v>
      </c>
      <c r="J1409" s="1930" t="s">
        <v>137</v>
      </c>
      <c r="K1409" s="1933">
        <v>385.51</v>
      </c>
      <c r="L1409" s="1930" t="s">
        <v>138</v>
      </c>
    </row>
    <row r="1410" spans="1:12" ht="13.5" x14ac:dyDescent="0.25">
      <c r="A1410" s="1930" t="s">
        <v>4501</v>
      </c>
      <c r="B1410" s="1930" t="s">
        <v>4502</v>
      </c>
      <c r="C1410" s="1930" t="s">
        <v>4513</v>
      </c>
      <c r="D1410" s="1930" t="s">
        <v>4514</v>
      </c>
      <c r="E1410" s="1931" t="s">
        <v>33</v>
      </c>
      <c r="F1410" s="1930" t="s">
        <v>33</v>
      </c>
      <c r="G1410" s="1932">
        <v>100335</v>
      </c>
      <c r="H1410" s="1930" t="s">
        <v>8037</v>
      </c>
      <c r="I1410" s="1930" t="s">
        <v>306</v>
      </c>
      <c r="J1410" s="1930" t="s">
        <v>137</v>
      </c>
      <c r="K1410" s="1933">
        <v>249.88</v>
      </c>
      <c r="L1410" s="1930" t="s">
        <v>138</v>
      </c>
    </row>
    <row r="1411" spans="1:12" ht="13.5" x14ac:dyDescent="0.25">
      <c r="A1411" s="1930" t="s">
        <v>4501</v>
      </c>
      <c r="B1411" s="1930" t="s">
        <v>4502</v>
      </c>
      <c r="C1411" s="1930" t="s">
        <v>4513</v>
      </c>
      <c r="D1411" s="1930" t="s">
        <v>4514</v>
      </c>
      <c r="E1411" s="1931" t="s">
        <v>33</v>
      </c>
      <c r="F1411" s="1930" t="s">
        <v>33</v>
      </c>
      <c r="G1411" s="1932">
        <v>100341</v>
      </c>
      <c r="H1411" s="1930" t="s">
        <v>8038</v>
      </c>
      <c r="I1411" s="1930" t="s">
        <v>306</v>
      </c>
      <c r="J1411" s="1930" t="s">
        <v>320</v>
      </c>
      <c r="K1411" s="1933">
        <v>22.67</v>
      </c>
      <c r="L1411" s="1930" t="s">
        <v>138</v>
      </c>
    </row>
    <row r="1412" spans="1:12" ht="13.5" x14ac:dyDescent="0.25">
      <c r="A1412" s="1930" t="s">
        <v>4501</v>
      </c>
      <c r="B1412" s="1930" t="s">
        <v>4502</v>
      </c>
      <c r="C1412" s="1930" t="s">
        <v>4513</v>
      </c>
      <c r="D1412" s="1930" t="s">
        <v>4514</v>
      </c>
      <c r="E1412" s="1931" t="s">
        <v>33</v>
      </c>
      <c r="F1412" s="1930" t="s">
        <v>33</v>
      </c>
      <c r="G1412" s="1932">
        <v>100342</v>
      </c>
      <c r="H1412" s="1930" t="s">
        <v>8039</v>
      </c>
      <c r="I1412" s="1930" t="s">
        <v>305</v>
      </c>
      <c r="J1412" s="1930" t="s">
        <v>137</v>
      </c>
      <c r="K1412" s="1933">
        <v>9.9600000000000009</v>
      </c>
      <c r="L1412" s="1930" t="s">
        <v>138</v>
      </c>
    </row>
    <row r="1413" spans="1:12" ht="13.5" x14ac:dyDescent="0.25">
      <c r="A1413" s="1930" t="s">
        <v>4501</v>
      </c>
      <c r="B1413" s="1930" t="s">
        <v>4502</v>
      </c>
      <c r="C1413" s="1930" t="s">
        <v>4513</v>
      </c>
      <c r="D1413" s="1930" t="s">
        <v>4514</v>
      </c>
      <c r="E1413" s="1931" t="s">
        <v>33</v>
      </c>
      <c r="F1413" s="1930" t="s">
        <v>33</v>
      </c>
      <c r="G1413" s="1932">
        <v>100343</v>
      </c>
      <c r="H1413" s="1930" t="s">
        <v>8040</v>
      </c>
      <c r="I1413" s="1930" t="s">
        <v>305</v>
      </c>
      <c r="J1413" s="1930" t="s">
        <v>137</v>
      </c>
      <c r="K1413" s="1933">
        <v>9.1300000000000008</v>
      </c>
      <c r="L1413" s="1930" t="s">
        <v>138</v>
      </c>
    </row>
    <row r="1414" spans="1:12" ht="13.5" x14ac:dyDescent="0.25">
      <c r="A1414" s="1930" t="s">
        <v>4501</v>
      </c>
      <c r="B1414" s="1930" t="s">
        <v>4502</v>
      </c>
      <c r="C1414" s="1930" t="s">
        <v>4513</v>
      </c>
      <c r="D1414" s="1930" t="s">
        <v>4514</v>
      </c>
      <c r="E1414" s="1931" t="s">
        <v>33</v>
      </c>
      <c r="F1414" s="1930" t="s">
        <v>33</v>
      </c>
      <c r="G1414" s="1932">
        <v>100344</v>
      </c>
      <c r="H1414" s="1930" t="s">
        <v>8041</v>
      </c>
      <c r="I1414" s="1930" t="s">
        <v>305</v>
      </c>
      <c r="J1414" s="1930" t="s">
        <v>137</v>
      </c>
      <c r="K1414" s="1933">
        <v>8.07</v>
      </c>
      <c r="L1414" s="1930" t="s">
        <v>138</v>
      </c>
    </row>
    <row r="1415" spans="1:12" ht="13.5" x14ac:dyDescent="0.25">
      <c r="A1415" s="1930" t="s">
        <v>4501</v>
      </c>
      <c r="B1415" s="1930" t="s">
        <v>4502</v>
      </c>
      <c r="C1415" s="1930" t="s">
        <v>4513</v>
      </c>
      <c r="D1415" s="1930" t="s">
        <v>4514</v>
      </c>
      <c r="E1415" s="1931" t="s">
        <v>33</v>
      </c>
      <c r="F1415" s="1930" t="s">
        <v>33</v>
      </c>
      <c r="G1415" s="1932">
        <v>100345</v>
      </c>
      <c r="H1415" s="1930" t="s">
        <v>8042</v>
      </c>
      <c r="I1415" s="1930" t="s">
        <v>305</v>
      </c>
      <c r="J1415" s="1930" t="s">
        <v>137</v>
      </c>
      <c r="K1415" s="1933">
        <v>6.76</v>
      </c>
      <c r="L1415" s="1930" t="s">
        <v>138</v>
      </c>
    </row>
    <row r="1416" spans="1:12" ht="13.5" x14ac:dyDescent="0.25">
      <c r="A1416" s="1930" t="s">
        <v>4501</v>
      </c>
      <c r="B1416" s="1930" t="s">
        <v>4502</v>
      </c>
      <c r="C1416" s="1930" t="s">
        <v>4513</v>
      </c>
      <c r="D1416" s="1930" t="s">
        <v>4514</v>
      </c>
      <c r="E1416" s="1931" t="s">
        <v>33</v>
      </c>
      <c r="F1416" s="1930" t="s">
        <v>33</v>
      </c>
      <c r="G1416" s="1932">
        <v>100346</v>
      </c>
      <c r="H1416" s="1930" t="s">
        <v>8043</v>
      </c>
      <c r="I1416" s="1930" t="s">
        <v>305</v>
      </c>
      <c r="J1416" s="1930" t="s">
        <v>137</v>
      </c>
      <c r="K1416" s="1933">
        <v>6.33</v>
      </c>
      <c r="L1416" s="1930" t="s">
        <v>138</v>
      </c>
    </row>
    <row r="1417" spans="1:12" ht="13.5" x14ac:dyDescent="0.25">
      <c r="A1417" s="1930" t="s">
        <v>4501</v>
      </c>
      <c r="B1417" s="1930" t="s">
        <v>4502</v>
      </c>
      <c r="C1417" s="1930" t="s">
        <v>4513</v>
      </c>
      <c r="D1417" s="1930" t="s">
        <v>4514</v>
      </c>
      <c r="E1417" s="1931" t="s">
        <v>33</v>
      </c>
      <c r="F1417" s="1930" t="s">
        <v>33</v>
      </c>
      <c r="G1417" s="1932">
        <v>100347</v>
      </c>
      <c r="H1417" s="1930" t="s">
        <v>8044</v>
      </c>
      <c r="I1417" s="1930" t="s">
        <v>305</v>
      </c>
      <c r="J1417" s="1930" t="s">
        <v>137</v>
      </c>
      <c r="K1417" s="1933">
        <v>7.02</v>
      </c>
      <c r="L1417" s="1930" t="s">
        <v>138</v>
      </c>
    </row>
    <row r="1418" spans="1:12" ht="13.5" x14ac:dyDescent="0.25">
      <c r="A1418" s="1930" t="s">
        <v>4501</v>
      </c>
      <c r="B1418" s="1930" t="s">
        <v>4502</v>
      </c>
      <c r="C1418" s="1930" t="s">
        <v>4513</v>
      </c>
      <c r="D1418" s="1930" t="s">
        <v>4514</v>
      </c>
      <c r="E1418" s="1931" t="s">
        <v>33</v>
      </c>
      <c r="F1418" s="1930" t="s">
        <v>33</v>
      </c>
      <c r="G1418" s="1932">
        <v>100348</v>
      </c>
      <c r="H1418" s="1930" t="s">
        <v>8045</v>
      </c>
      <c r="I1418" s="1930" t="s">
        <v>305</v>
      </c>
      <c r="J1418" s="1930" t="s">
        <v>137</v>
      </c>
      <c r="K1418" s="1933">
        <v>6.81</v>
      </c>
      <c r="L1418" s="1930" t="s">
        <v>138</v>
      </c>
    </row>
    <row r="1419" spans="1:12" ht="13.5" x14ac:dyDescent="0.25">
      <c r="A1419" s="1930" t="s">
        <v>4501</v>
      </c>
      <c r="B1419" s="1930" t="s">
        <v>4502</v>
      </c>
      <c r="C1419" s="1930" t="s">
        <v>4513</v>
      </c>
      <c r="D1419" s="1930" t="s">
        <v>4514</v>
      </c>
      <c r="E1419" s="1931" t="s">
        <v>33</v>
      </c>
      <c r="F1419" s="1930" t="s">
        <v>33</v>
      </c>
      <c r="G1419" s="1932">
        <v>100349</v>
      </c>
      <c r="H1419" s="1930" t="s">
        <v>8046</v>
      </c>
      <c r="I1419" s="1930" t="s">
        <v>1208</v>
      </c>
      <c r="J1419" s="1930" t="s">
        <v>137</v>
      </c>
      <c r="K1419" s="1933">
        <v>372.54</v>
      </c>
      <c r="L1419" s="1930" t="s">
        <v>138</v>
      </c>
    </row>
    <row r="1420" spans="1:12" ht="13.5" x14ac:dyDescent="0.25">
      <c r="A1420" s="1930" t="s">
        <v>4501</v>
      </c>
      <c r="B1420" s="1930" t="s">
        <v>4502</v>
      </c>
      <c r="C1420" s="1930" t="s">
        <v>4515</v>
      </c>
      <c r="D1420" s="1930" t="s">
        <v>4516</v>
      </c>
      <c r="E1420" s="1931">
        <v>73799</v>
      </c>
      <c r="F1420" s="1930" t="s">
        <v>4517</v>
      </c>
      <c r="G1420" s="1932" t="s">
        <v>1288</v>
      </c>
      <c r="H1420" s="1930" t="s">
        <v>1289</v>
      </c>
      <c r="I1420" s="1930" t="s">
        <v>168</v>
      </c>
      <c r="J1420" s="1930" t="s">
        <v>137</v>
      </c>
      <c r="K1420" s="1933">
        <v>288.31</v>
      </c>
      <c r="L1420" s="1930" t="s">
        <v>138</v>
      </c>
    </row>
    <row r="1421" spans="1:12" ht="13.5" x14ac:dyDescent="0.25">
      <c r="A1421" s="1930" t="s">
        <v>4501</v>
      </c>
      <c r="B1421" s="1930" t="s">
        <v>4502</v>
      </c>
      <c r="C1421" s="1930" t="s">
        <v>4515</v>
      </c>
      <c r="D1421" s="1930" t="s">
        <v>4516</v>
      </c>
      <c r="E1421" s="1931">
        <v>73856</v>
      </c>
      <c r="F1421" s="1930" t="s">
        <v>4518</v>
      </c>
      <c r="G1421" s="1932" t="s">
        <v>1290</v>
      </c>
      <c r="H1421" s="1930" t="s">
        <v>1291</v>
      </c>
      <c r="I1421" s="1930" t="s">
        <v>168</v>
      </c>
      <c r="J1421" s="1930" t="s">
        <v>137</v>
      </c>
      <c r="K1421" s="1933">
        <v>582.11</v>
      </c>
      <c r="L1421" s="1930" t="s">
        <v>138</v>
      </c>
    </row>
    <row r="1422" spans="1:12" ht="13.5" x14ac:dyDescent="0.25">
      <c r="A1422" s="1930" t="s">
        <v>4501</v>
      </c>
      <c r="B1422" s="1930" t="s">
        <v>4502</v>
      </c>
      <c r="C1422" s="1930" t="s">
        <v>4515</v>
      </c>
      <c r="D1422" s="1930" t="s">
        <v>4516</v>
      </c>
      <c r="E1422" s="1931">
        <v>73856</v>
      </c>
      <c r="F1422" s="1930" t="s">
        <v>4518</v>
      </c>
      <c r="G1422" s="1932" t="s">
        <v>1292</v>
      </c>
      <c r="H1422" s="1930" t="s">
        <v>1293</v>
      </c>
      <c r="I1422" s="1930" t="s">
        <v>168</v>
      </c>
      <c r="J1422" s="1930" t="s">
        <v>137</v>
      </c>
      <c r="K1422" s="1933">
        <v>951.74</v>
      </c>
      <c r="L1422" s="1930" t="s">
        <v>138</v>
      </c>
    </row>
    <row r="1423" spans="1:12" ht="13.5" x14ac:dyDescent="0.25">
      <c r="A1423" s="1930" t="s">
        <v>4501</v>
      </c>
      <c r="B1423" s="1930" t="s">
        <v>4502</v>
      </c>
      <c r="C1423" s="1930" t="s">
        <v>4515</v>
      </c>
      <c r="D1423" s="1930" t="s">
        <v>4516</v>
      </c>
      <c r="E1423" s="1931">
        <v>73856</v>
      </c>
      <c r="F1423" s="1930" t="s">
        <v>4518</v>
      </c>
      <c r="G1423" s="1932" t="s">
        <v>1294</v>
      </c>
      <c r="H1423" s="1930" t="s">
        <v>1295</v>
      </c>
      <c r="I1423" s="1930" t="s">
        <v>168</v>
      </c>
      <c r="J1423" s="1930" t="s">
        <v>137</v>
      </c>
      <c r="K1423" s="1933">
        <v>1423.76</v>
      </c>
      <c r="L1423" s="1930" t="s">
        <v>138</v>
      </c>
    </row>
    <row r="1424" spans="1:12" ht="13.5" x14ac:dyDescent="0.25">
      <c r="A1424" s="1930" t="s">
        <v>4501</v>
      </c>
      <c r="B1424" s="1930" t="s">
        <v>4502</v>
      </c>
      <c r="C1424" s="1930" t="s">
        <v>4515</v>
      </c>
      <c r="D1424" s="1930" t="s">
        <v>4516</v>
      </c>
      <c r="E1424" s="1931">
        <v>73856</v>
      </c>
      <c r="F1424" s="1930" t="s">
        <v>4518</v>
      </c>
      <c r="G1424" s="1932" t="s">
        <v>1296</v>
      </c>
      <c r="H1424" s="1930" t="s">
        <v>1297</v>
      </c>
      <c r="I1424" s="1930" t="s">
        <v>168</v>
      </c>
      <c r="J1424" s="1930" t="s">
        <v>137</v>
      </c>
      <c r="K1424" s="1933">
        <v>2004.9</v>
      </c>
      <c r="L1424" s="1930" t="s">
        <v>138</v>
      </c>
    </row>
    <row r="1425" spans="1:12" ht="13.5" x14ac:dyDescent="0.25">
      <c r="A1425" s="1930" t="s">
        <v>4501</v>
      </c>
      <c r="B1425" s="1930" t="s">
        <v>4502</v>
      </c>
      <c r="C1425" s="1930" t="s">
        <v>4515</v>
      </c>
      <c r="D1425" s="1930" t="s">
        <v>4516</v>
      </c>
      <c r="E1425" s="1931">
        <v>73856</v>
      </c>
      <c r="F1425" s="1930" t="s">
        <v>4518</v>
      </c>
      <c r="G1425" s="1932" t="s">
        <v>1298</v>
      </c>
      <c r="H1425" s="1930" t="s">
        <v>1299</v>
      </c>
      <c r="I1425" s="1930" t="s">
        <v>168</v>
      </c>
      <c r="J1425" s="1930" t="s">
        <v>137</v>
      </c>
      <c r="K1425" s="1933">
        <v>2700.48</v>
      </c>
      <c r="L1425" s="1930" t="s">
        <v>138</v>
      </c>
    </row>
    <row r="1426" spans="1:12" ht="13.5" x14ac:dyDescent="0.25">
      <c r="A1426" s="1930" t="s">
        <v>4501</v>
      </c>
      <c r="B1426" s="1930" t="s">
        <v>4502</v>
      </c>
      <c r="C1426" s="1930" t="s">
        <v>4515</v>
      </c>
      <c r="D1426" s="1930" t="s">
        <v>4516</v>
      </c>
      <c r="E1426" s="1931">
        <v>73856</v>
      </c>
      <c r="F1426" s="1930" t="s">
        <v>4518</v>
      </c>
      <c r="G1426" s="1932" t="s">
        <v>1300</v>
      </c>
      <c r="H1426" s="1930" t="s">
        <v>1301</v>
      </c>
      <c r="I1426" s="1930" t="s">
        <v>168</v>
      </c>
      <c r="J1426" s="1930" t="s">
        <v>137</v>
      </c>
      <c r="K1426" s="1933">
        <v>820.82</v>
      </c>
      <c r="L1426" s="1930" t="s">
        <v>138</v>
      </c>
    </row>
    <row r="1427" spans="1:12" ht="13.5" x14ac:dyDescent="0.25">
      <c r="A1427" s="1930" t="s">
        <v>4501</v>
      </c>
      <c r="B1427" s="1930" t="s">
        <v>4502</v>
      </c>
      <c r="C1427" s="1930" t="s">
        <v>4515</v>
      </c>
      <c r="D1427" s="1930" t="s">
        <v>4516</v>
      </c>
      <c r="E1427" s="1931">
        <v>73856</v>
      </c>
      <c r="F1427" s="1930" t="s">
        <v>4518</v>
      </c>
      <c r="G1427" s="1932" t="s">
        <v>1302</v>
      </c>
      <c r="H1427" s="1930" t="s">
        <v>1303</v>
      </c>
      <c r="I1427" s="1930" t="s">
        <v>168</v>
      </c>
      <c r="J1427" s="1930" t="s">
        <v>137</v>
      </c>
      <c r="K1427" s="1933">
        <v>1350.06</v>
      </c>
      <c r="L1427" s="1930" t="s">
        <v>138</v>
      </c>
    </row>
    <row r="1428" spans="1:12" ht="13.5" x14ac:dyDescent="0.25">
      <c r="A1428" s="1930" t="s">
        <v>4501</v>
      </c>
      <c r="B1428" s="1930" t="s">
        <v>4502</v>
      </c>
      <c r="C1428" s="1930" t="s">
        <v>4515</v>
      </c>
      <c r="D1428" s="1930" t="s">
        <v>4516</v>
      </c>
      <c r="E1428" s="1931">
        <v>73856</v>
      </c>
      <c r="F1428" s="1930" t="s">
        <v>4518</v>
      </c>
      <c r="G1428" s="1932" t="s">
        <v>1304</v>
      </c>
      <c r="H1428" s="1930" t="s">
        <v>1305</v>
      </c>
      <c r="I1428" s="1930" t="s">
        <v>168</v>
      </c>
      <c r="J1428" s="1930" t="s">
        <v>137</v>
      </c>
      <c r="K1428" s="1933">
        <v>2023.48</v>
      </c>
      <c r="L1428" s="1930" t="s">
        <v>138</v>
      </c>
    </row>
    <row r="1429" spans="1:12" ht="13.5" x14ac:dyDescent="0.25">
      <c r="A1429" s="1930" t="s">
        <v>4501</v>
      </c>
      <c r="B1429" s="1930" t="s">
        <v>4502</v>
      </c>
      <c r="C1429" s="1930" t="s">
        <v>4515</v>
      </c>
      <c r="D1429" s="1930" t="s">
        <v>4516</v>
      </c>
      <c r="E1429" s="1931">
        <v>73856</v>
      </c>
      <c r="F1429" s="1930" t="s">
        <v>4518</v>
      </c>
      <c r="G1429" s="1932" t="s">
        <v>1306</v>
      </c>
      <c r="H1429" s="1930" t="s">
        <v>1307</v>
      </c>
      <c r="I1429" s="1930" t="s">
        <v>168</v>
      </c>
      <c r="J1429" s="1930" t="s">
        <v>137</v>
      </c>
      <c r="K1429" s="1933">
        <v>2574.17</v>
      </c>
      <c r="L1429" s="1930" t="s">
        <v>138</v>
      </c>
    </row>
    <row r="1430" spans="1:12" ht="13.5" x14ac:dyDescent="0.25">
      <c r="A1430" s="1930" t="s">
        <v>4501</v>
      </c>
      <c r="B1430" s="1930" t="s">
        <v>4502</v>
      </c>
      <c r="C1430" s="1930" t="s">
        <v>4515</v>
      </c>
      <c r="D1430" s="1930" t="s">
        <v>4516</v>
      </c>
      <c r="E1430" s="1931">
        <v>73856</v>
      </c>
      <c r="F1430" s="1930" t="s">
        <v>4518</v>
      </c>
      <c r="G1430" s="1932" t="s">
        <v>1308</v>
      </c>
      <c r="H1430" s="1930" t="s">
        <v>1309</v>
      </c>
      <c r="I1430" s="1930" t="s">
        <v>168</v>
      </c>
      <c r="J1430" s="1930" t="s">
        <v>137</v>
      </c>
      <c r="K1430" s="1933">
        <v>3832.18</v>
      </c>
      <c r="L1430" s="1930" t="s">
        <v>138</v>
      </c>
    </row>
    <row r="1431" spans="1:12" ht="13.5" x14ac:dyDescent="0.25">
      <c r="A1431" s="1930" t="s">
        <v>4501</v>
      </c>
      <c r="B1431" s="1930" t="s">
        <v>4502</v>
      </c>
      <c r="C1431" s="1930" t="s">
        <v>4515</v>
      </c>
      <c r="D1431" s="1930" t="s">
        <v>4516</v>
      </c>
      <c r="E1431" s="1931">
        <v>73856</v>
      </c>
      <c r="F1431" s="1930" t="s">
        <v>4518</v>
      </c>
      <c r="G1431" s="1932" t="s">
        <v>1310</v>
      </c>
      <c r="H1431" s="1930" t="s">
        <v>1311</v>
      </c>
      <c r="I1431" s="1930" t="s">
        <v>168</v>
      </c>
      <c r="J1431" s="1930" t="s">
        <v>137</v>
      </c>
      <c r="K1431" s="1933">
        <v>1059.0999999999999</v>
      </c>
      <c r="L1431" s="1930" t="s">
        <v>138</v>
      </c>
    </row>
    <row r="1432" spans="1:12" ht="13.5" x14ac:dyDescent="0.25">
      <c r="A1432" s="1930" t="s">
        <v>4501</v>
      </c>
      <c r="B1432" s="1930" t="s">
        <v>4502</v>
      </c>
      <c r="C1432" s="1930" t="s">
        <v>4515</v>
      </c>
      <c r="D1432" s="1930" t="s">
        <v>4516</v>
      </c>
      <c r="E1432" s="1931">
        <v>73856</v>
      </c>
      <c r="F1432" s="1930" t="s">
        <v>4518</v>
      </c>
      <c r="G1432" s="1932" t="s">
        <v>1312</v>
      </c>
      <c r="H1432" s="1930" t="s">
        <v>1313</v>
      </c>
      <c r="I1432" s="1930" t="s">
        <v>168</v>
      </c>
      <c r="J1432" s="1930" t="s">
        <v>137</v>
      </c>
      <c r="K1432" s="1933">
        <v>1747.92</v>
      </c>
      <c r="L1432" s="1930" t="s">
        <v>138</v>
      </c>
    </row>
    <row r="1433" spans="1:12" ht="13.5" x14ac:dyDescent="0.25">
      <c r="A1433" s="1930" t="s">
        <v>4501</v>
      </c>
      <c r="B1433" s="1930" t="s">
        <v>4502</v>
      </c>
      <c r="C1433" s="1930" t="s">
        <v>4515</v>
      </c>
      <c r="D1433" s="1930" t="s">
        <v>4516</v>
      </c>
      <c r="E1433" s="1931">
        <v>73856</v>
      </c>
      <c r="F1433" s="1930" t="s">
        <v>4518</v>
      </c>
      <c r="G1433" s="1932" t="s">
        <v>1314</v>
      </c>
      <c r="H1433" s="1930" t="s">
        <v>1315</v>
      </c>
      <c r="I1433" s="1930" t="s">
        <v>168</v>
      </c>
      <c r="J1433" s="1930" t="s">
        <v>137</v>
      </c>
      <c r="K1433" s="1933">
        <v>2622.81</v>
      </c>
      <c r="L1433" s="1930" t="s">
        <v>138</v>
      </c>
    </row>
    <row r="1434" spans="1:12" ht="13.5" x14ac:dyDescent="0.25">
      <c r="A1434" s="1930" t="s">
        <v>4501</v>
      </c>
      <c r="B1434" s="1930" t="s">
        <v>4502</v>
      </c>
      <c r="C1434" s="1930" t="s">
        <v>4515</v>
      </c>
      <c r="D1434" s="1930" t="s">
        <v>4516</v>
      </c>
      <c r="E1434" s="1931">
        <v>73856</v>
      </c>
      <c r="F1434" s="1930" t="s">
        <v>4518</v>
      </c>
      <c r="G1434" s="1932" t="s">
        <v>1316</v>
      </c>
      <c r="H1434" s="1930" t="s">
        <v>1317</v>
      </c>
      <c r="I1434" s="1930" t="s">
        <v>168</v>
      </c>
      <c r="J1434" s="1930" t="s">
        <v>137</v>
      </c>
      <c r="K1434" s="1933">
        <v>3692.13</v>
      </c>
      <c r="L1434" s="1930" t="s">
        <v>138</v>
      </c>
    </row>
    <row r="1435" spans="1:12" ht="13.5" x14ac:dyDescent="0.25">
      <c r="A1435" s="1930" t="s">
        <v>4501</v>
      </c>
      <c r="B1435" s="1930" t="s">
        <v>4502</v>
      </c>
      <c r="C1435" s="1930" t="s">
        <v>4515</v>
      </c>
      <c r="D1435" s="1930" t="s">
        <v>4516</v>
      </c>
      <c r="E1435" s="1931">
        <v>73856</v>
      </c>
      <c r="F1435" s="1930" t="s">
        <v>4518</v>
      </c>
      <c r="G1435" s="1932" t="s">
        <v>1318</v>
      </c>
      <c r="H1435" s="1930" t="s">
        <v>1319</v>
      </c>
      <c r="I1435" s="1930" t="s">
        <v>168</v>
      </c>
      <c r="J1435" s="1930" t="s">
        <v>137</v>
      </c>
      <c r="K1435" s="1933">
        <v>4963.95</v>
      </c>
      <c r="L1435" s="1930" t="s">
        <v>138</v>
      </c>
    </row>
    <row r="1436" spans="1:12" ht="13.5" x14ac:dyDescent="0.25">
      <c r="A1436" s="1930" t="s">
        <v>4501</v>
      </c>
      <c r="B1436" s="1930" t="s">
        <v>4502</v>
      </c>
      <c r="C1436" s="1930" t="s">
        <v>4515</v>
      </c>
      <c r="D1436" s="1930" t="s">
        <v>4516</v>
      </c>
      <c r="E1436" s="1931">
        <v>74224</v>
      </c>
      <c r="F1436" s="1930" t="s">
        <v>4519</v>
      </c>
      <c r="G1436" s="1932" t="s">
        <v>1320</v>
      </c>
      <c r="H1436" s="1930" t="s">
        <v>1321</v>
      </c>
      <c r="I1436" s="1930" t="s">
        <v>168</v>
      </c>
      <c r="J1436" s="1930" t="s">
        <v>137</v>
      </c>
      <c r="K1436" s="1933">
        <v>1382.41</v>
      </c>
      <c r="L1436" s="1930" t="s">
        <v>138</v>
      </c>
    </row>
    <row r="1437" spans="1:12" ht="13.5" x14ac:dyDescent="0.25">
      <c r="A1437" s="1930" t="s">
        <v>4501</v>
      </c>
      <c r="B1437" s="1930" t="s">
        <v>4502</v>
      </c>
      <c r="C1437" s="1930" t="s">
        <v>4515</v>
      </c>
      <c r="D1437" s="1930" t="s">
        <v>4516</v>
      </c>
      <c r="E1437" s="1931" t="s">
        <v>33</v>
      </c>
      <c r="F1437" s="1930" t="s">
        <v>33</v>
      </c>
      <c r="G1437" s="1932">
        <v>83659</v>
      </c>
      <c r="H1437" s="1930" t="s">
        <v>1322</v>
      </c>
      <c r="I1437" s="1930" t="s">
        <v>168</v>
      </c>
      <c r="J1437" s="1930" t="s">
        <v>320</v>
      </c>
      <c r="K1437" s="1933">
        <v>749.55</v>
      </c>
      <c r="L1437" s="1930" t="s">
        <v>138</v>
      </c>
    </row>
    <row r="1438" spans="1:12" ht="13.5" x14ac:dyDescent="0.25">
      <c r="A1438" s="1930" t="s">
        <v>4501</v>
      </c>
      <c r="B1438" s="1930" t="s">
        <v>4502</v>
      </c>
      <c r="C1438" s="1930" t="s">
        <v>4515</v>
      </c>
      <c r="D1438" s="1930" t="s">
        <v>4516</v>
      </c>
      <c r="E1438" s="1931" t="s">
        <v>33</v>
      </c>
      <c r="F1438" s="1930" t="s">
        <v>33</v>
      </c>
      <c r="G1438" s="1932">
        <v>83716</v>
      </c>
      <c r="H1438" s="1930" t="s">
        <v>1323</v>
      </c>
      <c r="I1438" s="1930" t="s">
        <v>168</v>
      </c>
      <c r="J1438" s="1930" t="s">
        <v>137</v>
      </c>
      <c r="K1438" s="1933">
        <v>287.54000000000002</v>
      </c>
      <c r="L1438" s="1930" t="s">
        <v>138</v>
      </c>
    </row>
    <row r="1439" spans="1:12" ht="13.5" x14ac:dyDescent="0.25">
      <c r="A1439" s="1930" t="s">
        <v>4501</v>
      </c>
      <c r="B1439" s="1930" t="s">
        <v>4502</v>
      </c>
      <c r="C1439" s="1930" t="s">
        <v>4515</v>
      </c>
      <c r="D1439" s="1930" t="s">
        <v>4516</v>
      </c>
      <c r="E1439" s="1931" t="s">
        <v>33</v>
      </c>
      <c r="F1439" s="1930" t="s">
        <v>33</v>
      </c>
      <c r="G1439" s="1932">
        <v>97976</v>
      </c>
      <c r="H1439" s="1930" t="s">
        <v>5317</v>
      </c>
      <c r="I1439" s="1930" t="s">
        <v>168</v>
      </c>
      <c r="J1439" s="1930" t="s">
        <v>137</v>
      </c>
      <c r="K1439" s="1933">
        <v>838.37</v>
      </c>
      <c r="L1439" s="1930" t="s">
        <v>138</v>
      </c>
    </row>
    <row r="1440" spans="1:12" ht="13.5" x14ac:dyDescent="0.25">
      <c r="A1440" s="1930" t="s">
        <v>4501</v>
      </c>
      <c r="B1440" s="1930" t="s">
        <v>4502</v>
      </c>
      <c r="C1440" s="1930" t="s">
        <v>4515</v>
      </c>
      <c r="D1440" s="1930" t="s">
        <v>4516</v>
      </c>
      <c r="E1440" s="1931" t="s">
        <v>33</v>
      </c>
      <c r="F1440" s="1930" t="s">
        <v>33</v>
      </c>
      <c r="G1440" s="1932">
        <v>97977</v>
      </c>
      <c r="H1440" s="1930" t="s">
        <v>5318</v>
      </c>
      <c r="I1440" s="1930" t="s">
        <v>168</v>
      </c>
      <c r="J1440" s="1930" t="s">
        <v>137</v>
      </c>
      <c r="K1440" s="1933">
        <v>1212.48</v>
      </c>
      <c r="L1440" s="1930" t="s">
        <v>138</v>
      </c>
    </row>
    <row r="1441" spans="1:12" ht="13.5" x14ac:dyDescent="0.25">
      <c r="A1441" s="1930" t="s">
        <v>4501</v>
      </c>
      <c r="B1441" s="1930" t="s">
        <v>4502</v>
      </c>
      <c r="C1441" s="1930" t="s">
        <v>4515</v>
      </c>
      <c r="D1441" s="1930" t="s">
        <v>4516</v>
      </c>
      <c r="E1441" s="1931" t="s">
        <v>33</v>
      </c>
      <c r="F1441" s="1930" t="s">
        <v>33</v>
      </c>
      <c r="G1441" s="1932">
        <v>97980</v>
      </c>
      <c r="H1441" s="1930" t="s">
        <v>5319</v>
      </c>
      <c r="I1441" s="1930" t="s">
        <v>168</v>
      </c>
      <c r="J1441" s="1930" t="s">
        <v>137</v>
      </c>
      <c r="K1441" s="1933">
        <v>1555.52</v>
      </c>
      <c r="L1441" s="1930" t="s">
        <v>138</v>
      </c>
    </row>
    <row r="1442" spans="1:12" ht="13.5" x14ac:dyDescent="0.25">
      <c r="A1442" s="1930" t="s">
        <v>4501</v>
      </c>
      <c r="B1442" s="1930" t="s">
        <v>4502</v>
      </c>
      <c r="C1442" s="1930" t="s">
        <v>4515</v>
      </c>
      <c r="D1442" s="1930" t="s">
        <v>4516</v>
      </c>
      <c r="E1442" s="1931" t="s">
        <v>33</v>
      </c>
      <c r="F1442" s="1930" t="s">
        <v>33</v>
      </c>
      <c r="G1442" s="1932">
        <v>97981</v>
      </c>
      <c r="H1442" s="1930" t="s">
        <v>5320</v>
      </c>
      <c r="I1442" s="1930" t="s">
        <v>136</v>
      </c>
      <c r="J1442" s="1930" t="s">
        <v>320</v>
      </c>
      <c r="K1442" s="1933">
        <v>917.15</v>
      </c>
      <c r="L1442" s="1930" t="s">
        <v>138</v>
      </c>
    </row>
    <row r="1443" spans="1:12" ht="13.5" x14ac:dyDescent="0.25">
      <c r="A1443" s="1930" t="s">
        <v>4501</v>
      </c>
      <c r="B1443" s="1930" t="s">
        <v>4502</v>
      </c>
      <c r="C1443" s="1930" t="s">
        <v>4515</v>
      </c>
      <c r="D1443" s="1930" t="s">
        <v>4516</v>
      </c>
      <c r="E1443" s="1931" t="s">
        <v>33</v>
      </c>
      <c r="F1443" s="1930" t="s">
        <v>33</v>
      </c>
      <c r="G1443" s="1932">
        <v>97983</v>
      </c>
      <c r="H1443" s="1930" t="s">
        <v>5321</v>
      </c>
      <c r="I1443" s="1930" t="s">
        <v>136</v>
      </c>
      <c r="J1443" s="1930" t="s">
        <v>137</v>
      </c>
      <c r="K1443" s="1933">
        <v>407.53</v>
      </c>
      <c r="L1443" s="1930" t="s">
        <v>138</v>
      </c>
    </row>
    <row r="1444" spans="1:12" ht="13.5" x14ac:dyDescent="0.25">
      <c r="A1444" s="1930" t="s">
        <v>4501</v>
      </c>
      <c r="B1444" s="1930" t="s">
        <v>4502</v>
      </c>
      <c r="C1444" s="1930" t="s">
        <v>4515</v>
      </c>
      <c r="D1444" s="1930" t="s">
        <v>4516</v>
      </c>
      <c r="E1444" s="1931" t="s">
        <v>33</v>
      </c>
      <c r="F1444" s="1930" t="s">
        <v>33</v>
      </c>
      <c r="G1444" s="1932">
        <v>97985</v>
      </c>
      <c r="H1444" s="1930" t="s">
        <v>5322</v>
      </c>
      <c r="I1444" s="1930" t="s">
        <v>136</v>
      </c>
      <c r="J1444" s="1930" t="s">
        <v>320</v>
      </c>
      <c r="K1444" s="1933">
        <v>1109.6500000000001</v>
      </c>
      <c r="L1444" s="1930" t="s">
        <v>138</v>
      </c>
    </row>
    <row r="1445" spans="1:12" ht="13.5" x14ac:dyDescent="0.25">
      <c r="A1445" s="1930" t="s">
        <v>4501</v>
      </c>
      <c r="B1445" s="1930" t="s">
        <v>4502</v>
      </c>
      <c r="C1445" s="1930" t="s">
        <v>4515</v>
      </c>
      <c r="D1445" s="1930" t="s">
        <v>4516</v>
      </c>
      <c r="E1445" s="1931" t="s">
        <v>33</v>
      </c>
      <c r="F1445" s="1930" t="s">
        <v>33</v>
      </c>
      <c r="G1445" s="1932">
        <v>97987</v>
      </c>
      <c r="H1445" s="1930" t="s">
        <v>5323</v>
      </c>
      <c r="I1445" s="1930" t="s">
        <v>136</v>
      </c>
      <c r="J1445" s="1930" t="s">
        <v>137</v>
      </c>
      <c r="K1445" s="1933">
        <v>454.84</v>
      </c>
      <c r="L1445" s="1930" t="s">
        <v>138</v>
      </c>
    </row>
    <row r="1446" spans="1:12" ht="13.5" x14ac:dyDescent="0.25">
      <c r="A1446" s="1930" t="s">
        <v>4501</v>
      </c>
      <c r="B1446" s="1930" t="s">
        <v>4502</v>
      </c>
      <c r="C1446" s="1930" t="s">
        <v>4515</v>
      </c>
      <c r="D1446" s="1930" t="s">
        <v>4516</v>
      </c>
      <c r="E1446" s="1931" t="s">
        <v>33</v>
      </c>
      <c r="F1446" s="1930" t="s">
        <v>33</v>
      </c>
      <c r="G1446" s="1932">
        <v>97988</v>
      </c>
      <c r="H1446" s="1930" t="s">
        <v>5324</v>
      </c>
      <c r="I1446" s="1930" t="s">
        <v>168</v>
      </c>
      <c r="J1446" s="1930" t="s">
        <v>137</v>
      </c>
      <c r="K1446" s="1933">
        <v>2252.17</v>
      </c>
      <c r="L1446" s="1930" t="s">
        <v>138</v>
      </c>
    </row>
    <row r="1447" spans="1:12" ht="13.5" x14ac:dyDescent="0.25">
      <c r="A1447" s="1930" t="s">
        <v>4501</v>
      </c>
      <c r="B1447" s="1930" t="s">
        <v>4502</v>
      </c>
      <c r="C1447" s="1930" t="s">
        <v>4515</v>
      </c>
      <c r="D1447" s="1930" t="s">
        <v>4516</v>
      </c>
      <c r="E1447" s="1931" t="s">
        <v>33</v>
      </c>
      <c r="F1447" s="1930" t="s">
        <v>33</v>
      </c>
      <c r="G1447" s="1932">
        <v>97989</v>
      </c>
      <c r="H1447" s="1930" t="s">
        <v>5325</v>
      </c>
      <c r="I1447" s="1930" t="s">
        <v>136</v>
      </c>
      <c r="J1447" s="1930" t="s">
        <v>320</v>
      </c>
      <c r="K1447" s="1933">
        <v>1302.18</v>
      </c>
      <c r="L1447" s="1930" t="s">
        <v>138</v>
      </c>
    </row>
    <row r="1448" spans="1:12" ht="13.5" x14ac:dyDescent="0.25">
      <c r="A1448" s="1930" t="s">
        <v>4501</v>
      </c>
      <c r="B1448" s="1930" t="s">
        <v>4502</v>
      </c>
      <c r="C1448" s="1930" t="s">
        <v>4515</v>
      </c>
      <c r="D1448" s="1930" t="s">
        <v>4516</v>
      </c>
      <c r="E1448" s="1931" t="s">
        <v>33</v>
      </c>
      <c r="F1448" s="1930" t="s">
        <v>33</v>
      </c>
      <c r="G1448" s="1932">
        <v>97991</v>
      </c>
      <c r="H1448" s="1930" t="s">
        <v>5326</v>
      </c>
      <c r="I1448" s="1930" t="s">
        <v>136</v>
      </c>
      <c r="J1448" s="1930" t="s">
        <v>137</v>
      </c>
      <c r="K1448" s="1933">
        <v>704.86</v>
      </c>
      <c r="L1448" s="1930" t="s">
        <v>138</v>
      </c>
    </row>
    <row r="1449" spans="1:12" ht="13.5" x14ac:dyDescent="0.25">
      <c r="A1449" s="1930" t="s">
        <v>4501</v>
      </c>
      <c r="B1449" s="1930" t="s">
        <v>4502</v>
      </c>
      <c r="C1449" s="1930" t="s">
        <v>4515</v>
      </c>
      <c r="D1449" s="1930" t="s">
        <v>4516</v>
      </c>
      <c r="E1449" s="1931" t="s">
        <v>33</v>
      </c>
      <c r="F1449" s="1930" t="s">
        <v>33</v>
      </c>
      <c r="G1449" s="1932">
        <v>97992</v>
      </c>
      <c r="H1449" s="1930" t="s">
        <v>5327</v>
      </c>
      <c r="I1449" s="1930" t="s">
        <v>168</v>
      </c>
      <c r="J1449" s="1930" t="s">
        <v>137</v>
      </c>
      <c r="K1449" s="1933">
        <v>2859.33</v>
      </c>
      <c r="L1449" s="1930" t="s">
        <v>138</v>
      </c>
    </row>
    <row r="1450" spans="1:12" ht="13.5" x14ac:dyDescent="0.25">
      <c r="A1450" s="1930" t="s">
        <v>4501</v>
      </c>
      <c r="B1450" s="1930" t="s">
        <v>4502</v>
      </c>
      <c r="C1450" s="1930" t="s">
        <v>4515</v>
      </c>
      <c r="D1450" s="1930" t="s">
        <v>4516</v>
      </c>
      <c r="E1450" s="1931" t="s">
        <v>33</v>
      </c>
      <c r="F1450" s="1930" t="s">
        <v>33</v>
      </c>
      <c r="G1450" s="1932">
        <v>97993</v>
      </c>
      <c r="H1450" s="1930" t="s">
        <v>5328</v>
      </c>
      <c r="I1450" s="1930" t="s">
        <v>136</v>
      </c>
      <c r="J1450" s="1930" t="s">
        <v>320</v>
      </c>
      <c r="K1450" s="1933">
        <v>1590.93</v>
      </c>
      <c r="L1450" s="1930" t="s">
        <v>138</v>
      </c>
    </row>
    <row r="1451" spans="1:12" ht="13.5" x14ac:dyDescent="0.25">
      <c r="A1451" s="1930" t="s">
        <v>4501</v>
      </c>
      <c r="B1451" s="1930" t="s">
        <v>4502</v>
      </c>
      <c r="C1451" s="1930" t="s">
        <v>4515</v>
      </c>
      <c r="D1451" s="1930" t="s">
        <v>4516</v>
      </c>
      <c r="E1451" s="1931" t="s">
        <v>33</v>
      </c>
      <c r="F1451" s="1930" t="s">
        <v>33</v>
      </c>
      <c r="G1451" s="1932">
        <v>97994</v>
      </c>
      <c r="H1451" s="1930" t="s">
        <v>5329</v>
      </c>
      <c r="I1451" s="1930" t="s">
        <v>168</v>
      </c>
      <c r="J1451" s="1930" t="s">
        <v>137</v>
      </c>
      <c r="K1451" s="1933">
        <v>1969.71</v>
      </c>
      <c r="L1451" s="1930" t="s">
        <v>138</v>
      </c>
    </row>
    <row r="1452" spans="1:12" ht="13.5" x14ac:dyDescent="0.25">
      <c r="A1452" s="1930" t="s">
        <v>4501</v>
      </c>
      <c r="B1452" s="1930" t="s">
        <v>4502</v>
      </c>
      <c r="C1452" s="1930" t="s">
        <v>4515</v>
      </c>
      <c r="D1452" s="1930" t="s">
        <v>4516</v>
      </c>
      <c r="E1452" s="1931" t="s">
        <v>33</v>
      </c>
      <c r="F1452" s="1930" t="s">
        <v>33</v>
      </c>
      <c r="G1452" s="1932">
        <v>97995</v>
      </c>
      <c r="H1452" s="1930" t="s">
        <v>5330</v>
      </c>
      <c r="I1452" s="1930" t="s">
        <v>136</v>
      </c>
      <c r="J1452" s="1930" t="s">
        <v>320</v>
      </c>
      <c r="K1452" s="1933">
        <v>994.67</v>
      </c>
      <c r="L1452" s="1930" t="s">
        <v>138</v>
      </c>
    </row>
    <row r="1453" spans="1:12" ht="13.5" x14ac:dyDescent="0.25">
      <c r="A1453" s="1930" t="s">
        <v>4501</v>
      </c>
      <c r="B1453" s="1930" t="s">
        <v>4502</v>
      </c>
      <c r="C1453" s="1930" t="s">
        <v>4515</v>
      </c>
      <c r="D1453" s="1930" t="s">
        <v>4516</v>
      </c>
      <c r="E1453" s="1931" t="s">
        <v>33</v>
      </c>
      <c r="F1453" s="1930" t="s">
        <v>33</v>
      </c>
      <c r="G1453" s="1932">
        <v>97996</v>
      </c>
      <c r="H1453" s="1930" t="s">
        <v>5331</v>
      </c>
      <c r="I1453" s="1930" t="s">
        <v>168</v>
      </c>
      <c r="J1453" s="1930" t="s">
        <v>137</v>
      </c>
      <c r="K1453" s="1933">
        <v>2487.52</v>
      </c>
      <c r="L1453" s="1930" t="s">
        <v>138</v>
      </c>
    </row>
    <row r="1454" spans="1:12" ht="13.5" x14ac:dyDescent="0.25">
      <c r="A1454" s="1930" t="s">
        <v>4501</v>
      </c>
      <c r="B1454" s="1930" t="s">
        <v>4502</v>
      </c>
      <c r="C1454" s="1930" t="s">
        <v>4515</v>
      </c>
      <c r="D1454" s="1930" t="s">
        <v>4516</v>
      </c>
      <c r="E1454" s="1931" t="s">
        <v>33</v>
      </c>
      <c r="F1454" s="1930" t="s">
        <v>33</v>
      </c>
      <c r="G1454" s="1932">
        <v>97997</v>
      </c>
      <c r="H1454" s="1930" t="s">
        <v>5332</v>
      </c>
      <c r="I1454" s="1930" t="s">
        <v>136</v>
      </c>
      <c r="J1454" s="1930" t="s">
        <v>320</v>
      </c>
      <c r="K1454" s="1933">
        <v>1190.96</v>
      </c>
      <c r="L1454" s="1930" t="s">
        <v>138</v>
      </c>
    </row>
    <row r="1455" spans="1:12" ht="13.5" x14ac:dyDescent="0.25">
      <c r="A1455" s="1930" t="s">
        <v>4501</v>
      </c>
      <c r="B1455" s="1930" t="s">
        <v>4502</v>
      </c>
      <c r="C1455" s="1930" t="s">
        <v>4515</v>
      </c>
      <c r="D1455" s="1930" t="s">
        <v>4516</v>
      </c>
      <c r="E1455" s="1931" t="s">
        <v>33</v>
      </c>
      <c r="F1455" s="1930" t="s">
        <v>33</v>
      </c>
      <c r="G1455" s="1932">
        <v>97999</v>
      </c>
      <c r="H1455" s="1930" t="s">
        <v>5333</v>
      </c>
      <c r="I1455" s="1930" t="s">
        <v>136</v>
      </c>
      <c r="J1455" s="1930" t="s">
        <v>320</v>
      </c>
      <c r="K1455" s="1933">
        <v>1387.25</v>
      </c>
      <c r="L1455" s="1930" t="s">
        <v>138</v>
      </c>
    </row>
    <row r="1456" spans="1:12" ht="13.5" x14ac:dyDescent="0.25">
      <c r="A1456" s="1930" t="s">
        <v>4501</v>
      </c>
      <c r="B1456" s="1930" t="s">
        <v>4502</v>
      </c>
      <c r="C1456" s="1930" t="s">
        <v>4515</v>
      </c>
      <c r="D1456" s="1930" t="s">
        <v>4516</v>
      </c>
      <c r="E1456" s="1931" t="s">
        <v>33</v>
      </c>
      <c r="F1456" s="1930" t="s">
        <v>33</v>
      </c>
      <c r="G1456" s="1932">
        <v>98001</v>
      </c>
      <c r="H1456" s="1930" t="s">
        <v>5334</v>
      </c>
      <c r="I1456" s="1930" t="s">
        <v>136</v>
      </c>
      <c r="J1456" s="1930" t="s">
        <v>320</v>
      </c>
      <c r="K1456" s="1933">
        <v>1583.53</v>
      </c>
      <c r="L1456" s="1930" t="s">
        <v>138</v>
      </c>
    </row>
    <row r="1457" spans="1:12" ht="13.5" x14ac:dyDescent="0.25">
      <c r="A1457" s="1930" t="s">
        <v>4501</v>
      </c>
      <c r="B1457" s="1930" t="s">
        <v>4502</v>
      </c>
      <c r="C1457" s="1930" t="s">
        <v>4515</v>
      </c>
      <c r="D1457" s="1930" t="s">
        <v>4516</v>
      </c>
      <c r="E1457" s="1931" t="s">
        <v>33</v>
      </c>
      <c r="F1457" s="1930" t="s">
        <v>33</v>
      </c>
      <c r="G1457" s="1932">
        <v>98002</v>
      </c>
      <c r="H1457" s="1930" t="s">
        <v>5335</v>
      </c>
      <c r="I1457" s="1930" t="s">
        <v>168</v>
      </c>
      <c r="J1457" s="1930" t="s">
        <v>137</v>
      </c>
      <c r="K1457" s="1933">
        <v>4060.72</v>
      </c>
      <c r="L1457" s="1930" t="s">
        <v>138</v>
      </c>
    </row>
    <row r="1458" spans="1:12" ht="13.5" x14ac:dyDescent="0.25">
      <c r="A1458" s="1930" t="s">
        <v>4501</v>
      </c>
      <c r="B1458" s="1930" t="s">
        <v>4502</v>
      </c>
      <c r="C1458" s="1930" t="s">
        <v>4515</v>
      </c>
      <c r="D1458" s="1930" t="s">
        <v>4516</v>
      </c>
      <c r="E1458" s="1931" t="s">
        <v>33</v>
      </c>
      <c r="F1458" s="1930" t="s">
        <v>33</v>
      </c>
      <c r="G1458" s="1932">
        <v>98003</v>
      </c>
      <c r="H1458" s="1930" t="s">
        <v>5336</v>
      </c>
      <c r="I1458" s="1930" t="s">
        <v>136</v>
      </c>
      <c r="J1458" s="1930" t="s">
        <v>320</v>
      </c>
      <c r="K1458" s="1933">
        <v>1779.86</v>
      </c>
      <c r="L1458" s="1930" t="s">
        <v>138</v>
      </c>
    </row>
    <row r="1459" spans="1:12" ht="13.5" x14ac:dyDescent="0.25">
      <c r="A1459" s="1930" t="s">
        <v>4501</v>
      </c>
      <c r="B1459" s="1930" t="s">
        <v>4502</v>
      </c>
      <c r="C1459" s="1930" t="s">
        <v>4515</v>
      </c>
      <c r="D1459" s="1930" t="s">
        <v>4516</v>
      </c>
      <c r="E1459" s="1931" t="s">
        <v>33</v>
      </c>
      <c r="F1459" s="1930" t="s">
        <v>33</v>
      </c>
      <c r="G1459" s="1932">
        <v>98005</v>
      </c>
      <c r="H1459" s="1930" t="s">
        <v>5337</v>
      </c>
      <c r="I1459" s="1930" t="s">
        <v>136</v>
      </c>
      <c r="J1459" s="1930" t="s">
        <v>320</v>
      </c>
      <c r="K1459" s="1933">
        <v>1976.15</v>
      </c>
      <c r="L1459" s="1930" t="s">
        <v>138</v>
      </c>
    </row>
    <row r="1460" spans="1:12" ht="13.5" x14ac:dyDescent="0.25">
      <c r="A1460" s="1930" t="s">
        <v>4501</v>
      </c>
      <c r="B1460" s="1930" t="s">
        <v>4502</v>
      </c>
      <c r="C1460" s="1930" t="s">
        <v>4515</v>
      </c>
      <c r="D1460" s="1930" t="s">
        <v>4516</v>
      </c>
      <c r="E1460" s="1931" t="s">
        <v>33</v>
      </c>
      <c r="F1460" s="1930" t="s">
        <v>33</v>
      </c>
      <c r="G1460" s="1932">
        <v>98006</v>
      </c>
      <c r="H1460" s="1930" t="s">
        <v>5338</v>
      </c>
      <c r="I1460" s="1930" t="s">
        <v>168</v>
      </c>
      <c r="J1460" s="1930" t="s">
        <v>137</v>
      </c>
      <c r="K1460" s="1933">
        <v>5101.3</v>
      </c>
      <c r="L1460" s="1930" t="s">
        <v>138</v>
      </c>
    </row>
    <row r="1461" spans="1:12" ht="13.5" x14ac:dyDescent="0.25">
      <c r="A1461" s="1930" t="s">
        <v>4501</v>
      </c>
      <c r="B1461" s="1930" t="s">
        <v>4502</v>
      </c>
      <c r="C1461" s="1930" t="s">
        <v>4515</v>
      </c>
      <c r="D1461" s="1930" t="s">
        <v>4516</v>
      </c>
      <c r="E1461" s="1931" t="s">
        <v>33</v>
      </c>
      <c r="F1461" s="1930" t="s">
        <v>33</v>
      </c>
      <c r="G1461" s="1932">
        <v>98007</v>
      </c>
      <c r="H1461" s="1930" t="s">
        <v>5339</v>
      </c>
      <c r="I1461" s="1930" t="s">
        <v>136</v>
      </c>
      <c r="J1461" s="1930" t="s">
        <v>320</v>
      </c>
      <c r="K1461" s="1933">
        <v>2172.4299999999998</v>
      </c>
      <c r="L1461" s="1930" t="s">
        <v>138</v>
      </c>
    </row>
    <row r="1462" spans="1:12" ht="13.5" x14ac:dyDescent="0.25">
      <c r="A1462" s="1930" t="s">
        <v>4501</v>
      </c>
      <c r="B1462" s="1930" t="s">
        <v>4502</v>
      </c>
      <c r="C1462" s="1930" t="s">
        <v>4515</v>
      </c>
      <c r="D1462" s="1930" t="s">
        <v>4516</v>
      </c>
      <c r="E1462" s="1931" t="s">
        <v>33</v>
      </c>
      <c r="F1462" s="1930" t="s">
        <v>33</v>
      </c>
      <c r="G1462" s="1932">
        <v>98008</v>
      </c>
      <c r="H1462" s="1930" t="s">
        <v>5340</v>
      </c>
      <c r="I1462" s="1930" t="s">
        <v>168</v>
      </c>
      <c r="J1462" s="1930" t="s">
        <v>137</v>
      </c>
      <c r="K1462" s="1933">
        <v>3078.15</v>
      </c>
      <c r="L1462" s="1930" t="s">
        <v>138</v>
      </c>
    </row>
    <row r="1463" spans="1:12" ht="13.5" x14ac:dyDescent="0.25">
      <c r="A1463" s="1930" t="s">
        <v>4501</v>
      </c>
      <c r="B1463" s="1930" t="s">
        <v>4502</v>
      </c>
      <c r="C1463" s="1930" t="s">
        <v>4515</v>
      </c>
      <c r="D1463" s="1930" t="s">
        <v>4516</v>
      </c>
      <c r="E1463" s="1931" t="s">
        <v>33</v>
      </c>
      <c r="F1463" s="1930" t="s">
        <v>33</v>
      </c>
      <c r="G1463" s="1932">
        <v>98009</v>
      </c>
      <c r="H1463" s="1930" t="s">
        <v>5341</v>
      </c>
      <c r="I1463" s="1930" t="s">
        <v>136</v>
      </c>
      <c r="J1463" s="1930" t="s">
        <v>320</v>
      </c>
      <c r="K1463" s="1933">
        <v>1387.25</v>
      </c>
      <c r="L1463" s="1930" t="s">
        <v>138</v>
      </c>
    </row>
    <row r="1464" spans="1:12" ht="13.5" x14ac:dyDescent="0.25">
      <c r="A1464" s="1930" t="s">
        <v>4501</v>
      </c>
      <c r="B1464" s="1930" t="s">
        <v>4502</v>
      </c>
      <c r="C1464" s="1930" t="s">
        <v>4515</v>
      </c>
      <c r="D1464" s="1930" t="s">
        <v>4516</v>
      </c>
      <c r="E1464" s="1931" t="s">
        <v>33</v>
      </c>
      <c r="F1464" s="1930" t="s">
        <v>33</v>
      </c>
      <c r="G1464" s="1932">
        <v>98010</v>
      </c>
      <c r="H1464" s="1930" t="s">
        <v>5342</v>
      </c>
      <c r="I1464" s="1930" t="s">
        <v>168</v>
      </c>
      <c r="J1464" s="1930" t="s">
        <v>137</v>
      </c>
      <c r="K1464" s="1933">
        <v>3743.02</v>
      </c>
      <c r="L1464" s="1930" t="s">
        <v>138</v>
      </c>
    </row>
    <row r="1465" spans="1:12" ht="13.5" x14ac:dyDescent="0.25">
      <c r="A1465" s="1930" t="s">
        <v>4501</v>
      </c>
      <c r="B1465" s="1930" t="s">
        <v>4502</v>
      </c>
      <c r="C1465" s="1930" t="s">
        <v>4515</v>
      </c>
      <c r="D1465" s="1930" t="s">
        <v>4516</v>
      </c>
      <c r="E1465" s="1931" t="s">
        <v>33</v>
      </c>
      <c r="F1465" s="1930" t="s">
        <v>33</v>
      </c>
      <c r="G1465" s="1932">
        <v>98011</v>
      </c>
      <c r="H1465" s="1930" t="s">
        <v>5343</v>
      </c>
      <c r="I1465" s="1930" t="s">
        <v>136</v>
      </c>
      <c r="J1465" s="1930" t="s">
        <v>320</v>
      </c>
      <c r="K1465" s="1933">
        <v>1583.53</v>
      </c>
      <c r="L1465" s="1930" t="s">
        <v>138</v>
      </c>
    </row>
    <row r="1466" spans="1:12" ht="13.5" x14ac:dyDescent="0.25">
      <c r="A1466" s="1930" t="s">
        <v>4501</v>
      </c>
      <c r="B1466" s="1930" t="s">
        <v>4502</v>
      </c>
      <c r="C1466" s="1930" t="s">
        <v>4515</v>
      </c>
      <c r="D1466" s="1930" t="s">
        <v>4516</v>
      </c>
      <c r="E1466" s="1931" t="s">
        <v>33</v>
      </c>
      <c r="F1466" s="1930" t="s">
        <v>33</v>
      </c>
      <c r="G1466" s="1932">
        <v>98012</v>
      </c>
      <c r="H1466" s="1930" t="s">
        <v>5344</v>
      </c>
      <c r="I1466" s="1930" t="s">
        <v>168</v>
      </c>
      <c r="J1466" s="1930" t="s">
        <v>137</v>
      </c>
      <c r="K1466" s="1933">
        <v>4392.3900000000003</v>
      </c>
      <c r="L1466" s="1930" t="s">
        <v>138</v>
      </c>
    </row>
    <row r="1467" spans="1:12" ht="13.5" x14ac:dyDescent="0.25">
      <c r="A1467" s="1930" t="s">
        <v>4501</v>
      </c>
      <c r="B1467" s="1930" t="s">
        <v>4502</v>
      </c>
      <c r="C1467" s="1930" t="s">
        <v>4515</v>
      </c>
      <c r="D1467" s="1930" t="s">
        <v>4516</v>
      </c>
      <c r="E1467" s="1931" t="s">
        <v>33</v>
      </c>
      <c r="F1467" s="1930" t="s">
        <v>33</v>
      </c>
      <c r="G1467" s="1932">
        <v>98013</v>
      </c>
      <c r="H1467" s="1930" t="s">
        <v>5345</v>
      </c>
      <c r="I1467" s="1930" t="s">
        <v>136</v>
      </c>
      <c r="J1467" s="1930" t="s">
        <v>320</v>
      </c>
      <c r="K1467" s="1933">
        <v>1779.86</v>
      </c>
      <c r="L1467" s="1930" t="s">
        <v>138</v>
      </c>
    </row>
    <row r="1468" spans="1:12" ht="13.5" x14ac:dyDescent="0.25">
      <c r="A1468" s="1930" t="s">
        <v>4501</v>
      </c>
      <c r="B1468" s="1930" t="s">
        <v>4502</v>
      </c>
      <c r="C1468" s="1930" t="s">
        <v>4515</v>
      </c>
      <c r="D1468" s="1930" t="s">
        <v>4516</v>
      </c>
      <c r="E1468" s="1931" t="s">
        <v>33</v>
      </c>
      <c r="F1468" s="1930" t="s">
        <v>33</v>
      </c>
      <c r="G1468" s="1932">
        <v>98014</v>
      </c>
      <c r="H1468" s="1930" t="s">
        <v>5346</v>
      </c>
      <c r="I1468" s="1930" t="s">
        <v>168</v>
      </c>
      <c r="J1468" s="1930" t="s">
        <v>137</v>
      </c>
      <c r="K1468" s="1933">
        <v>5041.6400000000003</v>
      </c>
      <c r="L1468" s="1930" t="s">
        <v>138</v>
      </c>
    </row>
    <row r="1469" spans="1:12" ht="13.5" x14ac:dyDescent="0.25">
      <c r="A1469" s="1930" t="s">
        <v>4501</v>
      </c>
      <c r="B1469" s="1930" t="s">
        <v>4502</v>
      </c>
      <c r="C1469" s="1930" t="s">
        <v>4515</v>
      </c>
      <c r="D1469" s="1930" t="s">
        <v>4516</v>
      </c>
      <c r="E1469" s="1931" t="s">
        <v>33</v>
      </c>
      <c r="F1469" s="1930" t="s">
        <v>33</v>
      </c>
      <c r="G1469" s="1932">
        <v>98015</v>
      </c>
      <c r="H1469" s="1930" t="s">
        <v>5347</v>
      </c>
      <c r="I1469" s="1930" t="s">
        <v>136</v>
      </c>
      <c r="J1469" s="1930" t="s">
        <v>320</v>
      </c>
      <c r="K1469" s="1933">
        <v>1976.15</v>
      </c>
      <c r="L1469" s="1930" t="s">
        <v>138</v>
      </c>
    </row>
    <row r="1470" spans="1:12" ht="13.5" x14ac:dyDescent="0.25">
      <c r="A1470" s="1930" t="s">
        <v>4501</v>
      </c>
      <c r="B1470" s="1930" t="s">
        <v>4502</v>
      </c>
      <c r="C1470" s="1930" t="s">
        <v>4515</v>
      </c>
      <c r="D1470" s="1930" t="s">
        <v>4516</v>
      </c>
      <c r="E1470" s="1931" t="s">
        <v>33</v>
      </c>
      <c r="F1470" s="1930" t="s">
        <v>33</v>
      </c>
      <c r="G1470" s="1932">
        <v>98016</v>
      </c>
      <c r="H1470" s="1930" t="s">
        <v>5348</v>
      </c>
      <c r="I1470" s="1930" t="s">
        <v>168</v>
      </c>
      <c r="J1470" s="1930" t="s">
        <v>137</v>
      </c>
      <c r="K1470" s="1933">
        <v>5691.01</v>
      </c>
      <c r="L1470" s="1930" t="s">
        <v>138</v>
      </c>
    </row>
    <row r="1471" spans="1:12" ht="13.5" x14ac:dyDescent="0.25">
      <c r="A1471" s="1930" t="s">
        <v>4501</v>
      </c>
      <c r="B1471" s="1930" t="s">
        <v>4502</v>
      </c>
      <c r="C1471" s="1930" t="s">
        <v>4515</v>
      </c>
      <c r="D1471" s="1930" t="s">
        <v>4516</v>
      </c>
      <c r="E1471" s="1931" t="s">
        <v>33</v>
      </c>
      <c r="F1471" s="1930" t="s">
        <v>33</v>
      </c>
      <c r="G1471" s="1932">
        <v>98017</v>
      </c>
      <c r="H1471" s="1930" t="s">
        <v>5349</v>
      </c>
      <c r="I1471" s="1930" t="s">
        <v>136</v>
      </c>
      <c r="J1471" s="1930" t="s">
        <v>320</v>
      </c>
      <c r="K1471" s="1933">
        <v>2172.4299999999998</v>
      </c>
      <c r="L1471" s="1930" t="s">
        <v>138</v>
      </c>
    </row>
    <row r="1472" spans="1:12" ht="13.5" x14ac:dyDescent="0.25">
      <c r="A1472" s="1930" t="s">
        <v>4501</v>
      </c>
      <c r="B1472" s="1930" t="s">
        <v>4502</v>
      </c>
      <c r="C1472" s="1930" t="s">
        <v>4515</v>
      </c>
      <c r="D1472" s="1930" t="s">
        <v>4516</v>
      </c>
      <c r="E1472" s="1931" t="s">
        <v>33</v>
      </c>
      <c r="F1472" s="1930" t="s">
        <v>33</v>
      </c>
      <c r="G1472" s="1932">
        <v>98018</v>
      </c>
      <c r="H1472" s="1930" t="s">
        <v>5350</v>
      </c>
      <c r="I1472" s="1930" t="s">
        <v>168</v>
      </c>
      <c r="J1472" s="1930" t="s">
        <v>137</v>
      </c>
      <c r="K1472" s="1933">
        <v>6340.34</v>
      </c>
      <c r="L1472" s="1930" t="s">
        <v>138</v>
      </c>
    </row>
    <row r="1473" spans="1:12" ht="13.5" x14ac:dyDescent="0.25">
      <c r="A1473" s="1930" t="s">
        <v>4501</v>
      </c>
      <c r="B1473" s="1930" t="s">
        <v>4502</v>
      </c>
      <c r="C1473" s="1930" t="s">
        <v>4515</v>
      </c>
      <c r="D1473" s="1930" t="s">
        <v>4516</v>
      </c>
      <c r="E1473" s="1931" t="s">
        <v>33</v>
      </c>
      <c r="F1473" s="1930" t="s">
        <v>33</v>
      </c>
      <c r="G1473" s="1932">
        <v>98019</v>
      </c>
      <c r="H1473" s="1930" t="s">
        <v>5351</v>
      </c>
      <c r="I1473" s="1930" t="s">
        <v>136</v>
      </c>
      <c r="J1473" s="1930" t="s">
        <v>320</v>
      </c>
      <c r="K1473" s="1933">
        <v>2396.0300000000002</v>
      </c>
      <c r="L1473" s="1930" t="s">
        <v>138</v>
      </c>
    </row>
    <row r="1474" spans="1:12" ht="13.5" x14ac:dyDescent="0.25">
      <c r="A1474" s="1930" t="s">
        <v>4501</v>
      </c>
      <c r="B1474" s="1930" t="s">
        <v>4502</v>
      </c>
      <c r="C1474" s="1930" t="s">
        <v>4515</v>
      </c>
      <c r="D1474" s="1930" t="s">
        <v>4516</v>
      </c>
      <c r="E1474" s="1931" t="s">
        <v>33</v>
      </c>
      <c r="F1474" s="1930" t="s">
        <v>33</v>
      </c>
      <c r="G1474" s="1932">
        <v>98020</v>
      </c>
      <c r="H1474" s="1930" t="s">
        <v>5352</v>
      </c>
      <c r="I1474" s="1930" t="s">
        <v>168</v>
      </c>
      <c r="J1474" s="1930" t="s">
        <v>137</v>
      </c>
      <c r="K1474" s="1933">
        <v>4527.08</v>
      </c>
      <c r="L1474" s="1930" t="s">
        <v>138</v>
      </c>
    </row>
    <row r="1475" spans="1:12" ht="13.5" x14ac:dyDescent="0.25">
      <c r="A1475" s="1930" t="s">
        <v>4501</v>
      </c>
      <c r="B1475" s="1930" t="s">
        <v>4502</v>
      </c>
      <c r="C1475" s="1930" t="s">
        <v>4515</v>
      </c>
      <c r="D1475" s="1930" t="s">
        <v>4516</v>
      </c>
      <c r="E1475" s="1931" t="s">
        <v>33</v>
      </c>
      <c r="F1475" s="1930" t="s">
        <v>33</v>
      </c>
      <c r="G1475" s="1932">
        <v>98021</v>
      </c>
      <c r="H1475" s="1930" t="s">
        <v>5353</v>
      </c>
      <c r="I1475" s="1930" t="s">
        <v>136</v>
      </c>
      <c r="J1475" s="1930" t="s">
        <v>320</v>
      </c>
      <c r="K1475" s="1933">
        <v>1807.16</v>
      </c>
      <c r="L1475" s="1930" t="s">
        <v>138</v>
      </c>
    </row>
    <row r="1476" spans="1:12" ht="13.5" x14ac:dyDescent="0.25">
      <c r="A1476" s="1930" t="s">
        <v>4501</v>
      </c>
      <c r="B1476" s="1930" t="s">
        <v>4502</v>
      </c>
      <c r="C1476" s="1930" t="s">
        <v>4515</v>
      </c>
      <c r="D1476" s="1930" t="s">
        <v>4516</v>
      </c>
      <c r="E1476" s="1931" t="s">
        <v>33</v>
      </c>
      <c r="F1476" s="1930" t="s">
        <v>33</v>
      </c>
      <c r="G1476" s="1932">
        <v>98022</v>
      </c>
      <c r="H1476" s="1930" t="s">
        <v>5354</v>
      </c>
      <c r="I1476" s="1930" t="s">
        <v>168</v>
      </c>
      <c r="J1476" s="1930" t="s">
        <v>137</v>
      </c>
      <c r="K1476" s="1933">
        <v>5299.15</v>
      </c>
      <c r="L1476" s="1930" t="s">
        <v>138</v>
      </c>
    </row>
    <row r="1477" spans="1:12" ht="13.5" x14ac:dyDescent="0.25">
      <c r="A1477" s="1930" t="s">
        <v>4501</v>
      </c>
      <c r="B1477" s="1930" t="s">
        <v>4502</v>
      </c>
      <c r="C1477" s="1930" t="s">
        <v>4515</v>
      </c>
      <c r="D1477" s="1930" t="s">
        <v>4516</v>
      </c>
      <c r="E1477" s="1931" t="s">
        <v>33</v>
      </c>
      <c r="F1477" s="1930" t="s">
        <v>33</v>
      </c>
      <c r="G1477" s="1932">
        <v>98023</v>
      </c>
      <c r="H1477" s="1930" t="s">
        <v>5355</v>
      </c>
      <c r="I1477" s="1930" t="s">
        <v>136</v>
      </c>
      <c r="J1477" s="1930" t="s">
        <v>320</v>
      </c>
      <c r="K1477" s="1933">
        <v>2003.46</v>
      </c>
      <c r="L1477" s="1930" t="s">
        <v>138</v>
      </c>
    </row>
    <row r="1478" spans="1:12" ht="13.5" x14ac:dyDescent="0.25">
      <c r="A1478" s="1930" t="s">
        <v>4501</v>
      </c>
      <c r="B1478" s="1930" t="s">
        <v>4502</v>
      </c>
      <c r="C1478" s="1930" t="s">
        <v>4515</v>
      </c>
      <c r="D1478" s="1930" t="s">
        <v>4516</v>
      </c>
      <c r="E1478" s="1931" t="s">
        <v>33</v>
      </c>
      <c r="F1478" s="1930" t="s">
        <v>33</v>
      </c>
      <c r="G1478" s="1932">
        <v>98024</v>
      </c>
      <c r="H1478" s="1930" t="s">
        <v>5356</v>
      </c>
      <c r="I1478" s="1930" t="s">
        <v>168</v>
      </c>
      <c r="J1478" s="1930" t="s">
        <v>137</v>
      </c>
      <c r="K1478" s="1933">
        <v>6106.75</v>
      </c>
      <c r="L1478" s="1930" t="s">
        <v>138</v>
      </c>
    </row>
    <row r="1479" spans="1:12" ht="13.5" x14ac:dyDescent="0.25">
      <c r="A1479" s="1930" t="s">
        <v>4501</v>
      </c>
      <c r="B1479" s="1930" t="s">
        <v>4502</v>
      </c>
      <c r="C1479" s="1930" t="s">
        <v>4515</v>
      </c>
      <c r="D1479" s="1930" t="s">
        <v>4516</v>
      </c>
      <c r="E1479" s="1931" t="s">
        <v>33</v>
      </c>
      <c r="F1479" s="1930" t="s">
        <v>33</v>
      </c>
      <c r="G1479" s="1932">
        <v>98025</v>
      </c>
      <c r="H1479" s="1930" t="s">
        <v>5357</v>
      </c>
      <c r="I1479" s="1930" t="s">
        <v>136</v>
      </c>
      <c r="J1479" s="1930" t="s">
        <v>320</v>
      </c>
      <c r="K1479" s="1933">
        <v>2199.7399999999998</v>
      </c>
      <c r="L1479" s="1930" t="s">
        <v>138</v>
      </c>
    </row>
    <row r="1480" spans="1:12" ht="13.5" x14ac:dyDescent="0.25">
      <c r="A1480" s="1930" t="s">
        <v>4501</v>
      </c>
      <c r="B1480" s="1930" t="s">
        <v>4502</v>
      </c>
      <c r="C1480" s="1930" t="s">
        <v>4515</v>
      </c>
      <c r="D1480" s="1930" t="s">
        <v>4516</v>
      </c>
      <c r="E1480" s="1931" t="s">
        <v>33</v>
      </c>
      <c r="F1480" s="1930" t="s">
        <v>33</v>
      </c>
      <c r="G1480" s="1932">
        <v>98026</v>
      </c>
      <c r="H1480" s="1930" t="s">
        <v>5358</v>
      </c>
      <c r="I1480" s="1930" t="s">
        <v>168</v>
      </c>
      <c r="J1480" s="1930" t="s">
        <v>137</v>
      </c>
      <c r="K1480" s="1933">
        <v>6883.22</v>
      </c>
      <c r="L1480" s="1930" t="s">
        <v>138</v>
      </c>
    </row>
    <row r="1481" spans="1:12" ht="13.5" x14ac:dyDescent="0.25">
      <c r="A1481" s="1930" t="s">
        <v>4501</v>
      </c>
      <c r="B1481" s="1930" t="s">
        <v>4502</v>
      </c>
      <c r="C1481" s="1930" t="s">
        <v>4515</v>
      </c>
      <c r="D1481" s="1930" t="s">
        <v>4516</v>
      </c>
      <c r="E1481" s="1931" t="s">
        <v>33</v>
      </c>
      <c r="F1481" s="1930" t="s">
        <v>33</v>
      </c>
      <c r="G1481" s="1932">
        <v>98027</v>
      </c>
      <c r="H1481" s="1930" t="s">
        <v>5359</v>
      </c>
      <c r="I1481" s="1930" t="s">
        <v>136</v>
      </c>
      <c r="J1481" s="1930" t="s">
        <v>320</v>
      </c>
      <c r="K1481" s="1933">
        <v>2396.0300000000002</v>
      </c>
      <c r="L1481" s="1930" t="s">
        <v>138</v>
      </c>
    </row>
    <row r="1482" spans="1:12" ht="13.5" x14ac:dyDescent="0.25">
      <c r="A1482" s="1930" t="s">
        <v>4501</v>
      </c>
      <c r="B1482" s="1930" t="s">
        <v>4502</v>
      </c>
      <c r="C1482" s="1930" t="s">
        <v>4515</v>
      </c>
      <c r="D1482" s="1930" t="s">
        <v>4516</v>
      </c>
      <c r="E1482" s="1931" t="s">
        <v>33</v>
      </c>
      <c r="F1482" s="1930" t="s">
        <v>33</v>
      </c>
      <c r="G1482" s="1932">
        <v>98028</v>
      </c>
      <c r="H1482" s="1930" t="s">
        <v>5360</v>
      </c>
      <c r="I1482" s="1930" t="s">
        <v>168</v>
      </c>
      <c r="J1482" s="1930" t="s">
        <v>137</v>
      </c>
      <c r="K1482" s="1933">
        <v>7659.67</v>
      </c>
      <c r="L1482" s="1930" t="s">
        <v>138</v>
      </c>
    </row>
    <row r="1483" spans="1:12" ht="13.5" x14ac:dyDescent="0.25">
      <c r="A1483" s="1930" t="s">
        <v>4501</v>
      </c>
      <c r="B1483" s="1930" t="s">
        <v>4502</v>
      </c>
      <c r="C1483" s="1930" t="s">
        <v>4515</v>
      </c>
      <c r="D1483" s="1930" t="s">
        <v>4516</v>
      </c>
      <c r="E1483" s="1931" t="s">
        <v>33</v>
      </c>
      <c r="F1483" s="1930" t="s">
        <v>33</v>
      </c>
      <c r="G1483" s="1932">
        <v>98029</v>
      </c>
      <c r="H1483" s="1930" t="s">
        <v>5361</v>
      </c>
      <c r="I1483" s="1930" t="s">
        <v>136</v>
      </c>
      <c r="J1483" s="1930" t="s">
        <v>320</v>
      </c>
      <c r="K1483" s="1933">
        <v>2597.96</v>
      </c>
      <c r="L1483" s="1930" t="s">
        <v>138</v>
      </c>
    </row>
    <row r="1484" spans="1:12" ht="13.5" x14ac:dyDescent="0.25">
      <c r="A1484" s="1930" t="s">
        <v>4501</v>
      </c>
      <c r="B1484" s="1930" t="s">
        <v>4502</v>
      </c>
      <c r="C1484" s="1930" t="s">
        <v>4515</v>
      </c>
      <c r="D1484" s="1930" t="s">
        <v>4516</v>
      </c>
      <c r="E1484" s="1931" t="s">
        <v>33</v>
      </c>
      <c r="F1484" s="1930" t="s">
        <v>33</v>
      </c>
      <c r="G1484" s="1932">
        <v>98030</v>
      </c>
      <c r="H1484" s="1930" t="s">
        <v>5362</v>
      </c>
      <c r="I1484" s="1930" t="s">
        <v>168</v>
      </c>
      <c r="J1484" s="1930" t="s">
        <v>137</v>
      </c>
      <c r="K1484" s="1933">
        <v>6248.37</v>
      </c>
      <c r="L1484" s="1930" t="s">
        <v>138</v>
      </c>
    </row>
    <row r="1485" spans="1:12" ht="13.5" x14ac:dyDescent="0.25">
      <c r="A1485" s="1930" t="s">
        <v>4501</v>
      </c>
      <c r="B1485" s="1930" t="s">
        <v>4502</v>
      </c>
      <c r="C1485" s="1930" t="s">
        <v>4515</v>
      </c>
      <c r="D1485" s="1930" t="s">
        <v>4516</v>
      </c>
      <c r="E1485" s="1931" t="s">
        <v>33</v>
      </c>
      <c r="F1485" s="1930" t="s">
        <v>33</v>
      </c>
      <c r="G1485" s="1932">
        <v>98031</v>
      </c>
      <c r="H1485" s="1930" t="s">
        <v>5363</v>
      </c>
      <c r="I1485" s="1930" t="s">
        <v>136</v>
      </c>
      <c r="J1485" s="1930" t="s">
        <v>320</v>
      </c>
      <c r="K1485" s="1933">
        <v>2205.4299999999998</v>
      </c>
      <c r="L1485" s="1930" t="s">
        <v>138</v>
      </c>
    </row>
    <row r="1486" spans="1:12" ht="13.5" x14ac:dyDescent="0.25">
      <c r="A1486" s="1930" t="s">
        <v>4501</v>
      </c>
      <c r="B1486" s="1930" t="s">
        <v>4502</v>
      </c>
      <c r="C1486" s="1930" t="s">
        <v>4515</v>
      </c>
      <c r="D1486" s="1930" t="s">
        <v>4516</v>
      </c>
      <c r="E1486" s="1931" t="s">
        <v>33</v>
      </c>
      <c r="F1486" s="1930" t="s">
        <v>33</v>
      </c>
      <c r="G1486" s="1932">
        <v>98032</v>
      </c>
      <c r="H1486" s="1930" t="s">
        <v>5364</v>
      </c>
      <c r="I1486" s="1930" t="s">
        <v>168</v>
      </c>
      <c r="J1486" s="1930" t="s">
        <v>137</v>
      </c>
      <c r="K1486" s="1933">
        <v>7180.25</v>
      </c>
      <c r="L1486" s="1930" t="s">
        <v>138</v>
      </c>
    </row>
    <row r="1487" spans="1:12" ht="13.5" x14ac:dyDescent="0.25">
      <c r="A1487" s="1930" t="s">
        <v>4501</v>
      </c>
      <c r="B1487" s="1930" t="s">
        <v>4502</v>
      </c>
      <c r="C1487" s="1930" t="s">
        <v>4515</v>
      </c>
      <c r="D1487" s="1930" t="s">
        <v>4516</v>
      </c>
      <c r="E1487" s="1931" t="s">
        <v>33</v>
      </c>
      <c r="F1487" s="1930" t="s">
        <v>33</v>
      </c>
      <c r="G1487" s="1932">
        <v>98033</v>
      </c>
      <c r="H1487" s="1930" t="s">
        <v>5365</v>
      </c>
      <c r="I1487" s="1930" t="s">
        <v>136</v>
      </c>
      <c r="J1487" s="1930" t="s">
        <v>320</v>
      </c>
      <c r="K1487" s="1933">
        <v>2401.73</v>
      </c>
      <c r="L1487" s="1930" t="s">
        <v>138</v>
      </c>
    </row>
    <row r="1488" spans="1:12" ht="13.5" x14ac:dyDescent="0.25">
      <c r="A1488" s="1930" t="s">
        <v>4501</v>
      </c>
      <c r="B1488" s="1930" t="s">
        <v>4502</v>
      </c>
      <c r="C1488" s="1930" t="s">
        <v>4515</v>
      </c>
      <c r="D1488" s="1930" t="s">
        <v>4516</v>
      </c>
      <c r="E1488" s="1931" t="s">
        <v>33</v>
      </c>
      <c r="F1488" s="1930" t="s">
        <v>33</v>
      </c>
      <c r="G1488" s="1932">
        <v>98034</v>
      </c>
      <c r="H1488" s="1930" t="s">
        <v>5366</v>
      </c>
      <c r="I1488" s="1930" t="s">
        <v>168</v>
      </c>
      <c r="J1488" s="1930" t="s">
        <v>137</v>
      </c>
      <c r="K1488" s="1933">
        <v>8112.16</v>
      </c>
      <c r="L1488" s="1930" t="s">
        <v>138</v>
      </c>
    </row>
    <row r="1489" spans="1:12" ht="13.5" x14ac:dyDescent="0.25">
      <c r="A1489" s="1930" t="s">
        <v>4501</v>
      </c>
      <c r="B1489" s="1930" t="s">
        <v>4502</v>
      </c>
      <c r="C1489" s="1930" t="s">
        <v>4515</v>
      </c>
      <c r="D1489" s="1930" t="s">
        <v>4516</v>
      </c>
      <c r="E1489" s="1931" t="s">
        <v>33</v>
      </c>
      <c r="F1489" s="1930" t="s">
        <v>33</v>
      </c>
      <c r="G1489" s="1932">
        <v>98035</v>
      </c>
      <c r="H1489" s="1930" t="s">
        <v>5367</v>
      </c>
      <c r="I1489" s="1930" t="s">
        <v>136</v>
      </c>
      <c r="J1489" s="1930" t="s">
        <v>320</v>
      </c>
      <c r="K1489" s="1933">
        <v>2597.96</v>
      </c>
      <c r="L1489" s="1930" t="s">
        <v>138</v>
      </c>
    </row>
    <row r="1490" spans="1:12" ht="13.5" x14ac:dyDescent="0.25">
      <c r="A1490" s="1930" t="s">
        <v>4501</v>
      </c>
      <c r="B1490" s="1930" t="s">
        <v>4502</v>
      </c>
      <c r="C1490" s="1930" t="s">
        <v>4515</v>
      </c>
      <c r="D1490" s="1930" t="s">
        <v>4516</v>
      </c>
      <c r="E1490" s="1931" t="s">
        <v>33</v>
      </c>
      <c r="F1490" s="1930" t="s">
        <v>33</v>
      </c>
      <c r="G1490" s="1932">
        <v>98036</v>
      </c>
      <c r="H1490" s="1930" t="s">
        <v>5368</v>
      </c>
      <c r="I1490" s="1930" t="s">
        <v>168</v>
      </c>
      <c r="J1490" s="1930" t="s">
        <v>137</v>
      </c>
      <c r="K1490" s="1933">
        <v>9044.1</v>
      </c>
      <c r="L1490" s="1930" t="s">
        <v>138</v>
      </c>
    </row>
    <row r="1491" spans="1:12" ht="13.5" x14ac:dyDescent="0.25">
      <c r="A1491" s="1930" t="s">
        <v>4501</v>
      </c>
      <c r="B1491" s="1930" t="s">
        <v>4502</v>
      </c>
      <c r="C1491" s="1930" t="s">
        <v>4515</v>
      </c>
      <c r="D1491" s="1930" t="s">
        <v>4516</v>
      </c>
      <c r="E1491" s="1931" t="s">
        <v>33</v>
      </c>
      <c r="F1491" s="1930" t="s">
        <v>33</v>
      </c>
      <c r="G1491" s="1932">
        <v>98037</v>
      </c>
      <c r="H1491" s="1930" t="s">
        <v>5369</v>
      </c>
      <c r="I1491" s="1930" t="s">
        <v>136</v>
      </c>
      <c r="J1491" s="1930" t="s">
        <v>320</v>
      </c>
      <c r="K1491" s="1933">
        <v>2799.95</v>
      </c>
      <c r="L1491" s="1930" t="s">
        <v>138</v>
      </c>
    </row>
    <row r="1492" spans="1:12" ht="13.5" x14ac:dyDescent="0.25">
      <c r="A1492" s="1930" t="s">
        <v>4501</v>
      </c>
      <c r="B1492" s="1930" t="s">
        <v>4502</v>
      </c>
      <c r="C1492" s="1930" t="s">
        <v>4515</v>
      </c>
      <c r="D1492" s="1930" t="s">
        <v>4516</v>
      </c>
      <c r="E1492" s="1931" t="s">
        <v>33</v>
      </c>
      <c r="F1492" s="1930" t="s">
        <v>33</v>
      </c>
      <c r="G1492" s="1932">
        <v>98038</v>
      </c>
      <c r="H1492" s="1930" t="s">
        <v>5370</v>
      </c>
      <c r="I1492" s="1930" t="s">
        <v>168</v>
      </c>
      <c r="J1492" s="1930" t="s">
        <v>137</v>
      </c>
      <c r="K1492" s="1933">
        <v>8294.11</v>
      </c>
      <c r="L1492" s="1930" t="s">
        <v>138</v>
      </c>
    </row>
    <row r="1493" spans="1:12" ht="13.5" x14ac:dyDescent="0.25">
      <c r="A1493" s="1930" t="s">
        <v>4501</v>
      </c>
      <c r="B1493" s="1930" t="s">
        <v>4502</v>
      </c>
      <c r="C1493" s="1930" t="s">
        <v>4515</v>
      </c>
      <c r="D1493" s="1930" t="s">
        <v>4516</v>
      </c>
      <c r="E1493" s="1931" t="s">
        <v>33</v>
      </c>
      <c r="F1493" s="1930" t="s">
        <v>33</v>
      </c>
      <c r="G1493" s="1932">
        <v>98039</v>
      </c>
      <c r="H1493" s="1930" t="s">
        <v>5371</v>
      </c>
      <c r="I1493" s="1930" t="s">
        <v>136</v>
      </c>
      <c r="J1493" s="1930" t="s">
        <v>320</v>
      </c>
      <c r="K1493" s="1933">
        <v>2603.66</v>
      </c>
      <c r="L1493" s="1930" t="s">
        <v>138</v>
      </c>
    </row>
    <row r="1494" spans="1:12" ht="13.5" x14ac:dyDescent="0.25">
      <c r="A1494" s="1930" t="s">
        <v>4501</v>
      </c>
      <c r="B1494" s="1930" t="s">
        <v>4502</v>
      </c>
      <c r="C1494" s="1930" t="s">
        <v>4515</v>
      </c>
      <c r="D1494" s="1930" t="s">
        <v>4516</v>
      </c>
      <c r="E1494" s="1931" t="s">
        <v>33</v>
      </c>
      <c r="F1494" s="1930" t="s">
        <v>33</v>
      </c>
      <c r="G1494" s="1932">
        <v>98040</v>
      </c>
      <c r="H1494" s="1930" t="s">
        <v>5372</v>
      </c>
      <c r="I1494" s="1930" t="s">
        <v>168</v>
      </c>
      <c r="J1494" s="1930" t="s">
        <v>137</v>
      </c>
      <c r="K1494" s="1933">
        <v>9366.07</v>
      </c>
      <c r="L1494" s="1930" t="s">
        <v>138</v>
      </c>
    </row>
    <row r="1495" spans="1:12" ht="13.5" x14ac:dyDescent="0.25">
      <c r="A1495" s="1930" t="s">
        <v>4501</v>
      </c>
      <c r="B1495" s="1930" t="s">
        <v>4502</v>
      </c>
      <c r="C1495" s="1930" t="s">
        <v>4515</v>
      </c>
      <c r="D1495" s="1930" t="s">
        <v>4516</v>
      </c>
      <c r="E1495" s="1931" t="s">
        <v>33</v>
      </c>
      <c r="F1495" s="1930" t="s">
        <v>33</v>
      </c>
      <c r="G1495" s="1932">
        <v>98041</v>
      </c>
      <c r="H1495" s="1930" t="s">
        <v>5373</v>
      </c>
      <c r="I1495" s="1930" t="s">
        <v>136</v>
      </c>
      <c r="J1495" s="1930" t="s">
        <v>320</v>
      </c>
      <c r="K1495" s="1933">
        <v>2799.95</v>
      </c>
      <c r="L1495" s="1930" t="s">
        <v>138</v>
      </c>
    </row>
    <row r="1496" spans="1:12" ht="13.5" x14ac:dyDescent="0.25">
      <c r="A1496" s="1930" t="s">
        <v>4501</v>
      </c>
      <c r="B1496" s="1930" t="s">
        <v>4502</v>
      </c>
      <c r="C1496" s="1930" t="s">
        <v>4515</v>
      </c>
      <c r="D1496" s="1930" t="s">
        <v>4516</v>
      </c>
      <c r="E1496" s="1931" t="s">
        <v>33</v>
      </c>
      <c r="F1496" s="1930" t="s">
        <v>33</v>
      </c>
      <c r="G1496" s="1932">
        <v>98042</v>
      </c>
      <c r="H1496" s="1930" t="s">
        <v>5374</v>
      </c>
      <c r="I1496" s="1930" t="s">
        <v>168</v>
      </c>
      <c r="J1496" s="1930" t="s">
        <v>137</v>
      </c>
      <c r="K1496" s="1933">
        <v>10438.040000000001</v>
      </c>
      <c r="L1496" s="1930" t="s">
        <v>138</v>
      </c>
    </row>
    <row r="1497" spans="1:12" ht="13.5" x14ac:dyDescent="0.25">
      <c r="A1497" s="1930" t="s">
        <v>4501</v>
      </c>
      <c r="B1497" s="1930" t="s">
        <v>4502</v>
      </c>
      <c r="C1497" s="1930" t="s">
        <v>4515</v>
      </c>
      <c r="D1497" s="1930" t="s">
        <v>4516</v>
      </c>
      <c r="E1497" s="1931" t="s">
        <v>33</v>
      </c>
      <c r="F1497" s="1930" t="s">
        <v>33</v>
      </c>
      <c r="G1497" s="1932">
        <v>98043</v>
      </c>
      <c r="H1497" s="1930" t="s">
        <v>5375</v>
      </c>
      <c r="I1497" s="1930" t="s">
        <v>136</v>
      </c>
      <c r="J1497" s="1930" t="s">
        <v>320</v>
      </c>
      <c r="K1497" s="1933">
        <v>3001.94</v>
      </c>
      <c r="L1497" s="1930" t="s">
        <v>138</v>
      </c>
    </row>
    <row r="1498" spans="1:12" ht="13.5" x14ac:dyDescent="0.25">
      <c r="A1498" s="1930" t="s">
        <v>4501</v>
      </c>
      <c r="B1498" s="1930" t="s">
        <v>4502</v>
      </c>
      <c r="C1498" s="1930" t="s">
        <v>4515</v>
      </c>
      <c r="D1498" s="1930" t="s">
        <v>4516</v>
      </c>
      <c r="E1498" s="1931" t="s">
        <v>33</v>
      </c>
      <c r="F1498" s="1930" t="s">
        <v>33</v>
      </c>
      <c r="G1498" s="1932">
        <v>98044</v>
      </c>
      <c r="H1498" s="1930" t="s">
        <v>5376</v>
      </c>
      <c r="I1498" s="1930" t="s">
        <v>168</v>
      </c>
      <c r="J1498" s="1930" t="s">
        <v>137</v>
      </c>
      <c r="K1498" s="1933">
        <v>10627.53</v>
      </c>
      <c r="L1498" s="1930" t="s">
        <v>138</v>
      </c>
    </row>
    <row r="1499" spans="1:12" ht="13.5" x14ac:dyDescent="0.25">
      <c r="A1499" s="1930" t="s">
        <v>4501</v>
      </c>
      <c r="B1499" s="1930" t="s">
        <v>4502</v>
      </c>
      <c r="C1499" s="1930" t="s">
        <v>4515</v>
      </c>
      <c r="D1499" s="1930" t="s">
        <v>4516</v>
      </c>
      <c r="E1499" s="1931" t="s">
        <v>33</v>
      </c>
      <c r="F1499" s="1930" t="s">
        <v>33</v>
      </c>
      <c r="G1499" s="1932">
        <v>98045</v>
      </c>
      <c r="H1499" s="1930" t="s">
        <v>5377</v>
      </c>
      <c r="I1499" s="1930" t="s">
        <v>136</v>
      </c>
      <c r="J1499" s="1930" t="s">
        <v>320</v>
      </c>
      <c r="K1499" s="1933">
        <v>3001.94</v>
      </c>
      <c r="L1499" s="1930" t="s">
        <v>138</v>
      </c>
    </row>
    <row r="1500" spans="1:12" ht="13.5" x14ac:dyDescent="0.25">
      <c r="A1500" s="1930" t="s">
        <v>4501</v>
      </c>
      <c r="B1500" s="1930" t="s">
        <v>4502</v>
      </c>
      <c r="C1500" s="1930" t="s">
        <v>4515</v>
      </c>
      <c r="D1500" s="1930" t="s">
        <v>4516</v>
      </c>
      <c r="E1500" s="1931" t="s">
        <v>33</v>
      </c>
      <c r="F1500" s="1930" t="s">
        <v>33</v>
      </c>
      <c r="G1500" s="1932">
        <v>98046</v>
      </c>
      <c r="H1500" s="1930" t="s">
        <v>5378</v>
      </c>
      <c r="I1500" s="1930" t="s">
        <v>168</v>
      </c>
      <c r="J1500" s="1930" t="s">
        <v>137</v>
      </c>
      <c r="K1500" s="1933">
        <v>11840.62</v>
      </c>
      <c r="L1500" s="1930" t="s">
        <v>138</v>
      </c>
    </row>
    <row r="1501" spans="1:12" ht="13.5" x14ac:dyDescent="0.25">
      <c r="A1501" s="1930" t="s">
        <v>4501</v>
      </c>
      <c r="B1501" s="1930" t="s">
        <v>4502</v>
      </c>
      <c r="C1501" s="1930" t="s">
        <v>4515</v>
      </c>
      <c r="D1501" s="1930" t="s">
        <v>4516</v>
      </c>
      <c r="E1501" s="1931" t="s">
        <v>33</v>
      </c>
      <c r="F1501" s="1930" t="s">
        <v>33</v>
      </c>
      <c r="G1501" s="1932">
        <v>98047</v>
      </c>
      <c r="H1501" s="1930" t="s">
        <v>5379</v>
      </c>
      <c r="I1501" s="1930" t="s">
        <v>136</v>
      </c>
      <c r="J1501" s="1930" t="s">
        <v>320</v>
      </c>
      <c r="K1501" s="1933">
        <v>3203.93</v>
      </c>
      <c r="L1501" s="1930" t="s">
        <v>138</v>
      </c>
    </row>
    <row r="1502" spans="1:12" ht="13.5" x14ac:dyDescent="0.25">
      <c r="A1502" s="1930" t="s">
        <v>4501</v>
      </c>
      <c r="B1502" s="1930" t="s">
        <v>4502</v>
      </c>
      <c r="C1502" s="1930" t="s">
        <v>4515</v>
      </c>
      <c r="D1502" s="1930" t="s">
        <v>4516</v>
      </c>
      <c r="E1502" s="1931" t="s">
        <v>33</v>
      </c>
      <c r="F1502" s="1930" t="s">
        <v>33</v>
      </c>
      <c r="G1502" s="1932">
        <v>98048</v>
      </c>
      <c r="H1502" s="1930" t="s">
        <v>5380</v>
      </c>
      <c r="I1502" s="1930" t="s">
        <v>168</v>
      </c>
      <c r="J1502" s="1930" t="s">
        <v>137</v>
      </c>
      <c r="K1502" s="1933">
        <v>13252.02</v>
      </c>
      <c r="L1502" s="1930" t="s">
        <v>138</v>
      </c>
    </row>
    <row r="1503" spans="1:12" ht="13.5" x14ac:dyDescent="0.25">
      <c r="A1503" s="1930" t="s">
        <v>4501</v>
      </c>
      <c r="B1503" s="1930" t="s">
        <v>4502</v>
      </c>
      <c r="C1503" s="1930" t="s">
        <v>4515</v>
      </c>
      <c r="D1503" s="1930" t="s">
        <v>4516</v>
      </c>
      <c r="E1503" s="1931" t="s">
        <v>33</v>
      </c>
      <c r="F1503" s="1930" t="s">
        <v>33</v>
      </c>
      <c r="G1503" s="1932">
        <v>98049</v>
      </c>
      <c r="H1503" s="1930" t="s">
        <v>5381</v>
      </c>
      <c r="I1503" s="1930" t="s">
        <v>136</v>
      </c>
      <c r="J1503" s="1930" t="s">
        <v>320</v>
      </c>
      <c r="K1503" s="1933">
        <v>3350.16</v>
      </c>
      <c r="L1503" s="1930" t="s">
        <v>138</v>
      </c>
    </row>
    <row r="1504" spans="1:12" ht="13.5" x14ac:dyDescent="0.25">
      <c r="A1504" s="1930" t="s">
        <v>4501</v>
      </c>
      <c r="B1504" s="1930" t="s">
        <v>4502</v>
      </c>
      <c r="C1504" s="1930" t="s">
        <v>4515</v>
      </c>
      <c r="D1504" s="1930" t="s">
        <v>4516</v>
      </c>
      <c r="E1504" s="1931" t="s">
        <v>33</v>
      </c>
      <c r="F1504" s="1930" t="s">
        <v>33</v>
      </c>
      <c r="G1504" s="1932">
        <v>98050</v>
      </c>
      <c r="H1504" s="1930" t="s">
        <v>5382</v>
      </c>
      <c r="I1504" s="1930" t="s">
        <v>136</v>
      </c>
      <c r="J1504" s="1930" t="s">
        <v>137</v>
      </c>
      <c r="K1504" s="1933">
        <v>221.98</v>
      </c>
      <c r="L1504" s="1930" t="s">
        <v>138</v>
      </c>
    </row>
    <row r="1505" spans="1:12" ht="13.5" x14ac:dyDescent="0.25">
      <c r="A1505" s="1930" t="s">
        <v>4501</v>
      </c>
      <c r="B1505" s="1930" t="s">
        <v>4502</v>
      </c>
      <c r="C1505" s="1930" t="s">
        <v>4515</v>
      </c>
      <c r="D1505" s="1930" t="s">
        <v>4516</v>
      </c>
      <c r="E1505" s="1931" t="s">
        <v>33</v>
      </c>
      <c r="F1505" s="1930" t="s">
        <v>33</v>
      </c>
      <c r="G1505" s="1932">
        <v>98051</v>
      </c>
      <c r="H1505" s="1930" t="s">
        <v>5383</v>
      </c>
      <c r="I1505" s="1930" t="s">
        <v>136</v>
      </c>
      <c r="J1505" s="1930" t="s">
        <v>320</v>
      </c>
      <c r="K1505" s="1933">
        <v>724.88</v>
      </c>
      <c r="L1505" s="1930" t="s">
        <v>138</v>
      </c>
    </row>
    <row r="1506" spans="1:12" ht="13.5" x14ac:dyDescent="0.25">
      <c r="A1506" s="1930" t="s">
        <v>4501</v>
      </c>
      <c r="B1506" s="1930" t="s">
        <v>4502</v>
      </c>
      <c r="C1506" s="1930" t="s">
        <v>4515</v>
      </c>
      <c r="D1506" s="1930" t="s">
        <v>4516</v>
      </c>
      <c r="E1506" s="1931" t="s">
        <v>33</v>
      </c>
      <c r="F1506" s="1930" t="s">
        <v>33</v>
      </c>
      <c r="G1506" s="1932">
        <v>98405</v>
      </c>
      <c r="H1506" s="1930" t="s">
        <v>6315</v>
      </c>
      <c r="I1506" s="1930" t="s">
        <v>168</v>
      </c>
      <c r="J1506" s="1930" t="s">
        <v>137</v>
      </c>
      <c r="K1506" s="1933">
        <v>1906.5</v>
      </c>
      <c r="L1506" s="1930" t="s">
        <v>138</v>
      </c>
    </row>
    <row r="1507" spans="1:12" ht="13.5" x14ac:dyDescent="0.25">
      <c r="A1507" s="1930" t="s">
        <v>4501</v>
      </c>
      <c r="B1507" s="1930" t="s">
        <v>4502</v>
      </c>
      <c r="C1507" s="1930" t="s">
        <v>4515</v>
      </c>
      <c r="D1507" s="1930" t="s">
        <v>4516</v>
      </c>
      <c r="E1507" s="1931" t="s">
        <v>33</v>
      </c>
      <c r="F1507" s="1930" t="s">
        <v>33</v>
      </c>
      <c r="G1507" s="1932">
        <v>98406</v>
      </c>
      <c r="H1507" s="1930" t="s">
        <v>5384</v>
      </c>
      <c r="I1507" s="1930" t="s">
        <v>168</v>
      </c>
      <c r="J1507" s="1930" t="s">
        <v>137</v>
      </c>
      <c r="K1507" s="1933">
        <v>4580.93</v>
      </c>
      <c r="L1507" s="1930" t="s">
        <v>138</v>
      </c>
    </row>
    <row r="1508" spans="1:12" ht="13.5" x14ac:dyDescent="0.25">
      <c r="A1508" s="1930" t="s">
        <v>4501</v>
      </c>
      <c r="B1508" s="1930" t="s">
        <v>4502</v>
      </c>
      <c r="C1508" s="1930" t="s">
        <v>4515</v>
      </c>
      <c r="D1508" s="1930" t="s">
        <v>4516</v>
      </c>
      <c r="E1508" s="1931" t="s">
        <v>33</v>
      </c>
      <c r="F1508" s="1930" t="s">
        <v>33</v>
      </c>
      <c r="G1508" s="1932">
        <v>98407</v>
      </c>
      <c r="H1508" s="1930" t="s">
        <v>5385</v>
      </c>
      <c r="I1508" s="1930" t="s">
        <v>168</v>
      </c>
      <c r="J1508" s="1930" t="s">
        <v>137</v>
      </c>
      <c r="K1508" s="1933">
        <v>3005.32</v>
      </c>
      <c r="L1508" s="1930" t="s">
        <v>138</v>
      </c>
    </row>
    <row r="1509" spans="1:12" ht="13.5" x14ac:dyDescent="0.25">
      <c r="A1509" s="1930" t="s">
        <v>4501</v>
      </c>
      <c r="B1509" s="1930" t="s">
        <v>4502</v>
      </c>
      <c r="C1509" s="1930" t="s">
        <v>4515</v>
      </c>
      <c r="D1509" s="1930" t="s">
        <v>4516</v>
      </c>
      <c r="E1509" s="1931" t="s">
        <v>33</v>
      </c>
      <c r="F1509" s="1930" t="s">
        <v>33</v>
      </c>
      <c r="G1509" s="1932">
        <v>98408</v>
      </c>
      <c r="H1509" s="1930" t="s">
        <v>5386</v>
      </c>
      <c r="I1509" s="1930" t="s">
        <v>168</v>
      </c>
      <c r="J1509" s="1930" t="s">
        <v>137</v>
      </c>
      <c r="K1509" s="1933">
        <v>3523.12</v>
      </c>
      <c r="L1509" s="1930" t="s">
        <v>138</v>
      </c>
    </row>
    <row r="1510" spans="1:12" ht="13.5" x14ac:dyDescent="0.25">
      <c r="A1510" s="1930" t="s">
        <v>4501</v>
      </c>
      <c r="B1510" s="1930" t="s">
        <v>4502</v>
      </c>
      <c r="C1510" s="1930" t="s">
        <v>4515</v>
      </c>
      <c r="D1510" s="1930" t="s">
        <v>4516</v>
      </c>
      <c r="E1510" s="1931" t="s">
        <v>33</v>
      </c>
      <c r="F1510" s="1930" t="s">
        <v>33</v>
      </c>
      <c r="G1510" s="1932">
        <v>98409</v>
      </c>
      <c r="H1510" s="1930" t="s">
        <v>5387</v>
      </c>
      <c r="I1510" s="1930" t="s">
        <v>136</v>
      </c>
      <c r="J1510" s="1930" t="s">
        <v>137</v>
      </c>
      <c r="K1510" s="1933">
        <v>336.88</v>
      </c>
      <c r="L1510" s="1930" t="s">
        <v>138</v>
      </c>
    </row>
    <row r="1511" spans="1:12" ht="13.5" x14ac:dyDescent="0.25">
      <c r="A1511" s="1930" t="s">
        <v>4501</v>
      </c>
      <c r="B1511" s="1930" t="s">
        <v>4502</v>
      </c>
      <c r="C1511" s="1930" t="s">
        <v>4515</v>
      </c>
      <c r="D1511" s="1930" t="s">
        <v>4516</v>
      </c>
      <c r="E1511" s="1931" t="s">
        <v>33</v>
      </c>
      <c r="F1511" s="1930" t="s">
        <v>33</v>
      </c>
      <c r="G1511" s="1932">
        <v>98414</v>
      </c>
      <c r="H1511" s="1930" t="s">
        <v>5388</v>
      </c>
      <c r="I1511" s="1930" t="s">
        <v>168</v>
      </c>
      <c r="J1511" s="1930" t="s">
        <v>137</v>
      </c>
      <c r="K1511" s="1933">
        <v>968.83</v>
      </c>
      <c r="L1511" s="1930" t="s">
        <v>138</v>
      </c>
    </row>
    <row r="1512" spans="1:12" ht="13.5" x14ac:dyDescent="0.25">
      <c r="A1512" s="1930" t="s">
        <v>4501</v>
      </c>
      <c r="B1512" s="1930" t="s">
        <v>4502</v>
      </c>
      <c r="C1512" s="1930" t="s">
        <v>4515</v>
      </c>
      <c r="D1512" s="1930" t="s">
        <v>4516</v>
      </c>
      <c r="E1512" s="1931" t="s">
        <v>33</v>
      </c>
      <c r="F1512" s="1930" t="s">
        <v>33</v>
      </c>
      <c r="G1512" s="1932">
        <v>98415</v>
      </c>
      <c r="H1512" s="1930" t="s">
        <v>5389</v>
      </c>
      <c r="I1512" s="1930" t="s">
        <v>168</v>
      </c>
      <c r="J1512" s="1930" t="s">
        <v>137</v>
      </c>
      <c r="K1512" s="1933">
        <v>968.83</v>
      </c>
      <c r="L1512" s="1930" t="s">
        <v>138</v>
      </c>
    </row>
    <row r="1513" spans="1:12" ht="13.5" x14ac:dyDescent="0.25">
      <c r="A1513" s="1930" t="s">
        <v>4501</v>
      </c>
      <c r="B1513" s="1930" t="s">
        <v>4502</v>
      </c>
      <c r="C1513" s="1930" t="s">
        <v>4515</v>
      </c>
      <c r="D1513" s="1930" t="s">
        <v>4516</v>
      </c>
      <c r="E1513" s="1931" t="s">
        <v>33</v>
      </c>
      <c r="F1513" s="1930" t="s">
        <v>33</v>
      </c>
      <c r="G1513" s="1932">
        <v>98416</v>
      </c>
      <c r="H1513" s="1930" t="s">
        <v>5390</v>
      </c>
      <c r="I1513" s="1930" t="s">
        <v>168</v>
      </c>
      <c r="J1513" s="1930" t="s">
        <v>137</v>
      </c>
      <c r="K1513" s="1933">
        <v>1172.5899999999999</v>
      </c>
      <c r="L1513" s="1930" t="s">
        <v>138</v>
      </c>
    </row>
    <row r="1514" spans="1:12" ht="13.5" x14ac:dyDescent="0.25">
      <c r="A1514" s="1930" t="s">
        <v>4501</v>
      </c>
      <c r="B1514" s="1930" t="s">
        <v>4502</v>
      </c>
      <c r="C1514" s="1930" t="s">
        <v>4515</v>
      </c>
      <c r="D1514" s="1930" t="s">
        <v>4516</v>
      </c>
      <c r="E1514" s="1931" t="s">
        <v>33</v>
      </c>
      <c r="F1514" s="1930" t="s">
        <v>33</v>
      </c>
      <c r="G1514" s="1932">
        <v>98417</v>
      </c>
      <c r="H1514" s="1930" t="s">
        <v>5391</v>
      </c>
      <c r="I1514" s="1930" t="s">
        <v>168</v>
      </c>
      <c r="J1514" s="1930" t="s">
        <v>137</v>
      </c>
      <c r="K1514" s="1933">
        <v>1376.36</v>
      </c>
      <c r="L1514" s="1930" t="s">
        <v>138</v>
      </c>
    </row>
    <row r="1515" spans="1:12" ht="13.5" x14ac:dyDescent="0.25">
      <c r="A1515" s="1930" t="s">
        <v>4501</v>
      </c>
      <c r="B1515" s="1930" t="s">
        <v>4502</v>
      </c>
      <c r="C1515" s="1930" t="s">
        <v>4515</v>
      </c>
      <c r="D1515" s="1930" t="s">
        <v>4516</v>
      </c>
      <c r="E1515" s="1931" t="s">
        <v>33</v>
      </c>
      <c r="F1515" s="1930" t="s">
        <v>33</v>
      </c>
      <c r="G1515" s="1932">
        <v>98418</v>
      </c>
      <c r="H1515" s="1930" t="s">
        <v>5392</v>
      </c>
      <c r="I1515" s="1930" t="s">
        <v>168</v>
      </c>
      <c r="J1515" s="1930" t="s">
        <v>137</v>
      </c>
      <c r="K1515" s="1933">
        <v>1487.35</v>
      </c>
      <c r="L1515" s="1930" t="s">
        <v>138</v>
      </c>
    </row>
    <row r="1516" spans="1:12" ht="13.5" x14ac:dyDescent="0.25">
      <c r="A1516" s="1930" t="s">
        <v>4501</v>
      </c>
      <c r="B1516" s="1930" t="s">
        <v>4502</v>
      </c>
      <c r="C1516" s="1930" t="s">
        <v>4515</v>
      </c>
      <c r="D1516" s="1930" t="s">
        <v>4516</v>
      </c>
      <c r="E1516" s="1931" t="s">
        <v>33</v>
      </c>
      <c r="F1516" s="1930" t="s">
        <v>33</v>
      </c>
      <c r="G1516" s="1932">
        <v>98419</v>
      </c>
      <c r="H1516" s="1930" t="s">
        <v>5393</v>
      </c>
      <c r="I1516" s="1930" t="s">
        <v>168</v>
      </c>
      <c r="J1516" s="1930" t="s">
        <v>137</v>
      </c>
      <c r="K1516" s="1933">
        <v>1598.34</v>
      </c>
      <c r="L1516" s="1930" t="s">
        <v>138</v>
      </c>
    </row>
    <row r="1517" spans="1:12" ht="13.5" x14ac:dyDescent="0.25">
      <c r="A1517" s="1930" t="s">
        <v>4501</v>
      </c>
      <c r="B1517" s="1930" t="s">
        <v>4502</v>
      </c>
      <c r="C1517" s="1930" t="s">
        <v>4515</v>
      </c>
      <c r="D1517" s="1930" t="s">
        <v>4516</v>
      </c>
      <c r="E1517" s="1931" t="s">
        <v>33</v>
      </c>
      <c r="F1517" s="1930" t="s">
        <v>33</v>
      </c>
      <c r="G1517" s="1932">
        <v>98420</v>
      </c>
      <c r="H1517" s="1930" t="s">
        <v>5394</v>
      </c>
      <c r="I1517" s="1930" t="s">
        <v>168</v>
      </c>
      <c r="J1517" s="1930" t="s">
        <v>137</v>
      </c>
      <c r="K1517" s="1933">
        <v>1342.36</v>
      </c>
      <c r="L1517" s="1930" t="s">
        <v>138</v>
      </c>
    </row>
    <row r="1518" spans="1:12" ht="13.5" x14ac:dyDescent="0.25">
      <c r="A1518" s="1930" t="s">
        <v>4501</v>
      </c>
      <c r="B1518" s="1930" t="s">
        <v>4502</v>
      </c>
      <c r="C1518" s="1930" t="s">
        <v>4515</v>
      </c>
      <c r="D1518" s="1930" t="s">
        <v>4516</v>
      </c>
      <c r="E1518" s="1931" t="s">
        <v>33</v>
      </c>
      <c r="F1518" s="1930" t="s">
        <v>33</v>
      </c>
      <c r="G1518" s="1932">
        <v>98421</v>
      </c>
      <c r="H1518" s="1930" t="s">
        <v>5395</v>
      </c>
      <c r="I1518" s="1930" t="s">
        <v>168</v>
      </c>
      <c r="J1518" s="1930" t="s">
        <v>137</v>
      </c>
      <c r="K1518" s="1933">
        <v>1546.12</v>
      </c>
      <c r="L1518" s="1930" t="s">
        <v>138</v>
      </c>
    </row>
    <row r="1519" spans="1:12" ht="13.5" x14ac:dyDescent="0.25">
      <c r="A1519" s="1930" t="s">
        <v>4501</v>
      </c>
      <c r="B1519" s="1930" t="s">
        <v>4502</v>
      </c>
      <c r="C1519" s="1930" t="s">
        <v>4515</v>
      </c>
      <c r="D1519" s="1930" t="s">
        <v>4516</v>
      </c>
      <c r="E1519" s="1931" t="s">
        <v>33</v>
      </c>
      <c r="F1519" s="1930" t="s">
        <v>33</v>
      </c>
      <c r="G1519" s="1932">
        <v>98422</v>
      </c>
      <c r="H1519" s="1930" t="s">
        <v>5396</v>
      </c>
      <c r="I1519" s="1930" t="s">
        <v>168</v>
      </c>
      <c r="J1519" s="1930" t="s">
        <v>137</v>
      </c>
      <c r="K1519" s="1933">
        <v>1749.89</v>
      </c>
      <c r="L1519" s="1930" t="s">
        <v>138</v>
      </c>
    </row>
    <row r="1520" spans="1:12" ht="13.5" x14ac:dyDescent="0.25">
      <c r="A1520" s="1930" t="s">
        <v>4501</v>
      </c>
      <c r="B1520" s="1930" t="s">
        <v>4502</v>
      </c>
      <c r="C1520" s="1930" t="s">
        <v>4515</v>
      </c>
      <c r="D1520" s="1930" t="s">
        <v>4516</v>
      </c>
      <c r="E1520" s="1931" t="s">
        <v>33</v>
      </c>
      <c r="F1520" s="1930" t="s">
        <v>33</v>
      </c>
      <c r="G1520" s="1932">
        <v>98423</v>
      </c>
      <c r="H1520" s="1930" t="s">
        <v>5397</v>
      </c>
      <c r="I1520" s="1930" t="s">
        <v>168</v>
      </c>
      <c r="J1520" s="1930" t="s">
        <v>137</v>
      </c>
      <c r="K1520" s="1933">
        <v>1860.88</v>
      </c>
      <c r="L1520" s="1930" t="s">
        <v>138</v>
      </c>
    </row>
    <row r="1521" spans="1:12" ht="13.5" x14ac:dyDescent="0.25">
      <c r="A1521" s="1930" t="s">
        <v>4501</v>
      </c>
      <c r="B1521" s="1930" t="s">
        <v>4502</v>
      </c>
      <c r="C1521" s="1930" t="s">
        <v>4515</v>
      </c>
      <c r="D1521" s="1930" t="s">
        <v>4516</v>
      </c>
      <c r="E1521" s="1931" t="s">
        <v>33</v>
      </c>
      <c r="F1521" s="1930" t="s">
        <v>33</v>
      </c>
      <c r="G1521" s="1932">
        <v>98424</v>
      </c>
      <c r="H1521" s="1930" t="s">
        <v>5398</v>
      </c>
      <c r="I1521" s="1930" t="s">
        <v>168</v>
      </c>
      <c r="J1521" s="1930" t="s">
        <v>137</v>
      </c>
      <c r="K1521" s="1933">
        <v>1971.87</v>
      </c>
      <c r="L1521" s="1930" t="s">
        <v>138</v>
      </c>
    </row>
    <row r="1522" spans="1:12" ht="13.5" x14ac:dyDescent="0.25">
      <c r="A1522" s="1930" t="s">
        <v>4501</v>
      </c>
      <c r="B1522" s="1930" t="s">
        <v>4502</v>
      </c>
      <c r="C1522" s="1930" t="s">
        <v>4515</v>
      </c>
      <c r="D1522" s="1930" t="s">
        <v>4516</v>
      </c>
      <c r="E1522" s="1931" t="s">
        <v>33</v>
      </c>
      <c r="F1522" s="1930" t="s">
        <v>33</v>
      </c>
      <c r="G1522" s="1932">
        <v>98425</v>
      </c>
      <c r="H1522" s="1930" t="s">
        <v>5399</v>
      </c>
      <c r="I1522" s="1930" t="s">
        <v>168</v>
      </c>
      <c r="J1522" s="1930" t="s">
        <v>137</v>
      </c>
      <c r="K1522" s="1933">
        <v>2252.17</v>
      </c>
      <c r="L1522" s="1930" t="s">
        <v>138</v>
      </c>
    </row>
    <row r="1523" spans="1:12" ht="13.5" x14ac:dyDescent="0.25">
      <c r="A1523" s="1930" t="s">
        <v>4501</v>
      </c>
      <c r="B1523" s="1930" t="s">
        <v>4502</v>
      </c>
      <c r="C1523" s="1930" t="s">
        <v>4515</v>
      </c>
      <c r="D1523" s="1930" t="s">
        <v>4516</v>
      </c>
      <c r="E1523" s="1931" t="s">
        <v>33</v>
      </c>
      <c r="F1523" s="1930" t="s">
        <v>33</v>
      </c>
      <c r="G1523" s="1932">
        <v>98426</v>
      </c>
      <c r="H1523" s="1930" t="s">
        <v>5400</v>
      </c>
      <c r="I1523" s="1930" t="s">
        <v>168</v>
      </c>
      <c r="J1523" s="1930" t="s">
        <v>137</v>
      </c>
      <c r="K1523" s="1933">
        <v>2903.26</v>
      </c>
      <c r="L1523" s="1930" t="s">
        <v>138</v>
      </c>
    </row>
    <row r="1524" spans="1:12" ht="13.5" x14ac:dyDescent="0.25">
      <c r="A1524" s="1930" t="s">
        <v>4501</v>
      </c>
      <c r="B1524" s="1930" t="s">
        <v>4502</v>
      </c>
      <c r="C1524" s="1930" t="s">
        <v>4515</v>
      </c>
      <c r="D1524" s="1930" t="s">
        <v>4516</v>
      </c>
      <c r="E1524" s="1931" t="s">
        <v>33</v>
      </c>
      <c r="F1524" s="1930" t="s">
        <v>33</v>
      </c>
      <c r="G1524" s="1932">
        <v>98427</v>
      </c>
      <c r="H1524" s="1930" t="s">
        <v>5401</v>
      </c>
      <c r="I1524" s="1930" t="s">
        <v>168</v>
      </c>
      <c r="J1524" s="1930" t="s">
        <v>137</v>
      </c>
      <c r="K1524" s="1933">
        <v>3554.35</v>
      </c>
      <c r="L1524" s="1930" t="s">
        <v>138</v>
      </c>
    </row>
    <row r="1525" spans="1:12" ht="13.5" x14ac:dyDescent="0.25">
      <c r="A1525" s="1930" t="s">
        <v>4501</v>
      </c>
      <c r="B1525" s="1930" t="s">
        <v>4502</v>
      </c>
      <c r="C1525" s="1930" t="s">
        <v>4515</v>
      </c>
      <c r="D1525" s="1930" t="s">
        <v>4516</v>
      </c>
      <c r="E1525" s="1931" t="s">
        <v>33</v>
      </c>
      <c r="F1525" s="1930" t="s">
        <v>33</v>
      </c>
      <c r="G1525" s="1932">
        <v>98428</v>
      </c>
      <c r="H1525" s="1930" t="s">
        <v>5402</v>
      </c>
      <c r="I1525" s="1930" t="s">
        <v>168</v>
      </c>
      <c r="J1525" s="1930" t="s">
        <v>137</v>
      </c>
      <c r="K1525" s="1933">
        <v>3916.79</v>
      </c>
      <c r="L1525" s="1930" t="s">
        <v>138</v>
      </c>
    </row>
    <row r="1526" spans="1:12" ht="13.5" x14ac:dyDescent="0.25">
      <c r="A1526" s="1930" t="s">
        <v>4501</v>
      </c>
      <c r="B1526" s="1930" t="s">
        <v>4502</v>
      </c>
      <c r="C1526" s="1930" t="s">
        <v>4515</v>
      </c>
      <c r="D1526" s="1930" t="s">
        <v>4516</v>
      </c>
      <c r="E1526" s="1931" t="s">
        <v>33</v>
      </c>
      <c r="F1526" s="1930" t="s">
        <v>33</v>
      </c>
      <c r="G1526" s="1932">
        <v>98429</v>
      </c>
      <c r="H1526" s="1930" t="s">
        <v>5403</v>
      </c>
      <c r="I1526" s="1930" t="s">
        <v>168</v>
      </c>
      <c r="J1526" s="1930" t="s">
        <v>137</v>
      </c>
      <c r="K1526" s="1933">
        <v>4279.2299999999996</v>
      </c>
      <c r="L1526" s="1930" t="s">
        <v>138</v>
      </c>
    </row>
    <row r="1527" spans="1:12" ht="13.5" x14ac:dyDescent="0.25">
      <c r="A1527" s="1930" t="s">
        <v>4501</v>
      </c>
      <c r="B1527" s="1930" t="s">
        <v>4502</v>
      </c>
      <c r="C1527" s="1930" t="s">
        <v>4515</v>
      </c>
      <c r="D1527" s="1930" t="s">
        <v>4516</v>
      </c>
      <c r="E1527" s="1931" t="s">
        <v>33</v>
      </c>
      <c r="F1527" s="1930" t="s">
        <v>33</v>
      </c>
      <c r="G1527" s="1932">
        <v>98430</v>
      </c>
      <c r="H1527" s="1930" t="s">
        <v>5404</v>
      </c>
      <c r="I1527" s="1930" t="s">
        <v>168</v>
      </c>
      <c r="J1527" s="1930" t="s">
        <v>137</v>
      </c>
      <c r="K1527" s="1933">
        <v>2625.7</v>
      </c>
      <c r="L1527" s="1930" t="s">
        <v>138</v>
      </c>
    </row>
    <row r="1528" spans="1:12" ht="13.5" x14ac:dyDescent="0.25">
      <c r="A1528" s="1930" t="s">
        <v>4501</v>
      </c>
      <c r="B1528" s="1930" t="s">
        <v>4502</v>
      </c>
      <c r="C1528" s="1930" t="s">
        <v>4515</v>
      </c>
      <c r="D1528" s="1930" t="s">
        <v>4516</v>
      </c>
      <c r="E1528" s="1931" t="s">
        <v>33</v>
      </c>
      <c r="F1528" s="1930" t="s">
        <v>33</v>
      </c>
      <c r="G1528" s="1932">
        <v>98431</v>
      </c>
      <c r="H1528" s="1930" t="s">
        <v>5405</v>
      </c>
      <c r="I1528" s="1930" t="s">
        <v>168</v>
      </c>
      <c r="J1528" s="1930" t="s">
        <v>137</v>
      </c>
      <c r="K1528" s="1933">
        <v>3276.79</v>
      </c>
      <c r="L1528" s="1930" t="s">
        <v>138</v>
      </c>
    </row>
    <row r="1529" spans="1:12" ht="13.5" x14ac:dyDescent="0.25">
      <c r="A1529" s="1930" t="s">
        <v>4501</v>
      </c>
      <c r="B1529" s="1930" t="s">
        <v>4502</v>
      </c>
      <c r="C1529" s="1930" t="s">
        <v>4515</v>
      </c>
      <c r="D1529" s="1930" t="s">
        <v>4516</v>
      </c>
      <c r="E1529" s="1931" t="s">
        <v>33</v>
      </c>
      <c r="F1529" s="1930" t="s">
        <v>33</v>
      </c>
      <c r="G1529" s="1932">
        <v>98432</v>
      </c>
      <c r="H1529" s="1930" t="s">
        <v>5406</v>
      </c>
      <c r="I1529" s="1930" t="s">
        <v>168</v>
      </c>
      <c r="J1529" s="1930" t="s">
        <v>137</v>
      </c>
      <c r="K1529" s="1933">
        <v>3927.88</v>
      </c>
      <c r="L1529" s="1930" t="s">
        <v>138</v>
      </c>
    </row>
    <row r="1530" spans="1:12" ht="13.5" x14ac:dyDescent="0.25">
      <c r="A1530" s="1930" t="s">
        <v>4501</v>
      </c>
      <c r="B1530" s="1930" t="s">
        <v>4502</v>
      </c>
      <c r="C1530" s="1930" t="s">
        <v>4515</v>
      </c>
      <c r="D1530" s="1930" t="s">
        <v>4516</v>
      </c>
      <c r="E1530" s="1931" t="s">
        <v>33</v>
      </c>
      <c r="F1530" s="1930" t="s">
        <v>33</v>
      </c>
      <c r="G1530" s="1932">
        <v>98433</v>
      </c>
      <c r="H1530" s="1930" t="s">
        <v>5407</v>
      </c>
      <c r="I1530" s="1930" t="s">
        <v>168</v>
      </c>
      <c r="J1530" s="1930" t="s">
        <v>137</v>
      </c>
      <c r="K1530" s="1933">
        <v>4290.32</v>
      </c>
      <c r="L1530" s="1930" t="s">
        <v>138</v>
      </c>
    </row>
    <row r="1531" spans="1:12" ht="13.5" x14ac:dyDescent="0.25">
      <c r="A1531" s="1930" t="s">
        <v>4501</v>
      </c>
      <c r="B1531" s="1930" t="s">
        <v>4502</v>
      </c>
      <c r="C1531" s="1930" t="s">
        <v>4515</v>
      </c>
      <c r="D1531" s="1930" t="s">
        <v>4516</v>
      </c>
      <c r="E1531" s="1931" t="s">
        <v>33</v>
      </c>
      <c r="F1531" s="1930" t="s">
        <v>33</v>
      </c>
      <c r="G1531" s="1932">
        <v>98434</v>
      </c>
      <c r="H1531" s="1930" t="s">
        <v>5408</v>
      </c>
      <c r="I1531" s="1930" t="s">
        <v>168</v>
      </c>
      <c r="J1531" s="1930" t="s">
        <v>137</v>
      </c>
      <c r="K1531" s="1933">
        <v>4652.76</v>
      </c>
      <c r="L1531" s="1930" t="s">
        <v>138</v>
      </c>
    </row>
    <row r="1532" spans="1:12" ht="13.5" x14ac:dyDescent="0.25">
      <c r="A1532" s="1930" t="s">
        <v>4501</v>
      </c>
      <c r="B1532" s="1930" t="s">
        <v>4502</v>
      </c>
      <c r="C1532" s="1930" t="s">
        <v>4515</v>
      </c>
      <c r="D1532" s="1930" t="s">
        <v>4516</v>
      </c>
      <c r="E1532" s="1931" t="s">
        <v>33</v>
      </c>
      <c r="F1532" s="1930" t="s">
        <v>33</v>
      </c>
      <c r="G1532" s="1932">
        <v>99240</v>
      </c>
      <c r="H1532" s="1930" t="s">
        <v>6316</v>
      </c>
      <c r="I1532" s="1930" t="s">
        <v>136</v>
      </c>
      <c r="J1532" s="1930" t="s">
        <v>137</v>
      </c>
      <c r="K1532" s="1933">
        <v>445.79</v>
      </c>
      <c r="L1532" s="1930" t="s">
        <v>138</v>
      </c>
    </row>
    <row r="1533" spans="1:12" ht="13.5" x14ac:dyDescent="0.25">
      <c r="A1533" s="1930" t="s">
        <v>4501</v>
      </c>
      <c r="B1533" s="1930" t="s">
        <v>4502</v>
      </c>
      <c r="C1533" s="1930" t="s">
        <v>4515</v>
      </c>
      <c r="D1533" s="1930" t="s">
        <v>4516</v>
      </c>
      <c r="E1533" s="1931" t="s">
        <v>33</v>
      </c>
      <c r="F1533" s="1930" t="s">
        <v>33</v>
      </c>
      <c r="G1533" s="1932">
        <v>99241</v>
      </c>
      <c r="H1533" s="1930" t="s">
        <v>6317</v>
      </c>
      <c r="I1533" s="1930" t="s">
        <v>136</v>
      </c>
      <c r="J1533" s="1930" t="s">
        <v>320</v>
      </c>
      <c r="K1533" s="1933">
        <v>1339.82</v>
      </c>
      <c r="L1533" s="1930" t="s">
        <v>138</v>
      </c>
    </row>
    <row r="1534" spans="1:12" ht="13.5" x14ac:dyDescent="0.25">
      <c r="A1534" s="1930" t="s">
        <v>4501</v>
      </c>
      <c r="B1534" s="1930" t="s">
        <v>4502</v>
      </c>
      <c r="C1534" s="1930" t="s">
        <v>4515</v>
      </c>
      <c r="D1534" s="1930" t="s">
        <v>4516</v>
      </c>
      <c r="E1534" s="1931" t="s">
        <v>33</v>
      </c>
      <c r="F1534" s="1930" t="s">
        <v>33</v>
      </c>
      <c r="G1534" s="1932">
        <v>99242</v>
      </c>
      <c r="H1534" s="1930" t="s">
        <v>6318</v>
      </c>
      <c r="I1534" s="1930" t="s">
        <v>168</v>
      </c>
      <c r="J1534" s="1930" t="s">
        <v>137</v>
      </c>
      <c r="K1534" s="1933">
        <v>2175.96</v>
      </c>
      <c r="L1534" s="1930" t="s">
        <v>138</v>
      </c>
    </row>
    <row r="1535" spans="1:12" ht="13.5" x14ac:dyDescent="0.25">
      <c r="A1535" s="1930" t="s">
        <v>4501</v>
      </c>
      <c r="B1535" s="1930" t="s">
        <v>4502</v>
      </c>
      <c r="C1535" s="1930" t="s">
        <v>4515</v>
      </c>
      <c r="D1535" s="1930" t="s">
        <v>4516</v>
      </c>
      <c r="E1535" s="1931" t="s">
        <v>33</v>
      </c>
      <c r="F1535" s="1930" t="s">
        <v>33</v>
      </c>
      <c r="G1535" s="1932">
        <v>99243</v>
      </c>
      <c r="H1535" s="1930" t="s">
        <v>6319</v>
      </c>
      <c r="I1535" s="1930" t="s">
        <v>136</v>
      </c>
      <c r="J1535" s="1930" t="s">
        <v>320</v>
      </c>
      <c r="K1535" s="1933">
        <v>1241.0999999999999</v>
      </c>
      <c r="L1535" s="1930" t="s">
        <v>138</v>
      </c>
    </row>
    <row r="1536" spans="1:12" ht="13.5" x14ac:dyDescent="0.25">
      <c r="A1536" s="1930" t="s">
        <v>4501</v>
      </c>
      <c r="B1536" s="1930" t="s">
        <v>4502</v>
      </c>
      <c r="C1536" s="1930" t="s">
        <v>4515</v>
      </c>
      <c r="D1536" s="1930" t="s">
        <v>4516</v>
      </c>
      <c r="E1536" s="1931" t="s">
        <v>33</v>
      </c>
      <c r="F1536" s="1930" t="s">
        <v>33</v>
      </c>
      <c r="G1536" s="1932">
        <v>99244</v>
      </c>
      <c r="H1536" s="1930" t="s">
        <v>6320</v>
      </c>
      <c r="I1536" s="1930" t="s">
        <v>168</v>
      </c>
      <c r="J1536" s="1930" t="s">
        <v>137</v>
      </c>
      <c r="K1536" s="1933">
        <v>3645.42</v>
      </c>
      <c r="L1536" s="1930" t="s">
        <v>138</v>
      </c>
    </row>
    <row r="1537" spans="1:12" ht="13.5" x14ac:dyDescent="0.25">
      <c r="A1537" s="1930" t="s">
        <v>4501</v>
      </c>
      <c r="B1537" s="1930" t="s">
        <v>4502</v>
      </c>
      <c r="C1537" s="1930" t="s">
        <v>4515</v>
      </c>
      <c r="D1537" s="1930" t="s">
        <v>4516</v>
      </c>
      <c r="E1537" s="1931" t="s">
        <v>33</v>
      </c>
      <c r="F1537" s="1930" t="s">
        <v>33</v>
      </c>
      <c r="G1537" s="1932">
        <v>99246</v>
      </c>
      <c r="H1537" s="1930" t="s">
        <v>6321</v>
      </c>
      <c r="I1537" s="1930" t="s">
        <v>136</v>
      </c>
      <c r="J1537" s="1930" t="s">
        <v>137</v>
      </c>
      <c r="K1537" s="1933">
        <v>692.52</v>
      </c>
      <c r="L1537" s="1930" t="s">
        <v>138</v>
      </c>
    </row>
    <row r="1538" spans="1:12" ht="13.5" x14ac:dyDescent="0.25">
      <c r="A1538" s="1930" t="s">
        <v>4501</v>
      </c>
      <c r="B1538" s="1930" t="s">
        <v>4502</v>
      </c>
      <c r="C1538" s="1930" t="s">
        <v>4515</v>
      </c>
      <c r="D1538" s="1930" t="s">
        <v>4516</v>
      </c>
      <c r="E1538" s="1931" t="s">
        <v>33</v>
      </c>
      <c r="F1538" s="1930" t="s">
        <v>33</v>
      </c>
      <c r="G1538" s="1932">
        <v>99247</v>
      </c>
      <c r="H1538" s="1930" t="s">
        <v>6322</v>
      </c>
      <c r="I1538" s="1930" t="s">
        <v>136</v>
      </c>
      <c r="J1538" s="1930" t="s">
        <v>320</v>
      </c>
      <c r="K1538" s="1933">
        <v>1529.14</v>
      </c>
      <c r="L1538" s="1930" t="s">
        <v>138</v>
      </c>
    </row>
    <row r="1539" spans="1:12" ht="13.5" x14ac:dyDescent="0.25">
      <c r="A1539" s="1930" t="s">
        <v>4501</v>
      </c>
      <c r="B1539" s="1930" t="s">
        <v>4502</v>
      </c>
      <c r="C1539" s="1930" t="s">
        <v>4515</v>
      </c>
      <c r="D1539" s="1930" t="s">
        <v>4516</v>
      </c>
      <c r="E1539" s="1931" t="s">
        <v>33</v>
      </c>
      <c r="F1539" s="1930" t="s">
        <v>33</v>
      </c>
      <c r="G1539" s="1932">
        <v>99248</v>
      </c>
      <c r="H1539" s="1930" t="s">
        <v>6323</v>
      </c>
      <c r="I1539" s="1930" t="s">
        <v>168</v>
      </c>
      <c r="J1539" s="1930" t="s">
        <v>137</v>
      </c>
      <c r="K1539" s="1933">
        <v>2764.72</v>
      </c>
      <c r="L1539" s="1930" t="s">
        <v>138</v>
      </c>
    </row>
    <row r="1540" spans="1:12" ht="13.5" x14ac:dyDescent="0.25">
      <c r="A1540" s="1930" t="s">
        <v>4501</v>
      </c>
      <c r="B1540" s="1930" t="s">
        <v>4502</v>
      </c>
      <c r="C1540" s="1930" t="s">
        <v>4515</v>
      </c>
      <c r="D1540" s="1930" t="s">
        <v>4516</v>
      </c>
      <c r="E1540" s="1931" t="s">
        <v>33</v>
      </c>
      <c r="F1540" s="1930" t="s">
        <v>33</v>
      </c>
      <c r="G1540" s="1932">
        <v>99249</v>
      </c>
      <c r="H1540" s="1930" t="s">
        <v>6324</v>
      </c>
      <c r="I1540" s="1930" t="s">
        <v>136</v>
      </c>
      <c r="J1540" s="1930" t="s">
        <v>320</v>
      </c>
      <c r="K1540" s="1933">
        <v>1520.35</v>
      </c>
      <c r="L1540" s="1930" t="s">
        <v>138</v>
      </c>
    </row>
    <row r="1541" spans="1:12" ht="13.5" x14ac:dyDescent="0.25">
      <c r="A1541" s="1930" t="s">
        <v>4501</v>
      </c>
      <c r="B1541" s="1930" t="s">
        <v>4502</v>
      </c>
      <c r="C1541" s="1930" t="s">
        <v>4515</v>
      </c>
      <c r="D1541" s="1930" t="s">
        <v>4516</v>
      </c>
      <c r="E1541" s="1931" t="s">
        <v>33</v>
      </c>
      <c r="F1541" s="1930" t="s">
        <v>33</v>
      </c>
      <c r="G1541" s="1932">
        <v>99252</v>
      </c>
      <c r="H1541" s="1930" t="s">
        <v>6325</v>
      </c>
      <c r="I1541" s="1930" t="s">
        <v>168</v>
      </c>
      <c r="J1541" s="1930" t="s">
        <v>137</v>
      </c>
      <c r="K1541" s="1933">
        <v>1919.68</v>
      </c>
      <c r="L1541" s="1930" t="s">
        <v>138</v>
      </c>
    </row>
    <row r="1542" spans="1:12" ht="13.5" x14ac:dyDescent="0.25">
      <c r="A1542" s="1930" t="s">
        <v>4501</v>
      </c>
      <c r="B1542" s="1930" t="s">
        <v>4502</v>
      </c>
      <c r="C1542" s="1930" t="s">
        <v>4515</v>
      </c>
      <c r="D1542" s="1930" t="s">
        <v>4516</v>
      </c>
      <c r="E1542" s="1931" t="s">
        <v>33</v>
      </c>
      <c r="F1542" s="1930" t="s">
        <v>33</v>
      </c>
      <c r="G1542" s="1932">
        <v>99254</v>
      </c>
      <c r="H1542" s="1930" t="s">
        <v>6326</v>
      </c>
      <c r="I1542" s="1930" t="s">
        <v>136</v>
      </c>
      <c r="J1542" s="1930" t="s">
        <v>320</v>
      </c>
      <c r="K1542" s="1933">
        <v>961.19</v>
      </c>
      <c r="L1542" s="1930" t="s">
        <v>138</v>
      </c>
    </row>
    <row r="1543" spans="1:12" ht="13.5" x14ac:dyDescent="0.25">
      <c r="A1543" s="1930" t="s">
        <v>4501</v>
      </c>
      <c r="B1543" s="1930" t="s">
        <v>4502</v>
      </c>
      <c r="C1543" s="1930" t="s">
        <v>4515</v>
      </c>
      <c r="D1543" s="1930" t="s">
        <v>4516</v>
      </c>
      <c r="E1543" s="1931" t="s">
        <v>33</v>
      </c>
      <c r="F1543" s="1930" t="s">
        <v>33</v>
      </c>
      <c r="G1543" s="1932">
        <v>99256</v>
      </c>
      <c r="H1543" s="1930" t="s">
        <v>6327</v>
      </c>
      <c r="I1543" s="1930" t="s">
        <v>168</v>
      </c>
      <c r="J1543" s="1930" t="s">
        <v>137</v>
      </c>
      <c r="K1543" s="1933">
        <v>4277.1400000000003</v>
      </c>
      <c r="L1543" s="1930" t="s">
        <v>138</v>
      </c>
    </row>
    <row r="1544" spans="1:12" ht="13.5" x14ac:dyDescent="0.25">
      <c r="A1544" s="1930" t="s">
        <v>4501</v>
      </c>
      <c r="B1544" s="1930" t="s">
        <v>4502</v>
      </c>
      <c r="C1544" s="1930" t="s">
        <v>4515</v>
      </c>
      <c r="D1544" s="1930" t="s">
        <v>4516</v>
      </c>
      <c r="E1544" s="1931" t="s">
        <v>33</v>
      </c>
      <c r="F1544" s="1930" t="s">
        <v>33</v>
      </c>
      <c r="G1544" s="1932">
        <v>99259</v>
      </c>
      <c r="H1544" s="1930" t="s">
        <v>6328</v>
      </c>
      <c r="I1544" s="1930" t="s">
        <v>168</v>
      </c>
      <c r="J1544" s="1930" t="s">
        <v>137</v>
      </c>
      <c r="K1544" s="1933">
        <v>2424.0300000000002</v>
      </c>
      <c r="L1544" s="1930" t="s">
        <v>138</v>
      </c>
    </row>
    <row r="1545" spans="1:12" ht="13.5" x14ac:dyDescent="0.25">
      <c r="A1545" s="1930" t="s">
        <v>4501</v>
      </c>
      <c r="B1545" s="1930" t="s">
        <v>4502</v>
      </c>
      <c r="C1545" s="1930" t="s">
        <v>4515</v>
      </c>
      <c r="D1545" s="1930" t="s">
        <v>4516</v>
      </c>
      <c r="E1545" s="1931" t="s">
        <v>33</v>
      </c>
      <c r="F1545" s="1930" t="s">
        <v>33</v>
      </c>
      <c r="G1545" s="1932">
        <v>99261</v>
      </c>
      <c r="H1545" s="1930" t="s">
        <v>6329</v>
      </c>
      <c r="I1545" s="1930" t="s">
        <v>136</v>
      </c>
      <c r="J1545" s="1930" t="s">
        <v>320</v>
      </c>
      <c r="K1545" s="1933">
        <v>1150.51</v>
      </c>
      <c r="L1545" s="1930" t="s">
        <v>138</v>
      </c>
    </row>
    <row r="1546" spans="1:12" ht="13.5" x14ac:dyDescent="0.25">
      <c r="A1546" s="1930" t="s">
        <v>4501</v>
      </c>
      <c r="B1546" s="1930" t="s">
        <v>4502</v>
      </c>
      <c r="C1546" s="1930" t="s">
        <v>4515</v>
      </c>
      <c r="D1546" s="1930" t="s">
        <v>4516</v>
      </c>
      <c r="E1546" s="1931" t="s">
        <v>33</v>
      </c>
      <c r="F1546" s="1930" t="s">
        <v>33</v>
      </c>
      <c r="G1546" s="1932">
        <v>99263</v>
      </c>
      <c r="H1546" s="1930" t="s">
        <v>6330</v>
      </c>
      <c r="I1546" s="1930" t="s">
        <v>136</v>
      </c>
      <c r="J1546" s="1930" t="s">
        <v>320</v>
      </c>
      <c r="K1546" s="1933">
        <v>1718.49</v>
      </c>
      <c r="L1546" s="1930" t="s">
        <v>138</v>
      </c>
    </row>
    <row r="1547" spans="1:12" ht="13.5" x14ac:dyDescent="0.25">
      <c r="A1547" s="1930" t="s">
        <v>4501</v>
      </c>
      <c r="B1547" s="1930" t="s">
        <v>4502</v>
      </c>
      <c r="C1547" s="1930" t="s">
        <v>4515</v>
      </c>
      <c r="D1547" s="1930" t="s">
        <v>4516</v>
      </c>
      <c r="E1547" s="1931" t="s">
        <v>33</v>
      </c>
      <c r="F1547" s="1930" t="s">
        <v>33</v>
      </c>
      <c r="G1547" s="1932">
        <v>99265</v>
      </c>
      <c r="H1547" s="1930" t="s">
        <v>6331</v>
      </c>
      <c r="I1547" s="1930" t="s">
        <v>168</v>
      </c>
      <c r="J1547" s="1930" t="s">
        <v>137</v>
      </c>
      <c r="K1547" s="1933">
        <v>2928.38</v>
      </c>
      <c r="L1547" s="1930" t="s">
        <v>138</v>
      </c>
    </row>
    <row r="1548" spans="1:12" ht="13.5" x14ac:dyDescent="0.25">
      <c r="A1548" s="1930" t="s">
        <v>4501</v>
      </c>
      <c r="B1548" s="1930" t="s">
        <v>4502</v>
      </c>
      <c r="C1548" s="1930" t="s">
        <v>4515</v>
      </c>
      <c r="D1548" s="1930" t="s">
        <v>4516</v>
      </c>
      <c r="E1548" s="1931" t="s">
        <v>33</v>
      </c>
      <c r="F1548" s="1930" t="s">
        <v>33</v>
      </c>
      <c r="G1548" s="1932">
        <v>99266</v>
      </c>
      <c r="H1548" s="1930" t="s">
        <v>6332</v>
      </c>
      <c r="I1548" s="1930" t="s">
        <v>136</v>
      </c>
      <c r="J1548" s="1930" t="s">
        <v>320</v>
      </c>
      <c r="K1548" s="1933">
        <v>1339.82</v>
      </c>
      <c r="L1548" s="1930" t="s">
        <v>138</v>
      </c>
    </row>
    <row r="1549" spans="1:12" ht="13.5" x14ac:dyDescent="0.25">
      <c r="A1549" s="1930" t="s">
        <v>4501</v>
      </c>
      <c r="B1549" s="1930" t="s">
        <v>4502</v>
      </c>
      <c r="C1549" s="1930" t="s">
        <v>4515</v>
      </c>
      <c r="D1549" s="1930" t="s">
        <v>4516</v>
      </c>
      <c r="E1549" s="1931" t="s">
        <v>33</v>
      </c>
      <c r="F1549" s="1930" t="s">
        <v>33</v>
      </c>
      <c r="G1549" s="1932">
        <v>99267</v>
      </c>
      <c r="H1549" s="1930" t="s">
        <v>6333</v>
      </c>
      <c r="I1549" s="1930" t="s">
        <v>168</v>
      </c>
      <c r="J1549" s="1930" t="s">
        <v>137</v>
      </c>
      <c r="K1549" s="1933">
        <v>3432.73</v>
      </c>
      <c r="L1549" s="1930" t="s">
        <v>138</v>
      </c>
    </row>
    <row r="1550" spans="1:12" ht="13.5" x14ac:dyDescent="0.25">
      <c r="A1550" s="1930" t="s">
        <v>4501</v>
      </c>
      <c r="B1550" s="1930" t="s">
        <v>4502</v>
      </c>
      <c r="C1550" s="1930" t="s">
        <v>4515</v>
      </c>
      <c r="D1550" s="1930" t="s">
        <v>4516</v>
      </c>
      <c r="E1550" s="1931" t="s">
        <v>33</v>
      </c>
      <c r="F1550" s="1930" t="s">
        <v>33</v>
      </c>
      <c r="G1550" s="1932">
        <v>99269</v>
      </c>
      <c r="H1550" s="1930" t="s">
        <v>6334</v>
      </c>
      <c r="I1550" s="1930" t="s">
        <v>136</v>
      </c>
      <c r="J1550" s="1930" t="s">
        <v>320</v>
      </c>
      <c r="K1550" s="1933">
        <v>1529.14</v>
      </c>
      <c r="L1550" s="1930" t="s">
        <v>138</v>
      </c>
    </row>
    <row r="1551" spans="1:12" ht="13.5" x14ac:dyDescent="0.25">
      <c r="A1551" s="1930" t="s">
        <v>4501</v>
      </c>
      <c r="B1551" s="1930" t="s">
        <v>4502</v>
      </c>
      <c r="C1551" s="1930" t="s">
        <v>4515</v>
      </c>
      <c r="D1551" s="1930" t="s">
        <v>4516</v>
      </c>
      <c r="E1551" s="1931" t="s">
        <v>33</v>
      </c>
      <c r="F1551" s="1930" t="s">
        <v>33</v>
      </c>
      <c r="G1551" s="1932">
        <v>99271</v>
      </c>
      <c r="H1551" s="1930" t="s">
        <v>6335</v>
      </c>
      <c r="I1551" s="1930" t="s">
        <v>168</v>
      </c>
      <c r="J1551" s="1930" t="s">
        <v>137</v>
      </c>
      <c r="K1551" s="1933">
        <v>4908.74</v>
      </c>
      <c r="L1551" s="1930" t="s">
        <v>138</v>
      </c>
    </row>
    <row r="1552" spans="1:12" ht="13.5" x14ac:dyDescent="0.25">
      <c r="A1552" s="1930" t="s">
        <v>4501</v>
      </c>
      <c r="B1552" s="1930" t="s">
        <v>4502</v>
      </c>
      <c r="C1552" s="1930" t="s">
        <v>4515</v>
      </c>
      <c r="D1552" s="1930" t="s">
        <v>4516</v>
      </c>
      <c r="E1552" s="1931" t="s">
        <v>33</v>
      </c>
      <c r="F1552" s="1930" t="s">
        <v>33</v>
      </c>
      <c r="G1552" s="1932">
        <v>99272</v>
      </c>
      <c r="H1552" s="1930" t="s">
        <v>6336</v>
      </c>
      <c r="I1552" s="1930" t="s">
        <v>168</v>
      </c>
      <c r="J1552" s="1930" t="s">
        <v>137</v>
      </c>
      <c r="K1552" s="1933">
        <v>806.17</v>
      </c>
      <c r="L1552" s="1930" t="s">
        <v>138</v>
      </c>
    </row>
    <row r="1553" spans="1:12" ht="13.5" x14ac:dyDescent="0.25">
      <c r="A1553" s="1930" t="s">
        <v>4501</v>
      </c>
      <c r="B1553" s="1930" t="s">
        <v>4502</v>
      </c>
      <c r="C1553" s="1930" t="s">
        <v>4515</v>
      </c>
      <c r="D1553" s="1930" t="s">
        <v>4516</v>
      </c>
      <c r="E1553" s="1931" t="s">
        <v>33</v>
      </c>
      <c r="F1553" s="1930" t="s">
        <v>33</v>
      </c>
      <c r="G1553" s="1932">
        <v>99273</v>
      </c>
      <c r="H1553" s="1930" t="s">
        <v>6337</v>
      </c>
      <c r="I1553" s="1930" t="s">
        <v>168</v>
      </c>
      <c r="J1553" s="1930" t="s">
        <v>137</v>
      </c>
      <c r="K1553" s="1933">
        <v>1157.8399999999999</v>
      </c>
      <c r="L1553" s="1930" t="s">
        <v>138</v>
      </c>
    </row>
    <row r="1554" spans="1:12" ht="13.5" x14ac:dyDescent="0.25">
      <c r="A1554" s="1930" t="s">
        <v>4501</v>
      </c>
      <c r="B1554" s="1930" t="s">
        <v>4502</v>
      </c>
      <c r="C1554" s="1930" t="s">
        <v>4515</v>
      </c>
      <c r="D1554" s="1930" t="s">
        <v>4516</v>
      </c>
      <c r="E1554" s="1931" t="s">
        <v>33</v>
      </c>
      <c r="F1554" s="1930" t="s">
        <v>33</v>
      </c>
      <c r="G1554" s="1932">
        <v>99274</v>
      </c>
      <c r="H1554" s="1930" t="s">
        <v>6338</v>
      </c>
      <c r="I1554" s="1930" t="s">
        <v>168</v>
      </c>
      <c r="J1554" s="1930" t="s">
        <v>137</v>
      </c>
      <c r="K1554" s="1933">
        <v>3956.87</v>
      </c>
      <c r="L1554" s="1930" t="s">
        <v>138</v>
      </c>
    </row>
    <row r="1555" spans="1:12" ht="13.5" x14ac:dyDescent="0.25">
      <c r="A1555" s="1930" t="s">
        <v>4501</v>
      </c>
      <c r="B1555" s="1930" t="s">
        <v>4502</v>
      </c>
      <c r="C1555" s="1930" t="s">
        <v>4515</v>
      </c>
      <c r="D1555" s="1930" t="s">
        <v>4516</v>
      </c>
      <c r="E1555" s="1931" t="s">
        <v>33</v>
      </c>
      <c r="F1555" s="1930" t="s">
        <v>33</v>
      </c>
      <c r="G1555" s="1932">
        <v>99276</v>
      </c>
      <c r="H1555" s="1930" t="s">
        <v>6339</v>
      </c>
      <c r="I1555" s="1930" t="s">
        <v>136</v>
      </c>
      <c r="J1555" s="1930" t="s">
        <v>320</v>
      </c>
      <c r="K1555" s="1933">
        <v>1907.8</v>
      </c>
      <c r="L1555" s="1930" t="s">
        <v>138</v>
      </c>
    </row>
    <row r="1556" spans="1:12" ht="13.5" x14ac:dyDescent="0.25">
      <c r="A1556" s="1930" t="s">
        <v>4501</v>
      </c>
      <c r="B1556" s="1930" t="s">
        <v>4502</v>
      </c>
      <c r="C1556" s="1930" t="s">
        <v>4515</v>
      </c>
      <c r="D1556" s="1930" t="s">
        <v>4516</v>
      </c>
      <c r="E1556" s="1931" t="s">
        <v>33</v>
      </c>
      <c r="F1556" s="1930" t="s">
        <v>33</v>
      </c>
      <c r="G1556" s="1932">
        <v>99277</v>
      </c>
      <c r="H1556" s="1930" t="s">
        <v>6340</v>
      </c>
      <c r="I1556" s="1930" t="s">
        <v>136</v>
      </c>
      <c r="J1556" s="1930" t="s">
        <v>320</v>
      </c>
      <c r="K1556" s="1933">
        <v>1718.49</v>
      </c>
      <c r="L1556" s="1930" t="s">
        <v>138</v>
      </c>
    </row>
    <row r="1557" spans="1:12" ht="13.5" x14ac:dyDescent="0.25">
      <c r="A1557" s="1930" t="s">
        <v>4501</v>
      </c>
      <c r="B1557" s="1930" t="s">
        <v>4502</v>
      </c>
      <c r="C1557" s="1930" t="s">
        <v>4515</v>
      </c>
      <c r="D1557" s="1930" t="s">
        <v>4516</v>
      </c>
      <c r="E1557" s="1931" t="s">
        <v>33</v>
      </c>
      <c r="F1557" s="1930" t="s">
        <v>33</v>
      </c>
      <c r="G1557" s="1932">
        <v>99278</v>
      </c>
      <c r="H1557" s="1930" t="s">
        <v>6341</v>
      </c>
      <c r="I1557" s="1930" t="s">
        <v>136</v>
      </c>
      <c r="J1557" s="1930" t="s">
        <v>137</v>
      </c>
      <c r="K1557" s="1933">
        <v>331.4</v>
      </c>
      <c r="L1557" s="1930" t="s">
        <v>138</v>
      </c>
    </row>
    <row r="1558" spans="1:12" ht="13.5" x14ac:dyDescent="0.25">
      <c r="A1558" s="1930" t="s">
        <v>4501</v>
      </c>
      <c r="B1558" s="1930" t="s">
        <v>4502</v>
      </c>
      <c r="C1558" s="1930" t="s">
        <v>4515</v>
      </c>
      <c r="D1558" s="1930" t="s">
        <v>4516</v>
      </c>
      <c r="E1558" s="1931" t="s">
        <v>33</v>
      </c>
      <c r="F1558" s="1930" t="s">
        <v>33</v>
      </c>
      <c r="G1558" s="1932">
        <v>99279</v>
      </c>
      <c r="H1558" s="1930" t="s">
        <v>6342</v>
      </c>
      <c r="I1558" s="1930" t="s">
        <v>168</v>
      </c>
      <c r="J1558" s="1930" t="s">
        <v>137</v>
      </c>
      <c r="K1558" s="1933">
        <v>4463.63</v>
      </c>
      <c r="L1558" s="1930" t="s">
        <v>138</v>
      </c>
    </row>
    <row r="1559" spans="1:12" ht="13.5" x14ac:dyDescent="0.25">
      <c r="A1559" s="1930" t="s">
        <v>4501</v>
      </c>
      <c r="B1559" s="1930" t="s">
        <v>4502</v>
      </c>
      <c r="C1559" s="1930" t="s">
        <v>4515</v>
      </c>
      <c r="D1559" s="1930" t="s">
        <v>4516</v>
      </c>
      <c r="E1559" s="1931" t="s">
        <v>33</v>
      </c>
      <c r="F1559" s="1930" t="s">
        <v>33</v>
      </c>
      <c r="G1559" s="1932">
        <v>99280</v>
      </c>
      <c r="H1559" s="1930" t="s">
        <v>6343</v>
      </c>
      <c r="I1559" s="1930" t="s">
        <v>168</v>
      </c>
      <c r="J1559" s="1930" t="s">
        <v>137</v>
      </c>
      <c r="K1559" s="1933">
        <v>1497.58</v>
      </c>
      <c r="L1559" s="1930" t="s">
        <v>138</v>
      </c>
    </row>
    <row r="1560" spans="1:12" ht="13.5" x14ac:dyDescent="0.25">
      <c r="A1560" s="1930" t="s">
        <v>4501</v>
      </c>
      <c r="B1560" s="1930" t="s">
        <v>4502</v>
      </c>
      <c r="C1560" s="1930" t="s">
        <v>4515</v>
      </c>
      <c r="D1560" s="1930" t="s">
        <v>4516</v>
      </c>
      <c r="E1560" s="1931" t="s">
        <v>33</v>
      </c>
      <c r="F1560" s="1930" t="s">
        <v>33</v>
      </c>
      <c r="G1560" s="1932">
        <v>99281</v>
      </c>
      <c r="H1560" s="1930" t="s">
        <v>6344</v>
      </c>
      <c r="I1560" s="1930" t="s">
        <v>136</v>
      </c>
      <c r="J1560" s="1930" t="s">
        <v>320</v>
      </c>
      <c r="K1560" s="1933">
        <v>1907.8</v>
      </c>
      <c r="L1560" s="1930" t="s">
        <v>138</v>
      </c>
    </row>
    <row r="1561" spans="1:12" ht="13.5" x14ac:dyDescent="0.25">
      <c r="A1561" s="1930" t="s">
        <v>4501</v>
      </c>
      <c r="B1561" s="1930" t="s">
        <v>4502</v>
      </c>
      <c r="C1561" s="1930" t="s">
        <v>4515</v>
      </c>
      <c r="D1561" s="1930" t="s">
        <v>4516</v>
      </c>
      <c r="E1561" s="1931" t="s">
        <v>33</v>
      </c>
      <c r="F1561" s="1930" t="s">
        <v>33</v>
      </c>
      <c r="G1561" s="1932">
        <v>99282</v>
      </c>
      <c r="H1561" s="1930" t="s">
        <v>6345</v>
      </c>
      <c r="I1561" s="1930" t="s">
        <v>136</v>
      </c>
      <c r="J1561" s="1930" t="s">
        <v>320</v>
      </c>
      <c r="K1561" s="1933">
        <v>2125.0500000000002</v>
      </c>
      <c r="L1561" s="1930" t="s">
        <v>138</v>
      </c>
    </row>
    <row r="1562" spans="1:12" ht="13.5" x14ac:dyDescent="0.25">
      <c r="A1562" s="1930" t="s">
        <v>4501</v>
      </c>
      <c r="B1562" s="1930" t="s">
        <v>4502</v>
      </c>
      <c r="C1562" s="1930" t="s">
        <v>4515</v>
      </c>
      <c r="D1562" s="1930" t="s">
        <v>4516</v>
      </c>
      <c r="E1562" s="1931" t="s">
        <v>33</v>
      </c>
      <c r="F1562" s="1930" t="s">
        <v>33</v>
      </c>
      <c r="G1562" s="1932">
        <v>99283</v>
      </c>
      <c r="H1562" s="1930" t="s">
        <v>6346</v>
      </c>
      <c r="I1562" s="1930" t="s">
        <v>136</v>
      </c>
      <c r="J1562" s="1930" t="s">
        <v>320</v>
      </c>
      <c r="K1562" s="1933">
        <v>868.74</v>
      </c>
      <c r="L1562" s="1930" t="s">
        <v>138</v>
      </c>
    </row>
    <row r="1563" spans="1:12" ht="13.5" x14ac:dyDescent="0.25">
      <c r="A1563" s="1930" t="s">
        <v>4501</v>
      </c>
      <c r="B1563" s="1930" t="s">
        <v>4502</v>
      </c>
      <c r="C1563" s="1930" t="s">
        <v>4515</v>
      </c>
      <c r="D1563" s="1930" t="s">
        <v>4516</v>
      </c>
      <c r="E1563" s="1931" t="s">
        <v>33</v>
      </c>
      <c r="F1563" s="1930" t="s">
        <v>33</v>
      </c>
      <c r="G1563" s="1932">
        <v>99284</v>
      </c>
      <c r="H1563" s="1930" t="s">
        <v>6347</v>
      </c>
      <c r="I1563" s="1930" t="s">
        <v>168</v>
      </c>
      <c r="J1563" s="1930" t="s">
        <v>137</v>
      </c>
      <c r="K1563" s="1933">
        <v>5540.46</v>
      </c>
      <c r="L1563" s="1930" t="s">
        <v>138</v>
      </c>
    </row>
    <row r="1564" spans="1:12" ht="13.5" x14ac:dyDescent="0.25">
      <c r="A1564" s="1930" t="s">
        <v>4501</v>
      </c>
      <c r="B1564" s="1930" t="s">
        <v>4502</v>
      </c>
      <c r="C1564" s="1930" t="s">
        <v>4515</v>
      </c>
      <c r="D1564" s="1930" t="s">
        <v>4516</v>
      </c>
      <c r="E1564" s="1931" t="s">
        <v>33</v>
      </c>
      <c r="F1564" s="1930" t="s">
        <v>33</v>
      </c>
      <c r="G1564" s="1932">
        <v>99286</v>
      </c>
      <c r="H1564" s="1930" t="s">
        <v>6348</v>
      </c>
      <c r="I1564" s="1930" t="s">
        <v>168</v>
      </c>
      <c r="J1564" s="1930" t="s">
        <v>137</v>
      </c>
      <c r="K1564" s="1933">
        <v>4970.55</v>
      </c>
      <c r="L1564" s="1930" t="s">
        <v>138</v>
      </c>
    </row>
    <row r="1565" spans="1:12" ht="13.5" x14ac:dyDescent="0.25">
      <c r="A1565" s="1930" t="s">
        <v>4501</v>
      </c>
      <c r="B1565" s="1930" t="s">
        <v>4502</v>
      </c>
      <c r="C1565" s="1930" t="s">
        <v>4515</v>
      </c>
      <c r="D1565" s="1930" t="s">
        <v>4516</v>
      </c>
      <c r="E1565" s="1931" t="s">
        <v>33</v>
      </c>
      <c r="F1565" s="1930" t="s">
        <v>33</v>
      </c>
      <c r="G1565" s="1932">
        <v>99287</v>
      </c>
      <c r="H1565" s="1930" t="s">
        <v>6349</v>
      </c>
      <c r="I1565" s="1930" t="s">
        <v>168</v>
      </c>
      <c r="J1565" s="1930" t="s">
        <v>137</v>
      </c>
      <c r="K1565" s="1933">
        <v>6978.39</v>
      </c>
      <c r="L1565" s="1930" t="s">
        <v>138</v>
      </c>
    </row>
    <row r="1566" spans="1:12" ht="13.5" x14ac:dyDescent="0.25">
      <c r="A1566" s="1930" t="s">
        <v>4501</v>
      </c>
      <c r="B1566" s="1930" t="s">
        <v>4502</v>
      </c>
      <c r="C1566" s="1930" t="s">
        <v>4515</v>
      </c>
      <c r="D1566" s="1930" t="s">
        <v>4516</v>
      </c>
      <c r="E1566" s="1931" t="s">
        <v>33</v>
      </c>
      <c r="F1566" s="1930" t="s">
        <v>33</v>
      </c>
      <c r="G1566" s="1932">
        <v>99288</v>
      </c>
      <c r="H1566" s="1930" t="s">
        <v>6350</v>
      </c>
      <c r="I1566" s="1930" t="s">
        <v>136</v>
      </c>
      <c r="J1566" s="1930" t="s">
        <v>137</v>
      </c>
      <c r="K1566" s="1933">
        <v>400.33</v>
      </c>
      <c r="L1566" s="1930" t="s">
        <v>138</v>
      </c>
    </row>
    <row r="1567" spans="1:12" ht="13.5" x14ac:dyDescent="0.25">
      <c r="A1567" s="1930" t="s">
        <v>4501</v>
      </c>
      <c r="B1567" s="1930" t="s">
        <v>4502</v>
      </c>
      <c r="C1567" s="1930" t="s">
        <v>4515</v>
      </c>
      <c r="D1567" s="1930" t="s">
        <v>4516</v>
      </c>
      <c r="E1567" s="1931" t="s">
        <v>33</v>
      </c>
      <c r="F1567" s="1930" t="s">
        <v>33</v>
      </c>
      <c r="G1567" s="1932">
        <v>99289</v>
      </c>
      <c r="H1567" s="1930" t="s">
        <v>6351</v>
      </c>
      <c r="I1567" s="1930" t="s">
        <v>136</v>
      </c>
      <c r="J1567" s="1930" t="s">
        <v>320</v>
      </c>
      <c r="K1567" s="1933">
        <v>2097.11</v>
      </c>
      <c r="L1567" s="1930" t="s">
        <v>138</v>
      </c>
    </row>
    <row r="1568" spans="1:12" ht="13.5" x14ac:dyDescent="0.25">
      <c r="A1568" s="1930" t="s">
        <v>4501</v>
      </c>
      <c r="B1568" s="1930" t="s">
        <v>4502</v>
      </c>
      <c r="C1568" s="1930" t="s">
        <v>4515</v>
      </c>
      <c r="D1568" s="1930" t="s">
        <v>4516</v>
      </c>
      <c r="E1568" s="1931" t="s">
        <v>33</v>
      </c>
      <c r="F1568" s="1930" t="s">
        <v>33</v>
      </c>
      <c r="G1568" s="1932">
        <v>99290</v>
      </c>
      <c r="H1568" s="1930" t="s">
        <v>6352</v>
      </c>
      <c r="I1568" s="1930" t="s">
        <v>168</v>
      </c>
      <c r="J1568" s="1930" t="s">
        <v>137</v>
      </c>
      <c r="K1568" s="1933">
        <v>2998.19</v>
      </c>
      <c r="L1568" s="1930" t="s">
        <v>138</v>
      </c>
    </row>
    <row r="1569" spans="1:12" ht="13.5" x14ac:dyDescent="0.25">
      <c r="A1569" s="1930" t="s">
        <v>4501</v>
      </c>
      <c r="B1569" s="1930" t="s">
        <v>4502</v>
      </c>
      <c r="C1569" s="1930" t="s">
        <v>4515</v>
      </c>
      <c r="D1569" s="1930" t="s">
        <v>4516</v>
      </c>
      <c r="E1569" s="1931" t="s">
        <v>33</v>
      </c>
      <c r="F1569" s="1930" t="s">
        <v>33</v>
      </c>
      <c r="G1569" s="1932">
        <v>99291</v>
      </c>
      <c r="H1569" s="1930" t="s">
        <v>6353</v>
      </c>
      <c r="I1569" s="1930" t="s">
        <v>136</v>
      </c>
      <c r="J1569" s="1930" t="s">
        <v>320</v>
      </c>
      <c r="K1569" s="1933">
        <v>2097.11</v>
      </c>
      <c r="L1569" s="1930" t="s">
        <v>138</v>
      </c>
    </row>
    <row r="1570" spans="1:12" ht="13.5" x14ac:dyDescent="0.25">
      <c r="A1570" s="1930" t="s">
        <v>4501</v>
      </c>
      <c r="B1570" s="1930" t="s">
        <v>4502</v>
      </c>
      <c r="C1570" s="1930" t="s">
        <v>4515</v>
      </c>
      <c r="D1570" s="1930" t="s">
        <v>4516</v>
      </c>
      <c r="E1570" s="1931" t="s">
        <v>33</v>
      </c>
      <c r="F1570" s="1930" t="s">
        <v>33</v>
      </c>
      <c r="G1570" s="1932">
        <v>99292</v>
      </c>
      <c r="H1570" s="1930" t="s">
        <v>6354</v>
      </c>
      <c r="I1570" s="1930" t="s">
        <v>168</v>
      </c>
      <c r="J1570" s="1930" t="s">
        <v>137</v>
      </c>
      <c r="K1570" s="1933">
        <v>1839.27</v>
      </c>
      <c r="L1570" s="1930" t="s">
        <v>138</v>
      </c>
    </row>
    <row r="1571" spans="1:12" ht="13.5" x14ac:dyDescent="0.25">
      <c r="A1571" s="1930" t="s">
        <v>4501</v>
      </c>
      <c r="B1571" s="1930" t="s">
        <v>4502</v>
      </c>
      <c r="C1571" s="1930" t="s">
        <v>4515</v>
      </c>
      <c r="D1571" s="1930" t="s">
        <v>4516</v>
      </c>
      <c r="E1571" s="1931" t="s">
        <v>33</v>
      </c>
      <c r="F1571" s="1930" t="s">
        <v>33</v>
      </c>
      <c r="G1571" s="1932">
        <v>99293</v>
      </c>
      <c r="H1571" s="1930" t="s">
        <v>6355</v>
      </c>
      <c r="I1571" s="1930" t="s">
        <v>136</v>
      </c>
      <c r="J1571" s="1930" t="s">
        <v>320</v>
      </c>
      <c r="K1571" s="1933">
        <v>1054.9100000000001</v>
      </c>
      <c r="L1571" s="1930" t="s">
        <v>138</v>
      </c>
    </row>
    <row r="1572" spans="1:12" ht="13.5" x14ac:dyDescent="0.25">
      <c r="A1572" s="1930" t="s">
        <v>4501</v>
      </c>
      <c r="B1572" s="1930" t="s">
        <v>4502</v>
      </c>
      <c r="C1572" s="1930" t="s">
        <v>4515</v>
      </c>
      <c r="D1572" s="1930" t="s">
        <v>4516</v>
      </c>
      <c r="E1572" s="1931" t="s">
        <v>33</v>
      </c>
      <c r="F1572" s="1930" t="s">
        <v>33</v>
      </c>
      <c r="G1572" s="1932">
        <v>99294</v>
      </c>
      <c r="H1572" s="1930" t="s">
        <v>6356</v>
      </c>
      <c r="I1572" s="1930" t="s">
        <v>168</v>
      </c>
      <c r="J1572" s="1930" t="s">
        <v>137</v>
      </c>
      <c r="K1572" s="1933">
        <v>6172.14</v>
      </c>
      <c r="L1572" s="1930" t="s">
        <v>138</v>
      </c>
    </row>
    <row r="1573" spans="1:12" ht="13.5" x14ac:dyDescent="0.25">
      <c r="A1573" s="1930" t="s">
        <v>4501</v>
      </c>
      <c r="B1573" s="1930" t="s">
        <v>4502</v>
      </c>
      <c r="C1573" s="1930" t="s">
        <v>4515</v>
      </c>
      <c r="D1573" s="1930" t="s">
        <v>4516</v>
      </c>
      <c r="E1573" s="1931" t="s">
        <v>33</v>
      </c>
      <c r="F1573" s="1930" t="s">
        <v>33</v>
      </c>
      <c r="G1573" s="1932">
        <v>99296</v>
      </c>
      <c r="H1573" s="1930" t="s">
        <v>6357</v>
      </c>
      <c r="I1573" s="1930" t="s">
        <v>136</v>
      </c>
      <c r="J1573" s="1930" t="s">
        <v>320</v>
      </c>
      <c r="K1573" s="1933">
        <v>2314.37</v>
      </c>
      <c r="L1573" s="1930" t="s">
        <v>138</v>
      </c>
    </row>
    <row r="1574" spans="1:12" ht="13.5" x14ac:dyDescent="0.25">
      <c r="A1574" s="1930" t="s">
        <v>4501</v>
      </c>
      <c r="B1574" s="1930" t="s">
        <v>4502</v>
      </c>
      <c r="C1574" s="1930" t="s">
        <v>4515</v>
      </c>
      <c r="D1574" s="1930" t="s">
        <v>4516</v>
      </c>
      <c r="E1574" s="1931" t="s">
        <v>33</v>
      </c>
      <c r="F1574" s="1930" t="s">
        <v>33</v>
      </c>
      <c r="G1574" s="1932">
        <v>99297</v>
      </c>
      <c r="H1574" s="1930" t="s">
        <v>6358</v>
      </c>
      <c r="I1574" s="1930" t="s">
        <v>136</v>
      </c>
      <c r="J1574" s="1930" t="s">
        <v>320</v>
      </c>
      <c r="K1574" s="1933">
        <v>2309.54</v>
      </c>
      <c r="L1574" s="1930" t="s">
        <v>138</v>
      </c>
    </row>
    <row r="1575" spans="1:12" ht="13.5" x14ac:dyDescent="0.25">
      <c r="A1575" s="1930" t="s">
        <v>4501</v>
      </c>
      <c r="B1575" s="1930" t="s">
        <v>4502</v>
      </c>
      <c r="C1575" s="1930" t="s">
        <v>4515</v>
      </c>
      <c r="D1575" s="1930" t="s">
        <v>4516</v>
      </c>
      <c r="E1575" s="1931" t="s">
        <v>33</v>
      </c>
      <c r="F1575" s="1930" t="s">
        <v>33</v>
      </c>
      <c r="G1575" s="1932">
        <v>99298</v>
      </c>
      <c r="H1575" s="1930" t="s">
        <v>6359</v>
      </c>
      <c r="I1575" s="1930" t="s">
        <v>168</v>
      </c>
      <c r="J1575" s="1930" t="s">
        <v>137</v>
      </c>
      <c r="K1575" s="1933">
        <v>7882.38</v>
      </c>
      <c r="L1575" s="1930" t="s">
        <v>138</v>
      </c>
    </row>
    <row r="1576" spans="1:12" ht="13.5" x14ac:dyDescent="0.25">
      <c r="A1576" s="1930" t="s">
        <v>4501</v>
      </c>
      <c r="B1576" s="1930" t="s">
        <v>4502</v>
      </c>
      <c r="C1576" s="1930" t="s">
        <v>4515</v>
      </c>
      <c r="D1576" s="1930" t="s">
        <v>4516</v>
      </c>
      <c r="E1576" s="1931" t="s">
        <v>33</v>
      </c>
      <c r="F1576" s="1930" t="s">
        <v>33</v>
      </c>
      <c r="G1576" s="1932">
        <v>99299</v>
      </c>
      <c r="H1576" s="1930" t="s">
        <v>6360</v>
      </c>
      <c r="I1576" s="1930" t="s">
        <v>136</v>
      </c>
      <c r="J1576" s="1930" t="s">
        <v>320</v>
      </c>
      <c r="K1576" s="1933">
        <v>2503.62</v>
      </c>
      <c r="L1576" s="1930" t="s">
        <v>138</v>
      </c>
    </row>
    <row r="1577" spans="1:12" ht="13.5" x14ac:dyDescent="0.25">
      <c r="A1577" s="1930" t="s">
        <v>4501</v>
      </c>
      <c r="B1577" s="1930" t="s">
        <v>4502</v>
      </c>
      <c r="C1577" s="1930" t="s">
        <v>4515</v>
      </c>
      <c r="D1577" s="1930" t="s">
        <v>4516</v>
      </c>
      <c r="E1577" s="1931" t="s">
        <v>33</v>
      </c>
      <c r="F1577" s="1930" t="s">
        <v>33</v>
      </c>
      <c r="G1577" s="1932">
        <v>99300</v>
      </c>
      <c r="H1577" s="1930" t="s">
        <v>6361</v>
      </c>
      <c r="I1577" s="1930" t="s">
        <v>168</v>
      </c>
      <c r="J1577" s="1930" t="s">
        <v>137</v>
      </c>
      <c r="K1577" s="1933">
        <v>8786.4</v>
      </c>
      <c r="L1577" s="1930" t="s">
        <v>138</v>
      </c>
    </row>
    <row r="1578" spans="1:12" ht="13.5" x14ac:dyDescent="0.25">
      <c r="A1578" s="1930" t="s">
        <v>4501</v>
      </c>
      <c r="B1578" s="1930" t="s">
        <v>4502</v>
      </c>
      <c r="C1578" s="1930" t="s">
        <v>4515</v>
      </c>
      <c r="D1578" s="1930" t="s">
        <v>4516</v>
      </c>
      <c r="E1578" s="1931" t="s">
        <v>33</v>
      </c>
      <c r="F1578" s="1930" t="s">
        <v>33</v>
      </c>
      <c r="G1578" s="1932">
        <v>99301</v>
      </c>
      <c r="H1578" s="1930" t="s">
        <v>6362</v>
      </c>
      <c r="I1578" s="1930" t="s">
        <v>168</v>
      </c>
      <c r="J1578" s="1930" t="s">
        <v>137</v>
      </c>
      <c r="K1578" s="1933">
        <v>4406.42</v>
      </c>
      <c r="L1578" s="1930" t="s">
        <v>138</v>
      </c>
    </row>
    <row r="1579" spans="1:12" ht="13.5" x14ac:dyDescent="0.25">
      <c r="A1579" s="1930" t="s">
        <v>4501</v>
      </c>
      <c r="B1579" s="1930" t="s">
        <v>4502</v>
      </c>
      <c r="C1579" s="1930" t="s">
        <v>4515</v>
      </c>
      <c r="D1579" s="1930" t="s">
        <v>4516</v>
      </c>
      <c r="E1579" s="1931" t="s">
        <v>33</v>
      </c>
      <c r="F1579" s="1930" t="s">
        <v>33</v>
      </c>
      <c r="G1579" s="1932">
        <v>99302</v>
      </c>
      <c r="H1579" s="1930" t="s">
        <v>6363</v>
      </c>
      <c r="I1579" s="1930" t="s">
        <v>136</v>
      </c>
      <c r="J1579" s="1930" t="s">
        <v>320</v>
      </c>
      <c r="K1579" s="1933">
        <v>2697.77</v>
      </c>
      <c r="L1579" s="1930" t="s">
        <v>138</v>
      </c>
    </row>
    <row r="1580" spans="1:12" ht="13.5" x14ac:dyDescent="0.25">
      <c r="A1580" s="1930" t="s">
        <v>4501</v>
      </c>
      <c r="B1580" s="1930" t="s">
        <v>4502</v>
      </c>
      <c r="C1580" s="1930" t="s">
        <v>4515</v>
      </c>
      <c r="D1580" s="1930" t="s">
        <v>4516</v>
      </c>
      <c r="E1580" s="1931" t="s">
        <v>33</v>
      </c>
      <c r="F1580" s="1930" t="s">
        <v>33</v>
      </c>
      <c r="G1580" s="1932">
        <v>99303</v>
      </c>
      <c r="H1580" s="1930" t="s">
        <v>6364</v>
      </c>
      <c r="I1580" s="1930" t="s">
        <v>168</v>
      </c>
      <c r="J1580" s="1930" t="s">
        <v>137</v>
      </c>
      <c r="K1580" s="1933">
        <v>8056.21</v>
      </c>
      <c r="L1580" s="1930" t="s">
        <v>138</v>
      </c>
    </row>
    <row r="1581" spans="1:12" ht="13.5" x14ac:dyDescent="0.25">
      <c r="A1581" s="1930" t="s">
        <v>4501</v>
      </c>
      <c r="B1581" s="1930" t="s">
        <v>4502</v>
      </c>
      <c r="C1581" s="1930" t="s">
        <v>4515</v>
      </c>
      <c r="D1581" s="1930" t="s">
        <v>4516</v>
      </c>
      <c r="E1581" s="1931" t="s">
        <v>33</v>
      </c>
      <c r="F1581" s="1930" t="s">
        <v>33</v>
      </c>
      <c r="G1581" s="1932">
        <v>99304</v>
      </c>
      <c r="H1581" s="1930" t="s">
        <v>6365</v>
      </c>
      <c r="I1581" s="1930" t="s">
        <v>136</v>
      </c>
      <c r="J1581" s="1930" t="s">
        <v>320</v>
      </c>
      <c r="K1581" s="1933">
        <v>2508.4499999999998</v>
      </c>
      <c r="L1581" s="1930" t="s">
        <v>138</v>
      </c>
    </row>
    <row r="1582" spans="1:12" ht="13.5" x14ac:dyDescent="0.25">
      <c r="A1582" s="1930" t="s">
        <v>4501</v>
      </c>
      <c r="B1582" s="1930" t="s">
        <v>4502</v>
      </c>
      <c r="C1582" s="1930" t="s">
        <v>4515</v>
      </c>
      <c r="D1582" s="1930" t="s">
        <v>4516</v>
      </c>
      <c r="E1582" s="1931" t="s">
        <v>33</v>
      </c>
      <c r="F1582" s="1930" t="s">
        <v>33</v>
      </c>
      <c r="G1582" s="1932">
        <v>99305</v>
      </c>
      <c r="H1582" s="1930" t="s">
        <v>6366</v>
      </c>
      <c r="I1582" s="1930" t="s">
        <v>168</v>
      </c>
      <c r="J1582" s="1930" t="s">
        <v>137</v>
      </c>
      <c r="K1582" s="1933">
        <v>9095.2800000000007</v>
      </c>
      <c r="L1582" s="1930" t="s">
        <v>138</v>
      </c>
    </row>
    <row r="1583" spans="1:12" ht="13.5" x14ac:dyDescent="0.25">
      <c r="A1583" s="1930" t="s">
        <v>4501</v>
      </c>
      <c r="B1583" s="1930" t="s">
        <v>4502</v>
      </c>
      <c r="C1583" s="1930" t="s">
        <v>4515</v>
      </c>
      <c r="D1583" s="1930" t="s">
        <v>4516</v>
      </c>
      <c r="E1583" s="1931" t="s">
        <v>33</v>
      </c>
      <c r="F1583" s="1930" t="s">
        <v>33</v>
      </c>
      <c r="G1583" s="1932">
        <v>99306</v>
      </c>
      <c r="H1583" s="1930" t="s">
        <v>6367</v>
      </c>
      <c r="I1583" s="1930" t="s">
        <v>136</v>
      </c>
      <c r="J1583" s="1930" t="s">
        <v>320</v>
      </c>
      <c r="K1583" s="1933">
        <v>2697.77</v>
      </c>
      <c r="L1583" s="1930" t="s">
        <v>138</v>
      </c>
    </row>
    <row r="1584" spans="1:12" ht="13.5" x14ac:dyDescent="0.25">
      <c r="A1584" s="1930" t="s">
        <v>4501</v>
      </c>
      <c r="B1584" s="1930" t="s">
        <v>4502</v>
      </c>
      <c r="C1584" s="1930" t="s">
        <v>4515</v>
      </c>
      <c r="D1584" s="1930" t="s">
        <v>4516</v>
      </c>
      <c r="E1584" s="1931" t="s">
        <v>33</v>
      </c>
      <c r="F1584" s="1930" t="s">
        <v>33</v>
      </c>
      <c r="G1584" s="1932">
        <v>99307</v>
      </c>
      <c r="H1584" s="1930" t="s">
        <v>6368</v>
      </c>
      <c r="I1584" s="1930" t="s">
        <v>136</v>
      </c>
      <c r="J1584" s="1930" t="s">
        <v>320</v>
      </c>
      <c r="K1584" s="1933">
        <v>1741.6</v>
      </c>
      <c r="L1584" s="1930" t="s">
        <v>138</v>
      </c>
    </row>
    <row r="1585" spans="1:12" ht="13.5" x14ac:dyDescent="0.25">
      <c r="A1585" s="1930" t="s">
        <v>4501</v>
      </c>
      <c r="B1585" s="1930" t="s">
        <v>4502</v>
      </c>
      <c r="C1585" s="1930" t="s">
        <v>4515</v>
      </c>
      <c r="D1585" s="1930" t="s">
        <v>4516</v>
      </c>
      <c r="E1585" s="1931" t="s">
        <v>33</v>
      </c>
      <c r="F1585" s="1930" t="s">
        <v>33</v>
      </c>
      <c r="G1585" s="1932">
        <v>99308</v>
      </c>
      <c r="H1585" s="1930" t="s">
        <v>6369</v>
      </c>
      <c r="I1585" s="1930" t="s">
        <v>168</v>
      </c>
      <c r="J1585" s="1930" t="s">
        <v>137</v>
      </c>
      <c r="K1585" s="1933">
        <v>10134.370000000001</v>
      </c>
      <c r="L1585" s="1930" t="s">
        <v>138</v>
      </c>
    </row>
    <row r="1586" spans="1:12" ht="13.5" x14ac:dyDescent="0.25">
      <c r="A1586" s="1930" t="s">
        <v>4501</v>
      </c>
      <c r="B1586" s="1930" t="s">
        <v>4502</v>
      </c>
      <c r="C1586" s="1930" t="s">
        <v>4515</v>
      </c>
      <c r="D1586" s="1930" t="s">
        <v>4516</v>
      </c>
      <c r="E1586" s="1931" t="s">
        <v>33</v>
      </c>
      <c r="F1586" s="1930" t="s">
        <v>33</v>
      </c>
      <c r="G1586" s="1932">
        <v>99309</v>
      </c>
      <c r="H1586" s="1930" t="s">
        <v>6370</v>
      </c>
      <c r="I1586" s="1930" t="s">
        <v>136</v>
      </c>
      <c r="J1586" s="1930" t="s">
        <v>320</v>
      </c>
      <c r="K1586" s="1933">
        <v>2891.91</v>
      </c>
      <c r="L1586" s="1930" t="s">
        <v>138</v>
      </c>
    </row>
    <row r="1587" spans="1:12" ht="13.5" x14ac:dyDescent="0.25">
      <c r="A1587" s="1930" t="s">
        <v>4501</v>
      </c>
      <c r="B1587" s="1930" t="s">
        <v>4502</v>
      </c>
      <c r="C1587" s="1930" t="s">
        <v>4515</v>
      </c>
      <c r="D1587" s="1930" t="s">
        <v>4516</v>
      </c>
      <c r="E1587" s="1931" t="s">
        <v>33</v>
      </c>
      <c r="F1587" s="1930" t="s">
        <v>33</v>
      </c>
      <c r="G1587" s="1932">
        <v>99310</v>
      </c>
      <c r="H1587" s="1930" t="s">
        <v>6371</v>
      </c>
      <c r="I1587" s="1930" t="s">
        <v>168</v>
      </c>
      <c r="J1587" s="1930" t="s">
        <v>137</v>
      </c>
      <c r="K1587" s="1933">
        <v>10315.120000000001</v>
      </c>
      <c r="L1587" s="1930" t="s">
        <v>138</v>
      </c>
    </row>
    <row r="1588" spans="1:12" ht="13.5" x14ac:dyDescent="0.25">
      <c r="A1588" s="1930" t="s">
        <v>4501</v>
      </c>
      <c r="B1588" s="1930" t="s">
        <v>4502</v>
      </c>
      <c r="C1588" s="1930" t="s">
        <v>4515</v>
      </c>
      <c r="D1588" s="1930" t="s">
        <v>4516</v>
      </c>
      <c r="E1588" s="1931" t="s">
        <v>33</v>
      </c>
      <c r="F1588" s="1930" t="s">
        <v>33</v>
      </c>
      <c r="G1588" s="1932">
        <v>99311</v>
      </c>
      <c r="H1588" s="1930" t="s">
        <v>6372</v>
      </c>
      <c r="I1588" s="1930" t="s">
        <v>136</v>
      </c>
      <c r="J1588" s="1930" t="s">
        <v>320</v>
      </c>
      <c r="K1588" s="1933">
        <v>2891.91</v>
      </c>
      <c r="L1588" s="1930" t="s">
        <v>138</v>
      </c>
    </row>
    <row r="1589" spans="1:12" ht="13.5" x14ac:dyDescent="0.25">
      <c r="A1589" s="1930" t="s">
        <v>4501</v>
      </c>
      <c r="B1589" s="1930" t="s">
        <v>4502</v>
      </c>
      <c r="C1589" s="1930" t="s">
        <v>4515</v>
      </c>
      <c r="D1589" s="1930" t="s">
        <v>4516</v>
      </c>
      <c r="E1589" s="1931" t="s">
        <v>33</v>
      </c>
      <c r="F1589" s="1930" t="s">
        <v>33</v>
      </c>
      <c r="G1589" s="1932">
        <v>99312</v>
      </c>
      <c r="H1589" s="1930" t="s">
        <v>6373</v>
      </c>
      <c r="I1589" s="1930" t="s">
        <v>168</v>
      </c>
      <c r="J1589" s="1930" t="s">
        <v>137</v>
      </c>
      <c r="K1589" s="1933">
        <v>5156.96</v>
      </c>
      <c r="L1589" s="1930" t="s">
        <v>138</v>
      </c>
    </row>
    <row r="1590" spans="1:12" ht="13.5" x14ac:dyDescent="0.25">
      <c r="A1590" s="1930" t="s">
        <v>4501</v>
      </c>
      <c r="B1590" s="1930" t="s">
        <v>4502</v>
      </c>
      <c r="C1590" s="1930" t="s">
        <v>4515</v>
      </c>
      <c r="D1590" s="1930" t="s">
        <v>4516</v>
      </c>
      <c r="E1590" s="1931" t="s">
        <v>33</v>
      </c>
      <c r="F1590" s="1930" t="s">
        <v>33</v>
      </c>
      <c r="G1590" s="1932">
        <v>99313</v>
      </c>
      <c r="H1590" s="1930" t="s">
        <v>6374</v>
      </c>
      <c r="I1590" s="1930" t="s">
        <v>168</v>
      </c>
      <c r="J1590" s="1930" t="s">
        <v>137</v>
      </c>
      <c r="K1590" s="1933">
        <v>11490.26</v>
      </c>
      <c r="L1590" s="1930" t="s">
        <v>138</v>
      </c>
    </row>
    <row r="1591" spans="1:12" ht="13.5" x14ac:dyDescent="0.25">
      <c r="A1591" s="1930" t="s">
        <v>4501</v>
      </c>
      <c r="B1591" s="1930" t="s">
        <v>4502</v>
      </c>
      <c r="C1591" s="1930" t="s">
        <v>4515</v>
      </c>
      <c r="D1591" s="1930" t="s">
        <v>4516</v>
      </c>
      <c r="E1591" s="1931" t="s">
        <v>33</v>
      </c>
      <c r="F1591" s="1930" t="s">
        <v>33</v>
      </c>
      <c r="G1591" s="1932">
        <v>99314</v>
      </c>
      <c r="H1591" s="1930" t="s">
        <v>6375</v>
      </c>
      <c r="I1591" s="1930" t="s">
        <v>136</v>
      </c>
      <c r="J1591" s="1930" t="s">
        <v>320</v>
      </c>
      <c r="K1591" s="1933">
        <v>3086.06</v>
      </c>
      <c r="L1591" s="1930" t="s">
        <v>138</v>
      </c>
    </row>
    <row r="1592" spans="1:12" ht="13.5" x14ac:dyDescent="0.25">
      <c r="A1592" s="1930" t="s">
        <v>4501</v>
      </c>
      <c r="B1592" s="1930" t="s">
        <v>4502</v>
      </c>
      <c r="C1592" s="1930" t="s">
        <v>4515</v>
      </c>
      <c r="D1592" s="1930" t="s">
        <v>4516</v>
      </c>
      <c r="E1592" s="1931" t="s">
        <v>33</v>
      </c>
      <c r="F1592" s="1930" t="s">
        <v>33</v>
      </c>
      <c r="G1592" s="1932">
        <v>99315</v>
      </c>
      <c r="H1592" s="1930" t="s">
        <v>6376</v>
      </c>
      <c r="I1592" s="1930" t="s">
        <v>168</v>
      </c>
      <c r="J1592" s="1930" t="s">
        <v>137</v>
      </c>
      <c r="K1592" s="1933">
        <v>12854.26</v>
      </c>
      <c r="L1592" s="1930" t="s">
        <v>138</v>
      </c>
    </row>
    <row r="1593" spans="1:12" ht="13.5" x14ac:dyDescent="0.25">
      <c r="A1593" s="1930" t="s">
        <v>4501</v>
      </c>
      <c r="B1593" s="1930" t="s">
        <v>4502</v>
      </c>
      <c r="C1593" s="1930" t="s">
        <v>4515</v>
      </c>
      <c r="D1593" s="1930" t="s">
        <v>4516</v>
      </c>
      <c r="E1593" s="1931" t="s">
        <v>33</v>
      </c>
      <c r="F1593" s="1930" t="s">
        <v>33</v>
      </c>
      <c r="G1593" s="1932">
        <v>99317</v>
      </c>
      <c r="H1593" s="1930" t="s">
        <v>6377</v>
      </c>
      <c r="I1593" s="1930" t="s">
        <v>136</v>
      </c>
      <c r="J1593" s="1930" t="s">
        <v>320</v>
      </c>
      <c r="K1593" s="1933">
        <v>1930.92</v>
      </c>
      <c r="L1593" s="1930" t="s">
        <v>138</v>
      </c>
    </row>
    <row r="1594" spans="1:12" ht="13.5" x14ac:dyDescent="0.25">
      <c r="A1594" s="1930" t="s">
        <v>4501</v>
      </c>
      <c r="B1594" s="1930" t="s">
        <v>4502</v>
      </c>
      <c r="C1594" s="1930" t="s">
        <v>4515</v>
      </c>
      <c r="D1594" s="1930" t="s">
        <v>4516</v>
      </c>
      <c r="E1594" s="1931" t="s">
        <v>33</v>
      </c>
      <c r="F1594" s="1930" t="s">
        <v>33</v>
      </c>
      <c r="G1594" s="1932">
        <v>99318</v>
      </c>
      <c r="H1594" s="1930" t="s">
        <v>6378</v>
      </c>
      <c r="I1594" s="1930" t="s">
        <v>136</v>
      </c>
      <c r="J1594" s="1930" t="s">
        <v>137</v>
      </c>
      <c r="K1594" s="1933">
        <v>219.51</v>
      </c>
      <c r="L1594" s="1930" t="s">
        <v>138</v>
      </c>
    </row>
    <row r="1595" spans="1:12" ht="13.5" x14ac:dyDescent="0.25">
      <c r="A1595" s="1930" t="s">
        <v>4501</v>
      </c>
      <c r="B1595" s="1930" t="s">
        <v>4502</v>
      </c>
      <c r="C1595" s="1930" t="s">
        <v>4515</v>
      </c>
      <c r="D1595" s="1930" t="s">
        <v>4516</v>
      </c>
      <c r="E1595" s="1931" t="s">
        <v>33</v>
      </c>
      <c r="F1595" s="1930" t="s">
        <v>33</v>
      </c>
      <c r="G1595" s="1932">
        <v>99319</v>
      </c>
      <c r="H1595" s="1930" t="s">
        <v>6379</v>
      </c>
      <c r="I1595" s="1930" t="s">
        <v>136</v>
      </c>
      <c r="J1595" s="1930" t="s">
        <v>320</v>
      </c>
      <c r="K1595" s="1933">
        <v>684.38</v>
      </c>
      <c r="L1595" s="1930" t="s">
        <v>138</v>
      </c>
    </row>
    <row r="1596" spans="1:12" ht="13.5" x14ac:dyDescent="0.25">
      <c r="A1596" s="1930" t="s">
        <v>4501</v>
      </c>
      <c r="B1596" s="1930" t="s">
        <v>4502</v>
      </c>
      <c r="C1596" s="1930" t="s">
        <v>4515</v>
      </c>
      <c r="D1596" s="1930" t="s">
        <v>4516</v>
      </c>
      <c r="E1596" s="1931" t="s">
        <v>33</v>
      </c>
      <c r="F1596" s="1930" t="s">
        <v>33</v>
      </c>
      <c r="G1596" s="1932">
        <v>99320</v>
      </c>
      <c r="H1596" s="1930" t="s">
        <v>6380</v>
      </c>
      <c r="I1596" s="1930" t="s">
        <v>168</v>
      </c>
      <c r="J1596" s="1930" t="s">
        <v>137</v>
      </c>
      <c r="K1596" s="1933">
        <v>5943</v>
      </c>
      <c r="L1596" s="1930" t="s">
        <v>138</v>
      </c>
    </row>
    <row r="1597" spans="1:12" ht="13.5" x14ac:dyDescent="0.25">
      <c r="A1597" s="1930" t="s">
        <v>4501</v>
      </c>
      <c r="B1597" s="1930" t="s">
        <v>4502</v>
      </c>
      <c r="C1597" s="1930" t="s">
        <v>4515</v>
      </c>
      <c r="D1597" s="1930" t="s">
        <v>4516</v>
      </c>
      <c r="E1597" s="1931" t="s">
        <v>33</v>
      </c>
      <c r="F1597" s="1930" t="s">
        <v>33</v>
      </c>
      <c r="G1597" s="1932">
        <v>99321</v>
      </c>
      <c r="H1597" s="1930" t="s">
        <v>6381</v>
      </c>
      <c r="I1597" s="1930" t="s">
        <v>136</v>
      </c>
      <c r="J1597" s="1930" t="s">
        <v>320</v>
      </c>
      <c r="K1597" s="1933">
        <v>2120.23</v>
      </c>
      <c r="L1597" s="1930" t="s">
        <v>138</v>
      </c>
    </row>
    <row r="1598" spans="1:12" ht="13.5" x14ac:dyDescent="0.25">
      <c r="A1598" s="1930" t="s">
        <v>4501</v>
      </c>
      <c r="B1598" s="1930" t="s">
        <v>4502</v>
      </c>
      <c r="C1598" s="1930" t="s">
        <v>4515</v>
      </c>
      <c r="D1598" s="1930" t="s">
        <v>4516</v>
      </c>
      <c r="E1598" s="1931" t="s">
        <v>33</v>
      </c>
      <c r="F1598" s="1930" t="s">
        <v>33</v>
      </c>
      <c r="G1598" s="1932">
        <v>99322</v>
      </c>
      <c r="H1598" s="1930" t="s">
        <v>6382</v>
      </c>
      <c r="I1598" s="1930" t="s">
        <v>168</v>
      </c>
      <c r="J1598" s="1930" t="s">
        <v>137</v>
      </c>
      <c r="K1598" s="1933">
        <v>6697.92</v>
      </c>
      <c r="L1598" s="1930" t="s">
        <v>138</v>
      </c>
    </row>
    <row r="1599" spans="1:12" ht="13.5" x14ac:dyDescent="0.25">
      <c r="A1599" s="1930" t="s">
        <v>4501</v>
      </c>
      <c r="B1599" s="1930" t="s">
        <v>4502</v>
      </c>
      <c r="C1599" s="1930" t="s">
        <v>4515</v>
      </c>
      <c r="D1599" s="1930" t="s">
        <v>4516</v>
      </c>
      <c r="E1599" s="1931" t="s">
        <v>33</v>
      </c>
      <c r="F1599" s="1930" t="s">
        <v>33</v>
      </c>
      <c r="G1599" s="1932">
        <v>99323</v>
      </c>
      <c r="H1599" s="1930" t="s">
        <v>6383</v>
      </c>
      <c r="I1599" s="1930" t="s">
        <v>136</v>
      </c>
      <c r="J1599" s="1930" t="s">
        <v>320</v>
      </c>
      <c r="K1599" s="1933">
        <v>2309.54</v>
      </c>
      <c r="L1599" s="1930" t="s">
        <v>138</v>
      </c>
    </row>
    <row r="1600" spans="1:12" ht="13.5" x14ac:dyDescent="0.25">
      <c r="A1600" s="1930" t="s">
        <v>4501</v>
      </c>
      <c r="B1600" s="1930" t="s">
        <v>4502</v>
      </c>
      <c r="C1600" s="1930" t="s">
        <v>4515</v>
      </c>
      <c r="D1600" s="1930" t="s">
        <v>4516</v>
      </c>
      <c r="E1600" s="1931" t="s">
        <v>33</v>
      </c>
      <c r="F1600" s="1930" t="s">
        <v>33</v>
      </c>
      <c r="G1600" s="1932">
        <v>99324</v>
      </c>
      <c r="H1600" s="1930" t="s">
        <v>6384</v>
      </c>
      <c r="I1600" s="1930" t="s">
        <v>168</v>
      </c>
      <c r="J1600" s="1930" t="s">
        <v>137</v>
      </c>
      <c r="K1600" s="1933">
        <v>7452.84</v>
      </c>
      <c r="L1600" s="1930" t="s">
        <v>138</v>
      </c>
    </row>
    <row r="1601" spans="1:12" ht="13.5" x14ac:dyDescent="0.25">
      <c r="A1601" s="1930" t="s">
        <v>4501</v>
      </c>
      <c r="B1601" s="1930" t="s">
        <v>4502</v>
      </c>
      <c r="C1601" s="1930" t="s">
        <v>4515</v>
      </c>
      <c r="D1601" s="1930" t="s">
        <v>4516</v>
      </c>
      <c r="E1601" s="1931" t="s">
        <v>33</v>
      </c>
      <c r="F1601" s="1930" t="s">
        <v>33</v>
      </c>
      <c r="G1601" s="1932">
        <v>99325</v>
      </c>
      <c r="H1601" s="1930" t="s">
        <v>6385</v>
      </c>
      <c r="I1601" s="1930" t="s">
        <v>136</v>
      </c>
      <c r="J1601" s="1930" t="s">
        <v>320</v>
      </c>
      <c r="K1601" s="1933">
        <v>2503.62</v>
      </c>
      <c r="L1601" s="1930" t="s">
        <v>138</v>
      </c>
    </row>
    <row r="1602" spans="1:12" ht="13.5" x14ac:dyDescent="0.25">
      <c r="A1602" s="1930" t="s">
        <v>4501</v>
      </c>
      <c r="B1602" s="1930" t="s">
        <v>4502</v>
      </c>
      <c r="C1602" s="1930" t="s">
        <v>4515</v>
      </c>
      <c r="D1602" s="1930" t="s">
        <v>4516</v>
      </c>
      <c r="E1602" s="1931" t="s">
        <v>33</v>
      </c>
      <c r="F1602" s="1930" t="s">
        <v>33</v>
      </c>
      <c r="G1602" s="1932">
        <v>99326</v>
      </c>
      <c r="H1602" s="1930" t="s">
        <v>6386</v>
      </c>
      <c r="I1602" s="1930" t="s">
        <v>168</v>
      </c>
      <c r="J1602" s="1930" t="s">
        <v>137</v>
      </c>
      <c r="K1602" s="1933">
        <v>6074.43</v>
      </c>
      <c r="L1602" s="1930" t="s">
        <v>138</v>
      </c>
    </row>
    <row r="1603" spans="1:12" ht="13.5" x14ac:dyDescent="0.25">
      <c r="A1603" s="1930" t="s">
        <v>4501</v>
      </c>
      <c r="B1603" s="1930" t="s">
        <v>4502</v>
      </c>
      <c r="C1603" s="1930" t="s">
        <v>4515</v>
      </c>
      <c r="D1603" s="1930" t="s">
        <v>4516</v>
      </c>
      <c r="E1603" s="1931" t="s">
        <v>33</v>
      </c>
      <c r="F1603" s="1930" t="s">
        <v>33</v>
      </c>
      <c r="G1603" s="1932">
        <v>99327</v>
      </c>
      <c r="H1603" s="1930" t="s">
        <v>6387</v>
      </c>
      <c r="I1603" s="1930" t="s">
        <v>136</v>
      </c>
      <c r="J1603" s="1930" t="s">
        <v>320</v>
      </c>
      <c r="K1603" s="1933">
        <v>3232.99</v>
      </c>
      <c r="L1603" s="1930" t="s">
        <v>138</v>
      </c>
    </row>
    <row r="1604" spans="1:12" ht="13.5" x14ac:dyDescent="0.25">
      <c r="A1604" s="1930" t="s">
        <v>4501</v>
      </c>
      <c r="B1604" s="1930" t="s">
        <v>4502</v>
      </c>
      <c r="C1604" s="1930" t="s">
        <v>4520</v>
      </c>
      <c r="D1604" s="1930" t="s">
        <v>4521</v>
      </c>
      <c r="E1604" s="1931" t="s">
        <v>33</v>
      </c>
      <c r="F1604" s="1930" t="s">
        <v>33</v>
      </c>
      <c r="G1604" s="1932">
        <v>94263</v>
      </c>
      <c r="H1604" s="1930" t="s">
        <v>6388</v>
      </c>
      <c r="I1604" s="1930" t="s">
        <v>136</v>
      </c>
      <c r="J1604" s="1930" t="s">
        <v>137</v>
      </c>
      <c r="K1604" s="1933">
        <v>22.18</v>
      </c>
      <c r="L1604" s="1930" t="s">
        <v>138</v>
      </c>
    </row>
    <row r="1605" spans="1:12" ht="13.5" x14ac:dyDescent="0.25">
      <c r="A1605" s="1930" t="s">
        <v>4501</v>
      </c>
      <c r="B1605" s="1930" t="s">
        <v>4502</v>
      </c>
      <c r="C1605" s="1930" t="s">
        <v>4520</v>
      </c>
      <c r="D1605" s="1930" t="s">
        <v>4521</v>
      </c>
      <c r="E1605" s="1931" t="s">
        <v>33</v>
      </c>
      <c r="F1605" s="1930" t="s">
        <v>33</v>
      </c>
      <c r="G1605" s="1932">
        <v>94264</v>
      </c>
      <c r="H1605" s="1930" t="s">
        <v>6389</v>
      </c>
      <c r="I1605" s="1930" t="s">
        <v>136</v>
      </c>
      <c r="J1605" s="1930" t="s">
        <v>137</v>
      </c>
      <c r="K1605" s="1933">
        <v>24.93</v>
      </c>
      <c r="L1605" s="1930" t="s">
        <v>138</v>
      </c>
    </row>
    <row r="1606" spans="1:12" ht="13.5" x14ac:dyDescent="0.25">
      <c r="A1606" s="1930" t="s">
        <v>4501</v>
      </c>
      <c r="B1606" s="1930" t="s">
        <v>4502</v>
      </c>
      <c r="C1606" s="1930" t="s">
        <v>4520</v>
      </c>
      <c r="D1606" s="1930" t="s">
        <v>4521</v>
      </c>
      <c r="E1606" s="1931" t="s">
        <v>33</v>
      </c>
      <c r="F1606" s="1930" t="s">
        <v>33</v>
      </c>
      <c r="G1606" s="1932">
        <v>94265</v>
      </c>
      <c r="H1606" s="1930" t="s">
        <v>6390</v>
      </c>
      <c r="I1606" s="1930" t="s">
        <v>136</v>
      </c>
      <c r="J1606" s="1930" t="s">
        <v>137</v>
      </c>
      <c r="K1606" s="1933">
        <v>28.18</v>
      </c>
      <c r="L1606" s="1930" t="s">
        <v>138</v>
      </c>
    </row>
    <row r="1607" spans="1:12" ht="13.5" x14ac:dyDescent="0.25">
      <c r="A1607" s="1930" t="s">
        <v>4501</v>
      </c>
      <c r="B1607" s="1930" t="s">
        <v>4502</v>
      </c>
      <c r="C1607" s="1930" t="s">
        <v>4520</v>
      </c>
      <c r="D1607" s="1930" t="s">
        <v>4521</v>
      </c>
      <c r="E1607" s="1931" t="s">
        <v>33</v>
      </c>
      <c r="F1607" s="1930" t="s">
        <v>33</v>
      </c>
      <c r="G1607" s="1932">
        <v>94266</v>
      </c>
      <c r="H1607" s="1930" t="s">
        <v>6391</v>
      </c>
      <c r="I1607" s="1930" t="s">
        <v>136</v>
      </c>
      <c r="J1607" s="1930" t="s">
        <v>137</v>
      </c>
      <c r="K1607" s="1933">
        <v>31.33</v>
      </c>
      <c r="L1607" s="1930" t="s">
        <v>138</v>
      </c>
    </row>
    <row r="1608" spans="1:12" ht="13.5" x14ac:dyDescent="0.25">
      <c r="A1608" s="1930" t="s">
        <v>4501</v>
      </c>
      <c r="B1608" s="1930" t="s">
        <v>4502</v>
      </c>
      <c r="C1608" s="1930" t="s">
        <v>4520</v>
      </c>
      <c r="D1608" s="1930" t="s">
        <v>4521</v>
      </c>
      <c r="E1608" s="1931" t="s">
        <v>33</v>
      </c>
      <c r="F1608" s="1930" t="s">
        <v>33</v>
      </c>
      <c r="G1608" s="1932">
        <v>94267</v>
      </c>
      <c r="H1608" s="1930" t="s">
        <v>6392</v>
      </c>
      <c r="I1608" s="1930" t="s">
        <v>136</v>
      </c>
      <c r="J1608" s="1930" t="s">
        <v>137</v>
      </c>
      <c r="K1608" s="1933">
        <v>33.369999999999997</v>
      </c>
      <c r="L1608" s="1930" t="s">
        <v>138</v>
      </c>
    </row>
    <row r="1609" spans="1:12" ht="13.5" x14ac:dyDescent="0.25">
      <c r="A1609" s="1930" t="s">
        <v>4501</v>
      </c>
      <c r="B1609" s="1930" t="s">
        <v>4502</v>
      </c>
      <c r="C1609" s="1930" t="s">
        <v>4520</v>
      </c>
      <c r="D1609" s="1930" t="s">
        <v>4521</v>
      </c>
      <c r="E1609" s="1931" t="s">
        <v>33</v>
      </c>
      <c r="F1609" s="1930" t="s">
        <v>33</v>
      </c>
      <c r="G1609" s="1932">
        <v>94268</v>
      </c>
      <c r="H1609" s="1930" t="s">
        <v>6393</v>
      </c>
      <c r="I1609" s="1930" t="s">
        <v>136</v>
      </c>
      <c r="J1609" s="1930" t="s">
        <v>137</v>
      </c>
      <c r="K1609" s="1933">
        <v>36.83</v>
      </c>
      <c r="L1609" s="1930" t="s">
        <v>138</v>
      </c>
    </row>
    <row r="1610" spans="1:12" ht="13.5" x14ac:dyDescent="0.25">
      <c r="A1610" s="1930" t="s">
        <v>4501</v>
      </c>
      <c r="B1610" s="1930" t="s">
        <v>4502</v>
      </c>
      <c r="C1610" s="1930" t="s">
        <v>4520</v>
      </c>
      <c r="D1610" s="1930" t="s">
        <v>4521</v>
      </c>
      <c r="E1610" s="1931" t="s">
        <v>33</v>
      </c>
      <c r="F1610" s="1930" t="s">
        <v>33</v>
      </c>
      <c r="G1610" s="1932">
        <v>94269</v>
      </c>
      <c r="H1610" s="1930" t="s">
        <v>6394</v>
      </c>
      <c r="I1610" s="1930" t="s">
        <v>136</v>
      </c>
      <c r="J1610" s="1930" t="s">
        <v>137</v>
      </c>
      <c r="K1610" s="1933">
        <v>46.79</v>
      </c>
      <c r="L1610" s="1930" t="s">
        <v>138</v>
      </c>
    </row>
    <row r="1611" spans="1:12" ht="13.5" x14ac:dyDescent="0.25">
      <c r="A1611" s="1930" t="s">
        <v>4501</v>
      </c>
      <c r="B1611" s="1930" t="s">
        <v>4502</v>
      </c>
      <c r="C1611" s="1930" t="s">
        <v>4520</v>
      </c>
      <c r="D1611" s="1930" t="s">
        <v>4521</v>
      </c>
      <c r="E1611" s="1931" t="s">
        <v>33</v>
      </c>
      <c r="F1611" s="1930" t="s">
        <v>33</v>
      </c>
      <c r="G1611" s="1932">
        <v>94270</v>
      </c>
      <c r="H1611" s="1930" t="s">
        <v>6395</v>
      </c>
      <c r="I1611" s="1930" t="s">
        <v>136</v>
      </c>
      <c r="J1611" s="1930" t="s">
        <v>137</v>
      </c>
      <c r="K1611" s="1933">
        <v>51.6</v>
      </c>
      <c r="L1611" s="1930" t="s">
        <v>138</v>
      </c>
    </row>
    <row r="1612" spans="1:12" ht="13.5" x14ac:dyDescent="0.25">
      <c r="A1612" s="1930" t="s">
        <v>4501</v>
      </c>
      <c r="B1612" s="1930" t="s">
        <v>4502</v>
      </c>
      <c r="C1612" s="1930" t="s">
        <v>4520</v>
      </c>
      <c r="D1612" s="1930" t="s">
        <v>4521</v>
      </c>
      <c r="E1612" s="1931" t="s">
        <v>33</v>
      </c>
      <c r="F1612" s="1930" t="s">
        <v>33</v>
      </c>
      <c r="G1612" s="1932">
        <v>94271</v>
      </c>
      <c r="H1612" s="1930" t="s">
        <v>6396</v>
      </c>
      <c r="I1612" s="1930" t="s">
        <v>136</v>
      </c>
      <c r="J1612" s="1930" t="s">
        <v>137</v>
      </c>
      <c r="K1612" s="1933">
        <v>56.86</v>
      </c>
      <c r="L1612" s="1930" t="s">
        <v>138</v>
      </c>
    </row>
    <row r="1613" spans="1:12" ht="13.5" x14ac:dyDescent="0.25">
      <c r="A1613" s="1930" t="s">
        <v>4501</v>
      </c>
      <c r="B1613" s="1930" t="s">
        <v>4502</v>
      </c>
      <c r="C1613" s="1930" t="s">
        <v>4520</v>
      </c>
      <c r="D1613" s="1930" t="s">
        <v>4521</v>
      </c>
      <c r="E1613" s="1931" t="s">
        <v>33</v>
      </c>
      <c r="F1613" s="1930" t="s">
        <v>33</v>
      </c>
      <c r="G1613" s="1932">
        <v>94272</v>
      </c>
      <c r="H1613" s="1930" t="s">
        <v>6397</v>
      </c>
      <c r="I1613" s="1930" t="s">
        <v>136</v>
      </c>
      <c r="J1613" s="1930" t="s">
        <v>137</v>
      </c>
      <c r="K1613" s="1933">
        <v>63.3</v>
      </c>
      <c r="L1613" s="1930" t="s">
        <v>138</v>
      </c>
    </row>
    <row r="1614" spans="1:12" ht="13.5" x14ac:dyDescent="0.25">
      <c r="A1614" s="1930" t="s">
        <v>4501</v>
      </c>
      <c r="B1614" s="1930" t="s">
        <v>4502</v>
      </c>
      <c r="C1614" s="1930" t="s">
        <v>4520</v>
      </c>
      <c r="D1614" s="1930" t="s">
        <v>4521</v>
      </c>
      <c r="E1614" s="1931" t="s">
        <v>33</v>
      </c>
      <c r="F1614" s="1930" t="s">
        <v>33</v>
      </c>
      <c r="G1614" s="1932">
        <v>94273</v>
      </c>
      <c r="H1614" s="1930" t="s">
        <v>1324</v>
      </c>
      <c r="I1614" s="1930" t="s">
        <v>136</v>
      </c>
      <c r="J1614" s="1930" t="s">
        <v>320</v>
      </c>
      <c r="K1614" s="1933">
        <v>33.520000000000003</v>
      </c>
      <c r="L1614" s="1930" t="s">
        <v>138</v>
      </c>
    </row>
    <row r="1615" spans="1:12" ht="13.5" x14ac:dyDescent="0.25">
      <c r="A1615" s="1930" t="s">
        <v>4501</v>
      </c>
      <c r="B1615" s="1930" t="s">
        <v>4502</v>
      </c>
      <c r="C1615" s="1930" t="s">
        <v>4520</v>
      </c>
      <c r="D1615" s="1930" t="s">
        <v>4521</v>
      </c>
      <c r="E1615" s="1931" t="s">
        <v>33</v>
      </c>
      <c r="F1615" s="1930" t="s">
        <v>33</v>
      </c>
      <c r="G1615" s="1932">
        <v>94274</v>
      </c>
      <c r="H1615" s="1930" t="s">
        <v>1325</v>
      </c>
      <c r="I1615" s="1930" t="s">
        <v>136</v>
      </c>
      <c r="J1615" s="1930" t="s">
        <v>320</v>
      </c>
      <c r="K1615" s="1933">
        <v>36.659999999999997</v>
      </c>
      <c r="L1615" s="1930" t="s">
        <v>138</v>
      </c>
    </row>
    <row r="1616" spans="1:12" ht="13.5" x14ac:dyDescent="0.25">
      <c r="A1616" s="1930" t="s">
        <v>4501</v>
      </c>
      <c r="B1616" s="1930" t="s">
        <v>4502</v>
      </c>
      <c r="C1616" s="1930" t="s">
        <v>4520</v>
      </c>
      <c r="D1616" s="1930" t="s">
        <v>4521</v>
      </c>
      <c r="E1616" s="1931" t="s">
        <v>33</v>
      </c>
      <c r="F1616" s="1930" t="s">
        <v>33</v>
      </c>
      <c r="G1616" s="1932">
        <v>94275</v>
      </c>
      <c r="H1616" s="1930" t="s">
        <v>1326</v>
      </c>
      <c r="I1616" s="1930" t="s">
        <v>136</v>
      </c>
      <c r="J1616" s="1930" t="s">
        <v>320</v>
      </c>
      <c r="K1616" s="1933">
        <v>31.9</v>
      </c>
      <c r="L1616" s="1930" t="s">
        <v>138</v>
      </c>
    </row>
    <row r="1617" spans="1:12" ht="13.5" x14ac:dyDescent="0.25">
      <c r="A1617" s="1930" t="s">
        <v>4501</v>
      </c>
      <c r="B1617" s="1930" t="s">
        <v>4502</v>
      </c>
      <c r="C1617" s="1930" t="s">
        <v>4520</v>
      </c>
      <c r="D1617" s="1930" t="s">
        <v>4521</v>
      </c>
      <c r="E1617" s="1931" t="s">
        <v>33</v>
      </c>
      <c r="F1617" s="1930" t="s">
        <v>33</v>
      </c>
      <c r="G1617" s="1932">
        <v>94276</v>
      </c>
      <c r="H1617" s="1930" t="s">
        <v>1327</v>
      </c>
      <c r="I1617" s="1930" t="s">
        <v>136</v>
      </c>
      <c r="J1617" s="1930" t="s">
        <v>320</v>
      </c>
      <c r="K1617" s="1933">
        <v>35.04</v>
      </c>
      <c r="L1617" s="1930" t="s">
        <v>138</v>
      </c>
    </row>
    <row r="1618" spans="1:12" ht="13.5" x14ac:dyDescent="0.25">
      <c r="A1618" s="1930" t="s">
        <v>4501</v>
      </c>
      <c r="B1618" s="1930" t="s">
        <v>4502</v>
      </c>
      <c r="C1618" s="1930" t="s">
        <v>4520</v>
      </c>
      <c r="D1618" s="1930" t="s">
        <v>4521</v>
      </c>
      <c r="E1618" s="1931" t="s">
        <v>33</v>
      </c>
      <c r="F1618" s="1930" t="s">
        <v>33</v>
      </c>
      <c r="G1618" s="1932">
        <v>94281</v>
      </c>
      <c r="H1618" s="1930" t="s">
        <v>1328</v>
      </c>
      <c r="I1618" s="1930" t="s">
        <v>136</v>
      </c>
      <c r="J1618" s="1930" t="s">
        <v>320</v>
      </c>
      <c r="K1618" s="1933">
        <v>34.840000000000003</v>
      </c>
      <c r="L1618" s="1930" t="s">
        <v>138</v>
      </c>
    </row>
    <row r="1619" spans="1:12" ht="13.5" x14ac:dyDescent="0.25">
      <c r="A1619" s="1930" t="s">
        <v>4501</v>
      </c>
      <c r="B1619" s="1930" t="s">
        <v>4502</v>
      </c>
      <c r="C1619" s="1930" t="s">
        <v>4520</v>
      </c>
      <c r="D1619" s="1930" t="s">
        <v>4521</v>
      </c>
      <c r="E1619" s="1931" t="s">
        <v>33</v>
      </c>
      <c r="F1619" s="1930" t="s">
        <v>33</v>
      </c>
      <c r="G1619" s="1932">
        <v>94282</v>
      </c>
      <c r="H1619" s="1930" t="s">
        <v>1329</v>
      </c>
      <c r="I1619" s="1930" t="s">
        <v>136</v>
      </c>
      <c r="J1619" s="1930" t="s">
        <v>320</v>
      </c>
      <c r="K1619" s="1933">
        <v>44.39</v>
      </c>
      <c r="L1619" s="1930" t="s">
        <v>138</v>
      </c>
    </row>
    <row r="1620" spans="1:12" ht="13.5" x14ac:dyDescent="0.25">
      <c r="A1620" s="1930" t="s">
        <v>4501</v>
      </c>
      <c r="B1620" s="1930" t="s">
        <v>4502</v>
      </c>
      <c r="C1620" s="1930" t="s">
        <v>4520</v>
      </c>
      <c r="D1620" s="1930" t="s">
        <v>4521</v>
      </c>
      <c r="E1620" s="1931" t="s">
        <v>33</v>
      </c>
      <c r="F1620" s="1930" t="s">
        <v>33</v>
      </c>
      <c r="G1620" s="1932">
        <v>94283</v>
      </c>
      <c r="H1620" s="1930" t="s">
        <v>1330</v>
      </c>
      <c r="I1620" s="1930" t="s">
        <v>136</v>
      </c>
      <c r="J1620" s="1930" t="s">
        <v>320</v>
      </c>
      <c r="K1620" s="1933">
        <v>44</v>
      </c>
      <c r="L1620" s="1930" t="s">
        <v>138</v>
      </c>
    </row>
    <row r="1621" spans="1:12" ht="13.5" x14ac:dyDescent="0.25">
      <c r="A1621" s="1930" t="s">
        <v>4501</v>
      </c>
      <c r="B1621" s="1930" t="s">
        <v>4502</v>
      </c>
      <c r="C1621" s="1930" t="s">
        <v>4520</v>
      </c>
      <c r="D1621" s="1930" t="s">
        <v>4521</v>
      </c>
      <c r="E1621" s="1931" t="s">
        <v>33</v>
      </c>
      <c r="F1621" s="1930" t="s">
        <v>33</v>
      </c>
      <c r="G1621" s="1932">
        <v>94284</v>
      </c>
      <c r="H1621" s="1930" t="s">
        <v>1331</v>
      </c>
      <c r="I1621" s="1930" t="s">
        <v>136</v>
      </c>
      <c r="J1621" s="1930" t="s">
        <v>320</v>
      </c>
      <c r="K1621" s="1933">
        <v>53.55</v>
      </c>
      <c r="L1621" s="1930" t="s">
        <v>138</v>
      </c>
    </row>
    <row r="1622" spans="1:12" ht="13.5" x14ac:dyDescent="0.25">
      <c r="A1622" s="1930" t="s">
        <v>4501</v>
      </c>
      <c r="B1622" s="1930" t="s">
        <v>4502</v>
      </c>
      <c r="C1622" s="1930" t="s">
        <v>4520</v>
      </c>
      <c r="D1622" s="1930" t="s">
        <v>4521</v>
      </c>
      <c r="E1622" s="1931" t="s">
        <v>33</v>
      </c>
      <c r="F1622" s="1930" t="s">
        <v>33</v>
      </c>
      <c r="G1622" s="1932">
        <v>94285</v>
      </c>
      <c r="H1622" s="1930" t="s">
        <v>1332</v>
      </c>
      <c r="I1622" s="1930" t="s">
        <v>136</v>
      </c>
      <c r="J1622" s="1930" t="s">
        <v>320</v>
      </c>
      <c r="K1622" s="1933">
        <v>52.71</v>
      </c>
      <c r="L1622" s="1930" t="s">
        <v>138</v>
      </c>
    </row>
    <row r="1623" spans="1:12" ht="13.5" x14ac:dyDescent="0.25">
      <c r="A1623" s="1930" t="s">
        <v>4501</v>
      </c>
      <c r="B1623" s="1930" t="s">
        <v>4502</v>
      </c>
      <c r="C1623" s="1930" t="s">
        <v>4520</v>
      </c>
      <c r="D1623" s="1930" t="s">
        <v>4521</v>
      </c>
      <c r="E1623" s="1931" t="s">
        <v>33</v>
      </c>
      <c r="F1623" s="1930" t="s">
        <v>33</v>
      </c>
      <c r="G1623" s="1932">
        <v>94286</v>
      </c>
      <c r="H1623" s="1930" t="s">
        <v>1333</v>
      </c>
      <c r="I1623" s="1930" t="s">
        <v>136</v>
      </c>
      <c r="J1623" s="1930" t="s">
        <v>320</v>
      </c>
      <c r="K1623" s="1933">
        <v>62.25</v>
      </c>
      <c r="L1623" s="1930" t="s">
        <v>138</v>
      </c>
    </row>
    <row r="1624" spans="1:12" ht="13.5" x14ac:dyDescent="0.25">
      <c r="A1624" s="1930" t="s">
        <v>4501</v>
      </c>
      <c r="B1624" s="1930" t="s">
        <v>4502</v>
      </c>
      <c r="C1624" s="1930" t="s">
        <v>4520</v>
      </c>
      <c r="D1624" s="1930" t="s">
        <v>4521</v>
      </c>
      <c r="E1624" s="1931" t="s">
        <v>33</v>
      </c>
      <c r="F1624" s="1930" t="s">
        <v>33</v>
      </c>
      <c r="G1624" s="1932">
        <v>94287</v>
      </c>
      <c r="H1624" s="1930" t="s">
        <v>1334</v>
      </c>
      <c r="I1624" s="1930" t="s">
        <v>136</v>
      </c>
      <c r="J1624" s="1930" t="s">
        <v>320</v>
      </c>
      <c r="K1624" s="1933">
        <v>27.83</v>
      </c>
      <c r="L1624" s="1930" t="s">
        <v>138</v>
      </c>
    </row>
    <row r="1625" spans="1:12" ht="13.5" x14ac:dyDescent="0.25">
      <c r="A1625" s="1930" t="s">
        <v>4501</v>
      </c>
      <c r="B1625" s="1930" t="s">
        <v>4502</v>
      </c>
      <c r="C1625" s="1930" t="s">
        <v>4520</v>
      </c>
      <c r="D1625" s="1930" t="s">
        <v>4521</v>
      </c>
      <c r="E1625" s="1931" t="s">
        <v>33</v>
      </c>
      <c r="F1625" s="1930" t="s">
        <v>33</v>
      </c>
      <c r="G1625" s="1932">
        <v>94288</v>
      </c>
      <c r="H1625" s="1930" t="s">
        <v>1335</v>
      </c>
      <c r="I1625" s="1930" t="s">
        <v>136</v>
      </c>
      <c r="J1625" s="1930" t="s">
        <v>320</v>
      </c>
      <c r="K1625" s="1933">
        <v>36.19</v>
      </c>
      <c r="L1625" s="1930" t="s">
        <v>138</v>
      </c>
    </row>
    <row r="1626" spans="1:12" ht="13.5" x14ac:dyDescent="0.25">
      <c r="A1626" s="1930" t="s">
        <v>4501</v>
      </c>
      <c r="B1626" s="1930" t="s">
        <v>4502</v>
      </c>
      <c r="C1626" s="1930" t="s">
        <v>4520</v>
      </c>
      <c r="D1626" s="1930" t="s">
        <v>4521</v>
      </c>
      <c r="E1626" s="1931" t="s">
        <v>33</v>
      </c>
      <c r="F1626" s="1930" t="s">
        <v>33</v>
      </c>
      <c r="G1626" s="1932">
        <v>94289</v>
      </c>
      <c r="H1626" s="1930" t="s">
        <v>1336</v>
      </c>
      <c r="I1626" s="1930" t="s">
        <v>136</v>
      </c>
      <c r="J1626" s="1930" t="s">
        <v>320</v>
      </c>
      <c r="K1626" s="1933">
        <v>34.53</v>
      </c>
      <c r="L1626" s="1930" t="s">
        <v>138</v>
      </c>
    </row>
    <row r="1627" spans="1:12" ht="13.5" x14ac:dyDescent="0.25">
      <c r="A1627" s="1930" t="s">
        <v>4501</v>
      </c>
      <c r="B1627" s="1930" t="s">
        <v>4502</v>
      </c>
      <c r="C1627" s="1930" t="s">
        <v>4520</v>
      </c>
      <c r="D1627" s="1930" t="s">
        <v>4521</v>
      </c>
      <c r="E1627" s="1931" t="s">
        <v>33</v>
      </c>
      <c r="F1627" s="1930" t="s">
        <v>33</v>
      </c>
      <c r="G1627" s="1932">
        <v>94290</v>
      </c>
      <c r="H1627" s="1930" t="s">
        <v>1337</v>
      </c>
      <c r="I1627" s="1930" t="s">
        <v>136</v>
      </c>
      <c r="J1627" s="1930" t="s">
        <v>320</v>
      </c>
      <c r="K1627" s="1933">
        <v>42.88</v>
      </c>
      <c r="L1627" s="1930" t="s">
        <v>138</v>
      </c>
    </row>
    <row r="1628" spans="1:12" ht="13.5" x14ac:dyDescent="0.25">
      <c r="A1628" s="1930" t="s">
        <v>4501</v>
      </c>
      <c r="B1628" s="1930" t="s">
        <v>4502</v>
      </c>
      <c r="C1628" s="1930" t="s">
        <v>4520</v>
      </c>
      <c r="D1628" s="1930" t="s">
        <v>4521</v>
      </c>
      <c r="E1628" s="1931" t="s">
        <v>33</v>
      </c>
      <c r="F1628" s="1930" t="s">
        <v>33</v>
      </c>
      <c r="G1628" s="1932">
        <v>94291</v>
      </c>
      <c r="H1628" s="1930" t="s">
        <v>1338</v>
      </c>
      <c r="I1628" s="1930" t="s">
        <v>136</v>
      </c>
      <c r="J1628" s="1930" t="s">
        <v>320</v>
      </c>
      <c r="K1628" s="1933">
        <v>40.81</v>
      </c>
      <c r="L1628" s="1930" t="s">
        <v>138</v>
      </c>
    </row>
    <row r="1629" spans="1:12" ht="13.5" x14ac:dyDescent="0.25">
      <c r="A1629" s="1930" t="s">
        <v>4501</v>
      </c>
      <c r="B1629" s="1930" t="s">
        <v>4502</v>
      </c>
      <c r="C1629" s="1930" t="s">
        <v>4520</v>
      </c>
      <c r="D1629" s="1930" t="s">
        <v>4521</v>
      </c>
      <c r="E1629" s="1931" t="s">
        <v>33</v>
      </c>
      <c r="F1629" s="1930" t="s">
        <v>33</v>
      </c>
      <c r="G1629" s="1932">
        <v>94292</v>
      </c>
      <c r="H1629" s="1930" t="s">
        <v>1339</v>
      </c>
      <c r="I1629" s="1930" t="s">
        <v>136</v>
      </c>
      <c r="J1629" s="1930" t="s">
        <v>320</v>
      </c>
      <c r="K1629" s="1933">
        <v>49.16</v>
      </c>
      <c r="L1629" s="1930" t="s">
        <v>138</v>
      </c>
    </row>
    <row r="1630" spans="1:12" ht="13.5" x14ac:dyDescent="0.25">
      <c r="A1630" s="1930" t="s">
        <v>4501</v>
      </c>
      <c r="B1630" s="1930" t="s">
        <v>4502</v>
      </c>
      <c r="C1630" s="1930" t="s">
        <v>4520</v>
      </c>
      <c r="D1630" s="1930" t="s">
        <v>4521</v>
      </c>
      <c r="E1630" s="1931" t="s">
        <v>33</v>
      </c>
      <c r="F1630" s="1930" t="s">
        <v>33</v>
      </c>
      <c r="G1630" s="1932">
        <v>94293</v>
      </c>
      <c r="H1630" s="1930" t="s">
        <v>1340</v>
      </c>
      <c r="I1630" s="1930" t="s">
        <v>136</v>
      </c>
      <c r="J1630" s="1930" t="s">
        <v>320</v>
      </c>
      <c r="K1630" s="1933">
        <v>101.57</v>
      </c>
      <c r="L1630" s="1930" t="s">
        <v>138</v>
      </c>
    </row>
    <row r="1631" spans="1:12" ht="13.5" x14ac:dyDescent="0.25">
      <c r="A1631" s="1930" t="s">
        <v>4501</v>
      </c>
      <c r="B1631" s="1930" t="s">
        <v>4502</v>
      </c>
      <c r="C1631" s="1930" t="s">
        <v>4520</v>
      </c>
      <c r="D1631" s="1930" t="s">
        <v>4521</v>
      </c>
      <c r="E1631" s="1931" t="s">
        <v>33</v>
      </c>
      <c r="F1631" s="1930" t="s">
        <v>33</v>
      </c>
      <c r="G1631" s="1932">
        <v>94294</v>
      </c>
      <c r="H1631" s="1930" t="s">
        <v>1341</v>
      </c>
      <c r="I1631" s="1930" t="s">
        <v>136</v>
      </c>
      <c r="J1631" s="1930" t="s">
        <v>320</v>
      </c>
      <c r="K1631" s="1933">
        <v>6.26</v>
      </c>
      <c r="L1631" s="1930" t="s">
        <v>138</v>
      </c>
    </row>
    <row r="1632" spans="1:12" ht="13.5" x14ac:dyDescent="0.25">
      <c r="A1632" s="1930" t="s">
        <v>4522</v>
      </c>
      <c r="B1632" s="1930" t="s">
        <v>4523</v>
      </c>
      <c r="C1632" s="1930" t="s">
        <v>4524</v>
      </c>
      <c r="D1632" s="1930" t="s">
        <v>4525</v>
      </c>
      <c r="E1632" s="1931" t="s">
        <v>33</v>
      </c>
      <c r="F1632" s="1930" t="s">
        <v>33</v>
      </c>
      <c r="G1632" s="1932">
        <v>94037</v>
      </c>
      <c r="H1632" s="1930" t="s">
        <v>1342</v>
      </c>
      <c r="I1632" s="1930" t="s">
        <v>306</v>
      </c>
      <c r="J1632" s="1930" t="s">
        <v>320</v>
      </c>
      <c r="K1632" s="1933">
        <v>16.829999999999998</v>
      </c>
      <c r="L1632" s="1930" t="s">
        <v>138</v>
      </c>
    </row>
    <row r="1633" spans="1:12" ht="13.5" x14ac:dyDescent="0.25">
      <c r="A1633" s="1930" t="s">
        <v>4522</v>
      </c>
      <c r="B1633" s="1930" t="s">
        <v>4523</v>
      </c>
      <c r="C1633" s="1930" t="s">
        <v>4524</v>
      </c>
      <c r="D1633" s="1930" t="s">
        <v>4525</v>
      </c>
      <c r="E1633" s="1931" t="s">
        <v>33</v>
      </c>
      <c r="F1633" s="1930" t="s">
        <v>33</v>
      </c>
      <c r="G1633" s="1932">
        <v>94038</v>
      </c>
      <c r="H1633" s="1930" t="s">
        <v>1343</v>
      </c>
      <c r="I1633" s="1930" t="s">
        <v>306</v>
      </c>
      <c r="J1633" s="1930" t="s">
        <v>320</v>
      </c>
      <c r="K1633" s="1933">
        <v>23</v>
      </c>
      <c r="L1633" s="1930" t="s">
        <v>138</v>
      </c>
    </row>
    <row r="1634" spans="1:12" ht="13.5" x14ac:dyDescent="0.25">
      <c r="A1634" s="1930" t="s">
        <v>4522</v>
      </c>
      <c r="B1634" s="1930" t="s">
        <v>4523</v>
      </c>
      <c r="C1634" s="1930" t="s">
        <v>4524</v>
      </c>
      <c r="D1634" s="1930" t="s">
        <v>4525</v>
      </c>
      <c r="E1634" s="1931" t="s">
        <v>33</v>
      </c>
      <c r="F1634" s="1930" t="s">
        <v>33</v>
      </c>
      <c r="G1634" s="1932">
        <v>94039</v>
      </c>
      <c r="H1634" s="1930" t="s">
        <v>1344</v>
      </c>
      <c r="I1634" s="1930" t="s">
        <v>306</v>
      </c>
      <c r="J1634" s="1930" t="s">
        <v>320</v>
      </c>
      <c r="K1634" s="1933">
        <v>13.29</v>
      </c>
      <c r="L1634" s="1930" t="s">
        <v>138</v>
      </c>
    </row>
    <row r="1635" spans="1:12" ht="13.5" x14ac:dyDescent="0.25">
      <c r="A1635" s="1930" t="s">
        <v>4522</v>
      </c>
      <c r="B1635" s="1930" t="s">
        <v>4523</v>
      </c>
      <c r="C1635" s="1930" t="s">
        <v>4524</v>
      </c>
      <c r="D1635" s="1930" t="s">
        <v>4525</v>
      </c>
      <c r="E1635" s="1931" t="s">
        <v>33</v>
      </c>
      <c r="F1635" s="1930" t="s">
        <v>33</v>
      </c>
      <c r="G1635" s="1932">
        <v>94040</v>
      </c>
      <c r="H1635" s="1930" t="s">
        <v>1345</v>
      </c>
      <c r="I1635" s="1930" t="s">
        <v>306</v>
      </c>
      <c r="J1635" s="1930" t="s">
        <v>320</v>
      </c>
      <c r="K1635" s="1933">
        <v>19.5</v>
      </c>
      <c r="L1635" s="1930" t="s">
        <v>138</v>
      </c>
    </row>
    <row r="1636" spans="1:12" ht="13.5" x14ac:dyDescent="0.25">
      <c r="A1636" s="1930" t="s">
        <v>4522</v>
      </c>
      <c r="B1636" s="1930" t="s">
        <v>4523</v>
      </c>
      <c r="C1636" s="1930" t="s">
        <v>4524</v>
      </c>
      <c r="D1636" s="1930" t="s">
        <v>4525</v>
      </c>
      <c r="E1636" s="1931" t="s">
        <v>33</v>
      </c>
      <c r="F1636" s="1930" t="s">
        <v>33</v>
      </c>
      <c r="G1636" s="1932">
        <v>94041</v>
      </c>
      <c r="H1636" s="1930" t="s">
        <v>1346</v>
      </c>
      <c r="I1636" s="1930" t="s">
        <v>306</v>
      </c>
      <c r="J1636" s="1930" t="s">
        <v>320</v>
      </c>
      <c r="K1636" s="1933">
        <v>10.210000000000001</v>
      </c>
      <c r="L1636" s="1930" t="s">
        <v>138</v>
      </c>
    </row>
    <row r="1637" spans="1:12" ht="13.5" x14ac:dyDescent="0.25">
      <c r="A1637" s="1930" t="s">
        <v>4522</v>
      </c>
      <c r="B1637" s="1930" t="s">
        <v>4523</v>
      </c>
      <c r="C1637" s="1930" t="s">
        <v>4524</v>
      </c>
      <c r="D1637" s="1930" t="s">
        <v>4525</v>
      </c>
      <c r="E1637" s="1931" t="s">
        <v>33</v>
      </c>
      <c r="F1637" s="1930" t="s">
        <v>33</v>
      </c>
      <c r="G1637" s="1932">
        <v>94042</v>
      </c>
      <c r="H1637" s="1930" t="s">
        <v>1347</v>
      </c>
      <c r="I1637" s="1930" t="s">
        <v>306</v>
      </c>
      <c r="J1637" s="1930" t="s">
        <v>320</v>
      </c>
      <c r="K1637" s="1933">
        <v>16.55</v>
      </c>
      <c r="L1637" s="1930" t="s">
        <v>138</v>
      </c>
    </row>
    <row r="1638" spans="1:12" ht="13.5" x14ac:dyDescent="0.25">
      <c r="A1638" s="1930" t="s">
        <v>4522</v>
      </c>
      <c r="B1638" s="1930" t="s">
        <v>4523</v>
      </c>
      <c r="C1638" s="1930" t="s">
        <v>4524</v>
      </c>
      <c r="D1638" s="1930" t="s">
        <v>4525</v>
      </c>
      <c r="E1638" s="1931" t="s">
        <v>33</v>
      </c>
      <c r="F1638" s="1930" t="s">
        <v>33</v>
      </c>
      <c r="G1638" s="1932">
        <v>94043</v>
      </c>
      <c r="H1638" s="1930" t="s">
        <v>1348</v>
      </c>
      <c r="I1638" s="1930" t="s">
        <v>306</v>
      </c>
      <c r="J1638" s="1930" t="s">
        <v>320</v>
      </c>
      <c r="K1638" s="1933">
        <v>15.85</v>
      </c>
      <c r="L1638" s="1930" t="s">
        <v>138</v>
      </c>
    </row>
    <row r="1639" spans="1:12" ht="13.5" x14ac:dyDescent="0.25">
      <c r="A1639" s="1930" t="s">
        <v>4522</v>
      </c>
      <c r="B1639" s="1930" t="s">
        <v>4523</v>
      </c>
      <c r="C1639" s="1930" t="s">
        <v>4524</v>
      </c>
      <c r="D1639" s="1930" t="s">
        <v>4525</v>
      </c>
      <c r="E1639" s="1931" t="s">
        <v>33</v>
      </c>
      <c r="F1639" s="1930" t="s">
        <v>33</v>
      </c>
      <c r="G1639" s="1932">
        <v>94044</v>
      </c>
      <c r="H1639" s="1930" t="s">
        <v>1349</v>
      </c>
      <c r="I1639" s="1930" t="s">
        <v>306</v>
      </c>
      <c r="J1639" s="1930" t="s">
        <v>320</v>
      </c>
      <c r="K1639" s="1933">
        <v>22.05</v>
      </c>
      <c r="L1639" s="1930" t="s">
        <v>138</v>
      </c>
    </row>
    <row r="1640" spans="1:12" ht="13.5" x14ac:dyDescent="0.25">
      <c r="A1640" s="1930" t="s">
        <v>4522</v>
      </c>
      <c r="B1640" s="1930" t="s">
        <v>4523</v>
      </c>
      <c r="C1640" s="1930" t="s">
        <v>4524</v>
      </c>
      <c r="D1640" s="1930" t="s">
        <v>4525</v>
      </c>
      <c r="E1640" s="1931" t="s">
        <v>33</v>
      </c>
      <c r="F1640" s="1930" t="s">
        <v>33</v>
      </c>
      <c r="G1640" s="1932">
        <v>94045</v>
      </c>
      <c r="H1640" s="1930" t="s">
        <v>1350</v>
      </c>
      <c r="I1640" s="1930" t="s">
        <v>306</v>
      </c>
      <c r="J1640" s="1930" t="s">
        <v>320</v>
      </c>
      <c r="K1640" s="1933">
        <v>12.34</v>
      </c>
      <c r="L1640" s="1930" t="s">
        <v>138</v>
      </c>
    </row>
    <row r="1641" spans="1:12" ht="13.5" x14ac:dyDescent="0.25">
      <c r="A1641" s="1930" t="s">
        <v>4522</v>
      </c>
      <c r="B1641" s="1930" t="s">
        <v>4523</v>
      </c>
      <c r="C1641" s="1930" t="s">
        <v>4524</v>
      </c>
      <c r="D1641" s="1930" t="s">
        <v>4525</v>
      </c>
      <c r="E1641" s="1931" t="s">
        <v>33</v>
      </c>
      <c r="F1641" s="1930" t="s">
        <v>33</v>
      </c>
      <c r="G1641" s="1932">
        <v>94046</v>
      </c>
      <c r="H1641" s="1930" t="s">
        <v>1351</v>
      </c>
      <c r="I1641" s="1930" t="s">
        <v>306</v>
      </c>
      <c r="J1641" s="1930" t="s">
        <v>320</v>
      </c>
      <c r="K1641" s="1933">
        <v>18.510000000000002</v>
      </c>
      <c r="L1641" s="1930" t="s">
        <v>138</v>
      </c>
    </row>
    <row r="1642" spans="1:12" ht="13.5" x14ac:dyDescent="0.25">
      <c r="A1642" s="1930" t="s">
        <v>4522</v>
      </c>
      <c r="B1642" s="1930" t="s">
        <v>4523</v>
      </c>
      <c r="C1642" s="1930" t="s">
        <v>4524</v>
      </c>
      <c r="D1642" s="1930" t="s">
        <v>4525</v>
      </c>
      <c r="E1642" s="1931" t="s">
        <v>33</v>
      </c>
      <c r="F1642" s="1930" t="s">
        <v>33</v>
      </c>
      <c r="G1642" s="1932">
        <v>94047</v>
      </c>
      <c r="H1642" s="1930" t="s">
        <v>1352</v>
      </c>
      <c r="I1642" s="1930" t="s">
        <v>306</v>
      </c>
      <c r="J1642" s="1930" t="s">
        <v>320</v>
      </c>
      <c r="K1642" s="1933">
        <v>9.27</v>
      </c>
      <c r="L1642" s="1930" t="s">
        <v>138</v>
      </c>
    </row>
    <row r="1643" spans="1:12" ht="13.5" x14ac:dyDescent="0.25">
      <c r="A1643" s="1930" t="s">
        <v>4522</v>
      </c>
      <c r="B1643" s="1930" t="s">
        <v>4523</v>
      </c>
      <c r="C1643" s="1930" t="s">
        <v>4524</v>
      </c>
      <c r="D1643" s="1930" t="s">
        <v>4525</v>
      </c>
      <c r="E1643" s="1931" t="s">
        <v>33</v>
      </c>
      <c r="F1643" s="1930" t="s">
        <v>33</v>
      </c>
      <c r="G1643" s="1932">
        <v>94048</v>
      </c>
      <c r="H1643" s="1930" t="s">
        <v>1353</v>
      </c>
      <c r="I1643" s="1930" t="s">
        <v>306</v>
      </c>
      <c r="J1643" s="1930" t="s">
        <v>320</v>
      </c>
      <c r="K1643" s="1933">
        <v>15.57</v>
      </c>
      <c r="L1643" s="1930" t="s">
        <v>138</v>
      </c>
    </row>
    <row r="1644" spans="1:12" ht="13.5" x14ac:dyDescent="0.25">
      <c r="A1644" s="1930" t="s">
        <v>4522</v>
      </c>
      <c r="B1644" s="1930" t="s">
        <v>4523</v>
      </c>
      <c r="C1644" s="1930" t="s">
        <v>4524</v>
      </c>
      <c r="D1644" s="1930" t="s">
        <v>4525</v>
      </c>
      <c r="E1644" s="1931" t="s">
        <v>33</v>
      </c>
      <c r="F1644" s="1930" t="s">
        <v>33</v>
      </c>
      <c r="G1644" s="1932">
        <v>94049</v>
      </c>
      <c r="H1644" s="1930" t="s">
        <v>1354</v>
      </c>
      <c r="I1644" s="1930" t="s">
        <v>306</v>
      </c>
      <c r="J1644" s="1930" t="s">
        <v>320</v>
      </c>
      <c r="K1644" s="1933">
        <v>28.92</v>
      </c>
      <c r="L1644" s="1930" t="s">
        <v>138</v>
      </c>
    </row>
    <row r="1645" spans="1:12" ht="13.5" x14ac:dyDescent="0.25">
      <c r="A1645" s="1930" t="s">
        <v>4522</v>
      </c>
      <c r="B1645" s="1930" t="s">
        <v>4523</v>
      </c>
      <c r="C1645" s="1930" t="s">
        <v>4524</v>
      </c>
      <c r="D1645" s="1930" t="s">
        <v>4525</v>
      </c>
      <c r="E1645" s="1931" t="s">
        <v>33</v>
      </c>
      <c r="F1645" s="1930" t="s">
        <v>33</v>
      </c>
      <c r="G1645" s="1932">
        <v>94050</v>
      </c>
      <c r="H1645" s="1930" t="s">
        <v>1355</v>
      </c>
      <c r="I1645" s="1930" t="s">
        <v>306</v>
      </c>
      <c r="J1645" s="1930" t="s">
        <v>320</v>
      </c>
      <c r="K1645" s="1933">
        <v>36.94</v>
      </c>
      <c r="L1645" s="1930" t="s">
        <v>138</v>
      </c>
    </row>
    <row r="1646" spans="1:12" ht="13.5" x14ac:dyDescent="0.25">
      <c r="A1646" s="1930" t="s">
        <v>4522</v>
      </c>
      <c r="B1646" s="1930" t="s">
        <v>4523</v>
      </c>
      <c r="C1646" s="1930" t="s">
        <v>4524</v>
      </c>
      <c r="D1646" s="1930" t="s">
        <v>4525</v>
      </c>
      <c r="E1646" s="1931" t="s">
        <v>33</v>
      </c>
      <c r="F1646" s="1930" t="s">
        <v>33</v>
      </c>
      <c r="G1646" s="1932">
        <v>94051</v>
      </c>
      <c r="H1646" s="1930" t="s">
        <v>1356</v>
      </c>
      <c r="I1646" s="1930" t="s">
        <v>306</v>
      </c>
      <c r="J1646" s="1930" t="s">
        <v>320</v>
      </c>
      <c r="K1646" s="1933">
        <v>23.93</v>
      </c>
      <c r="L1646" s="1930" t="s">
        <v>138</v>
      </c>
    </row>
    <row r="1647" spans="1:12" ht="13.5" x14ac:dyDescent="0.25">
      <c r="A1647" s="1930" t="s">
        <v>4522</v>
      </c>
      <c r="B1647" s="1930" t="s">
        <v>4523</v>
      </c>
      <c r="C1647" s="1930" t="s">
        <v>4524</v>
      </c>
      <c r="D1647" s="1930" t="s">
        <v>4525</v>
      </c>
      <c r="E1647" s="1931" t="s">
        <v>33</v>
      </c>
      <c r="F1647" s="1930" t="s">
        <v>33</v>
      </c>
      <c r="G1647" s="1932">
        <v>94052</v>
      </c>
      <c r="H1647" s="1930" t="s">
        <v>1357</v>
      </c>
      <c r="I1647" s="1930" t="s">
        <v>306</v>
      </c>
      <c r="J1647" s="1930" t="s">
        <v>320</v>
      </c>
      <c r="K1647" s="1933">
        <v>31.84</v>
      </c>
      <c r="L1647" s="1930" t="s">
        <v>138</v>
      </c>
    </row>
    <row r="1648" spans="1:12" ht="13.5" x14ac:dyDescent="0.25">
      <c r="A1648" s="1930" t="s">
        <v>4522</v>
      </c>
      <c r="B1648" s="1930" t="s">
        <v>4523</v>
      </c>
      <c r="C1648" s="1930" t="s">
        <v>4524</v>
      </c>
      <c r="D1648" s="1930" t="s">
        <v>4525</v>
      </c>
      <c r="E1648" s="1931" t="s">
        <v>33</v>
      </c>
      <c r="F1648" s="1930" t="s">
        <v>33</v>
      </c>
      <c r="G1648" s="1932">
        <v>94053</v>
      </c>
      <c r="H1648" s="1930" t="s">
        <v>1358</v>
      </c>
      <c r="I1648" s="1930" t="s">
        <v>306</v>
      </c>
      <c r="J1648" s="1930" t="s">
        <v>320</v>
      </c>
      <c r="K1648" s="1933">
        <v>21</v>
      </c>
      <c r="L1648" s="1930" t="s">
        <v>138</v>
      </c>
    </row>
    <row r="1649" spans="1:12" ht="13.5" x14ac:dyDescent="0.25">
      <c r="A1649" s="1930" t="s">
        <v>4522</v>
      </c>
      <c r="B1649" s="1930" t="s">
        <v>4523</v>
      </c>
      <c r="C1649" s="1930" t="s">
        <v>4524</v>
      </c>
      <c r="D1649" s="1930" t="s">
        <v>4525</v>
      </c>
      <c r="E1649" s="1931" t="s">
        <v>33</v>
      </c>
      <c r="F1649" s="1930" t="s">
        <v>33</v>
      </c>
      <c r="G1649" s="1932">
        <v>94054</v>
      </c>
      <c r="H1649" s="1930" t="s">
        <v>1359</v>
      </c>
      <c r="I1649" s="1930" t="s">
        <v>306</v>
      </c>
      <c r="J1649" s="1930" t="s">
        <v>320</v>
      </c>
      <c r="K1649" s="1933">
        <v>29.05</v>
      </c>
      <c r="L1649" s="1930" t="s">
        <v>138</v>
      </c>
    </row>
    <row r="1650" spans="1:12" ht="13.5" x14ac:dyDescent="0.25">
      <c r="A1650" s="1930" t="s">
        <v>4522</v>
      </c>
      <c r="B1650" s="1930" t="s">
        <v>4523</v>
      </c>
      <c r="C1650" s="1930" t="s">
        <v>4524</v>
      </c>
      <c r="D1650" s="1930" t="s">
        <v>4525</v>
      </c>
      <c r="E1650" s="1931" t="s">
        <v>33</v>
      </c>
      <c r="F1650" s="1930" t="s">
        <v>33</v>
      </c>
      <c r="G1650" s="1932">
        <v>94055</v>
      </c>
      <c r="H1650" s="1930" t="s">
        <v>1360</v>
      </c>
      <c r="I1650" s="1930" t="s">
        <v>306</v>
      </c>
      <c r="J1650" s="1930" t="s">
        <v>320</v>
      </c>
      <c r="K1650" s="1933">
        <v>27.66</v>
      </c>
      <c r="L1650" s="1930" t="s">
        <v>138</v>
      </c>
    </row>
    <row r="1651" spans="1:12" ht="13.5" x14ac:dyDescent="0.25">
      <c r="A1651" s="1930" t="s">
        <v>4522</v>
      </c>
      <c r="B1651" s="1930" t="s">
        <v>4523</v>
      </c>
      <c r="C1651" s="1930" t="s">
        <v>4524</v>
      </c>
      <c r="D1651" s="1930" t="s">
        <v>4525</v>
      </c>
      <c r="E1651" s="1931" t="s">
        <v>33</v>
      </c>
      <c r="F1651" s="1930" t="s">
        <v>33</v>
      </c>
      <c r="G1651" s="1932">
        <v>94056</v>
      </c>
      <c r="H1651" s="1930" t="s">
        <v>1361</v>
      </c>
      <c r="I1651" s="1930" t="s">
        <v>306</v>
      </c>
      <c r="J1651" s="1930" t="s">
        <v>320</v>
      </c>
      <c r="K1651" s="1933">
        <v>35.700000000000003</v>
      </c>
      <c r="L1651" s="1930" t="s">
        <v>138</v>
      </c>
    </row>
    <row r="1652" spans="1:12" ht="13.5" x14ac:dyDescent="0.25">
      <c r="A1652" s="1930" t="s">
        <v>4522</v>
      </c>
      <c r="B1652" s="1930" t="s">
        <v>4523</v>
      </c>
      <c r="C1652" s="1930" t="s">
        <v>4524</v>
      </c>
      <c r="D1652" s="1930" t="s">
        <v>4525</v>
      </c>
      <c r="E1652" s="1931" t="s">
        <v>33</v>
      </c>
      <c r="F1652" s="1930" t="s">
        <v>33</v>
      </c>
      <c r="G1652" s="1932">
        <v>94057</v>
      </c>
      <c r="H1652" s="1930" t="s">
        <v>1362</v>
      </c>
      <c r="I1652" s="1930" t="s">
        <v>306</v>
      </c>
      <c r="J1652" s="1930" t="s">
        <v>320</v>
      </c>
      <c r="K1652" s="1933">
        <v>22.69</v>
      </c>
      <c r="L1652" s="1930" t="s">
        <v>138</v>
      </c>
    </row>
    <row r="1653" spans="1:12" ht="13.5" x14ac:dyDescent="0.25">
      <c r="A1653" s="1930" t="s">
        <v>4522</v>
      </c>
      <c r="B1653" s="1930" t="s">
        <v>4523</v>
      </c>
      <c r="C1653" s="1930" t="s">
        <v>4524</v>
      </c>
      <c r="D1653" s="1930" t="s">
        <v>4525</v>
      </c>
      <c r="E1653" s="1931" t="s">
        <v>33</v>
      </c>
      <c r="F1653" s="1930" t="s">
        <v>33</v>
      </c>
      <c r="G1653" s="1932">
        <v>94058</v>
      </c>
      <c r="H1653" s="1930" t="s">
        <v>1363</v>
      </c>
      <c r="I1653" s="1930" t="s">
        <v>306</v>
      </c>
      <c r="J1653" s="1930" t="s">
        <v>320</v>
      </c>
      <c r="K1653" s="1933">
        <v>30.58</v>
      </c>
      <c r="L1653" s="1930" t="s">
        <v>138</v>
      </c>
    </row>
    <row r="1654" spans="1:12" ht="13.5" x14ac:dyDescent="0.25">
      <c r="A1654" s="1930" t="s">
        <v>4522</v>
      </c>
      <c r="B1654" s="1930" t="s">
        <v>4523</v>
      </c>
      <c r="C1654" s="1930" t="s">
        <v>4524</v>
      </c>
      <c r="D1654" s="1930" t="s">
        <v>4525</v>
      </c>
      <c r="E1654" s="1931" t="s">
        <v>33</v>
      </c>
      <c r="F1654" s="1930" t="s">
        <v>33</v>
      </c>
      <c r="G1654" s="1932">
        <v>94059</v>
      </c>
      <c r="H1654" s="1930" t="s">
        <v>1364</v>
      </c>
      <c r="I1654" s="1930" t="s">
        <v>306</v>
      </c>
      <c r="J1654" s="1930" t="s">
        <v>320</v>
      </c>
      <c r="K1654" s="1933">
        <v>19.760000000000002</v>
      </c>
      <c r="L1654" s="1930" t="s">
        <v>138</v>
      </c>
    </row>
    <row r="1655" spans="1:12" ht="13.5" x14ac:dyDescent="0.25">
      <c r="A1655" s="1930" t="s">
        <v>4522</v>
      </c>
      <c r="B1655" s="1930" t="s">
        <v>4523</v>
      </c>
      <c r="C1655" s="1930" t="s">
        <v>4524</v>
      </c>
      <c r="D1655" s="1930" t="s">
        <v>4525</v>
      </c>
      <c r="E1655" s="1931" t="s">
        <v>33</v>
      </c>
      <c r="F1655" s="1930" t="s">
        <v>33</v>
      </c>
      <c r="G1655" s="1932">
        <v>94060</v>
      </c>
      <c r="H1655" s="1930" t="s">
        <v>1365</v>
      </c>
      <c r="I1655" s="1930" t="s">
        <v>306</v>
      </c>
      <c r="J1655" s="1930" t="s">
        <v>320</v>
      </c>
      <c r="K1655" s="1933">
        <v>27.79</v>
      </c>
      <c r="L1655" s="1930" t="s">
        <v>138</v>
      </c>
    </row>
    <row r="1656" spans="1:12" ht="13.5" x14ac:dyDescent="0.25">
      <c r="A1656" s="1930" t="s">
        <v>4522</v>
      </c>
      <c r="B1656" s="1930" t="s">
        <v>4523</v>
      </c>
      <c r="C1656" s="1930" t="s">
        <v>4526</v>
      </c>
      <c r="D1656" s="1930" t="s">
        <v>4527</v>
      </c>
      <c r="E1656" s="1931" t="s">
        <v>33</v>
      </c>
      <c r="F1656" s="1930" t="s">
        <v>33</v>
      </c>
      <c r="G1656" s="1932">
        <v>73301</v>
      </c>
      <c r="H1656" s="1930" t="s">
        <v>1366</v>
      </c>
      <c r="I1656" s="1930" t="s">
        <v>1208</v>
      </c>
      <c r="J1656" s="1930" t="s">
        <v>320</v>
      </c>
      <c r="K1656" s="1933">
        <v>8.7799999999999994</v>
      </c>
      <c r="L1656" s="1930" t="s">
        <v>138</v>
      </c>
    </row>
    <row r="1657" spans="1:12" ht="13.5" x14ac:dyDescent="0.25">
      <c r="A1657" s="1930" t="s">
        <v>4522</v>
      </c>
      <c r="B1657" s="1930" t="s">
        <v>4523</v>
      </c>
      <c r="C1657" s="1930" t="s">
        <v>4526</v>
      </c>
      <c r="D1657" s="1930" t="s">
        <v>4527</v>
      </c>
      <c r="E1657" s="1931" t="s">
        <v>33</v>
      </c>
      <c r="F1657" s="1930" t="s">
        <v>33</v>
      </c>
      <c r="G1657" s="1932">
        <v>83515</v>
      </c>
      <c r="H1657" s="1930" t="s">
        <v>1367</v>
      </c>
      <c r="I1657" s="1930" t="s">
        <v>1208</v>
      </c>
      <c r="J1657" s="1930" t="s">
        <v>320</v>
      </c>
      <c r="K1657" s="1933">
        <v>16.72</v>
      </c>
      <c r="L1657" s="1930" t="s">
        <v>138</v>
      </c>
    </row>
    <row r="1658" spans="1:12" ht="13.5" x14ac:dyDescent="0.25">
      <c r="A1658" s="1930" t="s">
        <v>4522</v>
      </c>
      <c r="B1658" s="1930" t="s">
        <v>4523</v>
      </c>
      <c r="C1658" s="1930" t="s">
        <v>4526</v>
      </c>
      <c r="D1658" s="1930" t="s">
        <v>4527</v>
      </c>
      <c r="E1658" s="1931" t="s">
        <v>33</v>
      </c>
      <c r="F1658" s="1930" t="s">
        <v>33</v>
      </c>
      <c r="G1658" s="1932">
        <v>83516</v>
      </c>
      <c r="H1658" s="1930" t="s">
        <v>1368</v>
      </c>
      <c r="I1658" s="1930" t="s">
        <v>1208</v>
      </c>
      <c r="J1658" s="1930" t="s">
        <v>320</v>
      </c>
      <c r="K1658" s="1933">
        <v>19.3</v>
      </c>
      <c r="L1658" s="1930" t="s">
        <v>138</v>
      </c>
    </row>
    <row r="1659" spans="1:12" ht="13.5" x14ac:dyDescent="0.25">
      <c r="A1659" s="1930" t="s">
        <v>4528</v>
      </c>
      <c r="B1659" s="1930" t="s">
        <v>4529</v>
      </c>
      <c r="C1659" s="1930" t="s">
        <v>4530</v>
      </c>
      <c r="D1659" s="1930" t="s">
        <v>4531</v>
      </c>
      <c r="E1659" s="1931" t="s">
        <v>33</v>
      </c>
      <c r="F1659" s="1930" t="s">
        <v>33</v>
      </c>
      <c r="G1659" s="1932">
        <v>90788</v>
      </c>
      <c r="H1659" s="1930" t="s">
        <v>8613</v>
      </c>
      <c r="I1659" s="1930" t="s">
        <v>168</v>
      </c>
      <c r="J1659" s="1930" t="s">
        <v>320</v>
      </c>
      <c r="K1659" s="1933">
        <v>411.14</v>
      </c>
      <c r="L1659" s="1930" t="s">
        <v>138</v>
      </c>
    </row>
    <row r="1660" spans="1:12" ht="13.5" x14ac:dyDescent="0.25">
      <c r="A1660" s="1930" t="s">
        <v>4528</v>
      </c>
      <c r="B1660" s="1930" t="s">
        <v>4529</v>
      </c>
      <c r="C1660" s="1930" t="s">
        <v>4530</v>
      </c>
      <c r="D1660" s="1930" t="s">
        <v>4531</v>
      </c>
      <c r="E1660" s="1931" t="s">
        <v>33</v>
      </c>
      <c r="F1660" s="1930" t="s">
        <v>33</v>
      </c>
      <c r="G1660" s="1932">
        <v>90789</v>
      </c>
      <c r="H1660" s="1930" t="s">
        <v>8614</v>
      </c>
      <c r="I1660" s="1930" t="s">
        <v>168</v>
      </c>
      <c r="J1660" s="1930" t="s">
        <v>320</v>
      </c>
      <c r="K1660" s="1933">
        <v>424.93</v>
      </c>
      <c r="L1660" s="1930" t="s">
        <v>138</v>
      </c>
    </row>
    <row r="1661" spans="1:12" ht="13.5" x14ac:dyDescent="0.25">
      <c r="A1661" s="1930" t="s">
        <v>4528</v>
      </c>
      <c r="B1661" s="1930" t="s">
        <v>4529</v>
      </c>
      <c r="C1661" s="1930" t="s">
        <v>4530</v>
      </c>
      <c r="D1661" s="1930" t="s">
        <v>4531</v>
      </c>
      <c r="E1661" s="1931" t="s">
        <v>33</v>
      </c>
      <c r="F1661" s="1930" t="s">
        <v>33</v>
      </c>
      <c r="G1661" s="1932">
        <v>90790</v>
      </c>
      <c r="H1661" s="1930" t="s">
        <v>8615</v>
      </c>
      <c r="I1661" s="1930" t="s">
        <v>168</v>
      </c>
      <c r="J1661" s="1930" t="s">
        <v>320</v>
      </c>
      <c r="K1661" s="1933">
        <v>428.7</v>
      </c>
      <c r="L1661" s="1930" t="s">
        <v>138</v>
      </c>
    </row>
    <row r="1662" spans="1:12" ht="13.5" x14ac:dyDescent="0.25">
      <c r="A1662" s="1930" t="s">
        <v>4528</v>
      </c>
      <c r="B1662" s="1930" t="s">
        <v>4529</v>
      </c>
      <c r="C1662" s="1930" t="s">
        <v>4530</v>
      </c>
      <c r="D1662" s="1930" t="s">
        <v>4531</v>
      </c>
      <c r="E1662" s="1931" t="s">
        <v>33</v>
      </c>
      <c r="F1662" s="1930" t="s">
        <v>33</v>
      </c>
      <c r="G1662" s="1932">
        <v>90791</v>
      </c>
      <c r="H1662" s="1930" t="s">
        <v>8616</v>
      </c>
      <c r="I1662" s="1930" t="s">
        <v>168</v>
      </c>
      <c r="J1662" s="1930" t="s">
        <v>320</v>
      </c>
      <c r="K1662" s="1933">
        <v>458.98</v>
      </c>
      <c r="L1662" s="1930" t="s">
        <v>138</v>
      </c>
    </row>
    <row r="1663" spans="1:12" ht="13.5" x14ac:dyDescent="0.25">
      <c r="A1663" s="1930" t="s">
        <v>4528</v>
      </c>
      <c r="B1663" s="1930" t="s">
        <v>4529</v>
      </c>
      <c r="C1663" s="1930" t="s">
        <v>4530</v>
      </c>
      <c r="D1663" s="1930" t="s">
        <v>4531</v>
      </c>
      <c r="E1663" s="1931" t="s">
        <v>33</v>
      </c>
      <c r="F1663" s="1930" t="s">
        <v>33</v>
      </c>
      <c r="G1663" s="1932">
        <v>90793</v>
      </c>
      <c r="H1663" s="1930" t="s">
        <v>8617</v>
      </c>
      <c r="I1663" s="1930" t="s">
        <v>168</v>
      </c>
      <c r="J1663" s="1930" t="s">
        <v>320</v>
      </c>
      <c r="K1663" s="1933">
        <v>492.31</v>
      </c>
      <c r="L1663" s="1930" t="s">
        <v>138</v>
      </c>
    </row>
    <row r="1664" spans="1:12" ht="13.5" x14ac:dyDescent="0.25">
      <c r="A1664" s="1930" t="s">
        <v>4528</v>
      </c>
      <c r="B1664" s="1930" t="s">
        <v>4529</v>
      </c>
      <c r="C1664" s="1930" t="s">
        <v>4530</v>
      </c>
      <c r="D1664" s="1930" t="s">
        <v>4531</v>
      </c>
      <c r="E1664" s="1931" t="s">
        <v>33</v>
      </c>
      <c r="F1664" s="1930" t="s">
        <v>33</v>
      </c>
      <c r="G1664" s="1932">
        <v>90794</v>
      </c>
      <c r="H1664" s="1930" t="s">
        <v>9134</v>
      </c>
      <c r="I1664" s="1930" t="s">
        <v>168</v>
      </c>
      <c r="J1664" s="1930" t="s">
        <v>320</v>
      </c>
      <c r="K1664" s="1933">
        <v>448.3</v>
      </c>
      <c r="L1664" s="1930" t="s">
        <v>138</v>
      </c>
    </row>
    <row r="1665" spans="1:12" ht="13.5" x14ac:dyDescent="0.25">
      <c r="A1665" s="1930" t="s">
        <v>4528</v>
      </c>
      <c r="B1665" s="1930" t="s">
        <v>4529</v>
      </c>
      <c r="C1665" s="1930" t="s">
        <v>4530</v>
      </c>
      <c r="D1665" s="1930" t="s">
        <v>4531</v>
      </c>
      <c r="E1665" s="1931" t="s">
        <v>33</v>
      </c>
      <c r="F1665" s="1930" t="s">
        <v>33</v>
      </c>
      <c r="G1665" s="1932">
        <v>90795</v>
      </c>
      <c r="H1665" s="1930" t="s">
        <v>8618</v>
      </c>
      <c r="I1665" s="1930" t="s">
        <v>168</v>
      </c>
      <c r="J1665" s="1930" t="s">
        <v>320</v>
      </c>
      <c r="K1665" s="1933">
        <v>466.22</v>
      </c>
      <c r="L1665" s="1930" t="s">
        <v>138</v>
      </c>
    </row>
    <row r="1666" spans="1:12" ht="13.5" x14ac:dyDescent="0.25">
      <c r="A1666" s="1930" t="s">
        <v>4528</v>
      </c>
      <c r="B1666" s="1930" t="s">
        <v>4529</v>
      </c>
      <c r="C1666" s="1930" t="s">
        <v>4530</v>
      </c>
      <c r="D1666" s="1930" t="s">
        <v>4531</v>
      </c>
      <c r="E1666" s="1931" t="s">
        <v>33</v>
      </c>
      <c r="F1666" s="1930" t="s">
        <v>33</v>
      </c>
      <c r="G1666" s="1932">
        <v>90796</v>
      </c>
      <c r="H1666" s="1930" t="s">
        <v>8619</v>
      </c>
      <c r="I1666" s="1930" t="s">
        <v>168</v>
      </c>
      <c r="J1666" s="1930" t="s">
        <v>320</v>
      </c>
      <c r="K1666" s="1933">
        <v>474.15</v>
      </c>
      <c r="L1666" s="1930" t="s">
        <v>138</v>
      </c>
    </row>
    <row r="1667" spans="1:12" ht="13.5" x14ac:dyDescent="0.25">
      <c r="A1667" s="1930" t="s">
        <v>4528</v>
      </c>
      <c r="B1667" s="1930" t="s">
        <v>4529</v>
      </c>
      <c r="C1667" s="1930" t="s">
        <v>4530</v>
      </c>
      <c r="D1667" s="1930" t="s">
        <v>4531</v>
      </c>
      <c r="E1667" s="1931" t="s">
        <v>33</v>
      </c>
      <c r="F1667" s="1930" t="s">
        <v>33</v>
      </c>
      <c r="G1667" s="1932">
        <v>90797</v>
      </c>
      <c r="H1667" s="1930" t="s">
        <v>8620</v>
      </c>
      <c r="I1667" s="1930" t="s">
        <v>168</v>
      </c>
      <c r="J1667" s="1930" t="s">
        <v>320</v>
      </c>
      <c r="K1667" s="1933">
        <v>503.1</v>
      </c>
      <c r="L1667" s="1930" t="s">
        <v>138</v>
      </c>
    </row>
    <row r="1668" spans="1:12" ht="13.5" x14ac:dyDescent="0.25">
      <c r="A1668" s="1930" t="s">
        <v>4528</v>
      </c>
      <c r="B1668" s="1930" t="s">
        <v>4529</v>
      </c>
      <c r="C1668" s="1930" t="s">
        <v>4530</v>
      </c>
      <c r="D1668" s="1930" t="s">
        <v>4531</v>
      </c>
      <c r="E1668" s="1931" t="s">
        <v>33</v>
      </c>
      <c r="F1668" s="1930" t="s">
        <v>33</v>
      </c>
      <c r="G1668" s="1932">
        <v>90798</v>
      </c>
      <c r="H1668" s="1930" t="s">
        <v>8621</v>
      </c>
      <c r="I1668" s="1930" t="s">
        <v>168</v>
      </c>
      <c r="J1668" s="1930" t="s">
        <v>320</v>
      </c>
      <c r="K1668" s="1933">
        <v>507.01</v>
      </c>
      <c r="L1668" s="1930" t="s">
        <v>138</v>
      </c>
    </row>
    <row r="1669" spans="1:12" ht="13.5" x14ac:dyDescent="0.25">
      <c r="A1669" s="1930" t="s">
        <v>4528</v>
      </c>
      <c r="B1669" s="1930" t="s">
        <v>4529</v>
      </c>
      <c r="C1669" s="1930" t="s">
        <v>4530</v>
      </c>
      <c r="D1669" s="1930" t="s">
        <v>4531</v>
      </c>
      <c r="E1669" s="1931" t="s">
        <v>33</v>
      </c>
      <c r="F1669" s="1930" t="s">
        <v>33</v>
      </c>
      <c r="G1669" s="1932">
        <v>90799</v>
      </c>
      <c r="H1669" s="1930" t="s">
        <v>8622</v>
      </c>
      <c r="I1669" s="1930" t="s">
        <v>168</v>
      </c>
      <c r="J1669" s="1930" t="s">
        <v>320</v>
      </c>
      <c r="K1669" s="1933">
        <v>524.33000000000004</v>
      </c>
      <c r="L1669" s="1930" t="s">
        <v>138</v>
      </c>
    </row>
    <row r="1670" spans="1:12" ht="13.5" x14ac:dyDescent="0.25">
      <c r="A1670" s="1930" t="s">
        <v>4528</v>
      </c>
      <c r="B1670" s="1930" t="s">
        <v>4529</v>
      </c>
      <c r="C1670" s="1930" t="s">
        <v>4530</v>
      </c>
      <c r="D1670" s="1930" t="s">
        <v>4531</v>
      </c>
      <c r="E1670" s="1931" t="s">
        <v>33</v>
      </c>
      <c r="F1670" s="1930" t="s">
        <v>33</v>
      </c>
      <c r="G1670" s="1932">
        <v>90801</v>
      </c>
      <c r="H1670" s="1930" t="s">
        <v>8623</v>
      </c>
      <c r="I1670" s="1930" t="s">
        <v>168</v>
      </c>
      <c r="J1670" s="1930" t="s">
        <v>320</v>
      </c>
      <c r="K1670" s="1933">
        <v>249.29</v>
      </c>
      <c r="L1670" s="1930" t="s">
        <v>138</v>
      </c>
    </row>
    <row r="1671" spans="1:12" ht="13.5" x14ac:dyDescent="0.25">
      <c r="A1671" s="1930" t="s">
        <v>4528</v>
      </c>
      <c r="B1671" s="1930" t="s">
        <v>4529</v>
      </c>
      <c r="C1671" s="1930" t="s">
        <v>4530</v>
      </c>
      <c r="D1671" s="1930" t="s">
        <v>4531</v>
      </c>
      <c r="E1671" s="1931" t="s">
        <v>33</v>
      </c>
      <c r="F1671" s="1930" t="s">
        <v>33</v>
      </c>
      <c r="G1671" s="1932">
        <v>90806</v>
      </c>
      <c r="H1671" s="1930" t="s">
        <v>8624</v>
      </c>
      <c r="I1671" s="1930" t="s">
        <v>168</v>
      </c>
      <c r="J1671" s="1930" t="s">
        <v>320</v>
      </c>
      <c r="K1671" s="1933">
        <v>315.18</v>
      </c>
      <c r="L1671" s="1930" t="s">
        <v>138</v>
      </c>
    </row>
    <row r="1672" spans="1:12" ht="13.5" x14ac:dyDescent="0.25">
      <c r="A1672" s="1930" t="s">
        <v>4528</v>
      </c>
      <c r="B1672" s="1930" t="s">
        <v>4529</v>
      </c>
      <c r="C1672" s="1930" t="s">
        <v>4530</v>
      </c>
      <c r="D1672" s="1930" t="s">
        <v>4531</v>
      </c>
      <c r="E1672" s="1931" t="s">
        <v>33</v>
      </c>
      <c r="F1672" s="1930" t="s">
        <v>33</v>
      </c>
      <c r="G1672" s="1932">
        <v>90820</v>
      </c>
      <c r="H1672" s="1930" t="s">
        <v>8625</v>
      </c>
      <c r="I1672" s="1930" t="s">
        <v>168</v>
      </c>
      <c r="J1672" s="1930" t="s">
        <v>320</v>
      </c>
      <c r="K1672" s="1933">
        <v>264.56</v>
      </c>
      <c r="L1672" s="1930" t="s">
        <v>138</v>
      </c>
    </row>
    <row r="1673" spans="1:12" ht="13.5" x14ac:dyDescent="0.25">
      <c r="A1673" s="1930" t="s">
        <v>4528</v>
      </c>
      <c r="B1673" s="1930" t="s">
        <v>4529</v>
      </c>
      <c r="C1673" s="1930" t="s">
        <v>4530</v>
      </c>
      <c r="D1673" s="1930" t="s">
        <v>4531</v>
      </c>
      <c r="E1673" s="1931" t="s">
        <v>33</v>
      </c>
      <c r="F1673" s="1930" t="s">
        <v>33</v>
      </c>
      <c r="G1673" s="1932">
        <v>90821</v>
      </c>
      <c r="H1673" s="1930" t="s">
        <v>8626</v>
      </c>
      <c r="I1673" s="1930" t="s">
        <v>168</v>
      </c>
      <c r="J1673" s="1930" t="s">
        <v>320</v>
      </c>
      <c r="K1673" s="1933">
        <v>289.36</v>
      </c>
      <c r="L1673" s="1930" t="s">
        <v>138</v>
      </c>
    </row>
    <row r="1674" spans="1:12" ht="13.5" x14ac:dyDescent="0.25">
      <c r="A1674" s="1930" t="s">
        <v>4528</v>
      </c>
      <c r="B1674" s="1930" t="s">
        <v>4529</v>
      </c>
      <c r="C1674" s="1930" t="s">
        <v>4530</v>
      </c>
      <c r="D1674" s="1930" t="s">
        <v>4531</v>
      </c>
      <c r="E1674" s="1931" t="s">
        <v>33</v>
      </c>
      <c r="F1674" s="1930" t="s">
        <v>33</v>
      </c>
      <c r="G1674" s="1932">
        <v>90822</v>
      </c>
      <c r="H1674" s="1930" t="s">
        <v>8627</v>
      </c>
      <c r="I1674" s="1930" t="s">
        <v>168</v>
      </c>
      <c r="J1674" s="1930" t="s">
        <v>320</v>
      </c>
      <c r="K1674" s="1933">
        <v>285.98</v>
      </c>
      <c r="L1674" s="1930" t="s">
        <v>138</v>
      </c>
    </row>
    <row r="1675" spans="1:12" ht="13.5" x14ac:dyDescent="0.25">
      <c r="A1675" s="1930" t="s">
        <v>4528</v>
      </c>
      <c r="B1675" s="1930" t="s">
        <v>4529</v>
      </c>
      <c r="C1675" s="1930" t="s">
        <v>4530</v>
      </c>
      <c r="D1675" s="1930" t="s">
        <v>4531</v>
      </c>
      <c r="E1675" s="1931" t="s">
        <v>33</v>
      </c>
      <c r="F1675" s="1930" t="s">
        <v>33</v>
      </c>
      <c r="G1675" s="1932">
        <v>90823</v>
      </c>
      <c r="H1675" s="1930" t="s">
        <v>8628</v>
      </c>
      <c r="I1675" s="1930" t="s">
        <v>168</v>
      </c>
      <c r="J1675" s="1930" t="s">
        <v>320</v>
      </c>
      <c r="K1675" s="1933">
        <v>301.74</v>
      </c>
      <c r="L1675" s="1930" t="s">
        <v>138</v>
      </c>
    </row>
    <row r="1676" spans="1:12" ht="13.5" x14ac:dyDescent="0.25">
      <c r="A1676" s="1930" t="s">
        <v>4528</v>
      </c>
      <c r="B1676" s="1930" t="s">
        <v>4529</v>
      </c>
      <c r="C1676" s="1930" t="s">
        <v>4530</v>
      </c>
      <c r="D1676" s="1930" t="s">
        <v>4531</v>
      </c>
      <c r="E1676" s="1931" t="s">
        <v>33</v>
      </c>
      <c r="F1676" s="1930" t="s">
        <v>33</v>
      </c>
      <c r="G1676" s="1932">
        <v>90824</v>
      </c>
      <c r="H1676" s="1930" t="s">
        <v>8629</v>
      </c>
      <c r="I1676" s="1930" t="s">
        <v>168</v>
      </c>
      <c r="J1676" s="1930" t="s">
        <v>320</v>
      </c>
      <c r="K1676" s="1933">
        <v>310.95999999999998</v>
      </c>
      <c r="L1676" s="1930" t="s">
        <v>138</v>
      </c>
    </row>
    <row r="1677" spans="1:12" ht="13.5" x14ac:dyDescent="0.25">
      <c r="A1677" s="1930" t="s">
        <v>4528</v>
      </c>
      <c r="B1677" s="1930" t="s">
        <v>4529</v>
      </c>
      <c r="C1677" s="1930" t="s">
        <v>4530</v>
      </c>
      <c r="D1677" s="1930" t="s">
        <v>4531</v>
      </c>
      <c r="E1677" s="1931" t="s">
        <v>33</v>
      </c>
      <c r="F1677" s="1930" t="s">
        <v>33</v>
      </c>
      <c r="G1677" s="1932">
        <v>90825</v>
      </c>
      <c r="H1677" s="1930" t="s">
        <v>8630</v>
      </c>
      <c r="I1677" s="1930" t="s">
        <v>168</v>
      </c>
      <c r="J1677" s="1930" t="s">
        <v>320</v>
      </c>
      <c r="K1677" s="1933">
        <v>334.17</v>
      </c>
      <c r="L1677" s="1930" t="s">
        <v>138</v>
      </c>
    </row>
    <row r="1678" spans="1:12" ht="13.5" x14ac:dyDescent="0.25">
      <c r="A1678" s="1930" t="s">
        <v>4528</v>
      </c>
      <c r="B1678" s="1930" t="s">
        <v>4529</v>
      </c>
      <c r="C1678" s="1930" t="s">
        <v>4530</v>
      </c>
      <c r="D1678" s="1930" t="s">
        <v>4531</v>
      </c>
      <c r="E1678" s="1931" t="s">
        <v>33</v>
      </c>
      <c r="F1678" s="1930" t="s">
        <v>33</v>
      </c>
      <c r="G1678" s="1932">
        <v>90830</v>
      </c>
      <c r="H1678" s="1930" t="s">
        <v>8631</v>
      </c>
      <c r="I1678" s="1930" t="s">
        <v>168</v>
      </c>
      <c r="J1678" s="1930" t="s">
        <v>320</v>
      </c>
      <c r="K1678" s="1933">
        <v>103.16</v>
      </c>
      <c r="L1678" s="1930" t="s">
        <v>138</v>
      </c>
    </row>
    <row r="1679" spans="1:12" ht="13.5" x14ac:dyDescent="0.25">
      <c r="A1679" s="1930" t="s">
        <v>4528</v>
      </c>
      <c r="B1679" s="1930" t="s">
        <v>4529</v>
      </c>
      <c r="C1679" s="1930" t="s">
        <v>4530</v>
      </c>
      <c r="D1679" s="1930" t="s">
        <v>4531</v>
      </c>
      <c r="E1679" s="1931" t="s">
        <v>33</v>
      </c>
      <c r="F1679" s="1930" t="s">
        <v>33</v>
      </c>
      <c r="G1679" s="1932">
        <v>90831</v>
      </c>
      <c r="H1679" s="1930" t="s">
        <v>8632</v>
      </c>
      <c r="I1679" s="1930" t="s">
        <v>168</v>
      </c>
      <c r="J1679" s="1930" t="s">
        <v>320</v>
      </c>
      <c r="K1679" s="1933">
        <v>80.88</v>
      </c>
      <c r="L1679" s="1930" t="s">
        <v>138</v>
      </c>
    </row>
    <row r="1680" spans="1:12" ht="13.5" x14ac:dyDescent="0.25">
      <c r="A1680" s="1930" t="s">
        <v>4528</v>
      </c>
      <c r="B1680" s="1930" t="s">
        <v>4529</v>
      </c>
      <c r="C1680" s="1930" t="s">
        <v>4530</v>
      </c>
      <c r="D1680" s="1930" t="s">
        <v>4531</v>
      </c>
      <c r="E1680" s="1931" t="s">
        <v>33</v>
      </c>
      <c r="F1680" s="1930" t="s">
        <v>33</v>
      </c>
      <c r="G1680" s="1932">
        <v>90841</v>
      </c>
      <c r="H1680" s="1930" t="s">
        <v>8633</v>
      </c>
      <c r="I1680" s="1930" t="s">
        <v>168</v>
      </c>
      <c r="J1680" s="1930" t="s">
        <v>320</v>
      </c>
      <c r="K1680" s="1933">
        <v>737.7</v>
      </c>
      <c r="L1680" s="1930" t="s">
        <v>138</v>
      </c>
    </row>
    <row r="1681" spans="1:12" ht="13.5" x14ac:dyDescent="0.25">
      <c r="A1681" s="1930" t="s">
        <v>4528</v>
      </c>
      <c r="B1681" s="1930" t="s">
        <v>4529</v>
      </c>
      <c r="C1681" s="1930" t="s">
        <v>4530</v>
      </c>
      <c r="D1681" s="1930" t="s">
        <v>4531</v>
      </c>
      <c r="E1681" s="1931" t="s">
        <v>33</v>
      </c>
      <c r="F1681" s="1930" t="s">
        <v>33</v>
      </c>
      <c r="G1681" s="1932">
        <v>90842</v>
      </c>
      <c r="H1681" s="1930" t="s">
        <v>8634</v>
      </c>
      <c r="I1681" s="1930" t="s">
        <v>168</v>
      </c>
      <c r="J1681" s="1930" t="s">
        <v>320</v>
      </c>
      <c r="K1681" s="1933">
        <v>771.44</v>
      </c>
      <c r="L1681" s="1930" t="s">
        <v>138</v>
      </c>
    </row>
    <row r="1682" spans="1:12" ht="13.5" x14ac:dyDescent="0.25">
      <c r="A1682" s="1930" t="s">
        <v>4528</v>
      </c>
      <c r="B1682" s="1930" t="s">
        <v>4529</v>
      </c>
      <c r="C1682" s="1930" t="s">
        <v>4530</v>
      </c>
      <c r="D1682" s="1930" t="s">
        <v>4531</v>
      </c>
      <c r="E1682" s="1931" t="s">
        <v>33</v>
      </c>
      <c r="F1682" s="1930" t="s">
        <v>33</v>
      </c>
      <c r="G1682" s="1932">
        <v>90843</v>
      </c>
      <c r="H1682" s="1930" t="s">
        <v>8635</v>
      </c>
      <c r="I1682" s="1930" t="s">
        <v>168</v>
      </c>
      <c r="J1682" s="1930" t="s">
        <v>320</v>
      </c>
      <c r="K1682" s="1933">
        <v>784.62</v>
      </c>
      <c r="L1682" s="1930" t="s">
        <v>138</v>
      </c>
    </row>
    <row r="1683" spans="1:12" ht="13.5" x14ac:dyDescent="0.25">
      <c r="A1683" s="1930" t="s">
        <v>4528</v>
      </c>
      <c r="B1683" s="1930" t="s">
        <v>4529</v>
      </c>
      <c r="C1683" s="1930" t="s">
        <v>4530</v>
      </c>
      <c r="D1683" s="1930" t="s">
        <v>4531</v>
      </c>
      <c r="E1683" s="1931" t="s">
        <v>33</v>
      </c>
      <c r="F1683" s="1930" t="s">
        <v>33</v>
      </c>
      <c r="G1683" s="1932">
        <v>90844</v>
      </c>
      <c r="H1683" s="1930" t="s">
        <v>8636</v>
      </c>
      <c r="I1683" s="1930" t="s">
        <v>168</v>
      </c>
      <c r="J1683" s="1930" t="s">
        <v>320</v>
      </c>
      <c r="K1683" s="1933">
        <v>801.98</v>
      </c>
      <c r="L1683" s="1930" t="s">
        <v>138</v>
      </c>
    </row>
    <row r="1684" spans="1:12" ht="13.5" x14ac:dyDescent="0.25">
      <c r="A1684" s="1930" t="s">
        <v>4528</v>
      </c>
      <c r="B1684" s="1930" t="s">
        <v>4529</v>
      </c>
      <c r="C1684" s="1930" t="s">
        <v>4530</v>
      </c>
      <c r="D1684" s="1930" t="s">
        <v>4531</v>
      </c>
      <c r="E1684" s="1931" t="s">
        <v>33</v>
      </c>
      <c r="F1684" s="1930" t="s">
        <v>33</v>
      </c>
      <c r="G1684" s="1932">
        <v>90847</v>
      </c>
      <c r="H1684" s="1930" t="s">
        <v>8637</v>
      </c>
      <c r="I1684" s="1930" t="s">
        <v>168</v>
      </c>
      <c r="J1684" s="1930" t="s">
        <v>320</v>
      </c>
      <c r="K1684" s="1933">
        <v>656.82</v>
      </c>
      <c r="L1684" s="1930" t="s">
        <v>138</v>
      </c>
    </row>
    <row r="1685" spans="1:12" ht="13.5" x14ac:dyDescent="0.25">
      <c r="A1685" s="1930" t="s">
        <v>4528</v>
      </c>
      <c r="B1685" s="1930" t="s">
        <v>4529</v>
      </c>
      <c r="C1685" s="1930" t="s">
        <v>4530</v>
      </c>
      <c r="D1685" s="1930" t="s">
        <v>4531</v>
      </c>
      <c r="E1685" s="1931" t="s">
        <v>33</v>
      </c>
      <c r="F1685" s="1930" t="s">
        <v>33</v>
      </c>
      <c r="G1685" s="1932">
        <v>90848</v>
      </c>
      <c r="H1685" s="1930" t="s">
        <v>8638</v>
      </c>
      <c r="I1685" s="1930" t="s">
        <v>168</v>
      </c>
      <c r="J1685" s="1930" t="s">
        <v>320</v>
      </c>
      <c r="K1685" s="1933">
        <v>683.23</v>
      </c>
      <c r="L1685" s="1930" t="s">
        <v>138</v>
      </c>
    </row>
    <row r="1686" spans="1:12" ht="13.5" x14ac:dyDescent="0.25">
      <c r="A1686" s="1930" t="s">
        <v>4528</v>
      </c>
      <c r="B1686" s="1930" t="s">
        <v>4529</v>
      </c>
      <c r="C1686" s="1930" t="s">
        <v>4530</v>
      </c>
      <c r="D1686" s="1930" t="s">
        <v>4531</v>
      </c>
      <c r="E1686" s="1931" t="s">
        <v>33</v>
      </c>
      <c r="F1686" s="1930" t="s">
        <v>33</v>
      </c>
      <c r="G1686" s="1932">
        <v>90849</v>
      </c>
      <c r="H1686" s="1930" t="s">
        <v>8639</v>
      </c>
      <c r="I1686" s="1930" t="s">
        <v>168</v>
      </c>
      <c r="J1686" s="1930" t="s">
        <v>320</v>
      </c>
      <c r="K1686" s="1933">
        <v>681.46</v>
      </c>
      <c r="L1686" s="1930" t="s">
        <v>138</v>
      </c>
    </row>
    <row r="1687" spans="1:12" ht="13.5" x14ac:dyDescent="0.25">
      <c r="A1687" s="1930" t="s">
        <v>4528</v>
      </c>
      <c r="B1687" s="1930" t="s">
        <v>4529</v>
      </c>
      <c r="C1687" s="1930" t="s">
        <v>4530</v>
      </c>
      <c r="D1687" s="1930" t="s">
        <v>4531</v>
      </c>
      <c r="E1687" s="1931" t="s">
        <v>33</v>
      </c>
      <c r="F1687" s="1930" t="s">
        <v>33</v>
      </c>
      <c r="G1687" s="1932">
        <v>90850</v>
      </c>
      <c r="H1687" s="1930" t="s">
        <v>8640</v>
      </c>
      <c r="I1687" s="1930" t="s">
        <v>168</v>
      </c>
      <c r="J1687" s="1930" t="s">
        <v>320</v>
      </c>
      <c r="K1687" s="1933">
        <v>698.82</v>
      </c>
      <c r="L1687" s="1930" t="s">
        <v>138</v>
      </c>
    </row>
    <row r="1688" spans="1:12" ht="13.5" x14ac:dyDescent="0.25">
      <c r="A1688" s="1930" t="s">
        <v>4528</v>
      </c>
      <c r="B1688" s="1930" t="s">
        <v>4529</v>
      </c>
      <c r="C1688" s="1930" t="s">
        <v>4530</v>
      </c>
      <c r="D1688" s="1930" t="s">
        <v>4531</v>
      </c>
      <c r="E1688" s="1931" t="s">
        <v>33</v>
      </c>
      <c r="F1688" s="1930" t="s">
        <v>33</v>
      </c>
      <c r="G1688" s="1932">
        <v>91009</v>
      </c>
      <c r="H1688" s="1930" t="s">
        <v>8641</v>
      </c>
      <c r="I1688" s="1930" t="s">
        <v>168</v>
      </c>
      <c r="J1688" s="1930" t="s">
        <v>320</v>
      </c>
      <c r="K1688" s="1933">
        <v>271.18</v>
      </c>
      <c r="L1688" s="1930" t="s">
        <v>138</v>
      </c>
    </row>
    <row r="1689" spans="1:12" ht="13.5" x14ac:dyDescent="0.25">
      <c r="A1689" s="1930" t="s">
        <v>4528</v>
      </c>
      <c r="B1689" s="1930" t="s">
        <v>4529</v>
      </c>
      <c r="C1689" s="1930" t="s">
        <v>4530</v>
      </c>
      <c r="D1689" s="1930" t="s">
        <v>4531</v>
      </c>
      <c r="E1689" s="1931" t="s">
        <v>33</v>
      </c>
      <c r="F1689" s="1930" t="s">
        <v>33</v>
      </c>
      <c r="G1689" s="1932">
        <v>91010</v>
      </c>
      <c r="H1689" s="1930" t="s">
        <v>8642</v>
      </c>
      <c r="I1689" s="1930" t="s">
        <v>168</v>
      </c>
      <c r="J1689" s="1930" t="s">
        <v>320</v>
      </c>
      <c r="K1689" s="1933">
        <v>216.81</v>
      </c>
      <c r="L1689" s="1930" t="s">
        <v>138</v>
      </c>
    </row>
    <row r="1690" spans="1:12" ht="13.5" x14ac:dyDescent="0.25">
      <c r="A1690" s="1930" t="s">
        <v>4528</v>
      </c>
      <c r="B1690" s="1930" t="s">
        <v>4529</v>
      </c>
      <c r="C1690" s="1930" t="s">
        <v>4530</v>
      </c>
      <c r="D1690" s="1930" t="s">
        <v>4531</v>
      </c>
      <c r="E1690" s="1931" t="s">
        <v>33</v>
      </c>
      <c r="F1690" s="1930" t="s">
        <v>33</v>
      </c>
      <c r="G1690" s="1932">
        <v>91011</v>
      </c>
      <c r="H1690" s="1930" t="s">
        <v>8643</v>
      </c>
      <c r="I1690" s="1930" t="s">
        <v>168</v>
      </c>
      <c r="J1690" s="1930" t="s">
        <v>320</v>
      </c>
      <c r="K1690" s="1933">
        <v>310.77</v>
      </c>
      <c r="L1690" s="1930" t="s">
        <v>138</v>
      </c>
    </row>
    <row r="1691" spans="1:12" ht="13.5" x14ac:dyDescent="0.25">
      <c r="A1691" s="1930" t="s">
        <v>4528</v>
      </c>
      <c r="B1691" s="1930" t="s">
        <v>4529</v>
      </c>
      <c r="C1691" s="1930" t="s">
        <v>4530</v>
      </c>
      <c r="D1691" s="1930" t="s">
        <v>4531</v>
      </c>
      <c r="E1691" s="1931" t="s">
        <v>33</v>
      </c>
      <c r="F1691" s="1930" t="s">
        <v>33</v>
      </c>
      <c r="G1691" s="1932">
        <v>91012</v>
      </c>
      <c r="H1691" s="1930" t="s">
        <v>8644</v>
      </c>
      <c r="I1691" s="1930" t="s">
        <v>168</v>
      </c>
      <c r="J1691" s="1930" t="s">
        <v>320</v>
      </c>
      <c r="K1691" s="1933">
        <v>296.64</v>
      </c>
      <c r="L1691" s="1930" t="s">
        <v>138</v>
      </c>
    </row>
    <row r="1692" spans="1:12" ht="13.5" x14ac:dyDescent="0.25">
      <c r="A1692" s="1930" t="s">
        <v>4528</v>
      </c>
      <c r="B1692" s="1930" t="s">
        <v>4529</v>
      </c>
      <c r="C1692" s="1930" t="s">
        <v>4530</v>
      </c>
      <c r="D1692" s="1930" t="s">
        <v>4531</v>
      </c>
      <c r="E1692" s="1931" t="s">
        <v>33</v>
      </c>
      <c r="F1692" s="1930" t="s">
        <v>33</v>
      </c>
      <c r="G1692" s="1932">
        <v>91013</v>
      </c>
      <c r="H1692" s="1930" t="s">
        <v>8645</v>
      </c>
      <c r="I1692" s="1930" t="s">
        <v>168</v>
      </c>
      <c r="J1692" s="1930" t="s">
        <v>320</v>
      </c>
      <c r="K1692" s="1933">
        <v>663.44</v>
      </c>
      <c r="L1692" s="1930" t="s">
        <v>138</v>
      </c>
    </row>
    <row r="1693" spans="1:12" ht="13.5" x14ac:dyDescent="0.25">
      <c r="A1693" s="1930" t="s">
        <v>4528</v>
      </c>
      <c r="B1693" s="1930" t="s">
        <v>4529</v>
      </c>
      <c r="C1693" s="1930" t="s">
        <v>4530</v>
      </c>
      <c r="D1693" s="1930" t="s">
        <v>4531</v>
      </c>
      <c r="E1693" s="1931" t="s">
        <v>33</v>
      </c>
      <c r="F1693" s="1930" t="s">
        <v>33</v>
      </c>
      <c r="G1693" s="1932">
        <v>91014</v>
      </c>
      <c r="H1693" s="1930" t="s">
        <v>8646</v>
      </c>
      <c r="I1693" s="1930" t="s">
        <v>168</v>
      </c>
      <c r="J1693" s="1930" t="s">
        <v>320</v>
      </c>
      <c r="K1693" s="1933">
        <v>610.67999999999995</v>
      </c>
      <c r="L1693" s="1930" t="s">
        <v>138</v>
      </c>
    </row>
    <row r="1694" spans="1:12" ht="13.5" x14ac:dyDescent="0.25">
      <c r="A1694" s="1930" t="s">
        <v>4528</v>
      </c>
      <c r="B1694" s="1930" t="s">
        <v>4529</v>
      </c>
      <c r="C1694" s="1930" t="s">
        <v>4530</v>
      </c>
      <c r="D1694" s="1930" t="s">
        <v>4531</v>
      </c>
      <c r="E1694" s="1931" t="s">
        <v>33</v>
      </c>
      <c r="F1694" s="1930" t="s">
        <v>33</v>
      </c>
      <c r="G1694" s="1932">
        <v>91015</v>
      </c>
      <c r="H1694" s="1930" t="s">
        <v>8647</v>
      </c>
      <c r="I1694" s="1930" t="s">
        <v>168</v>
      </c>
      <c r="J1694" s="1930" t="s">
        <v>320</v>
      </c>
      <c r="K1694" s="1933">
        <v>706.25</v>
      </c>
      <c r="L1694" s="1930" t="s">
        <v>138</v>
      </c>
    </row>
    <row r="1695" spans="1:12" ht="13.5" x14ac:dyDescent="0.25">
      <c r="A1695" s="1930" t="s">
        <v>4528</v>
      </c>
      <c r="B1695" s="1930" t="s">
        <v>4529</v>
      </c>
      <c r="C1695" s="1930" t="s">
        <v>4530</v>
      </c>
      <c r="D1695" s="1930" t="s">
        <v>4531</v>
      </c>
      <c r="E1695" s="1931" t="s">
        <v>33</v>
      </c>
      <c r="F1695" s="1930" t="s">
        <v>33</v>
      </c>
      <c r="G1695" s="1932">
        <v>91016</v>
      </c>
      <c r="H1695" s="1930" t="s">
        <v>8648</v>
      </c>
      <c r="I1695" s="1930" t="s">
        <v>168</v>
      </c>
      <c r="J1695" s="1930" t="s">
        <v>320</v>
      </c>
      <c r="K1695" s="1933">
        <v>693.72</v>
      </c>
      <c r="L1695" s="1930" t="s">
        <v>138</v>
      </c>
    </row>
    <row r="1696" spans="1:12" ht="13.5" x14ac:dyDescent="0.25">
      <c r="A1696" s="1930" t="s">
        <v>4528</v>
      </c>
      <c r="B1696" s="1930" t="s">
        <v>4529</v>
      </c>
      <c r="C1696" s="1930" t="s">
        <v>4530</v>
      </c>
      <c r="D1696" s="1930" t="s">
        <v>4531</v>
      </c>
      <c r="E1696" s="1931" t="s">
        <v>33</v>
      </c>
      <c r="F1696" s="1930" t="s">
        <v>33</v>
      </c>
      <c r="G1696" s="1932">
        <v>91287</v>
      </c>
      <c r="H1696" s="1930" t="s">
        <v>8649</v>
      </c>
      <c r="I1696" s="1930" t="s">
        <v>168</v>
      </c>
      <c r="J1696" s="1930" t="s">
        <v>320</v>
      </c>
      <c r="K1696" s="1933">
        <v>190.73</v>
      </c>
      <c r="L1696" s="1930" t="s">
        <v>138</v>
      </c>
    </row>
    <row r="1697" spans="1:12" ht="13.5" x14ac:dyDescent="0.25">
      <c r="A1697" s="1930" t="s">
        <v>4528</v>
      </c>
      <c r="B1697" s="1930" t="s">
        <v>4529</v>
      </c>
      <c r="C1697" s="1930" t="s">
        <v>4530</v>
      </c>
      <c r="D1697" s="1930" t="s">
        <v>4531</v>
      </c>
      <c r="E1697" s="1931" t="s">
        <v>33</v>
      </c>
      <c r="F1697" s="1930" t="s">
        <v>33</v>
      </c>
      <c r="G1697" s="1932">
        <v>91292</v>
      </c>
      <c r="H1697" s="1930" t="s">
        <v>8650</v>
      </c>
      <c r="I1697" s="1930" t="s">
        <v>168</v>
      </c>
      <c r="J1697" s="1930" t="s">
        <v>320</v>
      </c>
      <c r="K1697" s="1933">
        <v>256.62</v>
      </c>
      <c r="L1697" s="1930" t="s">
        <v>138</v>
      </c>
    </row>
    <row r="1698" spans="1:12" ht="13.5" x14ac:dyDescent="0.25">
      <c r="A1698" s="1930" t="s">
        <v>4528</v>
      </c>
      <c r="B1698" s="1930" t="s">
        <v>4529</v>
      </c>
      <c r="C1698" s="1930" t="s">
        <v>4530</v>
      </c>
      <c r="D1698" s="1930" t="s">
        <v>4531</v>
      </c>
      <c r="E1698" s="1931" t="s">
        <v>33</v>
      </c>
      <c r="F1698" s="1930" t="s">
        <v>33</v>
      </c>
      <c r="G1698" s="1932">
        <v>91295</v>
      </c>
      <c r="H1698" s="1930" t="s">
        <v>8651</v>
      </c>
      <c r="I1698" s="1930" t="s">
        <v>168</v>
      </c>
      <c r="J1698" s="1930" t="s">
        <v>320</v>
      </c>
      <c r="K1698" s="1933">
        <v>253.39</v>
      </c>
      <c r="L1698" s="1930" t="s">
        <v>138</v>
      </c>
    </row>
    <row r="1699" spans="1:12" ht="13.5" x14ac:dyDescent="0.25">
      <c r="A1699" s="1930" t="s">
        <v>4528</v>
      </c>
      <c r="B1699" s="1930" t="s">
        <v>4529</v>
      </c>
      <c r="C1699" s="1930" t="s">
        <v>4530</v>
      </c>
      <c r="D1699" s="1930" t="s">
        <v>4531</v>
      </c>
      <c r="E1699" s="1931" t="s">
        <v>33</v>
      </c>
      <c r="F1699" s="1930" t="s">
        <v>33</v>
      </c>
      <c r="G1699" s="1932">
        <v>91296</v>
      </c>
      <c r="H1699" s="1930" t="s">
        <v>8652</v>
      </c>
      <c r="I1699" s="1930" t="s">
        <v>168</v>
      </c>
      <c r="J1699" s="1930" t="s">
        <v>320</v>
      </c>
      <c r="K1699" s="1933">
        <v>270.02</v>
      </c>
      <c r="L1699" s="1930" t="s">
        <v>138</v>
      </c>
    </row>
    <row r="1700" spans="1:12" ht="13.5" x14ac:dyDescent="0.25">
      <c r="A1700" s="1930" t="s">
        <v>4528</v>
      </c>
      <c r="B1700" s="1930" t="s">
        <v>4529</v>
      </c>
      <c r="C1700" s="1930" t="s">
        <v>4530</v>
      </c>
      <c r="D1700" s="1930" t="s">
        <v>4531</v>
      </c>
      <c r="E1700" s="1931" t="s">
        <v>33</v>
      </c>
      <c r="F1700" s="1930" t="s">
        <v>33</v>
      </c>
      <c r="G1700" s="1932">
        <v>91297</v>
      </c>
      <c r="H1700" s="1930" t="s">
        <v>8653</v>
      </c>
      <c r="I1700" s="1930" t="s">
        <v>168</v>
      </c>
      <c r="J1700" s="1930" t="s">
        <v>320</v>
      </c>
      <c r="K1700" s="1933">
        <v>312.58999999999997</v>
      </c>
      <c r="L1700" s="1930" t="s">
        <v>138</v>
      </c>
    </row>
    <row r="1701" spans="1:12" ht="13.5" x14ac:dyDescent="0.25">
      <c r="A1701" s="1930" t="s">
        <v>4528</v>
      </c>
      <c r="B1701" s="1930" t="s">
        <v>4529</v>
      </c>
      <c r="C1701" s="1930" t="s">
        <v>4530</v>
      </c>
      <c r="D1701" s="1930" t="s">
        <v>4531</v>
      </c>
      <c r="E1701" s="1931" t="s">
        <v>33</v>
      </c>
      <c r="F1701" s="1930" t="s">
        <v>33</v>
      </c>
      <c r="G1701" s="1932">
        <v>91298</v>
      </c>
      <c r="H1701" s="1930" t="s">
        <v>8654</v>
      </c>
      <c r="I1701" s="1930" t="s">
        <v>168</v>
      </c>
      <c r="J1701" s="1930" t="s">
        <v>137</v>
      </c>
      <c r="K1701" s="1933">
        <v>587.38</v>
      </c>
      <c r="L1701" s="1930" t="s">
        <v>138</v>
      </c>
    </row>
    <row r="1702" spans="1:12" ht="13.5" x14ac:dyDescent="0.25">
      <c r="A1702" s="1930" t="s">
        <v>4528</v>
      </c>
      <c r="B1702" s="1930" t="s">
        <v>4529</v>
      </c>
      <c r="C1702" s="1930" t="s">
        <v>4530</v>
      </c>
      <c r="D1702" s="1930" t="s">
        <v>4531</v>
      </c>
      <c r="E1702" s="1931" t="s">
        <v>33</v>
      </c>
      <c r="F1702" s="1930" t="s">
        <v>33</v>
      </c>
      <c r="G1702" s="1932">
        <v>91299</v>
      </c>
      <c r="H1702" s="1930" t="s">
        <v>8655</v>
      </c>
      <c r="I1702" s="1930" t="s">
        <v>168</v>
      </c>
      <c r="J1702" s="1930" t="s">
        <v>137</v>
      </c>
      <c r="K1702" s="1933">
        <v>820.36</v>
      </c>
      <c r="L1702" s="1930" t="s">
        <v>138</v>
      </c>
    </row>
    <row r="1703" spans="1:12" ht="13.5" x14ac:dyDescent="0.25">
      <c r="A1703" s="1930" t="s">
        <v>4528</v>
      </c>
      <c r="B1703" s="1930" t="s">
        <v>4529</v>
      </c>
      <c r="C1703" s="1930" t="s">
        <v>4530</v>
      </c>
      <c r="D1703" s="1930" t="s">
        <v>4531</v>
      </c>
      <c r="E1703" s="1931" t="s">
        <v>33</v>
      </c>
      <c r="F1703" s="1930" t="s">
        <v>33</v>
      </c>
      <c r="G1703" s="1932">
        <v>91304</v>
      </c>
      <c r="H1703" s="1930" t="s">
        <v>8656</v>
      </c>
      <c r="I1703" s="1930" t="s">
        <v>168</v>
      </c>
      <c r="J1703" s="1930" t="s">
        <v>320</v>
      </c>
      <c r="K1703" s="1933">
        <v>77.540000000000006</v>
      </c>
      <c r="L1703" s="1930" t="s">
        <v>138</v>
      </c>
    </row>
    <row r="1704" spans="1:12" ht="13.5" x14ac:dyDescent="0.25">
      <c r="A1704" s="1930" t="s">
        <v>4528</v>
      </c>
      <c r="B1704" s="1930" t="s">
        <v>4529</v>
      </c>
      <c r="C1704" s="1930" t="s">
        <v>4530</v>
      </c>
      <c r="D1704" s="1930" t="s">
        <v>4531</v>
      </c>
      <c r="E1704" s="1931" t="s">
        <v>33</v>
      </c>
      <c r="F1704" s="1930" t="s">
        <v>33</v>
      </c>
      <c r="G1704" s="1932">
        <v>91305</v>
      </c>
      <c r="H1704" s="1930" t="s">
        <v>8657</v>
      </c>
      <c r="I1704" s="1930" t="s">
        <v>168</v>
      </c>
      <c r="J1704" s="1930" t="s">
        <v>320</v>
      </c>
      <c r="K1704" s="1933">
        <v>58.49</v>
      </c>
      <c r="L1704" s="1930" t="s">
        <v>138</v>
      </c>
    </row>
    <row r="1705" spans="1:12" ht="13.5" x14ac:dyDescent="0.25">
      <c r="A1705" s="1930" t="s">
        <v>4528</v>
      </c>
      <c r="B1705" s="1930" t="s">
        <v>4529</v>
      </c>
      <c r="C1705" s="1930" t="s">
        <v>4530</v>
      </c>
      <c r="D1705" s="1930" t="s">
        <v>4531</v>
      </c>
      <c r="E1705" s="1931" t="s">
        <v>33</v>
      </c>
      <c r="F1705" s="1930" t="s">
        <v>33</v>
      </c>
      <c r="G1705" s="1932">
        <v>91306</v>
      </c>
      <c r="H1705" s="1930" t="s">
        <v>8658</v>
      </c>
      <c r="I1705" s="1930" t="s">
        <v>168</v>
      </c>
      <c r="J1705" s="1930" t="s">
        <v>320</v>
      </c>
      <c r="K1705" s="1933">
        <v>88.21</v>
      </c>
      <c r="L1705" s="1930" t="s">
        <v>138</v>
      </c>
    </row>
    <row r="1706" spans="1:12" ht="13.5" x14ac:dyDescent="0.25">
      <c r="A1706" s="1930" t="s">
        <v>4528</v>
      </c>
      <c r="B1706" s="1930" t="s">
        <v>4529</v>
      </c>
      <c r="C1706" s="1930" t="s">
        <v>4530</v>
      </c>
      <c r="D1706" s="1930" t="s">
        <v>4531</v>
      </c>
      <c r="E1706" s="1931" t="s">
        <v>33</v>
      </c>
      <c r="F1706" s="1930" t="s">
        <v>33</v>
      </c>
      <c r="G1706" s="1932">
        <v>91307</v>
      </c>
      <c r="H1706" s="1930" t="s">
        <v>8659</v>
      </c>
      <c r="I1706" s="1930" t="s">
        <v>168</v>
      </c>
      <c r="J1706" s="1930" t="s">
        <v>320</v>
      </c>
      <c r="K1706" s="1933">
        <v>61.51</v>
      </c>
      <c r="L1706" s="1930" t="s">
        <v>138</v>
      </c>
    </row>
    <row r="1707" spans="1:12" ht="13.5" x14ac:dyDescent="0.25">
      <c r="A1707" s="1930" t="s">
        <v>4528</v>
      </c>
      <c r="B1707" s="1930" t="s">
        <v>4529</v>
      </c>
      <c r="C1707" s="1930" t="s">
        <v>4530</v>
      </c>
      <c r="D1707" s="1930" t="s">
        <v>4531</v>
      </c>
      <c r="E1707" s="1931" t="s">
        <v>33</v>
      </c>
      <c r="F1707" s="1930" t="s">
        <v>33</v>
      </c>
      <c r="G1707" s="1932">
        <v>91312</v>
      </c>
      <c r="H1707" s="1930" t="s">
        <v>8660</v>
      </c>
      <c r="I1707" s="1930" t="s">
        <v>168</v>
      </c>
      <c r="J1707" s="1930" t="s">
        <v>320</v>
      </c>
      <c r="K1707" s="1933">
        <v>643.12</v>
      </c>
      <c r="L1707" s="1930" t="s">
        <v>138</v>
      </c>
    </row>
    <row r="1708" spans="1:12" ht="13.5" x14ac:dyDescent="0.25">
      <c r="A1708" s="1930" t="s">
        <v>4528</v>
      </c>
      <c r="B1708" s="1930" t="s">
        <v>4529</v>
      </c>
      <c r="C1708" s="1930" t="s">
        <v>4530</v>
      </c>
      <c r="D1708" s="1930" t="s">
        <v>4531</v>
      </c>
      <c r="E1708" s="1931" t="s">
        <v>33</v>
      </c>
      <c r="F1708" s="1930" t="s">
        <v>33</v>
      </c>
      <c r="G1708" s="1932">
        <v>91313</v>
      </c>
      <c r="H1708" s="1930" t="s">
        <v>8661</v>
      </c>
      <c r="I1708" s="1930" t="s">
        <v>168</v>
      </c>
      <c r="J1708" s="1930" t="s">
        <v>320</v>
      </c>
      <c r="K1708" s="1933">
        <v>672.26</v>
      </c>
      <c r="L1708" s="1930" t="s">
        <v>138</v>
      </c>
    </row>
    <row r="1709" spans="1:12" ht="13.5" x14ac:dyDescent="0.25">
      <c r="A1709" s="1930" t="s">
        <v>4528</v>
      </c>
      <c r="B1709" s="1930" t="s">
        <v>4529</v>
      </c>
      <c r="C1709" s="1930" t="s">
        <v>4530</v>
      </c>
      <c r="D1709" s="1930" t="s">
        <v>4531</v>
      </c>
      <c r="E1709" s="1931" t="s">
        <v>33</v>
      </c>
      <c r="F1709" s="1930" t="s">
        <v>33</v>
      </c>
      <c r="G1709" s="1932">
        <v>91314</v>
      </c>
      <c r="H1709" s="1930" t="s">
        <v>8662</v>
      </c>
      <c r="I1709" s="1930" t="s">
        <v>168</v>
      </c>
      <c r="J1709" s="1930" t="s">
        <v>320</v>
      </c>
      <c r="K1709" s="1933">
        <v>686.24</v>
      </c>
      <c r="L1709" s="1930" t="s">
        <v>138</v>
      </c>
    </row>
    <row r="1710" spans="1:12" ht="13.5" x14ac:dyDescent="0.25">
      <c r="A1710" s="1930" t="s">
        <v>4528</v>
      </c>
      <c r="B1710" s="1930" t="s">
        <v>4529</v>
      </c>
      <c r="C1710" s="1930" t="s">
        <v>4530</v>
      </c>
      <c r="D1710" s="1930" t="s">
        <v>4531</v>
      </c>
      <c r="E1710" s="1931" t="s">
        <v>33</v>
      </c>
      <c r="F1710" s="1930" t="s">
        <v>33</v>
      </c>
      <c r="G1710" s="1932">
        <v>91315</v>
      </c>
      <c r="H1710" s="1930" t="s">
        <v>8663</v>
      </c>
      <c r="I1710" s="1930" t="s">
        <v>168</v>
      </c>
      <c r="J1710" s="1930" t="s">
        <v>320</v>
      </c>
      <c r="K1710" s="1933">
        <v>703.32</v>
      </c>
      <c r="L1710" s="1930" t="s">
        <v>138</v>
      </c>
    </row>
    <row r="1711" spans="1:12" ht="13.5" x14ac:dyDescent="0.25">
      <c r="A1711" s="1930" t="s">
        <v>4528</v>
      </c>
      <c r="B1711" s="1930" t="s">
        <v>4529</v>
      </c>
      <c r="C1711" s="1930" t="s">
        <v>4530</v>
      </c>
      <c r="D1711" s="1930" t="s">
        <v>4531</v>
      </c>
      <c r="E1711" s="1931" t="s">
        <v>33</v>
      </c>
      <c r="F1711" s="1930" t="s">
        <v>33</v>
      </c>
      <c r="G1711" s="1932">
        <v>91318</v>
      </c>
      <c r="H1711" s="1930" t="s">
        <v>8664</v>
      </c>
      <c r="I1711" s="1930" t="s">
        <v>168</v>
      </c>
      <c r="J1711" s="1930" t="s">
        <v>320</v>
      </c>
      <c r="K1711" s="1933">
        <v>584.63</v>
      </c>
      <c r="L1711" s="1930" t="s">
        <v>138</v>
      </c>
    </row>
    <row r="1712" spans="1:12" ht="13.5" x14ac:dyDescent="0.25">
      <c r="A1712" s="1930" t="s">
        <v>4528</v>
      </c>
      <c r="B1712" s="1930" t="s">
        <v>4529</v>
      </c>
      <c r="C1712" s="1930" t="s">
        <v>4530</v>
      </c>
      <c r="D1712" s="1930" t="s">
        <v>4531</v>
      </c>
      <c r="E1712" s="1931" t="s">
        <v>33</v>
      </c>
      <c r="F1712" s="1930" t="s">
        <v>33</v>
      </c>
      <c r="G1712" s="1932">
        <v>91319</v>
      </c>
      <c r="H1712" s="1930" t="s">
        <v>8665</v>
      </c>
      <c r="I1712" s="1930" t="s">
        <v>168</v>
      </c>
      <c r="J1712" s="1930" t="s">
        <v>320</v>
      </c>
      <c r="K1712" s="1933">
        <v>610.75</v>
      </c>
      <c r="L1712" s="1930" t="s">
        <v>138</v>
      </c>
    </row>
    <row r="1713" spans="1:12" ht="13.5" x14ac:dyDescent="0.25">
      <c r="A1713" s="1930" t="s">
        <v>4528</v>
      </c>
      <c r="B1713" s="1930" t="s">
        <v>4529</v>
      </c>
      <c r="C1713" s="1930" t="s">
        <v>4530</v>
      </c>
      <c r="D1713" s="1930" t="s">
        <v>4531</v>
      </c>
      <c r="E1713" s="1931" t="s">
        <v>33</v>
      </c>
      <c r="F1713" s="1930" t="s">
        <v>33</v>
      </c>
      <c r="G1713" s="1932">
        <v>91320</v>
      </c>
      <c r="H1713" s="1930" t="s">
        <v>8666</v>
      </c>
      <c r="I1713" s="1930" t="s">
        <v>168</v>
      </c>
      <c r="J1713" s="1930" t="s">
        <v>320</v>
      </c>
      <c r="K1713" s="1933">
        <v>608.70000000000005</v>
      </c>
      <c r="L1713" s="1930" t="s">
        <v>138</v>
      </c>
    </row>
    <row r="1714" spans="1:12" ht="13.5" x14ac:dyDescent="0.25">
      <c r="A1714" s="1930" t="s">
        <v>4528</v>
      </c>
      <c r="B1714" s="1930" t="s">
        <v>4529</v>
      </c>
      <c r="C1714" s="1930" t="s">
        <v>4530</v>
      </c>
      <c r="D1714" s="1930" t="s">
        <v>4531</v>
      </c>
      <c r="E1714" s="1931" t="s">
        <v>33</v>
      </c>
      <c r="F1714" s="1930" t="s">
        <v>33</v>
      </c>
      <c r="G1714" s="1932">
        <v>91321</v>
      </c>
      <c r="H1714" s="1930" t="s">
        <v>8667</v>
      </c>
      <c r="I1714" s="1930" t="s">
        <v>168</v>
      </c>
      <c r="J1714" s="1930" t="s">
        <v>320</v>
      </c>
      <c r="K1714" s="1933">
        <v>625.78</v>
      </c>
      <c r="L1714" s="1930" t="s">
        <v>138</v>
      </c>
    </row>
    <row r="1715" spans="1:12" ht="13.5" x14ac:dyDescent="0.25">
      <c r="A1715" s="1930" t="s">
        <v>4528</v>
      </c>
      <c r="B1715" s="1930" t="s">
        <v>4529</v>
      </c>
      <c r="C1715" s="1930" t="s">
        <v>4530</v>
      </c>
      <c r="D1715" s="1930" t="s">
        <v>4531</v>
      </c>
      <c r="E1715" s="1931" t="s">
        <v>33</v>
      </c>
      <c r="F1715" s="1930" t="s">
        <v>33</v>
      </c>
      <c r="G1715" s="1932">
        <v>91324</v>
      </c>
      <c r="H1715" s="1930" t="s">
        <v>8668</v>
      </c>
      <c r="I1715" s="1930" t="s">
        <v>168</v>
      </c>
      <c r="J1715" s="1930" t="s">
        <v>320</v>
      </c>
      <c r="K1715" s="1933">
        <v>591.25</v>
      </c>
      <c r="L1715" s="1930" t="s">
        <v>138</v>
      </c>
    </row>
    <row r="1716" spans="1:12" ht="13.5" x14ac:dyDescent="0.25">
      <c r="A1716" s="1930" t="s">
        <v>4528</v>
      </c>
      <c r="B1716" s="1930" t="s">
        <v>4529</v>
      </c>
      <c r="C1716" s="1930" t="s">
        <v>4530</v>
      </c>
      <c r="D1716" s="1930" t="s">
        <v>4531</v>
      </c>
      <c r="E1716" s="1931" t="s">
        <v>33</v>
      </c>
      <c r="F1716" s="1930" t="s">
        <v>33</v>
      </c>
      <c r="G1716" s="1932">
        <v>91325</v>
      </c>
      <c r="H1716" s="1930" t="s">
        <v>8669</v>
      </c>
      <c r="I1716" s="1930" t="s">
        <v>168</v>
      </c>
      <c r="J1716" s="1930" t="s">
        <v>320</v>
      </c>
      <c r="K1716" s="1933">
        <v>538.20000000000005</v>
      </c>
      <c r="L1716" s="1930" t="s">
        <v>138</v>
      </c>
    </row>
    <row r="1717" spans="1:12" ht="13.5" x14ac:dyDescent="0.25">
      <c r="A1717" s="1930" t="s">
        <v>4528</v>
      </c>
      <c r="B1717" s="1930" t="s">
        <v>4529</v>
      </c>
      <c r="C1717" s="1930" t="s">
        <v>4530</v>
      </c>
      <c r="D1717" s="1930" t="s">
        <v>4531</v>
      </c>
      <c r="E1717" s="1931" t="s">
        <v>33</v>
      </c>
      <c r="F1717" s="1930" t="s">
        <v>33</v>
      </c>
      <c r="G1717" s="1932">
        <v>91326</v>
      </c>
      <c r="H1717" s="1930" t="s">
        <v>8670</v>
      </c>
      <c r="I1717" s="1930" t="s">
        <v>168</v>
      </c>
      <c r="J1717" s="1930" t="s">
        <v>320</v>
      </c>
      <c r="K1717" s="1933">
        <v>633.49</v>
      </c>
      <c r="L1717" s="1930" t="s">
        <v>138</v>
      </c>
    </row>
    <row r="1718" spans="1:12" ht="13.5" x14ac:dyDescent="0.25">
      <c r="A1718" s="1930" t="s">
        <v>4528</v>
      </c>
      <c r="B1718" s="1930" t="s">
        <v>4529</v>
      </c>
      <c r="C1718" s="1930" t="s">
        <v>4530</v>
      </c>
      <c r="D1718" s="1930" t="s">
        <v>4531</v>
      </c>
      <c r="E1718" s="1931" t="s">
        <v>33</v>
      </c>
      <c r="F1718" s="1930" t="s">
        <v>33</v>
      </c>
      <c r="G1718" s="1932">
        <v>91327</v>
      </c>
      <c r="H1718" s="1930" t="s">
        <v>8671</v>
      </c>
      <c r="I1718" s="1930" t="s">
        <v>168</v>
      </c>
      <c r="J1718" s="1930" t="s">
        <v>320</v>
      </c>
      <c r="K1718" s="1933">
        <v>620.67999999999995</v>
      </c>
      <c r="L1718" s="1930" t="s">
        <v>138</v>
      </c>
    </row>
    <row r="1719" spans="1:12" ht="13.5" x14ac:dyDescent="0.25">
      <c r="A1719" s="1930" t="s">
        <v>4528</v>
      </c>
      <c r="B1719" s="1930" t="s">
        <v>4529</v>
      </c>
      <c r="C1719" s="1930" t="s">
        <v>4530</v>
      </c>
      <c r="D1719" s="1930" t="s">
        <v>4531</v>
      </c>
      <c r="E1719" s="1931" t="s">
        <v>33</v>
      </c>
      <c r="F1719" s="1930" t="s">
        <v>33</v>
      </c>
      <c r="G1719" s="1932">
        <v>91328</v>
      </c>
      <c r="H1719" s="1930" t="s">
        <v>8672</v>
      </c>
      <c r="I1719" s="1930" t="s">
        <v>168</v>
      </c>
      <c r="J1719" s="1930" t="s">
        <v>320</v>
      </c>
      <c r="K1719" s="1933">
        <v>645.65</v>
      </c>
      <c r="L1719" s="1930" t="s">
        <v>138</v>
      </c>
    </row>
    <row r="1720" spans="1:12" ht="13.5" x14ac:dyDescent="0.25">
      <c r="A1720" s="1930" t="s">
        <v>4528</v>
      </c>
      <c r="B1720" s="1930" t="s">
        <v>4529</v>
      </c>
      <c r="C1720" s="1930" t="s">
        <v>4530</v>
      </c>
      <c r="D1720" s="1930" t="s">
        <v>4531</v>
      </c>
      <c r="E1720" s="1931" t="s">
        <v>33</v>
      </c>
      <c r="F1720" s="1930" t="s">
        <v>33</v>
      </c>
      <c r="G1720" s="1932">
        <v>91329</v>
      </c>
      <c r="H1720" s="1930" t="s">
        <v>8673</v>
      </c>
      <c r="I1720" s="1930" t="s">
        <v>168</v>
      </c>
      <c r="J1720" s="1930" t="s">
        <v>320</v>
      </c>
      <c r="K1720" s="1933">
        <v>573.46</v>
      </c>
      <c r="L1720" s="1930" t="s">
        <v>138</v>
      </c>
    </row>
    <row r="1721" spans="1:12" ht="13.5" x14ac:dyDescent="0.25">
      <c r="A1721" s="1930" t="s">
        <v>4528</v>
      </c>
      <c r="B1721" s="1930" t="s">
        <v>4529</v>
      </c>
      <c r="C1721" s="1930" t="s">
        <v>4530</v>
      </c>
      <c r="D1721" s="1930" t="s">
        <v>4531</v>
      </c>
      <c r="E1721" s="1931" t="s">
        <v>33</v>
      </c>
      <c r="F1721" s="1930" t="s">
        <v>33</v>
      </c>
      <c r="G1721" s="1932">
        <v>91330</v>
      </c>
      <c r="H1721" s="1930" t="s">
        <v>8674</v>
      </c>
      <c r="I1721" s="1930" t="s">
        <v>168</v>
      </c>
      <c r="J1721" s="1930" t="s">
        <v>320</v>
      </c>
      <c r="K1721" s="1933">
        <v>663.89</v>
      </c>
      <c r="L1721" s="1930" t="s">
        <v>138</v>
      </c>
    </row>
    <row r="1722" spans="1:12" ht="13.5" x14ac:dyDescent="0.25">
      <c r="A1722" s="1930" t="s">
        <v>4528</v>
      </c>
      <c r="B1722" s="1930" t="s">
        <v>4529</v>
      </c>
      <c r="C1722" s="1930" t="s">
        <v>4530</v>
      </c>
      <c r="D1722" s="1930" t="s">
        <v>4531</v>
      </c>
      <c r="E1722" s="1931" t="s">
        <v>33</v>
      </c>
      <c r="F1722" s="1930" t="s">
        <v>33</v>
      </c>
      <c r="G1722" s="1932">
        <v>91331</v>
      </c>
      <c r="H1722" s="1930" t="s">
        <v>8675</v>
      </c>
      <c r="I1722" s="1930" t="s">
        <v>168</v>
      </c>
      <c r="J1722" s="1930" t="s">
        <v>320</v>
      </c>
      <c r="K1722" s="1933">
        <v>591.41</v>
      </c>
      <c r="L1722" s="1930" t="s">
        <v>138</v>
      </c>
    </row>
    <row r="1723" spans="1:12" ht="13.5" x14ac:dyDescent="0.25">
      <c r="A1723" s="1930" t="s">
        <v>4528</v>
      </c>
      <c r="B1723" s="1930" t="s">
        <v>4529</v>
      </c>
      <c r="C1723" s="1930" t="s">
        <v>4530</v>
      </c>
      <c r="D1723" s="1930" t="s">
        <v>4531</v>
      </c>
      <c r="E1723" s="1931" t="s">
        <v>33</v>
      </c>
      <c r="F1723" s="1930" t="s">
        <v>33</v>
      </c>
      <c r="G1723" s="1932">
        <v>91332</v>
      </c>
      <c r="H1723" s="1930" t="s">
        <v>8676</v>
      </c>
      <c r="I1723" s="1930" t="s">
        <v>168</v>
      </c>
      <c r="J1723" s="1930" t="s">
        <v>320</v>
      </c>
      <c r="K1723" s="1933">
        <v>708.07</v>
      </c>
      <c r="L1723" s="1930" t="s">
        <v>138</v>
      </c>
    </row>
    <row r="1724" spans="1:12" ht="13.5" x14ac:dyDescent="0.25">
      <c r="A1724" s="1930" t="s">
        <v>4528</v>
      </c>
      <c r="B1724" s="1930" t="s">
        <v>4529</v>
      </c>
      <c r="C1724" s="1930" t="s">
        <v>4530</v>
      </c>
      <c r="D1724" s="1930" t="s">
        <v>4531</v>
      </c>
      <c r="E1724" s="1931" t="s">
        <v>33</v>
      </c>
      <c r="F1724" s="1930" t="s">
        <v>33</v>
      </c>
      <c r="G1724" s="1932">
        <v>91333</v>
      </c>
      <c r="H1724" s="1930" t="s">
        <v>8677</v>
      </c>
      <c r="I1724" s="1930" t="s">
        <v>168</v>
      </c>
      <c r="J1724" s="1930" t="s">
        <v>320</v>
      </c>
      <c r="K1724" s="1933">
        <v>635.30999999999995</v>
      </c>
      <c r="L1724" s="1930" t="s">
        <v>138</v>
      </c>
    </row>
    <row r="1725" spans="1:12" ht="13.5" x14ac:dyDescent="0.25">
      <c r="A1725" s="1930" t="s">
        <v>4528</v>
      </c>
      <c r="B1725" s="1930" t="s">
        <v>4529</v>
      </c>
      <c r="C1725" s="1930" t="s">
        <v>4530</v>
      </c>
      <c r="D1725" s="1930" t="s">
        <v>4531</v>
      </c>
      <c r="E1725" s="1931" t="s">
        <v>33</v>
      </c>
      <c r="F1725" s="1930" t="s">
        <v>33</v>
      </c>
      <c r="G1725" s="1932">
        <v>91334</v>
      </c>
      <c r="H1725" s="1930" t="s">
        <v>8678</v>
      </c>
      <c r="I1725" s="1930" t="s">
        <v>168</v>
      </c>
      <c r="J1725" s="1930" t="s">
        <v>137</v>
      </c>
      <c r="K1725" s="1933">
        <v>982.86</v>
      </c>
      <c r="L1725" s="1930" t="s">
        <v>138</v>
      </c>
    </row>
    <row r="1726" spans="1:12" ht="13.5" x14ac:dyDescent="0.25">
      <c r="A1726" s="1930" t="s">
        <v>4528</v>
      </c>
      <c r="B1726" s="1930" t="s">
        <v>4529</v>
      </c>
      <c r="C1726" s="1930" t="s">
        <v>4530</v>
      </c>
      <c r="D1726" s="1930" t="s">
        <v>4531</v>
      </c>
      <c r="E1726" s="1931" t="s">
        <v>33</v>
      </c>
      <c r="F1726" s="1930" t="s">
        <v>33</v>
      </c>
      <c r="G1726" s="1932">
        <v>91335</v>
      </c>
      <c r="H1726" s="1930" t="s">
        <v>8679</v>
      </c>
      <c r="I1726" s="1930" t="s">
        <v>168</v>
      </c>
      <c r="J1726" s="1930" t="s">
        <v>137</v>
      </c>
      <c r="K1726" s="1933">
        <v>910.1</v>
      </c>
      <c r="L1726" s="1930" t="s">
        <v>138</v>
      </c>
    </row>
    <row r="1727" spans="1:12" ht="13.5" x14ac:dyDescent="0.25">
      <c r="A1727" s="1930" t="s">
        <v>4528</v>
      </c>
      <c r="B1727" s="1930" t="s">
        <v>4529</v>
      </c>
      <c r="C1727" s="1930" t="s">
        <v>4530</v>
      </c>
      <c r="D1727" s="1930" t="s">
        <v>4531</v>
      </c>
      <c r="E1727" s="1931" t="s">
        <v>33</v>
      </c>
      <c r="F1727" s="1930" t="s">
        <v>33</v>
      </c>
      <c r="G1727" s="1932">
        <v>91336</v>
      </c>
      <c r="H1727" s="1930" t="s">
        <v>8680</v>
      </c>
      <c r="I1727" s="1930" t="s">
        <v>168</v>
      </c>
      <c r="J1727" s="1930" t="s">
        <v>137</v>
      </c>
      <c r="K1727" s="1933">
        <v>1215.8399999999999</v>
      </c>
      <c r="L1727" s="1930" t="s">
        <v>138</v>
      </c>
    </row>
    <row r="1728" spans="1:12" ht="13.5" x14ac:dyDescent="0.25">
      <c r="A1728" s="1930" t="s">
        <v>4528</v>
      </c>
      <c r="B1728" s="1930" t="s">
        <v>4529</v>
      </c>
      <c r="C1728" s="1930" t="s">
        <v>4530</v>
      </c>
      <c r="D1728" s="1930" t="s">
        <v>4531</v>
      </c>
      <c r="E1728" s="1931" t="s">
        <v>33</v>
      </c>
      <c r="F1728" s="1930" t="s">
        <v>33</v>
      </c>
      <c r="G1728" s="1932">
        <v>91337</v>
      </c>
      <c r="H1728" s="1930" t="s">
        <v>8681</v>
      </c>
      <c r="I1728" s="1930" t="s">
        <v>168</v>
      </c>
      <c r="J1728" s="1930" t="s">
        <v>137</v>
      </c>
      <c r="K1728" s="1933">
        <v>1143.08</v>
      </c>
      <c r="L1728" s="1930" t="s">
        <v>138</v>
      </c>
    </row>
    <row r="1729" spans="1:12" ht="13.5" x14ac:dyDescent="0.25">
      <c r="A1729" s="1930" t="s">
        <v>4528</v>
      </c>
      <c r="B1729" s="1930" t="s">
        <v>4529</v>
      </c>
      <c r="C1729" s="1930" t="s">
        <v>4530</v>
      </c>
      <c r="D1729" s="1930" t="s">
        <v>4531</v>
      </c>
      <c r="E1729" s="1931" t="s">
        <v>33</v>
      </c>
      <c r="F1729" s="1930" t="s">
        <v>33</v>
      </c>
      <c r="G1729" s="1932">
        <v>100659</v>
      </c>
      <c r="H1729" s="1930" t="s">
        <v>8682</v>
      </c>
      <c r="I1729" s="1930" t="s">
        <v>136</v>
      </c>
      <c r="J1729" s="1930" t="s">
        <v>320</v>
      </c>
      <c r="K1729" s="1933">
        <v>8.0299999999999994</v>
      </c>
      <c r="L1729" s="1930" t="s">
        <v>138</v>
      </c>
    </row>
    <row r="1730" spans="1:12" ht="13.5" x14ac:dyDescent="0.25">
      <c r="A1730" s="1930" t="s">
        <v>4528</v>
      </c>
      <c r="B1730" s="1930" t="s">
        <v>4529</v>
      </c>
      <c r="C1730" s="1930" t="s">
        <v>4530</v>
      </c>
      <c r="D1730" s="1930" t="s">
        <v>4531</v>
      </c>
      <c r="E1730" s="1931" t="s">
        <v>33</v>
      </c>
      <c r="F1730" s="1930" t="s">
        <v>33</v>
      </c>
      <c r="G1730" s="1932">
        <v>100660</v>
      </c>
      <c r="H1730" s="1930" t="s">
        <v>8683</v>
      </c>
      <c r="I1730" s="1930" t="s">
        <v>136</v>
      </c>
      <c r="J1730" s="1930" t="s">
        <v>320</v>
      </c>
      <c r="K1730" s="1933">
        <v>6.61</v>
      </c>
      <c r="L1730" s="1930" t="s">
        <v>138</v>
      </c>
    </row>
    <row r="1731" spans="1:12" ht="13.5" x14ac:dyDescent="0.25">
      <c r="A1731" s="1930" t="s">
        <v>4528</v>
      </c>
      <c r="B1731" s="1930" t="s">
        <v>4529</v>
      </c>
      <c r="C1731" s="1930" t="s">
        <v>4530</v>
      </c>
      <c r="D1731" s="1930" t="s">
        <v>4531</v>
      </c>
      <c r="E1731" s="1931" t="s">
        <v>33</v>
      </c>
      <c r="F1731" s="1930" t="s">
        <v>33</v>
      </c>
      <c r="G1731" s="1932">
        <v>100675</v>
      </c>
      <c r="H1731" s="1930" t="s">
        <v>8684</v>
      </c>
      <c r="I1731" s="1930" t="s">
        <v>168</v>
      </c>
      <c r="J1731" s="1930" t="s">
        <v>320</v>
      </c>
      <c r="K1731" s="1933">
        <v>472.89</v>
      </c>
      <c r="L1731" s="1930" t="s">
        <v>138</v>
      </c>
    </row>
    <row r="1732" spans="1:12" ht="13.5" x14ac:dyDescent="0.25">
      <c r="A1732" s="1930" t="s">
        <v>4528</v>
      </c>
      <c r="B1732" s="1930" t="s">
        <v>4529</v>
      </c>
      <c r="C1732" s="1930" t="s">
        <v>4530</v>
      </c>
      <c r="D1732" s="1930" t="s">
        <v>4531</v>
      </c>
      <c r="E1732" s="1931" t="s">
        <v>33</v>
      </c>
      <c r="F1732" s="1930" t="s">
        <v>33</v>
      </c>
      <c r="G1732" s="1932">
        <v>100676</v>
      </c>
      <c r="H1732" s="1930" t="s">
        <v>8685</v>
      </c>
      <c r="I1732" s="1930" t="s">
        <v>168</v>
      </c>
      <c r="J1732" s="1930" t="s">
        <v>320</v>
      </c>
      <c r="K1732" s="1933">
        <v>159.9</v>
      </c>
      <c r="L1732" s="1930" t="s">
        <v>138</v>
      </c>
    </row>
    <row r="1733" spans="1:12" ht="13.5" x14ac:dyDescent="0.25">
      <c r="A1733" s="1930" t="s">
        <v>4528</v>
      </c>
      <c r="B1733" s="1930" t="s">
        <v>4529</v>
      </c>
      <c r="C1733" s="1930" t="s">
        <v>4530</v>
      </c>
      <c r="D1733" s="1930" t="s">
        <v>4531</v>
      </c>
      <c r="E1733" s="1931" t="s">
        <v>33</v>
      </c>
      <c r="F1733" s="1930" t="s">
        <v>33</v>
      </c>
      <c r="G1733" s="1932">
        <v>100678</v>
      </c>
      <c r="H1733" s="1930" t="s">
        <v>8686</v>
      </c>
      <c r="I1733" s="1930" t="s">
        <v>168</v>
      </c>
      <c r="J1733" s="1930" t="s">
        <v>320</v>
      </c>
      <c r="K1733" s="1933">
        <v>744.32</v>
      </c>
      <c r="L1733" s="1930" t="s">
        <v>138</v>
      </c>
    </row>
    <row r="1734" spans="1:12" ht="13.5" x14ac:dyDescent="0.25">
      <c r="A1734" s="1930" t="s">
        <v>4528</v>
      </c>
      <c r="B1734" s="1930" t="s">
        <v>4529</v>
      </c>
      <c r="C1734" s="1930" t="s">
        <v>4530</v>
      </c>
      <c r="D1734" s="1930" t="s">
        <v>4531</v>
      </c>
      <c r="E1734" s="1931" t="s">
        <v>33</v>
      </c>
      <c r="F1734" s="1930" t="s">
        <v>33</v>
      </c>
      <c r="G1734" s="1932">
        <v>100679</v>
      </c>
      <c r="H1734" s="1930" t="s">
        <v>8687</v>
      </c>
      <c r="I1734" s="1930" t="s">
        <v>168</v>
      </c>
      <c r="J1734" s="1930" t="s">
        <v>320</v>
      </c>
      <c r="K1734" s="1933">
        <v>649.74</v>
      </c>
      <c r="L1734" s="1930" t="s">
        <v>138</v>
      </c>
    </row>
    <row r="1735" spans="1:12" ht="13.5" x14ac:dyDescent="0.25">
      <c r="A1735" s="1930" t="s">
        <v>4528</v>
      </c>
      <c r="B1735" s="1930" t="s">
        <v>4529</v>
      </c>
      <c r="C1735" s="1930" t="s">
        <v>4530</v>
      </c>
      <c r="D1735" s="1930" t="s">
        <v>4531</v>
      </c>
      <c r="E1735" s="1931" t="s">
        <v>33</v>
      </c>
      <c r="F1735" s="1930" t="s">
        <v>33</v>
      </c>
      <c r="G1735" s="1932">
        <v>100680</v>
      </c>
      <c r="H1735" s="1930" t="s">
        <v>8688</v>
      </c>
      <c r="I1735" s="1930" t="s">
        <v>168</v>
      </c>
      <c r="J1735" s="1930" t="s">
        <v>320</v>
      </c>
      <c r="K1735" s="1933">
        <v>698.89</v>
      </c>
      <c r="L1735" s="1930" t="s">
        <v>138</v>
      </c>
    </row>
    <row r="1736" spans="1:12" ht="13.5" x14ac:dyDescent="0.25">
      <c r="A1736" s="1930" t="s">
        <v>4528</v>
      </c>
      <c r="B1736" s="1930" t="s">
        <v>4529</v>
      </c>
      <c r="C1736" s="1930" t="s">
        <v>4530</v>
      </c>
      <c r="D1736" s="1930" t="s">
        <v>4531</v>
      </c>
      <c r="E1736" s="1931" t="s">
        <v>33</v>
      </c>
      <c r="F1736" s="1930" t="s">
        <v>33</v>
      </c>
      <c r="G1736" s="1932">
        <v>100681</v>
      </c>
      <c r="H1736" s="1930" t="s">
        <v>8689</v>
      </c>
      <c r="I1736" s="1930" t="s">
        <v>168</v>
      </c>
      <c r="J1736" s="1930" t="s">
        <v>320</v>
      </c>
      <c r="K1736" s="1933">
        <v>752.1</v>
      </c>
      <c r="L1736" s="1930" t="s">
        <v>138</v>
      </c>
    </row>
    <row r="1737" spans="1:12" ht="13.5" x14ac:dyDescent="0.25">
      <c r="A1737" s="1930" t="s">
        <v>4528</v>
      </c>
      <c r="B1737" s="1930" t="s">
        <v>4529</v>
      </c>
      <c r="C1737" s="1930" t="s">
        <v>4530</v>
      </c>
      <c r="D1737" s="1930" t="s">
        <v>4531</v>
      </c>
      <c r="E1737" s="1931" t="s">
        <v>33</v>
      </c>
      <c r="F1737" s="1930" t="s">
        <v>33</v>
      </c>
      <c r="G1737" s="1932">
        <v>100682</v>
      </c>
      <c r="H1737" s="1930" t="s">
        <v>8690</v>
      </c>
      <c r="I1737" s="1930" t="s">
        <v>168</v>
      </c>
      <c r="J1737" s="1930" t="s">
        <v>320</v>
      </c>
      <c r="K1737" s="1933">
        <v>652.91999999999996</v>
      </c>
      <c r="L1737" s="1930" t="s">
        <v>138</v>
      </c>
    </row>
    <row r="1738" spans="1:12" ht="13.5" x14ac:dyDescent="0.25">
      <c r="A1738" s="1930" t="s">
        <v>4528</v>
      </c>
      <c r="B1738" s="1930" t="s">
        <v>4529</v>
      </c>
      <c r="C1738" s="1930" t="s">
        <v>4530</v>
      </c>
      <c r="D1738" s="1930" t="s">
        <v>4531</v>
      </c>
      <c r="E1738" s="1931" t="s">
        <v>33</v>
      </c>
      <c r="F1738" s="1930" t="s">
        <v>33</v>
      </c>
      <c r="G1738" s="1932">
        <v>100683</v>
      </c>
      <c r="H1738" s="1930" t="s">
        <v>8691</v>
      </c>
      <c r="I1738" s="1930" t="s">
        <v>168</v>
      </c>
      <c r="J1738" s="1930" t="s">
        <v>320</v>
      </c>
      <c r="K1738" s="1933">
        <v>809.41</v>
      </c>
      <c r="L1738" s="1930" t="s">
        <v>138</v>
      </c>
    </row>
    <row r="1739" spans="1:12" ht="13.5" x14ac:dyDescent="0.25">
      <c r="A1739" s="1930" t="s">
        <v>4528</v>
      </c>
      <c r="B1739" s="1930" t="s">
        <v>4529</v>
      </c>
      <c r="C1739" s="1930" t="s">
        <v>4530</v>
      </c>
      <c r="D1739" s="1930" t="s">
        <v>4531</v>
      </c>
      <c r="E1739" s="1931" t="s">
        <v>33</v>
      </c>
      <c r="F1739" s="1930" t="s">
        <v>33</v>
      </c>
      <c r="G1739" s="1932">
        <v>100684</v>
      </c>
      <c r="H1739" s="1930" t="s">
        <v>8692</v>
      </c>
      <c r="I1739" s="1930" t="s">
        <v>168</v>
      </c>
      <c r="J1739" s="1930" t="s">
        <v>320</v>
      </c>
      <c r="K1739" s="1933">
        <v>711.03</v>
      </c>
      <c r="L1739" s="1930" t="s">
        <v>138</v>
      </c>
    </row>
    <row r="1740" spans="1:12" ht="13.5" x14ac:dyDescent="0.25">
      <c r="A1740" s="1930" t="s">
        <v>4528</v>
      </c>
      <c r="B1740" s="1930" t="s">
        <v>4529</v>
      </c>
      <c r="C1740" s="1930" t="s">
        <v>4530</v>
      </c>
      <c r="D1740" s="1930" t="s">
        <v>4531</v>
      </c>
      <c r="E1740" s="1931" t="s">
        <v>33</v>
      </c>
      <c r="F1740" s="1930" t="s">
        <v>33</v>
      </c>
      <c r="G1740" s="1932">
        <v>100685</v>
      </c>
      <c r="H1740" s="1930" t="s">
        <v>8693</v>
      </c>
      <c r="I1740" s="1930" t="s">
        <v>168</v>
      </c>
      <c r="J1740" s="1930" t="s">
        <v>320</v>
      </c>
      <c r="K1740" s="1933">
        <v>796.88</v>
      </c>
      <c r="L1740" s="1930" t="s">
        <v>138</v>
      </c>
    </row>
    <row r="1741" spans="1:12" ht="13.5" x14ac:dyDescent="0.25">
      <c r="A1741" s="1930" t="s">
        <v>4528</v>
      </c>
      <c r="B1741" s="1930" t="s">
        <v>4529</v>
      </c>
      <c r="C1741" s="1930" t="s">
        <v>4530</v>
      </c>
      <c r="D1741" s="1930" t="s">
        <v>4531</v>
      </c>
      <c r="E1741" s="1931" t="s">
        <v>33</v>
      </c>
      <c r="F1741" s="1930" t="s">
        <v>33</v>
      </c>
      <c r="G1741" s="1932">
        <v>100686</v>
      </c>
      <c r="H1741" s="1930" t="s">
        <v>8694</v>
      </c>
      <c r="I1741" s="1930" t="s">
        <v>168</v>
      </c>
      <c r="J1741" s="1930" t="s">
        <v>320</v>
      </c>
      <c r="K1741" s="1933">
        <v>698.22</v>
      </c>
      <c r="L1741" s="1930" t="s">
        <v>138</v>
      </c>
    </row>
    <row r="1742" spans="1:12" ht="13.5" x14ac:dyDescent="0.25">
      <c r="A1742" s="1930" t="s">
        <v>4528</v>
      </c>
      <c r="B1742" s="1930" t="s">
        <v>4529</v>
      </c>
      <c r="C1742" s="1930" t="s">
        <v>4530</v>
      </c>
      <c r="D1742" s="1930" t="s">
        <v>4531</v>
      </c>
      <c r="E1742" s="1931" t="s">
        <v>33</v>
      </c>
      <c r="F1742" s="1930" t="s">
        <v>33</v>
      </c>
      <c r="G1742" s="1932">
        <v>100687</v>
      </c>
      <c r="H1742" s="1930" t="s">
        <v>8695</v>
      </c>
      <c r="I1742" s="1930" t="s">
        <v>168</v>
      </c>
      <c r="J1742" s="1930" t="s">
        <v>320</v>
      </c>
      <c r="K1742" s="1933">
        <v>726.53</v>
      </c>
      <c r="L1742" s="1930" t="s">
        <v>138</v>
      </c>
    </row>
    <row r="1743" spans="1:12" ht="13.5" x14ac:dyDescent="0.25">
      <c r="A1743" s="1930" t="s">
        <v>4528</v>
      </c>
      <c r="B1743" s="1930" t="s">
        <v>4529</v>
      </c>
      <c r="C1743" s="1930" t="s">
        <v>4530</v>
      </c>
      <c r="D1743" s="1930" t="s">
        <v>4531</v>
      </c>
      <c r="E1743" s="1931" t="s">
        <v>33</v>
      </c>
      <c r="F1743" s="1930" t="s">
        <v>33</v>
      </c>
      <c r="G1743" s="1932">
        <v>100688</v>
      </c>
      <c r="H1743" s="1930" t="s">
        <v>8696</v>
      </c>
      <c r="I1743" s="1930" t="s">
        <v>168</v>
      </c>
      <c r="J1743" s="1930" t="s">
        <v>320</v>
      </c>
      <c r="K1743" s="1933">
        <v>631.95000000000005</v>
      </c>
      <c r="L1743" s="1930" t="s">
        <v>138</v>
      </c>
    </row>
    <row r="1744" spans="1:12" ht="13.5" x14ac:dyDescent="0.25">
      <c r="A1744" s="1930" t="s">
        <v>4528</v>
      </c>
      <c r="B1744" s="1930" t="s">
        <v>4529</v>
      </c>
      <c r="C1744" s="1930" t="s">
        <v>4530</v>
      </c>
      <c r="D1744" s="1930" t="s">
        <v>4531</v>
      </c>
      <c r="E1744" s="1931" t="s">
        <v>33</v>
      </c>
      <c r="F1744" s="1930" t="s">
        <v>33</v>
      </c>
      <c r="G1744" s="1932">
        <v>100689</v>
      </c>
      <c r="H1744" s="1930" t="s">
        <v>8697</v>
      </c>
      <c r="I1744" s="1930" t="s">
        <v>168</v>
      </c>
      <c r="J1744" s="1930" t="s">
        <v>320</v>
      </c>
      <c r="K1744" s="1933">
        <v>811.23</v>
      </c>
      <c r="L1744" s="1930" t="s">
        <v>138</v>
      </c>
    </row>
    <row r="1745" spans="1:12" ht="13.5" x14ac:dyDescent="0.25">
      <c r="A1745" s="1930" t="s">
        <v>4528</v>
      </c>
      <c r="B1745" s="1930" t="s">
        <v>4529</v>
      </c>
      <c r="C1745" s="1930" t="s">
        <v>4530</v>
      </c>
      <c r="D1745" s="1930" t="s">
        <v>4531</v>
      </c>
      <c r="E1745" s="1931" t="s">
        <v>33</v>
      </c>
      <c r="F1745" s="1930" t="s">
        <v>33</v>
      </c>
      <c r="G1745" s="1932">
        <v>100690</v>
      </c>
      <c r="H1745" s="1930" t="s">
        <v>8698</v>
      </c>
      <c r="I1745" s="1930" t="s">
        <v>168</v>
      </c>
      <c r="J1745" s="1930" t="s">
        <v>320</v>
      </c>
      <c r="K1745" s="1933">
        <v>712.85</v>
      </c>
      <c r="L1745" s="1930" t="s">
        <v>138</v>
      </c>
    </row>
    <row r="1746" spans="1:12" ht="13.5" x14ac:dyDescent="0.25">
      <c r="A1746" s="1930" t="s">
        <v>4528</v>
      </c>
      <c r="B1746" s="1930" t="s">
        <v>4529</v>
      </c>
      <c r="C1746" s="1930" t="s">
        <v>4530</v>
      </c>
      <c r="D1746" s="1930" t="s">
        <v>4531</v>
      </c>
      <c r="E1746" s="1931" t="s">
        <v>33</v>
      </c>
      <c r="F1746" s="1930" t="s">
        <v>33</v>
      </c>
      <c r="G1746" s="1932">
        <v>100691</v>
      </c>
      <c r="H1746" s="1930" t="s">
        <v>8699</v>
      </c>
      <c r="I1746" s="1930" t="s">
        <v>168</v>
      </c>
      <c r="J1746" s="1930" t="s">
        <v>137</v>
      </c>
      <c r="K1746" s="1933">
        <v>1086.02</v>
      </c>
      <c r="L1746" s="1930" t="s">
        <v>138</v>
      </c>
    </row>
    <row r="1747" spans="1:12" ht="13.5" x14ac:dyDescent="0.25">
      <c r="A1747" s="1930" t="s">
        <v>4528</v>
      </c>
      <c r="B1747" s="1930" t="s">
        <v>4529</v>
      </c>
      <c r="C1747" s="1930" t="s">
        <v>4530</v>
      </c>
      <c r="D1747" s="1930" t="s">
        <v>4531</v>
      </c>
      <c r="E1747" s="1931" t="s">
        <v>33</v>
      </c>
      <c r="F1747" s="1930" t="s">
        <v>33</v>
      </c>
      <c r="G1747" s="1932">
        <v>100692</v>
      </c>
      <c r="H1747" s="1930" t="s">
        <v>8700</v>
      </c>
      <c r="I1747" s="1930" t="s">
        <v>168</v>
      </c>
      <c r="J1747" s="1930" t="s">
        <v>137</v>
      </c>
      <c r="K1747" s="1933">
        <v>987.64</v>
      </c>
      <c r="L1747" s="1930" t="s">
        <v>138</v>
      </c>
    </row>
    <row r="1748" spans="1:12" ht="13.5" x14ac:dyDescent="0.25">
      <c r="A1748" s="1930" t="s">
        <v>4528</v>
      </c>
      <c r="B1748" s="1930" t="s">
        <v>4529</v>
      </c>
      <c r="C1748" s="1930" t="s">
        <v>4530</v>
      </c>
      <c r="D1748" s="1930" t="s">
        <v>4531</v>
      </c>
      <c r="E1748" s="1931" t="s">
        <v>33</v>
      </c>
      <c r="F1748" s="1930" t="s">
        <v>33</v>
      </c>
      <c r="G1748" s="1932">
        <v>100693</v>
      </c>
      <c r="H1748" s="1930" t="s">
        <v>8701</v>
      </c>
      <c r="I1748" s="1930" t="s">
        <v>168</v>
      </c>
      <c r="J1748" s="1930" t="s">
        <v>137</v>
      </c>
      <c r="K1748" s="1933">
        <v>1319</v>
      </c>
      <c r="L1748" s="1930" t="s">
        <v>138</v>
      </c>
    </row>
    <row r="1749" spans="1:12" ht="13.5" x14ac:dyDescent="0.25">
      <c r="A1749" s="1930" t="s">
        <v>4528</v>
      </c>
      <c r="B1749" s="1930" t="s">
        <v>4529</v>
      </c>
      <c r="C1749" s="1930" t="s">
        <v>4530</v>
      </c>
      <c r="D1749" s="1930" t="s">
        <v>4531</v>
      </c>
      <c r="E1749" s="1931" t="s">
        <v>33</v>
      </c>
      <c r="F1749" s="1930" t="s">
        <v>33</v>
      </c>
      <c r="G1749" s="1932">
        <v>100694</v>
      </c>
      <c r="H1749" s="1930" t="s">
        <v>8702</v>
      </c>
      <c r="I1749" s="1930" t="s">
        <v>168</v>
      </c>
      <c r="J1749" s="1930" t="s">
        <v>137</v>
      </c>
      <c r="K1749" s="1933">
        <v>1220.6199999999999</v>
      </c>
      <c r="L1749" s="1930" t="s">
        <v>138</v>
      </c>
    </row>
    <row r="1750" spans="1:12" ht="13.5" x14ac:dyDescent="0.25">
      <c r="A1750" s="1930" t="s">
        <v>4528</v>
      </c>
      <c r="B1750" s="1930" t="s">
        <v>4529</v>
      </c>
      <c r="C1750" s="1930" t="s">
        <v>4530</v>
      </c>
      <c r="D1750" s="1930" t="s">
        <v>4531</v>
      </c>
      <c r="E1750" s="1931" t="s">
        <v>33</v>
      </c>
      <c r="F1750" s="1930" t="s">
        <v>33</v>
      </c>
      <c r="G1750" s="1932">
        <v>100695</v>
      </c>
      <c r="H1750" s="1930" t="s">
        <v>8703</v>
      </c>
      <c r="I1750" s="1930" t="s">
        <v>168</v>
      </c>
      <c r="J1750" s="1930" t="s">
        <v>320</v>
      </c>
      <c r="K1750" s="1933">
        <v>44.39</v>
      </c>
      <c r="L1750" s="1930" t="s">
        <v>138</v>
      </c>
    </row>
    <row r="1751" spans="1:12" ht="13.5" x14ac:dyDescent="0.25">
      <c r="A1751" s="1930" t="s">
        <v>4528</v>
      </c>
      <c r="B1751" s="1930" t="s">
        <v>4529</v>
      </c>
      <c r="C1751" s="1930" t="s">
        <v>4530</v>
      </c>
      <c r="D1751" s="1930" t="s">
        <v>4531</v>
      </c>
      <c r="E1751" s="1931" t="s">
        <v>33</v>
      </c>
      <c r="F1751" s="1930" t="s">
        <v>33</v>
      </c>
      <c r="G1751" s="1932">
        <v>100696</v>
      </c>
      <c r="H1751" s="1930" t="s">
        <v>8704</v>
      </c>
      <c r="I1751" s="1930" t="s">
        <v>168</v>
      </c>
      <c r="J1751" s="1930" t="s">
        <v>320</v>
      </c>
      <c r="K1751" s="1933">
        <v>49.39</v>
      </c>
      <c r="L1751" s="1930" t="s">
        <v>138</v>
      </c>
    </row>
    <row r="1752" spans="1:12" ht="13.5" x14ac:dyDescent="0.25">
      <c r="A1752" s="1930" t="s">
        <v>4528</v>
      </c>
      <c r="B1752" s="1930" t="s">
        <v>4529</v>
      </c>
      <c r="C1752" s="1930" t="s">
        <v>4530</v>
      </c>
      <c r="D1752" s="1930" t="s">
        <v>4531</v>
      </c>
      <c r="E1752" s="1931" t="s">
        <v>33</v>
      </c>
      <c r="F1752" s="1930" t="s">
        <v>33</v>
      </c>
      <c r="G1752" s="1932">
        <v>100697</v>
      </c>
      <c r="H1752" s="1930" t="s">
        <v>8705</v>
      </c>
      <c r="I1752" s="1930" t="s">
        <v>168</v>
      </c>
      <c r="J1752" s="1930" t="s">
        <v>320</v>
      </c>
      <c r="K1752" s="1933">
        <v>54.43</v>
      </c>
      <c r="L1752" s="1930" t="s">
        <v>138</v>
      </c>
    </row>
    <row r="1753" spans="1:12" ht="13.5" x14ac:dyDescent="0.25">
      <c r="A1753" s="1930" t="s">
        <v>4528</v>
      </c>
      <c r="B1753" s="1930" t="s">
        <v>4529</v>
      </c>
      <c r="C1753" s="1930" t="s">
        <v>4530</v>
      </c>
      <c r="D1753" s="1930" t="s">
        <v>4531</v>
      </c>
      <c r="E1753" s="1931" t="s">
        <v>33</v>
      </c>
      <c r="F1753" s="1930" t="s">
        <v>33</v>
      </c>
      <c r="G1753" s="1932">
        <v>100698</v>
      </c>
      <c r="H1753" s="1930" t="s">
        <v>8706</v>
      </c>
      <c r="I1753" s="1930" t="s">
        <v>168</v>
      </c>
      <c r="J1753" s="1930" t="s">
        <v>320</v>
      </c>
      <c r="K1753" s="1933">
        <v>59.45</v>
      </c>
      <c r="L1753" s="1930" t="s">
        <v>138</v>
      </c>
    </row>
    <row r="1754" spans="1:12" ht="13.5" x14ac:dyDescent="0.25">
      <c r="A1754" s="1930" t="s">
        <v>4528</v>
      </c>
      <c r="B1754" s="1930" t="s">
        <v>4529</v>
      </c>
      <c r="C1754" s="1930" t="s">
        <v>4530</v>
      </c>
      <c r="D1754" s="1930" t="s">
        <v>4531</v>
      </c>
      <c r="E1754" s="1931" t="s">
        <v>33</v>
      </c>
      <c r="F1754" s="1930" t="s">
        <v>33</v>
      </c>
      <c r="G1754" s="1932">
        <v>100699</v>
      </c>
      <c r="H1754" s="1930" t="s">
        <v>8707</v>
      </c>
      <c r="I1754" s="1930" t="s">
        <v>168</v>
      </c>
      <c r="J1754" s="1930" t="s">
        <v>320</v>
      </c>
      <c r="K1754" s="1933">
        <v>70.95</v>
      </c>
      <c r="L1754" s="1930" t="s">
        <v>138</v>
      </c>
    </row>
    <row r="1755" spans="1:12" ht="13.5" x14ac:dyDescent="0.25">
      <c r="A1755" s="1930" t="s">
        <v>4528</v>
      </c>
      <c r="B1755" s="1930" t="s">
        <v>4529</v>
      </c>
      <c r="C1755" s="1930" t="s">
        <v>4530</v>
      </c>
      <c r="D1755" s="1930" t="s">
        <v>4531</v>
      </c>
      <c r="E1755" s="1931" t="s">
        <v>33</v>
      </c>
      <c r="F1755" s="1930" t="s">
        <v>33</v>
      </c>
      <c r="G1755" s="1932">
        <v>100700</v>
      </c>
      <c r="H1755" s="1930" t="s">
        <v>8708</v>
      </c>
      <c r="I1755" s="1930" t="s">
        <v>168</v>
      </c>
      <c r="J1755" s="1930" t="s">
        <v>320</v>
      </c>
      <c r="K1755" s="1933">
        <v>689.21</v>
      </c>
      <c r="L1755" s="1930" t="s">
        <v>138</v>
      </c>
    </row>
    <row r="1756" spans="1:12" ht="13.5" x14ac:dyDescent="0.25">
      <c r="A1756" s="1930" t="s">
        <v>4528</v>
      </c>
      <c r="B1756" s="1930" t="s">
        <v>4529</v>
      </c>
      <c r="C1756" s="1930" t="s">
        <v>4530</v>
      </c>
      <c r="D1756" s="1930" t="s">
        <v>4531</v>
      </c>
      <c r="E1756" s="1931" t="s">
        <v>33</v>
      </c>
      <c r="F1756" s="1930" t="s">
        <v>33</v>
      </c>
      <c r="G1756" s="1932">
        <v>100712</v>
      </c>
      <c r="H1756" s="1930" t="s">
        <v>8709</v>
      </c>
      <c r="I1756" s="1930" t="s">
        <v>168</v>
      </c>
      <c r="J1756" s="1930" t="s">
        <v>320</v>
      </c>
      <c r="K1756" s="1933">
        <v>599.71</v>
      </c>
      <c r="L1756" s="1930" t="s">
        <v>138</v>
      </c>
    </row>
    <row r="1757" spans="1:12" ht="13.5" x14ac:dyDescent="0.25">
      <c r="A1757" s="1930" t="s">
        <v>4528</v>
      </c>
      <c r="B1757" s="1930" t="s">
        <v>4529</v>
      </c>
      <c r="C1757" s="1930" t="s">
        <v>4532</v>
      </c>
      <c r="D1757" s="1930" t="s">
        <v>4533</v>
      </c>
      <c r="E1757" s="1931" t="s">
        <v>33</v>
      </c>
      <c r="F1757" s="1930" t="s">
        <v>33</v>
      </c>
      <c r="G1757" s="1932">
        <v>100665</v>
      </c>
      <c r="H1757" s="1930" t="s">
        <v>8710</v>
      </c>
      <c r="I1757" s="1930" t="s">
        <v>306</v>
      </c>
      <c r="J1757" s="1930" t="s">
        <v>137</v>
      </c>
      <c r="K1757" s="1933">
        <v>705.54</v>
      </c>
      <c r="L1757" s="1930" t="s">
        <v>138</v>
      </c>
    </row>
    <row r="1758" spans="1:12" ht="13.5" x14ac:dyDescent="0.25">
      <c r="A1758" s="1930" t="s">
        <v>4528</v>
      </c>
      <c r="B1758" s="1930" t="s">
        <v>4529</v>
      </c>
      <c r="C1758" s="1930" t="s">
        <v>4532</v>
      </c>
      <c r="D1758" s="1930" t="s">
        <v>4533</v>
      </c>
      <c r="E1758" s="1931" t="s">
        <v>33</v>
      </c>
      <c r="F1758" s="1930" t="s">
        <v>33</v>
      </c>
      <c r="G1758" s="1932">
        <v>100666</v>
      </c>
      <c r="H1758" s="1930" t="s">
        <v>8711</v>
      </c>
      <c r="I1758" s="1930" t="s">
        <v>306</v>
      </c>
      <c r="J1758" s="1930" t="s">
        <v>137</v>
      </c>
      <c r="K1758" s="1933">
        <v>558.30999999999995</v>
      </c>
      <c r="L1758" s="1930" t="s">
        <v>138</v>
      </c>
    </row>
    <row r="1759" spans="1:12" ht="13.5" x14ac:dyDescent="0.25">
      <c r="A1759" s="1930" t="s">
        <v>4528</v>
      </c>
      <c r="B1759" s="1930" t="s">
        <v>4529</v>
      </c>
      <c r="C1759" s="1930" t="s">
        <v>4532</v>
      </c>
      <c r="D1759" s="1930" t="s">
        <v>4533</v>
      </c>
      <c r="E1759" s="1931" t="s">
        <v>33</v>
      </c>
      <c r="F1759" s="1930" t="s">
        <v>33</v>
      </c>
      <c r="G1759" s="1932">
        <v>100667</v>
      </c>
      <c r="H1759" s="1930" t="s">
        <v>8712</v>
      </c>
      <c r="I1759" s="1930" t="s">
        <v>306</v>
      </c>
      <c r="J1759" s="1930" t="s">
        <v>137</v>
      </c>
      <c r="K1759" s="1933">
        <v>913.67</v>
      </c>
      <c r="L1759" s="1930" t="s">
        <v>138</v>
      </c>
    </row>
    <row r="1760" spans="1:12" ht="13.5" x14ac:dyDescent="0.25">
      <c r="A1760" s="1930" t="s">
        <v>4528</v>
      </c>
      <c r="B1760" s="1930" t="s">
        <v>4529</v>
      </c>
      <c r="C1760" s="1930" t="s">
        <v>4532</v>
      </c>
      <c r="D1760" s="1930" t="s">
        <v>4533</v>
      </c>
      <c r="E1760" s="1931" t="s">
        <v>33</v>
      </c>
      <c r="F1760" s="1930" t="s">
        <v>33</v>
      </c>
      <c r="G1760" s="1932">
        <v>100668</v>
      </c>
      <c r="H1760" s="1930" t="s">
        <v>8713</v>
      </c>
      <c r="I1760" s="1930" t="s">
        <v>306</v>
      </c>
      <c r="J1760" s="1930" t="s">
        <v>137</v>
      </c>
      <c r="K1760" s="1933">
        <v>1100.46</v>
      </c>
      <c r="L1760" s="1930" t="s">
        <v>138</v>
      </c>
    </row>
    <row r="1761" spans="1:12" ht="13.5" x14ac:dyDescent="0.25">
      <c r="A1761" s="1930" t="s">
        <v>4528</v>
      </c>
      <c r="B1761" s="1930" t="s">
        <v>4529</v>
      </c>
      <c r="C1761" s="1930" t="s">
        <v>4532</v>
      </c>
      <c r="D1761" s="1930" t="s">
        <v>4533</v>
      </c>
      <c r="E1761" s="1931" t="s">
        <v>33</v>
      </c>
      <c r="F1761" s="1930" t="s">
        <v>33</v>
      </c>
      <c r="G1761" s="1932">
        <v>100669</v>
      </c>
      <c r="H1761" s="1930" t="s">
        <v>8714</v>
      </c>
      <c r="I1761" s="1930" t="s">
        <v>306</v>
      </c>
      <c r="J1761" s="1930" t="s">
        <v>137</v>
      </c>
      <c r="K1761" s="1933">
        <v>659.43</v>
      </c>
      <c r="L1761" s="1930" t="s">
        <v>138</v>
      </c>
    </row>
    <row r="1762" spans="1:12" ht="13.5" x14ac:dyDescent="0.25">
      <c r="A1762" s="1930" t="s">
        <v>4528</v>
      </c>
      <c r="B1762" s="1930" t="s">
        <v>4529</v>
      </c>
      <c r="C1762" s="1930" t="s">
        <v>4532</v>
      </c>
      <c r="D1762" s="1930" t="s">
        <v>4533</v>
      </c>
      <c r="E1762" s="1931" t="s">
        <v>33</v>
      </c>
      <c r="F1762" s="1930" t="s">
        <v>33</v>
      </c>
      <c r="G1762" s="1932">
        <v>100670</v>
      </c>
      <c r="H1762" s="1930" t="s">
        <v>8715</v>
      </c>
      <c r="I1762" s="1930" t="s">
        <v>306</v>
      </c>
      <c r="J1762" s="1930" t="s">
        <v>137</v>
      </c>
      <c r="K1762" s="1933">
        <v>881.66</v>
      </c>
      <c r="L1762" s="1930" t="s">
        <v>138</v>
      </c>
    </row>
    <row r="1763" spans="1:12" ht="13.5" x14ac:dyDescent="0.25">
      <c r="A1763" s="1930" t="s">
        <v>4528</v>
      </c>
      <c r="B1763" s="1930" t="s">
        <v>4529</v>
      </c>
      <c r="C1763" s="1930" t="s">
        <v>4532</v>
      </c>
      <c r="D1763" s="1930" t="s">
        <v>4533</v>
      </c>
      <c r="E1763" s="1931" t="s">
        <v>33</v>
      </c>
      <c r="F1763" s="1930" t="s">
        <v>33</v>
      </c>
      <c r="G1763" s="1932">
        <v>100671</v>
      </c>
      <c r="H1763" s="1930" t="s">
        <v>8716</v>
      </c>
      <c r="I1763" s="1930" t="s">
        <v>306</v>
      </c>
      <c r="J1763" s="1930" t="s">
        <v>137</v>
      </c>
      <c r="K1763" s="1933">
        <v>1093.28</v>
      </c>
      <c r="L1763" s="1930" t="s">
        <v>138</v>
      </c>
    </row>
    <row r="1764" spans="1:12" ht="13.5" x14ac:dyDescent="0.25">
      <c r="A1764" s="1930" t="s">
        <v>4528</v>
      </c>
      <c r="B1764" s="1930" t="s">
        <v>4529</v>
      </c>
      <c r="C1764" s="1930" t="s">
        <v>4532</v>
      </c>
      <c r="D1764" s="1930" t="s">
        <v>4533</v>
      </c>
      <c r="E1764" s="1931" t="s">
        <v>33</v>
      </c>
      <c r="F1764" s="1930" t="s">
        <v>33</v>
      </c>
      <c r="G1764" s="1932">
        <v>100672</v>
      </c>
      <c r="H1764" s="1930" t="s">
        <v>8717</v>
      </c>
      <c r="I1764" s="1930" t="s">
        <v>306</v>
      </c>
      <c r="J1764" s="1930" t="s">
        <v>137</v>
      </c>
      <c r="K1764" s="1933">
        <v>707.27</v>
      </c>
      <c r="L1764" s="1930" t="s">
        <v>138</v>
      </c>
    </row>
    <row r="1765" spans="1:12" ht="13.5" x14ac:dyDescent="0.25">
      <c r="A1765" s="1930" t="s">
        <v>4528</v>
      </c>
      <c r="B1765" s="1930" t="s">
        <v>4529</v>
      </c>
      <c r="C1765" s="1930" t="s">
        <v>4534</v>
      </c>
      <c r="D1765" s="1930" t="s">
        <v>4535</v>
      </c>
      <c r="E1765" s="1931" t="s">
        <v>33</v>
      </c>
      <c r="F1765" s="1930" t="s">
        <v>33</v>
      </c>
      <c r="G1765" s="1932">
        <v>100701</v>
      </c>
      <c r="H1765" s="1930" t="s">
        <v>8718</v>
      </c>
      <c r="I1765" s="1930" t="s">
        <v>306</v>
      </c>
      <c r="J1765" s="1930" t="s">
        <v>320</v>
      </c>
      <c r="K1765" s="1933">
        <v>326.27999999999997</v>
      </c>
      <c r="L1765" s="1930" t="s">
        <v>138</v>
      </c>
    </row>
    <row r="1766" spans="1:12" ht="13.5" x14ac:dyDescent="0.25">
      <c r="A1766" s="1930" t="s">
        <v>4528</v>
      </c>
      <c r="B1766" s="1930" t="s">
        <v>4529</v>
      </c>
      <c r="C1766" s="1930" t="s">
        <v>4536</v>
      </c>
      <c r="D1766" s="1930" t="s">
        <v>4537</v>
      </c>
      <c r="E1766" s="1931" t="s">
        <v>33</v>
      </c>
      <c r="F1766" s="1930" t="s">
        <v>33</v>
      </c>
      <c r="G1766" s="1932">
        <v>94559</v>
      </c>
      <c r="H1766" s="1930" t="s">
        <v>8719</v>
      </c>
      <c r="I1766" s="1930" t="s">
        <v>306</v>
      </c>
      <c r="J1766" s="1930" t="s">
        <v>137</v>
      </c>
      <c r="K1766" s="1933">
        <v>587.44000000000005</v>
      </c>
      <c r="L1766" s="1930" t="s">
        <v>138</v>
      </c>
    </row>
    <row r="1767" spans="1:12" ht="13.5" x14ac:dyDescent="0.25">
      <c r="A1767" s="1930" t="s">
        <v>4528</v>
      </c>
      <c r="B1767" s="1930" t="s">
        <v>4529</v>
      </c>
      <c r="C1767" s="1930" t="s">
        <v>4536</v>
      </c>
      <c r="D1767" s="1930" t="s">
        <v>4537</v>
      </c>
      <c r="E1767" s="1931" t="s">
        <v>33</v>
      </c>
      <c r="F1767" s="1930" t="s">
        <v>33</v>
      </c>
      <c r="G1767" s="1932">
        <v>94560</v>
      </c>
      <c r="H1767" s="1930" t="s">
        <v>8720</v>
      </c>
      <c r="I1767" s="1930" t="s">
        <v>306</v>
      </c>
      <c r="J1767" s="1930" t="s">
        <v>137</v>
      </c>
      <c r="K1767" s="1933">
        <v>533.76</v>
      </c>
      <c r="L1767" s="1930" t="s">
        <v>138</v>
      </c>
    </row>
    <row r="1768" spans="1:12" ht="13.5" x14ac:dyDescent="0.25">
      <c r="A1768" s="1930" t="s">
        <v>4528</v>
      </c>
      <c r="B1768" s="1930" t="s">
        <v>4529</v>
      </c>
      <c r="C1768" s="1930" t="s">
        <v>4536</v>
      </c>
      <c r="D1768" s="1930" t="s">
        <v>4537</v>
      </c>
      <c r="E1768" s="1931" t="s">
        <v>33</v>
      </c>
      <c r="F1768" s="1930" t="s">
        <v>33</v>
      </c>
      <c r="G1768" s="1932">
        <v>94562</v>
      </c>
      <c r="H1768" s="1930" t="s">
        <v>8721</v>
      </c>
      <c r="I1768" s="1930" t="s">
        <v>306</v>
      </c>
      <c r="J1768" s="1930" t="s">
        <v>137</v>
      </c>
      <c r="K1768" s="1933">
        <v>560.6</v>
      </c>
      <c r="L1768" s="1930" t="s">
        <v>138</v>
      </c>
    </row>
    <row r="1769" spans="1:12" ht="13.5" x14ac:dyDescent="0.25">
      <c r="A1769" s="1930" t="s">
        <v>4528</v>
      </c>
      <c r="B1769" s="1930" t="s">
        <v>4529</v>
      </c>
      <c r="C1769" s="1930" t="s">
        <v>4536</v>
      </c>
      <c r="D1769" s="1930" t="s">
        <v>4537</v>
      </c>
      <c r="E1769" s="1931" t="s">
        <v>33</v>
      </c>
      <c r="F1769" s="1930" t="s">
        <v>33</v>
      </c>
      <c r="G1769" s="1932">
        <v>94563</v>
      </c>
      <c r="H1769" s="1930" t="s">
        <v>8722</v>
      </c>
      <c r="I1769" s="1930" t="s">
        <v>306</v>
      </c>
      <c r="J1769" s="1930" t="s">
        <v>137</v>
      </c>
      <c r="K1769" s="1933">
        <v>704.64</v>
      </c>
      <c r="L1769" s="1930" t="s">
        <v>138</v>
      </c>
    </row>
    <row r="1770" spans="1:12" ht="13.5" x14ac:dyDescent="0.25">
      <c r="A1770" s="1930" t="s">
        <v>4528</v>
      </c>
      <c r="B1770" s="1930" t="s">
        <v>4529</v>
      </c>
      <c r="C1770" s="1930" t="s">
        <v>4536</v>
      </c>
      <c r="D1770" s="1930" t="s">
        <v>4537</v>
      </c>
      <c r="E1770" s="1931" t="s">
        <v>33</v>
      </c>
      <c r="F1770" s="1930" t="s">
        <v>33</v>
      </c>
      <c r="G1770" s="1932">
        <v>94587</v>
      </c>
      <c r="H1770" s="1930" t="s">
        <v>8723</v>
      </c>
      <c r="I1770" s="1930" t="s">
        <v>136</v>
      </c>
      <c r="J1770" s="1930" t="s">
        <v>137</v>
      </c>
      <c r="K1770" s="1933">
        <v>39.96</v>
      </c>
      <c r="L1770" s="1930" t="s">
        <v>138</v>
      </c>
    </row>
    <row r="1771" spans="1:12" ht="13.5" x14ac:dyDescent="0.25">
      <c r="A1771" s="1930" t="s">
        <v>4528</v>
      </c>
      <c r="B1771" s="1930" t="s">
        <v>4529</v>
      </c>
      <c r="C1771" s="1930" t="s">
        <v>4536</v>
      </c>
      <c r="D1771" s="1930" t="s">
        <v>4537</v>
      </c>
      <c r="E1771" s="1931" t="s">
        <v>33</v>
      </c>
      <c r="F1771" s="1930" t="s">
        <v>33</v>
      </c>
      <c r="G1771" s="1932">
        <v>94588</v>
      </c>
      <c r="H1771" s="1930" t="s">
        <v>8724</v>
      </c>
      <c r="I1771" s="1930" t="s">
        <v>136</v>
      </c>
      <c r="J1771" s="1930" t="s">
        <v>137</v>
      </c>
      <c r="K1771" s="1933">
        <v>34.03</v>
      </c>
      <c r="L1771" s="1930" t="s">
        <v>138</v>
      </c>
    </row>
    <row r="1772" spans="1:12" ht="13.5" x14ac:dyDescent="0.25">
      <c r="A1772" s="1930" t="s">
        <v>4528</v>
      </c>
      <c r="B1772" s="1930" t="s">
        <v>4529</v>
      </c>
      <c r="C1772" s="1930" t="s">
        <v>4538</v>
      </c>
      <c r="D1772" s="1930" t="s">
        <v>4539</v>
      </c>
      <c r="E1772" s="1931" t="s">
        <v>33</v>
      </c>
      <c r="F1772" s="1930" t="s">
        <v>33</v>
      </c>
      <c r="G1772" s="1932">
        <v>99837</v>
      </c>
      <c r="H1772" s="1930" t="s">
        <v>8047</v>
      </c>
      <c r="I1772" s="1930" t="s">
        <v>136</v>
      </c>
      <c r="J1772" s="1930" t="s">
        <v>320</v>
      </c>
      <c r="K1772" s="1933">
        <v>409.87</v>
      </c>
      <c r="L1772" s="1930" t="s">
        <v>138</v>
      </c>
    </row>
    <row r="1773" spans="1:12" ht="13.5" x14ac:dyDescent="0.25">
      <c r="A1773" s="1930" t="s">
        <v>4528</v>
      </c>
      <c r="B1773" s="1930" t="s">
        <v>4529</v>
      </c>
      <c r="C1773" s="1930" t="s">
        <v>4538</v>
      </c>
      <c r="D1773" s="1930" t="s">
        <v>4539</v>
      </c>
      <c r="E1773" s="1931" t="s">
        <v>33</v>
      </c>
      <c r="F1773" s="1930" t="s">
        <v>33</v>
      </c>
      <c r="G1773" s="1932">
        <v>99839</v>
      </c>
      <c r="H1773" s="1930" t="s">
        <v>8048</v>
      </c>
      <c r="I1773" s="1930" t="s">
        <v>136</v>
      </c>
      <c r="J1773" s="1930" t="s">
        <v>320</v>
      </c>
      <c r="K1773" s="1933">
        <v>336.68</v>
      </c>
      <c r="L1773" s="1930" t="s">
        <v>138</v>
      </c>
    </row>
    <row r="1774" spans="1:12" ht="13.5" x14ac:dyDescent="0.25">
      <c r="A1774" s="1930" t="s">
        <v>4528</v>
      </c>
      <c r="B1774" s="1930" t="s">
        <v>4529</v>
      </c>
      <c r="C1774" s="1930" t="s">
        <v>4538</v>
      </c>
      <c r="D1774" s="1930" t="s">
        <v>4539</v>
      </c>
      <c r="E1774" s="1931" t="s">
        <v>33</v>
      </c>
      <c r="F1774" s="1930" t="s">
        <v>33</v>
      </c>
      <c r="G1774" s="1932">
        <v>99841</v>
      </c>
      <c r="H1774" s="1930" t="s">
        <v>8049</v>
      </c>
      <c r="I1774" s="1930" t="s">
        <v>136</v>
      </c>
      <c r="J1774" s="1930" t="s">
        <v>137</v>
      </c>
      <c r="K1774" s="1933">
        <v>764.09</v>
      </c>
      <c r="L1774" s="1930" t="s">
        <v>138</v>
      </c>
    </row>
    <row r="1775" spans="1:12" ht="13.5" x14ac:dyDescent="0.25">
      <c r="A1775" s="1930" t="s">
        <v>4528</v>
      </c>
      <c r="B1775" s="1930" t="s">
        <v>4529</v>
      </c>
      <c r="C1775" s="1930" t="s">
        <v>4538</v>
      </c>
      <c r="D1775" s="1930" t="s">
        <v>4539</v>
      </c>
      <c r="E1775" s="1931" t="s">
        <v>33</v>
      </c>
      <c r="F1775" s="1930" t="s">
        <v>33</v>
      </c>
      <c r="G1775" s="1932">
        <v>99855</v>
      </c>
      <c r="H1775" s="1930" t="s">
        <v>8050</v>
      </c>
      <c r="I1775" s="1930" t="s">
        <v>136</v>
      </c>
      <c r="J1775" s="1930" t="s">
        <v>320</v>
      </c>
      <c r="K1775" s="1933">
        <v>74.87</v>
      </c>
      <c r="L1775" s="1930" t="s">
        <v>138</v>
      </c>
    </row>
    <row r="1776" spans="1:12" ht="13.5" x14ac:dyDescent="0.25">
      <c r="A1776" s="1930" t="s">
        <v>4528</v>
      </c>
      <c r="B1776" s="1930" t="s">
        <v>4529</v>
      </c>
      <c r="C1776" s="1930" t="s">
        <v>4538</v>
      </c>
      <c r="D1776" s="1930" t="s">
        <v>4539</v>
      </c>
      <c r="E1776" s="1931" t="s">
        <v>33</v>
      </c>
      <c r="F1776" s="1930" t="s">
        <v>33</v>
      </c>
      <c r="G1776" s="1932">
        <v>99857</v>
      </c>
      <c r="H1776" s="1930" t="s">
        <v>8051</v>
      </c>
      <c r="I1776" s="1930" t="s">
        <v>136</v>
      </c>
      <c r="J1776" s="1930" t="s">
        <v>137</v>
      </c>
      <c r="K1776" s="1933">
        <v>63.02</v>
      </c>
      <c r="L1776" s="1930" t="s">
        <v>138</v>
      </c>
    </row>
    <row r="1777" spans="1:12" ht="13.5" x14ac:dyDescent="0.25">
      <c r="A1777" s="1930" t="s">
        <v>4528</v>
      </c>
      <c r="B1777" s="1930" t="s">
        <v>4529</v>
      </c>
      <c r="C1777" s="1930" t="s">
        <v>4538</v>
      </c>
      <c r="D1777" s="1930" t="s">
        <v>4539</v>
      </c>
      <c r="E1777" s="1931" t="s">
        <v>33</v>
      </c>
      <c r="F1777" s="1930" t="s">
        <v>33</v>
      </c>
      <c r="G1777" s="1932">
        <v>99861</v>
      </c>
      <c r="H1777" s="1930" t="s">
        <v>8052</v>
      </c>
      <c r="I1777" s="1930" t="s">
        <v>306</v>
      </c>
      <c r="J1777" s="1930" t="s">
        <v>137</v>
      </c>
      <c r="K1777" s="1933">
        <v>414.52</v>
      </c>
      <c r="L1777" s="1930" t="s">
        <v>138</v>
      </c>
    </row>
    <row r="1778" spans="1:12" ht="13.5" x14ac:dyDescent="0.25">
      <c r="A1778" s="1930" t="s">
        <v>4528</v>
      </c>
      <c r="B1778" s="1930" t="s">
        <v>4529</v>
      </c>
      <c r="C1778" s="1930" t="s">
        <v>4538</v>
      </c>
      <c r="D1778" s="1930" t="s">
        <v>4539</v>
      </c>
      <c r="E1778" s="1931" t="s">
        <v>33</v>
      </c>
      <c r="F1778" s="1930" t="s">
        <v>33</v>
      </c>
      <c r="G1778" s="1932">
        <v>99862</v>
      </c>
      <c r="H1778" s="1930" t="s">
        <v>8053</v>
      </c>
      <c r="I1778" s="1930" t="s">
        <v>306</v>
      </c>
      <c r="J1778" s="1930" t="s">
        <v>137</v>
      </c>
      <c r="K1778" s="1933">
        <v>414.44</v>
      </c>
      <c r="L1778" s="1930" t="s">
        <v>138</v>
      </c>
    </row>
    <row r="1779" spans="1:12" ht="13.5" x14ac:dyDescent="0.25">
      <c r="A1779" s="1930" t="s">
        <v>4528</v>
      </c>
      <c r="B1779" s="1930" t="s">
        <v>4529</v>
      </c>
      <c r="C1779" s="1930" t="s">
        <v>4540</v>
      </c>
      <c r="D1779" s="1930" t="s">
        <v>4541</v>
      </c>
      <c r="E1779" s="1931" t="s">
        <v>33</v>
      </c>
      <c r="F1779" s="1930" t="s">
        <v>33</v>
      </c>
      <c r="G1779" s="1932">
        <v>73665</v>
      </c>
      <c r="H1779" s="1930" t="s">
        <v>1369</v>
      </c>
      <c r="I1779" s="1930" t="s">
        <v>136</v>
      </c>
      <c r="J1779" s="1930" t="s">
        <v>320</v>
      </c>
      <c r="K1779" s="1933">
        <v>63.63</v>
      </c>
      <c r="L1779" s="1930" t="s">
        <v>138</v>
      </c>
    </row>
    <row r="1780" spans="1:12" ht="13.5" x14ac:dyDescent="0.25">
      <c r="A1780" s="1930" t="s">
        <v>4528</v>
      </c>
      <c r="B1780" s="1930" t="s">
        <v>4529</v>
      </c>
      <c r="C1780" s="1930" t="s">
        <v>4540</v>
      </c>
      <c r="D1780" s="1930" t="s">
        <v>4541</v>
      </c>
      <c r="E1780" s="1931">
        <v>74194</v>
      </c>
      <c r="F1780" s="1930" t="s">
        <v>4542</v>
      </c>
      <c r="G1780" s="1932" t="s">
        <v>1370</v>
      </c>
      <c r="H1780" s="1930" t="s">
        <v>1371</v>
      </c>
      <c r="I1780" s="1930" t="s">
        <v>136</v>
      </c>
      <c r="J1780" s="1930" t="s">
        <v>320</v>
      </c>
      <c r="K1780" s="1933">
        <v>264.62</v>
      </c>
      <c r="L1780" s="1930" t="s">
        <v>138</v>
      </c>
    </row>
    <row r="1781" spans="1:12" ht="13.5" x14ac:dyDescent="0.25">
      <c r="A1781" s="1930" t="s">
        <v>4528</v>
      </c>
      <c r="B1781" s="1930" t="s">
        <v>4529</v>
      </c>
      <c r="C1781" s="1930" t="s">
        <v>4543</v>
      </c>
      <c r="D1781" s="1930" t="s">
        <v>4544</v>
      </c>
      <c r="E1781" s="1931" t="s">
        <v>33</v>
      </c>
      <c r="F1781" s="1930" t="s">
        <v>33</v>
      </c>
      <c r="G1781" s="1932">
        <v>90838</v>
      </c>
      <c r="H1781" s="1930" t="s">
        <v>8725</v>
      </c>
      <c r="I1781" s="1930" t="s">
        <v>168</v>
      </c>
      <c r="J1781" s="1930" t="s">
        <v>320</v>
      </c>
      <c r="K1781" s="1933">
        <v>751.88</v>
      </c>
      <c r="L1781" s="1930" t="s">
        <v>138</v>
      </c>
    </row>
    <row r="1782" spans="1:12" ht="13.5" x14ac:dyDescent="0.25">
      <c r="A1782" s="1930" t="s">
        <v>4528</v>
      </c>
      <c r="B1782" s="1930" t="s">
        <v>4529</v>
      </c>
      <c r="C1782" s="1930" t="s">
        <v>4543</v>
      </c>
      <c r="D1782" s="1930" t="s">
        <v>4544</v>
      </c>
      <c r="E1782" s="1931" t="s">
        <v>33</v>
      </c>
      <c r="F1782" s="1930" t="s">
        <v>33</v>
      </c>
      <c r="G1782" s="1932">
        <v>91338</v>
      </c>
      <c r="H1782" s="1930" t="s">
        <v>8726</v>
      </c>
      <c r="I1782" s="1930" t="s">
        <v>306</v>
      </c>
      <c r="J1782" s="1930" t="s">
        <v>137</v>
      </c>
      <c r="K1782" s="1933">
        <v>532.53</v>
      </c>
      <c r="L1782" s="1930" t="s">
        <v>138</v>
      </c>
    </row>
    <row r="1783" spans="1:12" ht="13.5" x14ac:dyDescent="0.25">
      <c r="A1783" s="1930" t="s">
        <v>4528</v>
      </c>
      <c r="B1783" s="1930" t="s">
        <v>4529</v>
      </c>
      <c r="C1783" s="1930" t="s">
        <v>4543</v>
      </c>
      <c r="D1783" s="1930" t="s">
        <v>4544</v>
      </c>
      <c r="E1783" s="1931" t="s">
        <v>33</v>
      </c>
      <c r="F1783" s="1930" t="s">
        <v>33</v>
      </c>
      <c r="G1783" s="1932">
        <v>91341</v>
      </c>
      <c r="H1783" s="1930" t="s">
        <v>8727</v>
      </c>
      <c r="I1783" s="1930" t="s">
        <v>306</v>
      </c>
      <c r="J1783" s="1930" t="s">
        <v>137</v>
      </c>
      <c r="K1783" s="1933">
        <v>392.75</v>
      </c>
      <c r="L1783" s="1930" t="s">
        <v>138</v>
      </c>
    </row>
    <row r="1784" spans="1:12" ht="13.5" x14ac:dyDescent="0.25">
      <c r="A1784" s="1930" t="s">
        <v>4528</v>
      </c>
      <c r="B1784" s="1930" t="s">
        <v>4529</v>
      </c>
      <c r="C1784" s="1930" t="s">
        <v>4543</v>
      </c>
      <c r="D1784" s="1930" t="s">
        <v>4544</v>
      </c>
      <c r="E1784" s="1931" t="s">
        <v>33</v>
      </c>
      <c r="F1784" s="1930" t="s">
        <v>33</v>
      </c>
      <c r="G1784" s="1932">
        <v>94805</v>
      </c>
      <c r="H1784" s="1930" t="s">
        <v>8728</v>
      </c>
      <c r="I1784" s="1930" t="s">
        <v>168</v>
      </c>
      <c r="J1784" s="1930" t="s">
        <v>137</v>
      </c>
      <c r="K1784" s="1933">
        <v>623.04999999999995</v>
      </c>
      <c r="L1784" s="1930" t="s">
        <v>138</v>
      </c>
    </row>
    <row r="1785" spans="1:12" ht="13.5" x14ac:dyDescent="0.25">
      <c r="A1785" s="1930" t="s">
        <v>4528</v>
      </c>
      <c r="B1785" s="1930" t="s">
        <v>4529</v>
      </c>
      <c r="C1785" s="1930" t="s">
        <v>4543</v>
      </c>
      <c r="D1785" s="1930" t="s">
        <v>4544</v>
      </c>
      <c r="E1785" s="1931" t="s">
        <v>33</v>
      </c>
      <c r="F1785" s="1930" t="s">
        <v>33</v>
      </c>
      <c r="G1785" s="1932">
        <v>94806</v>
      </c>
      <c r="H1785" s="1930" t="s">
        <v>8729</v>
      </c>
      <c r="I1785" s="1930" t="s">
        <v>168</v>
      </c>
      <c r="J1785" s="1930" t="s">
        <v>320</v>
      </c>
      <c r="K1785" s="1933">
        <v>354.63</v>
      </c>
      <c r="L1785" s="1930" t="s">
        <v>138</v>
      </c>
    </row>
    <row r="1786" spans="1:12" ht="13.5" x14ac:dyDescent="0.25">
      <c r="A1786" s="1930" t="s">
        <v>4528</v>
      </c>
      <c r="B1786" s="1930" t="s">
        <v>4529</v>
      </c>
      <c r="C1786" s="1930" t="s">
        <v>4543</v>
      </c>
      <c r="D1786" s="1930" t="s">
        <v>4544</v>
      </c>
      <c r="E1786" s="1931" t="s">
        <v>33</v>
      </c>
      <c r="F1786" s="1930" t="s">
        <v>33</v>
      </c>
      <c r="G1786" s="1932">
        <v>94807</v>
      </c>
      <c r="H1786" s="1930" t="s">
        <v>8730</v>
      </c>
      <c r="I1786" s="1930" t="s">
        <v>168</v>
      </c>
      <c r="J1786" s="1930" t="s">
        <v>320</v>
      </c>
      <c r="K1786" s="1933">
        <v>423.92</v>
      </c>
      <c r="L1786" s="1930" t="s">
        <v>138</v>
      </c>
    </row>
    <row r="1787" spans="1:12" ht="13.5" x14ac:dyDescent="0.25">
      <c r="A1787" s="1930" t="s">
        <v>4528</v>
      </c>
      <c r="B1787" s="1930" t="s">
        <v>4529</v>
      </c>
      <c r="C1787" s="1930" t="s">
        <v>4543</v>
      </c>
      <c r="D1787" s="1930" t="s">
        <v>4544</v>
      </c>
      <c r="E1787" s="1931" t="s">
        <v>33</v>
      </c>
      <c r="F1787" s="1930" t="s">
        <v>33</v>
      </c>
      <c r="G1787" s="1932">
        <v>100702</v>
      </c>
      <c r="H1787" s="1930" t="s">
        <v>8731</v>
      </c>
      <c r="I1787" s="1930" t="s">
        <v>306</v>
      </c>
      <c r="J1787" s="1930" t="s">
        <v>137</v>
      </c>
      <c r="K1787" s="1933">
        <v>318.37</v>
      </c>
      <c r="L1787" s="1930" t="s">
        <v>138</v>
      </c>
    </row>
    <row r="1788" spans="1:12" ht="13.5" x14ac:dyDescent="0.25">
      <c r="A1788" s="1930" t="s">
        <v>4528</v>
      </c>
      <c r="B1788" s="1930" t="s">
        <v>4529</v>
      </c>
      <c r="C1788" s="1930" t="s">
        <v>4545</v>
      </c>
      <c r="D1788" s="1930" t="s">
        <v>4546</v>
      </c>
      <c r="E1788" s="1931" t="s">
        <v>33</v>
      </c>
      <c r="F1788" s="1930" t="s">
        <v>33</v>
      </c>
      <c r="G1788" s="1932">
        <v>84885</v>
      </c>
      <c r="H1788" s="1930" t="s">
        <v>1372</v>
      </c>
      <c r="I1788" s="1930" t="s">
        <v>168</v>
      </c>
      <c r="J1788" s="1930" t="s">
        <v>320</v>
      </c>
      <c r="K1788" s="1933">
        <v>680.36</v>
      </c>
      <c r="L1788" s="1930" t="s">
        <v>138</v>
      </c>
    </row>
    <row r="1789" spans="1:12" ht="13.5" x14ac:dyDescent="0.25">
      <c r="A1789" s="1930" t="s">
        <v>4528</v>
      </c>
      <c r="B1789" s="1930" t="s">
        <v>4529</v>
      </c>
      <c r="C1789" s="1930" t="s">
        <v>4545</v>
      </c>
      <c r="D1789" s="1930" t="s">
        <v>4546</v>
      </c>
      <c r="E1789" s="1931" t="s">
        <v>33</v>
      </c>
      <c r="F1789" s="1930" t="s">
        <v>33</v>
      </c>
      <c r="G1789" s="1932">
        <v>84886</v>
      </c>
      <c r="H1789" s="1930" t="s">
        <v>1373</v>
      </c>
      <c r="I1789" s="1930" t="s">
        <v>168</v>
      </c>
      <c r="J1789" s="1930" t="s">
        <v>320</v>
      </c>
      <c r="K1789" s="1933">
        <v>1277.28</v>
      </c>
      <c r="L1789" s="1930" t="s">
        <v>138</v>
      </c>
    </row>
    <row r="1790" spans="1:12" ht="13.5" x14ac:dyDescent="0.25">
      <c r="A1790" s="1930" t="s">
        <v>4528</v>
      </c>
      <c r="B1790" s="1930" t="s">
        <v>4529</v>
      </c>
      <c r="C1790" s="1930" t="s">
        <v>4547</v>
      </c>
      <c r="D1790" s="1930" t="s">
        <v>4548</v>
      </c>
      <c r="E1790" s="1931" t="s">
        <v>33</v>
      </c>
      <c r="F1790" s="1930" t="s">
        <v>33</v>
      </c>
      <c r="G1790" s="1932">
        <v>100703</v>
      </c>
      <c r="H1790" s="1930" t="s">
        <v>8732</v>
      </c>
      <c r="I1790" s="1930" t="s">
        <v>168</v>
      </c>
      <c r="J1790" s="1930" t="s">
        <v>320</v>
      </c>
      <c r="K1790" s="1933">
        <v>19.420000000000002</v>
      </c>
      <c r="L1790" s="1930" t="s">
        <v>138</v>
      </c>
    </row>
    <row r="1791" spans="1:12" ht="13.5" x14ac:dyDescent="0.25">
      <c r="A1791" s="1930" t="s">
        <v>4528</v>
      </c>
      <c r="B1791" s="1930" t="s">
        <v>4529</v>
      </c>
      <c r="C1791" s="1930" t="s">
        <v>4547</v>
      </c>
      <c r="D1791" s="1930" t="s">
        <v>4548</v>
      </c>
      <c r="E1791" s="1931" t="s">
        <v>33</v>
      </c>
      <c r="F1791" s="1930" t="s">
        <v>33</v>
      </c>
      <c r="G1791" s="1932">
        <v>100704</v>
      </c>
      <c r="H1791" s="1930" t="s">
        <v>8733</v>
      </c>
      <c r="I1791" s="1930" t="s">
        <v>168</v>
      </c>
      <c r="J1791" s="1930" t="s">
        <v>320</v>
      </c>
      <c r="K1791" s="1933">
        <v>144.38999999999999</v>
      </c>
      <c r="L1791" s="1930" t="s">
        <v>138</v>
      </c>
    </row>
    <row r="1792" spans="1:12" ht="13.5" x14ac:dyDescent="0.25">
      <c r="A1792" s="1930" t="s">
        <v>4528</v>
      </c>
      <c r="B1792" s="1930" t="s">
        <v>4529</v>
      </c>
      <c r="C1792" s="1930" t="s">
        <v>4547</v>
      </c>
      <c r="D1792" s="1930" t="s">
        <v>4548</v>
      </c>
      <c r="E1792" s="1931" t="s">
        <v>33</v>
      </c>
      <c r="F1792" s="1930" t="s">
        <v>33</v>
      </c>
      <c r="G1792" s="1932">
        <v>100705</v>
      </c>
      <c r="H1792" s="1930" t="s">
        <v>8734</v>
      </c>
      <c r="I1792" s="1930" t="s">
        <v>168</v>
      </c>
      <c r="J1792" s="1930" t="s">
        <v>320</v>
      </c>
      <c r="K1792" s="1933">
        <v>48.69</v>
      </c>
      <c r="L1792" s="1930" t="s">
        <v>138</v>
      </c>
    </row>
    <row r="1793" spans="1:12" ht="13.5" x14ac:dyDescent="0.25">
      <c r="A1793" s="1930" t="s">
        <v>4528</v>
      </c>
      <c r="B1793" s="1930" t="s">
        <v>4529</v>
      </c>
      <c r="C1793" s="1930" t="s">
        <v>4547</v>
      </c>
      <c r="D1793" s="1930" t="s">
        <v>4548</v>
      </c>
      <c r="E1793" s="1931" t="s">
        <v>33</v>
      </c>
      <c r="F1793" s="1930" t="s">
        <v>33</v>
      </c>
      <c r="G1793" s="1932">
        <v>100706</v>
      </c>
      <c r="H1793" s="1930" t="s">
        <v>8735</v>
      </c>
      <c r="I1793" s="1930" t="s">
        <v>168</v>
      </c>
      <c r="J1793" s="1930" t="s">
        <v>320</v>
      </c>
      <c r="K1793" s="1933">
        <v>88.29</v>
      </c>
      <c r="L1793" s="1930" t="s">
        <v>138</v>
      </c>
    </row>
    <row r="1794" spans="1:12" ht="13.5" x14ac:dyDescent="0.25">
      <c r="A1794" s="1930" t="s">
        <v>4528</v>
      </c>
      <c r="B1794" s="1930" t="s">
        <v>4529</v>
      </c>
      <c r="C1794" s="1930" t="s">
        <v>4547</v>
      </c>
      <c r="D1794" s="1930" t="s">
        <v>4548</v>
      </c>
      <c r="E1794" s="1931" t="s">
        <v>33</v>
      </c>
      <c r="F1794" s="1930" t="s">
        <v>33</v>
      </c>
      <c r="G1794" s="1932">
        <v>100707</v>
      </c>
      <c r="H1794" s="1930" t="s">
        <v>8736</v>
      </c>
      <c r="I1794" s="1930" t="s">
        <v>168</v>
      </c>
      <c r="J1794" s="1930" t="s">
        <v>320</v>
      </c>
      <c r="K1794" s="1933">
        <v>51.14</v>
      </c>
      <c r="L1794" s="1930" t="s">
        <v>138</v>
      </c>
    </row>
    <row r="1795" spans="1:12" ht="13.5" x14ac:dyDescent="0.25">
      <c r="A1795" s="1930" t="s">
        <v>4528</v>
      </c>
      <c r="B1795" s="1930" t="s">
        <v>4529</v>
      </c>
      <c r="C1795" s="1930" t="s">
        <v>4547</v>
      </c>
      <c r="D1795" s="1930" t="s">
        <v>4548</v>
      </c>
      <c r="E1795" s="1931" t="s">
        <v>33</v>
      </c>
      <c r="F1795" s="1930" t="s">
        <v>33</v>
      </c>
      <c r="G1795" s="1932">
        <v>100708</v>
      </c>
      <c r="H1795" s="1930" t="s">
        <v>8737</v>
      </c>
      <c r="I1795" s="1930" t="s">
        <v>168</v>
      </c>
      <c r="J1795" s="1930" t="s">
        <v>320</v>
      </c>
      <c r="K1795" s="1933">
        <v>65.63</v>
      </c>
      <c r="L1795" s="1930" t="s">
        <v>138</v>
      </c>
    </row>
    <row r="1796" spans="1:12" ht="13.5" x14ac:dyDescent="0.25">
      <c r="A1796" s="1930" t="s">
        <v>4528</v>
      </c>
      <c r="B1796" s="1930" t="s">
        <v>4529</v>
      </c>
      <c r="C1796" s="1930" t="s">
        <v>4547</v>
      </c>
      <c r="D1796" s="1930" t="s">
        <v>4548</v>
      </c>
      <c r="E1796" s="1931" t="s">
        <v>33</v>
      </c>
      <c r="F1796" s="1930" t="s">
        <v>33</v>
      </c>
      <c r="G1796" s="1932">
        <v>100709</v>
      </c>
      <c r="H1796" s="1930" t="s">
        <v>8738</v>
      </c>
      <c r="I1796" s="1930" t="s">
        <v>168</v>
      </c>
      <c r="J1796" s="1930" t="s">
        <v>320</v>
      </c>
      <c r="K1796" s="1933">
        <v>34.659999999999997</v>
      </c>
      <c r="L1796" s="1930" t="s">
        <v>138</v>
      </c>
    </row>
    <row r="1797" spans="1:12" ht="13.5" x14ac:dyDescent="0.25">
      <c r="A1797" s="1930" t="s">
        <v>4528</v>
      </c>
      <c r="B1797" s="1930" t="s">
        <v>4529</v>
      </c>
      <c r="C1797" s="1930" t="s">
        <v>4547</v>
      </c>
      <c r="D1797" s="1930" t="s">
        <v>4548</v>
      </c>
      <c r="E1797" s="1931" t="s">
        <v>33</v>
      </c>
      <c r="F1797" s="1930" t="s">
        <v>33</v>
      </c>
      <c r="G1797" s="1932">
        <v>100710</v>
      </c>
      <c r="H1797" s="1930" t="s">
        <v>8739</v>
      </c>
      <c r="I1797" s="1930" t="s">
        <v>168</v>
      </c>
      <c r="J1797" s="1930" t="s">
        <v>320</v>
      </c>
      <c r="K1797" s="1933">
        <v>83.54</v>
      </c>
      <c r="L1797" s="1930" t="s">
        <v>138</v>
      </c>
    </row>
    <row r="1798" spans="1:12" ht="13.5" x14ac:dyDescent="0.25">
      <c r="A1798" s="1930" t="s">
        <v>4528</v>
      </c>
      <c r="B1798" s="1930" t="s">
        <v>4529</v>
      </c>
      <c r="C1798" s="1930" t="s">
        <v>4549</v>
      </c>
      <c r="D1798" s="1930" t="s">
        <v>4550</v>
      </c>
      <c r="E1798" s="1931" t="s">
        <v>33</v>
      </c>
      <c r="F1798" s="1930" t="s">
        <v>33</v>
      </c>
      <c r="G1798" s="1932">
        <v>72116</v>
      </c>
      <c r="H1798" s="1930" t="s">
        <v>1374</v>
      </c>
      <c r="I1798" s="1930" t="s">
        <v>306</v>
      </c>
      <c r="J1798" s="1930" t="s">
        <v>137</v>
      </c>
      <c r="K1798" s="1933">
        <v>103.71</v>
      </c>
      <c r="L1798" s="1930" t="s">
        <v>138</v>
      </c>
    </row>
    <row r="1799" spans="1:12" ht="13.5" x14ac:dyDescent="0.25">
      <c r="A1799" s="1930" t="s">
        <v>4528</v>
      </c>
      <c r="B1799" s="1930" t="s">
        <v>4529</v>
      </c>
      <c r="C1799" s="1930" t="s">
        <v>4549</v>
      </c>
      <c r="D1799" s="1930" t="s">
        <v>4550</v>
      </c>
      <c r="E1799" s="1931" t="s">
        <v>33</v>
      </c>
      <c r="F1799" s="1930" t="s">
        <v>33</v>
      </c>
      <c r="G1799" s="1932">
        <v>72117</v>
      </c>
      <c r="H1799" s="1930" t="s">
        <v>1375</v>
      </c>
      <c r="I1799" s="1930" t="s">
        <v>306</v>
      </c>
      <c r="J1799" s="1930" t="s">
        <v>137</v>
      </c>
      <c r="K1799" s="1933">
        <v>132.72999999999999</v>
      </c>
      <c r="L1799" s="1930" t="s">
        <v>138</v>
      </c>
    </row>
    <row r="1800" spans="1:12" ht="13.5" x14ac:dyDescent="0.25">
      <c r="A1800" s="1930" t="s">
        <v>4528</v>
      </c>
      <c r="B1800" s="1930" t="s">
        <v>4529</v>
      </c>
      <c r="C1800" s="1930" t="s">
        <v>4549</v>
      </c>
      <c r="D1800" s="1930" t="s">
        <v>4550</v>
      </c>
      <c r="E1800" s="1931" t="s">
        <v>33</v>
      </c>
      <c r="F1800" s="1930" t="s">
        <v>33</v>
      </c>
      <c r="G1800" s="1932">
        <v>72118</v>
      </c>
      <c r="H1800" s="1930" t="s">
        <v>1376</v>
      </c>
      <c r="I1800" s="1930" t="s">
        <v>306</v>
      </c>
      <c r="J1800" s="1930" t="s">
        <v>137</v>
      </c>
      <c r="K1800" s="1933">
        <v>104.87</v>
      </c>
      <c r="L1800" s="1930" t="s">
        <v>138</v>
      </c>
    </row>
    <row r="1801" spans="1:12" ht="13.5" x14ac:dyDescent="0.25">
      <c r="A1801" s="1930" t="s">
        <v>4528</v>
      </c>
      <c r="B1801" s="1930" t="s">
        <v>4529</v>
      </c>
      <c r="C1801" s="1930" t="s">
        <v>4549</v>
      </c>
      <c r="D1801" s="1930" t="s">
        <v>4550</v>
      </c>
      <c r="E1801" s="1931" t="s">
        <v>33</v>
      </c>
      <c r="F1801" s="1930" t="s">
        <v>33</v>
      </c>
      <c r="G1801" s="1932">
        <v>72119</v>
      </c>
      <c r="H1801" s="1930" t="s">
        <v>1377</v>
      </c>
      <c r="I1801" s="1930" t="s">
        <v>306</v>
      </c>
      <c r="J1801" s="1930" t="s">
        <v>137</v>
      </c>
      <c r="K1801" s="1933">
        <v>128.62</v>
      </c>
      <c r="L1801" s="1930" t="s">
        <v>138</v>
      </c>
    </row>
    <row r="1802" spans="1:12" ht="13.5" x14ac:dyDescent="0.25">
      <c r="A1802" s="1930" t="s">
        <v>4528</v>
      </c>
      <c r="B1802" s="1930" t="s">
        <v>4529</v>
      </c>
      <c r="C1802" s="1930" t="s">
        <v>4549</v>
      </c>
      <c r="D1802" s="1930" t="s">
        <v>4550</v>
      </c>
      <c r="E1802" s="1931" t="s">
        <v>33</v>
      </c>
      <c r="F1802" s="1930" t="s">
        <v>33</v>
      </c>
      <c r="G1802" s="1932">
        <v>72120</v>
      </c>
      <c r="H1802" s="1930" t="s">
        <v>1378</v>
      </c>
      <c r="I1802" s="1930" t="s">
        <v>306</v>
      </c>
      <c r="J1802" s="1930" t="s">
        <v>137</v>
      </c>
      <c r="K1802" s="1933">
        <v>158.9</v>
      </c>
      <c r="L1802" s="1930" t="s">
        <v>138</v>
      </c>
    </row>
    <row r="1803" spans="1:12" ht="13.5" x14ac:dyDescent="0.25">
      <c r="A1803" s="1930" t="s">
        <v>4528</v>
      </c>
      <c r="B1803" s="1930" t="s">
        <v>4529</v>
      </c>
      <c r="C1803" s="1930" t="s">
        <v>4549</v>
      </c>
      <c r="D1803" s="1930" t="s">
        <v>4550</v>
      </c>
      <c r="E1803" s="1931" t="s">
        <v>33</v>
      </c>
      <c r="F1803" s="1930" t="s">
        <v>33</v>
      </c>
      <c r="G1803" s="1932">
        <v>72122</v>
      </c>
      <c r="H1803" s="1930" t="s">
        <v>1379</v>
      </c>
      <c r="I1803" s="1930" t="s">
        <v>306</v>
      </c>
      <c r="J1803" s="1930" t="s">
        <v>137</v>
      </c>
      <c r="K1803" s="1933">
        <v>114.28</v>
      </c>
      <c r="L1803" s="1930" t="s">
        <v>138</v>
      </c>
    </row>
    <row r="1804" spans="1:12" ht="13.5" x14ac:dyDescent="0.25">
      <c r="A1804" s="1930" t="s">
        <v>4528</v>
      </c>
      <c r="B1804" s="1930" t="s">
        <v>4529</v>
      </c>
      <c r="C1804" s="1930" t="s">
        <v>4549</v>
      </c>
      <c r="D1804" s="1930" t="s">
        <v>4550</v>
      </c>
      <c r="E1804" s="1931" t="s">
        <v>33</v>
      </c>
      <c r="F1804" s="1930" t="s">
        <v>33</v>
      </c>
      <c r="G1804" s="1932">
        <v>72123</v>
      </c>
      <c r="H1804" s="1930" t="s">
        <v>1380</v>
      </c>
      <c r="I1804" s="1930" t="s">
        <v>306</v>
      </c>
      <c r="J1804" s="1930" t="s">
        <v>137</v>
      </c>
      <c r="K1804" s="1933">
        <v>300.95</v>
      </c>
      <c r="L1804" s="1930" t="s">
        <v>138</v>
      </c>
    </row>
    <row r="1805" spans="1:12" ht="13.5" x14ac:dyDescent="0.25">
      <c r="A1805" s="1930" t="s">
        <v>4528</v>
      </c>
      <c r="B1805" s="1930" t="s">
        <v>4529</v>
      </c>
      <c r="C1805" s="1930" t="s">
        <v>4549</v>
      </c>
      <c r="D1805" s="1930" t="s">
        <v>4550</v>
      </c>
      <c r="E1805" s="1931">
        <v>73838</v>
      </c>
      <c r="F1805" s="1930" t="s">
        <v>4551</v>
      </c>
      <c r="G1805" s="1932" t="s">
        <v>1381</v>
      </c>
      <c r="H1805" s="1930" t="s">
        <v>1382</v>
      </c>
      <c r="I1805" s="1930" t="s">
        <v>168</v>
      </c>
      <c r="J1805" s="1930" t="s">
        <v>320</v>
      </c>
      <c r="K1805" s="1933">
        <v>1947.21</v>
      </c>
      <c r="L1805" s="1930" t="s">
        <v>138</v>
      </c>
    </row>
    <row r="1806" spans="1:12" ht="13.5" x14ac:dyDescent="0.25">
      <c r="A1806" s="1930" t="s">
        <v>4528</v>
      </c>
      <c r="B1806" s="1930" t="s">
        <v>4529</v>
      </c>
      <c r="C1806" s="1930" t="s">
        <v>4549</v>
      </c>
      <c r="D1806" s="1930" t="s">
        <v>4550</v>
      </c>
      <c r="E1806" s="1931">
        <v>74125</v>
      </c>
      <c r="F1806" s="1930" t="s">
        <v>4552</v>
      </c>
      <c r="G1806" s="1932" t="s">
        <v>1383</v>
      </c>
      <c r="H1806" s="1930" t="s">
        <v>1384</v>
      </c>
      <c r="I1806" s="1930" t="s">
        <v>306</v>
      </c>
      <c r="J1806" s="1930" t="s">
        <v>137</v>
      </c>
      <c r="K1806" s="1933">
        <v>404.26</v>
      </c>
      <c r="L1806" s="1930" t="s">
        <v>138</v>
      </c>
    </row>
    <row r="1807" spans="1:12" ht="13.5" x14ac:dyDescent="0.25">
      <c r="A1807" s="1930" t="s">
        <v>4528</v>
      </c>
      <c r="B1807" s="1930" t="s">
        <v>4529</v>
      </c>
      <c r="C1807" s="1930" t="s">
        <v>4549</v>
      </c>
      <c r="D1807" s="1930" t="s">
        <v>4550</v>
      </c>
      <c r="E1807" s="1931">
        <v>74125</v>
      </c>
      <c r="F1807" s="1930" t="s">
        <v>4552</v>
      </c>
      <c r="G1807" s="1932" t="s">
        <v>1385</v>
      </c>
      <c r="H1807" s="1930" t="s">
        <v>1386</v>
      </c>
      <c r="I1807" s="1930" t="s">
        <v>306</v>
      </c>
      <c r="J1807" s="1930" t="s">
        <v>137</v>
      </c>
      <c r="K1807" s="1933">
        <v>435.26</v>
      </c>
      <c r="L1807" s="1930" t="s">
        <v>138</v>
      </c>
    </row>
    <row r="1808" spans="1:12" ht="13.5" x14ac:dyDescent="0.25">
      <c r="A1808" s="1930" t="s">
        <v>4528</v>
      </c>
      <c r="B1808" s="1930" t="s">
        <v>4529</v>
      </c>
      <c r="C1808" s="1930" t="s">
        <v>4549</v>
      </c>
      <c r="D1808" s="1930" t="s">
        <v>4550</v>
      </c>
      <c r="E1808" s="1931" t="s">
        <v>33</v>
      </c>
      <c r="F1808" s="1930" t="s">
        <v>33</v>
      </c>
      <c r="G1808" s="1932">
        <v>84957</v>
      </c>
      <c r="H1808" s="1930" t="s">
        <v>1387</v>
      </c>
      <c r="I1808" s="1930" t="s">
        <v>306</v>
      </c>
      <c r="J1808" s="1930" t="s">
        <v>137</v>
      </c>
      <c r="K1808" s="1933">
        <v>159.80000000000001</v>
      </c>
      <c r="L1808" s="1930" t="s">
        <v>138</v>
      </c>
    </row>
    <row r="1809" spans="1:12" ht="13.5" x14ac:dyDescent="0.25">
      <c r="A1809" s="1930" t="s">
        <v>4528</v>
      </c>
      <c r="B1809" s="1930" t="s">
        <v>4529</v>
      </c>
      <c r="C1809" s="1930" t="s">
        <v>4549</v>
      </c>
      <c r="D1809" s="1930" t="s">
        <v>4550</v>
      </c>
      <c r="E1809" s="1931" t="s">
        <v>33</v>
      </c>
      <c r="F1809" s="1930" t="s">
        <v>33</v>
      </c>
      <c r="G1809" s="1932">
        <v>84959</v>
      </c>
      <c r="H1809" s="1930" t="s">
        <v>1388</v>
      </c>
      <c r="I1809" s="1930" t="s">
        <v>306</v>
      </c>
      <c r="J1809" s="1930" t="s">
        <v>137</v>
      </c>
      <c r="K1809" s="1933">
        <v>186.47</v>
      </c>
      <c r="L1809" s="1930" t="s">
        <v>138</v>
      </c>
    </row>
    <row r="1810" spans="1:12" ht="13.5" x14ac:dyDescent="0.25">
      <c r="A1810" s="1930" t="s">
        <v>4528</v>
      </c>
      <c r="B1810" s="1930" t="s">
        <v>4529</v>
      </c>
      <c r="C1810" s="1930" t="s">
        <v>4549</v>
      </c>
      <c r="D1810" s="1930" t="s">
        <v>4550</v>
      </c>
      <c r="E1810" s="1931" t="s">
        <v>33</v>
      </c>
      <c r="F1810" s="1930" t="s">
        <v>33</v>
      </c>
      <c r="G1810" s="1932">
        <v>85001</v>
      </c>
      <c r="H1810" s="1930" t="s">
        <v>1389</v>
      </c>
      <c r="I1810" s="1930" t="s">
        <v>306</v>
      </c>
      <c r="J1810" s="1930" t="s">
        <v>137</v>
      </c>
      <c r="K1810" s="1933">
        <v>177.58</v>
      </c>
      <c r="L1810" s="1930" t="s">
        <v>138</v>
      </c>
    </row>
    <row r="1811" spans="1:12" ht="13.5" x14ac:dyDescent="0.25">
      <c r="A1811" s="1930" t="s">
        <v>4528</v>
      </c>
      <c r="B1811" s="1930" t="s">
        <v>4529</v>
      </c>
      <c r="C1811" s="1930" t="s">
        <v>4549</v>
      </c>
      <c r="D1811" s="1930" t="s">
        <v>4550</v>
      </c>
      <c r="E1811" s="1931" t="s">
        <v>33</v>
      </c>
      <c r="F1811" s="1930" t="s">
        <v>33</v>
      </c>
      <c r="G1811" s="1932">
        <v>85002</v>
      </c>
      <c r="H1811" s="1930" t="s">
        <v>1390</v>
      </c>
      <c r="I1811" s="1930" t="s">
        <v>306</v>
      </c>
      <c r="J1811" s="1930" t="s">
        <v>137</v>
      </c>
      <c r="K1811" s="1933">
        <v>248.69</v>
      </c>
      <c r="L1811" s="1930" t="s">
        <v>138</v>
      </c>
    </row>
    <row r="1812" spans="1:12" ht="13.5" x14ac:dyDescent="0.25">
      <c r="A1812" s="1930" t="s">
        <v>4528</v>
      </c>
      <c r="B1812" s="1930" t="s">
        <v>4529</v>
      </c>
      <c r="C1812" s="1930" t="s">
        <v>4549</v>
      </c>
      <c r="D1812" s="1930" t="s">
        <v>4550</v>
      </c>
      <c r="E1812" s="1931" t="s">
        <v>33</v>
      </c>
      <c r="F1812" s="1930" t="s">
        <v>33</v>
      </c>
      <c r="G1812" s="1932">
        <v>85004</v>
      </c>
      <c r="H1812" s="1930" t="s">
        <v>1391</v>
      </c>
      <c r="I1812" s="1930" t="s">
        <v>306</v>
      </c>
      <c r="J1812" s="1930" t="s">
        <v>137</v>
      </c>
      <c r="K1812" s="1933">
        <v>124.24</v>
      </c>
      <c r="L1812" s="1930" t="s">
        <v>138</v>
      </c>
    </row>
    <row r="1813" spans="1:12" ht="13.5" x14ac:dyDescent="0.25">
      <c r="A1813" s="1930" t="s">
        <v>4528</v>
      </c>
      <c r="B1813" s="1930" t="s">
        <v>4529</v>
      </c>
      <c r="C1813" s="1930" t="s">
        <v>4549</v>
      </c>
      <c r="D1813" s="1930" t="s">
        <v>4550</v>
      </c>
      <c r="E1813" s="1931" t="s">
        <v>33</v>
      </c>
      <c r="F1813" s="1930" t="s">
        <v>33</v>
      </c>
      <c r="G1813" s="1932">
        <v>85005</v>
      </c>
      <c r="H1813" s="1930" t="s">
        <v>1392</v>
      </c>
      <c r="I1813" s="1930" t="s">
        <v>306</v>
      </c>
      <c r="J1813" s="1930" t="s">
        <v>137</v>
      </c>
      <c r="K1813" s="1933">
        <v>364.14</v>
      </c>
      <c r="L1813" s="1930" t="s">
        <v>138</v>
      </c>
    </row>
    <row r="1814" spans="1:12" ht="13.5" x14ac:dyDescent="0.25">
      <c r="A1814" s="1930" t="s">
        <v>4528</v>
      </c>
      <c r="B1814" s="1930" t="s">
        <v>4529</v>
      </c>
      <c r="C1814" s="1930" t="s">
        <v>4553</v>
      </c>
      <c r="D1814" s="1930" t="s">
        <v>4554</v>
      </c>
      <c r="E1814" s="1931" t="s">
        <v>33</v>
      </c>
      <c r="F1814" s="1930" t="s">
        <v>33</v>
      </c>
      <c r="G1814" s="1932">
        <v>94569</v>
      </c>
      <c r="H1814" s="1930" t="s">
        <v>8740</v>
      </c>
      <c r="I1814" s="1930" t="s">
        <v>306</v>
      </c>
      <c r="J1814" s="1930" t="s">
        <v>137</v>
      </c>
      <c r="K1814" s="1933">
        <v>360.52</v>
      </c>
      <c r="L1814" s="1930" t="s">
        <v>138</v>
      </c>
    </row>
    <row r="1815" spans="1:12" ht="13.5" x14ac:dyDescent="0.25">
      <c r="A1815" s="1930" t="s">
        <v>4528</v>
      </c>
      <c r="B1815" s="1930" t="s">
        <v>4529</v>
      </c>
      <c r="C1815" s="1930" t="s">
        <v>4553</v>
      </c>
      <c r="D1815" s="1930" t="s">
        <v>4554</v>
      </c>
      <c r="E1815" s="1931" t="s">
        <v>33</v>
      </c>
      <c r="F1815" s="1930" t="s">
        <v>33</v>
      </c>
      <c r="G1815" s="1932">
        <v>94570</v>
      </c>
      <c r="H1815" s="1930" t="s">
        <v>8741</v>
      </c>
      <c r="I1815" s="1930" t="s">
        <v>306</v>
      </c>
      <c r="J1815" s="1930" t="s">
        <v>137</v>
      </c>
      <c r="K1815" s="1933">
        <v>221.71</v>
      </c>
      <c r="L1815" s="1930" t="s">
        <v>138</v>
      </c>
    </row>
    <row r="1816" spans="1:12" ht="13.5" x14ac:dyDescent="0.25">
      <c r="A1816" s="1930" t="s">
        <v>4528</v>
      </c>
      <c r="B1816" s="1930" t="s">
        <v>4529</v>
      </c>
      <c r="C1816" s="1930" t="s">
        <v>4553</v>
      </c>
      <c r="D1816" s="1930" t="s">
        <v>4554</v>
      </c>
      <c r="E1816" s="1931" t="s">
        <v>33</v>
      </c>
      <c r="F1816" s="1930" t="s">
        <v>33</v>
      </c>
      <c r="G1816" s="1932">
        <v>94572</v>
      </c>
      <c r="H1816" s="1930" t="s">
        <v>8742</v>
      </c>
      <c r="I1816" s="1930" t="s">
        <v>306</v>
      </c>
      <c r="J1816" s="1930" t="s">
        <v>137</v>
      </c>
      <c r="K1816" s="1933">
        <v>331.02</v>
      </c>
      <c r="L1816" s="1930" t="s">
        <v>138</v>
      </c>
    </row>
    <row r="1817" spans="1:12" ht="13.5" x14ac:dyDescent="0.25">
      <c r="A1817" s="1930" t="s">
        <v>4528</v>
      </c>
      <c r="B1817" s="1930" t="s">
        <v>4529</v>
      </c>
      <c r="C1817" s="1930" t="s">
        <v>4553</v>
      </c>
      <c r="D1817" s="1930" t="s">
        <v>4554</v>
      </c>
      <c r="E1817" s="1931" t="s">
        <v>33</v>
      </c>
      <c r="F1817" s="1930" t="s">
        <v>33</v>
      </c>
      <c r="G1817" s="1932">
        <v>94573</v>
      </c>
      <c r="H1817" s="1930" t="s">
        <v>8743</v>
      </c>
      <c r="I1817" s="1930" t="s">
        <v>306</v>
      </c>
      <c r="J1817" s="1930" t="s">
        <v>137</v>
      </c>
      <c r="K1817" s="1933">
        <v>258.18</v>
      </c>
      <c r="L1817" s="1930" t="s">
        <v>138</v>
      </c>
    </row>
    <row r="1818" spans="1:12" ht="13.5" x14ac:dyDescent="0.25">
      <c r="A1818" s="1930" t="s">
        <v>4528</v>
      </c>
      <c r="B1818" s="1930" t="s">
        <v>4529</v>
      </c>
      <c r="C1818" s="1930" t="s">
        <v>4553</v>
      </c>
      <c r="D1818" s="1930" t="s">
        <v>4554</v>
      </c>
      <c r="E1818" s="1931" t="s">
        <v>33</v>
      </c>
      <c r="F1818" s="1930" t="s">
        <v>33</v>
      </c>
      <c r="G1818" s="1932">
        <v>94580</v>
      </c>
      <c r="H1818" s="1930" t="s">
        <v>8744</v>
      </c>
      <c r="I1818" s="1930" t="s">
        <v>306</v>
      </c>
      <c r="J1818" s="1930" t="s">
        <v>137</v>
      </c>
      <c r="K1818" s="1933">
        <v>376.55</v>
      </c>
      <c r="L1818" s="1930" t="s">
        <v>138</v>
      </c>
    </row>
    <row r="1819" spans="1:12" ht="13.5" x14ac:dyDescent="0.25">
      <c r="A1819" s="1930" t="s">
        <v>4528</v>
      </c>
      <c r="B1819" s="1930" t="s">
        <v>4529</v>
      </c>
      <c r="C1819" s="1930" t="s">
        <v>4553</v>
      </c>
      <c r="D1819" s="1930" t="s">
        <v>4554</v>
      </c>
      <c r="E1819" s="1931" t="s">
        <v>33</v>
      </c>
      <c r="F1819" s="1930" t="s">
        <v>33</v>
      </c>
      <c r="G1819" s="1932">
        <v>100674</v>
      </c>
      <c r="H1819" s="1930" t="s">
        <v>8745</v>
      </c>
      <c r="I1819" s="1930" t="s">
        <v>306</v>
      </c>
      <c r="J1819" s="1930" t="s">
        <v>137</v>
      </c>
      <c r="K1819" s="1933">
        <v>244.5</v>
      </c>
      <c r="L1819" s="1930" t="s">
        <v>138</v>
      </c>
    </row>
    <row r="1820" spans="1:12" ht="13.5" x14ac:dyDescent="0.25">
      <c r="A1820" s="1930" t="s">
        <v>4555</v>
      </c>
      <c r="B1820" s="1930" t="s">
        <v>4556</v>
      </c>
      <c r="C1820" s="1930" t="s">
        <v>4557</v>
      </c>
      <c r="D1820" s="1930" t="s">
        <v>4558</v>
      </c>
      <c r="E1820" s="1931" t="s">
        <v>33</v>
      </c>
      <c r="F1820" s="1930" t="s">
        <v>33</v>
      </c>
      <c r="G1820" s="1932">
        <v>97751</v>
      </c>
      <c r="H1820" s="1930" t="s">
        <v>5091</v>
      </c>
      <c r="I1820" s="1930" t="s">
        <v>1208</v>
      </c>
      <c r="J1820" s="1930" t="s">
        <v>137</v>
      </c>
      <c r="K1820" s="1933">
        <v>599.64</v>
      </c>
      <c r="L1820" s="1930" t="s">
        <v>138</v>
      </c>
    </row>
    <row r="1821" spans="1:12" ht="13.5" x14ac:dyDescent="0.25">
      <c r="A1821" s="1930" t="s">
        <v>4555</v>
      </c>
      <c r="B1821" s="1930" t="s">
        <v>4556</v>
      </c>
      <c r="C1821" s="1930" t="s">
        <v>4557</v>
      </c>
      <c r="D1821" s="1930" t="s">
        <v>4558</v>
      </c>
      <c r="E1821" s="1931" t="s">
        <v>33</v>
      </c>
      <c r="F1821" s="1930" t="s">
        <v>33</v>
      </c>
      <c r="G1821" s="1932">
        <v>97752</v>
      </c>
      <c r="H1821" s="1930" t="s">
        <v>5092</v>
      </c>
      <c r="I1821" s="1930" t="s">
        <v>1208</v>
      </c>
      <c r="J1821" s="1930" t="s">
        <v>137</v>
      </c>
      <c r="K1821" s="1933">
        <v>570.70000000000005</v>
      </c>
      <c r="L1821" s="1930" t="s">
        <v>138</v>
      </c>
    </row>
    <row r="1822" spans="1:12" ht="13.5" x14ac:dyDescent="0.25">
      <c r="A1822" s="1930" t="s">
        <v>4555</v>
      </c>
      <c r="B1822" s="1930" t="s">
        <v>4556</v>
      </c>
      <c r="C1822" s="1930" t="s">
        <v>4557</v>
      </c>
      <c r="D1822" s="1930" t="s">
        <v>4558</v>
      </c>
      <c r="E1822" s="1931" t="s">
        <v>33</v>
      </c>
      <c r="F1822" s="1930" t="s">
        <v>33</v>
      </c>
      <c r="G1822" s="1932">
        <v>97753</v>
      </c>
      <c r="H1822" s="1930" t="s">
        <v>5093</v>
      </c>
      <c r="I1822" s="1930" t="s">
        <v>1208</v>
      </c>
      <c r="J1822" s="1930" t="s">
        <v>137</v>
      </c>
      <c r="K1822" s="1933">
        <v>530.30999999999995</v>
      </c>
      <c r="L1822" s="1930" t="s">
        <v>138</v>
      </c>
    </row>
    <row r="1823" spans="1:12" ht="13.5" x14ac:dyDescent="0.25">
      <c r="A1823" s="1930" t="s">
        <v>4555</v>
      </c>
      <c r="B1823" s="1930" t="s">
        <v>4556</v>
      </c>
      <c r="C1823" s="1930" t="s">
        <v>4557</v>
      </c>
      <c r="D1823" s="1930" t="s">
        <v>4558</v>
      </c>
      <c r="E1823" s="1931" t="s">
        <v>33</v>
      </c>
      <c r="F1823" s="1930" t="s">
        <v>33</v>
      </c>
      <c r="G1823" s="1932">
        <v>97754</v>
      </c>
      <c r="H1823" s="1930" t="s">
        <v>5094</v>
      </c>
      <c r="I1823" s="1930" t="s">
        <v>1208</v>
      </c>
      <c r="J1823" s="1930" t="s">
        <v>137</v>
      </c>
      <c r="K1823" s="1933">
        <v>503.8</v>
      </c>
      <c r="L1823" s="1930" t="s">
        <v>138</v>
      </c>
    </row>
    <row r="1824" spans="1:12" ht="13.5" x14ac:dyDescent="0.25">
      <c r="A1824" s="1930" t="s">
        <v>4555</v>
      </c>
      <c r="B1824" s="1930" t="s">
        <v>4556</v>
      </c>
      <c r="C1824" s="1930" t="s">
        <v>4557</v>
      </c>
      <c r="D1824" s="1930" t="s">
        <v>4558</v>
      </c>
      <c r="E1824" s="1931" t="s">
        <v>33</v>
      </c>
      <c r="F1824" s="1930" t="s">
        <v>33</v>
      </c>
      <c r="G1824" s="1932">
        <v>97755</v>
      </c>
      <c r="H1824" s="1930" t="s">
        <v>5095</v>
      </c>
      <c r="I1824" s="1930" t="s">
        <v>1208</v>
      </c>
      <c r="J1824" s="1930" t="s">
        <v>137</v>
      </c>
      <c r="K1824" s="1933">
        <v>580.82000000000005</v>
      </c>
      <c r="L1824" s="1930" t="s">
        <v>138</v>
      </c>
    </row>
    <row r="1825" spans="1:12" ht="13.5" x14ac:dyDescent="0.25">
      <c r="A1825" s="1930" t="s">
        <v>4555</v>
      </c>
      <c r="B1825" s="1930" t="s">
        <v>4556</v>
      </c>
      <c r="C1825" s="1930" t="s">
        <v>4557</v>
      </c>
      <c r="D1825" s="1930" t="s">
        <v>4558</v>
      </c>
      <c r="E1825" s="1931" t="s">
        <v>33</v>
      </c>
      <c r="F1825" s="1930" t="s">
        <v>33</v>
      </c>
      <c r="G1825" s="1932">
        <v>97756</v>
      </c>
      <c r="H1825" s="1930" t="s">
        <v>5096</v>
      </c>
      <c r="I1825" s="1930" t="s">
        <v>1208</v>
      </c>
      <c r="J1825" s="1930" t="s">
        <v>137</v>
      </c>
      <c r="K1825" s="1933">
        <v>554.94000000000005</v>
      </c>
      <c r="L1825" s="1930" t="s">
        <v>138</v>
      </c>
    </row>
    <row r="1826" spans="1:12" ht="13.5" x14ac:dyDescent="0.25">
      <c r="A1826" s="1930" t="s">
        <v>4555</v>
      </c>
      <c r="B1826" s="1930" t="s">
        <v>4556</v>
      </c>
      <c r="C1826" s="1930" t="s">
        <v>4557</v>
      </c>
      <c r="D1826" s="1930" t="s">
        <v>4558</v>
      </c>
      <c r="E1826" s="1931" t="s">
        <v>33</v>
      </c>
      <c r="F1826" s="1930" t="s">
        <v>33</v>
      </c>
      <c r="G1826" s="1932">
        <v>97757</v>
      </c>
      <c r="H1826" s="1930" t="s">
        <v>5097</v>
      </c>
      <c r="I1826" s="1930" t="s">
        <v>1208</v>
      </c>
      <c r="J1826" s="1930" t="s">
        <v>137</v>
      </c>
      <c r="K1826" s="1933">
        <v>511.71</v>
      </c>
      <c r="L1826" s="1930" t="s">
        <v>138</v>
      </c>
    </row>
    <row r="1827" spans="1:12" ht="13.5" x14ac:dyDescent="0.25">
      <c r="A1827" s="1930" t="s">
        <v>4555</v>
      </c>
      <c r="B1827" s="1930" t="s">
        <v>4556</v>
      </c>
      <c r="C1827" s="1930" t="s">
        <v>4557</v>
      </c>
      <c r="D1827" s="1930" t="s">
        <v>4558</v>
      </c>
      <c r="E1827" s="1931" t="s">
        <v>33</v>
      </c>
      <c r="F1827" s="1930" t="s">
        <v>33</v>
      </c>
      <c r="G1827" s="1932">
        <v>97758</v>
      </c>
      <c r="H1827" s="1930" t="s">
        <v>5098</v>
      </c>
      <c r="I1827" s="1930" t="s">
        <v>1208</v>
      </c>
      <c r="J1827" s="1930" t="s">
        <v>137</v>
      </c>
      <c r="K1827" s="1933">
        <v>479.35</v>
      </c>
      <c r="L1827" s="1930" t="s">
        <v>138</v>
      </c>
    </row>
    <row r="1828" spans="1:12" ht="13.5" x14ac:dyDescent="0.25">
      <c r="A1828" s="1930" t="s">
        <v>4555</v>
      </c>
      <c r="B1828" s="1930" t="s">
        <v>4556</v>
      </c>
      <c r="C1828" s="1930" t="s">
        <v>4557</v>
      </c>
      <c r="D1828" s="1930" t="s">
        <v>4558</v>
      </c>
      <c r="E1828" s="1931" t="s">
        <v>33</v>
      </c>
      <c r="F1828" s="1930" t="s">
        <v>33</v>
      </c>
      <c r="G1828" s="1932">
        <v>97759</v>
      </c>
      <c r="H1828" s="1930" t="s">
        <v>5099</v>
      </c>
      <c r="I1828" s="1930" t="s">
        <v>1208</v>
      </c>
      <c r="J1828" s="1930" t="s">
        <v>137</v>
      </c>
      <c r="K1828" s="1933">
        <v>578.67999999999995</v>
      </c>
      <c r="L1828" s="1930" t="s">
        <v>138</v>
      </c>
    </row>
    <row r="1829" spans="1:12" ht="13.5" x14ac:dyDescent="0.25">
      <c r="A1829" s="1930" t="s">
        <v>4555</v>
      </c>
      <c r="B1829" s="1930" t="s">
        <v>4556</v>
      </c>
      <c r="C1829" s="1930" t="s">
        <v>4557</v>
      </c>
      <c r="D1829" s="1930" t="s">
        <v>4558</v>
      </c>
      <c r="E1829" s="1931" t="s">
        <v>33</v>
      </c>
      <c r="F1829" s="1930" t="s">
        <v>33</v>
      </c>
      <c r="G1829" s="1932">
        <v>97760</v>
      </c>
      <c r="H1829" s="1930" t="s">
        <v>5100</v>
      </c>
      <c r="I1829" s="1930" t="s">
        <v>1208</v>
      </c>
      <c r="J1829" s="1930" t="s">
        <v>137</v>
      </c>
      <c r="K1829" s="1933">
        <v>545.25</v>
      </c>
      <c r="L1829" s="1930" t="s">
        <v>138</v>
      </c>
    </row>
    <row r="1830" spans="1:12" ht="13.5" x14ac:dyDescent="0.25">
      <c r="A1830" s="1930" t="s">
        <v>4555</v>
      </c>
      <c r="B1830" s="1930" t="s">
        <v>4556</v>
      </c>
      <c r="C1830" s="1930" t="s">
        <v>4557</v>
      </c>
      <c r="D1830" s="1930" t="s">
        <v>4558</v>
      </c>
      <c r="E1830" s="1931" t="s">
        <v>33</v>
      </c>
      <c r="F1830" s="1930" t="s">
        <v>33</v>
      </c>
      <c r="G1830" s="1932">
        <v>97761</v>
      </c>
      <c r="H1830" s="1930" t="s">
        <v>5101</v>
      </c>
      <c r="I1830" s="1930" t="s">
        <v>1208</v>
      </c>
      <c r="J1830" s="1930" t="s">
        <v>137</v>
      </c>
      <c r="K1830" s="1933">
        <v>497.43</v>
      </c>
      <c r="L1830" s="1930" t="s">
        <v>138</v>
      </c>
    </row>
    <row r="1831" spans="1:12" ht="13.5" x14ac:dyDescent="0.25">
      <c r="A1831" s="1930" t="s">
        <v>4555</v>
      </c>
      <c r="B1831" s="1930" t="s">
        <v>4556</v>
      </c>
      <c r="C1831" s="1930" t="s">
        <v>4557</v>
      </c>
      <c r="D1831" s="1930" t="s">
        <v>4558</v>
      </c>
      <c r="E1831" s="1931" t="s">
        <v>33</v>
      </c>
      <c r="F1831" s="1930" t="s">
        <v>33</v>
      </c>
      <c r="G1831" s="1932">
        <v>97762</v>
      </c>
      <c r="H1831" s="1930" t="s">
        <v>5102</v>
      </c>
      <c r="I1831" s="1930" t="s">
        <v>1208</v>
      </c>
      <c r="J1831" s="1930" t="s">
        <v>137</v>
      </c>
      <c r="K1831" s="1933">
        <v>461.3</v>
      </c>
      <c r="L1831" s="1930" t="s">
        <v>138</v>
      </c>
    </row>
    <row r="1832" spans="1:12" ht="13.5" x14ac:dyDescent="0.25">
      <c r="A1832" s="1930" t="s">
        <v>4555</v>
      </c>
      <c r="B1832" s="1930" t="s">
        <v>4556</v>
      </c>
      <c r="C1832" s="1930" t="s">
        <v>4557</v>
      </c>
      <c r="D1832" s="1930" t="s">
        <v>4558</v>
      </c>
      <c r="E1832" s="1931" t="s">
        <v>33</v>
      </c>
      <c r="F1832" s="1930" t="s">
        <v>33</v>
      </c>
      <c r="G1832" s="1932">
        <v>97763</v>
      </c>
      <c r="H1832" s="1930" t="s">
        <v>5103</v>
      </c>
      <c r="I1832" s="1930" t="s">
        <v>1208</v>
      </c>
      <c r="J1832" s="1930" t="s">
        <v>137</v>
      </c>
      <c r="K1832" s="1933">
        <v>519.71</v>
      </c>
      <c r="L1832" s="1930" t="s">
        <v>138</v>
      </c>
    </row>
    <row r="1833" spans="1:12" ht="13.5" x14ac:dyDescent="0.25">
      <c r="A1833" s="1930" t="s">
        <v>4555</v>
      </c>
      <c r="B1833" s="1930" t="s">
        <v>4556</v>
      </c>
      <c r="C1833" s="1930" t="s">
        <v>4557</v>
      </c>
      <c r="D1833" s="1930" t="s">
        <v>4558</v>
      </c>
      <c r="E1833" s="1931" t="s">
        <v>33</v>
      </c>
      <c r="F1833" s="1930" t="s">
        <v>33</v>
      </c>
      <c r="G1833" s="1932">
        <v>97764</v>
      </c>
      <c r="H1833" s="1930" t="s">
        <v>5104</v>
      </c>
      <c r="I1833" s="1930" t="s">
        <v>1208</v>
      </c>
      <c r="J1833" s="1930" t="s">
        <v>137</v>
      </c>
      <c r="K1833" s="1933">
        <v>500.21</v>
      </c>
      <c r="L1833" s="1930" t="s">
        <v>138</v>
      </c>
    </row>
    <row r="1834" spans="1:12" ht="13.5" x14ac:dyDescent="0.25">
      <c r="A1834" s="1930" t="s">
        <v>4555</v>
      </c>
      <c r="B1834" s="1930" t="s">
        <v>4556</v>
      </c>
      <c r="C1834" s="1930" t="s">
        <v>4557</v>
      </c>
      <c r="D1834" s="1930" t="s">
        <v>4558</v>
      </c>
      <c r="E1834" s="1931" t="s">
        <v>33</v>
      </c>
      <c r="F1834" s="1930" t="s">
        <v>33</v>
      </c>
      <c r="G1834" s="1932">
        <v>97765</v>
      </c>
      <c r="H1834" s="1930" t="s">
        <v>5105</v>
      </c>
      <c r="I1834" s="1930" t="s">
        <v>1208</v>
      </c>
      <c r="J1834" s="1930" t="s">
        <v>137</v>
      </c>
      <c r="K1834" s="1933">
        <v>473.83</v>
      </c>
      <c r="L1834" s="1930" t="s">
        <v>138</v>
      </c>
    </row>
    <row r="1835" spans="1:12" ht="13.5" x14ac:dyDescent="0.25">
      <c r="A1835" s="1930" t="s">
        <v>4555</v>
      </c>
      <c r="B1835" s="1930" t="s">
        <v>4556</v>
      </c>
      <c r="C1835" s="1930" t="s">
        <v>4557</v>
      </c>
      <c r="D1835" s="1930" t="s">
        <v>4558</v>
      </c>
      <c r="E1835" s="1931" t="s">
        <v>33</v>
      </c>
      <c r="F1835" s="1930" t="s">
        <v>33</v>
      </c>
      <c r="G1835" s="1932">
        <v>97766</v>
      </c>
      <c r="H1835" s="1930" t="s">
        <v>5106</v>
      </c>
      <c r="I1835" s="1930" t="s">
        <v>1208</v>
      </c>
      <c r="J1835" s="1930" t="s">
        <v>137</v>
      </c>
      <c r="K1835" s="1933">
        <v>457.22</v>
      </c>
      <c r="L1835" s="1930" t="s">
        <v>138</v>
      </c>
    </row>
    <row r="1836" spans="1:12" ht="13.5" x14ac:dyDescent="0.25">
      <c r="A1836" s="1930" t="s">
        <v>4555</v>
      </c>
      <c r="B1836" s="1930" t="s">
        <v>4556</v>
      </c>
      <c r="C1836" s="1930" t="s">
        <v>4557</v>
      </c>
      <c r="D1836" s="1930" t="s">
        <v>4558</v>
      </c>
      <c r="E1836" s="1931" t="s">
        <v>33</v>
      </c>
      <c r="F1836" s="1930" t="s">
        <v>33</v>
      </c>
      <c r="G1836" s="1932">
        <v>97767</v>
      </c>
      <c r="H1836" s="1930" t="s">
        <v>5107</v>
      </c>
      <c r="I1836" s="1930" t="s">
        <v>1208</v>
      </c>
      <c r="J1836" s="1930" t="s">
        <v>137</v>
      </c>
      <c r="K1836" s="1933">
        <v>474.47</v>
      </c>
      <c r="L1836" s="1930" t="s">
        <v>138</v>
      </c>
    </row>
    <row r="1837" spans="1:12" ht="13.5" x14ac:dyDescent="0.25">
      <c r="A1837" s="1930" t="s">
        <v>4555</v>
      </c>
      <c r="B1837" s="1930" t="s">
        <v>4556</v>
      </c>
      <c r="C1837" s="1930" t="s">
        <v>4557</v>
      </c>
      <c r="D1837" s="1930" t="s">
        <v>4558</v>
      </c>
      <c r="E1837" s="1931" t="s">
        <v>33</v>
      </c>
      <c r="F1837" s="1930" t="s">
        <v>33</v>
      </c>
      <c r="G1837" s="1932">
        <v>97768</v>
      </c>
      <c r="H1837" s="1930" t="s">
        <v>5108</v>
      </c>
      <c r="I1837" s="1930" t="s">
        <v>1208</v>
      </c>
      <c r="J1837" s="1930" t="s">
        <v>137</v>
      </c>
      <c r="K1837" s="1933">
        <v>463.38</v>
      </c>
      <c r="L1837" s="1930" t="s">
        <v>138</v>
      </c>
    </row>
    <row r="1838" spans="1:12" ht="13.5" x14ac:dyDescent="0.25">
      <c r="A1838" s="1930" t="s">
        <v>4555</v>
      </c>
      <c r="B1838" s="1930" t="s">
        <v>4556</v>
      </c>
      <c r="C1838" s="1930" t="s">
        <v>4557</v>
      </c>
      <c r="D1838" s="1930" t="s">
        <v>4558</v>
      </c>
      <c r="E1838" s="1931" t="s">
        <v>33</v>
      </c>
      <c r="F1838" s="1930" t="s">
        <v>33</v>
      </c>
      <c r="G1838" s="1932">
        <v>97769</v>
      </c>
      <c r="H1838" s="1930" t="s">
        <v>5109</v>
      </c>
      <c r="I1838" s="1930" t="s">
        <v>1208</v>
      </c>
      <c r="J1838" s="1930" t="s">
        <v>137</v>
      </c>
      <c r="K1838" s="1933">
        <v>440.31</v>
      </c>
      <c r="L1838" s="1930" t="s">
        <v>138</v>
      </c>
    </row>
    <row r="1839" spans="1:12" ht="13.5" x14ac:dyDescent="0.25">
      <c r="A1839" s="1930" t="s">
        <v>4555</v>
      </c>
      <c r="B1839" s="1930" t="s">
        <v>4556</v>
      </c>
      <c r="C1839" s="1930" t="s">
        <v>4557</v>
      </c>
      <c r="D1839" s="1930" t="s">
        <v>4558</v>
      </c>
      <c r="E1839" s="1931" t="s">
        <v>33</v>
      </c>
      <c r="F1839" s="1930" t="s">
        <v>33</v>
      </c>
      <c r="G1839" s="1932">
        <v>97770</v>
      </c>
      <c r="H1839" s="1930" t="s">
        <v>5110</v>
      </c>
      <c r="I1839" s="1930" t="s">
        <v>1208</v>
      </c>
      <c r="J1839" s="1930" t="s">
        <v>137</v>
      </c>
      <c r="K1839" s="1933">
        <v>420.97</v>
      </c>
      <c r="L1839" s="1930" t="s">
        <v>138</v>
      </c>
    </row>
    <row r="1840" spans="1:12" ht="13.5" x14ac:dyDescent="0.25">
      <c r="A1840" s="1930" t="s">
        <v>4555</v>
      </c>
      <c r="B1840" s="1930" t="s">
        <v>4556</v>
      </c>
      <c r="C1840" s="1930" t="s">
        <v>4557</v>
      </c>
      <c r="D1840" s="1930" t="s">
        <v>4558</v>
      </c>
      <c r="E1840" s="1931" t="s">
        <v>33</v>
      </c>
      <c r="F1840" s="1930" t="s">
        <v>33</v>
      </c>
      <c r="G1840" s="1932">
        <v>97771</v>
      </c>
      <c r="H1840" s="1930" t="s">
        <v>5111</v>
      </c>
      <c r="I1840" s="1930" t="s">
        <v>1208</v>
      </c>
      <c r="J1840" s="1930" t="s">
        <v>137</v>
      </c>
      <c r="K1840" s="1933">
        <v>456.42</v>
      </c>
      <c r="L1840" s="1930" t="s">
        <v>138</v>
      </c>
    </row>
    <row r="1841" spans="1:12" ht="13.5" x14ac:dyDescent="0.25">
      <c r="A1841" s="1930" t="s">
        <v>4555</v>
      </c>
      <c r="B1841" s="1930" t="s">
        <v>4556</v>
      </c>
      <c r="C1841" s="1930" t="s">
        <v>4557</v>
      </c>
      <c r="D1841" s="1930" t="s">
        <v>4558</v>
      </c>
      <c r="E1841" s="1931" t="s">
        <v>33</v>
      </c>
      <c r="F1841" s="1930" t="s">
        <v>33</v>
      </c>
      <c r="G1841" s="1932">
        <v>97772</v>
      </c>
      <c r="H1841" s="1930" t="s">
        <v>5112</v>
      </c>
      <c r="I1841" s="1930" t="s">
        <v>1208</v>
      </c>
      <c r="J1841" s="1930" t="s">
        <v>137</v>
      </c>
      <c r="K1841" s="1933">
        <v>441.11</v>
      </c>
      <c r="L1841" s="1930" t="s">
        <v>138</v>
      </c>
    </row>
    <row r="1842" spans="1:12" ht="13.5" x14ac:dyDescent="0.25">
      <c r="A1842" s="1930" t="s">
        <v>4555</v>
      </c>
      <c r="B1842" s="1930" t="s">
        <v>4556</v>
      </c>
      <c r="C1842" s="1930" t="s">
        <v>4557</v>
      </c>
      <c r="D1842" s="1930" t="s">
        <v>4558</v>
      </c>
      <c r="E1842" s="1931" t="s">
        <v>33</v>
      </c>
      <c r="F1842" s="1930" t="s">
        <v>33</v>
      </c>
      <c r="G1842" s="1932">
        <v>97773</v>
      </c>
      <c r="H1842" s="1930" t="s">
        <v>5113</v>
      </c>
      <c r="I1842" s="1930" t="s">
        <v>1208</v>
      </c>
      <c r="J1842" s="1930" t="s">
        <v>137</v>
      </c>
      <c r="K1842" s="1933">
        <v>417.18</v>
      </c>
      <c r="L1842" s="1930" t="s">
        <v>138</v>
      </c>
    </row>
    <row r="1843" spans="1:12" ht="13.5" x14ac:dyDescent="0.25">
      <c r="A1843" s="1930" t="s">
        <v>4555</v>
      </c>
      <c r="B1843" s="1930" t="s">
        <v>4556</v>
      </c>
      <c r="C1843" s="1930" t="s">
        <v>4557</v>
      </c>
      <c r="D1843" s="1930" t="s">
        <v>4558</v>
      </c>
      <c r="E1843" s="1931" t="s">
        <v>33</v>
      </c>
      <c r="F1843" s="1930" t="s">
        <v>33</v>
      </c>
      <c r="G1843" s="1932">
        <v>97774</v>
      </c>
      <c r="H1843" s="1930" t="s">
        <v>5114</v>
      </c>
      <c r="I1843" s="1930" t="s">
        <v>1208</v>
      </c>
      <c r="J1843" s="1930" t="s">
        <v>137</v>
      </c>
      <c r="K1843" s="1933">
        <v>396.31</v>
      </c>
      <c r="L1843" s="1930" t="s">
        <v>138</v>
      </c>
    </row>
    <row r="1844" spans="1:12" ht="13.5" x14ac:dyDescent="0.25">
      <c r="A1844" s="1930" t="s">
        <v>4555</v>
      </c>
      <c r="B1844" s="1930" t="s">
        <v>4556</v>
      </c>
      <c r="C1844" s="1930" t="s">
        <v>4557</v>
      </c>
      <c r="D1844" s="1930" t="s">
        <v>4558</v>
      </c>
      <c r="E1844" s="1931" t="s">
        <v>33</v>
      </c>
      <c r="F1844" s="1930" t="s">
        <v>33</v>
      </c>
      <c r="G1844" s="1932">
        <v>97775</v>
      </c>
      <c r="H1844" s="1930" t="s">
        <v>5115</v>
      </c>
      <c r="I1844" s="1930" t="s">
        <v>1208</v>
      </c>
      <c r="J1844" s="1930" t="s">
        <v>137</v>
      </c>
      <c r="K1844" s="1933">
        <v>566.89</v>
      </c>
      <c r="L1844" s="1930" t="s">
        <v>138</v>
      </c>
    </row>
    <row r="1845" spans="1:12" ht="13.5" x14ac:dyDescent="0.25">
      <c r="A1845" s="1930" t="s">
        <v>4555</v>
      </c>
      <c r="B1845" s="1930" t="s">
        <v>4556</v>
      </c>
      <c r="C1845" s="1930" t="s">
        <v>4557</v>
      </c>
      <c r="D1845" s="1930" t="s">
        <v>4558</v>
      </c>
      <c r="E1845" s="1931" t="s">
        <v>33</v>
      </c>
      <c r="F1845" s="1930" t="s">
        <v>33</v>
      </c>
      <c r="G1845" s="1932">
        <v>97776</v>
      </c>
      <c r="H1845" s="1930" t="s">
        <v>5116</v>
      </c>
      <c r="I1845" s="1930" t="s">
        <v>1208</v>
      </c>
      <c r="J1845" s="1930" t="s">
        <v>137</v>
      </c>
      <c r="K1845" s="1933">
        <v>537.96</v>
      </c>
      <c r="L1845" s="1930" t="s">
        <v>138</v>
      </c>
    </row>
    <row r="1846" spans="1:12" ht="13.5" x14ac:dyDescent="0.25">
      <c r="A1846" s="1930" t="s">
        <v>4555</v>
      </c>
      <c r="B1846" s="1930" t="s">
        <v>4556</v>
      </c>
      <c r="C1846" s="1930" t="s">
        <v>4557</v>
      </c>
      <c r="D1846" s="1930" t="s">
        <v>4558</v>
      </c>
      <c r="E1846" s="1931" t="s">
        <v>33</v>
      </c>
      <c r="F1846" s="1930" t="s">
        <v>33</v>
      </c>
      <c r="G1846" s="1932">
        <v>97777</v>
      </c>
      <c r="H1846" s="1930" t="s">
        <v>5117</v>
      </c>
      <c r="I1846" s="1930" t="s">
        <v>1208</v>
      </c>
      <c r="J1846" s="1930" t="s">
        <v>137</v>
      </c>
      <c r="K1846" s="1933">
        <v>498.17</v>
      </c>
      <c r="L1846" s="1930" t="s">
        <v>138</v>
      </c>
    </row>
    <row r="1847" spans="1:12" ht="13.5" x14ac:dyDescent="0.25">
      <c r="A1847" s="1930" t="s">
        <v>4555</v>
      </c>
      <c r="B1847" s="1930" t="s">
        <v>4556</v>
      </c>
      <c r="C1847" s="1930" t="s">
        <v>4557</v>
      </c>
      <c r="D1847" s="1930" t="s">
        <v>4558</v>
      </c>
      <c r="E1847" s="1931" t="s">
        <v>33</v>
      </c>
      <c r="F1847" s="1930" t="s">
        <v>33</v>
      </c>
      <c r="G1847" s="1932">
        <v>97778</v>
      </c>
      <c r="H1847" s="1930" t="s">
        <v>5118</v>
      </c>
      <c r="I1847" s="1930" t="s">
        <v>1208</v>
      </c>
      <c r="J1847" s="1930" t="s">
        <v>137</v>
      </c>
      <c r="K1847" s="1933">
        <v>472.51</v>
      </c>
      <c r="L1847" s="1930" t="s">
        <v>138</v>
      </c>
    </row>
    <row r="1848" spans="1:12" ht="13.5" x14ac:dyDescent="0.25">
      <c r="A1848" s="1930" t="s">
        <v>4555</v>
      </c>
      <c r="B1848" s="1930" t="s">
        <v>4556</v>
      </c>
      <c r="C1848" s="1930" t="s">
        <v>4557</v>
      </c>
      <c r="D1848" s="1930" t="s">
        <v>4558</v>
      </c>
      <c r="E1848" s="1931" t="s">
        <v>33</v>
      </c>
      <c r="F1848" s="1930" t="s">
        <v>33</v>
      </c>
      <c r="G1848" s="1932">
        <v>97779</v>
      </c>
      <c r="H1848" s="1930" t="s">
        <v>5119</v>
      </c>
      <c r="I1848" s="1930" t="s">
        <v>1208</v>
      </c>
      <c r="J1848" s="1930" t="s">
        <v>137</v>
      </c>
      <c r="K1848" s="1933">
        <v>542.33000000000004</v>
      </c>
      <c r="L1848" s="1930" t="s">
        <v>138</v>
      </c>
    </row>
    <row r="1849" spans="1:12" ht="13.5" x14ac:dyDescent="0.25">
      <c r="A1849" s="1930" t="s">
        <v>4555</v>
      </c>
      <c r="B1849" s="1930" t="s">
        <v>4556</v>
      </c>
      <c r="C1849" s="1930" t="s">
        <v>4557</v>
      </c>
      <c r="D1849" s="1930" t="s">
        <v>4558</v>
      </c>
      <c r="E1849" s="1931" t="s">
        <v>33</v>
      </c>
      <c r="F1849" s="1930" t="s">
        <v>33</v>
      </c>
      <c r="G1849" s="1932">
        <v>97780</v>
      </c>
      <c r="H1849" s="1930" t="s">
        <v>5120</v>
      </c>
      <c r="I1849" s="1930" t="s">
        <v>1208</v>
      </c>
      <c r="J1849" s="1930" t="s">
        <v>137</v>
      </c>
      <c r="K1849" s="1933">
        <v>517.05999999999995</v>
      </c>
      <c r="L1849" s="1930" t="s">
        <v>138</v>
      </c>
    </row>
    <row r="1850" spans="1:12" ht="13.5" x14ac:dyDescent="0.25">
      <c r="A1850" s="1930" t="s">
        <v>4555</v>
      </c>
      <c r="B1850" s="1930" t="s">
        <v>4556</v>
      </c>
      <c r="C1850" s="1930" t="s">
        <v>4557</v>
      </c>
      <c r="D1850" s="1930" t="s">
        <v>4558</v>
      </c>
      <c r="E1850" s="1931" t="s">
        <v>33</v>
      </c>
      <c r="F1850" s="1930" t="s">
        <v>33</v>
      </c>
      <c r="G1850" s="1932">
        <v>97781</v>
      </c>
      <c r="H1850" s="1930" t="s">
        <v>5121</v>
      </c>
      <c r="I1850" s="1930" t="s">
        <v>1208</v>
      </c>
      <c r="J1850" s="1930" t="s">
        <v>137</v>
      </c>
      <c r="K1850" s="1933">
        <v>475.44</v>
      </c>
      <c r="L1850" s="1930" t="s">
        <v>138</v>
      </c>
    </row>
    <row r="1851" spans="1:12" ht="13.5" x14ac:dyDescent="0.25">
      <c r="A1851" s="1930" t="s">
        <v>4555</v>
      </c>
      <c r="B1851" s="1930" t="s">
        <v>4556</v>
      </c>
      <c r="C1851" s="1930" t="s">
        <v>4557</v>
      </c>
      <c r="D1851" s="1930" t="s">
        <v>4558</v>
      </c>
      <c r="E1851" s="1931" t="s">
        <v>33</v>
      </c>
      <c r="F1851" s="1930" t="s">
        <v>33</v>
      </c>
      <c r="G1851" s="1932">
        <v>97782</v>
      </c>
      <c r="H1851" s="1930" t="s">
        <v>5122</v>
      </c>
      <c r="I1851" s="1930" t="s">
        <v>1208</v>
      </c>
      <c r="J1851" s="1930" t="s">
        <v>137</v>
      </c>
      <c r="K1851" s="1933">
        <v>444.63</v>
      </c>
      <c r="L1851" s="1930" t="s">
        <v>138</v>
      </c>
    </row>
    <row r="1852" spans="1:12" ht="13.5" x14ac:dyDescent="0.25">
      <c r="A1852" s="1930" t="s">
        <v>4555</v>
      </c>
      <c r="B1852" s="1930" t="s">
        <v>4556</v>
      </c>
      <c r="C1852" s="1930" t="s">
        <v>4557</v>
      </c>
      <c r="D1852" s="1930" t="s">
        <v>4558</v>
      </c>
      <c r="E1852" s="1931" t="s">
        <v>33</v>
      </c>
      <c r="F1852" s="1930" t="s">
        <v>33</v>
      </c>
      <c r="G1852" s="1932">
        <v>97783</v>
      </c>
      <c r="H1852" s="1930" t="s">
        <v>5123</v>
      </c>
      <c r="I1852" s="1930" t="s">
        <v>1208</v>
      </c>
      <c r="J1852" s="1930" t="s">
        <v>137</v>
      </c>
      <c r="K1852" s="1933">
        <v>541.16999999999996</v>
      </c>
      <c r="L1852" s="1930" t="s">
        <v>138</v>
      </c>
    </row>
    <row r="1853" spans="1:12" ht="13.5" x14ac:dyDescent="0.25">
      <c r="A1853" s="1930" t="s">
        <v>4555</v>
      </c>
      <c r="B1853" s="1930" t="s">
        <v>4556</v>
      </c>
      <c r="C1853" s="1930" t="s">
        <v>4557</v>
      </c>
      <c r="D1853" s="1930" t="s">
        <v>4558</v>
      </c>
      <c r="E1853" s="1931" t="s">
        <v>33</v>
      </c>
      <c r="F1853" s="1930" t="s">
        <v>33</v>
      </c>
      <c r="G1853" s="1932">
        <v>97784</v>
      </c>
      <c r="H1853" s="1930" t="s">
        <v>5124</v>
      </c>
      <c r="I1853" s="1930" t="s">
        <v>1208</v>
      </c>
      <c r="J1853" s="1930" t="s">
        <v>137</v>
      </c>
      <c r="K1853" s="1933">
        <v>508.85</v>
      </c>
      <c r="L1853" s="1930" t="s">
        <v>138</v>
      </c>
    </row>
    <row r="1854" spans="1:12" ht="13.5" x14ac:dyDescent="0.25">
      <c r="A1854" s="1930" t="s">
        <v>4555</v>
      </c>
      <c r="B1854" s="1930" t="s">
        <v>4556</v>
      </c>
      <c r="C1854" s="1930" t="s">
        <v>4557</v>
      </c>
      <c r="D1854" s="1930" t="s">
        <v>4558</v>
      </c>
      <c r="E1854" s="1931" t="s">
        <v>33</v>
      </c>
      <c r="F1854" s="1930" t="s">
        <v>33</v>
      </c>
      <c r="G1854" s="1932">
        <v>97785</v>
      </c>
      <c r="H1854" s="1930" t="s">
        <v>5125</v>
      </c>
      <c r="I1854" s="1930" t="s">
        <v>1208</v>
      </c>
      <c r="J1854" s="1930" t="s">
        <v>137</v>
      </c>
      <c r="K1854" s="1933">
        <v>462.93</v>
      </c>
      <c r="L1854" s="1930" t="s">
        <v>138</v>
      </c>
    </row>
    <row r="1855" spans="1:12" ht="13.5" x14ac:dyDescent="0.25">
      <c r="A1855" s="1930" t="s">
        <v>4555</v>
      </c>
      <c r="B1855" s="1930" t="s">
        <v>4556</v>
      </c>
      <c r="C1855" s="1930" t="s">
        <v>4557</v>
      </c>
      <c r="D1855" s="1930" t="s">
        <v>4558</v>
      </c>
      <c r="E1855" s="1931" t="s">
        <v>33</v>
      </c>
      <c r="F1855" s="1930" t="s">
        <v>33</v>
      </c>
      <c r="G1855" s="1932">
        <v>97786</v>
      </c>
      <c r="H1855" s="1930" t="s">
        <v>5126</v>
      </c>
      <c r="I1855" s="1930" t="s">
        <v>1208</v>
      </c>
      <c r="J1855" s="1930" t="s">
        <v>137</v>
      </c>
      <c r="K1855" s="1933">
        <v>428.54</v>
      </c>
      <c r="L1855" s="1930" t="s">
        <v>138</v>
      </c>
    </row>
    <row r="1856" spans="1:12" ht="13.5" x14ac:dyDescent="0.25">
      <c r="A1856" s="1930" t="s">
        <v>4555</v>
      </c>
      <c r="B1856" s="1930" t="s">
        <v>4556</v>
      </c>
      <c r="C1856" s="1930" t="s">
        <v>4557</v>
      </c>
      <c r="D1856" s="1930" t="s">
        <v>4558</v>
      </c>
      <c r="E1856" s="1931" t="s">
        <v>33</v>
      </c>
      <c r="F1856" s="1930" t="s">
        <v>33</v>
      </c>
      <c r="G1856" s="1932">
        <v>97787</v>
      </c>
      <c r="H1856" s="1930" t="s">
        <v>5127</v>
      </c>
      <c r="I1856" s="1930" t="s">
        <v>1208</v>
      </c>
      <c r="J1856" s="1930" t="s">
        <v>137</v>
      </c>
      <c r="K1856" s="1933">
        <v>486.96</v>
      </c>
      <c r="L1856" s="1930" t="s">
        <v>138</v>
      </c>
    </row>
    <row r="1857" spans="1:12" ht="13.5" x14ac:dyDescent="0.25">
      <c r="A1857" s="1930" t="s">
        <v>4555</v>
      </c>
      <c r="B1857" s="1930" t="s">
        <v>4556</v>
      </c>
      <c r="C1857" s="1930" t="s">
        <v>4557</v>
      </c>
      <c r="D1857" s="1930" t="s">
        <v>4558</v>
      </c>
      <c r="E1857" s="1931" t="s">
        <v>33</v>
      </c>
      <c r="F1857" s="1930" t="s">
        <v>33</v>
      </c>
      <c r="G1857" s="1932">
        <v>97788</v>
      </c>
      <c r="H1857" s="1930" t="s">
        <v>5128</v>
      </c>
      <c r="I1857" s="1930" t="s">
        <v>1208</v>
      </c>
      <c r="J1857" s="1930" t="s">
        <v>137</v>
      </c>
      <c r="K1857" s="1933">
        <v>467.47</v>
      </c>
      <c r="L1857" s="1930" t="s">
        <v>138</v>
      </c>
    </row>
    <row r="1858" spans="1:12" ht="13.5" x14ac:dyDescent="0.25">
      <c r="A1858" s="1930" t="s">
        <v>4555</v>
      </c>
      <c r="B1858" s="1930" t="s">
        <v>4556</v>
      </c>
      <c r="C1858" s="1930" t="s">
        <v>4557</v>
      </c>
      <c r="D1858" s="1930" t="s">
        <v>4558</v>
      </c>
      <c r="E1858" s="1931" t="s">
        <v>33</v>
      </c>
      <c r="F1858" s="1930" t="s">
        <v>33</v>
      </c>
      <c r="G1858" s="1932">
        <v>97789</v>
      </c>
      <c r="H1858" s="1930" t="s">
        <v>5129</v>
      </c>
      <c r="I1858" s="1930" t="s">
        <v>1208</v>
      </c>
      <c r="J1858" s="1930" t="s">
        <v>137</v>
      </c>
      <c r="K1858" s="1933">
        <v>441.69</v>
      </c>
      <c r="L1858" s="1930" t="s">
        <v>138</v>
      </c>
    </row>
    <row r="1859" spans="1:12" ht="13.5" x14ac:dyDescent="0.25">
      <c r="A1859" s="1930" t="s">
        <v>4555</v>
      </c>
      <c r="B1859" s="1930" t="s">
        <v>4556</v>
      </c>
      <c r="C1859" s="1930" t="s">
        <v>4557</v>
      </c>
      <c r="D1859" s="1930" t="s">
        <v>4558</v>
      </c>
      <c r="E1859" s="1931" t="s">
        <v>33</v>
      </c>
      <c r="F1859" s="1930" t="s">
        <v>33</v>
      </c>
      <c r="G1859" s="1932">
        <v>97790</v>
      </c>
      <c r="H1859" s="1930" t="s">
        <v>5130</v>
      </c>
      <c r="I1859" s="1930" t="s">
        <v>1208</v>
      </c>
      <c r="J1859" s="1930" t="s">
        <v>137</v>
      </c>
      <c r="K1859" s="1933">
        <v>425.93</v>
      </c>
      <c r="L1859" s="1930" t="s">
        <v>138</v>
      </c>
    </row>
    <row r="1860" spans="1:12" ht="13.5" x14ac:dyDescent="0.25">
      <c r="A1860" s="1930" t="s">
        <v>4555</v>
      </c>
      <c r="B1860" s="1930" t="s">
        <v>4556</v>
      </c>
      <c r="C1860" s="1930" t="s">
        <v>4557</v>
      </c>
      <c r="D1860" s="1930" t="s">
        <v>4558</v>
      </c>
      <c r="E1860" s="1931" t="s">
        <v>33</v>
      </c>
      <c r="F1860" s="1930" t="s">
        <v>33</v>
      </c>
      <c r="G1860" s="1932">
        <v>97791</v>
      </c>
      <c r="H1860" s="1930" t="s">
        <v>5131</v>
      </c>
      <c r="I1860" s="1930" t="s">
        <v>1208</v>
      </c>
      <c r="J1860" s="1930" t="s">
        <v>137</v>
      </c>
      <c r="K1860" s="1933">
        <v>435.98</v>
      </c>
      <c r="L1860" s="1930" t="s">
        <v>138</v>
      </c>
    </row>
    <row r="1861" spans="1:12" ht="13.5" x14ac:dyDescent="0.25">
      <c r="A1861" s="1930" t="s">
        <v>4555</v>
      </c>
      <c r="B1861" s="1930" t="s">
        <v>4556</v>
      </c>
      <c r="C1861" s="1930" t="s">
        <v>4557</v>
      </c>
      <c r="D1861" s="1930" t="s">
        <v>4558</v>
      </c>
      <c r="E1861" s="1931" t="s">
        <v>33</v>
      </c>
      <c r="F1861" s="1930" t="s">
        <v>33</v>
      </c>
      <c r="G1861" s="1932">
        <v>97792</v>
      </c>
      <c r="H1861" s="1930" t="s">
        <v>5132</v>
      </c>
      <c r="I1861" s="1930" t="s">
        <v>1208</v>
      </c>
      <c r="J1861" s="1930" t="s">
        <v>137</v>
      </c>
      <c r="K1861" s="1933">
        <v>425.5</v>
      </c>
      <c r="L1861" s="1930" t="s">
        <v>138</v>
      </c>
    </row>
    <row r="1862" spans="1:12" ht="13.5" x14ac:dyDescent="0.25">
      <c r="A1862" s="1930" t="s">
        <v>4555</v>
      </c>
      <c r="B1862" s="1930" t="s">
        <v>4556</v>
      </c>
      <c r="C1862" s="1930" t="s">
        <v>4557</v>
      </c>
      <c r="D1862" s="1930" t="s">
        <v>4558</v>
      </c>
      <c r="E1862" s="1931" t="s">
        <v>33</v>
      </c>
      <c r="F1862" s="1930" t="s">
        <v>33</v>
      </c>
      <c r="G1862" s="1932">
        <v>97793</v>
      </c>
      <c r="H1862" s="1930" t="s">
        <v>5133</v>
      </c>
      <c r="I1862" s="1930" t="s">
        <v>1208</v>
      </c>
      <c r="J1862" s="1930" t="s">
        <v>137</v>
      </c>
      <c r="K1862" s="1933">
        <v>404.04</v>
      </c>
      <c r="L1862" s="1930" t="s">
        <v>138</v>
      </c>
    </row>
    <row r="1863" spans="1:12" ht="13.5" x14ac:dyDescent="0.25">
      <c r="A1863" s="1930" t="s">
        <v>4555</v>
      </c>
      <c r="B1863" s="1930" t="s">
        <v>4556</v>
      </c>
      <c r="C1863" s="1930" t="s">
        <v>4557</v>
      </c>
      <c r="D1863" s="1930" t="s">
        <v>4558</v>
      </c>
      <c r="E1863" s="1931" t="s">
        <v>33</v>
      </c>
      <c r="F1863" s="1930" t="s">
        <v>33</v>
      </c>
      <c r="G1863" s="1932">
        <v>97794</v>
      </c>
      <c r="H1863" s="1930" t="s">
        <v>5134</v>
      </c>
      <c r="I1863" s="1930" t="s">
        <v>1208</v>
      </c>
      <c r="J1863" s="1930" t="s">
        <v>137</v>
      </c>
      <c r="K1863" s="1933">
        <v>386.25</v>
      </c>
      <c r="L1863" s="1930" t="s">
        <v>138</v>
      </c>
    </row>
    <row r="1864" spans="1:12" ht="13.5" x14ac:dyDescent="0.25">
      <c r="A1864" s="1930" t="s">
        <v>4555</v>
      </c>
      <c r="B1864" s="1930" t="s">
        <v>4556</v>
      </c>
      <c r="C1864" s="1930" t="s">
        <v>4557</v>
      </c>
      <c r="D1864" s="1930" t="s">
        <v>4558</v>
      </c>
      <c r="E1864" s="1931" t="s">
        <v>33</v>
      </c>
      <c r="F1864" s="1930" t="s">
        <v>33</v>
      </c>
      <c r="G1864" s="1932">
        <v>97795</v>
      </c>
      <c r="H1864" s="1930" t="s">
        <v>5135</v>
      </c>
      <c r="I1864" s="1930" t="s">
        <v>1208</v>
      </c>
      <c r="J1864" s="1930" t="s">
        <v>137</v>
      </c>
      <c r="K1864" s="1933">
        <v>418.91</v>
      </c>
      <c r="L1864" s="1930" t="s">
        <v>138</v>
      </c>
    </row>
    <row r="1865" spans="1:12" ht="13.5" x14ac:dyDescent="0.25">
      <c r="A1865" s="1930" t="s">
        <v>4555</v>
      </c>
      <c r="B1865" s="1930" t="s">
        <v>4556</v>
      </c>
      <c r="C1865" s="1930" t="s">
        <v>4557</v>
      </c>
      <c r="D1865" s="1930" t="s">
        <v>4558</v>
      </c>
      <c r="E1865" s="1931" t="s">
        <v>33</v>
      </c>
      <c r="F1865" s="1930" t="s">
        <v>33</v>
      </c>
      <c r="G1865" s="1932">
        <v>97796</v>
      </c>
      <c r="H1865" s="1930" t="s">
        <v>5136</v>
      </c>
      <c r="I1865" s="1930" t="s">
        <v>1208</v>
      </c>
      <c r="J1865" s="1930" t="s">
        <v>137</v>
      </c>
      <c r="K1865" s="1933">
        <v>404.71</v>
      </c>
      <c r="L1865" s="1930" t="s">
        <v>138</v>
      </c>
    </row>
    <row r="1866" spans="1:12" ht="13.5" x14ac:dyDescent="0.25">
      <c r="A1866" s="1930" t="s">
        <v>4555</v>
      </c>
      <c r="B1866" s="1930" t="s">
        <v>4556</v>
      </c>
      <c r="C1866" s="1930" t="s">
        <v>4557</v>
      </c>
      <c r="D1866" s="1930" t="s">
        <v>4558</v>
      </c>
      <c r="E1866" s="1931" t="s">
        <v>33</v>
      </c>
      <c r="F1866" s="1930" t="s">
        <v>33</v>
      </c>
      <c r="G1866" s="1932">
        <v>97797</v>
      </c>
      <c r="H1866" s="1930" t="s">
        <v>5137</v>
      </c>
      <c r="I1866" s="1930" t="s">
        <v>1208</v>
      </c>
      <c r="J1866" s="1930" t="s">
        <v>137</v>
      </c>
      <c r="K1866" s="1933">
        <v>382.68</v>
      </c>
      <c r="L1866" s="1930" t="s">
        <v>138</v>
      </c>
    </row>
    <row r="1867" spans="1:12" ht="13.5" x14ac:dyDescent="0.25">
      <c r="A1867" s="1930" t="s">
        <v>4555</v>
      </c>
      <c r="B1867" s="1930" t="s">
        <v>4556</v>
      </c>
      <c r="C1867" s="1930" t="s">
        <v>4557</v>
      </c>
      <c r="D1867" s="1930" t="s">
        <v>4558</v>
      </c>
      <c r="E1867" s="1931" t="s">
        <v>33</v>
      </c>
      <c r="F1867" s="1930" t="s">
        <v>33</v>
      </c>
      <c r="G1867" s="1932">
        <v>97798</v>
      </c>
      <c r="H1867" s="1930" t="s">
        <v>5138</v>
      </c>
      <c r="I1867" s="1930" t="s">
        <v>1208</v>
      </c>
      <c r="J1867" s="1930" t="s">
        <v>137</v>
      </c>
      <c r="K1867" s="1933">
        <v>363.55</v>
      </c>
      <c r="L1867" s="1930" t="s">
        <v>138</v>
      </c>
    </row>
    <row r="1868" spans="1:12" ht="13.5" x14ac:dyDescent="0.25">
      <c r="A1868" s="1930" t="s">
        <v>4555</v>
      </c>
      <c r="B1868" s="1930" t="s">
        <v>4556</v>
      </c>
      <c r="C1868" s="1930" t="s">
        <v>4557</v>
      </c>
      <c r="D1868" s="1930" t="s">
        <v>4558</v>
      </c>
      <c r="E1868" s="1931" t="s">
        <v>33</v>
      </c>
      <c r="F1868" s="1930" t="s">
        <v>33</v>
      </c>
      <c r="G1868" s="1932">
        <v>97799</v>
      </c>
      <c r="H1868" s="1930" t="s">
        <v>5139</v>
      </c>
      <c r="I1868" s="1930" t="s">
        <v>1208</v>
      </c>
      <c r="J1868" s="1930" t="s">
        <v>137</v>
      </c>
      <c r="K1868" s="1933">
        <v>525.87</v>
      </c>
      <c r="L1868" s="1930" t="s">
        <v>138</v>
      </c>
    </row>
    <row r="1869" spans="1:12" ht="13.5" x14ac:dyDescent="0.25">
      <c r="A1869" s="1930" t="s">
        <v>4555</v>
      </c>
      <c r="B1869" s="1930" t="s">
        <v>4556</v>
      </c>
      <c r="C1869" s="1930" t="s">
        <v>4557</v>
      </c>
      <c r="D1869" s="1930" t="s">
        <v>4558</v>
      </c>
      <c r="E1869" s="1931" t="s">
        <v>33</v>
      </c>
      <c r="F1869" s="1930" t="s">
        <v>33</v>
      </c>
      <c r="G1869" s="1932">
        <v>97800</v>
      </c>
      <c r="H1869" s="1930" t="s">
        <v>5140</v>
      </c>
      <c r="I1869" s="1930" t="s">
        <v>1208</v>
      </c>
      <c r="J1869" s="1930" t="s">
        <v>137</v>
      </c>
      <c r="K1869" s="1933">
        <v>496.19</v>
      </c>
      <c r="L1869" s="1930" t="s">
        <v>138</v>
      </c>
    </row>
    <row r="1870" spans="1:12" ht="13.5" x14ac:dyDescent="0.25">
      <c r="A1870" s="1930" t="s">
        <v>4555</v>
      </c>
      <c r="B1870" s="1930" t="s">
        <v>4556</v>
      </c>
      <c r="C1870" s="1930" t="s">
        <v>4559</v>
      </c>
      <c r="D1870" s="1930" t="s">
        <v>4560</v>
      </c>
      <c r="E1870" s="1931" t="s">
        <v>33</v>
      </c>
      <c r="F1870" s="1930" t="s">
        <v>33</v>
      </c>
      <c r="G1870" s="1932">
        <v>95601</v>
      </c>
      <c r="H1870" s="1930" t="s">
        <v>1394</v>
      </c>
      <c r="I1870" s="1930" t="s">
        <v>168</v>
      </c>
      <c r="J1870" s="1930" t="s">
        <v>137</v>
      </c>
      <c r="K1870" s="1933">
        <v>15.82</v>
      </c>
      <c r="L1870" s="1930" t="s">
        <v>138</v>
      </c>
    </row>
    <row r="1871" spans="1:12" ht="13.5" x14ac:dyDescent="0.25">
      <c r="A1871" s="1930" t="s">
        <v>4555</v>
      </c>
      <c r="B1871" s="1930" t="s">
        <v>4556</v>
      </c>
      <c r="C1871" s="1930" t="s">
        <v>4559</v>
      </c>
      <c r="D1871" s="1930" t="s">
        <v>4560</v>
      </c>
      <c r="E1871" s="1931" t="s">
        <v>33</v>
      </c>
      <c r="F1871" s="1930" t="s">
        <v>33</v>
      </c>
      <c r="G1871" s="1932">
        <v>95602</v>
      </c>
      <c r="H1871" s="1930" t="s">
        <v>1395</v>
      </c>
      <c r="I1871" s="1930" t="s">
        <v>168</v>
      </c>
      <c r="J1871" s="1930" t="s">
        <v>137</v>
      </c>
      <c r="K1871" s="1933">
        <v>20.14</v>
      </c>
      <c r="L1871" s="1930" t="s">
        <v>138</v>
      </c>
    </row>
    <row r="1872" spans="1:12" ht="13.5" x14ac:dyDescent="0.25">
      <c r="A1872" s="1930" t="s">
        <v>4555</v>
      </c>
      <c r="B1872" s="1930" t="s">
        <v>4556</v>
      </c>
      <c r="C1872" s="1930" t="s">
        <v>4559</v>
      </c>
      <c r="D1872" s="1930" t="s">
        <v>4560</v>
      </c>
      <c r="E1872" s="1931" t="s">
        <v>33</v>
      </c>
      <c r="F1872" s="1930" t="s">
        <v>33</v>
      </c>
      <c r="G1872" s="1932">
        <v>95603</v>
      </c>
      <c r="H1872" s="1930" t="s">
        <v>1396</v>
      </c>
      <c r="I1872" s="1930" t="s">
        <v>168</v>
      </c>
      <c r="J1872" s="1930" t="s">
        <v>137</v>
      </c>
      <c r="K1872" s="1933">
        <v>26.44</v>
      </c>
      <c r="L1872" s="1930" t="s">
        <v>138</v>
      </c>
    </row>
    <row r="1873" spans="1:12" ht="13.5" x14ac:dyDescent="0.25">
      <c r="A1873" s="1930" t="s">
        <v>4555</v>
      </c>
      <c r="B1873" s="1930" t="s">
        <v>4556</v>
      </c>
      <c r="C1873" s="1930" t="s">
        <v>4559</v>
      </c>
      <c r="D1873" s="1930" t="s">
        <v>4560</v>
      </c>
      <c r="E1873" s="1931" t="s">
        <v>33</v>
      </c>
      <c r="F1873" s="1930" t="s">
        <v>33</v>
      </c>
      <c r="G1873" s="1932">
        <v>95604</v>
      </c>
      <c r="H1873" s="1930" t="s">
        <v>1397</v>
      </c>
      <c r="I1873" s="1930" t="s">
        <v>168</v>
      </c>
      <c r="J1873" s="1930" t="s">
        <v>137</v>
      </c>
      <c r="K1873" s="1933">
        <v>34.81</v>
      </c>
      <c r="L1873" s="1930" t="s">
        <v>138</v>
      </c>
    </row>
    <row r="1874" spans="1:12" ht="13.5" x14ac:dyDescent="0.25">
      <c r="A1874" s="1930" t="s">
        <v>4555</v>
      </c>
      <c r="B1874" s="1930" t="s">
        <v>4556</v>
      </c>
      <c r="C1874" s="1930" t="s">
        <v>4559</v>
      </c>
      <c r="D1874" s="1930" t="s">
        <v>4560</v>
      </c>
      <c r="E1874" s="1931" t="s">
        <v>33</v>
      </c>
      <c r="F1874" s="1930" t="s">
        <v>33</v>
      </c>
      <c r="G1874" s="1932">
        <v>95605</v>
      </c>
      <c r="H1874" s="1930" t="s">
        <v>1398</v>
      </c>
      <c r="I1874" s="1930" t="s">
        <v>168</v>
      </c>
      <c r="J1874" s="1930" t="s">
        <v>137</v>
      </c>
      <c r="K1874" s="1933">
        <v>54.6</v>
      </c>
      <c r="L1874" s="1930" t="s">
        <v>138</v>
      </c>
    </row>
    <row r="1875" spans="1:12" ht="13.5" x14ac:dyDescent="0.25">
      <c r="A1875" s="1930" t="s">
        <v>4555</v>
      </c>
      <c r="B1875" s="1930" t="s">
        <v>4556</v>
      </c>
      <c r="C1875" s="1930" t="s">
        <v>4559</v>
      </c>
      <c r="D1875" s="1930" t="s">
        <v>4560</v>
      </c>
      <c r="E1875" s="1931" t="s">
        <v>33</v>
      </c>
      <c r="F1875" s="1930" t="s">
        <v>33</v>
      </c>
      <c r="G1875" s="1932">
        <v>95607</v>
      </c>
      <c r="H1875" s="1930" t="s">
        <v>1399</v>
      </c>
      <c r="I1875" s="1930" t="s">
        <v>168</v>
      </c>
      <c r="J1875" s="1930" t="s">
        <v>137</v>
      </c>
      <c r="K1875" s="1933">
        <v>5.0599999999999996</v>
      </c>
      <c r="L1875" s="1930" t="s">
        <v>138</v>
      </c>
    </row>
    <row r="1876" spans="1:12" ht="13.5" x14ac:dyDescent="0.25">
      <c r="A1876" s="1930" t="s">
        <v>4555</v>
      </c>
      <c r="B1876" s="1930" t="s">
        <v>4556</v>
      </c>
      <c r="C1876" s="1930" t="s">
        <v>4559</v>
      </c>
      <c r="D1876" s="1930" t="s">
        <v>4560</v>
      </c>
      <c r="E1876" s="1931" t="s">
        <v>33</v>
      </c>
      <c r="F1876" s="1930" t="s">
        <v>33</v>
      </c>
      <c r="G1876" s="1932">
        <v>95608</v>
      </c>
      <c r="H1876" s="1930" t="s">
        <v>1400</v>
      </c>
      <c r="I1876" s="1930" t="s">
        <v>168</v>
      </c>
      <c r="J1876" s="1930" t="s">
        <v>137</v>
      </c>
      <c r="K1876" s="1933">
        <v>5.83</v>
      </c>
      <c r="L1876" s="1930" t="s">
        <v>138</v>
      </c>
    </row>
    <row r="1877" spans="1:12" ht="13.5" x14ac:dyDescent="0.25">
      <c r="A1877" s="1930" t="s">
        <v>4555</v>
      </c>
      <c r="B1877" s="1930" t="s">
        <v>4556</v>
      </c>
      <c r="C1877" s="1930" t="s">
        <v>4559</v>
      </c>
      <c r="D1877" s="1930" t="s">
        <v>4560</v>
      </c>
      <c r="E1877" s="1931" t="s">
        <v>33</v>
      </c>
      <c r="F1877" s="1930" t="s">
        <v>33</v>
      </c>
      <c r="G1877" s="1932">
        <v>95609</v>
      </c>
      <c r="H1877" s="1930" t="s">
        <v>1401</v>
      </c>
      <c r="I1877" s="1930" t="s">
        <v>168</v>
      </c>
      <c r="J1877" s="1930" t="s">
        <v>137</v>
      </c>
      <c r="K1877" s="1933">
        <v>6.5</v>
      </c>
      <c r="L1877" s="1930" t="s">
        <v>138</v>
      </c>
    </row>
    <row r="1878" spans="1:12" ht="13.5" x14ac:dyDescent="0.25">
      <c r="A1878" s="1930" t="s">
        <v>4555</v>
      </c>
      <c r="B1878" s="1930" t="s">
        <v>4556</v>
      </c>
      <c r="C1878" s="1930" t="s">
        <v>4559</v>
      </c>
      <c r="D1878" s="1930" t="s">
        <v>4560</v>
      </c>
      <c r="E1878" s="1931" t="s">
        <v>33</v>
      </c>
      <c r="F1878" s="1930" t="s">
        <v>33</v>
      </c>
      <c r="G1878" s="1932">
        <v>98228</v>
      </c>
      <c r="H1878" s="1930" t="s">
        <v>5268</v>
      </c>
      <c r="I1878" s="1930" t="s">
        <v>136</v>
      </c>
      <c r="J1878" s="1930" t="s">
        <v>320</v>
      </c>
      <c r="K1878" s="1933">
        <v>49.49</v>
      </c>
      <c r="L1878" s="1930" t="s">
        <v>138</v>
      </c>
    </row>
    <row r="1879" spans="1:12" ht="13.5" x14ac:dyDescent="0.25">
      <c r="A1879" s="1930" t="s">
        <v>4555</v>
      </c>
      <c r="B1879" s="1930" t="s">
        <v>4556</v>
      </c>
      <c r="C1879" s="1930" t="s">
        <v>4559</v>
      </c>
      <c r="D1879" s="1930" t="s">
        <v>4560</v>
      </c>
      <c r="E1879" s="1931" t="s">
        <v>33</v>
      </c>
      <c r="F1879" s="1930" t="s">
        <v>33</v>
      </c>
      <c r="G1879" s="1932">
        <v>98229</v>
      </c>
      <c r="H1879" s="1930" t="s">
        <v>5269</v>
      </c>
      <c r="I1879" s="1930" t="s">
        <v>136</v>
      </c>
      <c r="J1879" s="1930" t="s">
        <v>320</v>
      </c>
      <c r="K1879" s="1933">
        <v>66.5</v>
      </c>
      <c r="L1879" s="1930" t="s">
        <v>138</v>
      </c>
    </row>
    <row r="1880" spans="1:12" ht="13.5" x14ac:dyDescent="0.25">
      <c r="A1880" s="1930" t="s">
        <v>4555</v>
      </c>
      <c r="B1880" s="1930" t="s">
        <v>4556</v>
      </c>
      <c r="C1880" s="1930" t="s">
        <v>4559</v>
      </c>
      <c r="D1880" s="1930" t="s">
        <v>4560</v>
      </c>
      <c r="E1880" s="1931" t="s">
        <v>33</v>
      </c>
      <c r="F1880" s="1930" t="s">
        <v>33</v>
      </c>
      <c r="G1880" s="1932">
        <v>98230</v>
      </c>
      <c r="H1880" s="1930" t="s">
        <v>5270</v>
      </c>
      <c r="I1880" s="1930" t="s">
        <v>136</v>
      </c>
      <c r="J1880" s="1930" t="s">
        <v>320</v>
      </c>
      <c r="K1880" s="1933">
        <v>88.88</v>
      </c>
      <c r="L1880" s="1930" t="s">
        <v>138</v>
      </c>
    </row>
    <row r="1881" spans="1:12" ht="13.5" x14ac:dyDescent="0.25">
      <c r="A1881" s="1930" t="s">
        <v>4555</v>
      </c>
      <c r="B1881" s="1930" t="s">
        <v>4556</v>
      </c>
      <c r="C1881" s="1930" t="s">
        <v>4559</v>
      </c>
      <c r="D1881" s="1930" t="s">
        <v>4560</v>
      </c>
      <c r="E1881" s="1931" t="s">
        <v>33</v>
      </c>
      <c r="F1881" s="1930" t="s">
        <v>33</v>
      </c>
      <c r="G1881" s="1932">
        <v>100651</v>
      </c>
      <c r="H1881" s="1930" t="s">
        <v>8746</v>
      </c>
      <c r="I1881" s="1930" t="s">
        <v>136</v>
      </c>
      <c r="J1881" s="1930" t="s">
        <v>137</v>
      </c>
      <c r="K1881" s="1933">
        <v>82.82</v>
      </c>
      <c r="L1881" s="1930" t="s">
        <v>138</v>
      </c>
    </row>
    <row r="1882" spans="1:12" ht="13.5" x14ac:dyDescent="0.25">
      <c r="A1882" s="1930" t="s">
        <v>4555</v>
      </c>
      <c r="B1882" s="1930" t="s">
        <v>4556</v>
      </c>
      <c r="C1882" s="1930" t="s">
        <v>4559</v>
      </c>
      <c r="D1882" s="1930" t="s">
        <v>4560</v>
      </c>
      <c r="E1882" s="1931" t="s">
        <v>33</v>
      </c>
      <c r="F1882" s="1930" t="s">
        <v>33</v>
      </c>
      <c r="G1882" s="1932">
        <v>100652</v>
      </c>
      <c r="H1882" s="1930" t="s">
        <v>8747</v>
      </c>
      <c r="I1882" s="1930" t="s">
        <v>136</v>
      </c>
      <c r="J1882" s="1930" t="s">
        <v>137</v>
      </c>
      <c r="K1882" s="1933">
        <v>160.19</v>
      </c>
      <c r="L1882" s="1930" t="s">
        <v>138</v>
      </c>
    </row>
    <row r="1883" spans="1:12" ht="13.5" x14ac:dyDescent="0.25">
      <c r="A1883" s="1930" t="s">
        <v>4555</v>
      </c>
      <c r="B1883" s="1930" t="s">
        <v>4556</v>
      </c>
      <c r="C1883" s="1930" t="s">
        <v>4559</v>
      </c>
      <c r="D1883" s="1930" t="s">
        <v>4560</v>
      </c>
      <c r="E1883" s="1931" t="s">
        <v>33</v>
      </c>
      <c r="F1883" s="1930" t="s">
        <v>33</v>
      </c>
      <c r="G1883" s="1932">
        <v>100653</v>
      </c>
      <c r="H1883" s="1930" t="s">
        <v>8748</v>
      </c>
      <c r="I1883" s="1930" t="s">
        <v>136</v>
      </c>
      <c r="J1883" s="1930" t="s">
        <v>137</v>
      </c>
      <c r="K1883" s="1933">
        <v>268.83999999999997</v>
      </c>
      <c r="L1883" s="1930" t="s">
        <v>138</v>
      </c>
    </row>
    <row r="1884" spans="1:12" ht="13.5" x14ac:dyDescent="0.25">
      <c r="A1884" s="1930" t="s">
        <v>4555</v>
      </c>
      <c r="B1884" s="1930" t="s">
        <v>4556</v>
      </c>
      <c r="C1884" s="1930" t="s">
        <v>4559</v>
      </c>
      <c r="D1884" s="1930" t="s">
        <v>4560</v>
      </c>
      <c r="E1884" s="1931" t="s">
        <v>33</v>
      </c>
      <c r="F1884" s="1930" t="s">
        <v>33</v>
      </c>
      <c r="G1884" s="1932">
        <v>100654</v>
      </c>
      <c r="H1884" s="1930" t="s">
        <v>8749</v>
      </c>
      <c r="I1884" s="1930" t="s">
        <v>136</v>
      </c>
      <c r="J1884" s="1930" t="s">
        <v>137</v>
      </c>
      <c r="K1884" s="1933">
        <v>363.55</v>
      </c>
      <c r="L1884" s="1930" t="s">
        <v>138</v>
      </c>
    </row>
    <row r="1885" spans="1:12" ht="13.5" x14ac:dyDescent="0.25">
      <c r="A1885" s="1930" t="s">
        <v>4555</v>
      </c>
      <c r="B1885" s="1930" t="s">
        <v>4556</v>
      </c>
      <c r="C1885" s="1930" t="s">
        <v>4559</v>
      </c>
      <c r="D1885" s="1930" t="s">
        <v>4560</v>
      </c>
      <c r="E1885" s="1931" t="s">
        <v>33</v>
      </c>
      <c r="F1885" s="1930" t="s">
        <v>33</v>
      </c>
      <c r="G1885" s="1932">
        <v>100655</v>
      </c>
      <c r="H1885" s="1930" t="s">
        <v>8750</v>
      </c>
      <c r="I1885" s="1930" t="s">
        <v>136</v>
      </c>
      <c r="J1885" s="1930" t="s">
        <v>137</v>
      </c>
      <c r="K1885" s="1933">
        <v>420.32</v>
      </c>
      <c r="L1885" s="1930" t="s">
        <v>138</v>
      </c>
    </row>
    <row r="1886" spans="1:12" ht="13.5" x14ac:dyDescent="0.25">
      <c r="A1886" s="1930" t="s">
        <v>4555</v>
      </c>
      <c r="B1886" s="1930" t="s">
        <v>4556</v>
      </c>
      <c r="C1886" s="1930" t="s">
        <v>4559</v>
      </c>
      <c r="D1886" s="1930" t="s">
        <v>4560</v>
      </c>
      <c r="E1886" s="1931" t="s">
        <v>33</v>
      </c>
      <c r="F1886" s="1930" t="s">
        <v>33</v>
      </c>
      <c r="G1886" s="1932">
        <v>100656</v>
      </c>
      <c r="H1886" s="1930" t="s">
        <v>8751</v>
      </c>
      <c r="I1886" s="1930" t="s">
        <v>136</v>
      </c>
      <c r="J1886" s="1930" t="s">
        <v>137</v>
      </c>
      <c r="K1886" s="1933">
        <v>63.25</v>
      </c>
      <c r="L1886" s="1930" t="s">
        <v>138</v>
      </c>
    </row>
    <row r="1887" spans="1:12" ht="13.5" x14ac:dyDescent="0.25">
      <c r="A1887" s="1930" t="s">
        <v>4555</v>
      </c>
      <c r="B1887" s="1930" t="s">
        <v>4556</v>
      </c>
      <c r="C1887" s="1930" t="s">
        <v>4559</v>
      </c>
      <c r="D1887" s="1930" t="s">
        <v>4560</v>
      </c>
      <c r="E1887" s="1931" t="s">
        <v>33</v>
      </c>
      <c r="F1887" s="1930" t="s">
        <v>33</v>
      </c>
      <c r="G1887" s="1932">
        <v>100657</v>
      </c>
      <c r="H1887" s="1930" t="s">
        <v>8752</v>
      </c>
      <c r="I1887" s="1930" t="s">
        <v>136</v>
      </c>
      <c r="J1887" s="1930" t="s">
        <v>137</v>
      </c>
      <c r="K1887" s="1933">
        <v>81.25</v>
      </c>
      <c r="L1887" s="1930" t="s">
        <v>138</v>
      </c>
    </row>
    <row r="1888" spans="1:12" ht="13.5" x14ac:dyDescent="0.25">
      <c r="A1888" s="1930" t="s">
        <v>4555</v>
      </c>
      <c r="B1888" s="1930" t="s">
        <v>4556</v>
      </c>
      <c r="C1888" s="1930" t="s">
        <v>4559</v>
      </c>
      <c r="D1888" s="1930" t="s">
        <v>4560</v>
      </c>
      <c r="E1888" s="1931" t="s">
        <v>33</v>
      </c>
      <c r="F1888" s="1930" t="s">
        <v>33</v>
      </c>
      <c r="G1888" s="1932">
        <v>100658</v>
      </c>
      <c r="H1888" s="1930" t="s">
        <v>8753</v>
      </c>
      <c r="I1888" s="1930" t="s">
        <v>136</v>
      </c>
      <c r="J1888" s="1930" t="s">
        <v>137</v>
      </c>
      <c r="K1888" s="1933">
        <v>186.06</v>
      </c>
      <c r="L1888" s="1930" t="s">
        <v>138</v>
      </c>
    </row>
    <row r="1889" spans="1:12" ht="13.5" x14ac:dyDescent="0.25">
      <c r="A1889" s="1930" t="s">
        <v>4555</v>
      </c>
      <c r="B1889" s="1930" t="s">
        <v>4556</v>
      </c>
      <c r="C1889" s="1930" t="s">
        <v>4559</v>
      </c>
      <c r="D1889" s="1930" t="s">
        <v>4560</v>
      </c>
      <c r="E1889" s="1931" t="s">
        <v>33</v>
      </c>
      <c r="F1889" s="1930" t="s">
        <v>33</v>
      </c>
      <c r="G1889" s="1932">
        <v>100889</v>
      </c>
      <c r="H1889" s="1930" t="s">
        <v>9135</v>
      </c>
      <c r="I1889" s="1930" t="s">
        <v>305</v>
      </c>
      <c r="J1889" s="1930" t="s">
        <v>137</v>
      </c>
      <c r="K1889" s="1933">
        <v>7.39</v>
      </c>
      <c r="L1889" s="1930" t="s">
        <v>138</v>
      </c>
    </row>
    <row r="1890" spans="1:12" ht="13.5" x14ac:dyDescent="0.25">
      <c r="A1890" s="1930" t="s">
        <v>4555</v>
      </c>
      <c r="B1890" s="1930" t="s">
        <v>4556</v>
      </c>
      <c r="C1890" s="1930" t="s">
        <v>4559</v>
      </c>
      <c r="D1890" s="1930" t="s">
        <v>4560</v>
      </c>
      <c r="E1890" s="1931" t="s">
        <v>33</v>
      </c>
      <c r="F1890" s="1930" t="s">
        <v>33</v>
      </c>
      <c r="G1890" s="1932">
        <v>100890</v>
      </c>
      <c r="H1890" s="1930" t="s">
        <v>9136</v>
      </c>
      <c r="I1890" s="1930" t="s">
        <v>305</v>
      </c>
      <c r="J1890" s="1930" t="s">
        <v>137</v>
      </c>
      <c r="K1890" s="1933">
        <v>7.29</v>
      </c>
      <c r="L1890" s="1930" t="s">
        <v>138</v>
      </c>
    </row>
    <row r="1891" spans="1:12" ht="13.5" x14ac:dyDescent="0.25">
      <c r="A1891" s="1930" t="s">
        <v>4555</v>
      </c>
      <c r="B1891" s="1930" t="s">
        <v>4556</v>
      </c>
      <c r="C1891" s="1930" t="s">
        <v>4559</v>
      </c>
      <c r="D1891" s="1930" t="s">
        <v>4560</v>
      </c>
      <c r="E1891" s="1931" t="s">
        <v>33</v>
      </c>
      <c r="F1891" s="1930" t="s">
        <v>33</v>
      </c>
      <c r="G1891" s="1932">
        <v>100892</v>
      </c>
      <c r="H1891" s="1930" t="s">
        <v>9137</v>
      </c>
      <c r="I1891" s="1930" t="s">
        <v>305</v>
      </c>
      <c r="J1891" s="1930" t="s">
        <v>137</v>
      </c>
      <c r="K1891" s="1933">
        <v>7.11</v>
      </c>
      <c r="L1891" s="1930" t="s">
        <v>138</v>
      </c>
    </row>
    <row r="1892" spans="1:12" ht="13.5" x14ac:dyDescent="0.25">
      <c r="A1892" s="1930" t="s">
        <v>4555</v>
      </c>
      <c r="B1892" s="1930" t="s">
        <v>4556</v>
      </c>
      <c r="C1892" s="1930" t="s">
        <v>4559</v>
      </c>
      <c r="D1892" s="1930" t="s">
        <v>4560</v>
      </c>
      <c r="E1892" s="1931" t="s">
        <v>33</v>
      </c>
      <c r="F1892" s="1930" t="s">
        <v>33</v>
      </c>
      <c r="G1892" s="1932">
        <v>100893</v>
      </c>
      <c r="H1892" s="1930" t="s">
        <v>9138</v>
      </c>
      <c r="I1892" s="1930" t="s">
        <v>305</v>
      </c>
      <c r="J1892" s="1930" t="s">
        <v>137</v>
      </c>
      <c r="K1892" s="1933">
        <v>6.99</v>
      </c>
      <c r="L1892" s="1930" t="s">
        <v>138</v>
      </c>
    </row>
    <row r="1893" spans="1:12" ht="13.5" x14ac:dyDescent="0.25">
      <c r="A1893" s="1930" t="s">
        <v>4555</v>
      </c>
      <c r="B1893" s="1930" t="s">
        <v>4556</v>
      </c>
      <c r="C1893" s="1930" t="s">
        <v>4559</v>
      </c>
      <c r="D1893" s="1930" t="s">
        <v>4560</v>
      </c>
      <c r="E1893" s="1931" t="s">
        <v>33</v>
      </c>
      <c r="F1893" s="1930" t="s">
        <v>33</v>
      </c>
      <c r="G1893" s="1932">
        <v>100894</v>
      </c>
      <c r="H1893" s="1930" t="s">
        <v>9139</v>
      </c>
      <c r="I1893" s="1930" t="s">
        <v>305</v>
      </c>
      <c r="J1893" s="1930" t="s">
        <v>137</v>
      </c>
      <c r="K1893" s="1933">
        <v>6.93</v>
      </c>
      <c r="L1893" s="1930" t="s">
        <v>138</v>
      </c>
    </row>
    <row r="1894" spans="1:12" ht="13.5" x14ac:dyDescent="0.25">
      <c r="A1894" s="1930" t="s">
        <v>4555</v>
      </c>
      <c r="B1894" s="1930" t="s">
        <v>4556</v>
      </c>
      <c r="C1894" s="1930" t="s">
        <v>4559</v>
      </c>
      <c r="D1894" s="1930" t="s">
        <v>4560</v>
      </c>
      <c r="E1894" s="1931" t="s">
        <v>33</v>
      </c>
      <c r="F1894" s="1930" t="s">
        <v>33</v>
      </c>
      <c r="G1894" s="1932">
        <v>100896</v>
      </c>
      <c r="H1894" s="1930" t="s">
        <v>9140</v>
      </c>
      <c r="I1894" s="1930" t="s">
        <v>136</v>
      </c>
      <c r="J1894" s="1930" t="s">
        <v>137</v>
      </c>
      <c r="K1894" s="1933">
        <v>37.65</v>
      </c>
      <c r="L1894" s="1930" t="s">
        <v>138</v>
      </c>
    </row>
    <row r="1895" spans="1:12" ht="13.5" x14ac:dyDescent="0.25">
      <c r="A1895" s="1930" t="s">
        <v>4555</v>
      </c>
      <c r="B1895" s="1930" t="s">
        <v>4556</v>
      </c>
      <c r="C1895" s="1930" t="s">
        <v>4559</v>
      </c>
      <c r="D1895" s="1930" t="s">
        <v>4560</v>
      </c>
      <c r="E1895" s="1931" t="s">
        <v>33</v>
      </c>
      <c r="F1895" s="1930" t="s">
        <v>33</v>
      </c>
      <c r="G1895" s="1932">
        <v>100897</v>
      </c>
      <c r="H1895" s="1930" t="s">
        <v>9141</v>
      </c>
      <c r="I1895" s="1930" t="s">
        <v>136</v>
      </c>
      <c r="J1895" s="1930" t="s">
        <v>137</v>
      </c>
      <c r="K1895" s="1933">
        <v>73.73</v>
      </c>
      <c r="L1895" s="1930" t="s">
        <v>138</v>
      </c>
    </row>
    <row r="1896" spans="1:12" ht="13.5" x14ac:dyDescent="0.25">
      <c r="A1896" s="1930" t="s">
        <v>4555</v>
      </c>
      <c r="B1896" s="1930" t="s">
        <v>4556</v>
      </c>
      <c r="C1896" s="1930" t="s">
        <v>4559</v>
      </c>
      <c r="D1896" s="1930" t="s">
        <v>4560</v>
      </c>
      <c r="E1896" s="1931" t="s">
        <v>33</v>
      </c>
      <c r="F1896" s="1930" t="s">
        <v>33</v>
      </c>
      <c r="G1896" s="1932">
        <v>100898</v>
      </c>
      <c r="H1896" s="1930" t="s">
        <v>9142</v>
      </c>
      <c r="I1896" s="1930" t="s">
        <v>136</v>
      </c>
      <c r="J1896" s="1930" t="s">
        <v>137</v>
      </c>
      <c r="K1896" s="1933">
        <v>142.96</v>
      </c>
      <c r="L1896" s="1930" t="s">
        <v>138</v>
      </c>
    </row>
    <row r="1897" spans="1:12" ht="13.5" x14ac:dyDescent="0.25">
      <c r="A1897" s="1930" t="s">
        <v>4555</v>
      </c>
      <c r="B1897" s="1930" t="s">
        <v>4556</v>
      </c>
      <c r="C1897" s="1930" t="s">
        <v>4559</v>
      </c>
      <c r="D1897" s="1930" t="s">
        <v>4560</v>
      </c>
      <c r="E1897" s="1931" t="s">
        <v>33</v>
      </c>
      <c r="F1897" s="1930" t="s">
        <v>33</v>
      </c>
      <c r="G1897" s="1932">
        <v>100899</v>
      </c>
      <c r="H1897" s="1930" t="s">
        <v>9143</v>
      </c>
      <c r="I1897" s="1930" t="s">
        <v>136</v>
      </c>
      <c r="J1897" s="1930" t="s">
        <v>137</v>
      </c>
      <c r="K1897" s="1933">
        <v>54.69</v>
      </c>
      <c r="L1897" s="1930" t="s">
        <v>138</v>
      </c>
    </row>
    <row r="1898" spans="1:12" ht="13.5" x14ac:dyDescent="0.25">
      <c r="A1898" s="1930" t="s">
        <v>4555</v>
      </c>
      <c r="B1898" s="1930" t="s">
        <v>4556</v>
      </c>
      <c r="C1898" s="1930" t="s">
        <v>4559</v>
      </c>
      <c r="D1898" s="1930" t="s">
        <v>4560</v>
      </c>
      <c r="E1898" s="1931" t="s">
        <v>33</v>
      </c>
      <c r="F1898" s="1930" t="s">
        <v>33</v>
      </c>
      <c r="G1898" s="1932">
        <v>100900</v>
      </c>
      <c r="H1898" s="1930" t="s">
        <v>9144</v>
      </c>
      <c r="I1898" s="1930" t="s">
        <v>136</v>
      </c>
      <c r="J1898" s="1930" t="s">
        <v>137</v>
      </c>
      <c r="K1898" s="1933">
        <v>164.98</v>
      </c>
      <c r="L1898" s="1930" t="s">
        <v>138</v>
      </c>
    </row>
    <row r="1899" spans="1:12" ht="13.5" x14ac:dyDescent="0.25">
      <c r="A1899" s="1930" t="s">
        <v>4555</v>
      </c>
      <c r="B1899" s="1930" t="s">
        <v>4556</v>
      </c>
      <c r="C1899" s="1930" t="s">
        <v>4559</v>
      </c>
      <c r="D1899" s="1930" t="s">
        <v>4560</v>
      </c>
      <c r="E1899" s="1931" t="s">
        <v>33</v>
      </c>
      <c r="F1899" s="1930" t="s">
        <v>33</v>
      </c>
      <c r="G1899" s="1932">
        <v>100929</v>
      </c>
      <c r="H1899" s="1930" t="s">
        <v>14880</v>
      </c>
      <c r="I1899" s="1930" t="s">
        <v>136</v>
      </c>
      <c r="J1899" s="1930" t="s">
        <v>137</v>
      </c>
      <c r="K1899" s="1933">
        <v>163.86</v>
      </c>
      <c r="L1899" s="1930" t="s">
        <v>138</v>
      </c>
    </row>
    <row r="1900" spans="1:12" ht="13.5" x14ac:dyDescent="0.25">
      <c r="A1900" s="1930" t="s">
        <v>4555</v>
      </c>
      <c r="B1900" s="1930" t="s">
        <v>4556</v>
      </c>
      <c r="C1900" s="1930" t="s">
        <v>4559</v>
      </c>
      <c r="D1900" s="1930" t="s">
        <v>4560</v>
      </c>
      <c r="E1900" s="1931" t="s">
        <v>33</v>
      </c>
      <c r="F1900" s="1930" t="s">
        <v>33</v>
      </c>
      <c r="G1900" s="1932">
        <v>100930</v>
      </c>
      <c r="H1900" s="1930" t="s">
        <v>14881</v>
      </c>
      <c r="I1900" s="1930" t="s">
        <v>136</v>
      </c>
      <c r="J1900" s="1930" t="s">
        <v>137</v>
      </c>
      <c r="K1900" s="1933">
        <v>240.94</v>
      </c>
      <c r="L1900" s="1930" t="s">
        <v>138</v>
      </c>
    </row>
    <row r="1901" spans="1:12" ht="13.5" x14ac:dyDescent="0.25">
      <c r="A1901" s="1930" t="s">
        <v>4555</v>
      </c>
      <c r="B1901" s="1930" t="s">
        <v>4556</v>
      </c>
      <c r="C1901" s="1930" t="s">
        <v>4559</v>
      </c>
      <c r="D1901" s="1930" t="s">
        <v>4560</v>
      </c>
      <c r="E1901" s="1931" t="s">
        <v>33</v>
      </c>
      <c r="F1901" s="1930" t="s">
        <v>33</v>
      </c>
      <c r="G1901" s="1932">
        <v>100931</v>
      </c>
      <c r="H1901" s="1930" t="s">
        <v>14882</v>
      </c>
      <c r="I1901" s="1930" t="s">
        <v>136</v>
      </c>
      <c r="J1901" s="1930" t="s">
        <v>137</v>
      </c>
      <c r="K1901" s="1933">
        <v>305.98</v>
      </c>
      <c r="L1901" s="1930" t="s">
        <v>138</v>
      </c>
    </row>
    <row r="1902" spans="1:12" ht="13.5" x14ac:dyDescent="0.25">
      <c r="A1902" s="1930" t="s">
        <v>4555</v>
      </c>
      <c r="B1902" s="1930" t="s">
        <v>4556</v>
      </c>
      <c r="C1902" s="1930" t="s">
        <v>4559</v>
      </c>
      <c r="D1902" s="1930" t="s">
        <v>4560</v>
      </c>
      <c r="E1902" s="1931" t="s">
        <v>33</v>
      </c>
      <c r="F1902" s="1930" t="s">
        <v>33</v>
      </c>
      <c r="G1902" s="1932">
        <v>100932</v>
      </c>
      <c r="H1902" s="1930" t="s">
        <v>14883</v>
      </c>
      <c r="I1902" s="1930" t="s">
        <v>136</v>
      </c>
      <c r="J1902" s="1930" t="s">
        <v>137</v>
      </c>
      <c r="K1902" s="1933">
        <v>410.65</v>
      </c>
      <c r="L1902" s="1930" t="s">
        <v>138</v>
      </c>
    </row>
    <row r="1903" spans="1:12" ht="13.5" x14ac:dyDescent="0.25">
      <c r="A1903" s="1930" t="s">
        <v>4555</v>
      </c>
      <c r="B1903" s="1930" t="s">
        <v>4556</v>
      </c>
      <c r="C1903" s="1930" t="s">
        <v>4559</v>
      </c>
      <c r="D1903" s="1930" t="s">
        <v>4560</v>
      </c>
      <c r="E1903" s="1931" t="s">
        <v>33</v>
      </c>
      <c r="F1903" s="1930" t="s">
        <v>33</v>
      </c>
      <c r="G1903" s="1932">
        <v>100933</v>
      </c>
      <c r="H1903" s="1930" t="s">
        <v>14884</v>
      </c>
      <c r="I1903" s="1930" t="s">
        <v>136</v>
      </c>
      <c r="J1903" s="1930" t="s">
        <v>137</v>
      </c>
      <c r="K1903" s="1933">
        <v>207.67</v>
      </c>
      <c r="L1903" s="1930" t="s">
        <v>138</v>
      </c>
    </row>
    <row r="1904" spans="1:12" ht="13.5" x14ac:dyDescent="0.25">
      <c r="A1904" s="1930" t="s">
        <v>4555</v>
      </c>
      <c r="B1904" s="1930" t="s">
        <v>4556</v>
      </c>
      <c r="C1904" s="1930" t="s">
        <v>4559</v>
      </c>
      <c r="D1904" s="1930" t="s">
        <v>4560</v>
      </c>
      <c r="E1904" s="1931" t="s">
        <v>33</v>
      </c>
      <c r="F1904" s="1930" t="s">
        <v>33</v>
      </c>
      <c r="G1904" s="1932">
        <v>100934</v>
      </c>
      <c r="H1904" s="1930" t="s">
        <v>14885</v>
      </c>
      <c r="I1904" s="1930" t="s">
        <v>136</v>
      </c>
      <c r="J1904" s="1930" t="s">
        <v>137</v>
      </c>
      <c r="K1904" s="1933">
        <v>295.70999999999998</v>
      </c>
      <c r="L1904" s="1930" t="s">
        <v>138</v>
      </c>
    </row>
    <row r="1905" spans="1:12" ht="13.5" x14ac:dyDescent="0.25">
      <c r="A1905" s="1930" t="s">
        <v>4555</v>
      </c>
      <c r="B1905" s="1930" t="s">
        <v>4556</v>
      </c>
      <c r="C1905" s="1930" t="s">
        <v>4559</v>
      </c>
      <c r="D1905" s="1930" t="s">
        <v>4560</v>
      </c>
      <c r="E1905" s="1931" t="s">
        <v>33</v>
      </c>
      <c r="F1905" s="1930" t="s">
        <v>33</v>
      </c>
      <c r="G1905" s="1932">
        <v>100935</v>
      </c>
      <c r="H1905" s="1930" t="s">
        <v>14886</v>
      </c>
      <c r="I1905" s="1930" t="s">
        <v>136</v>
      </c>
      <c r="J1905" s="1930" t="s">
        <v>137</v>
      </c>
      <c r="K1905" s="1933">
        <v>374.85</v>
      </c>
      <c r="L1905" s="1930" t="s">
        <v>138</v>
      </c>
    </row>
    <row r="1906" spans="1:12" ht="13.5" x14ac:dyDescent="0.25">
      <c r="A1906" s="1930" t="s">
        <v>4555</v>
      </c>
      <c r="B1906" s="1930" t="s">
        <v>4556</v>
      </c>
      <c r="C1906" s="1930" t="s">
        <v>4559</v>
      </c>
      <c r="D1906" s="1930" t="s">
        <v>4560</v>
      </c>
      <c r="E1906" s="1931" t="s">
        <v>33</v>
      </c>
      <c r="F1906" s="1930" t="s">
        <v>33</v>
      </c>
      <c r="G1906" s="1932">
        <v>100936</v>
      </c>
      <c r="H1906" s="1930" t="s">
        <v>14887</v>
      </c>
      <c r="I1906" s="1930" t="s">
        <v>136</v>
      </c>
      <c r="J1906" s="1930" t="s">
        <v>137</v>
      </c>
      <c r="K1906" s="1933">
        <v>490.95</v>
      </c>
      <c r="L1906" s="1930" t="s">
        <v>138</v>
      </c>
    </row>
    <row r="1907" spans="1:12" ht="13.5" x14ac:dyDescent="0.25">
      <c r="A1907" s="1930" t="s">
        <v>4555</v>
      </c>
      <c r="B1907" s="1930" t="s">
        <v>4556</v>
      </c>
      <c r="C1907" s="1930" t="s">
        <v>4561</v>
      </c>
      <c r="D1907" s="1930" t="s">
        <v>4562</v>
      </c>
      <c r="E1907" s="1931" t="s">
        <v>33</v>
      </c>
      <c r="F1907" s="1930" t="s">
        <v>33</v>
      </c>
      <c r="G1907" s="1932">
        <v>95240</v>
      </c>
      <c r="H1907" s="1930" t="s">
        <v>5409</v>
      </c>
      <c r="I1907" s="1930" t="s">
        <v>306</v>
      </c>
      <c r="J1907" s="1930" t="s">
        <v>320</v>
      </c>
      <c r="K1907" s="1933">
        <v>12.97</v>
      </c>
      <c r="L1907" s="1930" t="s">
        <v>138</v>
      </c>
    </row>
    <row r="1908" spans="1:12" ht="13.5" x14ac:dyDescent="0.25">
      <c r="A1908" s="1930" t="s">
        <v>4555</v>
      </c>
      <c r="B1908" s="1930" t="s">
        <v>4556</v>
      </c>
      <c r="C1908" s="1930" t="s">
        <v>4561</v>
      </c>
      <c r="D1908" s="1930" t="s">
        <v>4562</v>
      </c>
      <c r="E1908" s="1931" t="s">
        <v>33</v>
      </c>
      <c r="F1908" s="1930" t="s">
        <v>33</v>
      </c>
      <c r="G1908" s="1932">
        <v>95241</v>
      </c>
      <c r="H1908" s="1930" t="s">
        <v>5410</v>
      </c>
      <c r="I1908" s="1930" t="s">
        <v>306</v>
      </c>
      <c r="J1908" s="1930" t="s">
        <v>320</v>
      </c>
      <c r="K1908" s="1933">
        <v>21.64</v>
      </c>
      <c r="L1908" s="1930" t="s">
        <v>138</v>
      </c>
    </row>
    <row r="1909" spans="1:12" ht="13.5" x14ac:dyDescent="0.25">
      <c r="A1909" s="1930" t="s">
        <v>4555</v>
      </c>
      <c r="B1909" s="1930" t="s">
        <v>4556</v>
      </c>
      <c r="C1909" s="1930" t="s">
        <v>4561</v>
      </c>
      <c r="D1909" s="1930" t="s">
        <v>4562</v>
      </c>
      <c r="E1909" s="1931" t="s">
        <v>33</v>
      </c>
      <c r="F1909" s="1930" t="s">
        <v>33</v>
      </c>
      <c r="G1909" s="1932">
        <v>96616</v>
      </c>
      <c r="H1909" s="1930" t="s">
        <v>1402</v>
      </c>
      <c r="I1909" s="1930" t="s">
        <v>1208</v>
      </c>
      <c r="J1909" s="1930" t="s">
        <v>320</v>
      </c>
      <c r="K1909" s="1933">
        <v>451.96</v>
      </c>
      <c r="L1909" s="1930" t="s">
        <v>138</v>
      </c>
    </row>
    <row r="1910" spans="1:12" ht="13.5" x14ac:dyDescent="0.25">
      <c r="A1910" s="1930" t="s">
        <v>4555</v>
      </c>
      <c r="B1910" s="1930" t="s">
        <v>4556</v>
      </c>
      <c r="C1910" s="1930" t="s">
        <v>4561</v>
      </c>
      <c r="D1910" s="1930" t="s">
        <v>4562</v>
      </c>
      <c r="E1910" s="1931" t="s">
        <v>33</v>
      </c>
      <c r="F1910" s="1930" t="s">
        <v>33</v>
      </c>
      <c r="G1910" s="1932">
        <v>96617</v>
      </c>
      <c r="H1910" s="1930" t="s">
        <v>1403</v>
      </c>
      <c r="I1910" s="1930" t="s">
        <v>306</v>
      </c>
      <c r="J1910" s="1930" t="s">
        <v>320</v>
      </c>
      <c r="K1910" s="1933">
        <v>13.54</v>
      </c>
      <c r="L1910" s="1930" t="s">
        <v>138</v>
      </c>
    </row>
    <row r="1911" spans="1:12" ht="13.5" x14ac:dyDescent="0.25">
      <c r="A1911" s="1930" t="s">
        <v>4555</v>
      </c>
      <c r="B1911" s="1930" t="s">
        <v>4556</v>
      </c>
      <c r="C1911" s="1930" t="s">
        <v>4561</v>
      </c>
      <c r="D1911" s="1930" t="s">
        <v>4562</v>
      </c>
      <c r="E1911" s="1931" t="s">
        <v>33</v>
      </c>
      <c r="F1911" s="1930" t="s">
        <v>33</v>
      </c>
      <c r="G1911" s="1932">
        <v>96619</v>
      </c>
      <c r="H1911" s="1930" t="s">
        <v>1404</v>
      </c>
      <c r="I1911" s="1930" t="s">
        <v>306</v>
      </c>
      <c r="J1911" s="1930" t="s">
        <v>320</v>
      </c>
      <c r="K1911" s="1933">
        <v>22.58</v>
      </c>
      <c r="L1911" s="1930" t="s">
        <v>138</v>
      </c>
    </row>
    <row r="1912" spans="1:12" ht="13.5" x14ac:dyDescent="0.25">
      <c r="A1912" s="1930" t="s">
        <v>4555</v>
      </c>
      <c r="B1912" s="1930" t="s">
        <v>4556</v>
      </c>
      <c r="C1912" s="1930" t="s">
        <v>4561</v>
      </c>
      <c r="D1912" s="1930" t="s">
        <v>4562</v>
      </c>
      <c r="E1912" s="1931" t="s">
        <v>33</v>
      </c>
      <c r="F1912" s="1930" t="s">
        <v>33</v>
      </c>
      <c r="G1912" s="1932">
        <v>96620</v>
      </c>
      <c r="H1912" s="1930" t="s">
        <v>1405</v>
      </c>
      <c r="I1912" s="1930" t="s">
        <v>1208</v>
      </c>
      <c r="J1912" s="1930" t="s">
        <v>320</v>
      </c>
      <c r="K1912" s="1933">
        <v>433.16</v>
      </c>
      <c r="L1912" s="1930" t="s">
        <v>138</v>
      </c>
    </row>
    <row r="1913" spans="1:12" ht="13.5" x14ac:dyDescent="0.25">
      <c r="A1913" s="1930" t="s">
        <v>4555</v>
      </c>
      <c r="B1913" s="1930" t="s">
        <v>4556</v>
      </c>
      <c r="C1913" s="1930" t="s">
        <v>4561</v>
      </c>
      <c r="D1913" s="1930" t="s">
        <v>4562</v>
      </c>
      <c r="E1913" s="1931" t="s">
        <v>33</v>
      </c>
      <c r="F1913" s="1930" t="s">
        <v>33</v>
      </c>
      <c r="G1913" s="1932">
        <v>96621</v>
      </c>
      <c r="H1913" s="1930" t="s">
        <v>1406</v>
      </c>
      <c r="I1913" s="1930" t="s">
        <v>1208</v>
      </c>
      <c r="J1913" s="1930" t="s">
        <v>320</v>
      </c>
      <c r="K1913" s="1933">
        <v>177.38</v>
      </c>
      <c r="L1913" s="1930" t="s">
        <v>138</v>
      </c>
    </row>
    <row r="1914" spans="1:12" ht="13.5" x14ac:dyDescent="0.25">
      <c r="A1914" s="1930" t="s">
        <v>4555</v>
      </c>
      <c r="B1914" s="1930" t="s">
        <v>4556</v>
      </c>
      <c r="C1914" s="1930" t="s">
        <v>4561</v>
      </c>
      <c r="D1914" s="1930" t="s">
        <v>4562</v>
      </c>
      <c r="E1914" s="1931" t="s">
        <v>33</v>
      </c>
      <c r="F1914" s="1930" t="s">
        <v>33</v>
      </c>
      <c r="G1914" s="1932">
        <v>96622</v>
      </c>
      <c r="H1914" s="1930" t="s">
        <v>1407</v>
      </c>
      <c r="I1914" s="1930" t="s">
        <v>1208</v>
      </c>
      <c r="J1914" s="1930" t="s">
        <v>320</v>
      </c>
      <c r="K1914" s="1933">
        <v>122.12</v>
      </c>
      <c r="L1914" s="1930" t="s">
        <v>138</v>
      </c>
    </row>
    <row r="1915" spans="1:12" ht="13.5" x14ac:dyDescent="0.25">
      <c r="A1915" s="1930" t="s">
        <v>4555</v>
      </c>
      <c r="B1915" s="1930" t="s">
        <v>4556</v>
      </c>
      <c r="C1915" s="1930" t="s">
        <v>4561</v>
      </c>
      <c r="D1915" s="1930" t="s">
        <v>4562</v>
      </c>
      <c r="E1915" s="1931" t="s">
        <v>33</v>
      </c>
      <c r="F1915" s="1930" t="s">
        <v>33</v>
      </c>
      <c r="G1915" s="1932">
        <v>96623</v>
      </c>
      <c r="H1915" s="1930" t="s">
        <v>1408</v>
      </c>
      <c r="I1915" s="1930" t="s">
        <v>1208</v>
      </c>
      <c r="J1915" s="1930" t="s">
        <v>320</v>
      </c>
      <c r="K1915" s="1933">
        <v>164.51</v>
      </c>
      <c r="L1915" s="1930" t="s">
        <v>138</v>
      </c>
    </row>
    <row r="1916" spans="1:12" ht="13.5" x14ac:dyDescent="0.25">
      <c r="A1916" s="1930" t="s">
        <v>4555</v>
      </c>
      <c r="B1916" s="1930" t="s">
        <v>4556</v>
      </c>
      <c r="C1916" s="1930" t="s">
        <v>4561</v>
      </c>
      <c r="D1916" s="1930" t="s">
        <v>4562</v>
      </c>
      <c r="E1916" s="1931" t="s">
        <v>33</v>
      </c>
      <c r="F1916" s="1930" t="s">
        <v>33</v>
      </c>
      <c r="G1916" s="1932">
        <v>96624</v>
      </c>
      <c r="H1916" s="1930" t="s">
        <v>8054</v>
      </c>
      <c r="I1916" s="1930" t="s">
        <v>1208</v>
      </c>
      <c r="J1916" s="1930" t="s">
        <v>320</v>
      </c>
      <c r="K1916" s="1933">
        <v>117.58</v>
      </c>
      <c r="L1916" s="1930" t="s">
        <v>138</v>
      </c>
    </row>
    <row r="1917" spans="1:12" ht="13.5" x14ac:dyDescent="0.25">
      <c r="A1917" s="1930" t="s">
        <v>4555</v>
      </c>
      <c r="B1917" s="1930" t="s">
        <v>4556</v>
      </c>
      <c r="C1917" s="1930" t="s">
        <v>4561</v>
      </c>
      <c r="D1917" s="1930" t="s">
        <v>4562</v>
      </c>
      <c r="E1917" s="1931" t="s">
        <v>33</v>
      </c>
      <c r="F1917" s="1930" t="s">
        <v>33</v>
      </c>
      <c r="G1917" s="1932">
        <v>97082</v>
      </c>
      <c r="H1917" s="1930" t="s">
        <v>4948</v>
      </c>
      <c r="I1917" s="1930" t="s">
        <v>1208</v>
      </c>
      <c r="J1917" s="1930" t="s">
        <v>346</v>
      </c>
      <c r="K1917" s="1933">
        <v>43.79</v>
      </c>
      <c r="L1917" s="1930" t="s">
        <v>138</v>
      </c>
    </row>
    <row r="1918" spans="1:12" ht="13.5" x14ac:dyDescent="0.25">
      <c r="A1918" s="1930" t="s">
        <v>4555</v>
      </c>
      <c r="B1918" s="1930" t="s">
        <v>4556</v>
      </c>
      <c r="C1918" s="1930" t="s">
        <v>4561</v>
      </c>
      <c r="D1918" s="1930" t="s">
        <v>4562</v>
      </c>
      <c r="E1918" s="1931" t="s">
        <v>33</v>
      </c>
      <c r="F1918" s="1930" t="s">
        <v>33</v>
      </c>
      <c r="G1918" s="1932">
        <v>97083</v>
      </c>
      <c r="H1918" s="1930" t="s">
        <v>4949</v>
      </c>
      <c r="I1918" s="1930" t="s">
        <v>306</v>
      </c>
      <c r="J1918" s="1930" t="s">
        <v>137</v>
      </c>
      <c r="K1918" s="1933">
        <v>2.38</v>
      </c>
      <c r="L1918" s="1930" t="s">
        <v>138</v>
      </c>
    </row>
    <row r="1919" spans="1:12" ht="13.5" x14ac:dyDescent="0.25">
      <c r="A1919" s="1930" t="s">
        <v>4555</v>
      </c>
      <c r="B1919" s="1930" t="s">
        <v>4556</v>
      </c>
      <c r="C1919" s="1930" t="s">
        <v>4561</v>
      </c>
      <c r="D1919" s="1930" t="s">
        <v>4562</v>
      </c>
      <c r="E1919" s="1931" t="s">
        <v>33</v>
      </c>
      <c r="F1919" s="1930" t="s">
        <v>33</v>
      </c>
      <c r="G1919" s="1932">
        <v>97084</v>
      </c>
      <c r="H1919" s="1930" t="s">
        <v>4950</v>
      </c>
      <c r="I1919" s="1930" t="s">
        <v>306</v>
      </c>
      <c r="J1919" s="1930" t="s">
        <v>320</v>
      </c>
      <c r="K1919" s="1933">
        <v>0.49</v>
      </c>
      <c r="L1919" s="1930" t="s">
        <v>138</v>
      </c>
    </row>
    <row r="1920" spans="1:12" ht="13.5" x14ac:dyDescent="0.25">
      <c r="A1920" s="1930" t="s">
        <v>4555</v>
      </c>
      <c r="B1920" s="1930" t="s">
        <v>4556</v>
      </c>
      <c r="C1920" s="1930" t="s">
        <v>4561</v>
      </c>
      <c r="D1920" s="1930" t="s">
        <v>4562</v>
      </c>
      <c r="E1920" s="1931" t="s">
        <v>33</v>
      </c>
      <c r="F1920" s="1930" t="s">
        <v>33</v>
      </c>
      <c r="G1920" s="1932">
        <v>97086</v>
      </c>
      <c r="H1920" s="1930" t="s">
        <v>4951</v>
      </c>
      <c r="I1920" s="1930" t="s">
        <v>306</v>
      </c>
      <c r="J1920" s="1930" t="s">
        <v>320</v>
      </c>
      <c r="K1920" s="1933">
        <v>88.53</v>
      </c>
      <c r="L1920" s="1930" t="s">
        <v>138</v>
      </c>
    </row>
    <row r="1921" spans="1:12" ht="13.5" x14ac:dyDescent="0.25">
      <c r="A1921" s="1930" t="s">
        <v>4555</v>
      </c>
      <c r="B1921" s="1930" t="s">
        <v>4556</v>
      </c>
      <c r="C1921" s="1930" t="s">
        <v>4561</v>
      </c>
      <c r="D1921" s="1930" t="s">
        <v>4562</v>
      </c>
      <c r="E1921" s="1931" t="s">
        <v>33</v>
      </c>
      <c r="F1921" s="1930" t="s">
        <v>33</v>
      </c>
      <c r="G1921" s="1932">
        <v>97094</v>
      </c>
      <c r="H1921" s="1930" t="s">
        <v>4952</v>
      </c>
      <c r="I1921" s="1930" t="s">
        <v>1208</v>
      </c>
      <c r="J1921" s="1930" t="s">
        <v>137</v>
      </c>
      <c r="K1921" s="1933">
        <v>387.41</v>
      </c>
      <c r="L1921" s="1930" t="s">
        <v>138</v>
      </c>
    </row>
    <row r="1922" spans="1:12" ht="13.5" x14ac:dyDescent="0.25">
      <c r="A1922" s="1930" t="s">
        <v>4555</v>
      </c>
      <c r="B1922" s="1930" t="s">
        <v>4556</v>
      </c>
      <c r="C1922" s="1930" t="s">
        <v>4561</v>
      </c>
      <c r="D1922" s="1930" t="s">
        <v>4562</v>
      </c>
      <c r="E1922" s="1931" t="s">
        <v>33</v>
      </c>
      <c r="F1922" s="1930" t="s">
        <v>33</v>
      </c>
      <c r="G1922" s="1932">
        <v>97095</v>
      </c>
      <c r="H1922" s="1930" t="s">
        <v>4953</v>
      </c>
      <c r="I1922" s="1930" t="s">
        <v>1208</v>
      </c>
      <c r="J1922" s="1930" t="s">
        <v>137</v>
      </c>
      <c r="K1922" s="1933">
        <v>363.59</v>
      </c>
      <c r="L1922" s="1930" t="s">
        <v>138</v>
      </c>
    </row>
    <row r="1923" spans="1:12" ht="13.5" x14ac:dyDescent="0.25">
      <c r="A1923" s="1930" t="s">
        <v>4555</v>
      </c>
      <c r="B1923" s="1930" t="s">
        <v>4556</v>
      </c>
      <c r="C1923" s="1930" t="s">
        <v>4561</v>
      </c>
      <c r="D1923" s="1930" t="s">
        <v>4562</v>
      </c>
      <c r="E1923" s="1931" t="s">
        <v>33</v>
      </c>
      <c r="F1923" s="1930" t="s">
        <v>33</v>
      </c>
      <c r="G1923" s="1932">
        <v>97096</v>
      </c>
      <c r="H1923" s="1930" t="s">
        <v>4954</v>
      </c>
      <c r="I1923" s="1930" t="s">
        <v>1208</v>
      </c>
      <c r="J1923" s="1930" t="s">
        <v>137</v>
      </c>
      <c r="K1923" s="1933">
        <v>351.37</v>
      </c>
      <c r="L1923" s="1930" t="s">
        <v>138</v>
      </c>
    </row>
    <row r="1924" spans="1:12" ht="13.5" x14ac:dyDescent="0.25">
      <c r="A1924" s="1930" t="s">
        <v>4555</v>
      </c>
      <c r="B1924" s="1930" t="s">
        <v>4556</v>
      </c>
      <c r="C1924" s="1930" t="s">
        <v>4561</v>
      </c>
      <c r="D1924" s="1930" t="s">
        <v>4562</v>
      </c>
      <c r="E1924" s="1931" t="s">
        <v>33</v>
      </c>
      <c r="F1924" s="1930" t="s">
        <v>33</v>
      </c>
      <c r="G1924" s="1932">
        <v>97097</v>
      </c>
      <c r="H1924" s="1930" t="s">
        <v>14888</v>
      </c>
      <c r="I1924" s="1930" t="s">
        <v>306</v>
      </c>
      <c r="J1924" s="1930" t="s">
        <v>137</v>
      </c>
      <c r="K1924" s="1933">
        <v>25.25</v>
      </c>
      <c r="L1924" s="1930" t="s">
        <v>138</v>
      </c>
    </row>
    <row r="1925" spans="1:12" ht="13.5" x14ac:dyDescent="0.25">
      <c r="A1925" s="1930" t="s">
        <v>4555</v>
      </c>
      <c r="B1925" s="1930" t="s">
        <v>4556</v>
      </c>
      <c r="C1925" s="1930" t="s">
        <v>4561</v>
      </c>
      <c r="D1925" s="1930" t="s">
        <v>4562</v>
      </c>
      <c r="E1925" s="1931" t="s">
        <v>33</v>
      </c>
      <c r="F1925" s="1930" t="s">
        <v>33</v>
      </c>
      <c r="G1925" s="1932">
        <v>100322</v>
      </c>
      <c r="H1925" s="1930" t="s">
        <v>8055</v>
      </c>
      <c r="I1925" s="1930" t="s">
        <v>1208</v>
      </c>
      <c r="J1925" s="1930" t="s">
        <v>320</v>
      </c>
      <c r="K1925" s="1933">
        <v>117.58</v>
      </c>
      <c r="L1925" s="1930" t="s">
        <v>138</v>
      </c>
    </row>
    <row r="1926" spans="1:12" ht="13.5" x14ac:dyDescent="0.25">
      <c r="A1926" s="1930" t="s">
        <v>4555</v>
      </c>
      <c r="B1926" s="1930" t="s">
        <v>4556</v>
      </c>
      <c r="C1926" s="1930" t="s">
        <v>4561</v>
      </c>
      <c r="D1926" s="1930" t="s">
        <v>4562</v>
      </c>
      <c r="E1926" s="1931" t="s">
        <v>33</v>
      </c>
      <c r="F1926" s="1930" t="s">
        <v>33</v>
      </c>
      <c r="G1926" s="1932">
        <v>100323</v>
      </c>
      <c r="H1926" s="1930" t="s">
        <v>8056</v>
      </c>
      <c r="I1926" s="1930" t="s">
        <v>1208</v>
      </c>
      <c r="J1926" s="1930" t="s">
        <v>320</v>
      </c>
      <c r="K1926" s="1933">
        <v>133.51</v>
      </c>
      <c r="L1926" s="1930" t="s">
        <v>138</v>
      </c>
    </row>
    <row r="1927" spans="1:12" ht="13.5" x14ac:dyDescent="0.25">
      <c r="A1927" s="1930" t="s">
        <v>4555</v>
      </c>
      <c r="B1927" s="1930" t="s">
        <v>4556</v>
      </c>
      <c r="C1927" s="1930" t="s">
        <v>4561</v>
      </c>
      <c r="D1927" s="1930" t="s">
        <v>4562</v>
      </c>
      <c r="E1927" s="1931" t="s">
        <v>33</v>
      </c>
      <c r="F1927" s="1930" t="s">
        <v>33</v>
      </c>
      <c r="G1927" s="1932">
        <v>100324</v>
      </c>
      <c r="H1927" s="1930" t="s">
        <v>8057</v>
      </c>
      <c r="I1927" s="1930" t="s">
        <v>1208</v>
      </c>
      <c r="J1927" s="1930" t="s">
        <v>320</v>
      </c>
      <c r="K1927" s="1933">
        <v>117.58</v>
      </c>
      <c r="L1927" s="1930" t="s">
        <v>138</v>
      </c>
    </row>
    <row r="1928" spans="1:12" ht="13.5" x14ac:dyDescent="0.25">
      <c r="A1928" s="1930" t="s">
        <v>4555</v>
      </c>
      <c r="B1928" s="1930" t="s">
        <v>4556</v>
      </c>
      <c r="C1928" s="1930" t="s">
        <v>4563</v>
      </c>
      <c r="D1928" s="1930" t="s">
        <v>4564</v>
      </c>
      <c r="E1928" s="1931" t="s">
        <v>33</v>
      </c>
      <c r="F1928" s="1930" t="s">
        <v>33</v>
      </c>
      <c r="G1928" s="1932">
        <v>90996</v>
      </c>
      <c r="H1928" s="1930" t="s">
        <v>1409</v>
      </c>
      <c r="I1928" s="1930" t="s">
        <v>306</v>
      </c>
      <c r="J1928" s="1930" t="s">
        <v>137</v>
      </c>
      <c r="K1928" s="1933">
        <v>11.9</v>
      </c>
      <c r="L1928" s="1930" t="s">
        <v>138</v>
      </c>
    </row>
    <row r="1929" spans="1:12" ht="13.5" x14ac:dyDescent="0.25">
      <c r="A1929" s="1930" t="s">
        <v>4555</v>
      </c>
      <c r="B1929" s="1930" t="s">
        <v>4556</v>
      </c>
      <c r="C1929" s="1930" t="s">
        <v>4563</v>
      </c>
      <c r="D1929" s="1930" t="s">
        <v>4564</v>
      </c>
      <c r="E1929" s="1931" t="s">
        <v>33</v>
      </c>
      <c r="F1929" s="1930" t="s">
        <v>33</v>
      </c>
      <c r="G1929" s="1932">
        <v>90997</v>
      </c>
      <c r="H1929" s="1930" t="s">
        <v>1410</v>
      </c>
      <c r="I1929" s="1930" t="s">
        <v>306</v>
      </c>
      <c r="J1929" s="1930" t="s">
        <v>137</v>
      </c>
      <c r="K1929" s="1933">
        <v>16.28</v>
      </c>
      <c r="L1929" s="1930" t="s">
        <v>138</v>
      </c>
    </row>
    <row r="1930" spans="1:12" ht="13.5" x14ac:dyDescent="0.25">
      <c r="A1930" s="1930" t="s">
        <v>4555</v>
      </c>
      <c r="B1930" s="1930" t="s">
        <v>4556</v>
      </c>
      <c r="C1930" s="1930" t="s">
        <v>4563</v>
      </c>
      <c r="D1930" s="1930" t="s">
        <v>4564</v>
      </c>
      <c r="E1930" s="1931" t="s">
        <v>33</v>
      </c>
      <c r="F1930" s="1930" t="s">
        <v>33</v>
      </c>
      <c r="G1930" s="1932">
        <v>90998</v>
      </c>
      <c r="H1930" s="1930" t="s">
        <v>1411</v>
      </c>
      <c r="I1930" s="1930" t="s">
        <v>306</v>
      </c>
      <c r="J1930" s="1930" t="s">
        <v>137</v>
      </c>
      <c r="K1930" s="1933">
        <v>19.72</v>
      </c>
      <c r="L1930" s="1930" t="s">
        <v>138</v>
      </c>
    </row>
    <row r="1931" spans="1:12" ht="13.5" x14ac:dyDescent="0.25">
      <c r="A1931" s="1930" t="s">
        <v>4555</v>
      </c>
      <c r="B1931" s="1930" t="s">
        <v>4556</v>
      </c>
      <c r="C1931" s="1930" t="s">
        <v>4563</v>
      </c>
      <c r="D1931" s="1930" t="s">
        <v>4564</v>
      </c>
      <c r="E1931" s="1931" t="s">
        <v>33</v>
      </c>
      <c r="F1931" s="1930" t="s">
        <v>33</v>
      </c>
      <c r="G1931" s="1932">
        <v>91000</v>
      </c>
      <c r="H1931" s="1930" t="s">
        <v>1412</v>
      </c>
      <c r="I1931" s="1930" t="s">
        <v>306</v>
      </c>
      <c r="J1931" s="1930" t="s">
        <v>137</v>
      </c>
      <c r="K1931" s="1933">
        <v>14.98</v>
      </c>
      <c r="L1931" s="1930" t="s">
        <v>138</v>
      </c>
    </row>
    <row r="1932" spans="1:12" ht="13.5" x14ac:dyDescent="0.25">
      <c r="A1932" s="1930" t="s">
        <v>4555</v>
      </c>
      <c r="B1932" s="1930" t="s">
        <v>4556</v>
      </c>
      <c r="C1932" s="1930" t="s">
        <v>4563</v>
      </c>
      <c r="D1932" s="1930" t="s">
        <v>4564</v>
      </c>
      <c r="E1932" s="1931" t="s">
        <v>33</v>
      </c>
      <c r="F1932" s="1930" t="s">
        <v>33</v>
      </c>
      <c r="G1932" s="1932">
        <v>91002</v>
      </c>
      <c r="H1932" s="1930" t="s">
        <v>1413</v>
      </c>
      <c r="I1932" s="1930" t="s">
        <v>306</v>
      </c>
      <c r="J1932" s="1930" t="s">
        <v>137</v>
      </c>
      <c r="K1932" s="1933">
        <v>13.75</v>
      </c>
      <c r="L1932" s="1930" t="s">
        <v>138</v>
      </c>
    </row>
    <row r="1933" spans="1:12" ht="13.5" x14ac:dyDescent="0.25">
      <c r="A1933" s="1930" t="s">
        <v>4555</v>
      </c>
      <c r="B1933" s="1930" t="s">
        <v>4556</v>
      </c>
      <c r="C1933" s="1930" t="s">
        <v>4563</v>
      </c>
      <c r="D1933" s="1930" t="s">
        <v>4564</v>
      </c>
      <c r="E1933" s="1931" t="s">
        <v>33</v>
      </c>
      <c r="F1933" s="1930" t="s">
        <v>33</v>
      </c>
      <c r="G1933" s="1932">
        <v>91003</v>
      </c>
      <c r="H1933" s="1930" t="s">
        <v>1414</v>
      </c>
      <c r="I1933" s="1930" t="s">
        <v>306</v>
      </c>
      <c r="J1933" s="1930" t="s">
        <v>137</v>
      </c>
      <c r="K1933" s="1933">
        <v>15.97</v>
      </c>
      <c r="L1933" s="1930" t="s">
        <v>138</v>
      </c>
    </row>
    <row r="1934" spans="1:12" ht="13.5" x14ac:dyDescent="0.25">
      <c r="A1934" s="1930" t="s">
        <v>4555</v>
      </c>
      <c r="B1934" s="1930" t="s">
        <v>4556</v>
      </c>
      <c r="C1934" s="1930" t="s">
        <v>4563</v>
      </c>
      <c r="D1934" s="1930" t="s">
        <v>4564</v>
      </c>
      <c r="E1934" s="1931" t="s">
        <v>33</v>
      </c>
      <c r="F1934" s="1930" t="s">
        <v>33</v>
      </c>
      <c r="G1934" s="1932">
        <v>91004</v>
      </c>
      <c r="H1934" s="1930" t="s">
        <v>1415</v>
      </c>
      <c r="I1934" s="1930" t="s">
        <v>306</v>
      </c>
      <c r="J1934" s="1930" t="s">
        <v>137</v>
      </c>
      <c r="K1934" s="1933">
        <v>12.62</v>
      </c>
      <c r="L1934" s="1930" t="s">
        <v>138</v>
      </c>
    </row>
    <row r="1935" spans="1:12" ht="13.5" x14ac:dyDescent="0.25">
      <c r="A1935" s="1930" t="s">
        <v>4555</v>
      </c>
      <c r="B1935" s="1930" t="s">
        <v>4556</v>
      </c>
      <c r="C1935" s="1930" t="s">
        <v>4563</v>
      </c>
      <c r="D1935" s="1930" t="s">
        <v>4564</v>
      </c>
      <c r="E1935" s="1931" t="s">
        <v>33</v>
      </c>
      <c r="F1935" s="1930" t="s">
        <v>33</v>
      </c>
      <c r="G1935" s="1932">
        <v>91005</v>
      </c>
      <c r="H1935" s="1930" t="s">
        <v>1416</v>
      </c>
      <c r="I1935" s="1930" t="s">
        <v>306</v>
      </c>
      <c r="J1935" s="1930" t="s">
        <v>137</v>
      </c>
      <c r="K1935" s="1933">
        <v>15.18</v>
      </c>
      <c r="L1935" s="1930" t="s">
        <v>138</v>
      </c>
    </row>
    <row r="1936" spans="1:12" ht="13.5" x14ac:dyDescent="0.25">
      <c r="A1936" s="1930" t="s">
        <v>4555</v>
      </c>
      <c r="B1936" s="1930" t="s">
        <v>4556</v>
      </c>
      <c r="C1936" s="1930" t="s">
        <v>4563</v>
      </c>
      <c r="D1936" s="1930" t="s">
        <v>4564</v>
      </c>
      <c r="E1936" s="1931" t="s">
        <v>33</v>
      </c>
      <c r="F1936" s="1930" t="s">
        <v>33</v>
      </c>
      <c r="G1936" s="1932">
        <v>91006</v>
      </c>
      <c r="H1936" s="1930" t="s">
        <v>1417</v>
      </c>
      <c r="I1936" s="1930" t="s">
        <v>306</v>
      </c>
      <c r="J1936" s="1930" t="s">
        <v>137</v>
      </c>
      <c r="K1936" s="1933">
        <v>11.65</v>
      </c>
      <c r="L1936" s="1930" t="s">
        <v>138</v>
      </c>
    </row>
    <row r="1937" spans="1:12" ht="13.5" x14ac:dyDescent="0.25">
      <c r="A1937" s="1930" t="s">
        <v>4555</v>
      </c>
      <c r="B1937" s="1930" t="s">
        <v>4556</v>
      </c>
      <c r="C1937" s="1930" t="s">
        <v>4563</v>
      </c>
      <c r="D1937" s="1930" t="s">
        <v>4564</v>
      </c>
      <c r="E1937" s="1931" t="s">
        <v>33</v>
      </c>
      <c r="F1937" s="1930" t="s">
        <v>33</v>
      </c>
      <c r="G1937" s="1932">
        <v>91007</v>
      </c>
      <c r="H1937" s="1930" t="s">
        <v>1418</v>
      </c>
      <c r="I1937" s="1930" t="s">
        <v>306</v>
      </c>
      <c r="J1937" s="1930" t="s">
        <v>137</v>
      </c>
      <c r="K1937" s="1933">
        <v>10.43</v>
      </c>
      <c r="L1937" s="1930" t="s">
        <v>138</v>
      </c>
    </row>
    <row r="1938" spans="1:12" ht="13.5" x14ac:dyDescent="0.25">
      <c r="A1938" s="1930" t="s">
        <v>4555</v>
      </c>
      <c r="B1938" s="1930" t="s">
        <v>4556</v>
      </c>
      <c r="C1938" s="1930" t="s">
        <v>4563</v>
      </c>
      <c r="D1938" s="1930" t="s">
        <v>4564</v>
      </c>
      <c r="E1938" s="1931" t="s">
        <v>33</v>
      </c>
      <c r="F1938" s="1930" t="s">
        <v>33</v>
      </c>
      <c r="G1938" s="1932">
        <v>91008</v>
      </c>
      <c r="H1938" s="1930" t="s">
        <v>1419</v>
      </c>
      <c r="I1938" s="1930" t="s">
        <v>306</v>
      </c>
      <c r="J1938" s="1930" t="s">
        <v>137</v>
      </c>
      <c r="K1938" s="1933">
        <v>12.64</v>
      </c>
      <c r="L1938" s="1930" t="s">
        <v>138</v>
      </c>
    </row>
    <row r="1939" spans="1:12" ht="13.5" x14ac:dyDescent="0.25">
      <c r="A1939" s="1930" t="s">
        <v>4555</v>
      </c>
      <c r="B1939" s="1930" t="s">
        <v>4556</v>
      </c>
      <c r="C1939" s="1930" t="s">
        <v>4563</v>
      </c>
      <c r="D1939" s="1930" t="s">
        <v>4564</v>
      </c>
      <c r="E1939" s="1931" t="s">
        <v>33</v>
      </c>
      <c r="F1939" s="1930" t="s">
        <v>33</v>
      </c>
      <c r="G1939" s="1932">
        <v>92263</v>
      </c>
      <c r="H1939" s="1930" t="s">
        <v>1420</v>
      </c>
      <c r="I1939" s="1930" t="s">
        <v>306</v>
      </c>
      <c r="J1939" s="1930" t="s">
        <v>320</v>
      </c>
      <c r="K1939" s="1933">
        <v>95.26</v>
      </c>
      <c r="L1939" s="1930" t="s">
        <v>138</v>
      </c>
    </row>
    <row r="1940" spans="1:12" ht="13.5" x14ac:dyDescent="0.25">
      <c r="A1940" s="1930" t="s">
        <v>4555</v>
      </c>
      <c r="B1940" s="1930" t="s">
        <v>4556</v>
      </c>
      <c r="C1940" s="1930" t="s">
        <v>4563</v>
      </c>
      <c r="D1940" s="1930" t="s">
        <v>4564</v>
      </c>
      <c r="E1940" s="1931" t="s">
        <v>33</v>
      </c>
      <c r="F1940" s="1930" t="s">
        <v>33</v>
      </c>
      <c r="G1940" s="1932">
        <v>92264</v>
      </c>
      <c r="H1940" s="1930" t="s">
        <v>1421</v>
      </c>
      <c r="I1940" s="1930" t="s">
        <v>306</v>
      </c>
      <c r="J1940" s="1930" t="s">
        <v>320</v>
      </c>
      <c r="K1940" s="1933">
        <v>107.15</v>
      </c>
      <c r="L1940" s="1930" t="s">
        <v>138</v>
      </c>
    </row>
    <row r="1941" spans="1:12" ht="13.5" x14ac:dyDescent="0.25">
      <c r="A1941" s="1930" t="s">
        <v>4555</v>
      </c>
      <c r="B1941" s="1930" t="s">
        <v>4556</v>
      </c>
      <c r="C1941" s="1930" t="s">
        <v>4563</v>
      </c>
      <c r="D1941" s="1930" t="s">
        <v>4564</v>
      </c>
      <c r="E1941" s="1931" t="s">
        <v>33</v>
      </c>
      <c r="F1941" s="1930" t="s">
        <v>33</v>
      </c>
      <c r="G1941" s="1932">
        <v>92265</v>
      </c>
      <c r="H1941" s="1930" t="s">
        <v>1422</v>
      </c>
      <c r="I1941" s="1930" t="s">
        <v>306</v>
      </c>
      <c r="J1941" s="1930" t="s">
        <v>320</v>
      </c>
      <c r="K1941" s="1933">
        <v>75.069999999999993</v>
      </c>
      <c r="L1941" s="1930" t="s">
        <v>138</v>
      </c>
    </row>
    <row r="1942" spans="1:12" ht="13.5" x14ac:dyDescent="0.25">
      <c r="A1942" s="1930" t="s">
        <v>4555</v>
      </c>
      <c r="B1942" s="1930" t="s">
        <v>4556</v>
      </c>
      <c r="C1942" s="1930" t="s">
        <v>4563</v>
      </c>
      <c r="D1942" s="1930" t="s">
        <v>4564</v>
      </c>
      <c r="E1942" s="1931" t="s">
        <v>33</v>
      </c>
      <c r="F1942" s="1930" t="s">
        <v>33</v>
      </c>
      <c r="G1942" s="1932">
        <v>92266</v>
      </c>
      <c r="H1942" s="1930" t="s">
        <v>1423</v>
      </c>
      <c r="I1942" s="1930" t="s">
        <v>306</v>
      </c>
      <c r="J1942" s="1930" t="s">
        <v>320</v>
      </c>
      <c r="K1942" s="1933">
        <v>85.67</v>
      </c>
      <c r="L1942" s="1930" t="s">
        <v>138</v>
      </c>
    </row>
    <row r="1943" spans="1:12" ht="13.5" x14ac:dyDescent="0.25">
      <c r="A1943" s="1930" t="s">
        <v>4555</v>
      </c>
      <c r="B1943" s="1930" t="s">
        <v>4556</v>
      </c>
      <c r="C1943" s="1930" t="s">
        <v>4563</v>
      </c>
      <c r="D1943" s="1930" t="s">
        <v>4564</v>
      </c>
      <c r="E1943" s="1931" t="s">
        <v>33</v>
      </c>
      <c r="F1943" s="1930" t="s">
        <v>33</v>
      </c>
      <c r="G1943" s="1932">
        <v>92267</v>
      </c>
      <c r="H1943" s="1930" t="s">
        <v>1424</v>
      </c>
      <c r="I1943" s="1930" t="s">
        <v>306</v>
      </c>
      <c r="J1943" s="1930" t="s">
        <v>320</v>
      </c>
      <c r="K1943" s="1933">
        <v>30.22</v>
      </c>
      <c r="L1943" s="1930" t="s">
        <v>138</v>
      </c>
    </row>
    <row r="1944" spans="1:12" ht="13.5" x14ac:dyDescent="0.25">
      <c r="A1944" s="1930" t="s">
        <v>4555</v>
      </c>
      <c r="B1944" s="1930" t="s">
        <v>4556</v>
      </c>
      <c r="C1944" s="1930" t="s">
        <v>4563</v>
      </c>
      <c r="D1944" s="1930" t="s">
        <v>4564</v>
      </c>
      <c r="E1944" s="1931" t="s">
        <v>33</v>
      </c>
      <c r="F1944" s="1930" t="s">
        <v>33</v>
      </c>
      <c r="G1944" s="1932">
        <v>92268</v>
      </c>
      <c r="H1944" s="1930" t="s">
        <v>1425</v>
      </c>
      <c r="I1944" s="1930" t="s">
        <v>306</v>
      </c>
      <c r="J1944" s="1930" t="s">
        <v>320</v>
      </c>
      <c r="K1944" s="1933">
        <v>39.57</v>
      </c>
      <c r="L1944" s="1930" t="s">
        <v>138</v>
      </c>
    </row>
    <row r="1945" spans="1:12" ht="13.5" x14ac:dyDescent="0.25">
      <c r="A1945" s="1930" t="s">
        <v>4555</v>
      </c>
      <c r="B1945" s="1930" t="s">
        <v>4556</v>
      </c>
      <c r="C1945" s="1930" t="s">
        <v>4563</v>
      </c>
      <c r="D1945" s="1930" t="s">
        <v>4564</v>
      </c>
      <c r="E1945" s="1931" t="s">
        <v>33</v>
      </c>
      <c r="F1945" s="1930" t="s">
        <v>33</v>
      </c>
      <c r="G1945" s="1932">
        <v>92269</v>
      </c>
      <c r="H1945" s="1930" t="s">
        <v>1426</v>
      </c>
      <c r="I1945" s="1930" t="s">
        <v>306</v>
      </c>
      <c r="J1945" s="1930" t="s">
        <v>320</v>
      </c>
      <c r="K1945" s="1933">
        <v>89.23</v>
      </c>
      <c r="L1945" s="1930" t="s">
        <v>138</v>
      </c>
    </row>
    <row r="1946" spans="1:12" ht="13.5" x14ac:dyDescent="0.25">
      <c r="A1946" s="1930" t="s">
        <v>4555</v>
      </c>
      <c r="B1946" s="1930" t="s">
        <v>4556</v>
      </c>
      <c r="C1946" s="1930" t="s">
        <v>4563</v>
      </c>
      <c r="D1946" s="1930" t="s">
        <v>4564</v>
      </c>
      <c r="E1946" s="1931" t="s">
        <v>33</v>
      </c>
      <c r="F1946" s="1930" t="s">
        <v>33</v>
      </c>
      <c r="G1946" s="1932">
        <v>92270</v>
      </c>
      <c r="H1946" s="1930" t="s">
        <v>1427</v>
      </c>
      <c r="I1946" s="1930" t="s">
        <v>306</v>
      </c>
      <c r="J1946" s="1930" t="s">
        <v>320</v>
      </c>
      <c r="K1946" s="1933">
        <v>74.11</v>
      </c>
      <c r="L1946" s="1930" t="s">
        <v>138</v>
      </c>
    </row>
    <row r="1947" spans="1:12" ht="13.5" x14ac:dyDescent="0.25">
      <c r="A1947" s="1930" t="s">
        <v>4555</v>
      </c>
      <c r="B1947" s="1930" t="s">
        <v>4556</v>
      </c>
      <c r="C1947" s="1930" t="s">
        <v>4563</v>
      </c>
      <c r="D1947" s="1930" t="s">
        <v>4564</v>
      </c>
      <c r="E1947" s="1931" t="s">
        <v>33</v>
      </c>
      <c r="F1947" s="1930" t="s">
        <v>33</v>
      </c>
      <c r="G1947" s="1932">
        <v>92271</v>
      </c>
      <c r="H1947" s="1930" t="s">
        <v>1428</v>
      </c>
      <c r="I1947" s="1930" t="s">
        <v>306</v>
      </c>
      <c r="J1947" s="1930" t="s">
        <v>320</v>
      </c>
      <c r="K1947" s="1933">
        <v>56.53</v>
      </c>
      <c r="L1947" s="1930" t="s">
        <v>138</v>
      </c>
    </row>
    <row r="1948" spans="1:12" ht="13.5" x14ac:dyDescent="0.25">
      <c r="A1948" s="1930" t="s">
        <v>4555</v>
      </c>
      <c r="B1948" s="1930" t="s">
        <v>4556</v>
      </c>
      <c r="C1948" s="1930" t="s">
        <v>4563</v>
      </c>
      <c r="D1948" s="1930" t="s">
        <v>4564</v>
      </c>
      <c r="E1948" s="1931" t="s">
        <v>33</v>
      </c>
      <c r="F1948" s="1930" t="s">
        <v>33</v>
      </c>
      <c r="G1948" s="1932">
        <v>92272</v>
      </c>
      <c r="H1948" s="1930" t="s">
        <v>1429</v>
      </c>
      <c r="I1948" s="1930" t="s">
        <v>136</v>
      </c>
      <c r="J1948" s="1930" t="s">
        <v>320</v>
      </c>
      <c r="K1948" s="1933">
        <v>17.48</v>
      </c>
      <c r="L1948" s="1930" t="s">
        <v>138</v>
      </c>
    </row>
    <row r="1949" spans="1:12" ht="13.5" x14ac:dyDescent="0.25">
      <c r="A1949" s="1930" t="s">
        <v>4555</v>
      </c>
      <c r="B1949" s="1930" t="s">
        <v>4556</v>
      </c>
      <c r="C1949" s="1930" t="s">
        <v>4563</v>
      </c>
      <c r="D1949" s="1930" t="s">
        <v>4564</v>
      </c>
      <c r="E1949" s="1931" t="s">
        <v>33</v>
      </c>
      <c r="F1949" s="1930" t="s">
        <v>33</v>
      </c>
      <c r="G1949" s="1932">
        <v>92273</v>
      </c>
      <c r="H1949" s="1930" t="s">
        <v>1430</v>
      </c>
      <c r="I1949" s="1930" t="s">
        <v>136</v>
      </c>
      <c r="J1949" s="1930" t="s">
        <v>320</v>
      </c>
      <c r="K1949" s="1933">
        <v>7.12</v>
      </c>
      <c r="L1949" s="1930" t="s">
        <v>138</v>
      </c>
    </row>
    <row r="1950" spans="1:12" ht="13.5" x14ac:dyDescent="0.25">
      <c r="A1950" s="1930" t="s">
        <v>4555</v>
      </c>
      <c r="B1950" s="1930" t="s">
        <v>4556</v>
      </c>
      <c r="C1950" s="1930" t="s">
        <v>4563</v>
      </c>
      <c r="D1950" s="1930" t="s">
        <v>4564</v>
      </c>
      <c r="E1950" s="1931" t="s">
        <v>33</v>
      </c>
      <c r="F1950" s="1930" t="s">
        <v>33</v>
      </c>
      <c r="G1950" s="1932">
        <v>92408</v>
      </c>
      <c r="H1950" s="1930" t="s">
        <v>1431</v>
      </c>
      <c r="I1950" s="1930" t="s">
        <v>306</v>
      </c>
      <c r="J1950" s="1930" t="s">
        <v>320</v>
      </c>
      <c r="K1950" s="1933">
        <v>170.59</v>
      </c>
      <c r="L1950" s="1930" t="s">
        <v>138</v>
      </c>
    </row>
    <row r="1951" spans="1:12" ht="13.5" x14ac:dyDescent="0.25">
      <c r="A1951" s="1930" t="s">
        <v>4555</v>
      </c>
      <c r="B1951" s="1930" t="s">
        <v>4556</v>
      </c>
      <c r="C1951" s="1930" t="s">
        <v>4563</v>
      </c>
      <c r="D1951" s="1930" t="s">
        <v>4564</v>
      </c>
      <c r="E1951" s="1931" t="s">
        <v>33</v>
      </c>
      <c r="F1951" s="1930" t="s">
        <v>33</v>
      </c>
      <c r="G1951" s="1932">
        <v>92409</v>
      </c>
      <c r="H1951" s="1930" t="s">
        <v>1432</v>
      </c>
      <c r="I1951" s="1930" t="s">
        <v>306</v>
      </c>
      <c r="J1951" s="1930" t="s">
        <v>320</v>
      </c>
      <c r="K1951" s="1933">
        <v>161.35</v>
      </c>
      <c r="L1951" s="1930" t="s">
        <v>138</v>
      </c>
    </row>
    <row r="1952" spans="1:12" ht="13.5" x14ac:dyDescent="0.25">
      <c r="A1952" s="1930" t="s">
        <v>4555</v>
      </c>
      <c r="B1952" s="1930" t="s">
        <v>4556</v>
      </c>
      <c r="C1952" s="1930" t="s">
        <v>4563</v>
      </c>
      <c r="D1952" s="1930" t="s">
        <v>4564</v>
      </c>
      <c r="E1952" s="1931" t="s">
        <v>33</v>
      </c>
      <c r="F1952" s="1930" t="s">
        <v>33</v>
      </c>
      <c r="G1952" s="1932">
        <v>92410</v>
      </c>
      <c r="H1952" s="1930" t="s">
        <v>1433</v>
      </c>
      <c r="I1952" s="1930" t="s">
        <v>306</v>
      </c>
      <c r="J1952" s="1930" t="s">
        <v>320</v>
      </c>
      <c r="K1952" s="1933">
        <v>117.59</v>
      </c>
      <c r="L1952" s="1930" t="s">
        <v>138</v>
      </c>
    </row>
    <row r="1953" spans="1:12" ht="13.5" x14ac:dyDescent="0.25">
      <c r="A1953" s="1930" t="s">
        <v>4555</v>
      </c>
      <c r="B1953" s="1930" t="s">
        <v>4556</v>
      </c>
      <c r="C1953" s="1930" t="s">
        <v>4563</v>
      </c>
      <c r="D1953" s="1930" t="s">
        <v>4564</v>
      </c>
      <c r="E1953" s="1931" t="s">
        <v>33</v>
      </c>
      <c r="F1953" s="1930" t="s">
        <v>33</v>
      </c>
      <c r="G1953" s="1932">
        <v>92411</v>
      </c>
      <c r="H1953" s="1930" t="s">
        <v>1434</v>
      </c>
      <c r="I1953" s="1930" t="s">
        <v>306</v>
      </c>
      <c r="J1953" s="1930" t="s">
        <v>320</v>
      </c>
      <c r="K1953" s="1933">
        <v>109.41</v>
      </c>
      <c r="L1953" s="1930" t="s">
        <v>138</v>
      </c>
    </row>
    <row r="1954" spans="1:12" ht="13.5" x14ac:dyDescent="0.25">
      <c r="A1954" s="1930" t="s">
        <v>4555</v>
      </c>
      <c r="B1954" s="1930" t="s">
        <v>4556</v>
      </c>
      <c r="C1954" s="1930" t="s">
        <v>4563</v>
      </c>
      <c r="D1954" s="1930" t="s">
        <v>4564</v>
      </c>
      <c r="E1954" s="1931" t="s">
        <v>33</v>
      </c>
      <c r="F1954" s="1930" t="s">
        <v>33</v>
      </c>
      <c r="G1954" s="1932">
        <v>92412</v>
      </c>
      <c r="H1954" s="1930" t="s">
        <v>1435</v>
      </c>
      <c r="I1954" s="1930" t="s">
        <v>306</v>
      </c>
      <c r="J1954" s="1930" t="s">
        <v>320</v>
      </c>
      <c r="K1954" s="1933">
        <v>78.69</v>
      </c>
      <c r="L1954" s="1930" t="s">
        <v>138</v>
      </c>
    </row>
    <row r="1955" spans="1:12" ht="13.5" x14ac:dyDescent="0.25">
      <c r="A1955" s="1930" t="s">
        <v>4555</v>
      </c>
      <c r="B1955" s="1930" t="s">
        <v>4556</v>
      </c>
      <c r="C1955" s="1930" t="s">
        <v>4563</v>
      </c>
      <c r="D1955" s="1930" t="s">
        <v>4564</v>
      </c>
      <c r="E1955" s="1931" t="s">
        <v>33</v>
      </c>
      <c r="F1955" s="1930" t="s">
        <v>33</v>
      </c>
      <c r="G1955" s="1932">
        <v>92413</v>
      </c>
      <c r="H1955" s="1930" t="s">
        <v>1436</v>
      </c>
      <c r="I1955" s="1930" t="s">
        <v>306</v>
      </c>
      <c r="J1955" s="1930" t="s">
        <v>320</v>
      </c>
      <c r="K1955" s="1933">
        <v>72.400000000000006</v>
      </c>
      <c r="L1955" s="1930" t="s">
        <v>138</v>
      </c>
    </row>
    <row r="1956" spans="1:12" ht="13.5" x14ac:dyDescent="0.25">
      <c r="A1956" s="1930" t="s">
        <v>4555</v>
      </c>
      <c r="B1956" s="1930" t="s">
        <v>4556</v>
      </c>
      <c r="C1956" s="1930" t="s">
        <v>4563</v>
      </c>
      <c r="D1956" s="1930" t="s">
        <v>4564</v>
      </c>
      <c r="E1956" s="1931" t="s">
        <v>33</v>
      </c>
      <c r="F1956" s="1930" t="s">
        <v>33</v>
      </c>
      <c r="G1956" s="1932">
        <v>92414</v>
      </c>
      <c r="H1956" s="1930" t="s">
        <v>1437</v>
      </c>
      <c r="I1956" s="1930" t="s">
        <v>306</v>
      </c>
      <c r="J1956" s="1930" t="s">
        <v>320</v>
      </c>
      <c r="K1956" s="1933">
        <v>93.04</v>
      </c>
      <c r="L1956" s="1930" t="s">
        <v>138</v>
      </c>
    </row>
    <row r="1957" spans="1:12" ht="13.5" x14ac:dyDescent="0.25">
      <c r="A1957" s="1930" t="s">
        <v>4555</v>
      </c>
      <c r="B1957" s="1930" t="s">
        <v>4556</v>
      </c>
      <c r="C1957" s="1930" t="s">
        <v>4563</v>
      </c>
      <c r="D1957" s="1930" t="s">
        <v>4564</v>
      </c>
      <c r="E1957" s="1931" t="s">
        <v>33</v>
      </c>
      <c r="F1957" s="1930" t="s">
        <v>33</v>
      </c>
      <c r="G1957" s="1932">
        <v>92415</v>
      </c>
      <c r="H1957" s="1930" t="s">
        <v>1438</v>
      </c>
      <c r="I1957" s="1930" t="s">
        <v>306</v>
      </c>
      <c r="J1957" s="1930" t="s">
        <v>320</v>
      </c>
      <c r="K1957" s="1933">
        <v>84.88</v>
      </c>
      <c r="L1957" s="1930" t="s">
        <v>138</v>
      </c>
    </row>
    <row r="1958" spans="1:12" ht="13.5" x14ac:dyDescent="0.25">
      <c r="A1958" s="1930" t="s">
        <v>4555</v>
      </c>
      <c r="B1958" s="1930" t="s">
        <v>4556</v>
      </c>
      <c r="C1958" s="1930" t="s">
        <v>4563</v>
      </c>
      <c r="D1958" s="1930" t="s">
        <v>4564</v>
      </c>
      <c r="E1958" s="1931" t="s">
        <v>33</v>
      </c>
      <c r="F1958" s="1930" t="s">
        <v>33</v>
      </c>
      <c r="G1958" s="1932">
        <v>92416</v>
      </c>
      <c r="H1958" s="1930" t="s">
        <v>1439</v>
      </c>
      <c r="I1958" s="1930" t="s">
        <v>306</v>
      </c>
      <c r="J1958" s="1930" t="s">
        <v>320</v>
      </c>
      <c r="K1958" s="1933">
        <v>109.85</v>
      </c>
      <c r="L1958" s="1930" t="s">
        <v>138</v>
      </c>
    </row>
    <row r="1959" spans="1:12" ht="13.5" x14ac:dyDescent="0.25">
      <c r="A1959" s="1930" t="s">
        <v>4555</v>
      </c>
      <c r="B1959" s="1930" t="s">
        <v>4556</v>
      </c>
      <c r="C1959" s="1930" t="s">
        <v>4563</v>
      </c>
      <c r="D1959" s="1930" t="s">
        <v>4564</v>
      </c>
      <c r="E1959" s="1931" t="s">
        <v>33</v>
      </c>
      <c r="F1959" s="1930" t="s">
        <v>33</v>
      </c>
      <c r="G1959" s="1932">
        <v>92417</v>
      </c>
      <c r="H1959" s="1930" t="s">
        <v>1440</v>
      </c>
      <c r="I1959" s="1930" t="s">
        <v>306</v>
      </c>
      <c r="J1959" s="1930" t="s">
        <v>320</v>
      </c>
      <c r="K1959" s="1933">
        <v>101.71</v>
      </c>
      <c r="L1959" s="1930" t="s">
        <v>138</v>
      </c>
    </row>
    <row r="1960" spans="1:12" ht="13.5" x14ac:dyDescent="0.25">
      <c r="A1960" s="1930" t="s">
        <v>4555</v>
      </c>
      <c r="B1960" s="1930" t="s">
        <v>4556</v>
      </c>
      <c r="C1960" s="1930" t="s">
        <v>4563</v>
      </c>
      <c r="D1960" s="1930" t="s">
        <v>4564</v>
      </c>
      <c r="E1960" s="1931" t="s">
        <v>33</v>
      </c>
      <c r="F1960" s="1930" t="s">
        <v>33</v>
      </c>
      <c r="G1960" s="1932">
        <v>92418</v>
      </c>
      <c r="H1960" s="1930" t="s">
        <v>1441</v>
      </c>
      <c r="I1960" s="1930" t="s">
        <v>306</v>
      </c>
      <c r="J1960" s="1930" t="s">
        <v>320</v>
      </c>
      <c r="K1960" s="1933">
        <v>60.19</v>
      </c>
      <c r="L1960" s="1930" t="s">
        <v>138</v>
      </c>
    </row>
    <row r="1961" spans="1:12" ht="13.5" x14ac:dyDescent="0.25">
      <c r="A1961" s="1930" t="s">
        <v>4555</v>
      </c>
      <c r="B1961" s="1930" t="s">
        <v>4556</v>
      </c>
      <c r="C1961" s="1930" t="s">
        <v>4563</v>
      </c>
      <c r="D1961" s="1930" t="s">
        <v>4564</v>
      </c>
      <c r="E1961" s="1931" t="s">
        <v>33</v>
      </c>
      <c r="F1961" s="1930" t="s">
        <v>33</v>
      </c>
      <c r="G1961" s="1932">
        <v>92419</v>
      </c>
      <c r="H1961" s="1930" t="s">
        <v>1442</v>
      </c>
      <c r="I1961" s="1930" t="s">
        <v>306</v>
      </c>
      <c r="J1961" s="1930" t="s">
        <v>320</v>
      </c>
      <c r="K1961" s="1933">
        <v>53.93</v>
      </c>
      <c r="L1961" s="1930" t="s">
        <v>138</v>
      </c>
    </row>
    <row r="1962" spans="1:12" ht="13.5" x14ac:dyDescent="0.25">
      <c r="A1962" s="1930" t="s">
        <v>4555</v>
      </c>
      <c r="B1962" s="1930" t="s">
        <v>4556</v>
      </c>
      <c r="C1962" s="1930" t="s">
        <v>4563</v>
      </c>
      <c r="D1962" s="1930" t="s">
        <v>4564</v>
      </c>
      <c r="E1962" s="1931" t="s">
        <v>33</v>
      </c>
      <c r="F1962" s="1930" t="s">
        <v>33</v>
      </c>
      <c r="G1962" s="1932">
        <v>92420</v>
      </c>
      <c r="H1962" s="1930" t="s">
        <v>1443</v>
      </c>
      <c r="I1962" s="1930" t="s">
        <v>306</v>
      </c>
      <c r="J1962" s="1930" t="s">
        <v>320</v>
      </c>
      <c r="K1962" s="1933">
        <v>73.12</v>
      </c>
      <c r="L1962" s="1930" t="s">
        <v>138</v>
      </c>
    </row>
    <row r="1963" spans="1:12" ht="13.5" x14ac:dyDescent="0.25">
      <c r="A1963" s="1930" t="s">
        <v>4555</v>
      </c>
      <c r="B1963" s="1930" t="s">
        <v>4556</v>
      </c>
      <c r="C1963" s="1930" t="s">
        <v>4563</v>
      </c>
      <c r="D1963" s="1930" t="s">
        <v>4564</v>
      </c>
      <c r="E1963" s="1931" t="s">
        <v>33</v>
      </c>
      <c r="F1963" s="1930" t="s">
        <v>33</v>
      </c>
      <c r="G1963" s="1932">
        <v>92421</v>
      </c>
      <c r="H1963" s="1930" t="s">
        <v>1444</v>
      </c>
      <c r="I1963" s="1930" t="s">
        <v>306</v>
      </c>
      <c r="J1963" s="1930" t="s">
        <v>320</v>
      </c>
      <c r="K1963" s="1933">
        <v>66.83</v>
      </c>
      <c r="L1963" s="1930" t="s">
        <v>138</v>
      </c>
    </row>
    <row r="1964" spans="1:12" ht="13.5" x14ac:dyDescent="0.25">
      <c r="A1964" s="1930" t="s">
        <v>4555</v>
      </c>
      <c r="B1964" s="1930" t="s">
        <v>4556</v>
      </c>
      <c r="C1964" s="1930" t="s">
        <v>4563</v>
      </c>
      <c r="D1964" s="1930" t="s">
        <v>4564</v>
      </c>
      <c r="E1964" s="1931" t="s">
        <v>33</v>
      </c>
      <c r="F1964" s="1930" t="s">
        <v>33</v>
      </c>
      <c r="G1964" s="1932">
        <v>92422</v>
      </c>
      <c r="H1964" s="1930" t="s">
        <v>1445</v>
      </c>
      <c r="I1964" s="1930" t="s">
        <v>306</v>
      </c>
      <c r="J1964" s="1930" t="s">
        <v>320</v>
      </c>
      <c r="K1964" s="1933">
        <v>49.57</v>
      </c>
      <c r="L1964" s="1930" t="s">
        <v>138</v>
      </c>
    </row>
    <row r="1965" spans="1:12" ht="13.5" x14ac:dyDescent="0.25">
      <c r="A1965" s="1930" t="s">
        <v>4555</v>
      </c>
      <c r="B1965" s="1930" t="s">
        <v>4556</v>
      </c>
      <c r="C1965" s="1930" t="s">
        <v>4563</v>
      </c>
      <c r="D1965" s="1930" t="s">
        <v>4564</v>
      </c>
      <c r="E1965" s="1931" t="s">
        <v>33</v>
      </c>
      <c r="F1965" s="1930" t="s">
        <v>33</v>
      </c>
      <c r="G1965" s="1932">
        <v>92423</v>
      </c>
      <c r="H1965" s="1930" t="s">
        <v>1446</v>
      </c>
      <c r="I1965" s="1930" t="s">
        <v>306</v>
      </c>
      <c r="J1965" s="1930" t="s">
        <v>320</v>
      </c>
      <c r="K1965" s="1933">
        <v>44.14</v>
      </c>
      <c r="L1965" s="1930" t="s">
        <v>138</v>
      </c>
    </row>
    <row r="1966" spans="1:12" ht="13.5" x14ac:dyDescent="0.25">
      <c r="A1966" s="1930" t="s">
        <v>4555</v>
      </c>
      <c r="B1966" s="1930" t="s">
        <v>4556</v>
      </c>
      <c r="C1966" s="1930" t="s">
        <v>4563</v>
      </c>
      <c r="D1966" s="1930" t="s">
        <v>4564</v>
      </c>
      <c r="E1966" s="1931" t="s">
        <v>33</v>
      </c>
      <c r="F1966" s="1930" t="s">
        <v>33</v>
      </c>
      <c r="G1966" s="1932">
        <v>92424</v>
      </c>
      <c r="H1966" s="1930" t="s">
        <v>1447</v>
      </c>
      <c r="I1966" s="1930" t="s">
        <v>306</v>
      </c>
      <c r="J1966" s="1930" t="s">
        <v>320</v>
      </c>
      <c r="K1966" s="1933">
        <v>60.82</v>
      </c>
      <c r="L1966" s="1930" t="s">
        <v>138</v>
      </c>
    </row>
    <row r="1967" spans="1:12" ht="13.5" x14ac:dyDescent="0.25">
      <c r="A1967" s="1930" t="s">
        <v>4555</v>
      </c>
      <c r="B1967" s="1930" t="s">
        <v>4556</v>
      </c>
      <c r="C1967" s="1930" t="s">
        <v>4563</v>
      </c>
      <c r="D1967" s="1930" t="s">
        <v>4564</v>
      </c>
      <c r="E1967" s="1931" t="s">
        <v>33</v>
      </c>
      <c r="F1967" s="1930" t="s">
        <v>33</v>
      </c>
      <c r="G1967" s="1932">
        <v>92425</v>
      </c>
      <c r="H1967" s="1930" t="s">
        <v>1448</v>
      </c>
      <c r="I1967" s="1930" t="s">
        <v>306</v>
      </c>
      <c r="J1967" s="1930" t="s">
        <v>320</v>
      </c>
      <c r="K1967" s="1933">
        <v>55.37</v>
      </c>
      <c r="L1967" s="1930" t="s">
        <v>138</v>
      </c>
    </row>
    <row r="1968" spans="1:12" ht="13.5" x14ac:dyDescent="0.25">
      <c r="A1968" s="1930" t="s">
        <v>4555</v>
      </c>
      <c r="B1968" s="1930" t="s">
        <v>4556</v>
      </c>
      <c r="C1968" s="1930" t="s">
        <v>4563</v>
      </c>
      <c r="D1968" s="1930" t="s">
        <v>4564</v>
      </c>
      <c r="E1968" s="1931" t="s">
        <v>33</v>
      </c>
      <c r="F1968" s="1930" t="s">
        <v>33</v>
      </c>
      <c r="G1968" s="1932">
        <v>92426</v>
      </c>
      <c r="H1968" s="1930" t="s">
        <v>1449</v>
      </c>
      <c r="I1968" s="1930" t="s">
        <v>306</v>
      </c>
      <c r="J1968" s="1930" t="s">
        <v>320</v>
      </c>
      <c r="K1968" s="1933">
        <v>44.24</v>
      </c>
      <c r="L1968" s="1930" t="s">
        <v>138</v>
      </c>
    </row>
    <row r="1969" spans="1:12" ht="13.5" x14ac:dyDescent="0.25">
      <c r="A1969" s="1930" t="s">
        <v>4555</v>
      </c>
      <c r="B1969" s="1930" t="s">
        <v>4556</v>
      </c>
      <c r="C1969" s="1930" t="s">
        <v>4563</v>
      </c>
      <c r="D1969" s="1930" t="s">
        <v>4564</v>
      </c>
      <c r="E1969" s="1931" t="s">
        <v>33</v>
      </c>
      <c r="F1969" s="1930" t="s">
        <v>33</v>
      </c>
      <c r="G1969" s="1932">
        <v>92427</v>
      </c>
      <c r="H1969" s="1930" t="s">
        <v>1450</v>
      </c>
      <c r="I1969" s="1930" t="s">
        <v>306</v>
      </c>
      <c r="J1969" s="1930" t="s">
        <v>320</v>
      </c>
      <c r="K1969" s="1933">
        <v>39.200000000000003</v>
      </c>
      <c r="L1969" s="1930" t="s">
        <v>138</v>
      </c>
    </row>
    <row r="1970" spans="1:12" ht="13.5" x14ac:dyDescent="0.25">
      <c r="A1970" s="1930" t="s">
        <v>4555</v>
      </c>
      <c r="B1970" s="1930" t="s">
        <v>4556</v>
      </c>
      <c r="C1970" s="1930" t="s">
        <v>4563</v>
      </c>
      <c r="D1970" s="1930" t="s">
        <v>4564</v>
      </c>
      <c r="E1970" s="1931" t="s">
        <v>33</v>
      </c>
      <c r="F1970" s="1930" t="s">
        <v>33</v>
      </c>
      <c r="G1970" s="1932">
        <v>92428</v>
      </c>
      <c r="H1970" s="1930" t="s">
        <v>1451</v>
      </c>
      <c r="I1970" s="1930" t="s">
        <v>306</v>
      </c>
      <c r="J1970" s="1930" t="s">
        <v>320</v>
      </c>
      <c r="K1970" s="1933">
        <v>54.64</v>
      </c>
      <c r="L1970" s="1930" t="s">
        <v>138</v>
      </c>
    </row>
    <row r="1971" spans="1:12" ht="13.5" x14ac:dyDescent="0.25">
      <c r="A1971" s="1930" t="s">
        <v>4555</v>
      </c>
      <c r="B1971" s="1930" t="s">
        <v>4556</v>
      </c>
      <c r="C1971" s="1930" t="s">
        <v>4563</v>
      </c>
      <c r="D1971" s="1930" t="s">
        <v>4564</v>
      </c>
      <c r="E1971" s="1931" t="s">
        <v>33</v>
      </c>
      <c r="F1971" s="1930" t="s">
        <v>33</v>
      </c>
      <c r="G1971" s="1932">
        <v>92429</v>
      </c>
      <c r="H1971" s="1930" t="s">
        <v>1452</v>
      </c>
      <c r="I1971" s="1930" t="s">
        <v>306</v>
      </c>
      <c r="J1971" s="1930" t="s">
        <v>320</v>
      </c>
      <c r="K1971" s="1933">
        <v>49.6</v>
      </c>
      <c r="L1971" s="1930" t="s">
        <v>138</v>
      </c>
    </row>
    <row r="1972" spans="1:12" ht="13.5" x14ac:dyDescent="0.25">
      <c r="A1972" s="1930" t="s">
        <v>4555</v>
      </c>
      <c r="B1972" s="1930" t="s">
        <v>4556</v>
      </c>
      <c r="C1972" s="1930" t="s">
        <v>4563</v>
      </c>
      <c r="D1972" s="1930" t="s">
        <v>4564</v>
      </c>
      <c r="E1972" s="1931" t="s">
        <v>33</v>
      </c>
      <c r="F1972" s="1930" t="s">
        <v>33</v>
      </c>
      <c r="G1972" s="1932">
        <v>92430</v>
      </c>
      <c r="H1972" s="1930" t="s">
        <v>1453</v>
      </c>
      <c r="I1972" s="1930" t="s">
        <v>306</v>
      </c>
      <c r="J1972" s="1930" t="s">
        <v>320</v>
      </c>
      <c r="K1972" s="1933">
        <v>40.14</v>
      </c>
      <c r="L1972" s="1930" t="s">
        <v>138</v>
      </c>
    </row>
    <row r="1973" spans="1:12" ht="13.5" x14ac:dyDescent="0.25">
      <c r="A1973" s="1930" t="s">
        <v>4555</v>
      </c>
      <c r="B1973" s="1930" t="s">
        <v>4556</v>
      </c>
      <c r="C1973" s="1930" t="s">
        <v>4563</v>
      </c>
      <c r="D1973" s="1930" t="s">
        <v>4564</v>
      </c>
      <c r="E1973" s="1931" t="s">
        <v>33</v>
      </c>
      <c r="F1973" s="1930" t="s">
        <v>33</v>
      </c>
      <c r="G1973" s="1932">
        <v>92431</v>
      </c>
      <c r="H1973" s="1930" t="s">
        <v>1454</v>
      </c>
      <c r="I1973" s="1930" t="s">
        <v>306</v>
      </c>
      <c r="J1973" s="1930" t="s">
        <v>320</v>
      </c>
      <c r="K1973" s="1933">
        <v>35.35</v>
      </c>
      <c r="L1973" s="1930" t="s">
        <v>138</v>
      </c>
    </row>
    <row r="1974" spans="1:12" ht="13.5" x14ac:dyDescent="0.25">
      <c r="A1974" s="1930" t="s">
        <v>4555</v>
      </c>
      <c r="B1974" s="1930" t="s">
        <v>4556</v>
      </c>
      <c r="C1974" s="1930" t="s">
        <v>4563</v>
      </c>
      <c r="D1974" s="1930" t="s">
        <v>4564</v>
      </c>
      <c r="E1974" s="1931" t="s">
        <v>33</v>
      </c>
      <c r="F1974" s="1930" t="s">
        <v>33</v>
      </c>
      <c r="G1974" s="1932">
        <v>92432</v>
      </c>
      <c r="H1974" s="1930" t="s">
        <v>1455</v>
      </c>
      <c r="I1974" s="1930" t="s">
        <v>306</v>
      </c>
      <c r="J1974" s="1930" t="s">
        <v>320</v>
      </c>
      <c r="K1974" s="1933">
        <v>50.02</v>
      </c>
      <c r="L1974" s="1930" t="s">
        <v>138</v>
      </c>
    </row>
    <row r="1975" spans="1:12" ht="13.5" x14ac:dyDescent="0.25">
      <c r="A1975" s="1930" t="s">
        <v>4555</v>
      </c>
      <c r="B1975" s="1930" t="s">
        <v>4556</v>
      </c>
      <c r="C1975" s="1930" t="s">
        <v>4563</v>
      </c>
      <c r="D1975" s="1930" t="s">
        <v>4564</v>
      </c>
      <c r="E1975" s="1931" t="s">
        <v>33</v>
      </c>
      <c r="F1975" s="1930" t="s">
        <v>33</v>
      </c>
      <c r="G1975" s="1932">
        <v>92433</v>
      </c>
      <c r="H1975" s="1930" t="s">
        <v>1456</v>
      </c>
      <c r="I1975" s="1930" t="s">
        <v>306</v>
      </c>
      <c r="J1975" s="1930" t="s">
        <v>320</v>
      </c>
      <c r="K1975" s="1933">
        <v>45.23</v>
      </c>
      <c r="L1975" s="1930" t="s">
        <v>138</v>
      </c>
    </row>
    <row r="1976" spans="1:12" ht="13.5" x14ac:dyDescent="0.25">
      <c r="A1976" s="1930" t="s">
        <v>4555</v>
      </c>
      <c r="B1976" s="1930" t="s">
        <v>4556</v>
      </c>
      <c r="C1976" s="1930" t="s">
        <v>4563</v>
      </c>
      <c r="D1976" s="1930" t="s">
        <v>4564</v>
      </c>
      <c r="E1976" s="1931" t="s">
        <v>33</v>
      </c>
      <c r="F1976" s="1930" t="s">
        <v>33</v>
      </c>
      <c r="G1976" s="1932">
        <v>92434</v>
      </c>
      <c r="H1976" s="1930" t="s">
        <v>1457</v>
      </c>
      <c r="I1976" s="1930" t="s">
        <v>306</v>
      </c>
      <c r="J1976" s="1930" t="s">
        <v>320</v>
      </c>
      <c r="K1976" s="1933">
        <v>38.270000000000003</v>
      </c>
      <c r="L1976" s="1930" t="s">
        <v>138</v>
      </c>
    </row>
    <row r="1977" spans="1:12" ht="13.5" x14ac:dyDescent="0.25">
      <c r="A1977" s="1930" t="s">
        <v>4555</v>
      </c>
      <c r="B1977" s="1930" t="s">
        <v>4556</v>
      </c>
      <c r="C1977" s="1930" t="s">
        <v>4563</v>
      </c>
      <c r="D1977" s="1930" t="s">
        <v>4564</v>
      </c>
      <c r="E1977" s="1931" t="s">
        <v>33</v>
      </c>
      <c r="F1977" s="1930" t="s">
        <v>33</v>
      </c>
      <c r="G1977" s="1932">
        <v>92435</v>
      </c>
      <c r="H1977" s="1930" t="s">
        <v>1458</v>
      </c>
      <c r="I1977" s="1930" t="s">
        <v>306</v>
      </c>
      <c r="J1977" s="1930" t="s">
        <v>320</v>
      </c>
      <c r="K1977" s="1933">
        <v>33.65</v>
      </c>
      <c r="L1977" s="1930" t="s">
        <v>138</v>
      </c>
    </row>
    <row r="1978" spans="1:12" ht="13.5" x14ac:dyDescent="0.25">
      <c r="A1978" s="1930" t="s">
        <v>4555</v>
      </c>
      <c r="B1978" s="1930" t="s">
        <v>4556</v>
      </c>
      <c r="C1978" s="1930" t="s">
        <v>4563</v>
      </c>
      <c r="D1978" s="1930" t="s">
        <v>4564</v>
      </c>
      <c r="E1978" s="1931" t="s">
        <v>33</v>
      </c>
      <c r="F1978" s="1930" t="s">
        <v>33</v>
      </c>
      <c r="G1978" s="1932">
        <v>92436</v>
      </c>
      <c r="H1978" s="1930" t="s">
        <v>1459</v>
      </c>
      <c r="I1978" s="1930" t="s">
        <v>306</v>
      </c>
      <c r="J1978" s="1930" t="s">
        <v>320</v>
      </c>
      <c r="K1978" s="1933">
        <v>47.8</v>
      </c>
      <c r="L1978" s="1930" t="s">
        <v>138</v>
      </c>
    </row>
    <row r="1979" spans="1:12" ht="13.5" x14ac:dyDescent="0.25">
      <c r="A1979" s="1930" t="s">
        <v>4555</v>
      </c>
      <c r="B1979" s="1930" t="s">
        <v>4556</v>
      </c>
      <c r="C1979" s="1930" t="s">
        <v>4563</v>
      </c>
      <c r="D1979" s="1930" t="s">
        <v>4564</v>
      </c>
      <c r="E1979" s="1931" t="s">
        <v>33</v>
      </c>
      <c r="F1979" s="1930" t="s">
        <v>33</v>
      </c>
      <c r="G1979" s="1932">
        <v>92437</v>
      </c>
      <c r="H1979" s="1930" t="s">
        <v>1460</v>
      </c>
      <c r="I1979" s="1930" t="s">
        <v>306</v>
      </c>
      <c r="J1979" s="1930" t="s">
        <v>320</v>
      </c>
      <c r="K1979" s="1933">
        <v>43.19</v>
      </c>
      <c r="L1979" s="1930" t="s">
        <v>138</v>
      </c>
    </row>
    <row r="1980" spans="1:12" ht="13.5" x14ac:dyDescent="0.25">
      <c r="A1980" s="1930" t="s">
        <v>4555</v>
      </c>
      <c r="B1980" s="1930" t="s">
        <v>4556</v>
      </c>
      <c r="C1980" s="1930" t="s">
        <v>4563</v>
      </c>
      <c r="D1980" s="1930" t="s">
        <v>4564</v>
      </c>
      <c r="E1980" s="1931" t="s">
        <v>33</v>
      </c>
      <c r="F1980" s="1930" t="s">
        <v>33</v>
      </c>
      <c r="G1980" s="1932">
        <v>92438</v>
      </c>
      <c r="H1980" s="1930" t="s">
        <v>1461</v>
      </c>
      <c r="I1980" s="1930" t="s">
        <v>306</v>
      </c>
      <c r="J1980" s="1930" t="s">
        <v>320</v>
      </c>
      <c r="K1980" s="1933">
        <v>36.93</v>
      </c>
      <c r="L1980" s="1930" t="s">
        <v>138</v>
      </c>
    </row>
    <row r="1981" spans="1:12" ht="13.5" x14ac:dyDescent="0.25">
      <c r="A1981" s="1930" t="s">
        <v>4555</v>
      </c>
      <c r="B1981" s="1930" t="s">
        <v>4556</v>
      </c>
      <c r="C1981" s="1930" t="s">
        <v>4563</v>
      </c>
      <c r="D1981" s="1930" t="s">
        <v>4564</v>
      </c>
      <c r="E1981" s="1931" t="s">
        <v>33</v>
      </c>
      <c r="F1981" s="1930" t="s">
        <v>33</v>
      </c>
      <c r="G1981" s="1932">
        <v>92439</v>
      </c>
      <c r="H1981" s="1930" t="s">
        <v>1462</v>
      </c>
      <c r="I1981" s="1930" t="s">
        <v>306</v>
      </c>
      <c r="J1981" s="1930" t="s">
        <v>320</v>
      </c>
      <c r="K1981" s="1933">
        <v>32.409999999999997</v>
      </c>
      <c r="L1981" s="1930" t="s">
        <v>138</v>
      </c>
    </row>
    <row r="1982" spans="1:12" ht="13.5" x14ac:dyDescent="0.25">
      <c r="A1982" s="1930" t="s">
        <v>4555</v>
      </c>
      <c r="B1982" s="1930" t="s">
        <v>4556</v>
      </c>
      <c r="C1982" s="1930" t="s">
        <v>4563</v>
      </c>
      <c r="D1982" s="1930" t="s">
        <v>4564</v>
      </c>
      <c r="E1982" s="1931" t="s">
        <v>33</v>
      </c>
      <c r="F1982" s="1930" t="s">
        <v>33</v>
      </c>
      <c r="G1982" s="1932">
        <v>92440</v>
      </c>
      <c r="H1982" s="1930" t="s">
        <v>1463</v>
      </c>
      <c r="I1982" s="1930" t="s">
        <v>306</v>
      </c>
      <c r="J1982" s="1930" t="s">
        <v>320</v>
      </c>
      <c r="K1982" s="1933">
        <v>46.2</v>
      </c>
      <c r="L1982" s="1930" t="s">
        <v>138</v>
      </c>
    </row>
    <row r="1983" spans="1:12" ht="13.5" x14ac:dyDescent="0.25">
      <c r="A1983" s="1930" t="s">
        <v>4555</v>
      </c>
      <c r="B1983" s="1930" t="s">
        <v>4556</v>
      </c>
      <c r="C1983" s="1930" t="s">
        <v>4563</v>
      </c>
      <c r="D1983" s="1930" t="s">
        <v>4564</v>
      </c>
      <c r="E1983" s="1931" t="s">
        <v>33</v>
      </c>
      <c r="F1983" s="1930" t="s">
        <v>33</v>
      </c>
      <c r="G1983" s="1932">
        <v>92441</v>
      </c>
      <c r="H1983" s="1930" t="s">
        <v>1464</v>
      </c>
      <c r="I1983" s="1930" t="s">
        <v>306</v>
      </c>
      <c r="J1983" s="1930" t="s">
        <v>320</v>
      </c>
      <c r="K1983" s="1933">
        <v>41.72</v>
      </c>
      <c r="L1983" s="1930" t="s">
        <v>138</v>
      </c>
    </row>
    <row r="1984" spans="1:12" ht="13.5" x14ac:dyDescent="0.25">
      <c r="A1984" s="1930" t="s">
        <v>4555</v>
      </c>
      <c r="B1984" s="1930" t="s">
        <v>4556</v>
      </c>
      <c r="C1984" s="1930" t="s">
        <v>4563</v>
      </c>
      <c r="D1984" s="1930" t="s">
        <v>4564</v>
      </c>
      <c r="E1984" s="1931" t="s">
        <v>33</v>
      </c>
      <c r="F1984" s="1930" t="s">
        <v>33</v>
      </c>
      <c r="G1984" s="1932">
        <v>92442</v>
      </c>
      <c r="H1984" s="1930" t="s">
        <v>1465</v>
      </c>
      <c r="I1984" s="1930" t="s">
        <v>306</v>
      </c>
      <c r="J1984" s="1930" t="s">
        <v>320</v>
      </c>
      <c r="K1984" s="1933">
        <v>34.22</v>
      </c>
      <c r="L1984" s="1930" t="s">
        <v>138</v>
      </c>
    </row>
    <row r="1985" spans="1:12" ht="13.5" x14ac:dyDescent="0.25">
      <c r="A1985" s="1930" t="s">
        <v>4555</v>
      </c>
      <c r="B1985" s="1930" t="s">
        <v>4556</v>
      </c>
      <c r="C1985" s="1930" t="s">
        <v>4563</v>
      </c>
      <c r="D1985" s="1930" t="s">
        <v>4564</v>
      </c>
      <c r="E1985" s="1931" t="s">
        <v>33</v>
      </c>
      <c r="F1985" s="1930" t="s">
        <v>33</v>
      </c>
      <c r="G1985" s="1932">
        <v>92443</v>
      </c>
      <c r="H1985" s="1930" t="s">
        <v>1466</v>
      </c>
      <c r="I1985" s="1930" t="s">
        <v>306</v>
      </c>
      <c r="J1985" s="1930" t="s">
        <v>320</v>
      </c>
      <c r="K1985" s="1933">
        <v>29.87</v>
      </c>
      <c r="L1985" s="1930" t="s">
        <v>138</v>
      </c>
    </row>
    <row r="1986" spans="1:12" ht="13.5" x14ac:dyDescent="0.25">
      <c r="A1986" s="1930" t="s">
        <v>4555</v>
      </c>
      <c r="B1986" s="1930" t="s">
        <v>4556</v>
      </c>
      <c r="C1986" s="1930" t="s">
        <v>4563</v>
      </c>
      <c r="D1986" s="1930" t="s">
        <v>4564</v>
      </c>
      <c r="E1986" s="1931" t="s">
        <v>33</v>
      </c>
      <c r="F1986" s="1930" t="s">
        <v>33</v>
      </c>
      <c r="G1986" s="1932">
        <v>92444</v>
      </c>
      <c r="H1986" s="1930" t="s">
        <v>1467</v>
      </c>
      <c r="I1986" s="1930" t="s">
        <v>306</v>
      </c>
      <c r="J1986" s="1930" t="s">
        <v>320</v>
      </c>
      <c r="K1986" s="1933">
        <v>43.2</v>
      </c>
      <c r="L1986" s="1930" t="s">
        <v>138</v>
      </c>
    </row>
    <row r="1987" spans="1:12" ht="13.5" x14ac:dyDescent="0.25">
      <c r="A1987" s="1930" t="s">
        <v>4555</v>
      </c>
      <c r="B1987" s="1930" t="s">
        <v>4556</v>
      </c>
      <c r="C1987" s="1930" t="s">
        <v>4563</v>
      </c>
      <c r="D1987" s="1930" t="s">
        <v>4564</v>
      </c>
      <c r="E1987" s="1931" t="s">
        <v>33</v>
      </c>
      <c r="F1987" s="1930" t="s">
        <v>33</v>
      </c>
      <c r="G1987" s="1932">
        <v>92445</v>
      </c>
      <c r="H1987" s="1930" t="s">
        <v>1468</v>
      </c>
      <c r="I1987" s="1930" t="s">
        <v>306</v>
      </c>
      <c r="J1987" s="1930" t="s">
        <v>320</v>
      </c>
      <c r="K1987" s="1933">
        <v>38.83</v>
      </c>
      <c r="L1987" s="1930" t="s">
        <v>138</v>
      </c>
    </row>
    <row r="1988" spans="1:12" ht="13.5" x14ac:dyDescent="0.25">
      <c r="A1988" s="1930" t="s">
        <v>4555</v>
      </c>
      <c r="B1988" s="1930" t="s">
        <v>4556</v>
      </c>
      <c r="C1988" s="1930" t="s">
        <v>4563</v>
      </c>
      <c r="D1988" s="1930" t="s">
        <v>4564</v>
      </c>
      <c r="E1988" s="1931" t="s">
        <v>33</v>
      </c>
      <c r="F1988" s="1930" t="s">
        <v>33</v>
      </c>
      <c r="G1988" s="1932">
        <v>92446</v>
      </c>
      <c r="H1988" s="1930" t="s">
        <v>1469</v>
      </c>
      <c r="I1988" s="1930" t="s">
        <v>306</v>
      </c>
      <c r="J1988" s="1930" t="s">
        <v>320</v>
      </c>
      <c r="K1988" s="1933">
        <v>155.41</v>
      </c>
      <c r="L1988" s="1930" t="s">
        <v>138</v>
      </c>
    </row>
    <row r="1989" spans="1:12" ht="13.5" x14ac:dyDescent="0.25">
      <c r="A1989" s="1930" t="s">
        <v>4555</v>
      </c>
      <c r="B1989" s="1930" t="s">
        <v>4556</v>
      </c>
      <c r="C1989" s="1930" t="s">
        <v>4563</v>
      </c>
      <c r="D1989" s="1930" t="s">
        <v>4564</v>
      </c>
      <c r="E1989" s="1931" t="s">
        <v>33</v>
      </c>
      <c r="F1989" s="1930" t="s">
        <v>33</v>
      </c>
      <c r="G1989" s="1932">
        <v>92447</v>
      </c>
      <c r="H1989" s="1930" t="s">
        <v>1470</v>
      </c>
      <c r="I1989" s="1930" t="s">
        <v>306</v>
      </c>
      <c r="J1989" s="1930" t="s">
        <v>320</v>
      </c>
      <c r="K1989" s="1933">
        <v>110.88</v>
      </c>
      <c r="L1989" s="1930" t="s">
        <v>138</v>
      </c>
    </row>
    <row r="1990" spans="1:12" ht="13.5" x14ac:dyDescent="0.25">
      <c r="A1990" s="1930" t="s">
        <v>4555</v>
      </c>
      <c r="B1990" s="1930" t="s">
        <v>4556</v>
      </c>
      <c r="C1990" s="1930" t="s">
        <v>4563</v>
      </c>
      <c r="D1990" s="1930" t="s">
        <v>4564</v>
      </c>
      <c r="E1990" s="1931" t="s">
        <v>33</v>
      </c>
      <c r="F1990" s="1930" t="s">
        <v>33</v>
      </c>
      <c r="G1990" s="1932">
        <v>92448</v>
      </c>
      <c r="H1990" s="1930" t="s">
        <v>1471</v>
      </c>
      <c r="I1990" s="1930" t="s">
        <v>306</v>
      </c>
      <c r="J1990" s="1930" t="s">
        <v>320</v>
      </c>
      <c r="K1990" s="1933">
        <v>87.74</v>
      </c>
      <c r="L1990" s="1930" t="s">
        <v>138</v>
      </c>
    </row>
    <row r="1991" spans="1:12" ht="13.5" x14ac:dyDescent="0.25">
      <c r="A1991" s="1930" t="s">
        <v>4555</v>
      </c>
      <c r="B1991" s="1930" t="s">
        <v>4556</v>
      </c>
      <c r="C1991" s="1930" t="s">
        <v>4563</v>
      </c>
      <c r="D1991" s="1930" t="s">
        <v>4564</v>
      </c>
      <c r="E1991" s="1931" t="s">
        <v>33</v>
      </c>
      <c r="F1991" s="1930" t="s">
        <v>33</v>
      </c>
      <c r="G1991" s="1932">
        <v>92449</v>
      </c>
      <c r="H1991" s="1930" t="s">
        <v>1472</v>
      </c>
      <c r="I1991" s="1930" t="s">
        <v>306</v>
      </c>
      <c r="J1991" s="1930" t="s">
        <v>320</v>
      </c>
      <c r="K1991" s="1933">
        <v>156.37</v>
      </c>
      <c r="L1991" s="1930" t="s">
        <v>138</v>
      </c>
    </row>
    <row r="1992" spans="1:12" ht="13.5" x14ac:dyDescent="0.25">
      <c r="A1992" s="1930" t="s">
        <v>4555</v>
      </c>
      <c r="B1992" s="1930" t="s">
        <v>4556</v>
      </c>
      <c r="C1992" s="1930" t="s">
        <v>4563</v>
      </c>
      <c r="D1992" s="1930" t="s">
        <v>4564</v>
      </c>
      <c r="E1992" s="1931" t="s">
        <v>33</v>
      </c>
      <c r="F1992" s="1930" t="s">
        <v>33</v>
      </c>
      <c r="G1992" s="1932">
        <v>92450</v>
      </c>
      <c r="H1992" s="1930" t="s">
        <v>1473</v>
      </c>
      <c r="I1992" s="1930" t="s">
        <v>306</v>
      </c>
      <c r="J1992" s="1930" t="s">
        <v>320</v>
      </c>
      <c r="K1992" s="1933">
        <v>206.74</v>
      </c>
      <c r="L1992" s="1930" t="s">
        <v>138</v>
      </c>
    </row>
    <row r="1993" spans="1:12" ht="13.5" x14ac:dyDescent="0.25">
      <c r="A1993" s="1930" t="s">
        <v>4555</v>
      </c>
      <c r="B1993" s="1930" t="s">
        <v>4556</v>
      </c>
      <c r="C1993" s="1930" t="s">
        <v>4563</v>
      </c>
      <c r="D1993" s="1930" t="s">
        <v>4564</v>
      </c>
      <c r="E1993" s="1931" t="s">
        <v>33</v>
      </c>
      <c r="F1993" s="1930" t="s">
        <v>33</v>
      </c>
      <c r="G1993" s="1932">
        <v>92451</v>
      </c>
      <c r="H1993" s="1930" t="s">
        <v>1474</v>
      </c>
      <c r="I1993" s="1930" t="s">
        <v>306</v>
      </c>
      <c r="J1993" s="1930" t="s">
        <v>320</v>
      </c>
      <c r="K1993" s="1933">
        <v>109.85</v>
      </c>
      <c r="L1993" s="1930" t="s">
        <v>138</v>
      </c>
    </row>
    <row r="1994" spans="1:12" ht="13.5" x14ac:dyDescent="0.25">
      <c r="A1994" s="1930" t="s">
        <v>4555</v>
      </c>
      <c r="B1994" s="1930" t="s">
        <v>4556</v>
      </c>
      <c r="C1994" s="1930" t="s">
        <v>4563</v>
      </c>
      <c r="D1994" s="1930" t="s">
        <v>4564</v>
      </c>
      <c r="E1994" s="1931" t="s">
        <v>33</v>
      </c>
      <c r="F1994" s="1930" t="s">
        <v>33</v>
      </c>
      <c r="G1994" s="1932">
        <v>92452</v>
      </c>
      <c r="H1994" s="1930" t="s">
        <v>1475</v>
      </c>
      <c r="I1994" s="1930" t="s">
        <v>306</v>
      </c>
      <c r="J1994" s="1930" t="s">
        <v>320</v>
      </c>
      <c r="K1994" s="1933">
        <v>106.31</v>
      </c>
      <c r="L1994" s="1930" t="s">
        <v>138</v>
      </c>
    </row>
    <row r="1995" spans="1:12" ht="13.5" x14ac:dyDescent="0.25">
      <c r="A1995" s="1930" t="s">
        <v>4555</v>
      </c>
      <c r="B1995" s="1930" t="s">
        <v>4556</v>
      </c>
      <c r="C1995" s="1930" t="s">
        <v>4563</v>
      </c>
      <c r="D1995" s="1930" t="s">
        <v>4564</v>
      </c>
      <c r="E1995" s="1931" t="s">
        <v>33</v>
      </c>
      <c r="F1995" s="1930" t="s">
        <v>33</v>
      </c>
      <c r="G1995" s="1932">
        <v>92453</v>
      </c>
      <c r="H1995" s="1930" t="s">
        <v>1476</v>
      </c>
      <c r="I1995" s="1930" t="s">
        <v>306</v>
      </c>
      <c r="J1995" s="1930" t="s">
        <v>320</v>
      </c>
      <c r="K1995" s="1933">
        <v>132.65</v>
      </c>
      <c r="L1995" s="1930" t="s">
        <v>138</v>
      </c>
    </row>
    <row r="1996" spans="1:12" ht="13.5" x14ac:dyDescent="0.25">
      <c r="A1996" s="1930" t="s">
        <v>4555</v>
      </c>
      <c r="B1996" s="1930" t="s">
        <v>4556</v>
      </c>
      <c r="C1996" s="1930" t="s">
        <v>4563</v>
      </c>
      <c r="D1996" s="1930" t="s">
        <v>4564</v>
      </c>
      <c r="E1996" s="1931" t="s">
        <v>33</v>
      </c>
      <c r="F1996" s="1930" t="s">
        <v>33</v>
      </c>
      <c r="G1996" s="1932">
        <v>92454</v>
      </c>
      <c r="H1996" s="1930" t="s">
        <v>1477</v>
      </c>
      <c r="I1996" s="1930" t="s">
        <v>306</v>
      </c>
      <c r="J1996" s="1930" t="s">
        <v>320</v>
      </c>
      <c r="K1996" s="1933">
        <v>187.1</v>
      </c>
      <c r="L1996" s="1930" t="s">
        <v>138</v>
      </c>
    </row>
    <row r="1997" spans="1:12" ht="13.5" x14ac:dyDescent="0.25">
      <c r="A1997" s="1930" t="s">
        <v>4555</v>
      </c>
      <c r="B1997" s="1930" t="s">
        <v>4556</v>
      </c>
      <c r="C1997" s="1930" t="s">
        <v>4563</v>
      </c>
      <c r="D1997" s="1930" t="s">
        <v>4564</v>
      </c>
      <c r="E1997" s="1931" t="s">
        <v>33</v>
      </c>
      <c r="F1997" s="1930" t="s">
        <v>33</v>
      </c>
      <c r="G1997" s="1932">
        <v>92455</v>
      </c>
      <c r="H1997" s="1930" t="s">
        <v>1478</v>
      </c>
      <c r="I1997" s="1930" t="s">
        <v>306</v>
      </c>
      <c r="J1997" s="1930" t="s">
        <v>320</v>
      </c>
      <c r="K1997" s="1933">
        <v>89.31</v>
      </c>
      <c r="L1997" s="1930" t="s">
        <v>138</v>
      </c>
    </row>
    <row r="1998" spans="1:12" ht="13.5" x14ac:dyDescent="0.25">
      <c r="A1998" s="1930" t="s">
        <v>4555</v>
      </c>
      <c r="B1998" s="1930" t="s">
        <v>4556</v>
      </c>
      <c r="C1998" s="1930" t="s">
        <v>4563</v>
      </c>
      <c r="D1998" s="1930" t="s">
        <v>4564</v>
      </c>
      <c r="E1998" s="1931" t="s">
        <v>33</v>
      </c>
      <c r="F1998" s="1930" t="s">
        <v>33</v>
      </c>
      <c r="G1998" s="1932">
        <v>92456</v>
      </c>
      <c r="H1998" s="1930" t="s">
        <v>1479</v>
      </c>
      <c r="I1998" s="1930" t="s">
        <v>306</v>
      </c>
      <c r="J1998" s="1930" t="s">
        <v>320</v>
      </c>
      <c r="K1998" s="1933">
        <v>86.94</v>
      </c>
      <c r="L1998" s="1930" t="s">
        <v>138</v>
      </c>
    </row>
    <row r="1999" spans="1:12" ht="13.5" x14ac:dyDescent="0.25">
      <c r="A1999" s="1930" t="s">
        <v>4555</v>
      </c>
      <c r="B1999" s="1930" t="s">
        <v>4556</v>
      </c>
      <c r="C1999" s="1930" t="s">
        <v>4563</v>
      </c>
      <c r="D1999" s="1930" t="s">
        <v>4564</v>
      </c>
      <c r="E1999" s="1931" t="s">
        <v>33</v>
      </c>
      <c r="F1999" s="1930" t="s">
        <v>33</v>
      </c>
      <c r="G1999" s="1932">
        <v>92457</v>
      </c>
      <c r="H1999" s="1930" t="s">
        <v>1480</v>
      </c>
      <c r="I1999" s="1930" t="s">
        <v>306</v>
      </c>
      <c r="J1999" s="1930" t="s">
        <v>320</v>
      </c>
      <c r="K1999" s="1933">
        <v>114.95</v>
      </c>
      <c r="L1999" s="1930" t="s">
        <v>138</v>
      </c>
    </row>
    <row r="2000" spans="1:12" ht="13.5" x14ac:dyDescent="0.25">
      <c r="A2000" s="1930" t="s">
        <v>4555</v>
      </c>
      <c r="B2000" s="1930" t="s">
        <v>4556</v>
      </c>
      <c r="C2000" s="1930" t="s">
        <v>4563</v>
      </c>
      <c r="D2000" s="1930" t="s">
        <v>4564</v>
      </c>
      <c r="E2000" s="1931" t="s">
        <v>33</v>
      </c>
      <c r="F2000" s="1930" t="s">
        <v>33</v>
      </c>
      <c r="G2000" s="1932">
        <v>92458</v>
      </c>
      <c r="H2000" s="1930" t="s">
        <v>1481</v>
      </c>
      <c r="I2000" s="1930" t="s">
        <v>306</v>
      </c>
      <c r="J2000" s="1930" t="s">
        <v>320</v>
      </c>
      <c r="K2000" s="1933">
        <v>174.49</v>
      </c>
      <c r="L2000" s="1930" t="s">
        <v>138</v>
      </c>
    </row>
    <row r="2001" spans="1:12" ht="13.5" x14ac:dyDescent="0.25">
      <c r="A2001" s="1930" t="s">
        <v>4555</v>
      </c>
      <c r="B2001" s="1930" t="s">
        <v>4556</v>
      </c>
      <c r="C2001" s="1930" t="s">
        <v>4563</v>
      </c>
      <c r="D2001" s="1930" t="s">
        <v>4564</v>
      </c>
      <c r="E2001" s="1931" t="s">
        <v>33</v>
      </c>
      <c r="F2001" s="1930" t="s">
        <v>33</v>
      </c>
      <c r="G2001" s="1932">
        <v>92459</v>
      </c>
      <c r="H2001" s="1930" t="s">
        <v>1482</v>
      </c>
      <c r="I2001" s="1930" t="s">
        <v>306</v>
      </c>
      <c r="J2001" s="1930" t="s">
        <v>320</v>
      </c>
      <c r="K2001" s="1933">
        <v>75.59</v>
      </c>
      <c r="L2001" s="1930" t="s">
        <v>138</v>
      </c>
    </row>
    <row r="2002" spans="1:12" ht="13.5" x14ac:dyDescent="0.25">
      <c r="A2002" s="1930" t="s">
        <v>4555</v>
      </c>
      <c r="B2002" s="1930" t="s">
        <v>4556</v>
      </c>
      <c r="C2002" s="1930" t="s">
        <v>4563</v>
      </c>
      <c r="D2002" s="1930" t="s">
        <v>4564</v>
      </c>
      <c r="E2002" s="1931" t="s">
        <v>33</v>
      </c>
      <c r="F2002" s="1930" t="s">
        <v>33</v>
      </c>
      <c r="G2002" s="1932">
        <v>92460</v>
      </c>
      <c r="H2002" s="1930" t="s">
        <v>1483</v>
      </c>
      <c r="I2002" s="1930" t="s">
        <v>306</v>
      </c>
      <c r="J2002" s="1930" t="s">
        <v>320</v>
      </c>
      <c r="K2002" s="1933">
        <v>71.58</v>
      </c>
      <c r="L2002" s="1930" t="s">
        <v>138</v>
      </c>
    </row>
    <row r="2003" spans="1:12" ht="13.5" x14ac:dyDescent="0.25">
      <c r="A2003" s="1930" t="s">
        <v>4555</v>
      </c>
      <c r="B2003" s="1930" t="s">
        <v>4556</v>
      </c>
      <c r="C2003" s="1930" t="s">
        <v>4563</v>
      </c>
      <c r="D2003" s="1930" t="s">
        <v>4564</v>
      </c>
      <c r="E2003" s="1931" t="s">
        <v>33</v>
      </c>
      <c r="F2003" s="1930" t="s">
        <v>33</v>
      </c>
      <c r="G2003" s="1932">
        <v>92461</v>
      </c>
      <c r="H2003" s="1930" t="s">
        <v>1484</v>
      </c>
      <c r="I2003" s="1930" t="s">
        <v>306</v>
      </c>
      <c r="J2003" s="1930" t="s">
        <v>320</v>
      </c>
      <c r="K2003" s="1933">
        <v>105.5</v>
      </c>
      <c r="L2003" s="1930" t="s">
        <v>138</v>
      </c>
    </row>
    <row r="2004" spans="1:12" ht="13.5" x14ac:dyDescent="0.25">
      <c r="A2004" s="1930" t="s">
        <v>4555</v>
      </c>
      <c r="B2004" s="1930" t="s">
        <v>4556</v>
      </c>
      <c r="C2004" s="1930" t="s">
        <v>4563</v>
      </c>
      <c r="D2004" s="1930" t="s">
        <v>4564</v>
      </c>
      <c r="E2004" s="1931" t="s">
        <v>33</v>
      </c>
      <c r="F2004" s="1930" t="s">
        <v>33</v>
      </c>
      <c r="G2004" s="1932">
        <v>92462</v>
      </c>
      <c r="H2004" s="1930" t="s">
        <v>1485</v>
      </c>
      <c r="I2004" s="1930" t="s">
        <v>306</v>
      </c>
      <c r="J2004" s="1930" t="s">
        <v>320</v>
      </c>
      <c r="K2004" s="1933">
        <v>166.37</v>
      </c>
      <c r="L2004" s="1930" t="s">
        <v>138</v>
      </c>
    </row>
    <row r="2005" spans="1:12" ht="13.5" x14ac:dyDescent="0.25">
      <c r="A2005" s="1930" t="s">
        <v>4555</v>
      </c>
      <c r="B2005" s="1930" t="s">
        <v>4556</v>
      </c>
      <c r="C2005" s="1930" t="s">
        <v>4563</v>
      </c>
      <c r="D2005" s="1930" t="s">
        <v>4564</v>
      </c>
      <c r="E2005" s="1931" t="s">
        <v>33</v>
      </c>
      <c r="F2005" s="1930" t="s">
        <v>33</v>
      </c>
      <c r="G2005" s="1932">
        <v>92463</v>
      </c>
      <c r="H2005" s="1930" t="s">
        <v>1486</v>
      </c>
      <c r="I2005" s="1930" t="s">
        <v>306</v>
      </c>
      <c r="J2005" s="1930" t="s">
        <v>320</v>
      </c>
      <c r="K2005" s="1933">
        <v>68.12</v>
      </c>
      <c r="L2005" s="1930" t="s">
        <v>138</v>
      </c>
    </row>
    <row r="2006" spans="1:12" ht="13.5" x14ac:dyDescent="0.25">
      <c r="A2006" s="1930" t="s">
        <v>4555</v>
      </c>
      <c r="B2006" s="1930" t="s">
        <v>4556</v>
      </c>
      <c r="C2006" s="1930" t="s">
        <v>4563</v>
      </c>
      <c r="D2006" s="1930" t="s">
        <v>4564</v>
      </c>
      <c r="E2006" s="1931" t="s">
        <v>33</v>
      </c>
      <c r="F2006" s="1930" t="s">
        <v>33</v>
      </c>
      <c r="G2006" s="1932">
        <v>92464</v>
      </c>
      <c r="H2006" s="1930" t="s">
        <v>1487</v>
      </c>
      <c r="I2006" s="1930" t="s">
        <v>306</v>
      </c>
      <c r="J2006" s="1930" t="s">
        <v>320</v>
      </c>
      <c r="K2006" s="1933">
        <v>67.27</v>
      </c>
      <c r="L2006" s="1930" t="s">
        <v>138</v>
      </c>
    </row>
    <row r="2007" spans="1:12" ht="13.5" x14ac:dyDescent="0.25">
      <c r="A2007" s="1930" t="s">
        <v>4555</v>
      </c>
      <c r="B2007" s="1930" t="s">
        <v>4556</v>
      </c>
      <c r="C2007" s="1930" t="s">
        <v>4563</v>
      </c>
      <c r="D2007" s="1930" t="s">
        <v>4564</v>
      </c>
      <c r="E2007" s="1931" t="s">
        <v>33</v>
      </c>
      <c r="F2007" s="1930" t="s">
        <v>33</v>
      </c>
      <c r="G2007" s="1932">
        <v>92465</v>
      </c>
      <c r="H2007" s="1930" t="s">
        <v>1488</v>
      </c>
      <c r="I2007" s="1930" t="s">
        <v>306</v>
      </c>
      <c r="J2007" s="1930" t="s">
        <v>320</v>
      </c>
      <c r="K2007" s="1933">
        <v>84.06</v>
      </c>
      <c r="L2007" s="1930" t="s">
        <v>138</v>
      </c>
    </row>
    <row r="2008" spans="1:12" ht="13.5" x14ac:dyDescent="0.25">
      <c r="A2008" s="1930" t="s">
        <v>4555</v>
      </c>
      <c r="B2008" s="1930" t="s">
        <v>4556</v>
      </c>
      <c r="C2008" s="1930" t="s">
        <v>4563</v>
      </c>
      <c r="D2008" s="1930" t="s">
        <v>4564</v>
      </c>
      <c r="E2008" s="1931" t="s">
        <v>33</v>
      </c>
      <c r="F2008" s="1930" t="s">
        <v>33</v>
      </c>
      <c r="G2008" s="1932">
        <v>92466</v>
      </c>
      <c r="H2008" s="1930" t="s">
        <v>1489</v>
      </c>
      <c r="I2008" s="1930" t="s">
        <v>306</v>
      </c>
      <c r="J2008" s="1930" t="s">
        <v>320</v>
      </c>
      <c r="K2008" s="1933">
        <v>159.51</v>
      </c>
      <c r="L2008" s="1930" t="s">
        <v>138</v>
      </c>
    </row>
    <row r="2009" spans="1:12" ht="13.5" x14ac:dyDescent="0.25">
      <c r="A2009" s="1930" t="s">
        <v>4555</v>
      </c>
      <c r="B2009" s="1930" t="s">
        <v>4556</v>
      </c>
      <c r="C2009" s="1930" t="s">
        <v>4563</v>
      </c>
      <c r="D2009" s="1930" t="s">
        <v>4564</v>
      </c>
      <c r="E2009" s="1931" t="s">
        <v>33</v>
      </c>
      <c r="F2009" s="1930" t="s">
        <v>33</v>
      </c>
      <c r="G2009" s="1932">
        <v>92467</v>
      </c>
      <c r="H2009" s="1930" t="s">
        <v>1490</v>
      </c>
      <c r="I2009" s="1930" t="s">
        <v>306</v>
      </c>
      <c r="J2009" s="1930" t="s">
        <v>320</v>
      </c>
      <c r="K2009" s="1933">
        <v>55.21</v>
      </c>
      <c r="L2009" s="1930" t="s">
        <v>138</v>
      </c>
    </row>
    <row r="2010" spans="1:12" ht="13.5" x14ac:dyDescent="0.25">
      <c r="A2010" s="1930" t="s">
        <v>4555</v>
      </c>
      <c r="B2010" s="1930" t="s">
        <v>4556</v>
      </c>
      <c r="C2010" s="1930" t="s">
        <v>4563</v>
      </c>
      <c r="D2010" s="1930" t="s">
        <v>4564</v>
      </c>
      <c r="E2010" s="1931" t="s">
        <v>33</v>
      </c>
      <c r="F2010" s="1930" t="s">
        <v>33</v>
      </c>
      <c r="G2010" s="1932">
        <v>92468</v>
      </c>
      <c r="H2010" s="1930" t="s">
        <v>1491</v>
      </c>
      <c r="I2010" s="1930" t="s">
        <v>306</v>
      </c>
      <c r="J2010" s="1930" t="s">
        <v>320</v>
      </c>
      <c r="K2010" s="1933">
        <v>60.91</v>
      </c>
      <c r="L2010" s="1930" t="s">
        <v>138</v>
      </c>
    </row>
    <row r="2011" spans="1:12" ht="13.5" x14ac:dyDescent="0.25">
      <c r="A2011" s="1930" t="s">
        <v>4555</v>
      </c>
      <c r="B2011" s="1930" t="s">
        <v>4556</v>
      </c>
      <c r="C2011" s="1930" t="s">
        <v>4563</v>
      </c>
      <c r="D2011" s="1930" t="s">
        <v>4564</v>
      </c>
      <c r="E2011" s="1931" t="s">
        <v>33</v>
      </c>
      <c r="F2011" s="1930" t="s">
        <v>33</v>
      </c>
      <c r="G2011" s="1932">
        <v>92469</v>
      </c>
      <c r="H2011" s="1930" t="s">
        <v>1492</v>
      </c>
      <c r="I2011" s="1930" t="s">
        <v>306</v>
      </c>
      <c r="J2011" s="1930" t="s">
        <v>320</v>
      </c>
      <c r="K2011" s="1933">
        <v>76.73</v>
      </c>
      <c r="L2011" s="1930" t="s">
        <v>138</v>
      </c>
    </row>
    <row r="2012" spans="1:12" ht="13.5" x14ac:dyDescent="0.25">
      <c r="A2012" s="1930" t="s">
        <v>4555</v>
      </c>
      <c r="B2012" s="1930" t="s">
        <v>4556</v>
      </c>
      <c r="C2012" s="1930" t="s">
        <v>4563</v>
      </c>
      <c r="D2012" s="1930" t="s">
        <v>4564</v>
      </c>
      <c r="E2012" s="1931" t="s">
        <v>33</v>
      </c>
      <c r="F2012" s="1930" t="s">
        <v>33</v>
      </c>
      <c r="G2012" s="1932">
        <v>92470</v>
      </c>
      <c r="H2012" s="1930" t="s">
        <v>1493</v>
      </c>
      <c r="I2012" s="1930" t="s">
        <v>306</v>
      </c>
      <c r="J2012" s="1930" t="s">
        <v>320</v>
      </c>
      <c r="K2012" s="1933">
        <v>155.04</v>
      </c>
      <c r="L2012" s="1930" t="s">
        <v>138</v>
      </c>
    </row>
    <row r="2013" spans="1:12" ht="13.5" x14ac:dyDescent="0.25">
      <c r="A2013" s="1930" t="s">
        <v>4555</v>
      </c>
      <c r="B2013" s="1930" t="s">
        <v>4556</v>
      </c>
      <c r="C2013" s="1930" t="s">
        <v>4563</v>
      </c>
      <c r="D2013" s="1930" t="s">
        <v>4564</v>
      </c>
      <c r="E2013" s="1931" t="s">
        <v>33</v>
      </c>
      <c r="F2013" s="1930" t="s">
        <v>33</v>
      </c>
      <c r="G2013" s="1932">
        <v>92471</v>
      </c>
      <c r="H2013" s="1930" t="s">
        <v>1494</v>
      </c>
      <c r="I2013" s="1930" t="s">
        <v>306</v>
      </c>
      <c r="J2013" s="1930" t="s">
        <v>320</v>
      </c>
      <c r="K2013" s="1933">
        <v>50.45</v>
      </c>
      <c r="L2013" s="1930" t="s">
        <v>138</v>
      </c>
    </row>
    <row r="2014" spans="1:12" ht="13.5" x14ac:dyDescent="0.25">
      <c r="A2014" s="1930" t="s">
        <v>4555</v>
      </c>
      <c r="B2014" s="1930" t="s">
        <v>4556</v>
      </c>
      <c r="C2014" s="1930" t="s">
        <v>4563</v>
      </c>
      <c r="D2014" s="1930" t="s">
        <v>4564</v>
      </c>
      <c r="E2014" s="1931" t="s">
        <v>33</v>
      </c>
      <c r="F2014" s="1930" t="s">
        <v>33</v>
      </c>
      <c r="G2014" s="1932">
        <v>92472</v>
      </c>
      <c r="H2014" s="1930" t="s">
        <v>1495</v>
      </c>
      <c r="I2014" s="1930" t="s">
        <v>306</v>
      </c>
      <c r="J2014" s="1930" t="s">
        <v>320</v>
      </c>
      <c r="K2014" s="1933">
        <v>57.1</v>
      </c>
      <c r="L2014" s="1930" t="s">
        <v>138</v>
      </c>
    </row>
    <row r="2015" spans="1:12" ht="13.5" x14ac:dyDescent="0.25">
      <c r="A2015" s="1930" t="s">
        <v>4555</v>
      </c>
      <c r="B2015" s="1930" t="s">
        <v>4556</v>
      </c>
      <c r="C2015" s="1930" t="s">
        <v>4563</v>
      </c>
      <c r="D2015" s="1930" t="s">
        <v>4564</v>
      </c>
      <c r="E2015" s="1931" t="s">
        <v>33</v>
      </c>
      <c r="F2015" s="1930" t="s">
        <v>33</v>
      </c>
      <c r="G2015" s="1932">
        <v>92473</v>
      </c>
      <c r="H2015" s="1930" t="s">
        <v>1496</v>
      </c>
      <c r="I2015" s="1930" t="s">
        <v>306</v>
      </c>
      <c r="J2015" s="1930" t="s">
        <v>320</v>
      </c>
      <c r="K2015" s="1933">
        <v>70.73</v>
      </c>
      <c r="L2015" s="1930" t="s">
        <v>138</v>
      </c>
    </row>
    <row r="2016" spans="1:12" ht="13.5" x14ac:dyDescent="0.25">
      <c r="A2016" s="1930" t="s">
        <v>4555</v>
      </c>
      <c r="B2016" s="1930" t="s">
        <v>4556</v>
      </c>
      <c r="C2016" s="1930" t="s">
        <v>4563</v>
      </c>
      <c r="D2016" s="1930" t="s">
        <v>4564</v>
      </c>
      <c r="E2016" s="1931" t="s">
        <v>33</v>
      </c>
      <c r="F2016" s="1930" t="s">
        <v>33</v>
      </c>
      <c r="G2016" s="1932">
        <v>92474</v>
      </c>
      <c r="H2016" s="1930" t="s">
        <v>1497</v>
      </c>
      <c r="I2016" s="1930" t="s">
        <v>306</v>
      </c>
      <c r="J2016" s="1930" t="s">
        <v>320</v>
      </c>
      <c r="K2016" s="1933">
        <v>151.15</v>
      </c>
      <c r="L2016" s="1930" t="s">
        <v>138</v>
      </c>
    </row>
    <row r="2017" spans="1:12" ht="13.5" x14ac:dyDescent="0.25">
      <c r="A2017" s="1930" t="s">
        <v>4555</v>
      </c>
      <c r="B2017" s="1930" t="s">
        <v>4556</v>
      </c>
      <c r="C2017" s="1930" t="s">
        <v>4563</v>
      </c>
      <c r="D2017" s="1930" t="s">
        <v>4564</v>
      </c>
      <c r="E2017" s="1931" t="s">
        <v>33</v>
      </c>
      <c r="F2017" s="1930" t="s">
        <v>33</v>
      </c>
      <c r="G2017" s="1932">
        <v>92475</v>
      </c>
      <c r="H2017" s="1930" t="s">
        <v>1498</v>
      </c>
      <c r="I2017" s="1930" t="s">
        <v>306</v>
      </c>
      <c r="J2017" s="1930" t="s">
        <v>320</v>
      </c>
      <c r="K2017" s="1933">
        <v>46.54</v>
      </c>
      <c r="L2017" s="1930" t="s">
        <v>138</v>
      </c>
    </row>
    <row r="2018" spans="1:12" ht="13.5" x14ac:dyDescent="0.25">
      <c r="A2018" s="1930" t="s">
        <v>4555</v>
      </c>
      <c r="B2018" s="1930" t="s">
        <v>4556</v>
      </c>
      <c r="C2018" s="1930" t="s">
        <v>4563</v>
      </c>
      <c r="D2018" s="1930" t="s">
        <v>4564</v>
      </c>
      <c r="E2018" s="1931" t="s">
        <v>33</v>
      </c>
      <c r="F2018" s="1930" t="s">
        <v>33</v>
      </c>
      <c r="G2018" s="1932">
        <v>92476</v>
      </c>
      <c r="H2018" s="1930" t="s">
        <v>1499</v>
      </c>
      <c r="I2018" s="1930" t="s">
        <v>306</v>
      </c>
      <c r="J2018" s="1930" t="s">
        <v>320</v>
      </c>
      <c r="K2018" s="1933">
        <v>53.84</v>
      </c>
      <c r="L2018" s="1930" t="s">
        <v>138</v>
      </c>
    </row>
    <row r="2019" spans="1:12" ht="13.5" x14ac:dyDescent="0.25">
      <c r="A2019" s="1930" t="s">
        <v>4555</v>
      </c>
      <c r="B2019" s="1930" t="s">
        <v>4556</v>
      </c>
      <c r="C2019" s="1930" t="s">
        <v>4563</v>
      </c>
      <c r="D2019" s="1930" t="s">
        <v>4564</v>
      </c>
      <c r="E2019" s="1931" t="s">
        <v>33</v>
      </c>
      <c r="F2019" s="1930" t="s">
        <v>33</v>
      </c>
      <c r="G2019" s="1932">
        <v>92477</v>
      </c>
      <c r="H2019" s="1930" t="s">
        <v>1500</v>
      </c>
      <c r="I2019" s="1930" t="s">
        <v>306</v>
      </c>
      <c r="J2019" s="1930" t="s">
        <v>320</v>
      </c>
      <c r="K2019" s="1933">
        <v>58.11</v>
      </c>
      <c r="L2019" s="1930" t="s">
        <v>138</v>
      </c>
    </row>
    <row r="2020" spans="1:12" ht="13.5" x14ac:dyDescent="0.25">
      <c r="A2020" s="1930" t="s">
        <v>4555</v>
      </c>
      <c r="B2020" s="1930" t="s">
        <v>4556</v>
      </c>
      <c r="C2020" s="1930" t="s">
        <v>4563</v>
      </c>
      <c r="D2020" s="1930" t="s">
        <v>4564</v>
      </c>
      <c r="E2020" s="1931" t="s">
        <v>33</v>
      </c>
      <c r="F2020" s="1930" t="s">
        <v>33</v>
      </c>
      <c r="G2020" s="1932">
        <v>92478</v>
      </c>
      <c r="H2020" s="1930" t="s">
        <v>1501</v>
      </c>
      <c r="I2020" s="1930" t="s">
        <v>306</v>
      </c>
      <c r="J2020" s="1930" t="s">
        <v>320</v>
      </c>
      <c r="K2020" s="1933">
        <v>143.6</v>
      </c>
      <c r="L2020" s="1930" t="s">
        <v>138</v>
      </c>
    </row>
    <row r="2021" spans="1:12" ht="13.5" x14ac:dyDescent="0.25">
      <c r="A2021" s="1930" t="s">
        <v>4555</v>
      </c>
      <c r="B2021" s="1930" t="s">
        <v>4556</v>
      </c>
      <c r="C2021" s="1930" t="s">
        <v>4563</v>
      </c>
      <c r="D2021" s="1930" t="s">
        <v>4564</v>
      </c>
      <c r="E2021" s="1931" t="s">
        <v>33</v>
      </c>
      <c r="F2021" s="1930" t="s">
        <v>33</v>
      </c>
      <c r="G2021" s="1932">
        <v>92479</v>
      </c>
      <c r="H2021" s="1930" t="s">
        <v>1502</v>
      </c>
      <c r="I2021" s="1930" t="s">
        <v>306</v>
      </c>
      <c r="J2021" s="1930" t="s">
        <v>320</v>
      </c>
      <c r="K2021" s="1933">
        <v>38.32</v>
      </c>
      <c r="L2021" s="1930" t="s">
        <v>138</v>
      </c>
    </row>
    <row r="2022" spans="1:12" ht="13.5" x14ac:dyDescent="0.25">
      <c r="A2022" s="1930" t="s">
        <v>4555</v>
      </c>
      <c r="B2022" s="1930" t="s">
        <v>4556</v>
      </c>
      <c r="C2022" s="1930" t="s">
        <v>4563</v>
      </c>
      <c r="D2022" s="1930" t="s">
        <v>4564</v>
      </c>
      <c r="E2022" s="1931" t="s">
        <v>33</v>
      </c>
      <c r="F2022" s="1930" t="s">
        <v>33</v>
      </c>
      <c r="G2022" s="1932">
        <v>92480</v>
      </c>
      <c r="H2022" s="1930" t="s">
        <v>1503</v>
      </c>
      <c r="I2022" s="1930" t="s">
        <v>306</v>
      </c>
      <c r="J2022" s="1930" t="s">
        <v>320</v>
      </c>
      <c r="K2022" s="1933">
        <v>47.41</v>
      </c>
      <c r="L2022" s="1930" t="s">
        <v>138</v>
      </c>
    </row>
    <row r="2023" spans="1:12" ht="13.5" x14ac:dyDescent="0.25">
      <c r="A2023" s="1930" t="s">
        <v>4555</v>
      </c>
      <c r="B2023" s="1930" t="s">
        <v>4556</v>
      </c>
      <c r="C2023" s="1930" t="s">
        <v>4563</v>
      </c>
      <c r="D2023" s="1930" t="s">
        <v>4564</v>
      </c>
      <c r="E2023" s="1931" t="s">
        <v>33</v>
      </c>
      <c r="F2023" s="1930" t="s">
        <v>33</v>
      </c>
      <c r="G2023" s="1932">
        <v>92481</v>
      </c>
      <c r="H2023" s="1930" t="s">
        <v>1504</v>
      </c>
      <c r="I2023" s="1930" t="s">
        <v>306</v>
      </c>
      <c r="J2023" s="1930" t="s">
        <v>320</v>
      </c>
      <c r="K2023" s="1933">
        <v>203.57</v>
      </c>
      <c r="L2023" s="1930" t="s">
        <v>138</v>
      </c>
    </row>
    <row r="2024" spans="1:12" ht="13.5" x14ac:dyDescent="0.25">
      <c r="A2024" s="1930" t="s">
        <v>4555</v>
      </c>
      <c r="B2024" s="1930" t="s">
        <v>4556</v>
      </c>
      <c r="C2024" s="1930" t="s">
        <v>4563</v>
      </c>
      <c r="D2024" s="1930" t="s">
        <v>4564</v>
      </c>
      <c r="E2024" s="1931" t="s">
        <v>33</v>
      </c>
      <c r="F2024" s="1930" t="s">
        <v>33</v>
      </c>
      <c r="G2024" s="1932">
        <v>92482</v>
      </c>
      <c r="H2024" s="1930" t="s">
        <v>1505</v>
      </c>
      <c r="I2024" s="1930" t="s">
        <v>306</v>
      </c>
      <c r="J2024" s="1930" t="s">
        <v>320</v>
      </c>
      <c r="K2024" s="1933">
        <v>192.79</v>
      </c>
      <c r="L2024" s="1930" t="s">
        <v>138</v>
      </c>
    </row>
    <row r="2025" spans="1:12" ht="13.5" x14ac:dyDescent="0.25">
      <c r="A2025" s="1930" t="s">
        <v>4555</v>
      </c>
      <c r="B2025" s="1930" t="s">
        <v>4556</v>
      </c>
      <c r="C2025" s="1930" t="s">
        <v>4563</v>
      </c>
      <c r="D2025" s="1930" t="s">
        <v>4564</v>
      </c>
      <c r="E2025" s="1931" t="s">
        <v>33</v>
      </c>
      <c r="F2025" s="1930" t="s">
        <v>33</v>
      </c>
      <c r="G2025" s="1932">
        <v>92483</v>
      </c>
      <c r="H2025" s="1930" t="s">
        <v>1506</v>
      </c>
      <c r="I2025" s="1930" t="s">
        <v>306</v>
      </c>
      <c r="J2025" s="1930" t="s">
        <v>320</v>
      </c>
      <c r="K2025" s="1933">
        <v>152.25</v>
      </c>
      <c r="L2025" s="1930" t="s">
        <v>138</v>
      </c>
    </row>
    <row r="2026" spans="1:12" ht="13.5" x14ac:dyDescent="0.25">
      <c r="A2026" s="1930" t="s">
        <v>4555</v>
      </c>
      <c r="B2026" s="1930" t="s">
        <v>4556</v>
      </c>
      <c r="C2026" s="1930" t="s">
        <v>4563</v>
      </c>
      <c r="D2026" s="1930" t="s">
        <v>4564</v>
      </c>
      <c r="E2026" s="1931" t="s">
        <v>33</v>
      </c>
      <c r="F2026" s="1930" t="s">
        <v>33</v>
      </c>
      <c r="G2026" s="1932">
        <v>92484</v>
      </c>
      <c r="H2026" s="1930" t="s">
        <v>1507</v>
      </c>
      <c r="I2026" s="1930" t="s">
        <v>306</v>
      </c>
      <c r="J2026" s="1930" t="s">
        <v>320</v>
      </c>
      <c r="K2026" s="1933">
        <v>142.74</v>
      </c>
      <c r="L2026" s="1930" t="s">
        <v>138</v>
      </c>
    </row>
    <row r="2027" spans="1:12" ht="13.5" x14ac:dyDescent="0.25">
      <c r="A2027" s="1930" t="s">
        <v>4555</v>
      </c>
      <c r="B2027" s="1930" t="s">
        <v>4556</v>
      </c>
      <c r="C2027" s="1930" t="s">
        <v>4563</v>
      </c>
      <c r="D2027" s="1930" t="s">
        <v>4564</v>
      </c>
      <c r="E2027" s="1931" t="s">
        <v>33</v>
      </c>
      <c r="F2027" s="1930" t="s">
        <v>33</v>
      </c>
      <c r="G2027" s="1932">
        <v>92485</v>
      </c>
      <c r="H2027" s="1930" t="s">
        <v>1508</v>
      </c>
      <c r="I2027" s="1930" t="s">
        <v>306</v>
      </c>
      <c r="J2027" s="1930" t="s">
        <v>320</v>
      </c>
      <c r="K2027" s="1933">
        <v>107.94</v>
      </c>
      <c r="L2027" s="1930" t="s">
        <v>138</v>
      </c>
    </row>
    <row r="2028" spans="1:12" ht="13.5" x14ac:dyDescent="0.25">
      <c r="A2028" s="1930" t="s">
        <v>4555</v>
      </c>
      <c r="B2028" s="1930" t="s">
        <v>4556</v>
      </c>
      <c r="C2028" s="1930" t="s">
        <v>4563</v>
      </c>
      <c r="D2028" s="1930" t="s">
        <v>4564</v>
      </c>
      <c r="E2028" s="1931" t="s">
        <v>33</v>
      </c>
      <c r="F2028" s="1930" t="s">
        <v>33</v>
      </c>
      <c r="G2028" s="1932">
        <v>92486</v>
      </c>
      <c r="H2028" s="1930" t="s">
        <v>1509</v>
      </c>
      <c r="I2028" s="1930" t="s">
        <v>306</v>
      </c>
      <c r="J2028" s="1930" t="s">
        <v>320</v>
      </c>
      <c r="K2028" s="1933">
        <v>100.62</v>
      </c>
      <c r="L2028" s="1930" t="s">
        <v>138</v>
      </c>
    </row>
    <row r="2029" spans="1:12" ht="13.5" x14ac:dyDescent="0.25">
      <c r="A2029" s="1930" t="s">
        <v>4555</v>
      </c>
      <c r="B2029" s="1930" t="s">
        <v>4556</v>
      </c>
      <c r="C2029" s="1930" t="s">
        <v>4563</v>
      </c>
      <c r="D2029" s="1930" t="s">
        <v>4564</v>
      </c>
      <c r="E2029" s="1931" t="s">
        <v>33</v>
      </c>
      <c r="F2029" s="1930" t="s">
        <v>33</v>
      </c>
      <c r="G2029" s="1932">
        <v>92487</v>
      </c>
      <c r="H2029" s="1930" t="s">
        <v>1510</v>
      </c>
      <c r="I2029" s="1930" t="s">
        <v>306</v>
      </c>
      <c r="J2029" s="1930" t="s">
        <v>137</v>
      </c>
      <c r="K2029" s="1933">
        <v>66.5</v>
      </c>
      <c r="L2029" s="1930" t="s">
        <v>138</v>
      </c>
    </row>
    <row r="2030" spans="1:12" ht="13.5" x14ac:dyDescent="0.25">
      <c r="A2030" s="1930" t="s">
        <v>4555</v>
      </c>
      <c r="B2030" s="1930" t="s">
        <v>4556</v>
      </c>
      <c r="C2030" s="1930" t="s">
        <v>4563</v>
      </c>
      <c r="D2030" s="1930" t="s">
        <v>4564</v>
      </c>
      <c r="E2030" s="1931" t="s">
        <v>33</v>
      </c>
      <c r="F2030" s="1930" t="s">
        <v>33</v>
      </c>
      <c r="G2030" s="1932">
        <v>92488</v>
      </c>
      <c r="H2030" s="1930" t="s">
        <v>1511</v>
      </c>
      <c r="I2030" s="1930" t="s">
        <v>306</v>
      </c>
      <c r="J2030" s="1930" t="s">
        <v>137</v>
      </c>
      <c r="K2030" s="1933">
        <v>63.98</v>
      </c>
      <c r="L2030" s="1930" t="s">
        <v>138</v>
      </c>
    </row>
    <row r="2031" spans="1:12" ht="13.5" x14ac:dyDescent="0.25">
      <c r="A2031" s="1930" t="s">
        <v>4555</v>
      </c>
      <c r="B2031" s="1930" t="s">
        <v>4556</v>
      </c>
      <c r="C2031" s="1930" t="s">
        <v>4563</v>
      </c>
      <c r="D2031" s="1930" t="s">
        <v>4564</v>
      </c>
      <c r="E2031" s="1931" t="s">
        <v>33</v>
      </c>
      <c r="F2031" s="1930" t="s">
        <v>33</v>
      </c>
      <c r="G2031" s="1932">
        <v>92489</v>
      </c>
      <c r="H2031" s="1930" t="s">
        <v>1512</v>
      </c>
      <c r="I2031" s="1930" t="s">
        <v>306</v>
      </c>
      <c r="J2031" s="1930" t="s">
        <v>137</v>
      </c>
      <c r="K2031" s="1933">
        <v>39.57</v>
      </c>
      <c r="L2031" s="1930" t="s">
        <v>138</v>
      </c>
    </row>
    <row r="2032" spans="1:12" ht="13.5" x14ac:dyDescent="0.25">
      <c r="A2032" s="1930" t="s">
        <v>4555</v>
      </c>
      <c r="B2032" s="1930" t="s">
        <v>4556</v>
      </c>
      <c r="C2032" s="1930" t="s">
        <v>4563</v>
      </c>
      <c r="D2032" s="1930" t="s">
        <v>4564</v>
      </c>
      <c r="E2032" s="1931" t="s">
        <v>33</v>
      </c>
      <c r="F2032" s="1930" t="s">
        <v>33</v>
      </c>
      <c r="G2032" s="1932">
        <v>92490</v>
      </c>
      <c r="H2032" s="1930" t="s">
        <v>1513</v>
      </c>
      <c r="I2032" s="1930" t="s">
        <v>306</v>
      </c>
      <c r="J2032" s="1930" t="s">
        <v>137</v>
      </c>
      <c r="K2032" s="1933">
        <v>37.26</v>
      </c>
      <c r="L2032" s="1930" t="s">
        <v>138</v>
      </c>
    </row>
    <row r="2033" spans="1:12" ht="13.5" x14ac:dyDescent="0.25">
      <c r="A2033" s="1930" t="s">
        <v>4555</v>
      </c>
      <c r="B2033" s="1930" t="s">
        <v>4556</v>
      </c>
      <c r="C2033" s="1930" t="s">
        <v>4563</v>
      </c>
      <c r="D2033" s="1930" t="s">
        <v>4564</v>
      </c>
      <c r="E2033" s="1931" t="s">
        <v>33</v>
      </c>
      <c r="F2033" s="1930" t="s">
        <v>33</v>
      </c>
      <c r="G2033" s="1932">
        <v>92491</v>
      </c>
      <c r="H2033" s="1930" t="s">
        <v>1514</v>
      </c>
      <c r="I2033" s="1930" t="s">
        <v>306</v>
      </c>
      <c r="J2033" s="1930" t="s">
        <v>137</v>
      </c>
      <c r="K2033" s="1933">
        <v>63.93</v>
      </c>
      <c r="L2033" s="1930" t="s">
        <v>138</v>
      </c>
    </row>
    <row r="2034" spans="1:12" ht="13.5" x14ac:dyDescent="0.25">
      <c r="A2034" s="1930" t="s">
        <v>4555</v>
      </c>
      <c r="B2034" s="1930" t="s">
        <v>4556</v>
      </c>
      <c r="C2034" s="1930" t="s">
        <v>4563</v>
      </c>
      <c r="D2034" s="1930" t="s">
        <v>4564</v>
      </c>
      <c r="E2034" s="1931" t="s">
        <v>33</v>
      </c>
      <c r="F2034" s="1930" t="s">
        <v>33</v>
      </c>
      <c r="G2034" s="1932">
        <v>92492</v>
      </c>
      <c r="H2034" s="1930" t="s">
        <v>1515</v>
      </c>
      <c r="I2034" s="1930" t="s">
        <v>306</v>
      </c>
      <c r="J2034" s="1930" t="s">
        <v>137</v>
      </c>
      <c r="K2034" s="1933">
        <v>61.53</v>
      </c>
      <c r="L2034" s="1930" t="s">
        <v>138</v>
      </c>
    </row>
    <row r="2035" spans="1:12" ht="13.5" x14ac:dyDescent="0.25">
      <c r="A2035" s="1930" t="s">
        <v>4555</v>
      </c>
      <c r="B2035" s="1930" t="s">
        <v>4556</v>
      </c>
      <c r="C2035" s="1930" t="s">
        <v>4563</v>
      </c>
      <c r="D2035" s="1930" t="s">
        <v>4564</v>
      </c>
      <c r="E2035" s="1931" t="s">
        <v>33</v>
      </c>
      <c r="F2035" s="1930" t="s">
        <v>33</v>
      </c>
      <c r="G2035" s="1932">
        <v>92493</v>
      </c>
      <c r="H2035" s="1930" t="s">
        <v>1516</v>
      </c>
      <c r="I2035" s="1930" t="s">
        <v>306</v>
      </c>
      <c r="J2035" s="1930" t="s">
        <v>137</v>
      </c>
      <c r="K2035" s="1933">
        <v>35.5</v>
      </c>
      <c r="L2035" s="1930" t="s">
        <v>138</v>
      </c>
    </row>
    <row r="2036" spans="1:12" ht="13.5" x14ac:dyDescent="0.25">
      <c r="A2036" s="1930" t="s">
        <v>4555</v>
      </c>
      <c r="B2036" s="1930" t="s">
        <v>4556</v>
      </c>
      <c r="C2036" s="1930" t="s">
        <v>4563</v>
      </c>
      <c r="D2036" s="1930" t="s">
        <v>4564</v>
      </c>
      <c r="E2036" s="1931" t="s">
        <v>33</v>
      </c>
      <c r="F2036" s="1930" t="s">
        <v>33</v>
      </c>
      <c r="G2036" s="1932">
        <v>92494</v>
      </c>
      <c r="H2036" s="1930" t="s">
        <v>1517</v>
      </c>
      <c r="I2036" s="1930" t="s">
        <v>306</v>
      </c>
      <c r="J2036" s="1930" t="s">
        <v>137</v>
      </c>
      <c r="K2036" s="1933">
        <v>35.18</v>
      </c>
      <c r="L2036" s="1930" t="s">
        <v>138</v>
      </c>
    </row>
    <row r="2037" spans="1:12" ht="13.5" x14ac:dyDescent="0.25">
      <c r="A2037" s="1930" t="s">
        <v>4555</v>
      </c>
      <c r="B2037" s="1930" t="s">
        <v>4556</v>
      </c>
      <c r="C2037" s="1930" t="s">
        <v>4563</v>
      </c>
      <c r="D2037" s="1930" t="s">
        <v>4564</v>
      </c>
      <c r="E2037" s="1931" t="s">
        <v>33</v>
      </c>
      <c r="F2037" s="1930" t="s">
        <v>33</v>
      </c>
      <c r="G2037" s="1932">
        <v>92495</v>
      </c>
      <c r="H2037" s="1930" t="s">
        <v>1518</v>
      </c>
      <c r="I2037" s="1930" t="s">
        <v>306</v>
      </c>
      <c r="J2037" s="1930" t="s">
        <v>137</v>
      </c>
      <c r="K2037" s="1933">
        <v>62.17</v>
      </c>
      <c r="L2037" s="1930" t="s">
        <v>138</v>
      </c>
    </row>
    <row r="2038" spans="1:12" ht="13.5" x14ac:dyDescent="0.25">
      <c r="A2038" s="1930" t="s">
        <v>4555</v>
      </c>
      <c r="B2038" s="1930" t="s">
        <v>4556</v>
      </c>
      <c r="C2038" s="1930" t="s">
        <v>4563</v>
      </c>
      <c r="D2038" s="1930" t="s">
        <v>4564</v>
      </c>
      <c r="E2038" s="1931" t="s">
        <v>33</v>
      </c>
      <c r="F2038" s="1930" t="s">
        <v>33</v>
      </c>
      <c r="G2038" s="1932">
        <v>92496</v>
      </c>
      <c r="H2038" s="1930" t="s">
        <v>1519</v>
      </c>
      <c r="I2038" s="1930" t="s">
        <v>306</v>
      </c>
      <c r="J2038" s="1930" t="s">
        <v>137</v>
      </c>
      <c r="K2038" s="1933">
        <v>59.87</v>
      </c>
      <c r="L2038" s="1930" t="s">
        <v>138</v>
      </c>
    </row>
    <row r="2039" spans="1:12" ht="13.5" x14ac:dyDescent="0.25">
      <c r="A2039" s="1930" t="s">
        <v>4555</v>
      </c>
      <c r="B2039" s="1930" t="s">
        <v>4556</v>
      </c>
      <c r="C2039" s="1930" t="s">
        <v>4563</v>
      </c>
      <c r="D2039" s="1930" t="s">
        <v>4564</v>
      </c>
      <c r="E2039" s="1931" t="s">
        <v>33</v>
      </c>
      <c r="F2039" s="1930" t="s">
        <v>33</v>
      </c>
      <c r="G2039" s="1932">
        <v>92497</v>
      </c>
      <c r="H2039" s="1930" t="s">
        <v>1520</v>
      </c>
      <c r="I2039" s="1930" t="s">
        <v>306</v>
      </c>
      <c r="J2039" s="1930" t="s">
        <v>137</v>
      </c>
      <c r="K2039" s="1933">
        <v>35.92</v>
      </c>
      <c r="L2039" s="1930" t="s">
        <v>138</v>
      </c>
    </row>
    <row r="2040" spans="1:12" ht="13.5" x14ac:dyDescent="0.25">
      <c r="A2040" s="1930" t="s">
        <v>4555</v>
      </c>
      <c r="B2040" s="1930" t="s">
        <v>4556</v>
      </c>
      <c r="C2040" s="1930" t="s">
        <v>4563</v>
      </c>
      <c r="D2040" s="1930" t="s">
        <v>4564</v>
      </c>
      <c r="E2040" s="1931" t="s">
        <v>33</v>
      </c>
      <c r="F2040" s="1930" t="s">
        <v>33</v>
      </c>
      <c r="G2040" s="1932">
        <v>92498</v>
      </c>
      <c r="H2040" s="1930" t="s">
        <v>1521</v>
      </c>
      <c r="I2040" s="1930" t="s">
        <v>306</v>
      </c>
      <c r="J2040" s="1930" t="s">
        <v>137</v>
      </c>
      <c r="K2040" s="1933">
        <v>33.770000000000003</v>
      </c>
      <c r="L2040" s="1930" t="s">
        <v>138</v>
      </c>
    </row>
    <row r="2041" spans="1:12" ht="13.5" x14ac:dyDescent="0.25">
      <c r="A2041" s="1930" t="s">
        <v>4555</v>
      </c>
      <c r="B2041" s="1930" t="s">
        <v>4556</v>
      </c>
      <c r="C2041" s="1930" t="s">
        <v>4563</v>
      </c>
      <c r="D2041" s="1930" t="s">
        <v>4564</v>
      </c>
      <c r="E2041" s="1931" t="s">
        <v>33</v>
      </c>
      <c r="F2041" s="1930" t="s">
        <v>33</v>
      </c>
      <c r="G2041" s="1932">
        <v>92499</v>
      </c>
      <c r="H2041" s="1930" t="s">
        <v>1522</v>
      </c>
      <c r="I2041" s="1930" t="s">
        <v>306</v>
      </c>
      <c r="J2041" s="1930" t="s">
        <v>137</v>
      </c>
      <c r="K2041" s="1933">
        <v>61.14</v>
      </c>
      <c r="L2041" s="1930" t="s">
        <v>138</v>
      </c>
    </row>
    <row r="2042" spans="1:12" ht="13.5" x14ac:dyDescent="0.25">
      <c r="A2042" s="1930" t="s">
        <v>4555</v>
      </c>
      <c r="B2042" s="1930" t="s">
        <v>4556</v>
      </c>
      <c r="C2042" s="1930" t="s">
        <v>4563</v>
      </c>
      <c r="D2042" s="1930" t="s">
        <v>4564</v>
      </c>
      <c r="E2042" s="1931" t="s">
        <v>33</v>
      </c>
      <c r="F2042" s="1930" t="s">
        <v>33</v>
      </c>
      <c r="G2042" s="1932">
        <v>92500</v>
      </c>
      <c r="H2042" s="1930" t="s">
        <v>1523</v>
      </c>
      <c r="I2042" s="1930" t="s">
        <v>306</v>
      </c>
      <c r="J2042" s="1930" t="s">
        <v>137</v>
      </c>
      <c r="K2042" s="1933">
        <v>58.89</v>
      </c>
      <c r="L2042" s="1930" t="s">
        <v>138</v>
      </c>
    </row>
    <row r="2043" spans="1:12" ht="13.5" x14ac:dyDescent="0.25">
      <c r="A2043" s="1930" t="s">
        <v>4555</v>
      </c>
      <c r="B2043" s="1930" t="s">
        <v>4556</v>
      </c>
      <c r="C2043" s="1930" t="s">
        <v>4563</v>
      </c>
      <c r="D2043" s="1930" t="s">
        <v>4564</v>
      </c>
      <c r="E2043" s="1931" t="s">
        <v>33</v>
      </c>
      <c r="F2043" s="1930" t="s">
        <v>33</v>
      </c>
      <c r="G2043" s="1932">
        <v>92501</v>
      </c>
      <c r="H2043" s="1930" t="s">
        <v>1524</v>
      </c>
      <c r="I2043" s="1930" t="s">
        <v>306</v>
      </c>
      <c r="J2043" s="1930" t="s">
        <v>137</v>
      </c>
      <c r="K2043" s="1933">
        <v>35.06</v>
      </c>
      <c r="L2043" s="1930" t="s">
        <v>138</v>
      </c>
    </row>
    <row r="2044" spans="1:12" ht="13.5" x14ac:dyDescent="0.25">
      <c r="A2044" s="1930" t="s">
        <v>4555</v>
      </c>
      <c r="B2044" s="1930" t="s">
        <v>4556</v>
      </c>
      <c r="C2044" s="1930" t="s">
        <v>4563</v>
      </c>
      <c r="D2044" s="1930" t="s">
        <v>4564</v>
      </c>
      <c r="E2044" s="1931" t="s">
        <v>33</v>
      </c>
      <c r="F2044" s="1930" t="s">
        <v>33</v>
      </c>
      <c r="G2044" s="1932">
        <v>92502</v>
      </c>
      <c r="H2044" s="1930" t="s">
        <v>1525</v>
      </c>
      <c r="I2044" s="1930" t="s">
        <v>306</v>
      </c>
      <c r="J2044" s="1930" t="s">
        <v>137</v>
      </c>
      <c r="K2044" s="1933">
        <v>32.97</v>
      </c>
      <c r="L2044" s="1930" t="s">
        <v>138</v>
      </c>
    </row>
    <row r="2045" spans="1:12" ht="13.5" x14ac:dyDescent="0.25">
      <c r="A2045" s="1930" t="s">
        <v>4555</v>
      </c>
      <c r="B2045" s="1930" t="s">
        <v>4556</v>
      </c>
      <c r="C2045" s="1930" t="s">
        <v>4563</v>
      </c>
      <c r="D2045" s="1930" t="s">
        <v>4564</v>
      </c>
      <c r="E2045" s="1931" t="s">
        <v>33</v>
      </c>
      <c r="F2045" s="1930" t="s">
        <v>33</v>
      </c>
      <c r="G2045" s="1932">
        <v>92503</v>
      </c>
      <c r="H2045" s="1930" t="s">
        <v>1526</v>
      </c>
      <c r="I2045" s="1930" t="s">
        <v>306</v>
      </c>
      <c r="J2045" s="1930" t="s">
        <v>137</v>
      </c>
      <c r="K2045" s="1933">
        <v>59.45</v>
      </c>
      <c r="L2045" s="1930" t="s">
        <v>138</v>
      </c>
    </row>
    <row r="2046" spans="1:12" ht="13.5" x14ac:dyDescent="0.25">
      <c r="A2046" s="1930" t="s">
        <v>4555</v>
      </c>
      <c r="B2046" s="1930" t="s">
        <v>4556</v>
      </c>
      <c r="C2046" s="1930" t="s">
        <v>4563</v>
      </c>
      <c r="D2046" s="1930" t="s">
        <v>4564</v>
      </c>
      <c r="E2046" s="1931" t="s">
        <v>33</v>
      </c>
      <c r="F2046" s="1930" t="s">
        <v>33</v>
      </c>
      <c r="G2046" s="1932">
        <v>92504</v>
      </c>
      <c r="H2046" s="1930" t="s">
        <v>1527</v>
      </c>
      <c r="I2046" s="1930" t="s">
        <v>306</v>
      </c>
      <c r="J2046" s="1930" t="s">
        <v>137</v>
      </c>
      <c r="K2046" s="1933">
        <v>38.44</v>
      </c>
      <c r="L2046" s="1930" t="s">
        <v>138</v>
      </c>
    </row>
    <row r="2047" spans="1:12" ht="13.5" x14ac:dyDescent="0.25">
      <c r="A2047" s="1930" t="s">
        <v>4555</v>
      </c>
      <c r="B2047" s="1930" t="s">
        <v>4556</v>
      </c>
      <c r="C2047" s="1930" t="s">
        <v>4563</v>
      </c>
      <c r="D2047" s="1930" t="s">
        <v>4564</v>
      </c>
      <c r="E2047" s="1931" t="s">
        <v>33</v>
      </c>
      <c r="F2047" s="1930" t="s">
        <v>33</v>
      </c>
      <c r="G2047" s="1932">
        <v>92505</v>
      </c>
      <c r="H2047" s="1930" t="s">
        <v>1528</v>
      </c>
      <c r="I2047" s="1930" t="s">
        <v>306</v>
      </c>
      <c r="J2047" s="1930" t="s">
        <v>137</v>
      </c>
      <c r="K2047" s="1933">
        <v>33.630000000000003</v>
      </c>
      <c r="L2047" s="1930" t="s">
        <v>138</v>
      </c>
    </row>
    <row r="2048" spans="1:12" ht="13.5" x14ac:dyDescent="0.25">
      <c r="A2048" s="1930" t="s">
        <v>4555</v>
      </c>
      <c r="B2048" s="1930" t="s">
        <v>4556</v>
      </c>
      <c r="C2048" s="1930" t="s">
        <v>4563</v>
      </c>
      <c r="D2048" s="1930" t="s">
        <v>4564</v>
      </c>
      <c r="E2048" s="1931" t="s">
        <v>33</v>
      </c>
      <c r="F2048" s="1930" t="s">
        <v>33</v>
      </c>
      <c r="G2048" s="1932">
        <v>92506</v>
      </c>
      <c r="H2048" s="1930" t="s">
        <v>1529</v>
      </c>
      <c r="I2048" s="1930" t="s">
        <v>306</v>
      </c>
      <c r="J2048" s="1930" t="s">
        <v>137</v>
      </c>
      <c r="K2048" s="1933">
        <v>31.62</v>
      </c>
      <c r="L2048" s="1930" t="s">
        <v>138</v>
      </c>
    </row>
    <row r="2049" spans="1:12" ht="13.5" x14ac:dyDescent="0.25">
      <c r="A2049" s="1930" t="s">
        <v>4555</v>
      </c>
      <c r="B2049" s="1930" t="s">
        <v>4556</v>
      </c>
      <c r="C2049" s="1930" t="s">
        <v>4563</v>
      </c>
      <c r="D2049" s="1930" t="s">
        <v>4564</v>
      </c>
      <c r="E2049" s="1931" t="s">
        <v>33</v>
      </c>
      <c r="F2049" s="1930" t="s">
        <v>33</v>
      </c>
      <c r="G2049" s="1932">
        <v>92507</v>
      </c>
      <c r="H2049" s="1930" t="s">
        <v>1530</v>
      </c>
      <c r="I2049" s="1930" t="s">
        <v>306</v>
      </c>
      <c r="J2049" s="1930" t="s">
        <v>137</v>
      </c>
      <c r="K2049" s="1933">
        <v>69.37</v>
      </c>
      <c r="L2049" s="1930" t="s">
        <v>138</v>
      </c>
    </row>
    <row r="2050" spans="1:12" ht="13.5" x14ac:dyDescent="0.25">
      <c r="A2050" s="1930" t="s">
        <v>4555</v>
      </c>
      <c r="B2050" s="1930" t="s">
        <v>4556</v>
      </c>
      <c r="C2050" s="1930" t="s">
        <v>4563</v>
      </c>
      <c r="D2050" s="1930" t="s">
        <v>4564</v>
      </c>
      <c r="E2050" s="1931" t="s">
        <v>33</v>
      </c>
      <c r="F2050" s="1930" t="s">
        <v>33</v>
      </c>
      <c r="G2050" s="1932">
        <v>92508</v>
      </c>
      <c r="H2050" s="1930" t="s">
        <v>1531</v>
      </c>
      <c r="I2050" s="1930" t="s">
        <v>306</v>
      </c>
      <c r="J2050" s="1930" t="s">
        <v>137</v>
      </c>
      <c r="K2050" s="1933">
        <v>67.349999999999994</v>
      </c>
      <c r="L2050" s="1930" t="s">
        <v>138</v>
      </c>
    </row>
    <row r="2051" spans="1:12" ht="13.5" x14ac:dyDescent="0.25">
      <c r="A2051" s="1930" t="s">
        <v>4555</v>
      </c>
      <c r="B2051" s="1930" t="s">
        <v>4556</v>
      </c>
      <c r="C2051" s="1930" t="s">
        <v>4563</v>
      </c>
      <c r="D2051" s="1930" t="s">
        <v>4564</v>
      </c>
      <c r="E2051" s="1931" t="s">
        <v>33</v>
      </c>
      <c r="F2051" s="1930" t="s">
        <v>33</v>
      </c>
      <c r="G2051" s="1932">
        <v>92509</v>
      </c>
      <c r="H2051" s="1930" t="s">
        <v>1532</v>
      </c>
      <c r="I2051" s="1930" t="s">
        <v>306</v>
      </c>
      <c r="J2051" s="1930" t="s">
        <v>137</v>
      </c>
      <c r="K2051" s="1933">
        <v>38.85</v>
      </c>
      <c r="L2051" s="1930" t="s">
        <v>138</v>
      </c>
    </row>
    <row r="2052" spans="1:12" ht="13.5" x14ac:dyDescent="0.25">
      <c r="A2052" s="1930" t="s">
        <v>4555</v>
      </c>
      <c r="B2052" s="1930" t="s">
        <v>4556</v>
      </c>
      <c r="C2052" s="1930" t="s">
        <v>4563</v>
      </c>
      <c r="D2052" s="1930" t="s">
        <v>4564</v>
      </c>
      <c r="E2052" s="1931" t="s">
        <v>33</v>
      </c>
      <c r="F2052" s="1930" t="s">
        <v>33</v>
      </c>
      <c r="G2052" s="1932">
        <v>92510</v>
      </c>
      <c r="H2052" s="1930" t="s">
        <v>1533</v>
      </c>
      <c r="I2052" s="1930" t="s">
        <v>306</v>
      </c>
      <c r="J2052" s="1930" t="s">
        <v>137</v>
      </c>
      <c r="K2052" s="1933">
        <v>37</v>
      </c>
      <c r="L2052" s="1930" t="s">
        <v>138</v>
      </c>
    </row>
    <row r="2053" spans="1:12" ht="13.5" x14ac:dyDescent="0.25">
      <c r="A2053" s="1930" t="s">
        <v>4555</v>
      </c>
      <c r="B2053" s="1930" t="s">
        <v>4556</v>
      </c>
      <c r="C2053" s="1930" t="s">
        <v>4563</v>
      </c>
      <c r="D2053" s="1930" t="s">
        <v>4564</v>
      </c>
      <c r="E2053" s="1931" t="s">
        <v>33</v>
      </c>
      <c r="F2053" s="1930" t="s">
        <v>33</v>
      </c>
      <c r="G2053" s="1932">
        <v>92511</v>
      </c>
      <c r="H2053" s="1930" t="s">
        <v>1534</v>
      </c>
      <c r="I2053" s="1930" t="s">
        <v>306</v>
      </c>
      <c r="J2053" s="1930" t="s">
        <v>137</v>
      </c>
      <c r="K2053" s="1933">
        <v>55.43</v>
      </c>
      <c r="L2053" s="1930" t="s">
        <v>138</v>
      </c>
    </row>
    <row r="2054" spans="1:12" ht="13.5" x14ac:dyDescent="0.25">
      <c r="A2054" s="1930" t="s">
        <v>4555</v>
      </c>
      <c r="B2054" s="1930" t="s">
        <v>4556</v>
      </c>
      <c r="C2054" s="1930" t="s">
        <v>4563</v>
      </c>
      <c r="D2054" s="1930" t="s">
        <v>4564</v>
      </c>
      <c r="E2054" s="1931" t="s">
        <v>33</v>
      </c>
      <c r="F2054" s="1930" t="s">
        <v>33</v>
      </c>
      <c r="G2054" s="1932">
        <v>92512</v>
      </c>
      <c r="H2054" s="1930" t="s">
        <v>1535</v>
      </c>
      <c r="I2054" s="1930" t="s">
        <v>306</v>
      </c>
      <c r="J2054" s="1930" t="s">
        <v>137</v>
      </c>
      <c r="K2054" s="1933">
        <v>53.88</v>
      </c>
      <c r="L2054" s="1930" t="s">
        <v>138</v>
      </c>
    </row>
    <row r="2055" spans="1:12" ht="13.5" x14ac:dyDescent="0.25">
      <c r="A2055" s="1930" t="s">
        <v>4555</v>
      </c>
      <c r="B2055" s="1930" t="s">
        <v>4556</v>
      </c>
      <c r="C2055" s="1930" t="s">
        <v>4563</v>
      </c>
      <c r="D2055" s="1930" t="s">
        <v>4564</v>
      </c>
      <c r="E2055" s="1931" t="s">
        <v>33</v>
      </c>
      <c r="F2055" s="1930" t="s">
        <v>33</v>
      </c>
      <c r="G2055" s="1932">
        <v>92513</v>
      </c>
      <c r="H2055" s="1930" t="s">
        <v>1536</v>
      </c>
      <c r="I2055" s="1930" t="s">
        <v>306</v>
      </c>
      <c r="J2055" s="1930" t="s">
        <v>137</v>
      </c>
      <c r="K2055" s="1933">
        <v>27.62</v>
      </c>
      <c r="L2055" s="1930" t="s">
        <v>138</v>
      </c>
    </row>
    <row r="2056" spans="1:12" ht="13.5" x14ac:dyDescent="0.25">
      <c r="A2056" s="1930" t="s">
        <v>4555</v>
      </c>
      <c r="B2056" s="1930" t="s">
        <v>4556</v>
      </c>
      <c r="C2056" s="1930" t="s">
        <v>4563</v>
      </c>
      <c r="D2056" s="1930" t="s">
        <v>4564</v>
      </c>
      <c r="E2056" s="1931" t="s">
        <v>33</v>
      </c>
      <c r="F2056" s="1930" t="s">
        <v>33</v>
      </c>
      <c r="G2056" s="1932">
        <v>92514</v>
      </c>
      <c r="H2056" s="1930" t="s">
        <v>1537</v>
      </c>
      <c r="I2056" s="1930" t="s">
        <v>306</v>
      </c>
      <c r="J2056" s="1930" t="s">
        <v>137</v>
      </c>
      <c r="K2056" s="1933">
        <v>26.19</v>
      </c>
      <c r="L2056" s="1930" t="s">
        <v>138</v>
      </c>
    </row>
    <row r="2057" spans="1:12" ht="13.5" x14ac:dyDescent="0.25">
      <c r="A2057" s="1930" t="s">
        <v>4555</v>
      </c>
      <c r="B2057" s="1930" t="s">
        <v>4556</v>
      </c>
      <c r="C2057" s="1930" t="s">
        <v>4563</v>
      </c>
      <c r="D2057" s="1930" t="s">
        <v>4564</v>
      </c>
      <c r="E2057" s="1931" t="s">
        <v>33</v>
      </c>
      <c r="F2057" s="1930" t="s">
        <v>33</v>
      </c>
      <c r="G2057" s="1932">
        <v>92515</v>
      </c>
      <c r="H2057" s="1930" t="s">
        <v>1538</v>
      </c>
      <c r="I2057" s="1930" t="s">
        <v>306</v>
      </c>
      <c r="J2057" s="1930" t="s">
        <v>137</v>
      </c>
      <c r="K2057" s="1933">
        <v>49.54</v>
      </c>
      <c r="L2057" s="1930" t="s">
        <v>138</v>
      </c>
    </row>
    <row r="2058" spans="1:12" ht="13.5" x14ac:dyDescent="0.25">
      <c r="A2058" s="1930" t="s">
        <v>4555</v>
      </c>
      <c r="B2058" s="1930" t="s">
        <v>4556</v>
      </c>
      <c r="C2058" s="1930" t="s">
        <v>4563</v>
      </c>
      <c r="D2058" s="1930" t="s">
        <v>4564</v>
      </c>
      <c r="E2058" s="1931" t="s">
        <v>33</v>
      </c>
      <c r="F2058" s="1930" t="s">
        <v>33</v>
      </c>
      <c r="G2058" s="1932">
        <v>92516</v>
      </c>
      <c r="H2058" s="1930" t="s">
        <v>1539</v>
      </c>
      <c r="I2058" s="1930" t="s">
        <v>306</v>
      </c>
      <c r="J2058" s="1930" t="s">
        <v>137</v>
      </c>
      <c r="K2058" s="1933">
        <v>48.21</v>
      </c>
      <c r="L2058" s="1930" t="s">
        <v>138</v>
      </c>
    </row>
    <row r="2059" spans="1:12" ht="13.5" x14ac:dyDescent="0.25">
      <c r="A2059" s="1930" t="s">
        <v>4555</v>
      </c>
      <c r="B2059" s="1930" t="s">
        <v>4556</v>
      </c>
      <c r="C2059" s="1930" t="s">
        <v>4563</v>
      </c>
      <c r="D2059" s="1930" t="s">
        <v>4564</v>
      </c>
      <c r="E2059" s="1931" t="s">
        <v>33</v>
      </c>
      <c r="F2059" s="1930" t="s">
        <v>33</v>
      </c>
      <c r="G2059" s="1932">
        <v>92517</v>
      </c>
      <c r="H2059" s="1930" t="s">
        <v>1540</v>
      </c>
      <c r="I2059" s="1930" t="s">
        <v>306</v>
      </c>
      <c r="J2059" s="1930" t="s">
        <v>137</v>
      </c>
      <c r="K2059" s="1933">
        <v>22.94</v>
      </c>
      <c r="L2059" s="1930" t="s">
        <v>138</v>
      </c>
    </row>
    <row r="2060" spans="1:12" ht="13.5" x14ac:dyDescent="0.25">
      <c r="A2060" s="1930" t="s">
        <v>4555</v>
      </c>
      <c r="B2060" s="1930" t="s">
        <v>4556</v>
      </c>
      <c r="C2060" s="1930" t="s">
        <v>4563</v>
      </c>
      <c r="D2060" s="1930" t="s">
        <v>4564</v>
      </c>
      <c r="E2060" s="1931" t="s">
        <v>33</v>
      </c>
      <c r="F2060" s="1930" t="s">
        <v>33</v>
      </c>
      <c r="G2060" s="1932">
        <v>92518</v>
      </c>
      <c r="H2060" s="1930" t="s">
        <v>1541</v>
      </c>
      <c r="I2060" s="1930" t="s">
        <v>306</v>
      </c>
      <c r="J2060" s="1930" t="s">
        <v>137</v>
      </c>
      <c r="K2060" s="1933">
        <v>21.68</v>
      </c>
      <c r="L2060" s="1930" t="s">
        <v>138</v>
      </c>
    </row>
    <row r="2061" spans="1:12" ht="13.5" x14ac:dyDescent="0.25">
      <c r="A2061" s="1930" t="s">
        <v>4555</v>
      </c>
      <c r="B2061" s="1930" t="s">
        <v>4556</v>
      </c>
      <c r="C2061" s="1930" t="s">
        <v>4563</v>
      </c>
      <c r="D2061" s="1930" t="s">
        <v>4564</v>
      </c>
      <c r="E2061" s="1931" t="s">
        <v>33</v>
      </c>
      <c r="F2061" s="1930" t="s">
        <v>33</v>
      </c>
      <c r="G2061" s="1932">
        <v>92519</v>
      </c>
      <c r="H2061" s="1930" t="s">
        <v>1542</v>
      </c>
      <c r="I2061" s="1930" t="s">
        <v>306</v>
      </c>
      <c r="J2061" s="1930" t="s">
        <v>137</v>
      </c>
      <c r="K2061" s="1933">
        <v>46.54</v>
      </c>
      <c r="L2061" s="1930" t="s">
        <v>138</v>
      </c>
    </row>
    <row r="2062" spans="1:12" ht="13.5" x14ac:dyDescent="0.25">
      <c r="A2062" s="1930" t="s">
        <v>4555</v>
      </c>
      <c r="B2062" s="1930" t="s">
        <v>4556</v>
      </c>
      <c r="C2062" s="1930" t="s">
        <v>4563</v>
      </c>
      <c r="D2062" s="1930" t="s">
        <v>4564</v>
      </c>
      <c r="E2062" s="1931" t="s">
        <v>33</v>
      </c>
      <c r="F2062" s="1930" t="s">
        <v>33</v>
      </c>
      <c r="G2062" s="1932">
        <v>92520</v>
      </c>
      <c r="H2062" s="1930" t="s">
        <v>1543</v>
      </c>
      <c r="I2062" s="1930" t="s">
        <v>306</v>
      </c>
      <c r="J2062" s="1930" t="s">
        <v>137</v>
      </c>
      <c r="K2062" s="1933">
        <v>45.31</v>
      </c>
      <c r="L2062" s="1930" t="s">
        <v>138</v>
      </c>
    </row>
    <row r="2063" spans="1:12" ht="13.5" x14ac:dyDescent="0.25">
      <c r="A2063" s="1930" t="s">
        <v>4555</v>
      </c>
      <c r="B2063" s="1930" t="s">
        <v>4556</v>
      </c>
      <c r="C2063" s="1930" t="s">
        <v>4563</v>
      </c>
      <c r="D2063" s="1930" t="s">
        <v>4564</v>
      </c>
      <c r="E2063" s="1931" t="s">
        <v>33</v>
      </c>
      <c r="F2063" s="1930" t="s">
        <v>33</v>
      </c>
      <c r="G2063" s="1932">
        <v>92521</v>
      </c>
      <c r="H2063" s="1930" t="s">
        <v>1544</v>
      </c>
      <c r="I2063" s="1930" t="s">
        <v>306</v>
      </c>
      <c r="J2063" s="1930" t="s">
        <v>137</v>
      </c>
      <c r="K2063" s="1933">
        <v>20.52</v>
      </c>
      <c r="L2063" s="1930" t="s">
        <v>138</v>
      </c>
    </row>
    <row r="2064" spans="1:12" ht="13.5" x14ac:dyDescent="0.25">
      <c r="A2064" s="1930" t="s">
        <v>4555</v>
      </c>
      <c r="B2064" s="1930" t="s">
        <v>4556</v>
      </c>
      <c r="C2064" s="1930" t="s">
        <v>4563</v>
      </c>
      <c r="D2064" s="1930" t="s">
        <v>4564</v>
      </c>
      <c r="E2064" s="1931" t="s">
        <v>33</v>
      </c>
      <c r="F2064" s="1930" t="s">
        <v>33</v>
      </c>
      <c r="G2064" s="1932">
        <v>92522</v>
      </c>
      <c r="H2064" s="1930" t="s">
        <v>1545</v>
      </c>
      <c r="I2064" s="1930" t="s">
        <v>306</v>
      </c>
      <c r="J2064" s="1930" t="s">
        <v>137</v>
      </c>
      <c r="K2064" s="1933">
        <v>19.37</v>
      </c>
      <c r="L2064" s="1930" t="s">
        <v>138</v>
      </c>
    </row>
    <row r="2065" spans="1:12" ht="13.5" x14ac:dyDescent="0.25">
      <c r="A2065" s="1930" t="s">
        <v>4555</v>
      </c>
      <c r="B2065" s="1930" t="s">
        <v>4556</v>
      </c>
      <c r="C2065" s="1930" t="s">
        <v>4563</v>
      </c>
      <c r="D2065" s="1930" t="s">
        <v>4564</v>
      </c>
      <c r="E2065" s="1931" t="s">
        <v>33</v>
      </c>
      <c r="F2065" s="1930" t="s">
        <v>33</v>
      </c>
      <c r="G2065" s="1932">
        <v>92523</v>
      </c>
      <c r="H2065" s="1930" t="s">
        <v>1546</v>
      </c>
      <c r="I2065" s="1930" t="s">
        <v>306</v>
      </c>
      <c r="J2065" s="1930" t="s">
        <v>137</v>
      </c>
      <c r="K2065" s="1933">
        <v>45.11</v>
      </c>
      <c r="L2065" s="1930" t="s">
        <v>138</v>
      </c>
    </row>
    <row r="2066" spans="1:12" ht="13.5" x14ac:dyDescent="0.25">
      <c r="A2066" s="1930" t="s">
        <v>4555</v>
      </c>
      <c r="B2066" s="1930" t="s">
        <v>4556</v>
      </c>
      <c r="C2066" s="1930" t="s">
        <v>4563</v>
      </c>
      <c r="D2066" s="1930" t="s">
        <v>4564</v>
      </c>
      <c r="E2066" s="1931" t="s">
        <v>33</v>
      </c>
      <c r="F2066" s="1930" t="s">
        <v>33</v>
      </c>
      <c r="G2066" s="1932">
        <v>92524</v>
      </c>
      <c r="H2066" s="1930" t="s">
        <v>1547</v>
      </c>
      <c r="I2066" s="1930" t="s">
        <v>306</v>
      </c>
      <c r="J2066" s="1930" t="s">
        <v>137</v>
      </c>
      <c r="K2066" s="1933">
        <v>43.93</v>
      </c>
      <c r="L2066" s="1930" t="s">
        <v>138</v>
      </c>
    </row>
    <row r="2067" spans="1:12" ht="13.5" x14ac:dyDescent="0.25">
      <c r="A2067" s="1930" t="s">
        <v>4555</v>
      </c>
      <c r="B2067" s="1930" t="s">
        <v>4556</v>
      </c>
      <c r="C2067" s="1930" t="s">
        <v>4563</v>
      </c>
      <c r="D2067" s="1930" t="s">
        <v>4564</v>
      </c>
      <c r="E2067" s="1931" t="s">
        <v>33</v>
      </c>
      <c r="F2067" s="1930" t="s">
        <v>33</v>
      </c>
      <c r="G2067" s="1932">
        <v>92525</v>
      </c>
      <c r="H2067" s="1930" t="s">
        <v>1548</v>
      </c>
      <c r="I2067" s="1930" t="s">
        <v>306</v>
      </c>
      <c r="J2067" s="1930" t="s">
        <v>137</v>
      </c>
      <c r="K2067" s="1933">
        <v>19.46</v>
      </c>
      <c r="L2067" s="1930" t="s">
        <v>138</v>
      </c>
    </row>
    <row r="2068" spans="1:12" ht="13.5" x14ac:dyDescent="0.25">
      <c r="A2068" s="1930" t="s">
        <v>4555</v>
      </c>
      <c r="B2068" s="1930" t="s">
        <v>4556</v>
      </c>
      <c r="C2068" s="1930" t="s">
        <v>4563</v>
      </c>
      <c r="D2068" s="1930" t="s">
        <v>4564</v>
      </c>
      <c r="E2068" s="1931" t="s">
        <v>33</v>
      </c>
      <c r="F2068" s="1930" t="s">
        <v>33</v>
      </c>
      <c r="G2068" s="1932">
        <v>92526</v>
      </c>
      <c r="H2068" s="1930" t="s">
        <v>1549</v>
      </c>
      <c r="I2068" s="1930" t="s">
        <v>306</v>
      </c>
      <c r="J2068" s="1930" t="s">
        <v>137</v>
      </c>
      <c r="K2068" s="1933">
        <v>18.34</v>
      </c>
      <c r="L2068" s="1930" t="s">
        <v>138</v>
      </c>
    </row>
    <row r="2069" spans="1:12" ht="13.5" x14ac:dyDescent="0.25">
      <c r="A2069" s="1930" t="s">
        <v>4555</v>
      </c>
      <c r="B2069" s="1930" t="s">
        <v>4556</v>
      </c>
      <c r="C2069" s="1930" t="s">
        <v>4563</v>
      </c>
      <c r="D2069" s="1930" t="s">
        <v>4564</v>
      </c>
      <c r="E2069" s="1931" t="s">
        <v>33</v>
      </c>
      <c r="F2069" s="1930" t="s">
        <v>33</v>
      </c>
      <c r="G2069" s="1932">
        <v>92527</v>
      </c>
      <c r="H2069" s="1930" t="s">
        <v>1550</v>
      </c>
      <c r="I2069" s="1930" t="s">
        <v>306</v>
      </c>
      <c r="J2069" s="1930" t="s">
        <v>137</v>
      </c>
      <c r="K2069" s="1933">
        <v>43.96</v>
      </c>
      <c r="L2069" s="1930" t="s">
        <v>138</v>
      </c>
    </row>
    <row r="2070" spans="1:12" ht="13.5" x14ac:dyDescent="0.25">
      <c r="A2070" s="1930" t="s">
        <v>4555</v>
      </c>
      <c r="B2070" s="1930" t="s">
        <v>4556</v>
      </c>
      <c r="C2070" s="1930" t="s">
        <v>4563</v>
      </c>
      <c r="D2070" s="1930" t="s">
        <v>4564</v>
      </c>
      <c r="E2070" s="1931" t="s">
        <v>33</v>
      </c>
      <c r="F2070" s="1930" t="s">
        <v>33</v>
      </c>
      <c r="G2070" s="1932">
        <v>92528</v>
      </c>
      <c r="H2070" s="1930" t="s">
        <v>1551</v>
      </c>
      <c r="I2070" s="1930" t="s">
        <v>306</v>
      </c>
      <c r="J2070" s="1930" t="s">
        <v>137</v>
      </c>
      <c r="K2070" s="1933">
        <v>42.82</v>
      </c>
      <c r="L2070" s="1930" t="s">
        <v>138</v>
      </c>
    </row>
    <row r="2071" spans="1:12" ht="13.5" x14ac:dyDescent="0.25">
      <c r="A2071" s="1930" t="s">
        <v>4555</v>
      </c>
      <c r="B2071" s="1930" t="s">
        <v>4556</v>
      </c>
      <c r="C2071" s="1930" t="s">
        <v>4563</v>
      </c>
      <c r="D2071" s="1930" t="s">
        <v>4564</v>
      </c>
      <c r="E2071" s="1931" t="s">
        <v>33</v>
      </c>
      <c r="F2071" s="1930" t="s">
        <v>33</v>
      </c>
      <c r="G2071" s="1932">
        <v>92529</v>
      </c>
      <c r="H2071" s="1930" t="s">
        <v>1552</v>
      </c>
      <c r="I2071" s="1930" t="s">
        <v>306</v>
      </c>
      <c r="J2071" s="1930" t="s">
        <v>137</v>
      </c>
      <c r="K2071" s="1933">
        <v>18.53</v>
      </c>
      <c r="L2071" s="1930" t="s">
        <v>138</v>
      </c>
    </row>
    <row r="2072" spans="1:12" ht="13.5" x14ac:dyDescent="0.25">
      <c r="A2072" s="1930" t="s">
        <v>4555</v>
      </c>
      <c r="B2072" s="1930" t="s">
        <v>4556</v>
      </c>
      <c r="C2072" s="1930" t="s">
        <v>4563</v>
      </c>
      <c r="D2072" s="1930" t="s">
        <v>4564</v>
      </c>
      <c r="E2072" s="1931" t="s">
        <v>33</v>
      </c>
      <c r="F2072" s="1930" t="s">
        <v>33</v>
      </c>
      <c r="G2072" s="1932">
        <v>92530</v>
      </c>
      <c r="H2072" s="1930" t="s">
        <v>1553</v>
      </c>
      <c r="I2072" s="1930" t="s">
        <v>306</v>
      </c>
      <c r="J2072" s="1930" t="s">
        <v>137</v>
      </c>
      <c r="K2072" s="1933">
        <v>17.45</v>
      </c>
      <c r="L2072" s="1930" t="s">
        <v>138</v>
      </c>
    </row>
    <row r="2073" spans="1:12" ht="13.5" x14ac:dyDescent="0.25">
      <c r="A2073" s="1930" t="s">
        <v>4555</v>
      </c>
      <c r="B2073" s="1930" t="s">
        <v>4556</v>
      </c>
      <c r="C2073" s="1930" t="s">
        <v>4563</v>
      </c>
      <c r="D2073" s="1930" t="s">
        <v>4564</v>
      </c>
      <c r="E2073" s="1931" t="s">
        <v>33</v>
      </c>
      <c r="F2073" s="1930" t="s">
        <v>33</v>
      </c>
      <c r="G2073" s="1932">
        <v>92531</v>
      </c>
      <c r="H2073" s="1930" t="s">
        <v>1554</v>
      </c>
      <c r="I2073" s="1930" t="s">
        <v>306</v>
      </c>
      <c r="J2073" s="1930" t="s">
        <v>137</v>
      </c>
      <c r="K2073" s="1933">
        <v>43.1</v>
      </c>
      <c r="L2073" s="1930" t="s">
        <v>138</v>
      </c>
    </row>
    <row r="2074" spans="1:12" ht="13.5" x14ac:dyDescent="0.25">
      <c r="A2074" s="1930" t="s">
        <v>4555</v>
      </c>
      <c r="B2074" s="1930" t="s">
        <v>4556</v>
      </c>
      <c r="C2074" s="1930" t="s">
        <v>4563</v>
      </c>
      <c r="D2074" s="1930" t="s">
        <v>4564</v>
      </c>
      <c r="E2074" s="1931" t="s">
        <v>33</v>
      </c>
      <c r="F2074" s="1930" t="s">
        <v>33</v>
      </c>
      <c r="G2074" s="1932">
        <v>92532</v>
      </c>
      <c r="H2074" s="1930" t="s">
        <v>1555</v>
      </c>
      <c r="I2074" s="1930" t="s">
        <v>306</v>
      </c>
      <c r="J2074" s="1930" t="s">
        <v>137</v>
      </c>
      <c r="K2074" s="1933">
        <v>41.99</v>
      </c>
      <c r="L2074" s="1930" t="s">
        <v>138</v>
      </c>
    </row>
    <row r="2075" spans="1:12" ht="13.5" x14ac:dyDescent="0.25">
      <c r="A2075" s="1930" t="s">
        <v>4555</v>
      </c>
      <c r="B2075" s="1930" t="s">
        <v>4556</v>
      </c>
      <c r="C2075" s="1930" t="s">
        <v>4563</v>
      </c>
      <c r="D2075" s="1930" t="s">
        <v>4564</v>
      </c>
      <c r="E2075" s="1931" t="s">
        <v>33</v>
      </c>
      <c r="F2075" s="1930" t="s">
        <v>33</v>
      </c>
      <c r="G2075" s="1932">
        <v>92533</v>
      </c>
      <c r="H2075" s="1930" t="s">
        <v>1556</v>
      </c>
      <c r="I2075" s="1930" t="s">
        <v>306</v>
      </c>
      <c r="J2075" s="1930" t="s">
        <v>137</v>
      </c>
      <c r="K2075" s="1933">
        <v>17.84</v>
      </c>
      <c r="L2075" s="1930" t="s">
        <v>138</v>
      </c>
    </row>
    <row r="2076" spans="1:12" ht="13.5" x14ac:dyDescent="0.25">
      <c r="A2076" s="1930" t="s">
        <v>4555</v>
      </c>
      <c r="B2076" s="1930" t="s">
        <v>4556</v>
      </c>
      <c r="C2076" s="1930" t="s">
        <v>4563</v>
      </c>
      <c r="D2076" s="1930" t="s">
        <v>4564</v>
      </c>
      <c r="E2076" s="1931" t="s">
        <v>33</v>
      </c>
      <c r="F2076" s="1930" t="s">
        <v>33</v>
      </c>
      <c r="G2076" s="1932">
        <v>92534</v>
      </c>
      <c r="H2076" s="1930" t="s">
        <v>1557</v>
      </c>
      <c r="I2076" s="1930" t="s">
        <v>306</v>
      </c>
      <c r="J2076" s="1930" t="s">
        <v>137</v>
      </c>
      <c r="K2076" s="1933">
        <v>16.829999999999998</v>
      </c>
      <c r="L2076" s="1930" t="s">
        <v>138</v>
      </c>
    </row>
    <row r="2077" spans="1:12" ht="13.5" x14ac:dyDescent="0.25">
      <c r="A2077" s="1930" t="s">
        <v>4555</v>
      </c>
      <c r="B2077" s="1930" t="s">
        <v>4556</v>
      </c>
      <c r="C2077" s="1930" t="s">
        <v>4563</v>
      </c>
      <c r="D2077" s="1930" t="s">
        <v>4564</v>
      </c>
      <c r="E2077" s="1931" t="s">
        <v>33</v>
      </c>
      <c r="F2077" s="1930" t="s">
        <v>33</v>
      </c>
      <c r="G2077" s="1932">
        <v>92535</v>
      </c>
      <c r="H2077" s="1930" t="s">
        <v>1558</v>
      </c>
      <c r="I2077" s="1930" t="s">
        <v>306</v>
      </c>
      <c r="J2077" s="1930" t="s">
        <v>137</v>
      </c>
      <c r="K2077" s="1933">
        <v>41.58</v>
      </c>
      <c r="L2077" s="1930" t="s">
        <v>138</v>
      </c>
    </row>
    <row r="2078" spans="1:12" ht="13.5" x14ac:dyDescent="0.25">
      <c r="A2078" s="1930" t="s">
        <v>4555</v>
      </c>
      <c r="B2078" s="1930" t="s">
        <v>4556</v>
      </c>
      <c r="C2078" s="1930" t="s">
        <v>4563</v>
      </c>
      <c r="D2078" s="1930" t="s">
        <v>4564</v>
      </c>
      <c r="E2078" s="1931" t="s">
        <v>33</v>
      </c>
      <c r="F2078" s="1930" t="s">
        <v>33</v>
      </c>
      <c r="G2078" s="1932">
        <v>92536</v>
      </c>
      <c r="H2078" s="1930" t="s">
        <v>1559</v>
      </c>
      <c r="I2078" s="1930" t="s">
        <v>306</v>
      </c>
      <c r="J2078" s="1930" t="s">
        <v>137</v>
      </c>
      <c r="K2078" s="1933">
        <v>40.51</v>
      </c>
      <c r="L2078" s="1930" t="s">
        <v>138</v>
      </c>
    </row>
    <row r="2079" spans="1:12" ht="13.5" x14ac:dyDescent="0.25">
      <c r="A2079" s="1930" t="s">
        <v>4555</v>
      </c>
      <c r="B2079" s="1930" t="s">
        <v>4556</v>
      </c>
      <c r="C2079" s="1930" t="s">
        <v>4563</v>
      </c>
      <c r="D2079" s="1930" t="s">
        <v>4564</v>
      </c>
      <c r="E2079" s="1931" t="s">
        <v>33</v>
      </c>
      <c r="F2079" s="1930" t="s">
        <v>33</v>
      </c>
      <c r="G2079" s="1932">
        <v>92537</v>
      </c>
      <c r="H2079" s="1930" t="s">
        <v>1560</v>
      </c>
      <c r="I2079" s="1930" t="s">
        <v>306</v>
      </c>
      <c r="J2079" s="1930" t="s">
        <v>137</v>
      </c>
      <c r="K2079" s="1933">
        <v>16.54</v>
      </c>
      <c r="L2079" s="1930" t="s">
        <v>138</v>
      </c>
    </row>
    <row r="2080" spans="1:12" ht="13.5" x14ac:dyDescent="0.25">
      <c r="A2080" s="1930" t="s">
        <v>4555</v>
      </c>
      <c r="B2080" s="1930" t="s">
        <v>4556</v>
      </c>
      <c r="C2080" s="1930" t="s">
        <v>4563</v>
      </c>
      <c r="D2080" s="1930" t="s">
        <v>4564</v>
      </c>
      <c r="E2080" s="1931" t="s">
        <v>33</v>
      </c>
      <c r="F2080" s="1930" t="s">
        <v>33</v>
      </c>
      <c r="G2080" s="1932">
        <v>92538</v>
      </c>
      <c r="H2080" s="1930" t="s">
        <v>1561</v>
      </c>
      <c r="I2080" s="1930" t="s">
        <v>306</v>
      </c>
      <c r="J2080" s="1930" t="s">
        <v>137</v>
      </c>
      <c r="K2080" s="1933">
        <v>15.54</v>
      </c>
      <c r="L2080" s="1930" t="s">
        <v>138</v>
      </c>
    </row>
    <row r="2081" spans="1:12" ht="13.5" x14ac:dyDescent="0.25">
      <c r="A2081" s="1930" t="s">
        <v>4555</v>
      </c>
      <c r="B2081" s="1930" t="s">
        <v>4556</v>
      </c>
      <c r="C2081" s="1930" t="s">
        <v>4563</v>
      </c>
      <c r="D2081" s="1930" t="s">
        <v>4564</v>
      </c>
      <c r="E2081" s="1931" t="s">
        <v>33</v>
      </c>
      <c r="F2081" s="1930" t="s">
        <v>33</v>
      </c>
      <c r="G2081" s="1932">
        <v>95934</v>
      </c>
      <c r="H2081" s="1930" t="s">
        <v>1562</v>
      </c>
      <c r="I2081" s="1930" t="s">
        <v>306</v>
      </c>
      <c r="J2081" s="1930" t="s">
        <v>320</v>
      </c>
      <c r="K2081" s="1933">
        <v>102.14</v>
      </c>
      <c r="L2081" s="1930" t="s">
        <v>138</v>
      </c>
    </row>
    <row r="2082" spans="1:12" ht="13.5" x14ac:dyDescent="0.25">
      <c r="A2082" s="1930" t="s">
        <v>4555</v>
      </c>
      <c r="B2082" s="1930" t="s">
        <v>4556</v>
      </c>
      <c r="C2082" s="1930" t="s">
        <v>4563</v>
      </c>
      <c r="D2082" s="1930" t="s">
        <v>4564</v>
      </c>
      <c r="E2082" s="1931" t="s">
        <v>33</v>
      </c>
      <c r="F2082" s="1930" t="s">
        <v>33</v>
      </c>
      <c r="G2082" s="1932">
        <v>95935</v>
      </c>
      <c r="H2082" s="1930" t="s">
        <v>1563</v>
      </c>
      <c r="I2082" s="1930" t="s">
        <v>306</v>
      </c>
      <c r="J2082" s="1930" t="s">
        <v>320</v>
      </c>
      <c r="K2082" s="1933">
        <v>90.16</v>
      </c>
      <c r="L2082" s="1930" t="s">
        <v>138</v>
      </c>
    </row>
    <row r="2083" spans="1:12" ht="13.5" x14ac:dyDescent="0.25">
      <c r="A2083" s="1930" t="s">
        <v>4555</v>
      </c>
      <c r="B2083" s="1930" t="s">
        <v>4556</v>
      </c>
      <c r="C2083" s="1930" t="s">
        <v>4563</v>
      </c>
      <c r="D2083" s="1930" t="s">
        <v>4564</v>
      </c>
      <c r="E2083" s="1931" t="s">
        <v>33</v>
      </c>
      <c r="F2083" s="1930" t="s">
        <v>33</v>
      </c>
      <c r="G2083" s="1932">
        <v>95936</v>
      </c>
      <c r="H2083" s="1930" t="s">
        <v>1564</v>
      </c>
      <c r="I2083" s="1930" t="s">
        <v>306</v>
      </c>
      <c r="J2083" s="1930" t="s">
        <v>320</v>
      </c>
      <c r="K2083" s="1933">
        <v>125.28</v>
      </c>
      <c r="L2083" s="1930" t="s">
        <v>138</v>
      </c>
    </row>
    <row r="2084" spans="1:12" ht="13.5" x14ac:dyDescent="0.25">
      <c r="A2084" s="1930" t="s">
        <v>4555</v>
      </c>
      <c r="B2084" s="1930" t="s">
        <v>4556</v>
      </c>
      <c r="C2084" s="1930" t="s">
        <v>4563</v>
      </c>
      <c r="D2084" s="1930" t="s">
        <v>4564</v>
      </c>
      <c r="E2084" s="1931" t="s">
        <v>33</v>
      </c>
      <c r="F2084" s="1930" t="s">
        <v>33</v>
      </c>
      <c r="G2084" s="1932">
        <v>95937</v>
      </c>
      <c r="H2084" s="1930" t="s">
        <v>1565</v>
      </c>
      <c r="I2084" s="1930" t="s">
        <v>306</v>
      </c>
      <c r="J2084" s="1930" t="s">
        <v>320</v>
      </c>
      <c r="K2084" s="1933">
        <v>271.91000000000003</v>
      </c>
      <c r="L2084" s="1930" t="s">
        <v>138</v>
      </c>
    </row>
    <row r="2085" spans="1:12" ht="13.5" x14ac:dyDescent="0.25">
      <c r="A2085" s="1930" t="s">
        <v>4555</v>
      </c>
      <c r="B2085" s="1930" t="s">
        <v>4556</v>
      </c>
      <c r="C2085" s="1930" t="s">
        <v>4563</v>
      </c>
      <c r="D2085" s="1930" t="s">
        <v>4564</v>
      </c>
      <c r="E2085" s="1931" t="s">
        <v>33</v>
      </c>
      <c r="F2085" s="1930" t="s">
        <v>33</v>
      </c>
      <c r="G2085" s="1932">
        <v>95938</v>
      </c>
      <c r="H2085" s="1930" t="s">
        <v>1566</v>
      </c>
      <c r="I2085" s="1930" t="s">
        <v>306</v>
      </c>
      <c r="J2085" s="1930" t="s">
        <v>320</v>
      </c>
      <c r="K2085" s="1933">
        <v>227.7</v>
      </c>
      <c r="L2085" s="1930" t="s">
        <v>138</v>
      </c>
    </row>
    <row r="2086" spans="1:12" ht="13.5" x14ac:dyDescent="0.25">
      <c r="A2086" s="1930" t="s">
        <v>4555</v>
      </c>
      <c r="B2086" s="1930" t="s">
        <v>4556</v>
      </c>
      <c r="C2086" s="1930" t="s">
        <v>4563</v>
      </c>
      <c r="D2086" s="1930" t="s">
        <v>4564</v>
      </c>
      <c r="E2086" s="1931" t="s">
        <v>33</v>
      </c>
      <c r="F2086" s="1930" t="s">
        <v>33</v>
      </c>
      <c r="G2086" s="1932">
        <v>95939</v>
      </c>
      <c r="H2086" s="1930" t="s">
        <v>1567</v>
      </c>
      <c r="I2086" s="1930" t="s">
        <v>306</v>
      </c>
      <c r="J2086" s="1930" t="s">
        <v>320</v>
      </c>
      <c r="K2086" s="1933">
        <v>146.65</v>
      </c>
      <c r="L2086" s="1930" t="s">
        <v>138</v>
      </c>
    </row>
    <row r="2087" spans="1:12" ht="13.5" x14ac:dyDescent="0.25">
      <c r="A2087" s="1930" t="s">
        <v>4555</v>
      </c>
      <c r="B2087" s="1930" t="s">
        <v>4556</v>
      </c>
      <c r="C2087" s="1930" t="s">
        <v>4563</v>
      </c>
      <c r="D2087" s="1930" t="s">
        <v>4564</v>
      </c>
      <c r="E2087" s="1931" t="s">
        <v>33</v>
      </c>
      <c r="F2087" s="1930" t="s">
        <v>33</v>
      </c>
      <c r="G2087" s="1932">
        <v>95940</v>
      </c>
      <c r="H2087" s="1930" t="s">
        <v>1568</v>
      </c>
      <c r="I2087" s="1930" t="s">
        <v>306</v>
      </c>
      <c r="J2087" s="1930" t="s">
        <v>320</v>
      </c>
      <c r="K2087" s="1933">
        <v>116.88</v>
      </c>
      <c r="L2087" s="1930" t="s">
        <v>138</v>
      </c>
    </row>
    <row r="2088" spans="1:12" ht="13.5" x14ac:dyDescent="0.25">
      <c r="A2088" s="1930" t="s">
        <v>4555</v>
      </c>
      <c r="B2088" s="1930" t="s">
        <v>4556</v>
      </c>
      <c r="C2088" s="1930" t="s">
        <v>4563</v>
      </c>
      <c r="D2088" s="1930" t="s">
        <v>4564</v>
      </c>
      <c r="E2088" s="1931" t="s">
        <v>33</v>
      </c>
      <c r="F2088" s="1930" t="s">
        <v>33</v>
      </c>
      <c r="G2088" s="1932">
        <v>95941</v>
      </c>
      <c r="H2088" s="1930" t="s">
        <v>1569</v>
      </c>
      <c r="I2088" s="1930" t="s">
        <v>306</v>
      </c>
      <c r="J2088" s="1930" t="s">
        <v>320</v>
      </c>
      <c r="K2088" s="1933">
        <v>103.5</v>
      </c>
      <c r="L2088" s="1930" t="s">
        <v>138</v>
      </c>
    </row>
    <row r="2089" spans="1:12" ht="13.5" x14ac:dyDescent="0.25">
      <c r="A2089" s="1930" t="s">
        <v>4555</v>
      </c>
      <c r="B2089" s="1930" t="s">
        <v>4556</v>
      </c>
      <c r="C2089" s="1930" t="s">
        <v>4563</v>
      </c>
      <c r="D2089" s="1930" t="s">
        <v>4564</v>
      </c>
      <c r="E2089" s="1931" t="s">
        <v>33</v>
      </c>
      <c r="F2089" s="1930" t="s">
        <v>33</v>
      </c>
      <c r="G2089" s="1932">
        <v>95942</v>
      </c>
      <c r="H2089" s="1930" t="s">
        <v>1570</v>
      </c>
      <c r="I2089" s="1930" t="s">
        <v>306</v>
      </c>
      <c r="J2089" s="1930" t="s">
        <v>320</v>
      </c>
      <c r="K2089" s="1933">
        <v>95.18</v>
      </c>
      <c r="L2089" s="1930" t="s">
        <v>138</v>
      </c>
    </row>
    <row r="2090" spans="1:12" ht="13.5" x14ac:dyDescent="0.25">
      <c r="A2090" s="1930" t="s">
        <v>4555</v>
      </c>
      <c r="B2090" s="1930" t="s">
        <v>4556</v>
      </c>
      <c r="C2090" s="1930" t="s">
        <v>4563</v>
      </c>
      <c r="D2090" s="1930" t="s">
        <v>4564</v>
      </c>
      <c r="E2090" s="1931" t="s">
        <v>33</v>
      </c>
      <c r="F2090" s="1930" t="s">
        <v>33</v>
      </c>
      <c r="G2090" s="1932">
        <v>96252</v>
      </c>
      <c r="H2090" s="1930" t="s">
        <v>1571</v>
      </c>
      <c r="I2090" s="1930" t="s">
        <v>306</v>
      </c>
      <c r="J2090" s="1930" t="s">
        <v>320</v>
      </c>
      <c r="K2090" s="1933">
        <v>155.91</v>
      </c>
      <c r="L2090" s="1930" t="s">
        <v>138</v>
      </c>
    </row>
    <row r="2091" spans="1:12" ht="13.5" x14ac:dyDescent="0.25">
      <c r="A2091" s="1930" t="s">
        <v>4555</v>
      </c>
      <c r="B2091" s="1930" t="s">
        <v>4556</v>
      </c>
      <c r="C2091" s="1930" t="s">
        <v>4563</v>
      </c>
      <c r="D2091" s="1930" t="s">
        <v>4564</v>
      </c>
      <c r="E2091" s="1931" t="s">
        <v>33</v>
      </c>
      <c r="F2091" s="1930" t="s">
        <v>33</v>
      </c>
      <c r="G2091" s="1932">
        <v>96257</v>
      </c>
      <c r="H2091" s="1930" t="s">
        <v>1572</v>
      </c>
      <c r="I2091" s="1930" t="s">
        <v>306</v>
      </c>
      <c r="J2091" s="1930" t="s">
        <v>320</v>
      </c>
      <c r="K2091" s="1933">
        <v>133.88999999999999</v>
      </c>
      <c r="L2091" s="1930" t="s">
        <v>138</v>
      </c>
    </row>
    <row r="2092" spans="1:12" ht="13.5" x14ac:dyDescent="0.25">
      <c r="A2092" s="1930" t="s">
        <v>4555</v>
      </c>
      <c r="B2092" s="1930" t="s">
        <v>4556</v>
      </c>
      <c r="C2092" s="1930" t="s">
        <v>4563</v>
      </c>
      <c r="D2092" s="1930" t="s">
        <v>4564</v>
      </c>
      <c r="E2092" s="1931" t="s">
        <v>33</v>
      </c>
      <c r="F2092" s="1930" t="s">
        <v>33</v>
      </c>
      <c r="G2092" s="1932">
        <v>96258</v>
      </c>
      <c r="H2092" s="1930" t="s">
        <v>1573</v>
      </c>
      <c r="I2092" s="1930" t="s">
        <v>306</v>
      </c>
      <c r="J2092" s="1930" t="s">
        <v>320</v>
      </c>
      <c r="K2092" s="1933">
        <v>125.21</v>
      </c>
      <c r="L2092" s="1930" t="s">
        <v>138</v>
      </c>
    </row>
    <row r="2093" spans="1:12" ht="13.5" x14ac:dyDescent="0.25">
      <c r="A2093" s="1930" t="s">
        <v>4555</v>
      </c>
      <c r="B2093" s="1930" t="s">
        <v>4556</v>
      </c>
      <c r="C2093" s="1930" t="s">
        <v>4563</v>
      </c>
      <c r="D2093" s="1930" t="s">
        <v>4564</v>
      </c>
      <c r="E2093" s="1931" t="s">
        <v>33</v>
      </c>
      <c r="F2093" s="1930" t="s">
        <v>33</v>
      </c>
      <c r="G2093" s="1932">
        <v>96259</v>
      </c>
      <c r="H2093" s="1930" t="s">
        <v>1574</v>
      </c>
      <c r="I2093" s="1930" t="s">
        <v>306</v>
      </c>
      <c r="J2093" s="1930" t="s">
        <v>320</v>
      </c>
      <c r="K2093" s="1933">
        <v>152.13</v>
      </c>
      <c r="L2093" s="1930" t="s">
        <v>138</v>
      </c>
    </row>
    <row r="2094" spans="1:12" ht="13.5" x14ac:dyDescent="0.25">
      <c r="A2094" s="1930" t="s">
        <v>4555</v>
      </c>
      <c r="B2094" s="1930" t="s">
        <v>4556</v>
      </c>
      <c r="C2094" s="1930" t="s">
        <v>4563</v>
      </c>
      <c r="D2094" s="1930" t="s">
        <v>4564</v>
      </c>
      <c r="E2094" s="1931" t="s">
        <v>33</v>
      </c>
      <c r="F2094" s="1930" t="s">
        <v>33</v>
      </c>
      <c r="G2094" s="1932">
        <v>96529</v>
      </c>
      <c r="H2094" s="1930" t="s">
        <v>1575</v>
      </c>
      <c r="I2094" s="1930" t="s">
        <v>306</v>
      </c>
      <c r="J2094" s="1930" t="s">
        <v>320</v>
      </c>
      <c r="K2094" s="1933">
        <v>216.13</v>
      </c>
      <c r="L2094" s="1930" t="s">
        <v>138</v>
      </c>
    </row>
    <row r="2095" spans="1:12" ht="13.5" x14ac:dyDescent="0.25">
      <c r="A2095" s="1930" t="s">
        <v>4555</v>
      </c>
      <c r="B2095" s="1930" t="s">
        <v>4556</v>
      </c>
      <c r="C2095" s="1930" t="s">
        <v>4563</v>
      </c>
      <c r="D2095" s="1930" t="s">
        <v>4564</v>
      </c>
      <c r="E2095" s="1931" t="s">
        <v>33</v>
      </c>
      <c r="F2095" s="1930" t="s">
        <v>33</v>
      </c>
      <c r="G2095" s="1932">
        <v>96530</v>
      </c>
      <c r="H2095" s="1930" t="s">
        <v>1576</v>
      </c>
      <c r="I2095" s="1930" t="s">
        <v>306</v>
      </c>
      <c r="J2095" s="1930" t="s">
        <v>320</v>
      </c>
      <c r="K2095" s="1933">
        <v>112.15</v>
      </c>
      <c r="L2095" s="1930" t="s">
        <v>138</v>
      </c>
    </row>
    <row r="2096" spans="1:12" ht="13.5" x14ac:dyDescent="0.25">
      <c r="A2096" s="1930" t="s">
        <v>4555</v>
      </c>
      <c r="B2096" s="1930" t="s">
        <v>4556</v>
      </c>
      <c r="C2096" s="1930" t="s">
        <v>4563</v>
      </c>
      <c r="D2096" s="1930" t="s">
        <v>4564</v>
      </c>
      <c r="E2096" s="1931" t="s">
        <v>33</v>
      </c>
      <c r="F2096" s="1930" t="s">
        <v>33</v>
      </c>
      <c r="G2096" s="1932">
        <v>96531</v>
      </c>
      <c r="H2096" s="1930" t="s">
        <v>1577</v>
      </c>
      <c r="I2096" s="1930" t="s">
        <v>306</v>
      </c>
      <c r="J2096" s="1930" t="s">
        <v>320</v>
      </c>
      <c r="K2096" s="1933">
        <v>81.53</v>
      </c>
      <c r="L2096" s="1930" t="s">
        <v>138</v>
      </c>
    </row>
    <row r="2097" spans="1:12" ht="13.5" x14ac:dyDescent="0.25">
      <c r="A2097" s="1930" t="s">
        <v>4555</v>
      </c>
      <c r="B2097" s="1930" t="s">
        <v>4556</v>
      </c>
      <c r="C2097" s="1930" t="s">
        <v>4563</v>
      </c>
      <c r="D2097" s="1930" t="s">
        <v>4564</v>
      </c>
      <c r="E2097" s="1931" t="s">
        <v>33</v>
      </c>
      <c r="F2097" s="1930" t="s">
        <v>33</v>
      </c>
      <c r="G2097" s="1932">
        <v>96532</v>
      </c>
      <c r="H2097" s="1930" t="s">
        <v>1578</v>
      </c>
      <c r="I2097" s="1930" t="s">
        <v>306</v>
      </c>
      <c r="J2097" s="1930" t="s">
        <v>320</v>
      </c>
      <c r="K2097" s="1933">
        <v>141.24</v>
      </c>
      <c r="L2097" s="1930" t="s">
        <v>138</v>
      </c>
    </row>
    <row r="2098" spans="1:12" ht="13.5" x14ac:dyDescent="0.25">
      <c r="A2098" s="1930" t="s">
        <v>4555</v>
      </c>
      <c r="B2098" s="1930" t="s">
        <v>4556</v>
      </c>
      <c r="C2098" s="1930" t="s">
        <v>4563</v>
      </c>
      <c r="D2098" s="1930" t="s">
        <v>4564</v>
      </c>
      <c r="E2098" s="1931" t="s">
        <v>33</v>
      </c>
      <c r="F2098" s="1930" t="s">
        <v>33</v>
      </c>
      <c r="G2098" s="1932">
        <v>96533</v>
      </c>
      <c r="H2098" s="1930" t="s">
        <v>1579</v>
      </c>
      <c r="I2098" s="1930" t="s">
        <v>306</v>
      </c>
      <c r="J2098" s="1930" t="s">
        <v>320</v>
      </c>
      <c r="K2098" s="1933">
        <v>71.599999999999994</v>
      </c>
      <c r="L2098" s="1930" t="s">
        <v>138</v>
      </c>
    </row>
    <row r="2099" spans="1:12" ht="13.5" x14ac:dyDescent="0.25">
      <c r="A2099" s="1930" t="s">
        <v>4555</v>
      </c>
      <c r="B2099" s="1930" t="s">
        <v>4556</v>
      </c>
      <c r="C2099" s="1930" t="s">
        <v>4563</v>
      </c>
      <c r="D2099" s="1930" t="s">
        <v>4564</v>
      </c>
      <c r="E2099" s="1931" t="s">
        <v>33</v>
      </c>
      <c r="F2099" s="1930" t="s">
        <v>33</v>
      </c>
      <c r="G2099" s="1932">
        <v>96534</v>
      </c>
      <c r="H2099" s="1930" t="s">
        <v>1580</v>
      </c>
      <c r="I2099" s="1930" t="s">
        <v>306</v>
      </c>
      <c r="J2099" s="1930" t="s">
        <v>320</v>
      </c>
      <c r="K2099" s="1933">
        <v>59.18</v>
      </c>
      <c r="L2099" s="1930" t="s">
        <v>138</v>
      </c>
    </row>
    <row r="2100" spans="1:12" ht="13.5" x14ac:dyDescent="0.25">
      <c r="A2100" s="1930" t="s">
        <v>4555</v>
      </c>
      <c r="B2100" s="1930" t="s">
        <v>4556</v>
      </c>
      <c r="C2100" s="1930" t="s">
        <v>4563</v>
      </c>
      <c r="D2100" s="1930" t="s">
        <v>4564</v>
      </c>
      <c r="E2100" s="1931" t="s">
        <v>33</v>
      </c>
      <c r="F2100" s="1930" t="s">
        <v>33</v>
      </c>
      <c r="G2100" s="1932">
        <v>96535</v>
      </c>
      <c r="H2100" s="1930" t="s">
        <v>1581</v>
      </c>
      <c r="I2100" s="1930" t="s">
        <v>306</v>
      </c>
      <c r="J2100" s="1930" t="s">
        <v>320</v>
      </c>
      <c r="K2100" s="1933">
        <v>102.25</v>
      </c>
      <c r="L2100" s="1930" t="s">
        <v>138</v>
      </c>
    </row>
    <row r="2101" spans="1:12" ht="13.5" x14ac:dyDescent="0.25">
      <c r="A2101" s="1930" t="s">
        <v>4555</v>
      </c>
      <c r="B2101" s="1930" t="s">
        <v>4556</v>
      </c>
      <c r="C2101" s="1930" t="s">
        <v>4563</v>
      </c>
      <c r="D2101" s="1930" t="s">
        <v>4564</v>
      </c>
      <c r="E2101" s="1931" t="s">
        <v>33</v>
      </c>
      <c r="F2101" s="1930" t="s">
        <v>33</v>
      </c>
      <c r="G2101" s="1932">
        <v>96536</v>
      </c>
      <c r="H2101" s="1930" t="s">
        <v>1582</v>
      </c>
      <c r="I2101" s="1930" t="s">
        <v>306</v>
      </c>
      <c r="J2101" s="1930" t="s">
        <v>320</v>
      </c>
      <c r="K2101" s="1933">
        <v>50.51</v>
      </c>
      <c r="L2101" s="1930" t="s">
        <v>138</v>
      </c>
    </row>
    <row r="2102" spans="1:12" ht="13.5" x14ac:dyDescent="0.25">
      <c r="A2102" s="1930" t="s">
        <v>4555</v>
      </c>
      <c r="B2102" s="1930" t="s">
        <v>4556</v>
      </c>
      <c r="C2102" s="1930" t="s">
        <v>4563</v>
      </c>
      <c r="D2102" s="1930" t="s">
        <v>4564</v>
      </c>
      <c r="E2102" s="1931" t="s">
        <v>33</v>
      </c>
      <c r="F2102" s="1930" t="s">
        <v>33</v>
      </c>
      <c r="G2102" s="1932">
        <v>96537</v>
      </c>
      <c r="H2102" s="1930" t="s">
        <v>1583</v>
      </c>
      <c r="I2102" s="1930" t="s">
        <v>306</v>
      </c>
      <c r="J2102" s="1930" t="s">
        <v>320</v>
      </c>
      <c r="K2102" s="1933">
        <v>121.11</v>
      </c>
      <c r="L2102" s="1930" t="s">
        <v>138</v>
      </c>
    </row>
    <row r="2103" spans="1:12" ht="13.5" x14ac:dyDescent="0.25">
      <c r="A2103" s="1930" t="s">
        <v>4555</v>
      </c>
      <c r="B2103" s="1930" t="s">
        <v>4556</v>
      </c>
      <c r="C2103" s="1930" t="s">
        <v>4563</v>
      </c>
      <c r="D2103" s="1930" t="s">
        <v>4564</v>
      </c>
      <c r="E2103" s="1931" t="s">
        <v>33</v>
      </c>
      <c r="F2103" s="1930" t="s">
        <v>33</v>
      </c>
      <c r="G2103" s="1932">
        <v>96538</v>
      </c>
      <c r="H2103" s="1930" t="s">
        <v>1584</v>
      </c>
      <c r="I2103" s="1930" t="s">
        <v>306</v>
      </c>
      <c r="J2103" s="1930" t="s">
        <v>320</v>
      </c>
      <c r="K2103" s="1933">
        <v>177.65</v>
      </c>
      <c r="L2103" s="1930" t="s">
        <v>138</v>
      </c>
    </row>
    <row r="2104" spans="1:12" ht="13.5" x14ac:dyDescent="0.25">
      <c r="A2104" s="1930" t="s">
        <v>4555</v>
      </c>
      <c r="B2104" s="1930" t="s">
        <v>4556</v>
      </c>
      <c r="C2104" s="1930" t="s">
        <v>4563</v>
      </c>
      <c r="D2104" s="1930" t="s">
        <v>4564</v>
      </c>
      <c r="E2104" s="1931" t="s">
        <v>33</v>
      </c>
      <c r="F2104" s="1930" t="s">
        <v>33</v>
      </c>
      <c r="G2104" s="1932">
        <v>96539</v>
      </c>
      <c r="H2104" s="1930" t="s">
        <v>1585</v>
      </c>
      <c r="I2104" s="1930" t="s">
        <v>306</v>
      </c>
      <c r="J2104" s="1930" t="s">
        <v>320</v>
      </c>
      <c r="K2104" s="1933">
        <v>80.2</v>
      </c>
      <c r="L2104" s="1930" t="s">
        <v>138</v>
      </c>
    </row>
    <row r="2105" spans="1:12" ht="13.5" x14ac:dyDescent="0.25">
      <c r="A2105" s="1930" t="s">
        <v>4555</v>
      </c>
      <c r="B2105" s="1930" t="s">
        <v>4556</v>
      </c>
      <c r="C2105" s="1930" t="s">
        <v>4563</v>
      </c>
      <c r="D2105" s="1930" t="s">
        <v>4564</v>
      </c>
      <c r="E2105" s="1931" t="s">
        <v>33</v>
      </c>
      <c r="F2105" s="1930" t="s">
        <v>33</v>
      </c>
      <c r="G2105" s="1932">
        <v>96540</v>
      </c>
      <c r="H2105" s="1930" t="s">
        <v>1586</v>
      </c>
      <c r="I2105" s="1930" t="s">
        <v>306</v>
      </c>
      <c r="J2105" s="1930" t="s">
        <v>320</v>
      </c>
      <c r="K2105" s="1933">
        <v>87.67</v>
      </c>
      <c r="L2105" s="1930" t="s">
        <v>138</v>
      </c>
    </row>
    <row r="2106" spans="1:12" ht="13.5" x14ac:dyDescent="0.25">
      <c r="A2106" s="1930" t="s">
        <v>4555</v>
      </c>
      <c r="B2106" s="1930" t="s">
        <v>4556</v>
      </c>
      <c r="C2106" s="1930" t="s">
        <v>4563</v>
      </c>
      <c r="D2106" s="1930" t="s">
        <v>4564</v>
      </c>
      <c r="E2106" s="1931" t="s">
        <v>33</v>
      </c>
      <c r="F2106" s="1930" t="s">
        <v>33</v>
      </c>
      <c r="G2106" s="1932">
        <v>96541</v>
      </c>
      <c r="H2106" s="1930" t="s">
        <v>1587</v>
      </c>
      <c r="I2106" s="1930" t="s">
        <v>306</v>
      </c>
      <c r="J2106" s="1930" t="s">
        <v>320</v>
      </c>
      <c r="K2106" s="1933">
        <v>129.68</v>
      </c>
      <c r="L2106" s="1930" t="s">
        <v>138</v>
      </c>
    </row>
    <row r="2107" spans="1:12" ht="13.5" x14ac:dyDescent="0.25">
      <c r="A2107" s="1930" t="s">
        <v>4555</v>
      </c>
      <c r="B2107" s="1930" t="s">
        <v>4556</v>
      </c>
      <c r="C2107" s="1930" t="s">
        <v>4563</v>
      </c>
      <c r="D2107" s="1930" t="s">
        <v>4564</v>
      </c>
      <c r="E2107" s="1931" t="s">
        <v>33</v>
      </c>
      <c r="F2107" s="1930" t="s">
        <v>33</v>
      </c>
      <c r="G2107" s="1932">
        <v>96542</v>
      </c>
      <c r="H2107" s="1930" t="s">
        <v>1588</v>
      </c>
      <c r="I2107" s="1930" t="s">
        <v>306</v>
      </c>
      <c r="J2107" s="1930" t="s">
        <v>320</v>
      </c>
      <c r="K2107" s="1933">
        <v>62.52</v>
      </c>
      <c r="L2107" s="1930" t="s">
        <v>138</v>
      </c>
    </row>
    <row r="2108" spans="1:12" ht="13.5" x14ac:dyDescent="0.25">
      <c r="A2108" s="1930" t="s">
        <v>4555</v>
      </c>
      <c r="B2108" s="1930" t="s">
        <v>4556</v>
      </c>
      <c r="C2108" s="1930" t="s">
        <v>4563</v>
      </c>
      <c r="D2108" s="1930" t="s">
        <v>4564</v>
      </c>
      <c r="E2108" s="1931" t="s">
        <v>33</v>
      </c>
      <c r="F2108" s="1930" t="s">
        <v>33</v>
      </c>
      <c r="G2108" s="1932">
        <v>96543</v>
      </c>
      <c r="H2108" s="1930" t="s">
        <v>1589</v>
      </c>
      <c r="I2108" s="1930" t="s">
        <v>305</v>
      </c>
      <c r="J2108" s="1930" t="s">
        <v>137</v>
      </c>
      <c r="K2108" s="1933">
        <v>12.69</v>
      </c>
      <c r="L2108" s="1930" t="s">
        <v>138</v>
      </c>
    </row>
    <row r="2109" spans="1:12" ht="13.5" x14ac:dyDescent="0.25">
      <c r="A2109" s="1930" t="s">
        <v>4555</v>
      </c>
      <c r="B2109" s="1930" t="s">
        <v>4556</v>
      </c>
      <c r="C2109" s="1930" t="s">
        <v>4563</v>
      </c>
      <c r="D2109" s="1930" t="s">
        <v>4564</v>
      </c>
      <c r="E2109" s="1931" t="s">
        <v>33</v>
      </c>
      <c r="F2109" s="1930" t="s">
        <v>33</v>
      </c>
      <c r="G2109" s="1932">
        <v>97747</v>
      </c>
      <c r="H2109" s="1930" t="s">
        <v>5141</v>
      </c>
      <c r="I2109" s="1930" t="s">
        <v>306</v>
      </c>
      <c r="J2109" s="1930" t="s">
        <v>320</v>
      </c>
      <c r="K2109" s="1933">
        <v>140.81</v>
      </c>
      <c r="L2109" s="1930" t="s">
        <v>138</v>
      </c>
    </row>
    <row r="2110" spans="1:12" ht="13.5" x14ac:dyDescent="0.25">
      <c r="A2110" s="1930" t="s">
        <v>4555</v>
      </c>
      <c r="B2110" s="1930" t="s">
        <v>4556</v>
      </c>
      <c r="C2110" s="1930" t="s">
        <v>4565</v>
      </c>
      <c r="D2110" s="1930" t="s">
        <v>4566</v>
      </c>
      <c r="E2110" s="1931" t="s">
        <v>33</v>
      </c>
      <c r="F2110" s="1930" t="s">
        <v>33</v>
      </c>
      <c r="G2110" s="1932">
        <v>89996</v>
      </c>
      <c r="H2110" s="1930" t="s">
        <v>1590</v>
      </c>
      <c r="I2110" s="1930" t="s">
        <v>305</v>
      </c>
      <c r="J2110" s="1930" t="s">
        <v>320</v>
      </c>
      <c r="K2110" s="1933">
        <v>7.39</v>
      </c>
      <c r="L2110" s="1930" t="s">
        <v>138</v>
      </c>
    </row>
    <row r="2111" spans="1:12" ht="13.5" x14ac:dyDescent="0.25">
      <c r="A2111" s="1930" t="s">
        <v>4555</v>
      </c>
      <c r="B2111" s="1930" t="s">
        <v>4556</v>
      </c>
      <c r="C2111" s="1930" t="s">
        <v>4565</v>
      </c>
      <c r="D2111" s="1930" t="s">
        <v>4566</v>
      </c>
      <c r="E2111" s="1931" t="s">
        <v>33</v>
      </c>
      <c r="F2111" s="1930" t="s">
        <v>33</v>
      </c>
      <c r="G2111" s="1932">
        <v>89997</v>
      </c>
      <c r="H2111" s="1930" t="s">
        <v>1591</v>
      </c>
      <c r="I2111" s="1930" t="s">
        <v>305</v>
      </c>
      <c r="J2111" s="1930" t="s">
        <v>346</v>
      </c>
      <c r="K2111" s="1933">
        <v>5.98</v>
      </c>
      <c r="L2111" s="1930" t="s">
        <v>138</v>
      </c>
    </row>
    <row r="2112" spans="1:12" ht="13.5" x14ac:dyDescent="0.25">
      <c r="A2112" s="1930" t="s">
        <v>4555</v>
      </c>
      <c r="B2112" s="1930" t="s">
        <v>4556</v>
      </c>
      <c r="C2112" s="1930" t="s">
        <v>4565</v>
      </c>
      <c r="D2112" s="1930" t="s">
        <v>4566</v>
      </c>
      <c r="E2112" s="1931" t="s">
        <v>33</v>
      </c>
      <c r="F2112" s="1930" t="s">
        <v>33</v>
      </c>
      <c r="G2112" s="1932">
        <v>89998</v>
      </c>
      <c r="H2112" s="1930" t="s">
        <v>1592</v>
      </c>
      <c r="I2112" s="1930" t="s">
        <v>305</v>
      </c>
      <c r="J2112" s="1930" t="s">
        <v>320</v>
      </c>
      <c r="K2112" s="1933">
        <v>6.98</v>
      </c>
      <c r="L2112" s="1930" t="s">
        <v>138</v>
      </c>
    </row>
    <row r="2113" spans="1:12" ht="13.5" x14ac:dyDescent="0.25">
      <c r="A2113" s="1930" t="s">
        <v>4555</v>
      </c>
      <c r="B2113" s="1930" t="s">
        <v>4556</v>
      </c>
      <c r="C2113" s="1930" t="s">
        <v>4565</v>
      </c>
      <c r="D2113" s="1930" t="s">
        <v>4566</v>
      </c>
      <c r="E2113" s="1931" t="s">
        <v>33</v>
      </c>
      <c r="F2113" s="1930" t="s">
        <v>33</v>
      </c>
      <c r="G2113" s="1932">
        <v>89999</v>
      </c>
      <c r="H2113" s="1930" t="s">
        <v>1593</v>
      </c>
      <c r="I2113" s="1930" t="s">
        <v>305</v>
      </c>
      <c r="J2113" s="1930" t="s">
        <v>320</v>
      </c>
      <c r="K2113" s="1933">
        <v>10.46</v>
      </c>
      <c r="L2113" s="1930" t="s">
        <v>138</v>
      </c>
    </row>
    <row r="2114" spans="1:12" ht="13.5" x14ac:dyDescent="0.25">
      <c r="A2114" s="1930" t="s">
        <v>4555</v>
      </c>
      <c r="B2114" s="1930" t="s">
        <v>4556</v>
      </c>
      <c r="C2114" s="1930" t="s">
        <v>4565</v>
      </c>
      <c r="D2114" s="1930" t="s">
        <v>4566</v>
      </c>
      <c r="E2114" s="1931" t="s">
        <v>33</v>
      </c>
      <c r="F2114" s="1930" t="s">
        <v>33</v>
      </c>
      <c r="G2114" s="1932">
        <v>90000</v>
      </c>
      <c r="H2114" s="1930" t="s">
        <v>1594</v>
      </c>
      <c r="I2114" s="1930" t="s">
        <v>305</v>
      </c>
      <c r="J2114" s="1930" t="s">
        <v>320</v>
      </c>
      <c r="K2114" s="1933">
        <v>8.4499999999999993</v>
      </c>
      <c r="L2114" s="1930" t="s">
        <v>138</v>
      </c>
    </row>
    <row r="2115" spans="1:12" ht="13.5" x14ac:dyDescent="0.25">
      <c r="A2115" s="1930" t="s">
        <v>4555</v>
      </c>
      <c r="B2115" s="1930" t="s">
        <v>4556</v>
      </c>
      <c r="C2115" s="1930" t="s">
        <v>4565</v>
      </c>
      <c r="D2115" s="1930" t="s">
        <v>4566</v>
      </c>
      <c r="E2115" s="1931" t="s">
        <v>33</v>
      </c>
      <c r="F2115" s="1930" t="s">
        <v>33</v>
      </c>
      <c r="G2115" s="1932">
        <v>91593</v>
      </c>
      <c r="H2115" s="1930" t="s">
        <v>8058</v>
      </c>
      <c r="I2115" s="1930" t="s">
        <v>305</v>
      </c>
      <c r="J2115" s="1930" t="s">
        <v>137</v>
      </c>
      <c r="K2115" s="1933">
        <v>7.19</v>
      </c>
      <c r="L2115" s="1930" t="s">
        <v>138</v>
      </c>
    </row>
    <row r="2116" spans="1:12" ht="13.5" x14ac:dyDescent="0.25">
      <c r="A2116" s="1930" t="s">
        <v>4555</v>
      </c>
      <c r="B2116" s="1930" t="s">
        <v>4556</v>
      </c>
      <c r="C2116" s="1930" t="s">
        <v>4565</v>
      </c>
      <c r="D2116" s="1930" t="s">
        <v>4566</v>
      </c>
      <c r="E2116" s="1931" t="s">
        <v>33</v>
      </c>
      <c r="F2116" s="1930" t="s">
        <v>33</v>
      </c>
      <c r="G2116" s="1932">
        <v>91594</v>
      </c>
      <c r="H2116" s="1930" t="s">
        <v>8059</v>
      </c>
      <c r="I2116" s="1930" t="s">
        <v>305</v>
      </c>
      <c r="J2116" s="1930" t="s">
        <v>137</v>
      </c>
      <c r="K2116" s="1933">
        <v>7.49</v>
      </c>
      <c r="L2116" s="1930" t="s">
        <v>138</v>
      </c>
    </row>
    <row r="2117" spans="1:12" ht="13.5" x14ac:dyDescent="0.25">
      <c r="A2117" s="1930" t="s">
        <v>4555</v>
      </c>
      <c r="B2117" s="1930" t="s">
        <v>4556</v>
      </c>
      <c r="C2117" s="1930" t="s">
        <v>4565</v>
      </c>
      <c r="D2117" s="1930" t="s">
        <v>4566</v>
      </c>
      <c r="E2117" s="1931" t="s">
        <v>33</v>
      </c>
      <c r="F2117" s="1930" t="s">
        <v>33</v>
      </c>
      <c r="G2117" s="1932">
        <v>91595</v>
      </c>
      <c r="H2117" s="1930" t="s">
        <v>8060</v>
      </c>
      <c r="I2117" s="1930" t="s">
        <v>305</v>
      </c>
      <c r="J2117" s="1930" t="s">
        <v>137</v>
      </c>
      <c r="K2117" s="1933">
        <v>8.02</v>
      </c>
      <c r="L2117" s="1930" t="s">
        <v>138</v>
      </c>
    </row>
    <row r="2118" spans="1:12" ht="13.5" x14ac:dyDescent="0.25">
      <c r="A2118" s="1930" t="s">
        <v>4555</v>
      </c>
      <c r="B2118" s="1930" t="s">
        <v>4556</v>
      </c>
      <c r="C2118" s="1930" t="s">
        <v>4565</v>
      </c>
      <c r="D2118" s="1930" t="s">
        <v>4566</v>
      </c>
      <c r="E2118" s="1931" t="s">
        <v>33</v>
      </c>
      <c r="F2118" s="1930" t="s">
        <v>33</v>
      </c>
      <c r="G2118" s="1932">
        <v>91596</v>
      </c>
      <c r="H2118" s="1930" t="s">
        <v>8061</v>
      </c>
      <c r="I2118" s="1930" t="s">
        <v>305</v>
      </c>
      <c r="J2118" s="1930" t="s">
        <v>137</v>
      </c>
      <c r="K2118" s="1933">
        <v>7.42</v>
      </c>
      <c r="L2118" s="1930" t="s">
        <v>138</v>
      </c>
    </row>
    <row r="2119" spans="1:12" ht="13.5" x14ac:dyDescent="0.25">
      <c r="A2119" s="1930" t="s">
        <v>4555</v>
      </c>
      <c r="B2119" s="1930" t="s">
        <v>4556</v>
      </c>
      <c r="C2119" s="1930" t="s">
        <v>4565</v>
      </c>
      <c r="D2119" s="1930" t="s">
        <v>4566</v>
      </c>
      <c r="E2119" s="1931" t="s">
        <v>33</v>
      </c>
      <c r="F2119" s="1930" t="s">
        <v>33</v>
      </c>
      <c r="G2119" s="1932">
        <v>91597</v>
      </c>
      <c r="H2119" s="1930" t="s">
        <v>8062</v>
      </c>
      <c r="I2119" s="1930" t="s">
        <v>305</v>
      </c>
      <c r="J2119" s="1930" t="s">
        <v>137</v>
      </c>
      <c r="K2119" s="1933">
        <v>5.32</v>
      </c>
      <c r="L2119" s="1930" t="s">
        <v>138</v>
      </c>
    </row>
    <row r="2120" spans="1:12" ht="13.5" x14ac:dyDescent="0.25">
      <c r="A2120" s="1930" t="s">
        <v>4555</v>
      </c>
      <c r="B2120" s="1930" t="s">
        <v>4556</v>
      </c>
      <c r="C2120" s="1930" t="s">
        <v>4565</v>
      </c>
      <c r="D2120" s="1930" t="s">
        <v>4566</v>
      </c>
      <c r="E2120" s="1931" t="s">
        <v>33</v>
      </c>
      <c r="F2120" s="1930" t="s">
        <v>33</v>
      </c>
      <c r="G2120" s="1932">
        <v>91598</v>
      </c>
      <c r="H2120" s="1930" t="s">
        <v>8063</v>
      </c>
      <c r="I2120" s="1930" t="s">
        <v>305</v>
      </c>
      <c r="J2120" s="1930" t="s">
        <v>137</v>
      </c>
      <c r="K2120" s="1933">
        <v>7.32</v>
      </c>
      <c r="L2120" s="1930" t="s">
        <v>138</v>
      </c>
    </row>
    <row r="2121" spans="1:12" ht="13.5" x14ac:dyDescent="0.25">
      <c r="A2121" s="1930" t="s">
        <v>4555</v>
      </c>
      <c r="B2121" s="1930" t="s">
        <v>4556</v>
      </c>
      <c r="C2121" s="1930" t="s">
        <v>4565</v>
      </c>
      <c r="D2121" s="1930" t="s">
        <v>4566</v>
      </c>
      <c r="E2121" s="1931" t="s">
        <v>33</v>
      </c>
      <c r="F2121" s="1930" t="s">
        <v>33</v>
      </c>
      <c r="G2121" s="1932">
        <v>91599</v>
      </c>
      <c r="H2121" s="1930" t="s">
        <v>8064</v>
      </c>
      <c r="I2121" s="1930" t="s">
        <v>305</v>
      </c>
      <c r="J2121" s="1930" t="s">
        <v>137</v>
      </c>
      <c r="K2121" s="1933">
        <v>5.59</v>
      </c>
      <c r="L2121" s="1930" t="s">
        <v>138</v>
      </c>
    </row>
    <row r="2122" spans="1:12" ht="13.5" x14ac:dyDescent="0.25">
      <c r="A2122" s="1930" t="s">
        <v>4555</v>
      </c>
      <c r="B2122" s="1930" t="s">
        <v>4556</v>
      </c>
      <c r="C2122" s="1930" t="s">
        <v>4565</v>
      </c>
      <c r="D2122" s="1930" t="s">
        <v>4566</v>
      </c>
      <c r="E2122" s="1931" t="s">
        <v>33</v>
      </c>
      <c r="F2122" s="1930" t="s">
        <v>33</v>
      </c>
      <c r="G2122" s="1932">
        <v>91600</v>
      </c>
      <c r="H2122" s="1930" t="s">
        <v>8065</v>
      </c>
      <c r="I2122" s="1930" t="s">
        <v>305</v>
      </c>
      <c r="J2122" s="1930" t="s">
        <v>137</v>
      </c>
      <c r="K2122" s="1933">
        <v>9.31</v>
      </c>
      <c r="L2122" s="1930" t="s">
        <v>138</v>
      </c>
    </row>
    <row r="2123" spans="1:12" ht="13.5" x14ac:dyDescent="0.25">
      <c r="A2123" s="1930" t="s">
        <v>4555</v>
      </c>
      <c r="B2123" s="1930" t="s">
        <v>4556</v>
      </c>
      <c r="C2123" s="1930" t="s">
        <v>4565</v>
      </c>
      <c r="D2123" s="1930" t="s">
        <v>4566</v>
      </c>
      <c r="E2123" s="1931" t="s">
        <v>33</v>
      </c>
      <c r="F2123" s="1930" t="s">
        <v>33</v>
      </c>
      <c r="G2123" s="1932">
        <v>91601</v>
      </c>
      <c r="H2123" s="1930" t="s">
        <v>8066</v>
      </c>
      <c r="I2123" s="1930" t="s">
        <v>305</v>
      </c>
      <c r="J2123" s="1930" t="s">
        <v>320</v>
      </c>
      <c r="K2123" s="1933">
        <v>8.48</v>
      </c>
      <c r="L2123" s="1930" t="s">
        <v>138</v>
      </c>
    </row>
    <row r="2124" spans="1:12" ht="13.5" x14ac:dyDescent="0.25">
      <c r="A2124" s="1930" t="s">
        <v>4555</v>
      </c>
      <c r="B2124" s="1930" t="s">
        <v>4556</v>
      </c>
      <c r="C2124" s="1930" t="s">
        <v>4565</v>
      </c>
      <c r="D2124" s="1930" t="s">
        <v>4566</v>
      </c>
      <c r="E2124" s="1931" t="s">
        <v>33</v>
      </c>
      <c r="F2124" s="1930" t="s">
        <v>33</v>
      </c>
      <c r="G2124" s="1932">
        <v>91602</v>
      </c>
      <c r="H2124" s="1930" t="s">
        <v>8067</v>
      </c>
      <c r="I2124" s="1930" t="s">
        <v>305</v>
      </c>
      <c r="J2124" s="1930" t="s">
        <v>320</v>
      </c>
      <c r="K2124" s="1933">
        <v>7.73</v>
      </c>
      <c r="L2124" s="1930" t="s">
        <v>138</v>
      </c>
    </row>
    <row r="2125" spans="1:12" ht="13.5" x14ac:dyDescent="0.25">
      <c r="A2125" s="1930" t="s">
        <v>4555</v>
      </c>
      <c r="B2125" s="1930" t="s">
        <v>4556</v>
      </c>
      <c r="C2125" s="1930" t="s">
        <v>4565</v>
      </c>
      <c r="D2125" s="1930" t="s">
        <v>4566</v>
      </c>
      <c r="E2125" s="1931" t="s">
        <v>33</v>
      </c>
      <c r="F2125" s="1930" t="s">
        <v>33</v>
      </c>
      <c r="G2125" s="1932">
        <v>91603</v>
      </c>
      <c r="H2125" s="1930" t="s">
        <v>8068</v>
      </c>
      <c r="I2125" s="1930" t="s">
        <v>305</v>
      </c>
      <c r="J2125" s="1930" t="s">
        <v>320</v>
      </c>
      <c r="K2125" s="1933">
        <v>7.31</v>
      </c>
      <c r="L2125" s="1930" t="s">
        <v>138</v>
      </c>
    </row>
    <row r="2126" spans="1:12" ht="13.5" x14ac:dyDescent="0.25">
      <c r="A2126" s="1930" t="s">
        <v>4555</v>
      </c>
      <c r="B2126" s="1930" t="s">
        <v>4556</v>
      </c>
      <c r="C2126" s="1930" t="s">
        <v>4565</v>
      </c>
      <c r="D2126" s="1930" t="s">
        <v>4566</v>
      </c>
      <c r="E2126" s="1931" t="s">
        <v>33</v>
      </c>
      <c r="F2126" s="1930" t="s">
        <v>33</v>
      </c>
      <c r="G2126" s="1932">
        <v>92759</v>
      </c>
      <c r="H2126" s="1930" t="s">
        <v>1595</v>
      </c>
      <c r="I2126" s="1930" t="s">
        <v>305</v>
      </c>
      <c r="J2126" s="1930" t="s">
        <v>137</v>
      </c>
      <c r="K2126" s="1933">
        <v>10.49</v>
      </c>
      <c r="L2126" s="1930" t="s">
        <v>138</v>
      </c>
    </row>
    <row r="2127" spans="1:12" ht="13.5" x14ac:dyDescent="0.25">
      <c r="A2127" s="1930" t="s">
        <v>4555</v>
      </c>
      <c r="B2127" s="1930" t="s">
        <v>4556</v>
      </c>
      <c r="C2127" s="1930" t="s">
        <v>4565</v>
      </c>
      <c r="D2127" s="1930" t="s">
        <v>4566</v>
      </c>
      <c r="E2127" s="1931" t="s">
        <v>33</v>
      </c>
      <c r="F2127" s="1930" t="s">
        <v>33</v>
      </c>
      <c r="G2127" s="1932">
        <v>92760</v>
      </c>
      <c r="H2127" s="1930" t="s">
        <v>1596</v>
      </c>
      <c r="I2127" s="1930" t="s">
        <v>305</v>
      </c>
      <c r="J2127" s="1930" t="s">
        <v>137</v>
      </c>
      <c r="K2127" s="1933">
        <v>9.66</v>
      </c>
      <c r="L2127" s="1930" t="s">
        <v>138</v>
      </c>
    </row>
    <row r="2128" spans="1:12" ht="13.5" x14ac:dyDescent="0.25">
      <c r="A2128" s="1930" t="s">
        <v>4555</v>
      </c>
      <c r="B2128" s="1930" t="s">
        <v>4556</v>
      </c>
      <c r="C2128" s="1930" t="s">
        <v>4565</v>
      </c>
      <c r="D2128" s="1930" t="s">
        <v>4566</v>
      </c>
      <c r="E2128" s="1931" t="s">
        <v>33</v>
      </c>
      <c r="F2128" s="1930" t="s">
        <v>33</v>
      </c>
      <c r="G2128" s="1932">
        <v>92761</v>
      </c>
      <c r="H2128" s="1930" t="s">
        <v>1597</v>
      </c>
      <c r="I2128" s="1930" t="s">
        <v>305</v>
      </c>
      <c r="J2128" s="1930" t="s">
        <v>137</v>
      </c>
      <c r="K2128" s="1933">
        <v>8.91</v>
      </c>
      <c r="L2128" s="1930" t="s">
        <v>138</v>
      </c>
    </row>
    <row r="2129" spans="1:12" ht="13.5" x14ac:dyDescent="0.25">
      <c r="A2129" s="1930" t="s">
        <v>4555</v>
      </c>
      <c r="B2129" s="1930" t="s">
        <v>4556</v>
      </c>
      <c r="C2129" s="1930" t="s">
        <v>4565</v>
      </c>
      <c r="D2129" s="1930" t="s">
        <v>4566</v>
      </c>
      <c r="E2129" s="1931" t="s">
        <v>33</v>
      </c>
      <c r="F2129" s="1930" t="s">
        <v>33</v>
      </c>
      <c r="G2129" s="1932">
        <v>92762</v>
      </c>
      <c r="H2129" s="1930" t="s">
        <v>1598</v>
      </c>
      <c r="I2129" s="1930" t="s">
        <v>305</v>
      </c>
      <c r="J2129" s="1930" t="s">
        <v>137</v>
      </c>
      <c r="K2129" s="1933">
        <v>7.91</v>
      </c>
      <c r="L2129" s="1930" t="s">
        <v>138</v>
      </c>
    </row>
    <row r="2130" spans="1:12" ht="13.5" x14ac:dyDescent="0.25">
      <c r="A2130" s="1930" t="s">
        <v>4555</v>
      </c>
      <c r="B2130" s="1930" t="s">
        <v>4556</v>
      </c>
      <c r="C2130" s="1930" t="s">
        <v>4565</v>
      </c>
      <c r="D2130" s="1930" t="s">
        <v>4566</v>
      </c>
      <c r="E2130" s="1931" t="s">
        <v>33</v>
      </c>
      <c r="F2130" s="1930" t="s">
        <v>33</v>
      </c>
      <c r="G2130" s="1932">
        <v>92763</v>
      </c>
      <c r="H2130" s="1930" t="s">
        <v>1599</v>
      </c>
      <c r="I2130" s="1930" t="s">
        <v>305</v>
      </c>
      <c r="J2130" s="1930" t="s">
        <v>137</v>
      </c>
      <c r="K2130" s="1933">
        <v>6.62</v>
      </c>
      <c r="L2130" s="1930" t="s">
        <v>138</v>
      </c>
    </row>
    <row r="2131" spans="1:12" ht="13.5" x14ac:dyDescent="0.25">
      <c r="A2131" s="1930" t="s">
        <v>4555</v>
      </c>
      <c r="B2131" s="1930" t="s">
        <v>4556</v>
      </c>
      <c r="C2131" s="1930" t="s">
        <v>4565</v>
      </c>
      <c r="D2131" s="1930" t="s">
        <v>4566</v>
      </c>
      <c r="E2131" s="1931" t="s">
        <v>33</v>
      </c>
      <c r="F2131" s="1930" t="s">
        <v>33</v>
      </c>
      <c r="G2131" s="1932">
        <v>92764</v>
      </c>
      <c r="H2131" s="1930" t="s">
        <v>1600</v>
      </c>
      <c r="I2131" s="1930" t="s">
        <v>305</v>
      </c>
      <c r="J2131" s="1930" t="s">
        <v>137</v>
      </c>
      <c r="K2131" s="1933">
        <v>6.24</v>
      </c>
      <c r="L2131" s="1930" t="s">
        <v>138</v>
      </c>
    </row>
    <row r="2132" spans="1:12" ht="13.5" x14ac:dyDescent="0.25">
      <c r="A2132" s="1930" t="s">
        <v>4555</v>
      </c>
      <c r="B2132" s="1930" t="s">
        <v>4556</v>
      </c>
      <c r="C2132" s="1930" t="s">
        <v>4565</v>
      </c>
      <c r="D2132" s="1930" t="s">
        <v>4566</v>
      </c>
      <c r="E2132" s="1931" t="s">
        <v>33</v>
      </c>
      <c r="F2132" s="1930" t="s">
        <v>33</v>
      </c>
      <c r="G2132" s="1932">
        <v>92765</v>
      </c>
      <c r="H2132" s="1930" t="s">
        <v>1601</v>
      </c>
      <c r="I2132" s="1930" t="s">
        <v>305</v>
      </c>
      <c r="J2132" s="1930" t="s">
        <v>137</v>
      </c>
      <c r="K2132" s="1933">
        <v>6.96</v>
      </c>
      <c r="L2132" s="1930" t="s">
        <v>138</v>
      </c>
    </row>
    <row r="2133" spans="1:12" ht="13.5" x14ac:dyDescent="0.25">
      <c r="A2133" s="1930" t="s">
        <v>4555</v>
      </c>
      <c r="B2133" s="1930" t="s">
        <v>4556</v>
      </c>
      <c r="C2133" s="1930" t="s">
        <v>4565</v>
      </c>
      <c r="D2133" s="1930" t="s">
        <v>4566</v>
      </c>
      <c r="E2133" s="1931" t="s">
        <v>33</v>
      </c>
      <c r="F2133" s="1930" t="s">
        <v>33</v>
      </c>
      <c r="G2133" s="1932">
        <v>92766</v>
      </c>
      <c r="H2133" s="1930" t="s">
        <v>1602</v>
      </c>
      <c r="I2133" s="1930" t="s">
        <v>305</v>
      </c>
      <c r="J2133" s="1930" t="s">
        <v>320</v>
      </c>
      <c r="K2133" s="1933">
        <v>6.77</v>
      </c>
      <c r="L2133" s="1930" t="s">
        <v>138</v>
      </c>
    </row>
    <row r="2134" spans="1:12" ht="13.5" x14ac:dyDescent="0.25">
      <c r="A2134" s="1930" t="s">
        <v>4555</v>
      </c>
      <c r="B2134" s="1930" t="s">
        <v>4556</v>
      </c>
      <c r="C2134" s="1930" t="s">
        <v>4565</v>
      </c>
      <c r="D2134" s="1930" t="s">
        <v>4566</v>
      </c>
      <c r="E2134" s="1931" t="s">
        <v>33</v>
      </c>
      <c r="F2134" s="1930" t="s">
        <v>33</v>
      </c>
      <c r="G2134" s="1932">
        <v>92767</v>
      </c>
      <c r="H2134" s="1930" t="s">
        <v>1603</v>
      </c>
      <c r="I2134" s="1930" t="s">
        <v>305</v>
      </c>
      <c r="J2134" s="1930" t="s">
        <v>137</v>
      </c>
      <c r="K2134" s="1933">
        <v>10.64</v>
      </c>
      <c r="L2134" s="1930" t="s">
        <v>138</v>
      </c>
    </row>
    <row r="2135" spans="1:12" ht="13.5" x14ac:dyDescent="0.25">
      <c r="A2135" s="1930" t="s">
        <v>4555</v>
      </c>
      <c r="B2135" s="1930" t="s">
        <v>4556</v>
      </c>
      <c r="C2135" s="1930" t="s">
        <v>4565</v>
      </c>
      <c r="D2135" s="1930" t="s">
        <v>4566</v>
      </c>
      <c r="E2135" s="1931" t="s">
        <v>33</v>
      </c>
      <c r="F2135" s="1930" t="s">
        <v>33</v>
      </c>
      <c r="G2135" s="1932">
        <v>92768</v>
      </c>
      <c r="H2135" s="1930" t="s">
        <v>1604</v>
      </c>
      <c r="I2135" s="1930" t="s">
        <v>305</v>
      </c>
      <c r="J2135" s="1930" t="s">
        <v>137</v>
      </c>
      <c r="K2135" s="1933">
        <v>9.33</v>
      </c>
      <c r="L2135" s="1930" t="s">
        <v>138</v>
      </c>
    </row>
    <row r="2136" spans="1:12" ht="13.5" x14ac:dyDescent="0.25">
      <c r="A2136" s="1930" t="s">
        <v>4555</v>
      </c>
      <c r="B2136" s="1930" t="s">
        <v>4556</v>
      </c>
      <c r="C2136" s="1930" t="s">
        <v>4565</v>
      </c>
      <c r="D2136" s="1930" t="s">
        <v>4566</v>
      </c>
      <c r="E2136" s="1931" t="s">
        <v>33</v>
      </c>
      <c r="F2136" s="1930" t="s">
        <v>33</v>
      </c>
      <c r="G2136" s="1932">
        <v>92769</v>
      </c>
      <c r="H2136" s="1930" t="s">
        <v>1605</v>
      </c>
      <c r="I2136" s="1930" t="s">
        <v>305</v>
      </c>
      <c r="J2136" s="1930" t="s">
        <v>137</v>
      </c>
      <c r="K2136" s="1933">
        <v>8.7799999999999994</v>
      </c>
      <c r="L2136" s="1930" t="s">
        <v>138</v>
      </c>
    </row>
    <row r="2137" spans="1:12" ht="13.5" x14ac:dyDescent="0.25">
      <c r="A2137" s="1930" t="s">
        <v>4555</v>
      </c>
      <c r="B2137" s="1930" t="s">
        <v>4556</v>
      </c>
      <c r="C2137" s="1930" t="s">
        <v>4565</v>
      </c>
      <c r="D2137" s="1930" t="s">
        <v>4566</v>
      </c>
      <c r="E2137" s="1931" t="s">
        <v>33</v>
      </c>
      <c r="F2137" s="1930" t="s">
        <v>33</v>
      </c>
      <c r="G2137" s="1932">
        <v>92770</v>
      </c>
      <c r="H2137" s="1930" t="s">
        <v>1606</v>
      </c>
      <c r="I2137" s="1930" t="s">
        <v>305</v>
      </c>
      <c r="J2137" s="1930" t="s">
        <v>137</v>
      </c>
      <c r="K2137" s="1933">
        <v>8.25</v>
      </c>
      <c r="L2137" s="1930" t="s">
        <v>138</v>
      </c>
    </row>
    <row r="2138" spans="1:12" ht="13.5" x14ac:dyDescent="0.25">
      <c r="A2138" s="1930" t="s">
        <v>4555</v>
      </c>
      <c r="B2138" s="1930" t="s">
        <v>4556</v>
      </c>
      <c r="C2138" s="1930" t="s">
        <v>4565</v>
      </c>
      <c r="D2138" s="1930" t="s">
        <v>4566</v>
      </c>
      <c r="E2138" s="1931" t="s">
        <v>33</v>
      </c>
      <c r="F2138" s="1930" t="s">
        <v>33</v>
      </c>
      <c r="G2138" s="1932">
        <v>92771</v>
      </c>
      <c r="H2138" s="1930" t="s">
        <v>1607</v>
      </c>
      <c r="I2138" s="1930" t="s">
        <v>305</v>
      </c>
      <c r="J2138" s="1930" t="s">
        <v>137</v>
      </c>
      <c r="K2138" s="1933">
        <v>7.37</v>
      </c>
      <c r="L2138" s="1930" t="s">
        <v>138</v>
      </c>
    </row>
    <row r="2139" spans="1:12" ht="13.5" x14ac:dyDescent="0.25">
      <c r="A2139" s="1930" t="s">
        <v>4555</v>
      </c>
      <c r="B2139" s="1930" t="s">
        <v>4556</v>
      </c>
      <c r="C2139" s="1930" t="s">
        <v>4565</v>
      </c>
      <c r="D2139" s="1930" t="s">
        <v>4566</v>
      </c>
      <c r="E2139" s="1931" t="s">
        <v>33</v>
      </c>
      <c r="F2139" s="1930" t="s">
        <v>33</v>
      </c>
      <c r="G2139" s="1932">
        <v>92772</v>
      </c>
      <c r="H2139" s="1930" t="s">
        <v>1608</v>
      </c>
      <c r="I2139" s="1930" t="s">
        <v>305</v>
      </c>
      <c r="J2139" s="1930" t="s">
        <v>137</v>
      </c>
      <c r="K2139" s="1933">
        <v>6.23</v>
      </c>
      <c r="L2139" s="1930" t="s">
        <v>138</v>
      </c>
    </row>
    <row r="2140" spans="1:12" ht="13.5" x14ac:dyDescent="0.25">
      <c r="A2140" s="1930" t="s">
        <v>4555</v>
      </c>
      <c r="B2140" s="1930" t="s">
        <v>4556</v>
      </c>
      <c r="C2140" s="1930" t="s">
        <v>4565</v>
      </c>
      <c r="D2140" s="1930" t="s">
        <v>4566</v>
      </c>
      <c r="E2140" s="1931" t="s">
        <v>33</v>
      </c>
      <c r="F2140" s="1930" t="s">
        <v>33</v>
      </c>
      <c r="G2140" s="1932">
        <v>92773</v>
      </c>
      <c r="H2140" s="1930" t="s">
        <v>1609</v>
      </c>
      <c r="I2140" s="1930" t="s">
        <v>305</v>
      </c>
      <c r="J2140" s="1930" t="s">
        <v>320</v>
      </c>
      <c r="K2140" s="1933">
        <v>5.97</v>
      </c>
      <c r="L2140" s="1930" t="s">
        <v>138</v>
      </c>
    </row>
    <row r="2141" spans="1:12" ht="13.5" x14ac:dyDescent="0.25">
      <c r="A2141" s="1930" t="s">
        <v>4555</v>
      </c>
      <c r="B2141" s="1930" t="s">
        <v>4556</v>
      </c>
      <c r="C2141" s="1930" t="s">
        <v>4565</v>
      </c>
      <c r="D2141" s="1930" t="s">
        <v>4566</v>
      </c>
      <c r="E2141" s="1931" t="s">
        <v>33</v>
      </c>
      <c r="F2141" s="1930" t="s">
        <v>33</v>
      </c>
      <c r="G2141" s="1932">
        <v>92774</v>
      </c>
      <c r="H2141" s="1930" t="s">
        <v>1610</v>
      </c>
      <c r="I2141" s="1930" t="s">
        <v>305</v>
      </c>
      <c r="J2141" s="1930" t="s">
        <v>320</v>
      </c>
      <c r="K2141" s="1933">
        <v>6.75</v>
      </c>
      <c r="L2141" s="1930" t="s">
        <v>138</v>
      </c>
    </row>
    <row r="2142" spans="1:12" ht="13.5" x14ac:dyDescent="0.25">
      <c r="A2142" s="1930" t="s">
        <v>4555</v>
      </c>
      <c r="B2142" s="1930" t="s">
        <v>4556</v>
      </c>
      <c r="C2142" s="1930" t="s">
        <v>4565</v>
      </c>
      <c r="D2142" s="1930" t="s">
        <v>4566</v>
      </c>
      <c r="E2142" s="1931" t="s">
        <v>33</v>
      </c>
      <c r="F2142" s="1930" t="s">
        <v>33</v>
      </c>
      <c r="G2142" s="1932">
        <v>92775</v>
      </c>
      <c r="H2142" s="1930" t="s">
        <v>1611</v>
      </c>
      <c r="I2142" s="1930" t="s">
        <v>305</v>
      </c>
      <c r="J2142" s="1930" t="s">
        <v>137</v>
      </c>
      <c r="K2142" s="1933">
        <v>12.77</v>
      </c>
      <c r="L2142" s="1930" t="s">
        <v>138</v>
      </c>
    </row>
    <row r="2143" spans="1:12" ht="13.5" x14ac:dyDescent="0.25">
      <c r="A2143" s="1930" t="s">
        <v>4555</v>
      </c>
      <c r="B2143" s="1930" t="s">
        <v>4556</v>
      </c>
      <c r="C2143" s="1930" t="s">
        <v>4565</v>
      </c>
      <c r="D2143" s="1930" t="s">
        <v>4566</v>
      </c>
      <c r="E2143" s="1931" t="s">
        <v>33</v>
      </c>
      <c r="F2143" s="1930" t="s">
        <v>33</v>
      </c>
      <c r="G2143" s="1932">
        <v>92776</v>
      </c>
      <c r="H2143" s="1930" t="s">
        <v>1612</v>
      </c>
      <c r="I2143" s="1930" t="s">
        <v>305</v>
      </c>
      <c r="J2143" s="1930" t="s">
        <v>137</v>
      </c>
      <c r="K2143" s="1933">
        <v>11.4</v>
      </c>
      <c r="L2143" s="1930" t="s">
        <v>138</v>
      </c>
    </row>
    <row r="2144" spans="1:12" ht="13.5" x14ac:dyDescent="0.25">
      <c r="A2144" s="1930" t="s">
        <v>4555</v>
      </c>
      <c r="B2144" s="1930" t="s">
        <v>4556</v>
      </c>
      <c r="C2144" s="1930" t="s">
        <v>4565</v>
      </c>
      <c r="D2144" s="1930" t="s">
        <v>4566</v>
      </c>
      <c r="E2144" s="1931" t="s">
        <v>33</v>
      </c>
      <c r="F2144" s="1930" t="s">
        <v>33</v>
      </c>
      <c r="G2144" s="1932">
        <v>92777</v>
      </c>
      <c r="H2144" s="1930" t="s">
        <v>1613</v>
      </c>
      <c r="I2144" s="1930" t="s">
        <v>305</v>
      </c>
      <c r="J2144" s="1930" t="s">
        <v>137</v>
      </c>
      <c r="K2144" s="1933">
        <v>10.199999999999999</v>
      </c>
      <c r="L2144" s="1930" t="s">
        <v>138</v>
      </c>
    </row>
    <row r="2145" spans="1:12" ht="13.5" x14ac:dyDescent="0.25">
      <c r="A2145" s="1930" t="s">
        <v>4555</v>
      </c>
      <c r="B2145" s="1930" t="s">
        <v>4556</v>
      </c>
      <c r="C2145" s="1930" t="s">
        <v>4565</v>
      </c>
      <c r="D2145" s="1930" t="s">
        <v>4566</v>
      </c>
      <c r="E2145" s="1931" t="s">
        <v>33</v>
      </c>
      <c r="F2145" s="1930" t="s">
        <v>33</v>
      </c>
      <c r="G2145" s="1932">
        <v>92778</v>
      </c>
      <c r="H2145" s="1930" t="s">
        <v>1614</v>
      </c>
      <c r="I2145" s="1930" t="s">
        <v>305</v>
      </c>
      <c r="J2145" s="1930" t="s">
        <v>137</v>
      </c>
      <c r="K2145" s="1933">
        <v>8.8699999999999992</v>
      </c>
      <c r="L2145" s="1930" t="s">
        <v>138</v>
      </c>
    </row>
    <row r="2146" spans="1:12" ht="13.5" x14ac:dyDescent="0.25">
      <c r="A2146" s="1930" t="s">
        <v>4555</v>
      </c>
      <c r="B2146" s="1930" t="s">
        <v>4556</v>
      </c>
      <c r="C2146" s="1930" t="s">
        <v>4565</v>
      </c>
      <c r="D2146" s="1930" t="s">
        <v>4566</v>
      </c>
      <c r="E2146" s="1931" t="s">
        <v>33</v>
      </c>
      <c r="F2146" s="1930" t="s">
        <v>33</v>
      </c>
      <c r="G2146" s="1932">
        <v>92779</v>
      </c>
      <c r="H2146" s="1930" t="s">
        <v>1615</v>
      </c>
      <c r="I2146" s="1930" t="s">
        <v>305</v>
      </c>
      <c r="J2146" s="1930" t="s">
        <v>137</v>
      </c>
      <c r="K2146" s="1933">
        <v>7.33</v>
      </c>
      <c r="L2146" s="1930" t="s">
        <v>138</v>
      </c>
    </row>
    <row r="2147" spans="1:12" ht="13.5" x14ac:dyDescent="0.25">
      <c r="A2147" s="1930" t="s">
        <v>4555</v>
      </c>
      <c r="B2147" s="1930" t="s">
        <v>4556</v>
      </c>
      <c r="C2147" s="1930" t="s">
        <v>4565</v>
      </c>
      <c r="D2147" s="1930" t="s">
        <v>4566</v>
      </c>
      <c r="E2147" s="1931" t="s">
        <v>33</v>
      </c>
      <c r="F2147" s="1930" t="s">
        <v>33</v>
      </c>
      <c r="G2147" s="1932">
        <v>92780</v>
      </c>
      <c r="H2147" s="1930" t="s">
        <v>1616</v>
      </c>
      <c r="I2147" s="1930" t="s">
        <v>305</v>
      </c>
      <c r="J2147" s="1930" t="s">
        <v>137</v>
      </c>
      <c r="K2147" s="1933">
        <v>6.72</v>
      </c>
      <c r="L2147" s="1930" t="s">
        <v>138</v>
      </c>
    </row>
    <row r="2148" spans="1:12" ht="13.5" x14ac:dyDescent="0.25">
      <c r="A2148" s="1930" t="s">
        <v>4555</v>
      </c>
      <c r="B2148" s="1930" t="s">
        <v>4556</v>
      </c>
      <c r="C2148" s="1930" t="s">
        <v>4565</v>
      </c>
      <c r="D2148" s="1930" t="s">
        <v>4566</v>
      </c>
      <c r="E2148" s="1931" t="s">
        <v>33</v>
      </c>
      <c r="F2148" s="1930" t="s">
        <v>33</v>
      </c>
      <c r="G2148" s="1932">
        <v>92781</v>
      </c>
      <c r="H2148" s="1930" t="s">
        <v>1617</v>
      </c>
      <c r="I2148" s="1930" t="s">
        <v>305</v>
      </c>
      <c r="J2148" s="1930" t="s">
        <v>137</v>
      </c>
      <c r="K2148" s="1933">
        <v>7.28</v>
      </c>
      <c r="L2148" s="1930" t="s">
        <v>138</v>
      </c>
    </row>
    <row r="2149" spans="1:12" ht="13.5" x14ac:dyDescent="0.25">
      <c r="A2149" s="1930" t="s">
        <v>4555</v>
      </c>
      <c r="B2149" s="1930" t="s">
        <v>4556</v>
      </c>
      <c r="C2149" s="1930" t="s">
        <v>4565</v>
      </c>
      <c r="D2149" s="1930" t="s">
        <v>4566</v>
      </c>
      <c r="E2149" s="1931" t="s">
        <v>33</v>
      </c>
      <c r="F2149" s="1930" t="s">
        <v>33</v>
      </c>
      <c r="G2149" s="1932">
        <v>92782</v>
      </c>
      <c r="H2149" s="1930" t="s">
        <v>1618</v>
      </c>
      <c r="I2149" s="1930" t="s">
        <v>305</v>
      </c>
      <c r="J2149" s="1930" t="s">
        <v>320</v>
      </c>
      <c r="K2149" s="1933">
        <v>6.95</v>
      </c>
      <c r="L2149" s="1930" t="s">
        <v>138</v>
      </c>
    </row>
    <row r="2150" spans="1:12" ht="13.5" x14ac:dyDescent="0.25">
      <c r="A2150" s="1930" t="s">
        <v>4555</v>
      </c>
      <c r="B2150" s="1930" t="s">
        <v>4556</v>
      </c>
      <c r="C2150" s="1930" t="s">
        <v>4565</v>
      </c>
      <c r="D2150" s="1930" t="s">
        <v>4566</v>
      </c>
      <c r="E2150" s="1931" t="s">
        <v>33</v>
      </c>
      <c r="F2150" s="1930" t="s">
        <v>33</v>
      </c>
      <c r="G2150" s="1932">
        <v>92783</v>
      </c>
      <c r="H2150" s="1930" t="s">
        <v>1619</v>
      </c>
      <c r="I2150" s="1930" t="s">
        <v>305</v>
      </c>
      <c r="J2150" s="1930" t="s">
        <v>137</v>
      </c>
      <c r="K2150" s="1933">
        <v>12.56</v>
      </c>
      <c r="L2150" s="1930" t="s">
        <v>138</v>
      </c>
    </row>
    <row r="2151" spans="1:12" ht="13.5" x14ac:dyDescent="0.25">
      <c r="A2151" s="1930" t="s">
        <v>4555</v>
      </c>
      <c r="B2151" s="1930" t="s">
        <v>4556</v>
      </c>
      <c r="C2151" s="1930" t="s">
        <v>4565</v>
      </c>
      <c r="D2151" s="1930" t="s">
        <v>4566</v>
      </c>
      <c r="E2151" s="1931" t="s">
        <v>33</v>
      </c>
      <c r="F2151" s="1930" t="s">
        <v>33</v>
      </c>
      <c r="G2151" s="1932">
        <v>92784</v>
      </c>
      <c r="H2151" s="1930" t="s">
        <v>1620</v>
      </c>
      <c r="I2151" s="1930" t="s">
        <v>305</v>
      </c>
      <c r="J2151" s="1930" t="s">
        <v>137</v>
      </c>
      <c r="K2151" s="1933">
        <v>10.89</v>
      </c>
      <c r="L2151" s="1930" t="s">
        <v>138</v>
      </c>
    </row>
    <row r="2152" spans="1:12" ht="13.5" x14ac:dyDescent="0.25">
      <c r="A2152" s="1930" t="s">
        <v>4555</v>
      </c>
      <c r="B2152" s="1930" t="s">
        <v>4556</v>
      </c>
      <c r="C2152" s="1930" t="s">
        <v>4565</v>
      </c>
      <c r="D2152" s="1930" t="s">
        <v>4566</v>
      </c>
      <c r="E2152" s="1931" t="s">
        <v>33</v>
      </c>
      <c r="F2152" s="1930" t="s">
        <v>33</v>
      </c>
      <c r="G2152" s="1932">
        <v>92785</v>
      </c>
      <c r="H2152" s="1930" t="s">
        <v>1621</v>
      </c>
      <c r="I2152" s="1930" t="s">
        <v>305</v>
      </c>
      <c r="J2152" s="1930" t="s">
        <v>137</v>
      </c>
      <c r="K2152" s="1933">
        <v>9.9700000000000006</v>
      </c>
      <c r="L2152" s="1930" t="s">
        <v>138</v>
      </c>
    </row>
    <row r="2153" spans="1:12" ht="13.5" x14ac:dyDescent="0.25">
      <c r="A2153" s="1930" t="s">
        <v>4555</v>
      </c>
      <c r="B2153" s="1930" t="s">
        <v>4556</v>
      </c>
      <c r="C2153" s="1930" t="s">
        <v>4565</v>
      </c>
      <c r="D2153" s="1930" t="s">
        <v>4566</v>
      </c>
      <c r="E2153" s="1931" t="s">
        <v>33</v>
      </c>
      <c r="F2153" s="1930" t="s">
        <v>33</v>
      </c>
      <c r="G2153" s="1932">
        <v>92786</v>
      </c>
      <c r="H2153" s="1930" t="s">
        <v>1622</v>
      </c>
      <c r="I2153" s="1930" t="s">
        <v>305</v>
      </c>
      <c r="J2153" s="1930" t="s">
        <v>137</v>
      </c>
      <c r="K2153" s="1933">
        <v>9.1199999999999992</v>
      </c>
      <c r="L2153" s="1930" t="s">
        <v>138</v>
      </c>
    </row>
    <row r="2154" spans="1:12" ht="13.5" x14ac:dyDescent="0.25">
      <c r="A2154" s="1930" t="s">
        <v>4555</v>
      </c>
      <c r="B2154" s="1930" t="s">
        <v>4556</v>
      </c>
      <c r="C2154" s="1930" t="s">
        <v>4565</v>
      </c>
      <c r="D2154" s="1930" t="s">
        <v>4566</v>
      </c>
      <c r="E2154" s="1931" t="s">
        <v>33</v>
      </c>
      <c r="F2154" s="1930" t="s">
        <v>33</v>
      </c>
      <c r="G2154" s="1932">
        <v>92787</v>
      </c>
      <c r="H2154" s="1930" t="s">
        <v>1623</v>
      </c>
      <c r="I2154" s="1930" t="s">
        <v>305</v>
      </c>
      <c r="J2154" s="1930" t="s">
        <v>137</v>
      </c>
      <c r="K2154" s="1933">
        <v>8.02</v>
      </c>
      <c r="L2154" s="1930" t="s">
        <v>138</v>
      </c>
    </row>
    <row r="2155" spans="1:12" ht="13.5" x14ac:dyDescent="0.25">
      <c r="A2155" s="1930" t="s">
        <v>4555</v>
      </c>
      <c r="B2155" s="1930" t="s">
        <v>4556</v>
      </c>
      <c r="C2155" s="1930" t="s">
        <v>4565</v>
      </c>
      <c r="D2155" s="1930" t="s">
        <v>4566</v>
      </c>
      <c r="E2155" s="1931" t="s">
        <v>33</v>
      </c>
      <c r="F2155" s="1930" t="s">
        <v>33</v>
      </c>
      <c r="G2155" s="1932">
        <v>92788</v>
      </c>
      <c r="H2155" s="1930" t="s">
        <v>1624</v>
      </c>
      <c r="I2155" s="1930" t="s">
        <v>305</v>
      </c>
      <c r="J2155" s="1930" t="s">
        <v>137</v>
      </c>
      <c r="K2155" s="1933">
        <v>6.68</v>
      </c>
      <c r="L2155" s="1930" t="s">
        <v>138</v>
      </c>
    </row>
    <row r="2156" spans="1:12" ht="13.5" x14ac:dyDescent="0.25">
      <c r="A2156" s="1930" t="s">
        <v>4555</v>
      </c>
      <c r="B2156" s="1930" t="s">
        <v>4556</v>
      </c>
      <c r="C2156" s="1930" t="s">
        <v>4565</v>
      </c>
      <c r="D2156" s="1930" t="s">
        <v>4566</v>
      </c>
      <c r="E2156" s="1931" t="s">
        <v>33</v>
      </c>
      <c r="F2156" s="1930" t="s">
        <v>33</v>
      </c>
      <c r="G2156" s="1932">
        <v>92789</v>
      </c>
      <c r="H2156" s="1930" t="s">
        <v>1625</v>
      </c>
      <c r="I2156" s="1930" t="s">
        <v>305</v>
      </c>
      <c r="J2156" s="1930" t="s">
        <v>320</v>
      </c>
      <c r="K2156" s="1933">
        <v>6.26</v>
      </c>
      <c r="L2156" s="1930" t="s">
        <v>138</v>
      </c>
    </row>
    <row r="2157" spans="1:12" ht="13.5" x14ac:dyDescent="0.25">
      <c r="A2157" s="1930" t="s">
        <v>4555</v>
      </c>
      <c r="B2157" s="1930" t="s">
        <v>4556</v>
      </c>
      <c r="C2157" s="1930" t="s">
        <v>4565</v>
      </c>
      <c r="D2157" s="1930" t="s">
        <v>4566</v>
      </c>
      <c r="E2157" s="1931" t="s">
        <v>33</v>
      </c>
      <c r="F2157" s="1930" t="s">
        <v>33</v>
      </c>
      <c r="G2157" s="1932">
        <v>92790</v>
      </c>
      <c r="H2157" s="1930" t="s">
        <v>1626</v>
      </c>
      <c r="I2157" s="1930" t="s">
        <v>305</v>
      </c>
      <c r="J2157" s="1930" t="s">
        <v>320</v>
      </c>
      <c r="K2157" s="1933">
        <v>6.93</v>
      </c>
      <c r="L2157" s="1930" t="s">
        <v>138</v>
      </c>
    </row>
    <row r="2158" spans="1:12" ht="13.5" x14ac:dyDescent="0.25">
      <c r="A2158" s="1930" t="s">
        <v>4555</v>
      </c>
      <c r="B2158" s="1930" t="s">
        <v>4556</v>
      </c>
      <c r="C2158" s="1930" t="s">
        <v>4565</v>
      </c>
      <c r="D2158" s="1930" t="s">
        <v>4566</v>
      </c>
      <c r="E2158" s="1931" t="s">
        <v>33</v>
      </c>
      <c r="F2158" s="1930" t="s">
        <v>33</v>
      </c>
      <c r="G2158" s="1932">
        <v>92791</v>
      </c>
      <c r="H2158" s="1930" t="s">
        <v>1627</v>
      </c>
      <c r="I2158" s="1930" t="s">
        <v>305</v>
      </c>
      <c r="J2158" s="1930" t="s">
        <v>320</v>
      </c>
      <c r="K2158" s="1933">
        <v>7.24</v>
      </c>
      <c r="L2158" s="1930" t="s">
        <v>138</v>
      </c>
    </row>
    <row r="2159" spans="1:12" ht="13.5" x14ac:dyDescent="0.25">
      <c r="A2159" s="1930" t="s">
        <v>4555</v>
      </c>
      <c r="B2159" s="1930" t="s">
        <v>4556</v>
      </c>
      <c r="C2159" s="1930" t="s">
        <v>4565</v>
      </c>
      <c r="D2159" s="1930" t="s">
        <v>4566</v>
      </c>
      <c r="E2159" s="1931" t="s">
        <v>33</v>
      </c>
      <c r="F2159" s="1930" t="s">
        <v>33</v>
      </c>
      <c r="G2159" s="1932">
        <v>92792</v>
      </c>
      <c r="H2159" s="1930" t="s">
        <v>1628</v>
      </c>
      <c r="I2159" s="1930" t="s">
        <v>305</v>
      </c>
      <c r="J2159" s="1930" t="s">
        <v>320</v>
      </c>
      <c r="K2159" s="1933">
        <v>7.1</v>
      </c>
      <c r="L2159" s="1930" t="s">
        <v>138</v>
      </c>
    </row>
    <row r="2160" spans="1:12" ht="13.5" x14ac:dyDescent="0.25">
      <c r="A2160" s="1930" t="s">
        <v>4555</v>
      </c>
      <c r="B2160" s="1930" t="s">
        <v>4556</v>
      </c>
      <c r="C2160" s="1930" t="s">
        <v>4565</v>
      </c>
      <c r="D2160" s="1930" t="s">
        <v>4566</v>
      </c>
      <c r="E2160" s="1931" t="s">
        <v>33</v>
      </c>
      <c r="F2160" s="1930" t="s">
        <v>33</v>
      </c>
      <c r="G2160" s="1932">
        <v>92793</v>
      </c>
      <c r="H2160" s="1930" t="s">
        <v>1629</v>
      </c>
      <c r="I2160" s="1930" t="s">
        <v>305</v>
      </c>
      <c r="J2160" s="1930" t="s">
        <v>320</v>
      </c>
      <c r="K2160" s="1933">
        <v>6.92</v>
      </c>
      <c r="L2160" s="1930" t="s">
        <v>138</v>
      </c>
    </row>
    <row r="2161" spans="1:12" ht="13.5" x14ac:dyDescent="0.25">
      <c r="A2161" s="1930" t="s">
        <v>4555</v>
      </c>
      <c r="B2161" s="1930" t="s">
        <v>4556</v>
      </c>
      <c r="C2161" s="1930" t="s">
        <v>4565</v>
      </c>
      <c r="D2161" s="1930" t="s">
        <v>4566</v>
      </c>
      <c r="E2161" s="1931" t="s">
        <v>33</v>
      </c>
      <c r="F2161" s="1930" t="s">
        <v>33</v>
      </c>
      <c r="G2161" s="1932">
        <v>92794</v>
      </c>
      <c r="H2161" s="1930" t="s">
        <v>1630</v>
      </c>
      <c r="I2161" s="1930" t="s">
        <v>305</v>
      </c>
      <c r="J2161" s="1930" t="s">
        <v>320</v>
      </c>
      <c r="K2161" s="1933">
        <v>6.34</v>
      </c>
      <c r="L2161" s="1930" t="s">
        <v>138</v>
      </c>
    </row>
    <row r="2162" spans="1:12" ht="13.5" x14ac:dyDescent="0.25">
      <c r="A2162" s="1930" t="s">
        <v>4555</v>
      </c>
      <c r="B2162" s="1930" t="s">
        <v>4556</v>
      </c>
      <c r="C2162" s="1930" t="s">
        <v>4565</v>
      </c>
      <c r="D2162" s="1930" t="s">
        <v>4566</v>
      </c>
      <c r="E2162" s="1931" t="s">
        <v>33</v>
      </c>
      <c r="F2162" s="1930" t="s">
        <v>33</v>
      </c>
      <c r="G2162" s="1932">
        <v>92795</v>
      </c>
      <c r="H2162" s="1930" t="s">
        <v>1631</v>
      </c>
      <c r="I2162" s="1930" t="s">
        <v>305</v>
      </c>
      <c r="J2162" s="1930" t="s">
        <v>320</v>
      </c>
      <c r="K2162" s="1933">
        <v>5.41</v>
      </c>
      <c r="L2162" s="1930" t="s">
        <v>138</v>
      </c>
    </row>
    <row r="2163" spans="1:12" ht="13.5" x14ac:dyDescent="0.25">
      <c r="A2163" s="1930" t="s">
        <v>4555</v>
      </c>
      <c r="B2163" s="1930" t="s">
        <v>4556</v>
      </c>
      <c r="C2163" s="1930" t="s">
        <v>4565</v>
      </c>
      <c r="D2163" s="1930" t="s">
        <v>4566</v>
      </c>
      <c r="E2163" s="1931" t="s">
        <v>33</v>
      </c>
      <c r="F2163" s="1930" t="s">
        <v>33</v>
      </c>
      <c r="G2163" s="1932">
        <v>92796</v>
      </c>
      <c r="H2163" s="1930" t="s">
        <v>1632</v>
      </c>
      <c r="I2163" s="1930" t="s">
        <v>305</v>
      </c>
      <c r="J2163" s="1930" t="s">
        <v>320</v>
      </c>
      <c r="K2163" s="1933">
        <v>5.33</v>
      </c>
      <c r="L2163" s="1930" t="s">
        <v>138</v>
      </c>
    </row>
    <row r="2164" spans="1:12" ht="13.5" x14ac:dyDescent="0.25">
      <c r="A2164" s="1930" t="s">
        <v>4555</v>
      </c>
      <c r="B2164" s="1930" t="s">
        <v>4556</v>
      </c>
      <c r="C2164" s="1930" t="s">
        <v>4565</v>
      </c>
      <c r="D2164" s="1930" t="s">
        <v>4566</v>
      </c>
      <c r="E2164" s="1931" t="s">
        <v>33</v>
      </c>
      <c r="F2164" s="1930" t="s">
        <v>33</v>
      </c>
      <c r="G2164" s="1932">
        <v>92797</v>
      </c>
      <c r="H2164" s="1930" t="s">
        <v>1633</v>
      </c>
      <c r="I2164" s="1930" t="s">
        <v>305</v>
      </c>
      <c r="J2164" s="1930" t="s">
        <v>320</v>
      </c>
      <c r="K2164" s="1933">
        <v>6.26</v>
      </c>
      <c r="L2164" s="1930" t="s">
        <v>138</v>
      </c>
    </row>
    <row r="2165" spans="1:12" ht="13.5" x14ac:dyDescent="0.25">
      <c r="A2165" s="1930" t="s">
        <v>4555</v>
      </c>
      <c r="B2165" s="1930" t="s">
        <v>4556</v>
      </c>
      <c r="C2165" s="1930" t="s">
        <v>4565</v>
      </c>
      <c r="D2165" s="1930" t="s">
        <v>4566</v>
      </c>
      <c r="E2165" s="1931" t="s">
        <v>33</v>
      </c>
      <c r="F2165" s="1930" t="s">
        <v>33</v>
      </c>
      <c r="G2165" s="1932">
        <v>92798</v>
      </c>
      <c r="H2165" s="1930" t="s">
        <v>1634</v>
      </c>
      <c r="I2165" s="1930" t="s">
        <v>305</v>
      </c>
      <c r="J2165" s="1930" t="s">
        <v>320</v>
      </c>
      <c r="K2165" s="1933">
        <v>6.24</v>
      </c>
      <c r="L2165" s="1930" t="s">
        <v>138</v>
      </c>
    </row>
    <row r="2166" spans="1:12" ht="13.5" x14ac:dyDescent="0.25">
      <c r="A2166" s="1930" t="s">
        <v>4555</v>
      </c>
      <c r="B2166" s="1930" t="s">
        <v>4556</v>
      </c>
      <c r="C2166" s="1930" t="s">
        <v>4565</v>
      </c>
      <c r="D2166" s="1930" t="s">
        <v>4566</v>
      </c>
      <c r="E2166" s="1931" t="s">
        <v>33</v>
      </c>
      <c r="F2166" s="1930" t="s">
        <v>33</v>
      </c>
      <c r="G2166" s="1932">
        <v>92799</v>
      </c>
      <c r="H2166" s="1930" t="s">
        <v>1635</v>
      </c>
      <c r="I2166" s="1930" t="s">
        <v>305</v>
      </c>
      <c r="J2166" s="1930" t="s">
        <v>320</v>
      </c>
      <c r="K2166" s="1933">
        <v>7.61</v>
      </c>
      <c r="L2166" s="1930" t="s">
        <v>138</v>
      </c>
    </row>
    <row r="2167" spans="1:12" ht="13.5" x14ac:dyDescent="0.25">
      <c r="A2167" s="1930" t="s">
        <v>4555</v>
      </c>
      <c r="B2167" s="1930" t="s">
        <v>4556</v>
      </c>
      <c r="C2167" s="1930" t="s">
        <v>4565</v>
      </c>
      <c r="D2167" s="1930" t="s">
        <v>4566</v>
      </c>
      <c r="E2167" s="1931" t="s">
        <v>33</v>
      </c>
      <c r="F2167" s="1930" t="s">
        <v>33</v>
      </c>
      <c r="G2167" s="1932">
        <v>92800</v>
      </c>
      <c r="H2167" s="1930" t="s">
        <v>1636</v>
      </c>
      <c r="I2167" s="1930" t="s">
        <v>305</v>
      </c>
      <c r="J2167" s="1930" t="s">
        <v>320</v>
      </c>
      <c r="K2167" s="1933">
        <v>6.82</v>
      </c>
      <c r="L2167" s="1930" t="s">
        <v>138</v>
      </c>
    </row>
    <row r="2168" spans="1:12" ht="13.5" x14ac:dyDescent="0.25">
      <c r="A2168" s="1930" t="s">
        <v>4555</v>
      </c>
      <c r="B2168" s="1930" t="s">
        <v>4556</v>
      </c>
      <c r="C2168" s="1930" t="s">
        <v>4565</v>
      </c>
      <c r="D2168" s="1930" t="s">
        <v>4566</v>
      </c>
      <c r="E2168" s="1931" t="s">
        <v>33</v>
      </c>
      <c r="F2168" s="1930" t="s">
        <v>33</v>
      </c>
      <c r="G2168" s="1932">
        <v>92801</v>
      </c>
      <c r="H2168" s="1930" t="s">
        <v>1637</v>
      </c>
      <c r="I2168" s="1930" t="s">
        <v>305</v>
      </c>
      <c r="J2168" s="1930" t="s">
        <v>320</v>
      </c>
      <c r="K2168" s="1933">
        <v>6.85</v>
      </c>
      <c r="L2168" s="1930" t="s">
        <v>138</v>
      </c>
    </row>
    <row r="2169" spans="1:12" ht="13.5" x14ac:dyDescent="0.25">
      <c r="A2169" s="1930" t="s">
        <v>4555</v>
      </c>
      <c r="B2169" s="1930" t="s">
        <v>4556</v>
      </c>
      <c r="C2169" s="1930" t="s">
        <v>4565</v>
      </c>
      <c r="D2169" s="1930" t="s">
        <v>4566</v>
      </c>
      <c r="E2169" s="1931" t="s">
        <v>33</v>
      </c>
      <c r="F2169" s="1930" t="s">
        <v>33</v>
      </c>
      <c r="G2169" s="1932">
        <v>92802</v>
      </c>
      <c r="H2169" s="1930" t="s">
        <v>1638</v>
      </c>
      <c r="I2169" s="1930" t="s">
        <v>305</v>
      </c>
      <c r="J2169" s="1930" t="s">
        <v>320</v>
      </c>
      <c r="K2169" s="1933">
        <v>6.78</v>
      </c>
      <c r="L2169" s="1930" t="s">
        <v>138</v>
      </c>
    </row>
    <row r="2170" spans="1:12" ht="13.5" x14ac:dyDescent="0.25">
      <c r="A2170" s="1930" t="s">
        <v>4555</v>
      </c>
      <c r="B2170" s="1930" t="s">
        <v>4556</v>
      </c>
      <c r="C2170" s="1930" t="s">
        <v>4565</v>
      </c>
      <c r="D2170" s="1930" t="s">
        <v>4566</v>
      </c>
      <c r="E2170" s="1931" t="s">
        <v>33</v>
      </c>
      <c r="F2170" s="1930" t="s">
        <v>33</v>
      </c>
      <c r="G2170" s="1932">
        <v>92803</v>
      </c>
      <c r="H2170" s="1930" t="s">
        <v>1639</v>
      </c>
      <c r="I2170" s="1930" t="s">
        <v>305</v>
      </c>
      <c r="J2170" s="1930" t="s">
        <v>320</v>
      </c>
      <c r="K2170" s="1933">
        <v>6.25</v>
      </c>
      <c r="L2170" s="1930" t="s">
        <v>138</v>
      </c>
    </row>
    <row r="2171" spans="1:12" ht="13.5" x14ac:dyDescent="0.25">
      <c r="A2171" s="1930" t="s">
        <v>4555</v>
      </c>
      <c r="B2171" s="1930" t="s">
        <v>4556</v>
      </c>
      <c r="C2171" s="1930" t="s">
        <v>4565</v>
      </c>
      <c r="D2171" s="1930" t="s">
        <v>4566</v>
      </c>
      <c r="E2171" s="1931" t="s">
        <v>33</v>
      </c>
      <c r="F2171" s="1930" t="s">
        <v>33</v>
      </c>
      <c r="G2171" s="1932">
        <v>92804</v>
      </c>
      <c r="H2171" s="1930" t="s">
        <v>1640</v>
      </c>
      <c r="I2171" s="1930" t="s">
        <v>305</v>
      </c>
      <c r="J2171" s="1930" t="s">
        <v>320</v>
      </c>
      <c r="K2171" s="1933">
        <v>5.36</v>
      </c>
      <c r="L2171" s="1930" t="s">
        <v>138</v>
      </c>
    </row>
    <row r="2172" spans="1:12" ht="13.5" x14ac:dyDescent="0.25">
      <c r="A2172" s="1930" t="s">
        <v>4555</v>
      </c>
      <c r="B2172" s="1930" t="s">
        <v>4556</v>
      </c>
      <c r="C2172" s="1930" t="s">
        <v>4565</v>
      </c>
      <c r="D2172" s="1930" t="s">
        <v>4566</v>
      </c>
      <c r="E2172" s="1931" t="s">
        <v>33</v>
      </c>
      <c r="F2172" s="1930" t="s">
        <v>33</v>
      </c>
      <c r="G2172" s="1932">
        <v>92805</v>
      </c>
      <c r="H2172" s="1930" t="s">
        <v>1641</v>
      </c>
      <c r="I2172" s="1930" t="s">
        <v>305</v>
      </c>
      <c r="J2172" s="1930" t="s">
        <v>320</v>
      </c>
      <c r="K2172" s="1933">
        <v>5.31</v>
      </c>
      <c r="L2172" s="1930" t="s">
        <v>138</v>
      </c>
    </row>
    <row r="2173" spans="1:12" ht="13.5" x14ac:dyDescent="0.25">
      <c r="A2173" s="1930" t="s">
        <v>4555</v>
      </c>
      <c r="B2173" s="1930" t="s">
        <v>4556</v>
      </c>
      <c r="C2173" s="1930" t="s">
        <v>4565</v>
      </c>
      <c r="D2173" s="1930" t="s">
        <v>4566</v>
      </c>
      <c r="E2173" s="1931" t="s">
        <v>33</v>
      </c>
      <c r="F2173" s="1930" t="s">
        <v>33</v>
      </c>
      <c r="G2173" s="1932">
        <v>92806</v>
      </c>
      <c r="H2173" s="1930" t="s">
        <v>1642</v>
      </c>
      <c r="I2173" s="1930" t="s">
        <v>305</v>
      </c>
      <c r="J2173" s="1930" t="s">
        <v>320</v>
      </c>
      <c r="K2173" s="1933">
        <v>6.24</v>
      </c>
      <c r="L2173" s="1930" t="s">
        <v>138</v>
      </c>
    </row>
    <row r="2174" spans="1:12" ht="13.5" x14ac:dyDescent="0.25">
      <c r="A2174" s="1930" t="s">
        <v>4555</v>
      </c>
      <c r="B2174" s="1930" t="s">
        <v>4556</v>
      </c>
      <c r="C2174" s="1930" t="s">
        <v>4565</v>
      </c>
      <c r="D2174" s="1930" t="s">
        <v>4566</v>
      </c>
      <c r="E2174" s="1931" t="s">
        <v>33</v>
      </c>
      <c r="F2174" s="1930" t="s">
        <v>33</v>
      </c>
      <c r="G2174" s="1932">
        <v>92875</v>
      </c>
      <c r="H2174" s="1930" t="s">
        <v>1643</v>
      </c>
      <c r="I2174" s="1930" t="s">
        <v>305</v>
      </c>
      <c r="J2174" s="1930" t="s">
        <v>320</v>
      </c>
      <c r="K2174" s="1933">
        <v>6.54</v>
      </c>
      <c r="L2174" s="1930" t="s">
        <v>138</v>
      </c>
    </row>
    <row r="2175" spans="1:12" ht="13.5" x14ac:dyDescent="0.25">
      <c r="A2175" s="1930" t="s">
        <v>4555</v>
      </c>
      <c r="B2175" s="1930" t="s">
        <v>4556</v>
      </c>
      <c r="C2175" s="1930" t="s">
        <v>4565</v>
      </c>
      <c r="D2175" s="1930" t="s">
        <v>4566</v>
      </c>
      <c r="E2175" s="1931" t="s">
        <v>33</v>
      </c>
      <c r="F2175" s="1930" t="s">
        <v>33</v>
      </c>
      <c r="G2175" s="1932">
        <v>92876</v>
      </c>
      <c r="H2175" s="1930" t="s">
        <v>1644</v>
      </c>
      <c r="I2175" s="1930" t="s">
        <v>305</v>
      </c>
      <c r="J2175" s="1930" t="s">
        <v>320</v>
      </c>
      <c r="K2175" s="1933">
        <v>6.31</v>
      </c>
      <c r="L2175" s="1930" t="s">
        <v>138</v>
      </c>
    </row>
    <row r="2176" spans="1:12" ht="13.5" x14ac:dyDescent="0.25">
      <c r="A2176" s="1930" t="s">
        <v>4555</v>
      </c>
      <c r="B2176" s="1930" t="s">
        <v>4556</v>
      </c>
      <c r="C2176" s="1930" t="s">
        <v>4565</v>
      </c>
      <c r="D2176" s="1930" t="s">
        <v>4566</v>
      </c>
      <c r="E2176" s="1931" t="s">
        <v>33</v>
      </c>
      <c r="F2176" s="1930" t="s">
        <v>33</v>
      </c>
      <c r="G2176" s="1932">
        <v>92877</v>
      </c>
      <c r="H2176" s="1930" t="s">
        <v>1645</v>
      </c>
      <c r="I2176" s="1930" t="s">
        <v>305</v>
      </c>
      <c r="J2176" s="1930" t="s">
        <v>320</v>
      </c>
      <c r="K2176" s="1933">
        <v>6.79</v>
      </c>
      <c r="L2176" s="1930" t="s">
        <v>138</v>
      </c>
    </row>
    <row r="2177" spans="1:12" ht="13.5" x14ac:dyDescent="0.25">
      <c r="A2177" s="1930" t="s">
        <v>4555</v>
      </c>
      <c r="B2177" s="1930" t="s">
        <v>4556</v>
      </c>
      <c r="C2177" s="1930" t="s">
        <v>4565</v>
      </c>
      <c r="D2177" s="1930" t="s">
        <v>4566</v>
      </c>
      <c r="E2177" s="1931" t="s">
        <v>33</v>
      </c>
      <c r="F2177" s="1930" t="s">
        <v>33</v>
      </c>
      <c r="G2177" s="1932">
        <v>92878</v>
      </c>
      <c r="H2177" s="1930" t="s">
        <v>1646</v>
      </c>
      <c r="I2177" s="1930" t="s">
        <v>305</v>
      </c>
      <c r="J2177" s="1930" t="s">
        <v>320</v>
      </c>
      <c r="K2177" s="1933">
        <v>6.67</v>
      </c>
      <c r="L2177" s="1930" t="s">
        <v>138</v>
      </c>
    </row>
    <row r="2178" spans="1:12" ht="13.5" x14ac:dyDescent="0.25">
      <c r="A2178" s="1930" t="s">
        <v>4555</v>
      </c>
      <c r="B2178" s="1930" t="s">
        <v>4556</v>
      </c>
      <c r="C2178" s="1930" t="s">
        <v>4565</v>
      </c>
      <c r="D2178" s="1930" t="s">
        <v>4566</v>
      </c>
      <c r="E2178" s="1931" t="s">
        <v>33</v>
      </c>
      <c r="F2178" s="1930" t="s">
        <v>33</v>
      </c>
      <c r="G2178" s="1932">
        <v>92879</v>
      </c>
      <c r="H2178" s="1930" t="s">
        <v>1647</v>
      </c>
      <c r="I2178" s="1930" t="s">
        <v>305</v>
      </c>
      <c r="J2178" s="1930" t="s">
        <v>320</v>
      </c>
      <c r="K2178" s="1933">
        <v>6.59</v>
      </c>
      <c r="L2178" s="1930" t="s">
        <v>138</v>
      </c>
    </row>
    <row r="2179" spans="1:12" ht="13.5" x14ac:dyDescent="0.25">
      <c r="A2179" s="1930" t="s">
        <v>4555</v>
      </c>
      <c r="B2179" s="1930" t="s">
        <v>4556</v>
      </c>
      <c r="C2179" s="1930" t="s">
        <v>4565</v>
      </c>
      <c r="D2179" s="1930" t="s">
        <v>4566</v>
      </c>
      <c r="E2179" s="1931" t="s">
        <v>33</v>
      </c>
      <c r="F2179" s="1930" t="s">
        <v>33</v>
      </c>
      <c r="G2179" s="1932">
        <v>92880</v>
      </c>
      <c r="H2179" s="1930" t="s">
        <v>1648</v>
      </c>
      <c r="I2179" s="1930" t="s">
        <v>305</v>
      </c>
      <c r="J2179" s="1930" t="s">
        <v>320</v>
      </c>
      <c r="K2179" s="1933">
        <v>6.74</v>
      </c>
      <c r="L2179" s="1930" t="s">
        <v>138</v>
      </c>
    </row>
    <row r="2180" spans="1:12" ht="13.5" x14ac:dyDescent="0.25">
      <c r="A2180" s="1930" t="s">
        <v>4555</v>
      </c>
      <c r="B2180" s="1930" t="s">
        <v>4556</v>
      </c>
      <c r="C2180" s="1930" t="s">
        <v>4565</v>
      </c>
      <c r="D2180" s="1930" t="s">
        <v>4566</v>
      </c>
      <c r="E2180" s="1931" t="s">
        <v>33</v>
      </c>
      <c r="F2180" s="1930" t="s">
        <v>33</v>
      </c>
      <c r="G2180" s="1932">
        <v>92881</v>
      </c>
      <c r="H2180" s="1930" t="s">
        <v>1649</v>
      </c>
      <c r="I2180" s="1930" t="s">
        <v>305</v>
      </c>
      <c r="J2180" s="1930" t="s">
        <v>320</v>
      </c>
      <c r="K2180" s="1933">
        <v>6.72</v>
      </c>
      <c r="L2180" s="1930" t="s">
        <v>138</v>
      </c>
    </row>
    <row r="2181" spans="1:12" ht="13.5" x14ac:dyDescent="0.25">
      <c r="A2181" s="1930" t="s">
        <v>4555</v>
      </c>
      <c r="B2181" s="1930" t="s">
        <v>4556</v>
      </c>
      <c r="C2181" s="1930" t="s">
        <v>4565</v>
      </c>
      <c r="D2181" s="1930" t="s">
        <v>4566</v>
      </c>
      <c r="E2181" s="1931" t="s">
        <v>33</v>
      </c>
      <c r="F2181" s="1930" t="s">
        <v>33</v>
      </c>
      <c r="G2181" s="1932">
        <v>92882</v>
      </c>
      <c r="H2181" s="1930" t="s">
        <v>1650</v>
      </c>
      <c r="I2181" s="1930" t="s">
        <v>305</v>
      </c>
      <c r="J2181" s="1930" t="s">
        <v>137</v>
      </c>
      <c r="K2181" s="1933">
        <v>9.1</v>
      </c>
      <c r="L2181" s="1930" t="s">
        <v>138</v>
      </c>
    </row>
    <row r="2182" spans="1:12" ht="13.5" x14ac:dyDescent="0.25">
      <c r="A2182" s="1930" t="s">
        <v>4555</v>
      </c>
      <c r="B2182" s="1930" t="s">
        <v>4556</v>
      </c>
      <c r="C2182" s="1930" t="s">
        <v>4565</v>
      </c>
      <c r="D2182" s="1930" t="s">
        <v>4566</v>
      </c>
      <c r="E2182" s="1931" t="s">
        <v>33</v>
      </c>
      <c r="F2182" s="1930" t="s">
        <v>33</v>
      </c>
      <c r="G2182" s="1932">
        <v>92883</v>
      </c>
      <c r="H2182" s="1930" t="s">
        <v>1651</v>
      </c>
      <c r="I2182" s="1930" t="s">
        <v>305</v>
      </c>
      <c r="J2182" s="1930" t="s">
        <v>137</v>
      </c>
      <c r="K2182" s="1933">
        <v>8.3000000000000007</v>
      </c>
      <c r="L2182" s="1930" t="s">
        <v>138</v>
      </c>
    </row>
    <row r="2183" spans="1:12" ht="13.5" x14ac:dyDescent="0.25">
      <c r="A2183" s="1930" t="s">
        <v>4555</v>
      </c>
      <c r="B2183" s="1930" t="s">
        <v>4556</v>
      </c>
      <c r="C2183" s="1930" t="s">
        <v>4565</v>
      </c>
      <c r="D2183" s="1930" t="s">
        <v>4566</v>
      </c>
      <c r="E2183" s="1931" t="s">
        <v>33</v>
      </c>
      <c r="F2183" s="1930" t="s">
        <v>33</v>
      </c>
      <c r="G2183" s="1932">
        <v>92884</v>
      </c>
      <c r="H2183" s="1930" t="s">
        <v>1652</v>
      </c>
      <c r="I2183" s="1930" t="s">
        <v>305</v>
      </c>
      <c r="J2183" s="1930" t="s">
        <v>137</v>
      </c>
      <c r="K2183" s="1933">
        <v>8.36</v>
      </c>
      <c r="L2183" s="1930" t="s">
        <v>138</v>
      </c>
    </row>
    <row r="2184" spans="1:12" ht="13.5" x14ac:dyDescent="0.25">
      <c r="A2184" s="1930" t="s">
        <v>4555</v>
      </c>
      <c r="B2184" s="1930" t="s">
        <v>4556</v>
      </c>
      <c r="C2184" s="1930" t="s">
        <v>4565</v>
      </c>
      <c r="D2184" s="1930" t="s">
        <v>4566</v>
      </c>
      <c r="E2184" s="1931" t="s">
        <v>33</v>
      </c>
      <c r="F2184" s="1930" t="s">
        <v>33</v>
      </c>
      <c r="G2184" s="1932">
        <v>92885</v>
      </c>
      <c r="H2184" s="1930" t="s">
        <v>1653</v>
      </c>
      <c r="I2184" s="1930" t="s">
        <v>305</v>
      </c>
      <c r="J2184" s="1930" t="s">
        <v>137</v>
      </c>
      <c r="K2184" s="1933">
        <v>7.88</v>
      </c>
      <c r="L2184" s="1930" t="s">
        <v>138</v>
      </c>
    </row>
    <row r="2185" spans="1:12" ht="13.5" x14ac:dyDescent="0.25">
      <c r="A2185" s="1930" t="s">
        <v>4555</v>
      </c>
      <c r="B2185" s="1930" t="s">
        <v>4556</v>
      </c>
      <c r="C2185" s="1930" t="s">
        <v>4565</v>
      </c>
      <c r="D2185" s="1930" t="s">
        <v>4566</v>
      </c>
      <c r="E2185" s="1931" t="s">
        <v>33</v>
      </c>
      <c r="F2185" s="1930" t="s">
        <v>33</v>
      </c>
      <c r="G2185" s="1932">
        <v>92886</v>
      </c>
      <c r="H2185" s="1930" t="s">
        <v>1654</v>
      </c>
      <c r="I2185" s="1930" t="s">
        <v>305</v>
      </c>
      <c r="J2185" s="1930" t="s">
        <v>137</v>
      </c>
      <c r="K2185" s="1933">
        <v>7.5</v>
      </c>
      <c r="L2185" s="1930" t="s">
        <v>138</v>
      </c>
    </row>
    <row r="2186" spans="1:12" ht="13.5" x14ac:dyDescent="0.25">
      <c r="A2186" s="1930" t="s">
        <v>4555</v>
      </c>
      <c r="B2186" s="1930" t="s">
        <v>4556</v>
      </c>
      <c r="C2186" s="1930" t="s">
        <v>4565</v>
      </c>
      <c r="D2186" s="1930" t="s">
        <v>4566</v>
      </c>
      <c r="E2186" s="1931" t="s">
        <v>33</v>
      </c>
      <c r="F2186" s="1930" t="s">
        <v>33</v>
      </c>
      <c r="G2186" s="1932">
        <v>92887</v>
      </c>
      <c r="H2186" s="1930" t="s">
        <v>1655</v>
      </c>
      <c r="I2186" s="1930" t="s">
        <v>305</v>
      </c>
      <c r="J2186" s="1930" t="s">
        <v>137</v>
      </c>
      <c r="K2186" s="1933">
        <v>7.44</v>
      </c>
      <c r="L2186" s="1930" t="s">
        <v>138</v>
      </c>
    </row>
    <row r="2187" spans="1:12" ht="13.5" x14ac:dyDescent="0.25">
      <c r="A2187" s="1930" t="s">
        <v>4555</v>
      </c>
      <c r="B2187" s="1930" t="s">
        <v>4556</v>
      </c>
      <c r="C2187" s="1930" t="s">
        <v>4565</v>
      </c>
      <c r="D2187" s="1930" t="s">
        <v>4566</v>
      </c>
      <c r="E2187" s="1931" t="s">
        <v>33</v>
      </c>
      <c r="F2187" s="1930" t="s">
        <v>33</v>
      </c>
      <c r="G2187" s="1932">
        <v>92888</v>
      </c>
      <c r="H2187" s="1930" t="s">
        <v>1656</v>
      </c>
      <c r="I2187" s="1930" t="s">
        <v>305</v>
      </c>
      <c r="J2187" s="1930" t="s">
        <v>320</v>
      </c>
      <c r="K2187" s="1933">
        <v>7.25</v>
      </c>
      <c r="L2187" s="1930" t="s">
        <v>138</v>
      </c>
    </row>
    <row r="2188" spans="1:12" ht="13.5" x14ac:dyDescent="0.25">
      <c r="A2188" s="1930" t="s">
        <v>4555</v>
      </c>
      <c r="B2188" s="1930" t="s">
        <v>4556</v>
      </c>
      <c r="C2188" s="1930" t="s">
        <v>4565</v>
      </c>
      <c r="D2188" s="1930" t="s">
        <v>4566</v>
      </c>
      <c r="E2188" s="1931" t="s">
        <v>33</v>
      </c>
      <c r="F2188" s="1930" t="s">
        <v>33</v>
      </c>
      <c r="G2188" s="1932">
        <v>92915</v>
      </c>
      <c r="H2188" s="1930" t="s">
        <v>1657</v>
      </c>
      <c r="I2188" s="1930" t="s">
        <v>305</v>
      </c>
      <c r="J2188" s="1930" t="s">
        <v>137</v>
      </c>
      <c r="K2188" s="1933">
        <v>11.63</v>
      </c>
      <c r="L2188" s="1930" t="s">
        <v>138</v>
      </c>
    </row>
    <row r="2189" spans="1:12" ht="13.5" x14ac:dyDescent="0.25">
      <c r="A2189" s="1930" t="s">
        <v>4555</v>
      </c>
      <c r="B2189" s="1930" t="s">
        <v>4556</v>
      </c>
      <c r="C2189" s="1930" t="s">
        <v>4565</v>
      </c>
      <c r="D2189" s="1930" t="s">
        <v>4566</v>
      </c>
      <c r="E2189" s="1931" t="s">
        <v>33</v>
      </c>
      <c r="F2189" s="1930" t="s">
        <v>33</v>
      </c>
      <c r="G2189" s="1932">
        <v>92916</v>
      </c>
      <c r="H2189" s="1930" t="s">
        <v>1658</v>
      </c>
      <c r="I2189" s="1930" t="s">
        <v>305</v>
      </c>
      <c r="J2189" s="1930" t="s">
        <v>137</v>
      </c>
      <c r="K2189" s="1933">
        <v>10.53</v>
      </c>
      <c r="L2189" s="1930" t="s">
        <v>138</v>
      </c>
    </row>
    <row r="2190" spans="1:12" ht="13.5" x14ac:dyDescent="0.25">
      <c r="A2190" s="1930" t="s">
        <v>4555</v>
      </c>
      <c r="B2190" s="1930" t="s">
        <v>4556</v>
      </c>
      <c r="C2190" s="1930" t="s">
        <v>4565</v>
      </c>
      <c r="D2190" s="1930" t="s">
        <v>4566</v>
      </c>
      <c r="E2190" s="1931" t="s">
        <v>33</v>
      </c>
      <c r="F2190" s="1930" t="s">
        <v>33</v>
      </c>
      <c r="G2190" s="1932">
        <v>92917</v>
      </c>
      <c r="H2190" s="1930" t="s">
        <v>1659</v>
      </c>
      <c r="I2190" s="1930" t="s">
        <v>305</v>
      </c>
      <c r="J2190" s="1930" t="s">
        <v>137</v>
      </c>
      <c r="K2190" s="1933">
        <v>9.56</v>
      </c>
      <c r="L2190" s="1930" t="s">
        <v>138</v>
      </c>
    </row>
    <row r="2191" spans="1:12" ht="13.5" x14ac:dyDescent="0.25">
      <c r="A2191" s="1930" t="s">
        <v>4555</v>
      </c>
      <c r="B2191" s="1930" t="s">
        <v>4556</v>
      </c>
      <c r="C2191" s="1930" t="s">
        <v>4565</v>
      </c>
      <c r="D2191" s="1930" t="s">
        <v>4566</v>
      </c>
      <c r="E2191" s="1931" t="s">
        <v>33</v>
      </c>
      <c r="F2191" s="1930" t="s">
        <v>33</v>
      </c>
      <c r="G2191" s="1932">
        <v>92919</v>
      </c>
      <c r="H2191" s="1930" t="s">
        <v>1660</v>
      </c>
      <c r="I2191" s="1930" t="s">
        <v>305</v>
      </c>
      <c r="J2191" s="1930" t="s">
        <v>137</v>
      </c>
      <c r="K2191" s="1933">
        <v>8.4</v>
      </c>
      <c r="L2191" s="1930" t="s">
        <v>138</v>
      </c>
    </row>
    <row r="2192" spans="1:12" ht="13.5" x14ac:dyDescent="0.25">
      <c r="A2192" s="1930" t="s">
        <v>4555</v>
      </c>
      <c r="B2192" s="1930" t="s">
        <v>4556</v>
      </c>
      <c r="C2192" s="1930" t="s">
        <v>4565</v>
      </c>
      <c r="D2192" s="1930" t="s">
        <v>4566</v>
      </c>
      <c r="E2192" s="1931" t="s">
        <v>33</v>
      </c>
      <c r="F2192" s="1930" t="s">
        <v>33</v>
      </c>
      <c r="G2192" s="1932">
        <v>92921</v>
      </c>
      <c r="H2192" s="1930" t="s">
        <v>1661</v>
      </c>
      <c r="I2192" s="1930" t="s">
        <v>305</v>
      </c>
      <c r="J2192" s="1930" t="s">
        <v>137</v>
      </c>
      <c r="K2192" s="1933">
        <v>6.97</v>
      </c>
      <c r="L2192" s="1930" t="s">
        <v>138</v>
      </c>
    </row>
    <row r="2193" spans="1:12" ht="13.5" x14ac:dyDescent="0.25">
      <c r="A2193" s="1930" t="s">
        <v>4555</v>
      </c>
      <c r="B2193" s="1930" t="s">
        <v>4556</v>
      </c>
      <c r="C2193" s="1930" t="s">
        <v>4565</v>
      </c>
      <c r="D2193" s="1930" t="s">
        <v>4566</v>
      </c>
      <c r="E2193" s="1931" t="s">
        <v>33</v>
      </c>
      <c r="F2193" s="1930" t="s">
        <v>33</v>
      </c>
      <c r="G2193" s="1932">
        <v>92922</v>
      </c>
      <c r="H2193" s="1930" t="s">
        <v>1662</v>
      </c>
      <c r="I2193" s="1930" t="s">
        <v>305</v>
      </c>
      <c r="J2193" s="1930" t="s">
        <v>137</v>
      </c>
      <c r="K2193" s="1933">
        <v>6.48</v>
      </c>
      <c r="L2193" s="1930" t="s">
        <v>138</v>
      </c>
    </row>
    <row r="2194" spans="1:12" ht="13.5" x14ac:dyDescent="0.25">
      <c r="A2194" s="1930" t="s">
        <v>4555</v>
      </c>
      <c r="B2194" s="1930" t="s">
        <v>4556</v>
      </c>
      <c r="C2194" s="1930" t="s">
        <v>4565</v>
      </c>
      <c r="D2194" s="1930" t="s">
        <v>4566</v>
      </c>
      <c r="E2194" s="1931" t="s">
        <v>33</v>
      </c>
      <c r="F2194" s="1930" t="s">
        <v>33</v>
      </c>
      <c r="G2194" s="1932">
        <v>92923</v>
      </c>
      <c r="H2194" s="1930" t="s">
        <v>1663</v>
      </c>
      <c r="I2194" s="1930" t="s">
        <v>305</v>
      </c>
      <c r="J2194" s="1930" t="s">
        <v>137</v>
      </c>
      <c r="K2194" s="1933">
        <v>7.12</v>
      </c>
      <c r="L2194" s="1930" t="s">
        <v>138</v>
      </c>
    </row>
    <row r="2195" spans="1:12" ht="13.5" x14ac:dyDescent="0.25">
      <c r="A2195" s="1930" t="s">
        <v>4555</v>
      </c>
      <c r="B2195" s="1930" t="s">
        <v>4556</v>
      </c>
      <c r="C2195" s="1930" t="s">
        <v>4565</v>
      </c>
      <c r="D2195" s="1930" t="s">
        <v>4566</v>
      </c>
      <c r="E2195" s="1931" t="s">
        <v>33</v>
      </c>
      <c r="F2195" s="1930" t="s">
        <v>33</v>
      </c>
      <c r="G2195" s="1932">
        <v>92924</v>
      </c>
      <c r="H2195" s="1930" t="s">
        <v>1664</v>
      </c>
      <c r="I2195" s="1930" t="s">
        <v>305</v>
      </c>
      <c r="J2195" s="1930" t="s">
        <v>320</v>
      </c>
      <c r="K2195" s="1933">
        <v>6.86</v>
      </c>
      <c r="L2195" s="1930" t="s">
        <v>138</v>
      </c>
    </row>
    <row r="2196" spans="1:12" ht="13.5" x14ac:dyDescent="0.25">
      <c r="A2196" s="1930" t="s">
        <v>4555</v>
      </c>
      <c r="B2196" s="1930" t="s">
        <v>4556</v>
      </c>
      <c r="C2196" s="1930" t="s">
        <v>4565</v>
      </c>
      <c r="D2196" s="1930" t="s">
        <v>4566</v>
      </c>
      <c r="E2196" s="1931" t="s">
        <v>33</v>
      </c>
      <c r="F2196" s="1930" t="s">
        <v>33</v>
      </c>
      <c r="G2196" s="1932">
        <v>95445</v>
      </c>
      <c r="H2196" s="1930" t="s">
        <v>1665</v>
      </c>
      <c r="I2196" s="1930" t="s">
        <v>305</v>
      </c>
      <c r="J2196" s="1930" t="s">
        <v>320</v>
      </c>
      <c r="K2196" s="1933">
        <v>5.74</v>
      </c>
      <c r="L2196" s="1930" t="s">
        <v>138</v>
      </c>
    </row>
    <row r="2197" spans="1:12" ht="13.5" x14ac:dyDescent="0.25">
      <c r="A2197" s="1930" t="s">
        <v>4555</v>
      </c>
      <c r="B2197" s="1930" t="s">
        <v>4556</v>
      </c>
      <c r="C2197" s="1930" t="s">
        <v>4565</v>
      </c>
      <c r="D2197" s="1930" t="s">
        <v>4566</v>
      </c>
      <c r="E2197" s="1931" t="s">
        <v>33</v>
      </c>
      <c r="F2197" s="1930" t="s">
        <v>33</v>
      </c>
      <c r="G2197" s="1932">
        <v>95446</v>
      </c>
      <c r="H2197" s="1930" t="s">
        <v>1666</v>
      </c>
      <c r="I2197" s="1930" t="s">
        <v>305</v>
      </c>
      <c r="J2197" s="1930" t="s">
        <v>320</v>
      </c>
      <c r="K2197" s="1933">
        <v>6.19</v>
      </c>
      <c r="L2197" s="1930" t="s">
        <v>138</v>
      </c>
    </row>
    <row r="2198" spans="1:12" ht="13.5" x14ac:dyDescent="0.25">
      <c r="A2198" s="1930" t="s">
        <v>4555</v>
      </c>
      <c r="B2198" s="1930" t="s">
        <v>4556</v>
      </c>
      <c r="C2198" s="1930" t="s">
        <v>4565</v>
      </c>
      <c r="D2198" s="1930" t="s">
        <v>4566</v>
      </c>
      <c r="E2198" s="1931" t="s">
        <v>33</v>
      </c>
      <c r="F2198" s="1930" t="s">
        <v>33</v>
      </c>
      <c r="G2198" s="1932">
        <v>95448</v>
      </c>
      <c r="H2198" s="1930" t="s">
        <v>14889</v>
      </c>
      <c r="I2198" s="1930" t="s">
        <v>305</v>
      </c>
      <c r="J2198" s="1930" t="s">
        <v>320</v>
      </c>
      <c r="K2198" s="1933">
        <v>6.86</v>
      </c>
      <c r="L2198" s="1930" t="s">
        <v>138</v>
      </c>
    </row>
    <row r="2199" spans="1:12" ht="13.5" x14ac:dyDescent="0.25">
      <c r="A2199" s="1930" t="s">
        <v>4555</v>
      </c>
      <c r="B2199" s="1930" t="s">
        <v>4556</v>
      </c>
      <c r="C2199" s="1930" t="s">
        <v>4565</v>
      </c>
      <c r="D2199" s="1930" t="s">
        <v>4566</v>
      </c>
      <c r="E2199" s="1931" t="s">
        <v>33</v>
      </c>
      <c r="F2199" s="1930" t="s">
        <v>33</v>
      </c>
      <c r="G2199" s="1932">
        <v>95576</v>
      </c>
      <c r="H2199" s="1930" t="s">
        <v>5024</v>
      </c>
      <c r="I2199" s="1930" t="s">
        <v>305</v>
      </c>
      <c r="J2199" s="1930" t="s">
        <v>320</v>
      </c>
      <c r="K2199" s="1933">
        <v>9.06</v>
      </c>
      <c r="L2199" s="1930" t="s">
        <v>138</v>
      </c>
    </row>
    <row r="2200" spans="1:12" ht="13.5" x14ac:dyDescent="0.25">
      <c r="A2200" s="1930" t="s">
        <v>4555</v>
      </c>
      <c r="B2200" s="1930" t="s">
        <v>4556</v>
      </c>
      <c r="C2200" s="1930" t="s">
        <v>4565</v>
      </c>
      <c r="D2200" s="1930" t="s">
        <v>4566</v>
      </c>
      <c r="E2200" s="1931" t="s">
        <v>33</v>
      </c>
      <c r="F2200" s="1930" t="s">
        <v>33</v>
      </c>
      <c r="G2200" s="1932">
        <v>95577</v>
      </c>
      <c r="H2200" s="1930" t="s">
        <v>1667</v>
      </c>
      <c r="I2200" s="1930" t="s">
        <v>305</v>
      </c>
      <c r="J2200" s="1930" t="s">
        <v>320</v>
      </c>
      <c r="K2200" s="1933">
        <v>8.11</v>
      </c>
      <c r="L2200" s="1930" t="s">
        <v>138</v>
      </c>
    </row>
    <row r="2201" spans="1:12" ht="13.5" x14ac:dyDescent="0.25">
      <c r="A2201" s="1930" t="s">
        <v>4555</v>
      </c>
      <c r="B2201" s="1930" t="s">
        <v>4556</v>
      </c>
      <c r="C2201" s="1930" t="s">
        <v>4565</v>
      </c>
      <c r="D2201" s="1930" t="s">
        <v>4566</v>
      </c>
      <c r="E2201" s="1931" t="s">
        <v>33</v>
      </c>
      <c r="F2201" s="1930" t="s">
        <v>33</v>
      </c>
      <c r="G2201" s="1932">
        <v>95578</v>
      </c>
      <c r="H2201" s="1930" t="s">
        <v>5025</v>
      </c>
      <c r="I2201" s="1930" t="s">
        <v>305</v>
      </c>
      <c r="J2201" s="1930" t="s">
        <v>320</v>
      </c>
      <c r="K2201" s="1933">
        <v>6.89</v>
      </c>
      <c r="L2201" s="1930" t="s">
        <v>138</v>
      </c>
    </row>
    <row r="2202" spans="1:12" ht="13.5" x14ac:dyDescent="0.25">
      <c r="A2202" s="1930" t="s">
        <v>4555</v>
      </c>
      <c r="B2202" s="1930" t="s">
        <v>4556</v>
      </c>
      <c r="C2202" s="1930" t="s">
        <v>4565</v>
      </c>
      <c r="D2202" s="1930" t="s">
        <v>4566</v>
      </c>
      <c r="E2202" s="1931" t="s">
        <v>33</v>
      </c>
      <c r="F2202" s="1930" t="s">
        <v>33</v>
      </c>
      <c r="G2202" s="1932">
        <v>95579</v>
      </c>
      <c r="H2202" s="1930" t="s">
        <v>1668</v>
      </c>
      <c r="I2202" s="1930" t="s">
        <v>305</v>
      </c>
      <c r="J2202" s="1930" t="s">
        <v>320</v>
      </c>
      <c r="K2202" s="1933">
        <v>6.53</v>
      </c>
      <c r="L2202" s="1930" t="s">
        <v>138</v>
      </c>
    </row>
    <row r="2203" spans="1:12" ht="13.5" x14ac:dyDescent="0.25">
      <c r="A2203" s="1930" t="s">
        <v>4555</v>
      </c>
      <c r="B2203" s="1930" t="s">
        <v>4556</v>
      </c>
      <c r="C2203" s="1930" t="s">
        <v>4565</v>
      </c>
      <c r="D2203" s="1930" t="s">
        <v>4566</v>
      </c>
      <c r="E2203" s="1931" t="s">
        <v>33</v>
      </c>
      <c r="F2203" s="1930" t="s">
        <v>33</v>
      </c>
      <c r="G2203" s="1932">
        <v>95580</v>
      </c>
      <c r="H2203" s="1930" t="s">
        <v>1669</v>
      </c>
      <c r="I2203" s="1930" t="s">
        <v>305</v>
      </c>
      <c r="J2203" s="1930" t="s">
        <v>320</v>
      </c>
      <c r="K2203" s="1933">
        <v>7.29</v>
      </c>
      <c r="L2203" s="1930" t="s">
        <v>138</v>
      </c>
    </row>
    <row r="2204" spans="1:12" ht="13.5" x14ac:dyDescent="0.25">
      <c r="A2204" s="1930" t="s">
        <v>4555</v>
      </c>
      <c r="B2204" s="1930" t="s">
        <v>4556</v>
      </c>
      <c r="C2204" s="1930" t="s">
        <v>4565</v>
      </c>
      <c r="D2204" s="1930" t="s">
        <v>4566</v>
      </c>
      <c r="E2204" s="1931" t="s">
        <v>33</v>
      </c>
      <c r="F2204" s="1930" t="s">
        <v>33</v>
      </c>
      <c r="G2204" s="1932">
        <v>95581</v>
      </c>
      <c r="H2204" s="1930" t="s">
        <v>1670</v>
      </c>
      <c r="I2204" s="1930" t="s">
        <v>305</v>
      </c>
      <c r="J2204" s="1930" t="s">
        <v>320</v>
      </c>
      <c r="K2204" s="1933">
        <v>7.11</v>
      </c>
      <c r="L2204" s="1930" t="s">
        <v>138</v>
      </c>
    </row>
    <row r="2205" spans="1:12" ht="13.5" x14ac:dyDescent="0.25">
      <c r="A2205" s="1930" t="s">
        <v>4555</v>
      </c>
      <c r="B2205" s="1930" t="s">
        <v>4556</v>
      </c>
      <c r="C2205" s="1930" t="s">
        <v>4565</v>
      </c>
      <c r="D2205" s="1930" t="s">
        <v>4566</v>
      </c>
      <c r="E2205" s="1931" t="s">
        <v>33</v>
      </c>
      <c r="F2205" s="1930" t="s">
        <v>33</v>
      </c>
      <c r="G2205" s="1932">
        <v>95582</v>
      </c>
      <c r="H2205" s="1930" t="s">
        <v>14890</v>
      </c>
      <c r="I2205" s="1930" t="s">
        <v>305</v>
      </c>
      <c r="J2205" s="1930" t="s">
        <v>320</v>
      </c>
      <c r="K2205" s="1933">
        <v>7.61</v>
      </c>
      <c r="L2205" s="1930" t="s">
        <v>138</v>
      </c>
    </row>
    <row r="2206" spans="1:12" ht="13.5" x14ac:dyDescent="0.25">
      <c r="A2206" s="1930" t="s">
        <v>4555</v>
      </c>
      <c r="B2206" s="1930" t="s">
        <v>4556</v>
      </c>
      <c r="C2206" s="1930" t="s">
        <v>4565</v>
      </c>
      <c r="D2206" s="1930" t="s">
        <v>4566</v>
      </c>
      <c r="E2206" s="1931" t="s">
        <v>33</v>
      </c>
      <c r="F2206" s="1930" t="s">
        <v>33</v>
      </c>
      <c r="G2206" s="1932">
        <v>95583</v>
      </c>
      <c r="H2206" s="1930" t="s">
        <v>1671</v>
      </c>
      <c r="I2206" s="1930" t="s">
        <v>305</v>
      </c>
      <c r="J2206" s="1930" t="s">
        <v>320</v>
      </c>
      <c r="K2206" s="1933">
        <v>12.06</v>
      </c>
      <c r="L2206" s="1930" t="s">
        <v>138</v>
      </c>
    </row>
    <row r="2207" spans="1:12" ht="13.5" x14ac:dyDescent="0.25">
      <c r="A2207" s="1930" t="s">
        <v>4555</v>
      </c>
      <c r="B2207" s="1930" t="s">
        <v>4556</v>
      </c>
      <c r="C2207" s="1930" t="s">
        <v>4565</v>
      </c>
      <c r="D2207" s="1930" t="s">
        <v>4566</v>
      </c>
      <c r="E2207" s="1931" t="s">
        <v>33</v>
      </c>
      <c r="F2207" s="1930" t="s">
        <v>33</v>
      </c>
      <c r="G2207" s="1932">
        <v>95584</v>
      </c>
      <c r="H2207" s="1930" t="s">
        <v>1672</v>
      </c>
      <c r="I2207" s="1930" t="s">
        <v>305</v>
      </c>
      <c r="J2207" s="1930" t="s">
        <v>320</v>
      </c>
      <c r="K2207" s="1933">
        <v>10.220000000000001</v>
      </c>
      <c r="L2207" s="1930" t="s">
        <v>138</v>
      </c>
    </row>
    <row r="2208" spans="1:12" ht="13.5" x14ac:dyDescent="0.25">
      <c r="A2208" s="1930" t="s">
        <v>4555</v>
      </c>
      <c r="B2208" s="1930" t="s">
        <v>4556</v>
      </c>
      <c r="C2208" s="1930" t="s">
        <v>4565</v>
      </c>
      <c r="D2208" s="1930" t="s">
        <v>4566</v>
      </c>
      <c r="E2208" s="1931" t="s">
        <v>33</v>
      </c>
      <c r="F2208" s="1930" t="s">
        <v>33</v>
      </c>
      <c r="G2208" s="1932">
        <v>95585</v>
      </c>
      <c r="H2208" s="1930" t="s">
        <v>5026</v>
      </c>
      <c r="I2208" s="1930" t="s">
        <v>305</v>
      </c>
      <c r="J2208" s="1930" t="s">
        <v>320</v>
      </c>
      <c r="K2208" s="1933">
        <v>9.4499999999999993</v>
      </c>
      <c r="L2208" s="1930" t="s">
        <v>138</v>
      </c>
    </row>
    <row r="2209" spans="1:12" ht="13.5" x14ac:dyDescent="0.25">
      <c r="A2209" s="1930" t="s">
        <v>4555</v>
      </c>
      <c r="B2209" s="1930" t="s">
        <v>4556</v>
      </c>
      <c r="C2209" s="1930" t="s">
        <v>4565</v>
      </c>
      <c r="D2209" s="1930" t="s">
        <v>4566</v>
      </c>
      <c r="E2209" s="1931" t="s">
        <v>33</v>
      </c>
      <c r="F2209" s="1930" t="s">
        <v>33</v>
      </c>
      <c r="G2209" s="1932">
        <v>95586</v>
      </c>
      <c r="H2209" s="1930" t="s">
        <v>1673</v>
      </c>
      <c r="I2209" s="1930" t="s">
        <v>305</v>
      </c>
      <c r="J2209" s="1930" t="s">
        <v>320</v>
      </c>
      <c r="K2209" s="1933">
        <v>8.41</v>
      </c>
      <c r="L2209" s="1930" t="s">
        <v>138</v>
      </c>
    </row>
    <row r="2210" spans="1:12" ht="13.5" x14ac:dyDescent="0.25">
      <c r="A2210" s="1930" t="s">
        <v>4555</v>
      </c>
      <c r="B2210" s="1930" t="s">
        <v>4556</v>
      </c>
      <c r="C2210" s="1930" t="s">
        <v>4565</v>
      </c>
      <c r="D2210" s="1930" t="s">
        <v>4566</v>
      </c>
      <c r="E2210" s="1931" t="s">
        <v>33</v>
      </c>
      <c r="F2210" s="1930" t="s">
        <v>33</v>
      </c>
      <c r="G2210" s="1932">
        <v>95587</v>
      </c>
      <c r="H2210" s="1930" t="s">
        <v>5027</v>
      </c>
      <c r="I2210" s="1930" t="s">
        <v>305</v>
      </c>
      <c r="J2210" s="1930" t="s">
        <v>320</v>
      </c>
      <c r="K2210" s="1933">
        <v>7.14</v>
      </c>
      <c r="L2210" s="1930" t="s">
        <v>138</v>
      </c>
    </row>
    <row r="2211" spans="1:12" ht="13.5" x14ac:dyDescent="0.25">
      <c r="A2211" s="1930" t="s">
        <v>4555</v>
      </c>
      <c r="B2211" s="1930" t="s">
        <v>4556</v>
      </c>
      <c r="C2211" s="1930" t="s">
        <v>4565</v>
      </c>
      <c r="D2211" s="1930" t="s">
        <v>4566</v>
      </c>
      <c r="E2211" s="1931" t="s">
        <v>33</v>
      </c>
      <c r="F2211" s="1930" t="s">
        <v>33</v>
      </c>
      <c r="G2211" s="1932">
        <v>95588</v>
      </c>
      <c r="H2211" s="1930" t="s">
        <v>1674</v>
      </c>
      <c r="I2211" s="1930" t="s">
        <v>305</v>
      </c>
      <c r="J2211" s="1930" t="s">
        <v>320</v>
      </c>
      <c r="K2211" s="1933">
        <v>6.73</v>
      </c>
      <c r="L2211" s="1930" t="s">
        <v>138</v>
      </c>
    </row>
    <row r="2212" spans="1:12" ht="13.5" x14ac:dyDescent="0.25">
      <c r="A2212" s="1930" t="s">
        <v>4555</v>
      </c>
      <c r="B2212" s="1930" t="s">
        <v>4556</v>
      </c>
      <c r="C2212" s="1930" t="s">
        <v>4565</v>
      </c>
      <c r="D2212" s="1930" t="s">
        <v>4566</v>
      </c>
      <c r="E2212" s="1931" t="s">
        <v>33</v>
      </c>
      <c r="F2212" s="1930" t="s">
        <v>33</v>
      </c>
      <c r="G2212" s="1932">
        <v>95589</v>
      </c>
      <c r="H2212" s="1930" t="s">
        <v>1675</v>
      </c>
      <c r="I2212" s="1930" t="s">
        <v>305</v>
      </c>
      <c r="J2212" s="1930" t="s">
        <v>320</v>
      </c>
      <c r="K2212" s="1933">
        <v>7.44</v>
      </c>
      <c r="L2212" s="1930" t="s">
        <v>138</v>
      </c>
    </row>
    <row r="2213" spans="1:12" ht="13.5" x14ac:dyDescent="0.25">
      <c r="A2213" s="1930" t="s">
        <v>4555</v>
      </c>
      <c r="B2213" s="1930" t="s">
        <v>4556</v>
      </c>
      <c r="C2213" s="1930" t="s">
        <v>4565</v>
      </c>
      <c r="D2213" s="1930" t="s">
        <v>4566</v>
      </c>
      <c r="E2213" s="1931" t="s">
        <v>33</v>
      </c>
      <c r="F2213" s="1930" t="s">
        <v>33</v>
      </c>
      <c r="G2213" s="1932">
        <v>95590</v>
      </c>
      <c r="H2213" s="1930" t="s">
        <v>1676</v>
      </c>
      <c r="I2213" s="1930" t="s">
        <v>305</v>
      </c>
      <c r="J2213" s="1930" t="s">
        <v>320</v>
      </c>
      <c r="K2213" s="1933">
        <v>7.25</v>
      </c>
      <c r="L2213" s="1930" t="s">
        <v>138</v>
      </c>
    </row>
    <row r="2214" spans="1:12" ht="13.5" x14ac:dyDescent="0.25">
      <c r="A2214" s="1930" t="s">
        <v>4555</v>
      </c>
      <c r="B2214" s="1930" t="s">
        <v>4556</v>
      </c>
      <c r="C2214" s="1930" t="s">
        <v>4565</v>
      </c>
      <c r="D2214" s="1930" t="s">
        <v>4566</v>
      </c>
      <c r="E2214" s="1931" t="s">
        <v>33</v>
      </c>
      <c r="F2214" s="1930" t="s">
        <v>33</v>
      </c>
      <c r="G2214" s="1932">
        <v>95591</v>
      </c>
      <c r="H2214" s="1930" t="s">
        <v>14891</v>
      </c>
      <c r="I2214" s="1930" t="s">
        <v>305</v>
      </c>
      <c r="J2214" s="1930" t="s">
        <v>320</v>
      </c>
      <c r="K2214" s="1933">
        <v>7.69</v>
      </c>
      <c r="L2214" s="1930" t="s">
        <v>138</v>
      </c>
    </row>
    <row r="2215" spans="1:12" ht="13.5" x14ac:dyDescent="0.25">
      <c r="A2215" s="1930" t="s">
        <v>4555</v>
      </c>
      <c r="B2215" s="1930" t="s">
        <v>4556</v>
      </c>
      <c r="C2215" s="1930" t="s">
        <v>4565</v>
      </c>
      <c r="D2215" s="1930" t="s">
        <v>4566</v>
      </c>
      <c r="E2215" s="1931" t="s">
        <v>33</v>
      </c>
      <c r="F2215" s="1930" t="s">
        <v>33</v>
      </c>
      <c r="G2215" s="1932">
        <v>95592</v>
      </c>
      <c r="H2215" s="1930" t="s">
        <v>1677</v>
      </c>
      <c r="I2215" s="1930" t="s">
        <v>305</v>
      </c>
      <c r="J2215" s="1930" t="s">
        <v>320</v>
      </c>
      <c r="K2215" s="1933">
        <v>14.79</v>
      </c>
      <c r="L2215" s="1930" t="s">
        <v>138</v>
      </c>
    </row>
    <row r="2216" spans="1:12" ht="13.5" x14ac:dyDescent="0.25">
      <c r="A2216" s="1930" t="s">
        <v>4555</v>
      </c>
      <c r="B2216" s="1930" t="s">
        <v>4556</v>
      </c>
      <c r="C2216" s="1930" t="s">
        <v>4565</v>
      </c>
      <c r="D2216" s="1930" t="s">
        <v>4566</v>
      </c>
      <c r="E2216" s="1931" t="s">
        <v>33</v>
      </c>
      <c r="F2216" s="1930" t="s">
        <v>33</v>
      </c>
      <c r="G2216" s="1932">
        <v>95593</v>
      </c>
      <c r="H2216" s="1930" t="s">
        <v>1678</v>
      </c>
      <c r="I2216" s="1930" t="s">
        <v>305</v>
      </c>
      <c r="J2216" s="1930" t="s">
        <v>320</v>
      </c>
      <c r="K2216" s="1933">
        <v>11.88</v>
      </c>
      <c r="L2216" s="1930" t="s">
        <v>138</v>
      </c>
    </row>
    <row r="2217" spans="1:12" ht="13.5" x14ac:dyDescent="0.25">
      <c r="A2217" s="1930" t="s">
        <v>4555</v>
      </c>
      <c r="B2217" s="1930" t="s">
        <v>4556</v>
      </c>
      <c r="C2217" s="1930" t="s">
        <v>4565</v>
      </c>
      <c r="D2217" s="1930" t="s">
        <v>4566</v>
      </c>
      <c r="E2217" s="1931" t="s">
        <v>33</v>
      </c>
      <c r="F2217" s="1930" t="s">
        <v>33</v>
      </c>
      <c r="G2217" s="1932">
        <v>95943</v>
      </c>
      <c r="H2217" s="1930" t="s">
        <v>1679</v>
      </c>
      <c r="I2217" s="1930" t="s">
        <v>305</v>
      </c>
      <c r="J2217" s="1930" t="s">
        <v>137</v>
      </c>
      <c r="K2217" s="1933">
        <v>15.51</v>
      </c>
      <c r="L2217" s="1930" t="s">
        <v>138</v>
      </c>
    </row>
    <row r="2218" spans="1:12" ht="13.5" x14ac:dyDescent="0.25">
      <c r="A2218" s="1930" t="s">
        <v>4555</v>
      </c>
      <c r="B2218" s="1930" t="s">
        <v>4556</v>
      </c>
      <c r="C2218" s="1930" t="s">
        <v>4565</v>
      </c>
      <c r="D2218" s="1930" t="s">
        <v>4566</v>
      </c>
      <c r="E2218" s="1931" t="s">
        <v>33</v>
      </c>
      <c r="F2218" s="1930" t="s">
        <v>33</v>
      </c>
      <c r="G2218" s="1932">
        <v>95944</v>
      </c>
      <c r="H2218" s="1930" t="s">
        <v>1680</v>
      </c>
      <c r="I2218" s="1930" t="s">
        <v>305</v>
      </c>
      <c r="J2218" s="1930" t="s">
        <v>137</v>
      </c>
      <c r="K2218" s="1933">
        <v>13.94</v>
      </c>
      <c r="L2218" s="1930" t="s">
        <v>138</v>
      </c>
    </row>
    <row r="2219" spans="1:12" ht="13.5" x14ac:dyDescent="0.25">
      <c r="A2219" s="1930" t="s">
        <v>4555</v>
      </c>
      <c r="B2219" s="1930" t="s">
        <v>4556</v>
      </c>
      <c r="C2219" s="1930" t="s">
        <v>4565</v>
      </c>
      <c r="D2219" s="1930" t="s">
        <v>4566</v>
      </c>
      <c r="E2219" s="1931" t="s">
        <v>33</v>
      </c>
      <c r="F2219" s="1930" t="s">
        <v>33</v>
      </c>
      <c r="G2219" s="1932">
        <v>95945</v>
      </c>
      <c r="H2219" s="1930" t="s">
        <v>1681</v>
      </c>
      <c r="I2219" s="1930" t="s">
        <v>305</v>
      </c>
      <c r="J2219" s="1930" t="s">
        <v>137</v>
      </c>
      <c r="K2219" s="1933">
        <v>11.11</v>
      </c>
      <c r="L2219" s="1930" t="s">
        <v>138</v>
      </c>
    </row>
    <row r="2220" spans="1:12" ht="13.5" x14ac:dyDescent="0.25">
      <c r="A2220" s="1930" t="s">
        <v>4555</v>
      </c>
      <c r="B2220" s="1930" t="s">
        <v>4556</v>
      </c>
      <c r="C2220" s="1930" t="s">
        <v>4565</v>
      </c>
      <c r="D2220" s="1930" t="s">
        <v>4566</v>
      </c>
      <c r="E2220" s="1931" t="s">
        <v>33</v>
      </c>
      <c r="F2220" s="1930" t="s">
        <v>33</v>
      </c>
      <c r="G2220" s="1932">
        <v>95946</v>
      </c>
      <c r="H2220" s="1930" t="s">
        <v>1682</v>
      </c>
      <c r="I2220" s="1930" t="s">
        <v>305</v>
      </c>
      <c r="J2220" s="1930" t="s">
        <v>137</v>
      </c>
      <c r="K2220" s="1933">
        <v>8.7200000000000006</v>
      </c>
      <c r="L2220" s="1930" t="s">
        <v>138</v>
      </c>
    </row>
    <row r="2221" spans="1:12" ht="13.5" x14ac:dyDescent="0.25">
      <c r="A2221" s="1930" t="s">
        <v>4555</v>
      </c>
      <c r="B2221" s="1930" t="s">
        <v>4556</v>
      </c>
      <c r="C2221" s="1930" t="s">
        <v>4565</v>
      </c>
      <c r="D2221" s="1930" t="s">
        <v>4566</v>
      </c>
      <c r="E2221" s="1931" t="s">
        <v>33</v>
      </c>
      <c r="F2221" s="1930" t="s">
        <v>33</v>
      </c>
      <c r="G2221" s="1932">
        <v>95947</v>
      </c>
      <c r="H2221" s="1930" t="s">
        <v>1683</v>
      </c>
      <c r="I2221" s="1930" t="s">
        <v>305</v>
      </c>
      <c r="J2221" s="1930" t="s">
        <v>137</v>
      </c>
      <c r="K2221" s="1933">
        <v>6.65</v>
      </c>
      <c r="L2221" s="1930" t="s">
        <v>138</v>
      </c>
    </row>
    <row r="2222" spans="1:12" ht="13.5" x14ac:dyDescent="0.25">
      <c r="A2222" s="1930" t="s">
        <v>4555</v>
      </c>
      <c r="B2222" s="1930" t="s">
        <v>4556</v>
      </c>
      <c r="C2222" s="1930" t="s">
        <v>4565</v>
      </c>
      <c r="D2222" s="1930" t="s">
        <v>4566</v>
      </c>
      <c r="E2222" s="1931" t="s">
        <v>33</v>
      </c>
      <c r="F2222" s="1930" t="s">
        <v>33</v>
      </c>
      <c r="G2222" s="1932">
        <v>95948</v>
      </c>
      <c r="H2222" s="1930" t="s">
        <v>1684</v>
      </c>
      <c r="I2222" s="1930" t="s">
        <v>305</v>
      </c>
      <c r="J2222" s="1930" t="s">
        <v>137</v>
      </c>
      <c r="K2222" s="1933">
        <v>5.78</v>
      </c>
      <c r="L2222" s="1930" t="s">
        <v>138</v>
      </c>
    </row>
    <row r="2223" spans="1:12" ht="13.5" x14ac:dyDescent="0.25">
      <c r="A2223" s="1930" t="s">
        <v>4555</v>
      </c>
      <c r="B2223" s="1930" t="s">
        <v>4556</v>
      </c>
      <c r="C2223" s="1930" t="s">
        <v>4565</v>
      </c>
      <c r="D2223" s="1930" t="s">
        <v>4566</v>
      </c>
      <c r="E2223" s="1931" t="s">
        <v>33</v>
      </c>
      <c r="F2223" s="1930" t="s">
        <v>33</v>
      </c>
      <c r="G2223" s="1932">
        <v>96544</v>
      </c>
      <c r="H2223" s="1930" t="s">
        <v>1685</v>
      </c>
      <c r="I2223" s="1930" t="s">
        <v>305</v>
      </c>
      <c r="J2223" s="1930" t="s">
        <v>137</v>
      </c>
      <c r="K2223" s="1933">
        <v>11.35</v>
      </c>
      <c r="L2223" s="1930" t="s">
        <v>138</v>
      </c>
    </row>
    <row r="2224" spans="1:12" ht="13.5" x14ac:dyDescent="0.25">
      <c r="A2224" s="1930" t="s">
        <v>4555</v>
      </c>
      <c r="B2224" s="1930" t="s">
        <v>4556</v>
      </c>
      <c r="C2224" s="1930" t="s">
        <v>4565</v>
      </c>
      <c r="D2224" s="1930" t="s">
        <v>4566</v>
      </c>
      <c r="E2224" s="1931" t="s">
        <v>33</v>
      </c>
      <c r="F2224" s="1930" t="s">
        <v>33</v>
      </c>
      <c r="G2224" s="1932">
        <v>96545</v>
      </c>
      <c r="H2224" s="1930" t="s">
        <v>1686</v>
      </c>
      <c r="I2224" s="1930" t="s">
        <v>305</v>
      </c>
      <c r="J2224" s="1930" t="s">
        <v>137</v>
      </c>
      <c r="K2224" s="1933">
        <v>10.210000000000001</v>
      </c>
      <c r="L2224" s="1930" t="s">
        <v>138</v>
      </c>
    </row>
    <row r="2225" spans="1:12" ht="13.5" x14ac:dyDescent="0.25">
      <c r="A2225" s="1930" t="s">
        <v>4555</v>
      </c>
      <c r="B2225" s="1930" t="s">
        <v>4556</v>
      </c>
      <c r="C2225" s="1930" t="s">
        <v>4565</v>
      </c>
      <c r="D2225" s="1930" t="s">
        <v>4566</v>
      </c>
      <c r="E2225" s="1931" t="s">
        <v>33</v>
      </c>
      <c r="F2225" s="1930" t="s">
        <v>33</v>
      </c>
      <c r="G2225" s="1932">
        <v>96546</v>
      </c>
      <c r="H2225" s="1930" t="s">
        <v>1687</v>
      </c>
      <c r="I2225" s="1930" t="s">
        <v>305</v>
      </c>
      <c r="J2225" s="1930" t="s">
        <v>137</v>
      </c>
      <c r="K2225" s="1933">
        <v>8.94</v>
      </c>
      <c r="L2225" s="1930" t="s">
        <v>138</v>
      </c>
    </row>
    <row r="2226" spans="1:12" ht="13.5" x14ac:dyDescent="0.25">
      <c r="A2226" s="1930" t="s">
        <v>4555</v>
      </c>
      <c r="B2226" s="1930" t="s">
        <v>4556</v>
      </c>
      <c r="C2226" s="1930" t="s">
        <v>4565</v>
      </c>
      <c r="D2226" s="1930" t="s">
        <v>4566</v>
      </c>
      <c r="E2226" s="1931" t="s">
        <v>33</v>
      </c>
      <c r="F2226" s="1930" t="s">
        <v>33</v>
      </c>
      <c r="G2226" s="1932">
        <v>96547</v>
      </c>
      <c r="H2226" s="1930" t="s">
        <v>1688</v>
      </c>
      <c r="I2226" s="1930" t="s">
        <v>305</v>
      </c>
      <c r="J2226" s="1930" t="s">
        <v>137</v>
      </c>
      <c r="K2226" s="1933">
        <v>7.45</v>
      </c>
      <c r="L2226" s="1930" t="s">
        <v>138</v>
      </c>
    </row>
    <row r="2227" spans="1:12" ht="13.5" x14ac:dyDescent="0.25">
      <c r="A2227" s="1930" t="s">
        <v>4555</v>
      </c>
      <c r="B2227" s="1930" t="s">
        <v>4556</v>
      </c>
      <c r="C2227" s="1930" t="s">
        <v>4565</v>
      </c>
      <c r="D2227" s="1930" t="s">
        <v>4566</v>
      </c>
      <c r="E2227" s="1931" t="s">
        <v>33</v>
      </c>
      <c r="F2227" s="1930" t="s">
        <v>33</v>
      </c>
      <c r="G2227" s="1932">
        <v>96548</v>
      </c>
      <c r="H2227" s="1930" t="s">
        <v>1689</v>
      </c>
      <c r="I2227" s="1930" t="s">
        <v>305</v>
      </c>
      <c r="J2227" s="1930" t="s">
        <v>137</v>
      </c>
      <c r="K2227" s="1933">
        <v>6.9</v>
      </c>
      <c r="L2227" s="1930" t="s">
        <v>138</v>
      </c>
    </row>
    <row r="2228" spans="1:12" ht="13.5" x14ac:dyDescent="0.25">
      <c r="A2228" s="1930" t="s">
        <v>4555</v>
      </c>
      <c r="B2228" s="1930" t="s">
        <v>4556</v>
      </c>
      <c r="C2228" s="1930" t="s">
        <v>4565</v>
      </c>
      <c r="D2228" s="1930" t="s">
        <v>4566</v>
      </c>
      <c r="E2228" s="1931" t="s">
        <v>33</v>
      </c>
      <c r="F2228" s="1930" t="s">
        <v>33</v>
      </c>
      <c r="G2228" s="1932">
        <v>96549</v>
      </c>
      <c r="H2228" s="1930" t="s">
        <v>1690</v>
      </c>
      <c r="I2228" s="1930" t="s">
        <v>305</v>
      </c>
      <c r="J2228" s="1930" t="s">
        <v>137</v>
      </c>
      <c r="K2228" s="1933">
        <v>7.49</v>
      </c>
      <c r="L2228" s="1930" t="s">
        <v>138</v>
      </c>
    </row>
    <row r="2229" spans="1:12" ht="13.5" x14ac:dyDescent="0.25">
      <c r="A2229" s="1930" t="s">
        <v>4555</v>
      </c>
      <c r="B2229" s="1930" t="s">
        <v>4556</v>
      </c>
      <c r="C2229" s="1930" t="s">
        <v>4565</v>
      </c>
      <c r="D2229" s="1930" t="s">
        <v>4566</v>
      </c>
      <c r="E2229" s="1931" t="s">
        <v>33</v>
      </c>
      <c r="F2229" s="1930" t="s">
        <v>33</v>
      </c>
      <c r="G2229" s="1932">
        <v>96550</v>
      </c>
      <c r="H2229" s="1930" t="s">
        <v>1691</v>
      </c>
      <c r="I2229" s="1930" t="s">
        <v>305</v>
      </c>
      <c r="J2229" s="1930" t="s">
        <v>137</v>
      </c>
      <c r="K2229" s="1933">
        <v>7.21</v>
      </c>
      <c r="L2229" s="1930" t="s">
        <v>138</v>
      </c>
    </row>
    <row r="2230" spans="1:12" ht="13.5" x14ac:dyDescent="0.25">
      <c r="A2230" s="1930" t="s">
        <v>4555</v>
      </c>
      <c r="B2230" s="1930" t="s">
        <v>4556</v>
      </c>
      <c r="C2230" s="1930" t="s">
        <v>4565</v>
      </c>
      <c r="D2230" s="1930" t="s">
        <v>4566</v>
      </c>
      <c r="E2230" s="1931" t="s">
        <v>33</v>
      </c>
      <c r="F2230" s="1930" t="s">
        <v>33</v>
      </c>
      <c r="G2230" s="1932">
        <v>100066</v>
      </c>
      <c r="H2230" s="1930" t="s">
        <v>8069</v>
      </c>
      <c r="I2230" s="1930" t="s">
        <v>305</v>
      </c>
      <c r="J2230" s="1930" t="s">
        <v>137</v>
      </c>
      <c r="K2230" s="1933">
        <v>7.3</v>
      </c>
      <c r="L2230" s="1930" t="s">
        <v>138</v>
      </c>
    </row>
    <row r="2231" spans="1:12" ht="13.5" x14ac:dyDescent="0.25">
      <c r="A2231" s="1930" t="s">
        <v>4555</v>
      </c>
      <c r="B2231" s="1930" t="s">
        <v>4556</v>
      </c>
      <c r="C2231" s="1930" t="s">
        <v>4565</v>
      </c>
      <c r="D2231" s="1930" t="s">
        <v>4566</v>
      </c>
      <c r="E2231" s="1931" t="s">
        <v>33</v>
      </c>
      <c r="F2231" s="1930" t="s">
        <v>33</v>
      </c>
      <c r="G2231" s="1932">
        <v>100067</v>
      </c>
      <c r="H2231" s="1930" t="s">
        <v>8070</v>
      </c>
      <c r="I2231" s="1930" t="s">
        <v>305</v>
      </c>
      <c r="J2231" s="1930" t="s">
        <v>320</v>
      </c>
      <c r="K2231" s="1933">
        <v>8.2899999999999991</v>
      </c>
      <c r="L2231" s="1930" t="s">
        <v>138</v>
      </c>
    </row>
    <row r="2232" spans="1:12" ht="13.5" x14ac:dyDescent="0.25">
      <c r="A2232" s="1930" t="s">
        <v>4555</v>
      </c>
      <c r="B2232" s="1930" t="s">
        <v>4556</v>
      </c>
      <c r="C2232" s="1930" t="s">
        <v>4565</v>
      </c>
      <c r="D2232" s="1930" t="s">
        <v>4566</v>
      </c>
      <c r="E2232" s="1931" t="s">
        <v>33</v>
      </c>
      <c r="F2232" s="1930" t="s">
        <v>33</v>
      </c>
      <c r="G2232" s="1932">
        <v>100068</v>
      </c>
      <c r="H2232" s="1930" t="s">
        <v>8071</v>
      </c>
      <c r="I2232" s="1930" t="s">
        <v>305</v>
      </c>
      <c r="J2232" s="1930" t="s">
        <v>320</v>
      </c>
      <c r="K2232" s="1933">
        <v>6.24</v>
      </c>
      <c r="L2232" s="1930" t="s">
        <v>138</v>
      </c>
    </row>
    <row r="2233" spans="1:12" ht="13.5" x14ac:dyDescent="0.25">
      <c r="A2233" s="1930" t="s">
        <v>4555</v>
      </c>
      <c r="B2233" s="1930" t="s">
        <v>4556</v>
      </c>
      <c r="C2233" s="1930" t="s">
        <v>4567</v>
      </c>
      <c r="D2233" s="1930" t="s">
        <v>4568</v>
      </c>
      <c r="E2233" s="1931" t="s">
        <v>33</v>
      </c>
      <c r="F2233" s="1930" t="s">
        <v>33</v>
      </c>
      <c r="G2233" s="1932">
        <v>89993</v>
      </c>
      <c r="H2233" s="1930" t="s">
        <v>1692</v>
      </c>
      <c r="I2233" s="1930" t="s">
        <v>1208</v>
      </c>
      <c r="J2233" s="1930" t="s">
        <v>320</v>
      </c>
      <c r="K2233" s="1933">
        <v>634.46</v>
      </c>
      <c r="L2233" s="1930" t="s">
        <v>138</v>
      </c>
    </row>
    <row r="2234" spans="1:12" ht="13.5" x14ac:dyDescent="0.25">
      <c r="A2234" s="1930" t="s">
        <v>4555</v>
      </c>
      <c r="B2234" s="1930" t="s">
        <v>4556</v>
      </c>
      <c r="C2234" s="1930" t="s">
        <v>4567</v>
      </c>
      <c r="D2234" s="1930" t="s">
        <v>4568</v>
      </c>
      <c r="E2234" s="1931" t="s">
        <v>33</v>
      </c>
      <c r="F2234" s="1930" t="s">
        <v>33</v>
      </c>
      <c r="G2234" s="1932">
        <v>89994</v>
      </c>
      <c r="H2234" s="1930" t="s">
        <v>1693</v>
      </c>
      <c r="I2234" s="1930" t="s">
        <v>1208</v>
      </c>
      <c r="J2234" s="1930" t="s">
        <v>320</v>
      </c>
      <c r="K2234" s="1933">
        <v>530.65</v>
      </c>
      <c r="L2234" s="1930" t="s">
        <v>138</v>
      </c>
    </row>
    <row r="2235" spans="1:12" ht="13.5" x14ac:dyDescent="0.25">
      <c r="A2235" s="1930" t="s">
        <v>4555</v>
      </c>
      <c r="B2235" s="1930" t="s">
        <v>4556</v>
      </c>
      <c r="C2235" s="1930" t="s">
        <v>4567</v>
      </c>
      <c r="D2235" s="1930" t="s">
        <v>4568</v>
      </c>
      <c r="E2235" s="1931" t="s">
        <v>33</v>
      </c>
      <c r="F2235" s="1930" t="s">
        <v>33</v>
      </c>
      <c r="G2235" s="1932">
        <v>89995</v>
      </c>
      <c r="H2235" s="1930" t="s">
        <v>1694</v>
      </c>
      <c r="I2235" s="1930" t="s">
        <v>1208</v>
      </c>
      <c r="J2235" s="1930" t="s">
        <v>320</v>
      </c>
      <c r="K2235" s="1933">
        <v>607.91</v>
      </c>
      <c r="L2235" s="1930" t="s">
        <v>138</v>
      </c>
    </row>
    <row r="2236" spans="1:12" ht="13.5" x14ac:dyDescent="0.25">
      <c r="A2236" s="1930" t="s">
        <v>4555</v>
      </c>
      <c r="B2236" s="1930" t="s">
        <v>4556</v>
      </c>
      <c r="C2236" s="1930" t="s">
        <v>4567</v>
      </c>
      <c r="D2236" s="1930" t="s">
        <v>4568</v>
      </c>
      <c r="E2236" s="1931" t="s">
        <v>33</v>
      </c>
      <c r="F2236" s="1930" t="s">
        <v>33</v>
      </c>
      <c r="G2236" s="1932">
        <v>90278</v>
      </c>
      <c r="H2236" s="1930" t="s">
        <v>1695</v>
      </c>
      <c r="I2236" s="1930" t="s">
        <v>1208</v>
      </c>
      <c r="J2236" s="1930" t="s">
        <v>320</v>
      </c>
      <c r="K2236" s="1933">
        <v>309.14</v>
      </c>
      <c r="L2236" s="1930" t="s">
        <v>138</v>
      </c>
    </row>
    <row r="2237" spans="1:12" ht="13.5" x14ac:dyDescent="0.25">
      <c r="A2237" s="1930" t="s">
        <v>4555</v>
      </c>
      <c r="B2237" s="1930" t="s">
        <v>4556</v>
      </c>
      <c r="C2237" s="1930" t="s">
        <v>4567</v>
      </c>
      <c r="D2237" s="1930" t="s">
        <v>4568</v>
      </c>
      <c r="E2237" s="1931" t="s">
        <v>33</v>
      </c>
      <c r="F2237" s="1930" t="s">
        <v>33</v>
      </c>
      <c r="G2237" s="1932">
        <v>90279</v>
      </c>
      <c r="H2237" s="1930" t="s">
        <v>1696</v>
      </c>
      <c r="I2237" s="1930" t="s">
        <v>1208</v>
      </c>
      <c r="J2237" s="1930" t="s">
        <v>320</v>
      </c>
      <c r="K2237" s="1933">
        <v>319.92</v>
      </c>
      <c r="L2237" s="1930" t="s">
        <v>138</v>
      </c>
    </row>
    <row r="2238" spans="1:12" ht="13.5" x14ac:dyDescent="0.25">
      <c r="A2238" s="1930" t="s">
        <v>4555</v>
      </c>
      <c r="B2238" s="1930" t="s">
        <v>4556</v>
      </c>
      <c r="C2238" s="1930" t="s">
        <v>4567</v>
      </c>
      <c r="D2238" s="1930" t="s">
        <v>4568</v>
      </c>
      <c r="E2238" s="1931" t="s">
        <v>33</v>
      </c>
      <c r="F2238" s="1930" t="s">
        <v>33</v>
      </c>
      <c r="G2238" s="1932">
        <v>90280</v>
      </c>
      <c r="H2238" s="1930" t="s">
        <v>1697</v>
      </c>
      <c r="I2238" s="1930" t="s">
        <v>1208</v>
      </c>
      <c r="J2238" s="1930" t="s">
        <v>320</v>
      </c>
      <c r="K2238" s="1933">
        <v>344.46</v>
      </c>
      <c r="L2238" s="1930" t="s">
        <v>138</v>
      </c>
    </row>
    <row r="2239" spans="1:12" ht="13.5" x14ac:dyDescent="0.25">
      <c r="A2239" s="1930" t="s">
        <v>4555</v>
      </c>
      <c r="B2239" s="1930" t="s">
        <v>4556</v>
      </c>
      <c r="C2239" s="1930" t="s">
        <v>4567</v>
      </c>
      <c r="D2239" s="1930" t="s">
        <v>4568</v>
      </c>
      <c r="E2239" s="1931" t="s">
        <v>33</v>
      </c>
      <c r="F2239" s="1930" t="s">
        <v>33</v>
      </c>
      <c r="G2239" s="1932">
        <v>90281</v>
      </c>
      <c r="H2239" s="1930" t="s">
        <v>1698</v>
      </c>
      <c r="I2239" s="1930" t="s">
        <v>1208</v>
      </c>
      <c r="J2239" s="1930" t="s">
        <v>320</v>
      </c>
      <c r="K2239" s="1933">
        <v>377.2</v>
      </c>
      <c r="L2239" s="1930" t="s">
        <v>138</v>
      </c>
    </row>
    <row r="2240" spans="1:12" ht="13.5" x14ac:dyDescent="0.25">
      <c r="A2240" s="1930" t="s">
        <v>4555</v>
      </c>
      <c r="B2240" s="1930" t="s">
        <v>4556</v>
      </c>
      <c r="C2240" s="1930" t="s">
        <v>4567</v>
      </c>
      <c r="D2240" s="1930" t="s">
        <v>4568</v>
      </c>
      <c r="E2240" s="1931" t="s">
        <v>33</v>
      </c>
      <c r="F2240" s="1930" t="s">
        <v>33</v>
      </c>
      <c r="G2240" s="1932">
        <v>90282</v>
      </c>
      <c r="H2240" s="1930" t="s">
        <v>1699</v>
      </c>
      <c r="I2240" s="1930" t="s">
        <v>1208</v>
      </c>
      <c r="J2240" s="1930" t="s">
        <v>320</v>
      </c>
      <c r="K2240" s="1933">
        <v>311.45999999999998</v>
      </c>
      <c r="L2240" s="1930" t="s">
        <v>138</v>
      </c>
    </row>
    <row r="2241" spans="1:12" ht="13.5" x14ac:dyDescent="0.25">
      <c r="A2241" s="1930" t="s">
        <v>4555</v>
      </c>
      <c r="B2241" s="1930" t="s">
        <v>4556</v>
      </c>
      <c r="C2241" s="1930" t="s">
        <v>4567</v>
      </c>
      <c r="D2241" s="1930" t="s">
        <v>4568</v>
      </c>
      <c r="E2241" s="1931" t="s">
        <v>33</v>
      </c>
      <c r="F2241" s="1930" t="s">
        <v>33</v>
      </c>
      <c r="G2241" s="1932">
        <v>90283</v>
      </c>
      <c r="H2241" s="1930" t="s">
        <v>1700</v>
      </c>
      <c r="I2241" s="1930" t="s">
        <v>1208</v>
      </c>
      <c r="J2241" s="1930" t="s">
        <v>320</v>
      </c>
      <c r="K2241" s="1933">
        <v>323.51</v>
      </c>
      <c r="L2241" s="1930" t="s">
        <v>138</v>
      </c>
    </row>
    <row r="2242" spans="1:12" ht="13.5" x14ac:dyDescent="0.25">
      <c r="A2242" s="1930" t="s">
        <v>4555</v>
      </c>
      <c r="B2242" s="1930" t="s">
        <v>4556</v>
      </c>
      <c r="C2242" s="1930" t="s">
        <v>4567</v>
      </c>
      <c r="D2242" s="1930" t="s">
        <v>4568</v>
      </c>
      <c r="E2242" s="1931" t="s">
        <v>33</v>
      </c>
      <c r="F2242" s="1930" t="s">
        <v>33</v>
      </c>
      <c r="G2242" s="1932">
        <v>90284</v>
      </c>
      <c r="H2242" s="1930" t="s">
        <v>1701</v>
      </c>
      <c r="I2242" s="1930" t="s">
        <v>1208</v>
      </c>
      <c r="J2242" s="1930" t="s">
        <v>320</v>
      </c>
      <c r="K2242" s="1933">
        <v>348.6</v>
      </c>
      <c r="L2242" s="1930" t="s">
        <v>138</v>
      </c>
    </row>
    <row r="2243" spans="1:12" ht="13.5" x14ac:dyDescent="0.25">
      <c r="A2243" s="1930" t="s">
        <v>4555</v>
      </c>
      <c r="B2243" s="1930" t="s">
        <v>4556</v>
      </c>
      <c r="C2243" s="1930" t="s">
        <v>4567</v>
      </c>
      <c r="D2243" s="1930" t="s">
        <v>4568</v>
      </c>
      <c r="E2243" s="1931" t="s">
        <v>33</v>
      </c>
      <c r="F2243" s="1930" t="s">
        <v>33</v>
      </c>
      <c r="G2243" s="1932">
        <v>90285</v>
      </c>
      <c r="H2243" s="1930" t="s">
        <v>1702</v>
      </c>
      <c r="I2243" s="1930" t="s">
        <v>1208</v>
      </c>
      <c r="J2243" s="1930" t="s">
        <v>320</v>
      </c>
      <c r="K2243" s="1933">
        <v>383.85</v>
      </c>
      <c r="L2243" s="1930" t="s">
        <v>138</v>
      </c>
    </row>
    <row r="2244" spans="1:12" ht="13.5" x14ac:dyDescent="0.25">
      <c r="A2244" s="1930" t="s">
        <v>4555</v>
      </c>
      <c r="B2244" s="1930" t="s">
        <v>4556</v>
      </c>
      <c r="C2244" s="1930" t="s">
        <v>4567</v>
      </c>
      <c r="D2244" s="1930" t="s">
        <v>4568</v>
      </c>
      <c r="E2244" s="1931" t="s">
        <v>33</v>
      </c>
      <c r="F2244" s="1930" t="s">
        <v>33</v>
      </c>
      <c r="G2244" s="1932">
        <v>90853</v>
      </c>
      <c r="H2244" s="1930" t="s">
        <v>7570</v>
      </c>
      <c r="I2244" s="1930" t="s">
        <v>1208</v>
      </c>
      <c r="J2244" s="1930" t="s">
        <v>137</v>
      </c>
      <c r="K2244" s="1933">
        <v>371.95</v>
      </c>
      <c r="L2244" s="1930" t="s">
        <v>138</v>
      </c>
    </row>
    <row r="2245" spans="1:12" ht="13.5" x14ac:dyDescent="0.25">
      <c r="A2245" s="1930" t="s">
        <v>4555</v>
      </c>
      <c r="B2245" s="1930" t="s">
        <v>4556</v>
      </c>
      <c r="C2245" s="1930" t="s">
        <v>4567</v>
      </c>
      <c r="D2245" s="1930" t="s">
        <v>4568</v>
      </c>
      <c r="E2245" s="1931" t="s">
        <v>33</v>
      </c>
      <c r="F2245" s="1930" t="s">
        <v>33</v>
      </c>
      <c r="G2245" s="1932">
        <v>90854</v>
      </c>
      <c r="H2245" s="1930" t="s">
        <v>7571</v>
      </c>
      <c r="I2245" s="1930" t="s">
        <v>1208</v>
      </c>
      <c r="J2245" s="1930" t="s">
        <v>137</v>
      </c>
      <c r="K2245" s="1933">
        <v>360.39</v>
      </c>
      <c r="L2245" s="1930" t="s">
        <v>138</v>
      </c>
    </row>
    <row r="2246" spans="1:12" ht="13.5" x14ac:dyDescent="0.25">
      <c r="A2246" s="1930" t="s">
        <v>4555</v>
      </c>
      <c r="B2246" s="1930" t="s">
        <v>4556</v>
      </c>
      <c r="C2246" s="1930" t="s">
        <v>4567</v>
      </c>
      <c r="D2246" s="1930" t="s">
        <v>4568</v>
      </c>
      <c r="E2246" s="1931" t="s">
        <v>33</v>
      </c>
      <c r="F2246" s="1930" t="s">
        <v>33</v>
      </c>
      <c r="G2246" s="1932">
        <v>90855</v>
      </c>
      <c r="H2246" s="1930" t="s">
        <v>7572</v>
      </c>
      <c r="I2246" s="1930" t="s">
        <v>1208</v>
      </c>
      <c r="J2246" s="1930" t="s">
        <v>137</v>
      </c>
      <c r="K2246" s="1933">
        <v>395.99</v>
      </c>
      <c r="L2246" s="1930" t="s">
        <v>138</v>
      </c>
    </row>
    <row r="2247" spans="1:12" ht="13.5" x14ac:dyDescent="0.25">
      <c r="A2247" s="1930" t="s">
        <v>4555</v>
      </c>
      <c r="B2247" s="1930" t="s">
        <v>4556</v>
      </c>
      <c r="C2247" s="1930" t="s">
        <v>4567</v>
      </c>
      <c r="D2247" s="1930" t="s">
        <v>4568</v>
      </c>
      <c r="E2247" s="1931" t="s">
        <v>33</v>
      </c>
      <c r="F2247" s="1930" t="s">
        <v>33</v>
      </c>
      <c r="G2247" s="1932">
        <v>90856</v>
      </c>
      <c r="H2247" s="1930" t="s">
        <v>7573</v>
      </c>
      <c r="I2247" s="1930" t="s">
        <v>1208</v>
      </c>
      <c r="J2247" s="1930" t="s">
        <v>137</v>
      </c>
      <c r="K2247" s="1933">
        <v>375.49</v>
      </c>
      <c r="L2247" s="1930" t="s">
        <v>138</v>
      </c>
    </row>
    <row r="2248" spans="1:12" ht="13.5" x14ac:dyDescent="0.25">
      <c r="A2248" s="1930" t="s">
        <v>4555</v>
      </c>
      <c r="B2248" s="1930" t="s">
        <v>4556</v>
      </c>
      <c r="C2248" s="1930" t="s">
        <v>4567</v>
      </c>
      <c r="D2248" s="1930" t="s">
        <v>4568</v>
      </c>
      <c r="E2248" s="1931" t="s">
        <v>33</v>
      </c>
      <c r="F2248" s="1930" t="s">
        <v>33</v>
      </c>
      <c r="G2248" s="1932">
        <v>90857</v>
      </c>
      <c r="H2248" s="1930" t="s">
        <v>7574</v>
      </c>
      <c r="I2248" s="1930" t="s">
        <v>1208</v>
      </c>
      <c r="J2248" s="1930" t="s">
        <v>137</v>
      </c>
      <c r="K2248" s="1933">
        <v>362.74</v>
      </c>
      <c r="L2248" s="1930" t="s">
        <v>138</v>
      </c>
    </row>
    <row r="2249" spans="1:12" ht="13.5" x14ac:dyDescent="0.25">
      <c r="A2249" s="1930" t="s">
        <v>4555</v>
      </c>
      <c r="B2249" s="1930" t="s">
        <v>4556</v>
      </c>
      <c r="C2249" s="1930" t="s">
        <v>4567</v>
      </c>
      <c r="D2249" s="1930" t="s">
        <v>4568</v>
      </c>
      <c r="E2249" s="1931" t="s">
        <v>33</v>
      </c>
      <c r="F2249" s="1930" t="s">
        <v>33</v>
      </c>
      <c r="G2249" s="1932">
        <v>90858</v>
      </c>
      <c r="H2249" s="1930" t="s">
        <v>7575</v>
      </c>
      <c r="I2249" s="1930" t="s">
        <v>1208</v>
      </c>
      <c r="J2249" s="1930" t="s">
        <v>137</v>
      </c>
      <c r="K2249" s="1933">
        <v>412.25</v>
      </c>
      <c r="L2249" s="1930" t="s">
        <v>138</v>
      </c>
    </row>
    <row r="2250" spans="1:12" ht="13.5" x14ac:dyDescent="0.25">
      <c r="A2250" s="1930" t="s">
        <v>4555</v>
      </c>
      <c r="B2250" s="1930" t="s">
        <v>4556</v>
      </c>
      <c r="C2250" s="1930" t="s">
        <v>4567</v>
      </c>
      <c r="D2250" s="1930" t="s">
        <v>4568</v>
      </c>
      <c r="E2250" s="1931" t="s">
        <v>33</v>
      </c>
      <c r="F2250" s="1930" t="s">
        <v>33</v>
      </c>
      <c r="G2250" s="1932">
        <v>90859</v>
      </c>
      <c r="H2250" s="1930" t="s">
        <v>7576</v>
      </c>
      <c r="I2250" s="1930" t="s">
        <v>1208</v>
      </c>
      <c r="J2250" s="1930" t="s">
        <v>320</v>
      </c>
      <c r="K2250" s="1933">
        <v>353.56</v>
      </c>
      <c r="L2250" s="1930" t="s">
        <v>138</v>
      </c>
    </row>
    <row r="2251" spans="1:12" ht="13.5" x14ac:dyDescent="0.25">
      <c r="A2251" s="1930" t="s">
        <v>4555</v>
      </c>
      <c r="B2251" s="1930" t="s">
        <v>4556</v>
      </c>
      <c r="C2251" s="1930" t="s">
        <v>4567</v>
      </c>
      <c r="D2251" s="1930" t="s">
        <v>4568</v>
      </c>
      <c r="E2251" s="1931" t="s">
        <v>33</v>
      </c>
      <c r="F2251" s="1930" t="s">
        <v>33</v>
      </c>
      <c r="G2251" s="1932">
        <v>90860</v>
      </c>
      <c r="H2251" s="1930" t="s">
        <v>7577</v>
      </c>
      <c r="I2251" s="1930" t="s">
        <v>1208</v>
      </c>
      <c r="J2251" s="1930" t="s">
        <v>320</v>
      </c>
      <c r="K2251" s="1933">
        <v>358.47</v>
      </c>
      <c r="L2251" s="1930" t="s">
        <v>138</v>
      </c>
    </row>
    <row r="2252" spans="1:12" ht="13.5" x14ac:dyDescent="0.25">
      <c r="A2252" s="1930" t="s">
        <v>4555</v>
      </c>
      <c r="B2252" s="1930" t="s">
        <v>4556</v>
      </c>
      <c r="C2252" s="1930" t="s">
        <v>4567</v>
      </c>
      <c r="D2252" s="1930" t="s">
        <v>4568</v>
      </c>
      <c r="E2252" s="1931" t="s">
        <v>33</v>
      </c>
      <c r="F2252" s="1930" t="s">
        <v>33</v>
      </c>
      <c r="G2252" s="1932">
        <v>90861</v>
      </c>
      <c r="H2252" s="1930" t="s">
        <v>7578</v>
      </c>
      <c r="I2252" s="1930" t="s">
        <v>1208</v>
      </c>
      <c r="J2252" s="1930" t="s">
        <v>137</v>
      </c>
      <c r="K2252" s="1933">
        <v>366.22</v>
      </c>
      <c r="L2252" s="1930" t="s">
        <v>138</v>
      </c>
    </row>
    <row r="2253" spans="1:12" ht="13.5" x14ac:dyDescent="0.25">
      <c r="A2253" s="1930" t="s">
        <v>4555</v>
      </c>
      <c r="B2253" s="1930" t="s">
        <v>4556</v>
      </c>
      <c r="C2253" s="1930" t="s">
        <v>4567</v>
      </c>
      <c r="D2253" s="1930" t="s">
        <v>4568</v>
      </c>
      <c r="E2253" s="1931" t="s">
        <v>33</v>
      </c>
      <c r="F2253" s="1930" t="s">
        <v>33</v>
      </c>
      <c r="G2253" s="1932">
        <v>90862</v>
      </c>
      <c r="H2253" s="1930" t="s">
        <v>7579</v>
      </c>
      <c r="I2253" s="1930" t="s">
        <v>1208</v>
      </c>
      <c r="J2253" s="1930" t="s">
        <v>320</v>
      </c>
      <c r="K2253" s="1933">
        <v>331.79</v>
      </c>
      <c r="L2253" s="1930" t="s">
        <v>138</v>
      </c>
    </row>
    <row r="2254" spans="1:12" ht="13.5" x14ac:dyDescent="0.25">
      <c r="A2254" s="1930" t="s">
        <v>4555</v>
      </c>
      <c r="B2254" s="1930" t="s">
        <v>4556</v>
      </c>
      <c r="C2254" s="1930" t="s">
        <v>4567</v>
      </c>
      <c r="D2254" s="1930" t="s">
        <v>4568</v>
      </c>
      <c r="E2254" s="1931" t="s">
        <v>33</v>
      </c>
      <c r="F2254" s="1930" t="s">
        <v>33</v>
      </c>
      <c r="G2254" s="1932">
        <v>92718</v>
      </c>
      <c r="H2254" s="1930" t="s">
        <v>1703</v>
      </c>
      <c r="I2254" s="1930" t="s">
        <v>1208</v>
      </c>
      <c r="J2254" s="1930" t="s">
        <v>137</v>
      </c>
      <c r="K2254" s="1933">
        <v>449.43</v>
      </c>
      <c r="L2254" s="1930" t="s">
        <v>138</v>
      </c>
    </row>
    <row r="2255" spans="1:12" ht="13.5" x14ac:dyDescent="0.25">
      <c r="A2255" s="1930" t="s">
        <v>4555</v>
      </c>
      <c r="B2255" s="1930" t="s">
        <v>4556</v>
      </c>
      <c r="C2255" s="1930" t="s">
        <v>4567</v>
      </c>
      <c r="D2255" s="1930" t="s">
        <v>4568</v>
      </c>
      <c r="E2255" s="1931" t="s">
        <v>33</v>
      </c>
      <c r="F2255" s="1930" t="s">
        <v>33</v>
      </c>
      <c r="G2255" s="1932">
        <v>92719</v>
      </c>
      <c r="H2255" s="1930" t="s">
        <v>1704</v>
      </c>
      <c r="I2255" s="1930" t="s">
        <v>1208</v>
      </c>
      <c r="J2255" s="1930" t="s">
        <v>137</v>
      </c>
      <c r="K2255" s="1933">
        <v>320.92</v>
      </c>
      <c r="L2255" s="1930" t="s">
        <v>138</v>
      </c>
    </row>
    <row r="2256" spans="1:12" ht="13.5" x14ac:dyDescent="0.25">
      <c r="A2256" s="1930" t="s">
        <v>4555</v>
      </c>
      <c r="B2256" s="1930" t="s">
        <v>4556</v>
      </c>
      <c r="C2256" s="1930" t="s">
        <v>4567</v>
      </c>
      <c r="D2256" s="1930" t="s">
        <v>4568</v>
      </c>
      <c r="E2256" s="1931" t="s">
        <v>33</v>
      </c>
      <c r="F2256" s="1930" t="s">
        <v>33</v>
      </c>
      <c r="G2256" s="1932">
        <v>92720</v>
      </c>
      <c r="H2256" s="1930" t="s">
        <v>1705</v>
      </c>
      <c r="I2256" s="1930" t="s">
        <v>1208</v>
      </c>
      <c r="J2256" s="1930" t="s">
        <v>137</v>
      </c>
      <c r="K2256" s="1933">
        <v>365.15</v>
      </c>
      <c r="L2256" s="1930" t="s">
        <v>138</v>
      </c>
    </row>
    <row r="2257" spans="1:12" ht="13.5" x14ac:dyDescent="0.25">
      <c r="A2257" s="1930" t="s">
        <v>4555</v>
      </c>
      <c r="B2257" s="1930" t="s">
        <v>4556</v>
      </c>
      <c r="C2257" s="1930" t="s">
        <v>4567</v>
      </c>
      <c r="D2257" s="1930" t="s">
        <v>4568</v>
      </c>
      <c r="E2257" s="1931" t="s">
        <v>33</v>
      </c>
      <c r="F2257" s="1930" t="s">
        <v>33</v>
      </c>
      <c r="G2257" s="1932">
        <v>92721</v>
      </c>
      <c r="H2257" s="1930" t="s">
        <v>1706</v>
      </c>
      <c r="I2257" s="1930" t="s">
        <v>1208</v>
      </c>
      <c r="J2257" s="1930" t="s">
        <v>137</v>
      </c>
      <c r="K2257" s="1933">
        <v>313.06</v>
      </c>
      <c r="L2257" s="1930" t="s">
        <v>138</v>
      </c>
    </row>
    <row r="2258" spans="1:12" ht="13.5" x14ac:dyDescent="0.25">
      <c r="A2258" s="1930" t="s">
        <v>4555</v>
      </c>
      <c r="B2258" s="1930" t="s">
        <v>4556</v>
      </c>
      <c r="C2258" s="1930" t="s">
        <v>4567</v>
      </c>
      <c r="D2258" s="1930" t="s">
        <v>4568</v>
      </c>
      <c r="E2258" s="1931" t="s">
        <v>33</v>
      </c>
      <c r="F2258" s="1930" t="s">
        <v>33</v>
      </c>
      <c r="G2258" s="1932">
        <v>92722</v>
      </c>
      <c r="H2258" s="1930" t="s">
        <v>1707</v>
      </c>
      <c r="I2258" s="1930" t="s">
        <v>1208</v>
      </c>
      <c r="J2258" s="1930" t="s">
        <v>137</v>
      </c>
      <c r="K2258" s="1933">
        <v>361.91</v>
      </c>
      <c r="L2258" s="1930" t="s">
        <v>138</v>
      </c>
    </row>
    <row r="2259" spans="1:12" ht="13.5" x14ac:dyDescent="0.25">
      <c r="A2259" s="1930" t="s">
        <v>4555</v>
      </c>
      <c r="B2259" s="1930" t="s">
        <v>4556</v>
      </c>
      <c r="C2259" s="1930" t="s">
        <v>4567</v>
      </c>
      <c r="D2259" s="1930" t="s">
        <v>4568</v>
      </c>
      <c r="E2259" s="1931" t="s">
        <v>33</v>
      </c>
      <c r="F2259" s="1930" t="s">
        <v>33</v>
      </c>
      <c r="G2259" s="1932">
        <v>92723</v>
      </c>
      <c r="H2259" s="1930" t="s">
        <v>1708</v>
      </c>
      <c r="I2259" s="1930" t="s">
        <v>1208</v>
      </c>
      <c r="J2259" s="1930" t="s">
        <v>137</v>
      </c>
      <c r="K2259" s="1933">
        <v>352.47</v>
      </c>
      <c r="L2259" s="1930" t="s">
        <v>138</v>
      </c>
    </row>
    <row r="2260" spans="1:12" ht="13.5" x14ac:dyDescent="0.25">
      <c r="A2260" s="1930" t="s">
        <v>4555</v>
      </c>
      <c r="B2260" s="1930" t="s">
        <v>4556</v>
      </c>
      <c r="C2260" s="1930" t="s">
        <v>4567</v>
      </c>
      <c r="D2260" s="1930" t="s">
        <v>4568</v>
      </c>
      <c r="E2260" s="1931" t="s">
        <v>33</v>
      </c>
      <c r="F2260" s="1930" t="s">
        <v>33</v>
      </c>
      <c r="G2260" s="1932">
        <v>92724</v>
      </c>
      <c r="H2260" s="1930" t="s">
        <v>1709</v>
      </c>
      <c r="I2260" s="1930" t="s">
        <v>1208</v>
      </c>
      <c r="J2260" s="1930" t="s">
        <v>137</v>
      </c>
      <c r="K2260" s="1933">
        <v>349.58</v>
      </c>
      <c r="L2260" s="1930" t="s">
        <v>138</v>
      </c>
    </row>
    <row r="2261" spans="1:12" ht="13.5" x14ac:dyDescent="0.25">
      <c r="A2261" s="1930" t="s">
        <v>4555</v>
      </c>
      <c r="B2261" s="1930" t="s">
        <v>4556</v>
      </c>
      <c r="C2261" s="1930" t="s">
        <v>4567</v>
      </c>
      <c r="D2261" s="1930" t="s">
        <v>4568</v>
      </c>
      <c r="E2261" s="1931" t="s">
        <v>33</v>
      </c>
      <c r="F2261" s="1930" t="s">
        <v>33</v>
      </c>
      <c r="G2261" s="1932">
        <v>92725</v>
      </c>
      <c r="H2261" s="1930" t="s">
        <v>1710</v>
      </c>
      <c r="I2261" s="1930" t="s">
        <v>1208</v>
      </c>
      <c r="J2261" s="1930" t="s">
        <v>137</v>
      </c>
      <c r="K2261" s="1933">
        <v>348.37</v>
      </c>
      <c r="L2261" s="1930" t="s">
        <v>138</v>
      </c>
    </row>
    <row r="2262" spans="1:12" ht="13.5" x14ac:dyDescent="0.25">
      <c r="A2262" s="1930" t="s">
        <v>4555</v>
      </c>
      <c r="B2262" s="1930" t="s">
        <v>4556</v>
      </c>
      <c r="C2262" s="1930" t="s">
        <v>4567</v>
      </c>
      <c r="D2262" s="1930" t="s">
        <v>4568</v>
      </c>
      <c r="E2262" s="1931" t="s">
        <v>33</v>
      </c>
      <c r="F2262" s="1930" t="s">
        <v>33</v>
      </c>
      <c r="G2262" s="1932">
        <v>92726</v>
      </c>
      <c r="H2262" s="1930" t="s">
        <v>1711</v>
      </c>
      <c r="I2262" s="1930" t="s">
        <v>1208</v>
      </c>
      <c r="J2262" s="1930" t="s">
        <v>137</v>
      </c>
      <c r="K2262" s="1933">
        <v>346.31</v>
      </c>
      <c r="L2262" s="1930" t="s">
        <v>138</v>
      </c>
    </row>
    <row r="2263" spans="1:12" ht="13.5" x14ac:dyDescent="0.25">
      <c r="A2263" s="1930" t="s">
        <v>4555</v>
      </c>
      <c r="B2263" s="1930" t="s">
        <v>4556</v>
      </c>
      <c r="C2263" s="1930" t="s">
        <v>4567</v>
      </c>
      <c r="D2263" s="1930" t="s">
        <v>4568</v>
      </c>
      <c r="E2263" s="1931" t="s">
        <v>33</v>
      </c>
      <c r="F2263" s="1930" t="s">
        <v>33</v>
      </c>
      <c r="G2263" s="1932">
        <v>92727</v>
      </c>
      <c r="H2263" s="1930" t="s">
        <v>1712</v>
      </c>
      <c r="I2263" s="1930" t="s">
        <v>1208</v>
      </c>
      <c r="J2263" s="1930" t="s">
        <v>137</v>
      </c>
      <c r="K2263" s="1933">
        <v>390.67</v>
      </c>
      <c r="L2263" s="1930" t="s">
        <v>138</v>
      </c>
    </row>
    <row r="2264" spans="1:12" ht="13.5" x14ac:dyDescent="0.25">
      <c r="A2264" s="1930" t="s">
        <v>4555</v>
      </c>
      <c r="B2264" s="1930" t="s">
        <v>4556</v>
      </c>
      <c r="C2264" s="1930" t="s">
        <v>4567</v>
      </c>
      <c r="D2264" s="1930" t="s">
        <v>4568</v>
      </c>
      <c r="E2264" s="1931" t="s">
        <v>33</v>
      </c>
      <c r="F2264" s="1930" t="s">
        <v>33</v>
      </c>
      <c r="G2264" s="1932">
        <v>92728</v>
      </c>
      <c r="H2264" s="1930" t="s">
        <v>1713</v>
      </c>
      <c r="I2264" s="1930" t="s">
        <v>1208</v>
      </c>
      <c r="J2264" s="1930" t="s">
        <v>137</v>
      </c>
      <c r="K2264" s="1933">
        <v>370.28</v>
      </c>
      <c r="L2264" s="1930" t="s">
        <v>138</v>
      </c>
    </row>
    <row r="2265" spans="1:12" ht="13.5" x14ac:dyDescent="0.25">
      <c r="A2265" s="1930" t="s">
        <v>4555</v>
      </c>
      <c r="B2265" s="1930" t="s">
        <v>4556</v>
      </c>
      <c r="C2265" s="1930" t="s">
        <v>4567</v>
      </c>
      <c r="D2265" s="1930" t="s">
        <v>4568</v>
      </c>
      <c r="E2265" s="1931" t="s">
        <v>33</v>
      </c>
      <c r="F2265" s="1930" t="s">
        <v>33</v>
      </c>
      <c r="G2265" s="1932">
        <v>92729</v>
      </c>
      <c r="H2265" s="1930" t="s">
        <v>6398</v>
      </c>
      <c r="I2265" s="1930" t="s">
        <v>1208</v>
      </c>
      <c r="J2265" s="1930" t="s">
        <v>137</v>
      </c>
      <c r="K2265" s="1933">
        <v>361.66</v>
      </c>
      <c r="L2265" s="1930" t="s">
        <v>138</v>
      </c>
    </row>
    <row r="2266" spans="1:12" ht="13.5" x14ac:dyDescent="0.25">
      <c r="A2266" s="1930" t="s">
        <v>4555</v>
      </c>
      <c r="B2266" s="1930" t="s">
        <v>4556</v>
      </c>
      <c r="C2266" s="1930" t="s">
        <v>4567</v>
      </c>
      <c r="D2266" s="1930" t="s">
        <v>4568</v>
      </c>
      <c r="E2266" s="1931" t="s">
        <v>33</v>
      </c>
      <c r="F2266" s="1930" t="s">
        <v>33</v>
      </c>
      <c r="G2266" s="1932">
        <v>92730</v>
      </c>
      <c r="H2266" s="1930" t="s">
        <v>1714</v>
      </c>
      <c r="I2266" s="1930" t="s">
        <v>1208</v>
      </c>
      <c r="J2266" s="1930" t="s">
        <v>137</v>
      </c>
      <c r="K2266" s="1933">
        <v>347.27</v>
      </c>
      <c r="L2266" s="1930" t="s">
        <v>138</v>
      </c>
    </row>
    <row r="2267" spans="1:12" ht="13.5" x14ac:dyDescent="0.25">
      <c r="A2267" s="1930" t="s">
        <v>4555</v>
      </c>
      <c r="B2267" s="1930" t="s">
        <v>4556</v>
      </c>
      <c r="C2267" s="1930" t="s">
        <v>4567</v>
      </c>
      <c r="D2267" s="1930" t="s">
        <v>4568</v>
      </c>
      <c r="E2267" s="1931" t="s">
        <v>33</v>
      </c>
      <c r="F2267" s="1930" t="s">
        <v>33</v>
      </c>
      <c r="G2267" s="1932">
        <v>92731</v>
      </c>
      <c r="H2267" s="1930" t="s">
        <v>1715</v>
      </c>
      <c r="I2267" s="1930" t="s">
        <v>1208</v>
      </c>
      <c r="J2267" s="1930" t="s">
        <v>137</v>
      </c>
      <c r="K2267" s="1933">
        <v>363.81</v>
      </c>
      <c r="L2267" s="1930" t="s">
        <v>138</v>
      </c>
    </row>
    <row r="2268" spans="1:12" ht="13.5" x14ac:dyDescent="0.25">
      <c r="A2268" s="1930" t="s">
        <v>4555</v>
      </c>
      <c r="B2268" s="1930" t="s">
        <v>4556</v>
      </c>
      <c r="C2268" s="1930" t="s">
        <v>4567</v>
      </c>
      <c r="D2268" s="1930" t="s">
        <v>4568</v>
      </c>
      <c r="E2268" s="1931" t="s">
        <v>33</v>
      </c>
      <c r="F2268" s="1930" t="s">
        <v>33</v>
      </c>
      <c r="G2268" s="1932">
        <v>92732</v>
      </c>
      <c r="H2268" s="1930" t="s">
        <v>1716</v>
      </c>
      <c r="I2268" s="1930" t="s">
        <v>1208</v>
      </c>
      <c r="J2268" s="1930" t="s">
        <v>137</v>
      </c>
      <c r="K2268" s="1933">
        <v>349.85</v>
      </c>
      <c r="L2268" s="1930" t="s">
        <v>138</v>
      </c>
    </row>
    <row r="2269" spans="1:12" ht="13.5" x14ac:dyDescent="0.25">
      <c r="A2269" s="1930" t="s">
        <v>4555</v>
      </c>
      <c r="B2269" s="1930" t="s">
        <v>4556</v>
      </c>
      <c r="C2269" s="1930" t="s">
        <v>4567</v>
      </c>
      <c r="D2269" s="1930" t="s">
        <v>4568</v>
      </c>
      <c r="E2269" s="1931" t="s">
        <v>33</v>
      </c>
      <c r="F2269" s="1930" t="s">
        <v>33</v>
      </c>
      <c r="G2269" s="1932">
        <v>92733</v>
      </c>
      <c r="H2269" s="1930" t="s">
        <v>1717</v>
      </c>
      <c r="I2269" s="1930" t="s">
        <v>1208</v>
      </c>
      <c r="J2269" s="1930" t="s">
        <v>137</v>
      </c>
      <c r="K2269" s="1933">
        <v>343.92</v>
      </c>
      <c r="L2269" s="1930" t="s">
        <v>138</v>
      </c>
    </row>
    <row r="2270" spans="1:12" ht="13.5" x14ac:dyDescent="0.25">
      <c r="A2270" s="1930" t="s">
        <v>4555</v>
      </c>
      <c r="B2270" s="1930" t="s">
        <v>4556</v>
      </c>
      <c r="C2270" s="1930" t="s">
        <v>4567</v>
      </c>
      <c r="D2270" s="1930" t="s">
        <v>4568</v>
      </c>
      <c r="E2270" s="1931" t="s">
        <v>33</v>
      </c>
      <c r="F2270" s="1930" t="s">
        <v>33</v>
      </c>
      <c r="G2270" s="1932">
        <v>92734</v>
      </c>
      <c r="H2270" s="1930" t="s">
        <v>1718</v>
      </c>
      <c r="I2270" s="1930" t="s">
        <v>1208</v>
      </c>
      <c r="J2270" s="1930" t="s">
        <v>137</v>
      </c>
      <c r="K2270" s="1933">
        <v>334.08</v>
      </c>
      <c r="L2270" s="1930" t="s">
        <v>138</v>
      </c>
    </row>
    <row r="2271" spans="1:12" ht="13.5" x14ac:dyDescent="0.25">
      <c r="A2271" s="1930" t="s">
        <v>4555</v>
      </c>
      <c r="B2271" s="1930" t="s">
        <v>4556</v>
      </c>
      <c r="C2271" s="1930" t="s">
        <v>4567</v>
      </c>
      <c r="D2271" s="1930" t="s">
        <v>4568</v>
      </c>
      <c r="E2271" s="1931" t="s">
        <v>33</v>
      </c>
      <c r="F2271" s="1930" t="s">
        <v>33</v>
      </c>
      <c r="G2271" s="1932">
        <v>92735</v>
      </c>
      <c r="H2271" s="1930" t="s">
        <v>1719</v>
      </c>
      <c r="I2271" s="1930" t="s">
        <v>1208</v>
      </c>
      <c r="J2271" s="1930" t="s">
        <v>137</v>
      </c>
      <c r="K2271" s="1933">
        <v>340.93</v>
      </c>
      <c r="L2271" s="1930" t="s">
        <v>138</v>
      </c>
    </row>
    <row r="2272" spans="1:12" ht="13.5" x14ac:dyDescent="0.25">
      <c r="A2272" s="1930" t="s">
        <v>4555</v>
      </c>
      <c r="B2272" s="1930" t="s">
        <v>4556</v>
      </c>
      <c r="C2272" s="1930" t="s">
        <v>4567</v>
      </c>
      <c r="D2272" s="1930" t="s">
        <v>4568</v>
      </c>
      <c r="E2272" s="1931" t="s">
        <v>33</v>
      </c>
      <c r="F2272" s="1930" t="s">
        <v>33</v>
      </c>
      <c r="G2272" s="1932">
        <v>92736</v>
      </c>
      <c r="H2272" s="1930" t="s">
        <v>1720</v>
      </c>
      <c r="I2272" s="1930" t="s">
        <v>1208</v>
      </c>
      <c r="J2272" s="1930" t="s">
        <v>137</v>
      </c>
      <c r="K2272" s="1933">
        <v>330.09</v>
      </c>
      <c r="L2272" s="1930" t="s">
        <v>138</v>
      </c>
    </row>
    <row r="2273" spans="1:12" ht="13.5" x14ac:dyDescent="0.25">
      <c r="A2273" s="1930" t="s">
        <v>4555</v>
      </c>
      <c r="B2273" s="1930" t="s">
        <v>4556</v>
      </c>
      <c r="C2273" s="1930" t="s">
        <v>4567</v>
      </c>
      <c r="D2273" s="1930" t="s">
        <v>4568</v>
      </c>
      <c r="E2273" s="1931" t="s">
        <v>33</v>
      </c>
      <c r="F2273" s="1930" t="s">
        <v>33</v>
      </c>
      <c r="G2273" s="1932">
        <v>92739</v>
      </c>
      <c r="H2273" s="1930" t="s">
        <v>1721</v>
      </c>
      <c r="I2273" s="1930" t="s">
        <v>1208</v>
      </c>
      <c r="J2273" s="1930" t="s">
        <v>137</v>
      </c>
      <c r="K2273" s="1933">
        <v>314.35000000000002</v>
      </c>
      <c r="L2273" s="1930" t="s">
        <v>138</v>
      </c>
    </row>
    <row r="2274" spans="1:12" ht="13.5" x14ac:dyDescent="0.25">
      <c r="A2274" s="1930" t="s">
        <v>4555</v>
      </c>
      <c r="B2274" s="1930" t="s">
        <v>4556</v>
      </c>
      <c r="C2274" s="1930" t="s">
        <v>4567</v>
      </c>
      <c r="D2274" s="1930" t="s">
        <v>4568</v>
      </c>
      <c r="E2274" s="1931" t="s">
        <v>33</v>
      </c>
      <c r="F2274" s="1930" t="s">
        <v>33</v>
      </c>
      <c r="G2274" s="1932">
        <v>92740</v>
      </c>
      <c r="H2274" s="1930" t="s">
        <v>1722</v>
      </c>
      <c r="I2274" s="1930" t="s">
        <v>1208</v>
      </c>
      <c r="J2274" s="1930" t="s">
        <v>137</v>
      </c>
      <c r="K2274" s="1933">
        <v>308.97000000000003</v>
      </c>
      <c r="L2274" s="1930" t="s">
        <v>138</v>
      </c>
    </row>
    <row r="2275" spans="1:12" ht="13.5" x14ac:dyDescent="0.25">
      <c r="A2275" s="1930" t="s">
        <v>4555</v>
      </c>
      <c r="B2275" s="1930" t="s">
        <v>4556</v>
      </c>
      <c r="C2275" s="1930" t="s">
        <v>4567</v>
      </c>
      <c r="D2275" s="1930" t="s">
        <v>4568</v>
      </c>
      <c r="E2275" s="1931" t="s">
        <v>33</v>
      </c>
      <c r="F2275" s="1930" t="s">
        <v>33</v>
      </c>
      <c r="G2275" s="1932">
        <v>92741</v>
      </c>
      <c r="H2275" s="1930" t="s">
        <v>1723</v>
      </c>
      <c r="I2275" s="1930" t="s">
        <v>1208</v>
      </c>
      <c r="J2275" s="1930" t="s">
        <v>137</v>
      </c>
      <c r="K2275" s="1933">
        <v>503.21</v>
      </c>
      <c r="L2275" s="1930" t="s">
        <v>138</v>
      </c>
    </row>
    <row r="2276" spans="1:12" ht="13.5" x14ac:dyDescent="0.25">
      <c r="A2276" s="1930" t="s">
        <v>4555</v>
      </c>
      <c r="B2276" s="1930" t="s">
        <v>4556</v>
      </c>
      <c r="C2276" s="1930" t="s">
        <v>4567</v>
      </c>
      <c r="D2276" s="1930" t="s">
        <v>4568</v>
      </c>
      <c r="E2276" s="1931" t="s">
        <v>33</v>
      </c>
      <c r="F2276" s="1930" t="s">
        <v>33</v>
      </c>
      <c r="G2276" s="1932">
        <v>92742</v>
      </c>
      <c r="H2276" s="1930" t="s">
        <v>1724</v>
      </c>
      <c r="I2276" s="1930" t="s">
        <v>1208</v>
      </c>
      <c r="J2276" s="1930" t="s">
        <v>137</v>
      </c>
      <c r="K2276" s="1933">
        <v>707.88</v>
      </c>
      <c r="L2276" s="1930" t="s">
        <v>138</v>
      </c>
    </row>
    <row r="2277" spans="1:12" ht="13.5" x14ac:dyDescent="0.25">
      <c r="A2277" s="1930" t="s">
        <v>4555</v>
      </c>
      <c r="B2277" s="1930" t="s">
        <v>4556</v>
      </c>
      <c r="C2277" s="1930" t="s">
        <v>4567</v>
      </c>
      <c r="D2277" s="1930" t="s">
        <v>4568</v>
      </c>
      <c r="E2277" s="1931" t="s">
        <v>33</v>
      </c>
      <c r="F2277" s="1930" t="s">
        <v>33</v>
      </c>
      <c r="G2277" s="1932">
        <v>92873</v>
      </c>
      <c r="H2277" s="1930" t="s">
        <v>1725</v>
      </c>
      <c r="I2277" s="1930" t="s">
        <v>1208</v>
      </c>
      <c r="J2277" s="1930" t="s">
        <v>137</v>
      </c>
      <c r="K2277" s="1933">
        <v>158.88</v>
      </c>
      <c r="L2277" s="1930" t="s">
        <v>138</v>
      </c>
    </row>
    <row r="2278" spans="1:12" ht="13.5" x14ac:dyDescent="0.25">
      <c r="A2278" s="1930" t="s">
        <v>4555</v>
      </c>
      <c r="B2278" s="1930" t="s">
        <v>4556</v>
      </c>
      <c r="C2278" s="1930" t="s">
        <v>4567</v>
      </c>
      <c r="D2278" s="1930" t="s">
        <v>4568</v>
      </c>
      <c r="E2278" s="1931" t="s">
        <v>33</v>
      </c>
      <c r="F2278" s="1930" t="s">
        <v>33</v>
      </c>
      <c r="G2278" s="1932">
        <v>92874</v>
      </c>
      <c r="H2278" s="1930" t="s">
        <v>1726</v>
      </c>
      <c r="I2278" s="1930" t="s">
        <v>1208</v>
      </c>
      <c r="J2278" s="1930" t="s">
        <v>137</v>
      </c>
      <c r="K2278" s="1933">
        <v>26.07</v>
      </c>
      <c r="L2278" s="1930" t="s">
        <v>138</v>
      </c>
    </row>
    <row r="2279" spans="1:12" ht="13.5" x14ac:dyDescent="0.25">
      <c r="A2279" s="1930" t="s">
        <v>4555</v>
      </c>
      <c r="B2279" s="1930" t="s">
        <v>4556</v>
      </c>
      <c r="C2279" s="1930" t="s">
        <v>4567</v>
      </c>
      <c r="D2279" s="1930" t="s">
        <v>4568</v>
      </c>
      <c r="E2279" s="1931" t="s">
        <v>33</v>
      </c>
      <c r="F2279" s="1930" t="s">
        <v>33</v>
      </c>
      <c r="G2279" s="1932">
        <v>94962</v>
      </c>
      <c r="H2279" s="1930" t="s">
        <v>1727</v>
      </c>
      <c r="I2279" s="1930" t="s">
        <v>1208</v>
      </c>
      <c r="J2279" s="1930" t="s">
        <v>320</v>
      </c>
      <c r="K2279" s="1933">
        <v>268.95999999999998</v>
      </c>
      <c r="L2279" s="1930" t="s">
        <v>138</v>
      </c>
    </row>
    <row r="2280" spans="1:12" ht="13.5" x14ac:dyDescent="0.25">
      <c r="A2280" s="1930" t="s">
        <v>4555</v>
      </c>
      <c r="B2280" s="1930" t="s">
        <v>4556</v>
      </c>
      <c r="C2280" s="1930" t="s">
        <v>4567</v>
      </c>
      <c r="D2280" s="1930" t="s">
        <v>4568</v>
      </c>
      <c r="E2280" s="1931" t="s">
        <v>33</v>
      </c>
      <c r="F2280" s="1930" t="s">
        <v>33</v>
      </c>
      <c r="G2280" s="1932">
        <v>94963</v>
      </c>
      <c r="H2280" s="1930" t="s">
        <v>1728</v>
      </c>
      <c r="I2280" s="1930" t="s">
        <v>1208</v>
      </c>
      <c r="J2280" s="1930" t="s">
        <v>320</v>
      </c>
      <c r="K2280" s="1933">
        <v>291.06</v>
      </c>
      <c r="L2280" s="1930" t="s">
        <v>138</v>
      </c>
    </row>
    <row r="2281" spans="1:12" ht="13.5" x14ac:dyDescent="0.25">
      <c r="A2281" s="1930" t="s">
        <v>4555</v>
      </c>
      <c r="B2281" s="1930" t="s">
        <v>4556</v>
      </c>
      <c r="C2281" s="1930" t="s">
        <v>4567</v>
      </c>
      <c r="D2281" s="1930" t="s">
        <v>4568</v>
      </c>
      <c r="E2281" s="1931" t="s">
        <v>33</v>
      </c>
      <c r="F2281" s="1930" t="s">
        <v>33</v>
      </c>
      <c r="G2281" s="1932">
        <v>94964</v>
      </c>
      <c r="H2281" s="1930" t="s">
        <v>1729</v>
      </c>
      <c r="I2281" s="1930" t="s">
        <v>1208</v>
      </c>
      <c r="J2281" s="1930" t="s">
        <v>320</v>
      </c>
      <c r="K2281" s="1933">
        <v>312.12</v>
      </c>
      <c r="L2281" s="1930" t="s">
        <v>138</v>
      </c>
    </row>
    <row r="2282" spans="1:12" ht="13.5" x14ac:dyDescent="0.25">
      <c r="A2282" s="1930" t="s">
        <v>4555</v>
      </c>
      <c r="B2282" s="1930" t="s">
        <v>4556</v>
      </c>
      <c r="C2282" s="1930" t="s">
        <v>4567</v>
      </c>
      <c r="D2282" s="1930" t="s">
        <v>4568</v>
      </c>
      <c r="E2282" s="1931" t="s">
        <v>33</v>
      </c>
      <c r="F2282" s="1930" t="s">
        <v>33</v>
      </c>
      <c r="G2282" s="1932">
        <v>94965</v>
      </c>
      <c r="H2282" s="1930" t="s">
        <v>1730</v>
      </c>
      <c r="I2282" s="1930" t="s">
        <v>1208</v>
      </c>
      <c r="J2282" s="1930" t="s">
        <v>320</v>
      </c>
      <c r="K2282" s="1933">
        <v>319.77999999999997</v>
      </c>
      <c r="L2282" s="1930" t="s">
        <v>138</v>
      </c>
    </row>
    <row r="2283" spans="1:12" ht="13.5" x14ac:dyDescent="0.25">
      <c r="A2283" s="1930" t="s">
        <v>4555</v>
      </c>
      <c r="B2283" s="1930" t="s">
        <v>4556</v>
      </c>
      <c r="C2283" s="1930" t="s">
        <v>4567</v>
      </c>
      <c r="D2283" s="1930" t="s">
        <v>4568</v>
      </c>
      <c r="E2283" s="1931" t="s">
        <v>33</v>
      </c>
      <c r="F2283" s="1930" t="s">
        <v>33</v>
      </c>
      <c r="G2283" s="1932">
        <v>94966</v>
      </c>
      <c r="H2283" s="1930" t="s">
        <v>1731</v>
      </c>
      <c r="I2283" s="1930" t="s">
        <v>1208</v>
      </c>
      <c r="J2283" s="1930" t="s">
        <v>320</v>
      </c>
      <c r="K2283" s="1933">
        <v>328.23</v>
      </c>
      <c r="L2283" s="1930" t="s">
        <v>138</v>
      </c>
    </row>
    <row r="2284" spans="1:12" ht="13.5" x14ac:dyDescent="0.25">
      <c r="A2284" s="1930" t="s">
        <v>4555</v>
      </c>
      <c r="B2284" s="1930" t="s">
        <v>4556</v>
      </c>
      <c r="C2284" s="1930" t="s">
        <v>4567</v>
      </c>
      <c r="D2284" s="1930" t="s">
        <v>4568</v>
      </c>
      <c r="E2284" s="1931" t="s">
        <v>33</v>
      </c>
      <c r="F2284" s="1930" t="s">
        <v>33</v>
      </c>
      <c r="G2284" s="1932">
        <v>94967</v>
      </c>
      <c r="H2284" s="1930" t="s">
        <v>1732</v>
      </c>
      <c r="I2284" s="1930" t="s">
        <v>1208</v>
      </c>
      <c r="J2284" s="1930" t="s">
        <v>320</v>
      </c>
      <c r="K2284" s="1933">
        <v>365.56</v>
      </c>
      <c r="L2284" s="1930" t="s">
        <v>138</v>
      </c>
    </row>
    <row r="2285" spans="1:12" ht="13.5" x14ac:dyDescent="0.25">
      <c r="A2285" s="1930" t="s">
        <v>4555</v>
      </c>
      <c r="B2285" s="1930" t="s">
        <v>4556</v>
      </c>
      <c r="C2285" s="1930" t="s">
        <v>4567</v>
      </c>
      <c r="D2285" s="1930" t="s">
        <v>4568</v>
      </c>
      <c r="E2285" s="1931" t="s">
        <v>33</v>
      </c>
      <c r="F2285" s="1930" t="s">
        <v>33</v>
      </c>
      <c r="G2285" s="1932">
        <v>94968</v>
      </c>
      <c r="H2285" s="1930" t="s">
        <v>1733</v>
      </c>
      <c r="I2285" s="1930" t="s">
        <v>1208</v>
      </c>
      <c r="J2285" s="1930" t="s">
        <v>320</v>
      </c>
      <c r="K2285" s="1933">
        <v>266.60000000000002</v>
      </c>
      <c r="L2285" s="1930" t="s">
        <v>138</v>
      </c>
    </row>
    <row r="2286" spans="1:12" ht="13.5" x14ac:dyDescent="0.25">
      <c r="A2286" s="1930" t="s">
        <v>4555</v>
      </c>
      <c r="B2286" s="1930" t="s">
        <v>4556</v>
      </c>
      <c r="C2286" s="1930" t="s">
        <v>4567</v>
      </c>
      <c r="D2286" s="1930" t="s">
        <v>4568</v>
      </c>
      <c r="E2286" s="1931" t="s">
        <v>33</v>
      </c>
      <c r="F2286" s="1930" t="s">
        <v>33</v>
      </c>
      <c r="G2286" s="1932">
        <v>94969</v>
      </c>
      <c r="H2286" s="1930" t="s">
        <v>1734</v>
      </c>
      <c r="I2286" s="1930" t="s">
        <v>1208</v>
      </c>
      <c r="J2286" s="1930" t="s">
        <v>320</v>
      </c>
      <c r="K2286" s="1933">
        <v>286.38</v>
      </c>
      <c r="L2286" s="1930" t="s">
        <v>138</v>
      </c>
    </row>
    <row r="2287" spans="1:12" ht="13.5" x14ac:dyDescent="0.25">
      <c r="A2287" s="1930" t="s">
        <v>4555</v>
      </c>
      <c r="B2287" s="1930" t="s">
        <v>4556</v>
      </c>
      <c r="C2287" s="1930" t="s">
        <v>4567</v>
      </c>
      <c r="D2287" s="1930" t="s">
        <v>4568</v>
      </c>
      <c r="E2287" s="1931" t="s">
        <v>33</v>
      </c>
      <c r="F2287" s="1930" t="s">
        <v>33</v>
      </c>
      <c r="G2287" s="1932">
        <v>94970</v>
      </c>
      <c r="H2287" s="1930" t="s">
        <v>1735</v>
      </c>
      <c r="I2287" s="1930" t="s">
        <v>1208</v>
      </c>
      <c r="J2287" s="1930" t="s">
        <v>320</v>
      </c>
      <c r="K2287" s="1933">
        <v>303.16000000000003</v>
      </c>
      <c r="L2287" s="1930" t="s">
        <v>138</v>
      </c>
    </row>
    <row r="2288" spans="1:12" ht="13.5" x14ac:dyDescent="0.25">
      <c r="A2288" s="1930" t="s">
        <v>4555</v>
      </c>
      <c r="B2288" s="1930" t="s">
        <v>4556</v>
      </c>
      <c r="C2288" s="1930" t="s">
        <v>4567</v>
      </c>
      <c r="D2288" s="1930" t="s">
        <v>4568</v>
      </c>
      <c r="E2288" s="1931" t="s">
        <v>33</v>
      </c>
      <c r="F2288" s="1930" t="s">
        <v>33</v>
      </c>
      <c r="G2288" s="1932">
        <v>94971</v>
      </c>
      <c r="H2288" s="1930" t="s">
        <v>1736</v>
      </c>
      <c r="I2288" s="1930" t="s">
        <v>1208</v>
      </c>
      <c r="J2288" s="1930" t="s">
        <v>320</v>
      </c>
      <c r="K2288" s="1933">
        <v>315.04000000000002</v>
      </c>
      <c r="L2288" s="1930" t="s">
        <v>138</v>
      </c>
    </row>
    <row r="2289" spans="1:12" ht="13.5" x14ac:dyDescent="0.25">
      <c r="A2289" s="1930" t="s">
        <v>4555</v>
      </c>
      <c r="B2289" s="1930" t="s">
        <v>4556</v>
      </c>
      <c r="C2289" s="1930" t="s">
        <v>4567</v>
      </c>
      <c r="D2289" s="1930" t="s">
        <v>4568</v>
      </c>
      <c r="E2289" s="1931" t="s">
        <v>33</v>
      </c>
      <c r="F2289" s="1930" t="s">
        <v>33</v>
      </c>
      <c r="G2289" s="1932">
        <v>94972</v>
      </c>
      <c r="H2289" s="1930" t="s">
        <v>1737</v>
      </c>
      <c r="I2289" s="1930" t="s">
        <v>1208</v>
      </c>
      <c r="J2289" s="1930" t="s">
        <v>320</v>
      </c>
      <c r="K2289" s="1933">
        <v>323.31</v>
      </c>
      <c r="L2289" s="1930" t="s">
        <v>138</v>
      </c>
    </row>
    <row r="2290" spans="1:12" ht="13.5" x14ac:dyDescent="0.25">
      <c r="A2290" s="1930" t="s">
        <v>4555</v>
      </c>
      <c r="B2290" s="1930" t="s">
        <v>4556</v>
      </c>
      <c r="C2290" s="1930" t="s">
        <v>4567</v>
      </c>
      <c r="D2290" s="1930" t="s">
        <v>4568</v>
      </c>
      <c r="E2290" s="1931" t="s">
        <v>33</v>
      </c>
      <c r="F2290" s="1930" t="s">
        <v>33</v>
      </c>
      <c r="G2290" s="1932">
        <v>94973</v>
      </c>
      <c r="H2290" s="1930" t="s">
        <v>1738</v>
      </c>
      <c r="I2290" s="1930" t="s">
        <v>1208</v>
      </c>
      <c r="J2290" s="1930" t="s">
        <v>320</v>
      </c>
      <c r="K2290" s="1933">
        <v>359.45</v>
      </c>
      <c r="L2290" s="1930" t="s">
        <v>138</v>
      </c>
    </row>
    <row r="2291" spans="1:12" ht="13.5" x14ac:dyDescent="0.25">
      <c r="A2291" s="1930" t="s">
        <v>4555</v>
      </c>
      <c r="B2291" s="1930" t="s">
        <v>4556</v>
      </c>
      <c r="C2291" s="1930" t="s">
        <v>4567</v>
      </c>
      <c r="D2291" s="1930" t="s">
        <v>4568</v>
      </c>
      <c r="E2291" s="1931" t="s">
        <v>33</v>
      </c>
      <c r="F2291" s="1930" t="s">
        <v>33</v>
      </c>
      <c r="G2291" s="1932">
        <v>94974</v>
      </c>
      <c r="H2291" s="1930" t="s">
        <v>1739</v>
      </c>
      <c r="I2291" s="1930" t="s">
        <v>1208</v>
      </c>
      <c r="J2291" s="1930" t="s">
        <v>320</v>
      </c>
      <c r="K2291" s="1933">
        <v>367.51</v>
      </c>
      <c r="L2291" s="1930" t="s">
        <v>138</v>
      </c>
    </row>
    <row r="2292" spans="1:12" ht="13.5" x14ac:dyDescent="0.25">
      <c r="A2292" s="1930" t="s">
        <v>4555</v>
      </c>
      <c r="B2292" s="1930" t="s">
        <v>4556</v>
      </c>
      <c r="C2292" s="1930" t="s">
        <v>4567</v>
      </c>
      <c r="D2292" s="1930" t="s">
        <v>4568</v>
      </c>
      <c r="E2292" s="1931" t="s">
        <v>33</v>
      </c>
      <c r="F2292" s="1930" t="s">
        <v>33</v>
      </c>
      <c r="G2292" s="1932">
        <v>94975</v>
      </c>
      <c r="H2292" s="1930" t="s">
        <v>1740</v>
      </c>
      <c r="I2292" s="1930" t="s">
        <v>1208</v>
      </c>
      <c r="J2292" s="1930" t="s">
        <v>320</v>
      </c>
      <c r="K2292" s="1933">
        <v>387.54</v>
      </c>
      <c r="L2292" s="1930" t="s">
        <v>138</v>
      </c>
    </row>
    <row r="2293" spans="1:12" ht="13.5" x14ac:dyDescent="0.25">
      <c r="A2293" s="1930" t="s">
        <v>4555</v>
      </c>
      <c r="B2293" s="1930" t="s">
        <v>4556</v>
      </c>
      <c r="C2293" s="1930" t="s">
        <v>4567</v>
      </c>
      <c r="D2293" s="1930" t="s">
        <v>4568</v>
      </c>
      <c r="E2293" s="1931" t="s">
        <v>33</v>
      </c>
      <c r="F2293" s="1930" t="s">
        <v>33</v>
      </c>
      <c r="G2293" s="1932">
        <v>96555</v>
      </c>
      <c r="H2293" s="1930" t="s">
        <v>1741</v>
      </c>
      <c r="I2293" s="1930" t="s">
        <v>1208</v>
      </c>
      <c r="J2293" s="1930" t="s">
        <v>137</v>
      </c>
      <c r="K2293" s="1933">
        <v>457.5</v>
      </c>
      <c r="L2293" s="1930" t="s">
        <v>138</v>
      </c>
    </row>
    <row r="2294" spans="1:12" ht="13.5" x14ac:dyDescent="0.25">
      <c r="A2294" s="1930" t="s">
        <v>4555</v>
      </c>
      <c r="B2294" s="1930" t="s">
        <v>4556</v>
      </c>
      <c r="C2294" s="1930" t="s">
        <v>4567</v>
      </c>
      <c r="D2294" s="1930" t="s">
        <v>4568</v>
      </c>
      <c r="E2294" s="1931" t="s">
        <v>33</v>
      </c>
      <c r="F2294" s="1930" t="s">
        <v>33</v>
      </c>
      <c r="G2294" s="1932">
        <v>96556</v>
      </c>
      <c r="H2294" s="1930" t="s">
        <v>1742</v>
      </c>
      <c r="I2294" s="1930" t="s">
        <v>1208</v>
      </c>
      <c r="J2294" s="1930" t="s">
        <v>137</v>
      </c>
      <c r="K2294" s="1933">
        <v>521.28</v>
      </c>
      <c r="L2294" s="1930" t="s">
        <v>138</v>
      </c>
    </row>
    <row r="2295" spans="1:12" ht="13.5" x14ac:dyDescent="0.25">
      <c r="A2295" s="1930" t="s">
        <v>4555</v>
      </c>
      <c r="B2295" s="1930" t="s">
        <v>4556</v>
      </c>
      <c r="C2295" s="1930" t="s">
        <v>4567</v>
      </c>
      <c r="D2295" s="1930" t="s">
        <v>4568</v>
      </c>
      <c r="E2295" s="1931" t="s">
        <v>33</v>
      </c>
      <c r="F2295" s="1930" t="s">
        <v>33</v>
      </c>
      <c r="G2295" s="1932">
        <v>96557</v>
      </c>
      <c r="H2295" s="1930" t="s">
        <v>1743</v>
      </c>
      <c r="I2295" s="1930" t="s">
        <v>1208</v>
      </c>
      <c r="J2295" s="1930" t="s">
        <v>137</v>
      </c>
      <c r="K2295" s="1933">
        <v>381.07</v>
      </c>
      <c r="L2295" s="1930" t="s">
        <v>138</v>
      </c>
    </row>
    <row r="2296" spans="1:12" ht="13.5" x14ac:dyDescent="0.25">
      <c r="A2296" s="1930" t="s">
        <v>4555</v>
      </c>
      <c r="B2296" s="1930" t="s">
        <v>4556</v>
      </c>
      <c r="C2296" s="1930" t="s">
        <v>4567</v>
      </c>
      <c r="D2296" s="1930" t="s">
        <v>4568</v>
      </c>
      <c r="E2296" s="1931" t="s">
        <v>33</v>
      </c>
      <c r="F2296" s="1930" t="s">
        <v>33</v>
      </c>
      <c r="G2296" s="1932">
        <v>96558</v>
      </c>
      <c r="H2296" s="1930" t="s">
        <v>1744</v>
      </c>
      <c r="I2296" s="1930" t="s">
        <v>1208</v>
      </c>
      <c r="J2296" s="1930" t="s">
        <v>137</v>
      </c>
      <c r="K2296" s="1933">
        <v>386.7</v>
      </c>
      <c r="L2296" s="1930" t="s">
        <v>138</v>
      </c>
    </row>
    <row r="2297" spans="1:12" ht="13.5" x14ac:dyDescent="0.25">
      <c r="A2297" s="1930" t="s">
        <v>4555</v>
      </c>
      <c r="B2297" s="1930" t="s">
        <v>4556</v>
      </c>
      <c r="C2297" s="1930" t="s">
        <v>4567</v>
      </c>
      <c r="D2297" s="1930" t="s">
        <v>4568</v>
      </c>
      <c r="E2297" s="1931" t="s">
        <v>33</v>
      </c>
      <c r="F2297" s="1930" t="s">
        <v>33</v>
      </c>
      <c r="G2297" s="1932">
        <v>99235</v>
      </c>
      <c r="H2297" s="1930" t="s">
        <v>7580</v>
      </c>
      <c r="I2297" s="1930" t="s">
        <v>1208</v>
      </c>
      <c r="J2297" s="1930" t="s">
        <v>320</v>
      </c>
      <c r="K2297" s="1933">
        <v>343.07</v>
      </c>
      <c r="L2297" s="1930" t="s">
        <v>138</v>
      </c>
    </row>
    <row r="2298" spans="1:12" ht="13.5" x14ac:dyDescent="0.25">
      <c r="A2298" s="1930" t="s">
        <v>4555</v>
      </c>
      <c r="B2298" s="1930" t="s">
        <v>4556</v>
      </c>
      <c r="C2298" s="1930" t="s">
        <v>4567</v>
      </c>
      <c r="D2298" s="1930" t="s">
        <v>4568</v>
      </c>
      <c r="E2298" s="1931" t="s">
        <v>33</v>
      </c>
      <c r="F2298" s="1930" t="s">
        <v>33</v>
      </c>
      <c r="G2298" s="1932">
        <v>99431</v>
      </c>
      <c r="H2298" s="1930" t="s">
        <v>7581</v>
      </c>
      <c r="I2298" s="1930" t="s">
        <v>1208</v>
      </c>
      <c r="J2298" s="1930" t="s">
        <v>137</v>
      </c>
      <c r="K2298" s="1933">
        <v>408.03</v>
      </c>
      <c r="L2298" s="1930" t="s">
        <v>138</v>
      </c>
    </row>
    <row r="2299" spans="1:12" ht="13.5" x14ac:dyDescent="0.25">
      <c r="A2299" s="1930" t="s">
        <v>4555</v>
      </c>
      <c r="B2299" s="1930" t="s">
        <v>4556</v>
      </c>
      <c r="C2299" s="1930" t="s">
        <v>4567</v>
      </c>
      <c r="D2299" s="1930" t="s">
        <v>4568</v>
      </c>
      <c r="E2299" s="1931" t="s">
        <v>33</v>
      </c>
      <c r="F2299" s="1930" t="s">
        <v>33</v>
      </c>
      <c r="G2299" s="1932">
        <v>99432</v>
      </c>
      <c r="H2299" s="1930" t="s">
        <v>7582</v>
      </c>
      <c r="I2299" s="1930" t="s">
        <v>1208</v>
      </c>
      <c r="J2299" s="1930" t="s">
        <v>137</v>
      </c>
      <c r="K2299" s="1933">
        <v>385.51</v>
      </c>
      <c r="L2299" s="1930" t="s">
        <v>138</v>
      </c>
    </row>
    <row r="2300" spans="1:12" ht="13.5" x14ac:dyDescent="0.25">
      <c r="A2300" s="1930" t="s">
        <v>4555</v>
      </c>
      <c r="B2300" s="1930" t="s">
        <v>4556</v>
      </c>
      <c r="C2300" s="1930" t="s">
        <v>4567</v>
      </c>
      <c r="D2300" s="1930" t="s">
        <v>4568</v>
      </c>
      <c r="E2300" s="1931" t="s">
        <v>33</v>
      </c>
      <c r="F2300" s="1930" t="s">
        <v>33</v>
      </c>
      <c r="G2300" s="1932">
        <v>99433</v>
      </c>
      <c r="H2300" s="1930" t="s">
        <v>7583</v>
      </c>
      <c r="I2300" s="1930" t="s">
        <v>1208</v>
      </c>
      <c r="J2300" s="1930" t="s">
        <v>137</v>
      </c>
      <c r="K2300" s="1933">
        <v>433.36</v>
      </c>
      <c r="L2300" s="1930" t="s">
        <v>138</v>
      </c>
    </row>
    <row r="2301" spans="1:12" ht="13.5" x14ac:dyDescent="0.25">
      <c r="A2301" s="1930" t="s">
        <v>4555</v>
      </c>
      <c r="B2301" s="1930" t="s">
        <v>4556</v>
      </c>
      <c r="C2301" s="1930" t="s">
        <v>4567</v>
      </c>
      <c r="D2301" s="1930" t="s">
        <v>4568</v>
      </c>
      <c r="E2301" s="1931" t="s">
        <v>33</v>
      </c>
      <c r="F2301" s="1930" t="s">
        <v>33</v>
      </c>
      <c r="G2301" s="1932">
        <v>99434</v>
      </c>
      <c r="H2301" s="1930" t="s">
        <v>7584</v>
      </c>
      <c r="I2301" s="1930" t="s">
        <v>1208</v>
      </c>
      <c r="J2301" s="1930" t="s">
        <v>137</v>
      </c>
      <c r="K2301" s="1933">
        <v>411.57</v>
      </c>
      <c r="L2301" s="1930" t="s">
        <v>138</v>
      </c>
    </row>
    <row r="2302" spans="1:12" ht="13.5" x14ac:dyDescent="0.25">
      <c r="A2302" s="1930" t="s">
        <v>4555</v>
      </c>
      <c r="B2302" s="1930" t="s">
        <v>4556</v>
      </c>
      <c r="C2302" s="1930" t="s">
        <v>4567</v>
      </c>
      <c r="D2302" s="1930" t="s">
        <v>4568</v>
      </c>
      <c r="E2302" s="1931" t="s">
        <v>33</v>
      </c>
      <c r="F2302" s="1930" t="s">
        <v>33</v>
      </c>
      <c r="G2302" s="1932">
        <v>99435</v>
      </c>
      <c r="H2302" s="1930" t="s">
        <v>7585</v>
      </c>
      <c r="I2302" s="1930" t="s">
        <v>1208</v>
      </c>
      <c r="J2302" s="1930" t="s">
        <v>137</v>
      </c>
      <c r="K2302" s="1933">
        <v>397.84</v>
      </c>
      <c r="L2302" s="1930" t="s">
        <v>138</v>
      </c>
    </row>
    <row r="2303" spans="1:12" ht="13.5" x14ac:dyDescent="0.25">
      <c r="A2303" s="1930" t="s">
        <v>4555</v>
      </c>
      <c r="B2303" s="1930" t="s">
        <v>4556</v>
      </c>
      <c r="C2303" s="1930" t="s">
        <v>4567</v>
      </c>
      <c r="D2303" s="1930" t="s">
        <v>4568</v>
      </c>
      <c r="E2303" s="1931" t="s">
        <v>33</v>
      </c>
      <c r="F2303" s="1930" t="s">
        <v>33</v>
      </c>
      <c r="G2303" s="1932">
        <v>99436</v>
      </c>
      <c r="H2303" s="1930" t="s">
        <v>7586</v>
      </c>
      <c r="I2303" s="1930" t="s">
        <v>1208</v>
      </c>
      <c r="J2303" s="1930" t="s">
        <v>137</v>
      </c>
      <c r="K2303" s="1933">
        <v>449.62</v>
      </c>
      <c r="L2303" s="1930" t="s">
        <v>138</v>
      </c>
    </row>
    <row r="2304" spans="1:12" ht="13.5" x14ac:dyDescent="0.25">
      <c r="A2304" s="1930" t="s">
        <v>4555</v>
      </c>
      <c r="B2304" s="1930" t="s">
        <v>4556</v>
      </c>
      <c r="C2304" s="1930" t="s">
        <v>4567</v>
      </c>
      <c r="D2304" s="1930" t="s">
        <v>4568</v>
      </c>
      <c r="E2304" s="1931" t="s">
        <v>33</v>
      </c>
      <c r="F2304" s="1930" t="s">
        <v>33</v>
      </c>
      <c r="G2304" s="1932">
        <v>99437</v>
      </c>
      <c r="H2304" s="1930" t="s">
        <v>7587</v>
      </c>
      <c r="I2304" s="1930" t="s">
        <v>1208</v>
      </c>
      <c r="J2304" s="1930" t="s">
        <v>320</v>
      </c>
      <c r="K2304" s="1933">
        <v>365.46</v>
      </c>
      <c r="L2304" s="1930" t="s">
        <v>138</v>
      </c>
    </row>
    <row r="2305" spans="1:12" ht="13.5" x14ac:dyDescent="0.25">
      <c r="A2305" s="1930" t="s">
        <v>4555</v>
      </c>
      <c r="B2305" s="1930" t="s">
        <v>4556</v>
      </c>
      <c r="C2305" s="1930" t="s">
        <v>4567</v>
      </c>
      <c r="D2305" s="1930" t="s">
        <v>4568</v>
      </c>
      <c r="E2305" s="1931" t="s">
        <v>33</v>
      </c>
      <c r="F2305" s="1930" t="s">
        <v>33</v>
      </c>
      <c r="G2305" s="1932">
        <v>99438</v>
      </c>
      <c r="H2305" s="1930" t="s">
        <v>7588</v>
      </c>
      <c r="I2305" s="1930" t="s">
        <v>1208</v>
      </c>
      <c r="J2305" s="1930" t="s">
        <v>320</v>
      </c>
      <c r="K2305" s="1933">
        <v>370.37</v>
      </c>
      <c r="L2305" s="1930" t="s">
        <v>138</v>
      </c>
    </row>
    <row r="2306" spans="1:12" ht="13.5" x14ac:dyDescent="0.25">
      <c r="A2306" s="1930" t="s">
        <v>4555</v>
      </c>
      <c r="B2306" s="1930" t="s">
        <v>4556</v>
      </c>
      <c r="C2306" s="1930" t="s">
        <v>4567</v>
      </c>
      <c r="D2306" s="1930" t="s">
        <v>4568</v>
      </c>
      <c r="E2306" s="1931" t="s">
        <v>33</v>
      </c>
      <c r="F2306" s="1930" t="s">
        <v>33</v>
      </c>
      <c r="G2306" s="1932">
        <v>99439</v>
      </c>
      <c r="H2306" s="1930" t="s">
        <v>7589</v>
      </c>
      <c r="I2306" s="1930" t="s">
        <v>1208</v>
      </c>
      <c r="J2306" s="1930" t="s">
        <v>137</v>
      </c>
      <c r="K2306" s="1933">
        <v>401.64</v>
      </c>
      <c r="L2306" s="1930" t="s">
        <v>138</v>
      </c>
    </row>
    <row r="2307" spans="1:12" ht="13.5" x14ac:dyDescent="0.25">
      <c r="A2307" s="1930" t="s">
        <v>4555</v>
      </c>
      <c r="B2307" s="1930" t="s">
        <v>4556</v>
      </c>
      <c r="C2307" s="1930" t="s">
        <v>4569</v>
      </c>
      <c r="D2307" s="1930" t="s">
        <v>4570</v>
      </c>
      <c r="E2307" s="1931">
        <v>74141</v>
      </c>
      <c r="F2307" s="1930" t="s">
        <v>4571</v>
      </c>
      <c r="G2307" s="1932" t="s">
        <v>1745</v>
      </c>
      <c r="H2307" s="1930" t="s">
        <v>1746</v>
      </c>
      <c r="I2307" s="1930" t="s">
        <v>306</v>
      </c>
      <c r="J2307" s="1930" t="s">
        <v>137</v>
      </c>
      <c r="K2307" s="1933">
        <v>71.75</v>
      </c>
      <c r="L2307" s="1930" t="s">
        <v>138</v>
      </c>
    </row>
    <row r="2308" spans="1:12" ht="13.5" x14ac:dyDescent="0.25">
      <c r="A2308" s="1930" t="s">
        <v>4555</v>
      </c>
      <c r="B2308" s="1930" t="s">
        <v>4556</v>
      </c>
      <c r="C2308" s="1930" t="s">
        <v>4569</v>
      </c>
      <c r="D2308" s="1930" t="s">
        <v>4570</v>
      </c>
      <c r="E2308" s="1931">
        <v>74141</v>
      </c>
      <c r="F2308" s="1930" t="s">
        <v>4571</v>
      </c>
      <c r="G2308" s="1932" t="s">
        <v>1747</v>
      </c>
      <c r="H2308" s="1930" t="s">
        <v>1748</v>
      </c>
      <c r="I2308" s="1930" t="s">
        <v>306</v>
      </c>
      <c r="J2308" s="1930" t="s">
        <v>137</v>
      </c>
      <c r="K2308" s="1933">
        <v>79.56</v>
      </c>
      <c r="L2308" s="1930" t="s">
        <v>138</v>
      </c>
    </row>
    <row r="2309" spans="1:12" ht="13.5" x14ac:dyDescent="0.25">
      <c r="A2309" s="1930" t="s">
        <v>4555</v>
      </c>
      <c r="B2309" s="1930" t="s">
        <v>4556</v>
      </c>
      <c r="C2309" s="1930" t="s">
        <v>4569</v>
      </c>
      <c r="D2309" s="1930" t="s">
        <v>4570</v>
      </c>
      <c r="E2309" s="1931">
        <v>74141</v>
      </c>
      <c r="F2309" s="1930" t="s">
        <v>4571</v>
      </c>
      <c r="G2309" s="1932" t="s">
        <v>1749</v>
      </c>
      <c r="H2309" s="1930" t="s">
        <v>1750</v>
      </c>
      <c r="I2309" s="1930" t="s">
        <v>306</v>
      </c>
      <c r="J2309" s="1930" t="s">
        <v>137</v>
      </c>
      <c r="K2309" s="1933">
        <v>94.66</v>
      </c>
      <c r="L2309" s="1930" t="s">
        <v>138</v>
      </c>
    </row>
    <row r="2310" spans="1:12" ht="13.5" x14ac:dyDescent="0.25">
      <c r="A2310" s="1930" t="s">
        <v>4555</v>
      </c>
      <c r="B2310" s="1930" t="s">
        <v>4556</v>
      </c>
      <c r="C2310" s="1930" t="s">
        <v>4569</v>
      </c>
      <c r="D2310" s="1930" t="s">
        <v>4570</v>
      </c>
      <c r="E2310" s="1931">
        <v>74141</v>
      </c>
      <c r="F2310" s="1930" t="s">
        <v>4571</v>
      </c>
      <c r="G2310" s="1932" t="s">
        <v>1751</v>
      </c>
      <c r="H2310" s="1930" t="s">
        <v>1752</v>
      </c>
      <c r="I2310" s="1930" t="s">
        <v>306</v>
      </c>
      <c r="J2310" s="1930" t="s">
        <v>137</v>
      </c>
      <c r="K2310" s="1933">
        <v>108.3</v>
      </c>
      <c r="L2310" s="1930" t="s">
        <v>138</v>
      </c>
    </row>
    <row r="2311" spans="1:12" ht="13.5" x14ac:dyDescent="0.25">
      <c r="A2311" s="1930" t="s">
        <v>4555</v>
      </c>
      <c r="B2311" s="1930" t="s">
        <v>4556</v>
      </c>
      <c r="C2311" s="1930" t="s">
        <v>4569</v>
      </c>
      <c r="D2311" s="1930" t="s">
        <v>4570</v>
      </c>
      <c r="E2311" s="1931">
        <v>74202</v>
      </c>
      <c r="F2311" s="1930" t="s">
        <v>4571</v>
      </c>
      <c r="G2311" s="1932" t="s">
        <v>1753</v>
      </c>
      <c r="H2311" s="1930" t="s">
        <v>1754</v>
      </c>
      <c r="I2311" s="1930" t="s">
        <v>306</v>
      </c>
      <c r="J2311" s="1930" t="s">
        <v>137</v>
      </c>
      <c r="K2311" s="1933">
        <v>64.599999999999994</v>
      </c>
      <c r="L2311" s="1930" t="s">
        <v>138</v>
      </c>
    </row>
    <row r="2312" spans="1:12" ht="13.5" x14ac:dyDescent="0.25">
      <c r="A2312" s="1930" t="s">
        <v>4555</v>
      </c>
      <c r="B2312" s="1930" t="s">
        <v>4556</v>
      </c>
      <c r="C2312" s="1930" t="s">
        <v>4569</v>
      </c>
      <c r="D2312" s="1930" t="s">
        <v>4570</v>
      </c>
      <c r="E2312" s="1931">
        <v>74202</v>
      </c>
      <c r="F2312" s="1930" t="s">
        <v>4571</v>
      </c>
      <c r="G2312" s="1932" t="s">
        <v>1755</v>
      </c>
      <c r="H2312" s="1930" t="s">
        <v>1756</v>
      </c>
      <c r="I2312" s="1930" t="s">
        <v>306</v>
      </c>
      <c r="J2312" s="1930" t="s">
        <v>137</v>
      </c>
      <c r="K2312" s="1933">
        <v>71.23</v>
      </c>
      <c r="L2312" s="1930" t="s">
        <v>138</v>
      </c>
    </row>
    <row r="2313" spans="1:12" ht="13.5" x14ac:dyDescent="0.25">
      <c r="A2313" s="1930" t="s">
        <v>4555</v>
      </c>
      <c r="B2313" s="1930" t="s">
        <v>4556</v>
      </c>
      <c r="C2313" s="1930" t="s">
        <v>4572</v>
      </c>
      <c r="D2313" s="1930" t="s">
        <v>4573</v>
      </c>
      <c r="E2313" s="1931" t="s">
        <v>33</v>
      </c>
      <c r="F2313" s="1930" t="s">
        <v>33</v>
      </c>
      <c r="G2313" s="1932">
        <v>83518</v>
      </c>
      <c r="H2313" s="1930" t="s">
        <v>1757</v>
      </c>
      <c r="I2313" s="1930" t="s">
        <v>1208</v>
      </c>
      <c r="J2313" s="1930" t="s">
        <v>320</v>
      </c>
      <c r="K2313" s="1933">
        <v>319.51</v>
      </c>
      <c r="L2313" s="1930" t="s">
        <v>138</v>
      </c>
    </row>
    <row r="2314" spans="1:12" ht="13.5" x14ac:dyDescent="0.25">
      <c r="A2314" s="1930" t="s">
        <v>4555</v>
      </c>
      <c r="B2314" s="1930" t="s">
        <v>4556</v>
      </c>
      <c r="C2314" s="1930" t="s">
        <v>4574</v>
      </c>
      <c r="D2314" s="1930" t="s">
        <v>4575</v>
      </c>
      <c r="E2314" s="1931" t="s">
        <v>33</v>
      </c>
      <c r="F2314" s="1930" t="s">
        <v>33</v>
      </c>
      <c r="G2314" s="1932">
        <v>98576</v>
      </c>
      <c r="H2314" s="1930" t="s">
        <v>5411</v>
      </c>
      <c r="I2314" s="1930" t="s">
        <v>136</v>
      </c>
      <c r="J2314" s="1930" t="s">
        <v>137</v>
      </c>
      <c r="K2314" s="1933">
        <v>16.77</v>
      </c>
      <c r="L2314" s="1930" t="s">
        <v>138</v>
      </c>
    </row>
    <row r="2315" spans="1:12" ht="13.5" x14ac:dyDescent="0.25">
      <c r="A2315" s="1930" t="s">
        <v>4555</v>
      </c>
      <c r="B2315" s="1930" t="s">
        <v>4556</v>
      </c>
      <c r="C2315" s="1930" t="s">
        <v>4576</v>
      </c>
      <c r="D2315" s="1930" t="s">
        <v>4577</v>
      </c>
      <c r="E2315" s="1931" t="s">
        <v>33</v>
      </c>
      <c r="F2315" s="1930" t="s">
        <v>33</v>
      </c>
      <c r="G2315" s="1932">
        <v>93182</v>
      </c>
      <c r="H2315" s="1930" t="s">
        <v>1758</v>
      </c>
      <c r="I2315" s="1930" t="s">
        <v>136</v>
      </c>
      <c r="J2315" s="1930" t="s">
        <v>137</v>
      </c>
      <c r="K2315" s="1933">
        <v>26.24</v>
      </c>
      <c r="L2315" s="1930" t="s">
        <v>138</v>
      </c>
    </row>
    <row r="2316" spans="1:12" ht="13.5" x14ac:dyDescent="0.25">
      <c r="A2316" s="1930" t="s">
        <v>4555</v>
      </c>
      <c r="B2316" s="1930" t="s">
        <v>4556</v>
      </c>
      <c r="C2316" s="1930" t="s">
        <v>4576</v>
      </c>
      <c r="D2316" s="1930" t="s">
        <v>4577</v>
      </c>
      <c r="E2316" s="1931" t="s">
        <v>33</v>
      </c>
      <c r="F2316" s="1930" t="s">
        <v>33</v>
      </c>
      <c r="G2316" s="1932">
        <v>93183</v>
      </c>
      <c r="H2316" s="1930" t="s">
        <v>1759</v>
      </c>
      <c r="I2316" s="1930" t="s">
        <v>136</v>
      </c>
      <c r="J2316" s="1930" t="s">
        <v>137</v>
      </c>
      <c r="K2316" s="1933">
        <v>33.11</v>
      </c>
      <c r="L2316" s="1930" t="s">
        <v>138</v>
      </c>
    </row>
    <row r="2317" spans="1:12" ht="13.5" x14ac:dyDescent="0.25">
      <c r="A2317" s="1930" t="s">
        <v>4555</v>
      </c>
      <c r="B2317" s="1930" t="s">
        <v>4556</v>
      </c>
      <c r="C2317" s="1930" t="s">
        <v>4576</v>
      </c>
      <c r="D2317" s="1930" t="s">
        <v>4577</v>
      </c>
      <c r="E2317" s="1931" t="s">
        <v>33</v>
      </c>
      <c r="F2317" s="1930" t="s">
        <v>33</v>
      </c>
      <c r="G2317" s="1932">
        <v>93184</v>
      </c>
      <c r="H2317" s="1930" t="s">
        <v>1760</v>
      </c>
      <c r="I2317" s="1930" t="s">
        <v>136</v>
      </c>
      <c r="J2317" s="1930" t="s">
        <v>137</v>
      </c>
      <c r="K2317" s="1933">
        <v>19.899999999999999</v>
      </c>
      <c r="L2317" s="1930" t="s">
        <v>138</v>
      </c>
    </row>
    <row r="2318" spans="1:12" ht="13.5" x14ac:dyDescent="0.25">
      <c r="A2318" s="1930" t="s">
        <v>4555</v>
      </c>
      <c r="B2318" s="1930" t="s">
        <v>4556</v>
      </c>
      <c r="C2318" s="1930" t="s">
        <v>4576</v>
      </c>
      <c r="D2318" s="1930" t="s">
        <v>4577</v>
      </c>
      <c r="E2318" s="1931" t="s">
        <v>33</v>
      </c>
      <c r="F2318" s="1930" t="s">
        <v>33</v>
      </c>
      <c r="G2318" s="1932">
        <v>93185</v>
      </c>
      <c r="H2318" s="1930" t="s">
        <v>1761</v>
      </c>
      <c r="I2318" s="1930" t="s">
        <v>136</v>
      </c>
      <c r="J2318" s="1930" t="s">
        <v>137</v>
      </c>
      <c r="K2318" s="1933">
        <v>32.549999999999997</v>
      </c>
      <c r="L2318" s="1930" t="s">
        <v>138</v>
      </c>
    </row>
    <row r="2319" spans="1:12" ht="13.5" x14ac:dyDescent="0.25">
      <c r="A2319" s="1930" t="s">
        <v>4555</v>
      </c>
      <c r="B2319" s="1930" t="s">
        <v>4556</v>
      </c>
      <c r="C2319" s="1930" t="s">
        <v>4576</v>
      </c>
      <c r="D2319" s="1930" t="s">
        <v>4577</v>
      </c>
      <c r="E2319" s="1931" t="s">
        <v>33</v>
      </c>
      <c r="F2319" s="1930" t="s">
        <v>33</v>
      </c>
      <c r="G2319" s="1932">
        <v>93186</v>
      </c>
      <c r="H2319" s="1930" t="s">
        <v>1762</v>
      </c>
      <c r="I2319" s="1930" t="s">
        <v>136</v>
      </c>
      <c r="J2319" s="1930" t="s">
        <v>137</v>
      </c>
      <c r="K2319" s="1933">
        <v>47.3</v>
      </c>
      <c r="L2319" s="1930" t="s">
        <v>138</v>
      </c>
    </row>
    <row r="2320" spans="1:12" ht="13.5" x14ac:dyDescent="0.25">
      <c r="A2320" s="1930" t="s">
        <v>4555</v>
      </c>
      <c r="B2320" s="1930" t="s">
        <v>4556</v>
      </c>
      <c r="C2320" s="1930" t="s">
        <v>4576</v>
      </c>
      <c r="D2320" s="1930" t="s">
        <v>4577</v>
      </c>
      <c r="E2320" s="1931" t="s">
        <v>33</v>
      </c>
      <c r="F2320" s="1930" t="s">
        <v>33</v>
      </c>
      <c r="G2320" s="1932">
        <v>93187</v>
      </c>
      <c r="H2320" s="1930" t="s">
        <v>1763</v>
      </c>
      <c r="I2320" s="1930" t="s">
        <v>136</v>
      </c>
      <c r="J2320" s="1930" t="s">
        <v>137</v>
      </c>
      <c r="K2320" s="1933">
        <v>53.92</v>
      </c>
      <c r="L2320" s="1930" t="s">
        <v>138</v>
      </c>
    </row>
    <row r="2321" spans="1:12" ht="13.5" x14ac:dyDescent="0.25">
      <c r="A2321" s="1930" t="s">
        <v>4555</v>
      </c>
      <c r="B2321" s="1930" t="s">
        <v>4556</v>
      </c>
      <c r="C2321" s="1930" t="s">
        <v>4576</v>
      </c>
      <c r="D2321" s="1930" t="s">
        <v>4577</v>
      </c>
      <c r="E2321" s="1931" t="s">
        <v>33</v>
      </c>
      <c r="F2321" s="1930" t="s">
        <v>33</v>
      </c>
      <c r="G2321" s="1932">
        <v>93188</v>
      </c>
      <c r="H2321" s="1930" t="s">
        <v>1764</v>
      </c>
      <c r="I2321" s="1930" t="s">
        <v>136</v>
      </c>
      <c r="J2321" s="1930" t="s">
        <v>137</v>
      </c>
      <c r="K2321" s="1933">
        <v>43.91</v>
      </c>
      <c r="L2321" s="1930" t="s">
        <v>138</v>
      </c>
    </row>
    <row r="2322" spans="1:12" ht="13.5" x14ac:dyDescent="0.25">
      <c r="A2322" s="1930" t="s">
        <v>4555</v>
      </c>
      <c r="B2322" s="1930" t="s">
        <v>4556</v>
      </c>
      <c r="C2322" s="1930" t="s">
        <v>4576</v>
      </c>
      <c r="D2322" s="1930" t="s">
        <v>4577</v>
      </c>
      <c r="E2322" s="1931" t="s">
        <v>33</v>
      </c>
      <c r="F2322" s="1930" t="s">
        <v>33</v>
      </c>
      <c r="G2322" s="1932">
        <v>93189</v>
      </c>
      <c r="H2322" s="1930" t="s">
        <v>1765</v>
      </c>
      <c r="I2322" s="1930" t="s">
        <v>136</v>
      </c>
      <c r="J2322" s="1930" t="s">
        <v>137</v>
      </c>
      <c r="K2322" s="1933">
        <v>54.2</v>
      </c>
      <c r="L2322" s="1930" t="s">
        <v>138</v>
      </c>
    </row>
    <row r="2323" spans="1:12" ht="13.5" x14ac:dyDescent="0.25">
      <c r="A2323" s="1930" t="s">
        <v>4555</v>
      </c>
      <c r="B2323" s="1930" t="s">
        <v>4556</v>
      </c>
      <c r="C2323" s="1930" t="s">
        <v>4576</v>
      </c>
      <c r="D2323" s="1930" t="s">
        <v>4577</v>
      </c>
      <c r="E2323" s="1931" t="s">
        <v>33</v>
      </c>
      <c r="F2323" s="1930" t="s">
        <v>33</v>
      </c>
      <c r="G2323" s="1932">
        <v>93190</v>
      </c>
      <c r="H2323" s="1930" t="s">
        <v>1766</v>
      </c>
      <c r="I2323" s="1930" t="s">
        <v>136</v>
      </c>
      <c r="J2323" s="1930" t="s">
        <v>320</v>
      </c>
      <c r="K2323" s="1933">
        <v>29.48</v>
      </c>
      <c r="L2323" s="1930" t="s">
        <v>138</v>
      </c>
    </row>
    <row r="2324" spans="1:12" ht="13.5" x14ac:dyDescent="0.25">
      <c r="A2324" s="1930" t="s">
        <v>4555</v>
      </c>
      <c r="B2324" s="1930" t="s">
        <v>4556</v>
      </c>
      <c r="C2324" s="1930" t="s">
        <v>4576</v>
      </c>
      <c r="D2324" s="1930" t="s">
        <v>4577</v>
      </c>
      <c r="E2324" s="1931" t="s">
        <v>33</v>
      </c>
      <c r="F2324" s="1930" t="s">
        <v>33</v>
      </c>
      <c r="G2324" s="1932">
        <v>93191</v>
      </c>
      <c r="H2324" s="1930" t="s">
        <v>1767</v>
      </c>
      <c r="I2324" s="1930" t="s">
        <v>136</v>
      </c>
      <c r="J2324" s="1930" t="s">
        <v>320</v>
      </c>
      <c r="K2324" s="1933">
        <v>30.62</v>
      </c>
      <c r="L2324" s="1930" t="s">
        <v>138</v>
      </c>
    </row>
    <row r="2325" spans="1:12" ht="13.5" x14ac:dyDescent="0.25">
      <c r="A2325" s="1930" t="s">
        <v>4555</v>
      </c>
      <c r="B2325" s="1930" t="s">
        <v>4556</v>
      </c>
      <c r="C2325" s="1930" t="s">
        <v>4576</v>
      </c>
      <c r="D2325" s="1930" t="s">
        <v>4577</v>
      </c>
      <c r="E2325" s="1931" t="s">
        <v>33</v>
      </c>
      <c r="F2325" s="1930" t="s">
        <v>33</v>
      </c>
      <c r="G2325" s="1932">
        <v>93192</v>
      </c>
      <c r="H2325" s="1930" t="s">
        <v>1768</v>
      </c>
      <c r="I2325" s="1930" t="s">
        <v>136</v>
      </c>
      <c r="J2325" s="1930" t="s">
        <v>320</v>
      </c>
      <c r="K2325" s="1933">
        <v>31.55</v>
      </c>
      <c r="L2325" s="1930" t="s">
        <v>138</v>
      </c>
    </row>
    <row r="2326" spans="1:12" ht="13.5" x14ac:dyDescent="0.25">
      <c r="A2326" s="1930" t="s">
        <v>4555</v>
      </c>
      <c r="B2326" s="1930" t="s">
        <v>4556</v>
      </c>
      <c r="C2326" s="1930" t="s">
        <v>4576</v>
      </c>
      <c r="D2326" s="1930" t="s">
        <v>4577</v>
      </c>
      <c r="E2326" s="1931" t="s">
        <v>33</v>
      </c>
      <c r="F2326" s="1930" t="s">
        <v>33</v>
      </c>
      <c r="G2326" s="1932">
        <v>93193</v>
      </c>
      <c r="H2326" s="1930" t="s">
        <v>1769</v>
      </c>
      <c r="I2326" s="1930" t="s">
        <v>136</v>
      </c>
      <c r="J2326" s="1930" t="s">
        <v>320</v>
      </c>
      <c r="K2326" s="1933">
        <v>30.98</v>
      </c>
      <c r="L2326" s="1930" t="s">
        <v>138</v>
      </c>
    </row>
    <row r="2327" spans="1:12" ht="13.5" x14ac:dyDescent="0.25">
      <c r="A2327" s="1930" t="s">
        <v>4555</v>
      </c>
      <c r="B2327" s="1930" t="s">
        <v>4556</v>
      </c>
      <c r="C2327" s="1930" t="s">
        <v>4576</v>
      </c>
      <c r="D2327" s="1930" t="s">
        <v>4577</v>
      </c>
      <c r="E2327" s="1931" t="s">
        <v>33</v>
      </c>
      <c r="F2327" s="1930" t="s">
        <v>33</v>
      </c>
      <c r="G2327" s="1932">
        <v>93194</v>
      </c>
      <c r="H2327" s="1930" t="s">
        <v>1770</v>
      </c>
      <c r="I2327" s="1930" t="s">
        <v>136</v>
      </c>
      <c r="J2327" s="1930" t="s">
        <v>137</v>
      </c>
      <c r="K2327" s="1933">
        <v>25.8</v>
      </c>
      <c r="L2327" s="1930" t="s">
        <v>138</v>
      </c>
    </row>
    <row r="2328" spans="1:12" ht="13.5" x14ac:dyDescent="0.25">
      <c r="A2328" s="1930" t="s">
        <v>4555</v>
      </c>
      <c r="B2328" s="1930" t="s">
        <v>4556</v>
      </c>
      <c r="C2328" s="1930" t="s">
        <v>4576</v>
      </c>
      <c r="D2328" s="1930" t="s">
        <v>4577</v>
      </c>
      <c r="E2328" s="1931" t="s">
        <v>33</v>
      </c>
      <c r="F2328" s="1930" t="s">
        <v>33</v>
      </c>
      <c r="G2328" s="1932">
        <v>93195</v>
      </c>
      <c r="H2328" s="1930" t="s">
        <v>1771</v>
      </c>
      <c r="I2328" s="1930" t="s">
        <v>136</v>
      </c>
      <c r="J2328" s="1930" t="s">
        <v>137</v>
      </c>
      <c r="K2328" s="1933">
        <v>30.82</v>
      </c>
      <c r="L2328" s="1930" t="s">
        <v>138</v>
      </c>
    </row>
    <row r="2329" spans="1:12" ht="13.5" x14ac:dyDescent="0.25">
      <c r="A2329" s="1930" t="s">
        <v>4555</v>
      </c>
      <c r="B2329" s="1930" t="s">
        <v>4556</v>
      </c>
      <c r="C2329" s="1930" t="s">
        <v>4576</v>
      </c>
      <c r="D2329" s="1930" t="s">
        <v>4577</v>
      </c>
      <c r="E2329" s="1931" t="s">
        <v>33</v>
      </c>
      <c r="F2329" s="1930" t="s">
        <v>33</v>
      </c>
      <c r="G2329" s="1932">
        <v>93196</v>
      </c>
      <c r="H2329" s="1930" t="s">
        <v>1772</v>
      </c>
      <c r="I2329" s="1930" t="s">
        <v>136</v>
      </c>
      <c r="J2329" s="1930" t="s">
        <v>137</v>
      </c>
      <c r="K2329" s="1933">
        <v>46.05</v>
      </c>
      <c r="L2329" s="1930" t="s">
        <v>138</v>
      </c>
    </row>
    <row r="2330" spans="1:12" ht="13.5" x14ac:dyDescent="0.25">
      <c r="A2330" s="1930" t="s">
        <v>4555</v>
      </c>
      <c r="B2330" s="1930" t="s">
        <v>4556</v>
      </c>
      <c r="C2330" s="1930" t="s">
        <v>4576</v>
      </c>
      <c r="D2330" s="1930" t="s">
        <v>4577</v>
      </c>
      <c r="E2330" s="1931" t="s">
        <v>33</v>
      </c>
      <c r="F2330" s="1930" t="s">
        <v>33</v>
      </c>
      <c r="G2330" s="1932">
        <v>93197</v>
      </c>
      <c r="H2330" s="1930" t="s">
        <v>1773</v>
      </c>
      <c r="I2330" s="1930" t="s">
        <v>136</v>
      </c>
      <c r="J2330" s="1930" t="s">
        <v>137</v>
      </c>
      <c r="K2330" s="1933">
        <v>51.15</v>
      </c>
      <c r="L2330" s="1930" t="s">
        <v>138</v>
      </c>
    </row>
    <row r="2331" spans="1:12" ht="13.5" x14ac:dyDescent="0.25">
      <c r="A2331" s="1930" t="s">
        <v>4555</v>
      </c>
      <c r="B2331" s="1930" t="s">
        <v>4556</v>
      </c>
      <c r="C2331" s="1930" t="s">
        <v>4576</v>
      </c>
      <c r="D2331" s="1930" t="s">
        <v>4577</v>
      </c>
      <c r="E2331" s="1931" t="s">
        <v>33</v>
      </c>
      <c r="F2331" s="1930" t="s">
        <v>33</v>
      </c>
      <c r="G2331" s="1932">
        <v>93198</v>
      </c>
      <c r="H2331" s="1930" t="s">
        <v>1774</v>
      </c>
      <c r="I2331" s="1930" t="s">
        <v>136</v>
      </c>
      <c r="J2331" s="1930" t="s">
        <v>320</v>
      </c>
      <c r="K2331" s="1933">
        <v>26.39</v>
      </c>
      <c r="L2331" s="1930" t="s">
        <v>138</v>
      </c>
    </row>
    <row r="2332" spans="1:12" ht="13.5" x14ac:dyDescent="0.25">
      <c r="A2332" s="1930" t="s">
        <v>4555</v>
      </c>
      <c r="B2332" s="1930" t="s">
        <v>4556</v>
      </c>
      <c r="C2332" s="1930" t="s">
        <v>4576</v>
      </c>
      <c r="D2332" s="1930" t="s">
        <v>4577</v>
      </c>
      <c r="E2332" s="1931" t="s">
        <v>33</v>
      </c>
      <c r="F2332" s="1930" t="s">
        <v>33</v>
      </c>
      <c r="G2332" s="1932">
        <v>93199</v>
      </c>
      <c r="H2332" s="1930" t="s">
        <v>1775</v>
      </c>
      <c r="I2332" s="1930" t="s">
        <v>136</v>
      </c>
      <c r="J2332" s="1930" t="s">
        <v>320</v>
      </c>
      <c r="K2332" s="1933">
        <v>25.94</v>
      </c>
      <c r="L2332" s="1930" t="s">
        <v>138</v>
      </c>
    </row>
    <row r="2333" spans="1:12" ht="13.5" x14ac:dyDescent="0.25">
      <c r="A2333" s="1930" t="s">
        <v>4555</v>
      </c>
      <c r="B2333" s="1930" t="s">
        <v>4556</v>
      </c>
      <c r="C2333" s="1930" t="s">
        <v>4576</v>
      </c>
      <c r="D2333" s="1930" t="s">
        <v>4577</v>
      </c>
      <c r="E2333" s="1931" t="s">
        <v>33</v>
      </c>
      <c r="F2333" s="1930" t="s">
        <v>33</v>
      </c>
      <c r="G2333" s="1932">
        <v>93200</v>
      </c>
      <c r="H2333" s="1930" t="s">
        <v>1776</v>
      </c>
      <c r="I2333" s="1930" t="s">
        <v>136</v>
      </c>
      <c r="J2333" s="1930" t="s">
        <v>320</v>
      </c>
      <c r="K2333" s="1933">
        <v>2.2999999999999998</v>
      </c>
      <c r="L2333" s="1930" t="s">
        <v>138</v>
      </c>
    </row>
    <row r="2334" spans="1:12" ht="13.5" x14ac:dyDescent="0.25">
      <c r="A2334" s="1930" t="s">
        <v>4555</v>
      </c>
      <c r="B2334" s="1930" t="s">
        <v>4556</v>
      </c>
      <c r="C2334" s="1930" t="s">
        <v>4576</v>
      </c>
      <c r="D2334" s="1930" t="s">
        <v>4577</v>
      </c>
      <c r="E2334" s="1931" t="s">
        <v>33</v>
      </c>
      <c r="F2334" s="1930" t="s">
        <v>33</v>
      </c>
      <c r="G2334" s="1932">
        <v>93201</v>
      </c>
      <c r="H2334" s="1930" t="s">
        <v>1777</v>
      </c>
      <c r="I2334" s="1930" t="s">
        <v>136</v>
      </c>
      <c r="J2334" s="1930" t="s">
        <v>320</v>
      </c>
      <c r="K2334" s="1933">
        <v>4.78</v>
      </c>
      <c r="L2334" s="1930" t="s">
        <v>138</v>
      </c>
    </row>
    <row r="2335" spans="1:12" ht="13.5" x14ac:dyDescent="0.25">
      <c r="A2335" s="1930" t="s">
        <v>4555</v>
      </c>
      <c r="B2335" s="1930" t="s">
        <v>4556</v>
      </c>
      <c r="C2335" s="1930" t="s">
        <v>4576</v>
      </c>
      <c r="D2335" s="1930" t="s">
        <v>4577</v>
      </c>
      <c r="E2335" s="1931" t="s">
        <v>33</v>
      </c>
      <c r="F2335" s="1930" t="s">
        <v>33</v>
      </c>
      <c r="G2335" s="1932">
        <v>93202</v>
      </c>
      <c r="H2335" s="1930" t="s">
        <v>1778</v>
      </c>
      <c r="I2335" s="1930" t="s">
        <v>136</v>
      </c>
      <c r="J2335" s="1930" t="s">
        <v>320</v>
      </c>
      <c r="K2335" s="1933">
        <v>17.649999999999999</v>
      </c>
      <c r="L2335" s="1930" t="s">
        <v>138</v>
      </c>
    </row>
    <row r="2336" spans="1:12" ht="13.5" x14ac:dyDescent="0.25">
      <c r="A2336" s="1930" t="s">
        <v>4555</v>
      </c>
      <c r="B2336" s="1930" t="s">
        <v>4556</v>
      </c>
      <c r="C2336" s="1930" t="s">
        <v>4576</v>
      </c>
      <c r="D2336" s="1930" t="s">
        <v>4577</v>
      </c>
      <c r="E2336" s="1931" t="s">
        <v>33</v>
      </c>
      <c r="F2336" s="1930" t="s">
        <v>33</v>
      </c>
      <c r="G2336" s="1932">
        <v>93203</v>
      </c>
      <c r="H2336" s="1930" t="s">
        <v>5028</v>
      </c>
      <c r="I2336" s="1930" t="s">
        <v>136</v>
      </c>
      <c r="J2336" s="1930" t="s">
        <v>346</v>
      </c>
      <c r="K2336" s="1933">
        <v>10.9</v>
      </c>
      <c r="L2336" s="1930" t="s">
        <v>138</v>
      </c>
    </row>
    <row r="2337" spans="1:12" ht="13.5" x14ac:dyDescent="0.25">
      <c r="A2337" s="1930" t="s">
        <v>4555</v>
      </c>
      <c r="B2337" s="1930" t="s">
        <v>4556</v>
      </c>
      <c r="C2337" s="1930" t="s">
        <v>4576</v>
      </c>
      <c r="D2337" s="1930" t="s">
        <v>4577</v>
      </c>
      <c r="E2337" s="1931" t="s">
        <v>33</v>
      </c>
      <c r="F2337" s="1930" t="s">
        <v>33</v>
      </c>
      <c r="G2337" s="1932">
        <v>93204</v>
      </c>
      <c r="H2337" s="1930" t="s">
        <v>1779</v>
      </c>
      <c r="I2337" s="1930" t="s">
        <v>136</v>
      </c>
      <c r="J2337" s="1930" t="s">
        <v>137</v>
      </c>
      <c r="K2337" s="1933">
        <v>35.69</v>
      </c>
      <c r="L2337" s="1930" t="s">
        <v>138</v>
      </c>
    </row>
    <row r="2338" spans="1:12" ht="13.5" x14ac:dyDescent="0.25">
      <c r="A2338" s="1930" t="s">
        <v>4555</v>
      </c>
      <c r="B2338" s="1930" t="s">
        <v>4556</v>
      </c>
      <c r="C2338" s="1930" t="s">
        <v>4576</v>
      </c>
      <c r="D2338" s="1930" t="s">
        <v>4577</v>
      </c>
      <c r="E2338" s="1931" t="s">
        <v>33</v>
      </c>
      <c r="F2338" s="1930" t="s">
        <v>33</v>
      </c>
      <c r="G2338" s="1932">
        <v>93205</v>
      </c>
      <c r="H2338" s="1930" t="s">
        <v>1780</v>
      </c>
      <c r="I2338" s="1930" t="s">
        <v>136</v>
      </c>
      <c r="J2338" s="1930" t="s">
        <v>320</v>
      </c>
      <c r="K2338" s="1933">
        <v>23.65</v>
      </c>
      <c r="L2338" s="1930" t="s">
        <v>138</v>
      </c>
    </row>
    <row r="2339" spans="1:12" ht="13.5" x14ac:dyDescent="0.25">
      <c r="A2339" s="1930" t="s">
        <v>4555</v>
      </c>
      <c r="B2339" s="1930" t="s">
        <v>4556</v>
      </c>
      <c r="C2339" s="1930" t="s">
        <v>4578</v>
      </c>
      <c r="D2339" s="1930" t="s">
        <v>4579</v>
      </c>
      <c r="E2339" s="1931" t="s">
        <v>33</v>
      </c>
      <c r="F2339" s="1930" t="s">
        <v>33</v>
      </c>
      <c r="G2339" s="1932">
        <v>85233</v>
      </c>
      <c r="H2339" s="1930" t="s">
        <v>1781</v>
      </c>
      <c r="I2339" s="1930" t="s">
        <v>1208</v>
      </c>
      <c r="J2339" s="1930" t="s">
        <v>137</v>
      </c>
      <c r="K2339" s="1933">
        <v>2399.25</v>
      </c>
      <c r="L2339" s="1930" t="s">
        <v>138</v>
      </c>
    </row>
    <row r="2340" spans="1:12" ht="13.5" x14ac:dyDescent="0.25">
      <c r="A2340" s="1930" t="s">
        <v>4555</v>
      </c>
      <c r="B2340" s="1930" t="s">
        <v>4556</v>
      </c>
      <c r="C2340" s="1930" t="s">
        <v>4578</v>
      </c>
      <c r="D2340" s="1930" t="s">
        <v>4579</v>
      </c>
      <c r="E2340" s="1931" t="s">
        <v>33</v>
      </c>
      <c r="F2340" s="1930" t="s">
        <v>33</v>
      </c>
      <c r="G2340" s="1932">
        <v>95952</v>
      </c>
      <c r="H2340" s="1930" t="s">
        <v>1782</v>
      </c>
      <c r="I2340" s="1930" t="s">
        <v>1208</v>
      </c>
      <c r="J2340" s="1930" t="s">
        <v>137</v>
      </c>
      <c r="K2340" s="1933">
        <v>1414.39</v>
      </c>
      <c r="L2340" s="1930" t="s">
        <v>138</v>
      </c>
    </row>
    <row r="2341" spans="1:12" ht="13.5" x14ac:dyDescent="0.25">
      <c r="A2341" s="1930" t="s">
        <v>4555</v>
      </c>
      <c r="B2341" s="1930" t="s">
        <v>4556</v>
      </c>
      <c r="C2341" s="1930" t="s">
        <v>4578</v>
      </c>
      <c r="D2341" s="1930" t="s">
        <v>4579</v>
      </c>
      <c r="E2341" s="1931" t="s">
        <v>33</v>
      </c>
      <c r="F2341" s="1930" t="s">
        <v>33</v>
      </c>
      <c r="G2341" s="1932">
        <v>95953</v>
      </c>
      <c r="H2341" s="1930" t="s">
        <v>1783</v>
      </c>
      <c r="I2341" s="1930" t="s">
        <v>1208</v>
      </c>
      <c r="J2341" s="1930" t="s">
        <v>137</v>
      </c>
      <c r="K2341" s="1933">
        <v>2348.29</v>
      </c>
      <c r="L2341" s="1930" t="s">
        <v>138</v>
      </c>
    </row>
    <row r="2342" spans="1:12" ht="13.5" x14ac:dyDescent="0.25">
      <c r="A2342" s="1930" t="s">
        <v>4555</v>
      </c>
      <c r="B2342" s="1930" t="s">
        <v>4556</v>
      </c>
      <c r="C2342" s="1930" t="s">
        <v>4578</v>
      </c>
      <c r="D2342" s="1930" t="s">
        <v>4579</v>
      </c>
      <c r="E2342" s="1931" t="s">
        <v>33</v>
      </c>
      <c r="F2342" s="1930" t="s">
        <v>33</v>
      </c>
      <c r="G2342" s="1932">
        <v>95954</v>
      </c>
      <c r="H2342" s="1930" t="s">
        <v>1784</v>
      </c>
      <c r="I2342" s="1930" t="s">
        <v>1208</v>
      </c>
      <c r="J2342" s="1930" t="s">
        <v>137</v>
      </c>
      <c r="K2342" s="1933">
        <v>1657.15</v>
      </c>
      <c r="L2342" s="1930" t="s">
        <v>138</v>
      </c>
    </row>
    <row r="2343" spans="1:12" ht="13.5" x14ac:dyDescent="0.25">
      <c r="A2343" s="1930" t="s">
        <v>4555</v>
      </c>
      <c r="B2343" s="1930" t="s">
        <v>4556</v>
      </c>
      <c r="C2343" s="1930" t="s">
        <v>4578</v>
      </c>
      <c r="D2343" s="1930" t="s">
        <v>4579</v>
      </c>
      <c r="E2343" s="1931" t="s">
        <v>33</v>
      </c>
      <c r="F2343" s="1930" t="s">
        <v>33</v>
      </c>
      <c r="G2343" s="1932">
        <v>95955</v>
      </c>
      <c r="H2343" s="1930" t="s">
        <v>1785</v>
      </c>
      <c r="I2343" s="1930" t="s">
        <v>1208</v>
      </c>
      <c r="J2343" s="1930" t="s">
        <v>137</v>
      </c>
      <c r="K2343" s="1933">
        <v>2089.2399999999998</v>
      </c>
      <c r="L2343" s="1930" t="s">
        <v>138</v>
      </c>
    </row>
    <row r="2344" spans="1:12" ht="13.5" x14ac:dyDescent="0.25">
      <c r="A2344" s="1930" t="s">
        <v>4555</v>
      </c>
      <c r="B2344" s="1930" t="s">
        <v>4556</v>
      </c>
      <c r="C2344" s="1930" t="s">
        <v>4578</v>
      </c>
      <c r="D2344" s="1930" t="s">
        <v>4579</v>
      </c>
      <c r="E2344" s="1931" t="s">
        <v>33</v>
      </c>
      <c r="F2344" s="1930" t="s">
        <v>33</v>
      </c>
      <c r="G2344" s="1932">
        <v>95956</v>
      </c>
      <c r="H2344" s="1930" t="s">
        <v>1786</v>
      </c>
      <c r="I2344" s="1930" t="s">
        <v>1208</v>
      </c>
      <c r="J2344" s="1930" t="s">
        <v>137</v>
      </c>
      <c r="K2344" s="1933">
        <v>1626.77</v>
      </c>
      <c r="L2344" s="1930" t="s">
        <v>138</v>
      </c>
    </row>
    <row r="2345" spans="1:12" ht="13.5" x14ac:dyDescent="0.25">
      <c r="A2345" s="1930" t="s">
        <v>4555</v>
      </c>
      <c r="B2345" s="1930" t="s">
        <v>4556</v>
      </c>
      <c r="C2345" s="1930" t="s">
        <v>4578</v>
      </c>
      <c r="D2345" s="1930" t="s">
        <v>4579</v>
      </c>
      <c r="E2345" s="1931" t="s">
        <v>33</v>
      </c>
      <c r="F2345" s="1930" t="s">
        <v>33</v>
      </c>
      <c r="G2345" s="1932">
        <v>95957</v>
      </c>
      <c r="H2345" s="1930" t="s">
        <v>1787</v>
      </c>
      <c r="I2345" s="1930" t="s">
        <v>1208</v>
      </c>
      <c r="J2345" s="1930" t="s">
        <v>137</v>
      </c>
      <c r="K2345" s="1933">
        <v>2079.83</v>
      </c>
      <c r="L2345" s="1930" t="s">
        <v>138</v>
      </c>
    </row>
    <row r="2346" spans="1:12" ht="13.5" x14ac:dyDescent="0.25">
      <c r="A2346" s="1930" t="s">
        <v>4555</v>
      </c>
      <c r="B2346" s="1930" t="s">
        <v>4556</v>
      </c>
      <c r="C2346" s="1930" t="s">
        <v>4578</v>
      </c>
      <c r="D2346" s="1930" t="s">
        <v>4579</v>
      </c>
      <c r="E2346" s="1931" t="s">
        <v>33</v>
      </c>
      <c r="F2346" s="1930" t="s">
        <v>33</v>
      </c>
      <c r="G2346" s="1932">
        <v>95969</v>
      </c>
      <c r="H2346" s="1930" t="s">
        <v>1788</v>
      </c>
      <c r="I2346" s="1930" t="s">
        <v>1208</v>
      </c>
      <c r="J2346" s="1930" t="s">
        <v>137</v>
      </c>
      <c r="K2346" s="1933">
        <v>1951.3</v>
      </c>
      <c r="L2346" s="1930" t="s">
        <v>138</v>
      </c>
    </row>
    <row r="2347" spans="1:12" ht="13.5" x14ac:dyDescent="0.25">
      <c r="A2347" s="1930" t="s">
        <v>4555</v>
      </c>
      <c r="B2347" s="1930" t="s">
        <v>4556</v>
      </c>
      <c r="C2347" s="1930" t="s">
        <v>4578</v>
      </c>
      <c r="D2347" s="1930" t="s">
        <v>4579</v>
      </c>
      <c r="E2347" s="1931" t="s">
        <v>33</v>
      </c>
      <c r="F2347" s="1930" t="s">
        <v>33</v>
      </c>
      <c r="G2347" s="1932">
        <v>97733</v>
      </c>
      <c r="H2347" s="1930" t="s">
        <v>5412</v>
      </c>
      <c r="I2347" s="1930" t="s">
        <v>1208</v>
      </c>
      <c r="J2347" s="1930" t="s">
        <v>137</v>
      </c>
      <c r="K2347" s="1933">
        <v>2396.5500000000002</v>
      </c>
      <c r="L2347" s="1930" t="s">
        <v>138</v>
      </c>
    </row>
    <row r="2348" spans="1:12" ht="13.5" x14ac:dyDescent="0.25">
      <c r="A2348" s="1930" t="s">
        <v>4555</v>
      </c>
      <c r="B2348" s="1930" t="s">
        <v>4556</v>
      </c>
      <c r="C2348" s="1930" t="s">
        <v>4578</v>
      </c>
      <c r="D2348" s="1930" t="s">
        <v>4579</v>
      </c>
      <c r="E2348" s="1931" t="s">
        <v>33</v>
      </c>
      <c r="F2348" s="1930" t="s">
        <v>33</v>
      </c>
      <c r="G2348" s="1932">
        <v>97734</v>
      </c>
      <c r="H2348" s="1930" t="s">
        <v>5413</v>
      </c>
      <c r="I2348" s="1930" t="s">
        <v>1208</v>
      </c>
      <c r="J2348" s="1930" t="s">
        <v>137</v>
      </c>
      <c r="K2348" s="1933">
        <v>2080.73</v>
      </c>
      <c r="L2348" s="1930" t="s">
        <v>138</v>
      </c>
    </row>
    <row r="2349" spans="1:12" ht="13.5" x14ac:dyDescent="0.25">
      <c r="A2349" s="1930" t="s">
        <v>4555</v>
      </c>
      <c r="B2349" s="1930" t="s">
        <v>4556</v>
      </c>
      <c r="C2349" s="1930" t="s">
        <v>4578</v>
      </c>
      <c r="D2349" s="1930" t="s">
        <v>4579</v>
      </c>
      <c r="E2349" s="1931" t="s">
        <v>33</v>
      </c>
      <c r="F2349" s="1930" t="s">
        <v>33</v>
      </c>
      <c r="G2349" s="1932">
        <v>97735</v>
      </c>
      <c r="H2349" s="1930" t="s">
        <v>5414</v>
      </c>
      <c r="I2349" s="1930" t="s">
        <v>1208</v>
      </c>
      <c r="J2349" s="1930" t="s">
        <v>137</v>
      </c>
      <c r="K2349" s="1933">
        <v>1712.32</v>
      </c>
      <c r="L2349" s="1930" t="s">
        <v>138</v>
      </c>
    </row>
    <row r="2350" spans="1:12" ht="13.5" x14ac:dyDescent="0.25">
      <c r="A2350" s="1930" t="s">
        <v>4555</v>
      </c>
      <c r="B2350" s="1930" t="s">
        <v>4556</v>
      </c>
      <c r="C2350" s="1930" t="s">
        <v>4578</v>
      </c>
      <c r="D2350" s="1930" t="s">
        <v>4579</v>
      </c>
      <c r="E2350" s="1931" t="s">
        <v>33</v>
      </c>
      <c r="F2350" s="1930" t="s">
        <v>33</v>
      </c>
      <c r="G2350" s="1932">
        <v>97736</v>
      </c>
      <c r="H2350" s="1930" t="s">
        <v>5415</v>
      </c>
      <c r="I2350" s="1930" t="s">
        <v>1208</v>
      </c>
      <c r="J2350" s="1930" t="s">
        <v>137</v>
      </c>
      <c r="K2350" s="1933">
        <v>1047.5999999999999</v>
      </c>
      <c r="L2350" s="1930" t="s">
        <v>138</v>
      </c>
    </row>
    <row r="2351" spans="1:12" ht="13.5" x14ac:dyDescent="0.25">
      <c r="A2351" s="1930" t="s">
        <v>4555</v>
      </c>
      <c r="B2351" s="1930" t="s">
        <v>4556</v>
      </c>
      <c r="C2351" s="1930" t="s">
        <v>4578</v>
      </c>
      <c r="D2351" s="1930" t="s">
        <v>4579</v>
      </c>
      <c r="E2351" s="1931" t="s">
        <v>33</v>
      </c>
      <c r="F2351" s="1930" t="s">
        <v>33</v>
      </c>
      <c r="G2351" s="1932">
        <v>97737</v>
      </c>
      <c r="H2351" s="1930" t="s">
        <v>5416</v>
      </c>
      <c r="I2351" s="1930" t="s">
        <v>1208</v>
      </c>
      <c r="J2351" s="1930" t="s">
        <v>137</v>
      </c>
      <c r="K2351" s="1933">
        <v>2359.44</v>
      </c>
      <c r="L2351" s="1930" t="s">
        <v>138</v>
      </c>
    </row>
    <row r="2352" spans="1:12" ht="13.5" x14ac:dyDescent="0.25">
      <c r="A2352" s="1930" t="s">
        <v>4555</v>
      </c>
      <c r="B2352" s="1930" t="s">
        <v>4556</v>
      </c>
      <c r="C2352" s="1930" t="s">
        <v>4578</v>
      </c>
      <c r="D2352" s="1930" t="s">
        <v>4579</v>
      </c>
      <c r="E2352" s="1931" t="s">
        <v>33</v>
      </c>
      <c r="F2352" s="1930" t="s">
        <v>33</v>
      </c>
      <c r="G2352" s="1932">
        <v>97738</v>
      </c>
      <c r="H2352" s="1930" t="s">
        <v>5417</v>
      </c>
      <c r="I2352" s="1930" t="s">
        <v>1208</v>
      </c>
      <c r="J2352" s="1930" t="s">
        <v>137</v>
      </c>
      <c r="K2352" s="1933">
        <v>3224.21</v>
      </c>
      <c r="L2352" s="1930" t="s">
        <v>138</v>
      </c>
    </row>
    <row r="2353" spans="1:12" ht="13.5" x14ac:dyDescent="0.25">
      <c r="A2353" s="1930" t="s">
        <v>4555</v>
      </c>
      <c r="B2353" s="1930" t="s">
        <v>4556</v>
      </c>
      <c r="C2353" s="1930" t="s">
        <v>4578</v>
      </c>
      <c r="D2353" s="1930" t="s">
        <v>4579</v>
      </c>
      <c r="E2353" s="1931" t="s">
        <v>33</v>
      </c>
      <c r="F2353" s="1930" t="s">
        <v>33</v>
      </c>
      <c r="G2353" s="1932">
        <v>97739</v>
      </c>
      <c r="H2353" s="1930" t="s">
        <v>5418</v>
      </c>
      <c r="I2353" s="1930" t="s">
        <v>1208</v>
      </c>
      <c r="J2353" s="1930" t="s">
        <v>137</v>
      </c>
      <c r="K2353" s="1933">
        <v>1955.12</v>
      </c>
      <c r="L2353" s="1930" t="s">
        <v>138</v>
      </c>
    </row>
    <row r="2354" spans="1:12" ht="13.5" x14ac:dyDescent="0.25">
      <c r="A2354" s="1930" t="s">
        <v>4555</v>
      </c>
      <c r="B2354" s="1930" t="s">
        <v>4556</v>
      </c>
      <c r="C2354" s="1930" t="s">
        <v>4578</v>
      </c>
      <c r="D2354" s="1930" t="s">
        <v>4579</v>
      </c>
      <c r="E2354" s="1931" t="s">
        <v>33</v>
      </c>
      <c r="F2354" s="1930" t="s">
        <v>33</v>
      </c>
      <c r="G2354" s="1932">
        <v>97740</v>
      </c>
      <c r="H2354" s="1930" t="s">
        <v>5419</v>
      </c>
      <c r="I2354" s="1930" t="s">
        <v>1208</v>
      </c>
      <c r="J2354" s="1930" t="s">
        <v>137</v>
      </c>
      <c r="K2354" s="1933">
        <v>1395.33</v>
      </c>
      <c r="L2354" s="1930" t="s">
        <v>138</v>
      </c>
    </row>
    <row r="2355" spans="1:12" ht="13.5" x14ac:dyDescent="0.25">
      <c r="A2355" s="1930" t="s">
        <v>4555</v>
      </c>
      <c r="B2355" s="1930" t="s">
        <v>4556</v>
      </c>
      <c r="C2355" s="1930" t="s">
        <v>4578</v>
      </c>
      <c r="D2355" s="1930" t="s">
        <v>4579</v>
      </c>
      <c r="E2355" s="1931" t="s">
        <v>33</v>
      </c>
      <c r="F2355" s="1930" t="s">
        <v>33</v>
      </c>
      <c r="G2355" s="1932">
        <v>98615</v>
      </c>
      <c r="H2355" s="1930" t="s">
        <v>5420</v>
      </c>
      <c r="I2355" s="1930" t="s">
        <v>306</v>
      </c>
      <c r="J2355" s="1930" t="s">
        <v>137</v>
      </c>
      <c r="K2355" s="1933">
        <v>79.3</v>
      </c>
      <c r="L2355" s="1930" t="s">
        <v>138</v>
      </c>
    </row>
    <row r="2356" spans="1:12" ht="13.5" x14ac:dyDescent="0.25">
      <c r="A2356" s="1930" t="s">
        <v>4555</v>
      </c>
      <c r="B2356" s="1930" t="s">
        <v>4556</v>
      </c>
      <c r="C2356" s="1930" t="s">
        <v>4578</v>
      </c>
      <c r="D2356" s="1930" t="s">
        <v>4579</v>
      </c>
      <c r="E2356" s="1931" t="s">
        <v>33</v>
      </c>
      <c r="F2356" s="1930" t="s">
        <v>33</v>
      </c>
      <c r="G2356" s="1932">
        <v>98616</v>
      </c>
      <c r="H2356" s="1930" t="s">
        <v>5421</v>
      </c>
      <c r="I2356" s="1930" t="s">
        <v>306</v>
      </c>
      <c r="J2356" s="1930" t="s">
        <v>137</v>
      </c>
      <c r="K2356" s="1933">
        <v>61.37</v>
      </c>
      <c r="L2356" s="1930" t="s">
        <v>138</v>
      </c>
    </row>
    <row r="2357" spans="1:12" ht="13.5" x14ac:dyDescent="0.25">
      <c r="A2357" s="1930" t="s">
        <v>4555</v>
      </c>
      <c r="B2357" s="1930" t="s">
        <v>4556</v>
      </c>
      <c r="C2357" s="1930" t="s">
        <v>4578</v>
      </c>
      <c r="D2357" s="1930" t="s">
        <v>4579</v>
      </c>
      <c r="E2357" s="1931" t="s">
        <v>33</v>
      </c>
      <c r="F2357" s="1930" t="s">
        <v>33</v>
      </c>
      <c r="G2357" s="1932">
        <v>98617</v>
      </c>
      <c r="H2357" s="1930" t="s">
        <v>5422</v>
      </c>
      <c r="I2357" s="1930" t="s">
        <v>306</v>
      </c>
      <c r="J2357" s="1930" t="s">
        <v>137</v>
      </c>
      <c r="K2357" s="1933">
        <v>56.5</v>
      </c>
      <c r="L2357" s="1930" t="s">
        <v>138</v>
      </c>
    </row>
    <row r="2358" spans="1:12" ht="13.5" x14ac:dyDescent="0.25">
      <c r="A2358" s="1930" t="s">
        <v>4555</v>
      </c>
      <c r="B2358" s="1930" t="s">
        <v>4556</v>
      </c>
      <c r="C2358" s="1930" t="s">
        <v>4578</v>
      </c>
      <c r="D2358" s="1930" t="s">
        <v>4579</v>
      </c>
      <c r="E2358" s="1931" t="s">
        <v>33</v>
      </c>
      <c r="F2358" s="1930" t="s">
        <v>33</v>
      </c>
      <c r="G2358" s="1932">
        <v>98618</v>
      </c>
      <c r="H2358" s="1930" t="s">
        <v>5423</v>
      </c>
      <c r="I2358" s="1930" t="s">
        <v>306</v>
      </c>
      <c r="J2358" s="1930" t="s">
        <v>137</v>
      </c>
      <c r="K2358" s="1933">
        <v>77.680000000000007</v>
      </c>
      <c r="L2358" s="1930" t="s">
        <v>138</v>
      </c>
    </row>
    <row r="2359" spans="1:12" ht="13.5" x14ac:dyDescent="0.25">
      <c r="A2359" s="1930" t="s">
        <v>4555</v>
      </c>
      <c r="B2359" s="1930" t="s">
        <v>4556</v>
      </c>
      <c r="C2359" s="1930" t="s">
        <v>4578</v>
      </c>
      <c r="D2359" s="1930" t="s">
        <v>4579</v>
      </c>
      <c r="E2359" s="1931" t="s">
        <v>33</v>
      </c>
      <c r="F2359" s="1930" t="s">
        <v>33</v>
      </c>
      <c r="G2359" s="1932">
        <v>98619</v>
      </c>
      <c r="H2359" s="1930" t="s">
        <v>5424</v>
      </c>
      <c r="I2359" s="1930" t="s">
        <v>306</v>
      </c>
      <c r="J2359" s="1930" t="s">
        <v>137</v>
      </c>
      <c r="K2359" s="1933">
        <v>70.27</v>
      </c>
      <c r="L2359" s="1930" t="s">
        <v>138</v>
      </c>
    </row>
    <row r="2360" spans="1:12" ht="13.5" x14ac:dyDescent="0.25">
      <c r="A2360" s="1930" t="s">
        <v>4555</v>
      </c>
      <c r="B2360" s="1930" t="s">
        <v>4556</v>
      </c>
      <c r="C2360" s="1930" t="s">
        <v>4578</v>
      </c>
      <c r="D2360" s="1930" t="s">
        <v>4579</v>
      </c>
      <c r="E2360" s="1931" t="s">
        <v>33</v>
      </c>
      <c r="F2360" s="1930" t="s">
        <v>33</v>
      </c>
      <c r="G2360" s="1932">
        <v>98620</v>
      </c>
      <c r="H2360" s="1930" t="s">
        <v>5425</v>
      </c>
      <c r="I2360" s="1930" t="s">
        <v>306</v>
      </c>
      <c r="J2360" s="1930" t="s">
        <v>137</v>
      </c>
      <c r="K2360" s="1933">
        <v>66.55</v>
      </c>
      <c r="L2360" s="1930" t="s">
        <v>138</v>
      </c>
    </row>
    <row r="2361" spans="1:12" ht="13.5" x14ac:dyDescent="0.25">
      <c r="A2361" s="1930" t="s">
        <v>4555</v>
      </c>
      <c r="B2361" s="1930" t="s">
        <v>4556</v>
      </c>
      <c r="C2361" s="1930" t="s">
        <v>4578</v>
      </c>
      <c r="D2361" s="1930" t="s">
        <v>4579</v>
      </c>
      <c r="E2361" s="1931" t="s">
        <v>33</v>
      </c>
      <c r="F2361" s="1930" t="s">
        <v>33</v>
      </c>
      <c r="G2361" s="1932">
        <v>98621</v>
      </c>
      <c r="H2361" s="1930" t="s">
        <v>5426</v>
      </c>
      <c r="I2361" s="1930" t="s">
        <v>306</v>
      </c>
      <c r="J2361" s="1930" t="s">
        <v>137</v>
      </c>
      <c r="K2361" s="1933">
        <v>87.54</v>
      </c>
      <c r="L2361" s="1930" t="s">
        <v>138</v>
      </c>
    </row>
    <row r="2362" spans="1:12" ht="13.5" x14ac:dyDescent="0.25">
      <c r="A2362" s="1930" t="s">
        <v>4555</v>
      </c>
      <c r="B2362" s="1930" t="s">
        <v>4556</v>
      </c>
      <c r="C2362" s="1930" t="s">
        <v>4578</v>
      </c>
      <c r="D2362" s="1930" t="s">
        <v>4579</v>
      </c>
      <c r="E2362" s="1931" t="s">
        <v>33</v>
      </c>
      <c r="F2362" s="1930" t="s">
        <v>33</v>
      </c>
      <c r="G2362" s="1932">
        <v>98622</v>
      </c>
      <c r="H2362" s="1930" t="s">
        <v>5427</v>
      </c>
      <c r="I2362" s="1930" t="s">
        <v>306</v>
      </c>
      <c r="J2362" s="1930" t="s">
        <v>137</v>
      </c>
      <c r="K2362" s="1933">
        <v>81.59</v>
      </c>
      <c r="L2362" s="1930" t="s">
        <v>138</v>
      </c>
    </row>
    <row r="2363" spans="1:12" ht="13.5" x14ac:dyDescent="0.25">
      <c r="A2363" s="1930" t="s">
        <v>4555</v>
      </c>
      <c r="B2363" s="1930" t="s">
        <v>4556</v>
      </c>
      <c r="C2363" s="1930" t="s">
        <v>4578</v>
      </c>
      <c r="D2363" s="1930" t="s">
        <v>4579</v>
      </c>
      <c r="E2363" s="1931" t="s">
        <v>33</v>
      </c>
      <c r="F2363" s="1930" t="s">
        <v>33</v>
      </c>
      <c r="G2363" s="1932">
        <v>98623</v>
      </c>
      <c r="H2363" s="1930" t="s">
        <v>5428</v>
      </c>
      <c r="I2363" s="1930" t="s">
        <v>306</v>
      </c>
      <c r="J2363" s="1930" t="s">
        <v>137</v>
      </c>
      <c r="K2363" s="1933">
        <v>78.569999999999993</v>
      </c>
      <c r="L2363" s="1930" t="s">
        <v>138</v>
      </c>
    </row>
    <row r="2364" spans="1:12" ht="13.5" x14ac:dyDescent="0.25">
      <c r="A2364" s="1930" t="s">
        <v>4555</v>
      </c>
      <c r="B2364" s="1930" t="s">
        <v>4556</v>
      </c>
      <c r="C2364" s="1930" t="s">
        <v>4578</v>
      </c>
      <c r="D2364" s="1930" t="s">
        <v>4579</v>
      </c>
      <c r="E2364" s="1931" t="s">
        <v>33</v>
      </c>
      <c r="F2364" s="1930" t="s">
        <v>33</v>
      </c>
      <c r="G2364" s="1932">
        <v>98624</v>
      </c>
      <c r="H2364" s="1930" t="s">
        <v>5429</v>
      </c>
      <c r="I2364" s="1930" t="s">
        <v>306</v>
      </c>
      <c r="J2364" s="1930" t="s">
        <v>137</v>
      </c>
      <c r="K2364" s="1933">
        <v>98.39</v>
      </c>
      <c r="L2364" s="1930" t="s">
        <v>138</v>
      </c>
    </row>
    <row r="2365" spans="1:12" ht="13.5" x14ac:dyDescent="0.25">
      <c r="A2365" s="1930" t="s">
        <v>4555</v>
      </c>
      <c r="B2365" s="1930" t="s">
        <v>4556</v>
      </c>
      <c r="C2365" s="1930" t="s">
        <v>4578</v>
      </c>
      <c r="D2365" s="1930" t="s">
        <v>4579</v>
      </c>
      <c r="E2365" s="1931" t="s">
        <v>33</v>
      </c>
      <c r="F2365" s="1930" t="s">
        <v>33</v>
      </c>
      <c r="G2365" s="1932">
        <v>98625</v>
      </c>
      <c r="H2365" s="1930" t="s">
        <v>5430</v>
      </c>
      <c r="I2365" s="1930" t="s">
        <v>306</v>
      </c>
      <c r="J2365" s="1930" t="s">
        <v>137</v>
      </c>
      <c r="K2365" s="1933">
        <v>93.37</v>
      </c>
      <c r="L2365" s="1930" t="s">
        <v>138</v>
      </c>
    </row>
    <row r="2366" spans="1:12" ht="13.5" x14ac:dyDescent="0.25">
      <c r="A2366" s="1930" t="s">
        <v>4555</v>
      </c>
      <c r="B2366" s="1930" t="s">
        <v>4556</v>
      </c>
      <c r="C2366" s="1930" t="s">
        <v>4578</v>
      </c>
      <c r="D2366" s="1930" t="s">
        <v>4579</v>
      </c>
      <c r="E2366" s="1931" t="s">
        <v>33</v>
      </c>
      <c r="F2366" s="1930" t="s">
        <v>33</v>
      </c>
      <c r="G2366" s="1932">
        <v>98626</v>
      </c>
      <c r="H2366" s="1930" t="s">
        <v>5431</v>
      </c>
      <c r="I2366" s="1930" t="s">
        <v>306</v>
      </c>
      <c r="J2366" s="1930" t="s">
        <v>137</v>
      </c>
      <c r="K2366" s="1933">
        <v>90.78</v>
      </c>
      <c r="L2366" s="1930" t="s">
        <v>138</v>
      </c>
    </row>
    <row r="2367" spans="1:12" ht="13.5" x14ac:dyDescent="0.25">
      <c r="A2367" s="1930" t="s">
        <v>4555</v>
      </c>
      <c r="B2367" s="1930" t="s">
        <v>4556</v>
      </c>
      <c r="C2367" s="1930" t="s">
        <v>4578</v>
      </c>
      <c r="D2367" s="1930" t="s">
        <v>4579</v>
      </c>
      <c r="E2367" s="1931" t="s">
        <v>33</v>
      </c>
      <c r="F2367" s="1930" t="s">
        <v>33</v>
      </c>
      <c r="G2367" s="1932">
        <v>98655</v>
      </c>
      <c r="H2367" s="1930" t="s">
        <v>5432</v>
      </c>
      <c r="I2367" s="1930" t="s">
        <v>136</v>
      </c>
      <c r="J2367" s="1930" t="s">
        <v>137</v>
      </c>
      <c r="K2367" s="1933">
        <v>418.84</v>
      </c>
      <c r="L2367" s="1930" t="s">
        <v>138</v>
      </c>
    </row>
    <row r="2368" spans="1:12" ht="13.5" x14ac:dyDescent="0.25">
      <c r="A2368" s="1930" t="s">
        <v>4555</v>
      </c>
      <c r="B2368" s="1930" t="s">
        <v>4556</v>
      </c>
      <c r="C2368" s="1930" t="s">
        <v>4578</v>
      </c>
      <c r="D2368" s="1930" t="s">
        <v>4579</v>
      </c>
      <c r="E2368" s="1931" t="s">
        <v>33</v>
      </c>
      <c r="F2368" s="1930" t="s">
        <v>33</v>
      </c>
      <c r="G2368" s="1932">
        <v>98656</v>
      </c>
      <c r="H2368" s="1930" t="s">
        <v>5433</v>
      </c>
      <c r="I2368" s="1930" t="s">
        <v>136</v>
      </c>
      <c r="J2368" s="1930" t="s">
        <v>137</v>
      </c>
      <c r="K2368" s="1933">
        <v>424.54</v>
      </c>
      <c r="L2368" s="1930" t="s">
        <v>138</v>
      </c>
    </row>
    <row r="2369" spans="1:12" ht="13.5" x14ac:dyDescent="0.25">
      <c r="A2369" s="1930" t="s">
        <v>4555</v>
      </c>
      <c r="B2369" s="1930" t="s">
        <v>4556</v>
      </c>
      <c r="C2369" s="1930" t="s">
        <v>4578</v>
      </c>
      <c r="D2369" s="1930" t="s">
        <v>4579</v>
      </c>
      <c r="E2369" s="1931" t="s">
        <v>33</v>
      </c>
      <c r="F2369" s="1930" t="s">
        <v>33</v>
      </c>
      <c r="G2369" s="1932">
        <v>98657</v>
      </c>
      <c r="H2369" s="1930" t="s">
        <v>5434</v>
      </c>
      <c r="I2369" s="1930" t="s">
        <v>136</v>
      </c>
      <c r="J2369" s="1930" t="s">
        <v>137</v>
      </c>
      <c r="K2369" s="1933">
        <v>430.26</v>
      </c>
      <c r="L2369" s="1930" t="s">
        <v>138</v>
      </c>
    </row>
    <row r="2370" spans="1:12" ht="13.5" x14ac:dyDescent="0.25">
      <c r="A2370" s="1930" t="s">
        <v>4555</v>
      </c>
      <c r="B2370" s="1930" t="s">
        <v>4556</v>
      </c>
      <c r="C2370" s="1930" t="s">
        <v>4578</v>
      </c>
      <c r="D2370" s="1930" t="s">
        <v>4579</v>
      </c>
      <c r="E2370" s="1931" t="s">
        <v>33</v>
      </c>
      <c r="F2370" s="1930" t="s">
        <v>33</v>
      </c>
      <c r="G2370" s="1932">
        <v>98658</v>
      </c>
      <c r="H2370" s="1930" t="s">
        <v>5435</v>
      </c>
      <c r="I2370" s="1930" t="s">
        <v>136</v>
      </c>
      <c r="J2370" s="1930" t="s">
        <v>137</v>
      </c>
      <c r="K2370" s="1933">
        <v>435.96</v>
      </c>
      <c r="L2370" s="1930" t="s">
        <v>138</v>
      </c>
    </row>
    <row r="2371" spans="1:12" ht="13.5" x14ac:dyDescent="0.25">
      <c r="A2371" s="1930" t="s">
        <v>4555</v>
      </c>
      <c r="B2371" s="1930" t="s">
        <v>4556</v>
      </c>
      <c r="C2371" s="1930" t="s">
        <v>4578</v>
      </c>
      <c r="D2371" s="1930" t="s">
        <v>4579</v>
      </c>
      <c r="E2371" s="1931" t="s">
        <v>33</v>
      </c>
      <c r="F2371" s="1930" t="s">
        <v>33</v>
      </c>
      <c r="G2371" s="1932">
        <v>98659</v>
      </c>
      <c r="H2371" s="1930" t="s">
        <v>5436</v>
      </c>
      <c r="I2371" s="1930" t="s">
        <v>136</v>
      </c>
      <c r="J2371" s="1930" t="s">
        <v>137</v>
      </c>
      <c r="K2371" s="1933">
        <v>447.37</v>
      </c>
      <c r="L2371" s="1930" t="s">
        <v>138</v>
      </c>
    </row>
    <row r="2372" spans="1:12" ht="13.5" x14ac:dyDescent="0.25">
      <c r="A2372" s="1930" t="s">
        <v>4555</v>
      </c>
      <c r="B2372" s="1930" t="s">
        <v>4556</v>
      </c>
      <c r="C2372" s="1930" t="s">
        <v>4578</v>
      </c>
      <c r="D2372" s="1930" t="s">
        <v>4579</v>
      </c>
      <c r="E2372" s="1931" t="s">
        <v>33</v>
      </c>
      <c r="F2372" s="1930" t="s">
        <v>33</v>
      </c>
      <c r="G2372" s="1932">
        <v>98746</v>
      </c>
      <c r="H2372" s="1930" t="s">
        <v>6399</v>
      </c>
      <c r="I2372" s="1930" t="s">
        <v>136</v>
      </c>
      <c r="J2372" s="1930" t="s">
        <v>320</v>
      </c>
      <c r="K2372" s="1933">
        <v>43.49</v>
      </c>
      <c r="L2372" s="1930" t="s">
        <v>138</v>
      </c>
    </row>
    <row r="2373" spans="1:12" ht="13.5" x14ac:dyDescent="0.25">
      <c r="A2373" s="1930" t="s">
        <v>4555</v>
      </c>
      <c r="B2373" s="1930" t="s">
        <v>4556</v>
      </c>
      <c r="C2373" s="1930" t="s">
        <v>4578</v>
      </c>
      <c r="D2373" s="1930" t="s">
        <v>4579</v>
      </c>
      <c r="E2373" s="1931" t="s">
        <v>33</v>
      </c>
      <c r="F2373" s="1930" t="s">
        <v>33</v>
      </c>
      <c r="G2373" s="1932">
        <v>98749</v>
      </c>
      <c r="H2373" s="1930" t="s">
        <v>6400</v>
      </c>
      <c r="I2373" s="1930" t="s">
        <v>136</v>
      </c>
      <c r="J2373" s="1930" t="s">
        <v>320</v>
      </c>
      <c r="K2373" s="1933">
        <v>50.36</v>
      </c>
      <c r="L2373" s="1930" t="s">
        <v>138</v>
      </c>
    </row>
    <row r="2374" spans="1:12" ht="13.5" x14ac:dyDescent="0.25">
      <c r="A2374" s="1930" t="s">
        <v>4555</v>
      </c>
      <c r="B2374" s="1930" t="s">
        <v>4556</v>
      </c>
      <c r="C2374" s="1930" t="s">
        <v>4578</v>
      </c>
      <c r="D2374" s="1930" t="s">
        <v>4579</v>
      </c>
      <c r="E2374" s="1931" t="s">
        <v>33</v>
      </c>
      <c r="F2374" s="1930" t="s">
        <v>33</v>
      </c>
      <c r="G2374" s="1932">
        <v>98750</v>
      </c>
      <c r="H2374" s="1930" t="s">
        <v>6401</v>
      </c>
      <c r="I2374" s="1930" t="s">
        <v>136</v>
      </c>
      <c r="J2374" s="1930" t="s">
        <v>320</v>
      </c>
      <c r="K2374" s="1933">
        <v>58.52</v>
      </c>
      <c r="L2374" s="1930" t="s">
        <v>138</v>
      </c>
    </row>
    <row r="2375" spans="1:12" ht="13.5" x14ac:dyDescent="0.25">
      <c r="A2375" s="1930" t="s">
        <v>4555</v>
      </c>
      <c r="B2375" s="1930" t="s">
        <v>4556</v>
      </c>
      <c r="C2375" s="1930" t="s">
        <v>4578</v>
      </c>
      <c r="D2375" s="1930" t="s">
        <v>4579</v>
      </c>
      <c r="E2375" s="1931" t="s">
        <v>33</v>
      </c>
      <c r="F2375" s="1930" t="s">
        <v>33</v>
      </c>
      <c r="G2375" s="1932">
        <v>98751</v>
      </c>
      <c r="H2375" s="1930" t="s">
        <v>6402</v>
      </c>
      <c r="I2375" s="1930" t="s">
        <v>136</v>
      </c>
      <c r="J2375" s="1930" t="s">
        <v>320</v>
      </c>
      <c r="K2375" s="1933">
        <v>79.760000000000005</v>
      </c>
      <c r="L2375" s="1930" t="s">
        <v>138</v>
      </c>
    </row>
    <row r="2376" spans="1:12" ht="13.5" x14ac:dyDescent="0.25">
      <c r="A2376" s="1930" t="s">
        <v>4555</v>
      </c>
      <c r="B2376" s="1930" t="s">
        <v>4556</v>
      </c>
      <c r="C2376" s="1930" t="s">
        <v>4578</v>
      </c>
      <c r="D2376" s="1930" t="s">
        <v>4579</v>
      </c>
      <c r="E2376" s="1931" t="s">
        <v>33</v>
      </c>
      <c r="F2376" s="1930" t="s">
        <v>33</v>
      </c>
      <c r="G2376" s="1932">
        <v>98752</v>
      </c>
      <c r="H2376" s="1930" t="s">
        <v>6403</v>
      </c>
      <c r="I2376" s="1930" t="s">
        <v>136</v>
      </c>
      <c r="J2376" s="1930" t="s">
        <v>320</v>
      </c>
      <c r="K2376" s="1933">
        <v>105.11</v>
      </c>
      <c r="L2376" s="1930" t="s">
        <v>138</v>
      </c>
    </row>
    <row r="2377" spans="1:12" ht="13.5" x14ac:dyDescent="0.25">
      <c r="A2377" s="1930" t="s">
        <v>4555</v>
      </c>
      <c r="B2377" s="1930" t="s">
        <v>4556</v>
      </c>
      <c r="C2377" s="1930" t="s">
        <v>4578</v>
      </c>
      <c r="D2377" s="1930" t="s">
        <v>4579</v>
      </c>
      <c r="E2377" s="1931" t="s">
        <v>33</v>
      </c>
      <c r="F2377" s="1930" t="s">
        <v>33</v>
      </c>
      <c r="G2377" s="1932">
        <v>98753</v>
      </c>
      <c r="H2377" s="1930" t="s">
        <v>6404</v>
      </c>
      <c r="I2377" s="1930" t="s">
        <v>136</v>
      </c>
      <c r="J2377" s="1930" t="s">
        <v>320</v>
      </c>
      <c r="K2377" s="1933">
        <v>136.43</v>
      </c>
      <c r="L2377" s="1930" t="s">
        <v>138</v>
      </c>
    </row>
    <row r="2378" spans="1:12" ht="13.5" x14ac:dyDescent="0.25">
      <c r="A2378" s="1930" t="s">
        <v>4555</v>
      </c>
      <c r="B2378" s="1930" t="s">
        <v>4556</v>
      </c>
      <c r="C2378" s="1930" t="s">
        <v>4578</v>
      </c>
      <c r="D2378" s="1930" t="s">
        <v>4579</v>
      </c>
      <c r="E2378" s="1931" t="s">
        <v>33</v>
      </c>
      <c r="F2378" s="1930" t="s">
        <v>33</v>
      </c>
      <c r="G2378" s="1932">
        <v>100763</v>
      </c>
      <c r="H2378" s="1930" t="s">
        <v>9145</v>
      </c>
      <c r="I2378" s="1930" t="s">
        <v>305</v>
      </c>
      <c r="J2378" s="1930" t="s">
        <v>137</v>
      </c>
      <c r="K2378" s="1933">
        <v>8.99</v>
      </c>
      <c r="L2378" s="1930" t="s">
        <v>138</v>
      </c>
    </row>
    <row r="2379" spans="1:12" ht="13.5" x14ac:dyDescent="0.25">
      <c r="A2379" s="1930" t="s">
        <v>4555</v>
      </c>
      <c r="B2379" s="1930" t="s">
        <v>4556</v>
      </c>
      <c r="C2379" s="1930" t="s">
        <v>4578</v>
      </c>
      <c r="D2379" s="1930" t="s">
        <v>4579</v>
      </c>
      <c r="E2379" s="1931" t="s">
        <v>33</v>
      </c>
      <c r="F2379" s="1930" t="s">
        <v>33</v>
      </c>
      <c r="G2379" s="1932">
        <v>100764</v>
      </c>
      <c r="H2379" s="1930" t="s">
        <v>9146</v>
      </c>
      <c r="I2379" s="1930" t="s">
        <v>305</v>
      </c>
      <c r="J2379" s="1930" t="s">
        <v>137</v>
      </c>
      <c r="K2379" s="1933">
        <v>8.93</v>
      </c>
      <c r="L2379" s="1930" t="s">
        <v>138</v>
      </c>
    </row>
    <row r="2380" spans="1:12" ht="13.5" x14ac:dyDescent="0.25">
      <c r="A2380" s="1930" t="s">
        <v>4555</v>
      </c>
      <c r="B2380" s="1930" t="s">
        <v>4556</v>
      </c>
      <c r="C2380" s="1930" t="s">
        <v>4578</v>
      </c>
      <c r="D2380" s="1930" t="s">
        <v>4579</v>
      </c>
      <c r="E2380" s="1931" t="s">
        <v>33</v>
      </c>
      <c r="F2380" s="1930" t="s">
        <v>33</v>
      </c>
      <c r="G2380" s="1932">
        <v>100765</v>
      </c>
      <c r="H2380" s="1930" t="s">
        <v>9147</v>
      </c>
      <c r="I2380" s="1930" t="s">
        <v>305</v>
      </c>
      <c r="J2380" s="1930" t="s">
        <v>137</v>
      </c>
      <c r="K2380" s="1933">
        <v>8.1300000000000008</v>
      </c>
      <c r="L2380" s="1930" t="s">
        <v>138</v>
      </c>
    </row>
    <row r="2381" spans="1:12" ht="13.5" x14ac:dyDescent="0.25">
      <c r="A2381" s="1930" t="s">
        <v>4555</v>
      </c>
      <c r="B2381" s="1930" t="s">
        <v>4556</v>
      </c>
      <c r="C2381" s="1930" t="s">
        <v>4578</v>
      </c>
      <c r="D2381" s="1930" t="s">
        <v>4579</v>
      </c>
      <c r="E2381" s="1931" t="s">
        <v>33</v>
      </c>
      <c r="F2381" s="1930" t="s">
        <v>33</v>
      </c>
      <c r="G2381" s="1932">
        <v>100766</v>
      </c>
      <c r="H2381" s="1930" t="s">
        <v>9148</v>
      </c>
      <c r="I2381" s="1930" t="s">
        <v>305</v>
      </c>
      <c r="J2381" s="1930" t="s">
        <v>137</v>
      </c>
      <c r="K2381" s="1933">
        <v>8.3699999999999992</v>
      </c>
      <c r="L2381" s="1930" t="s">
        <v>138</v>
      </c>
    </row>
    <row r="2382" spans="1:12" ht="13.5" x14ac:dyDescent="0.25">
      <c r="A2382" s="1930" t="s">
        <v>4555</v>
      </c>
      <c r="B2382" s="1930" t="s">
        <v>4556</v>
      </c>
      <c r="C2382" s="1930" t="s">
        <v>4578</v>
      </c>
      <c r="D2382" s="1930" t="s">
        <v>4579</v>
      </c>
      <c r="E2382" s="1931" t="s">
        <v>33</v>
      </c>
      <c r="F2382" s="1930" t="s">
        <v>33</v>
      </c>
      <c r="G2382" s="1932">
        <v>100767</v>
      </c>
      <c r="H2382" s="1930" t="s">
        <v>9149</v>
      </c>
      <c r="I2382" s="1930" t="s">
        <v>305</v>
      </c>
      <c r="J2382" s="1930" t="s">
        <v>137</v>
      </c>
      <c r="K2382" s="1933">
        <v>9.09</v>
      </c>
      <c r="L2382" s="1930" t="s">
        <v>138</v>
      </c>
    </row>
    <row r="2383" spans="1:12" ht="13.5" x14ac:dyDescent="0.25">
      <c r="A2383" s="1930" t="s">
        <v>4555</v>
      </c>
      <c r="B2383" s="1930" t="s">
        <v>4556</v>
      </c>
      <c r="C2383" s="1930" t="s">
        <v>4578</v>
      </c>
      <c r="D2383" s="1930" t="s">
        <v>4579</v>
      </c>
      <c r="E2383" s="1931" t="s">
        <v>33</v>
      </c>
      <c r="F2383" s="1930" t="s">
        <v>33</v>
      </c>
      <c r="G2383" s="1932">
        <v>100768</v>
      </c>
      <c r="H2383" s="1930" t="s">
        <v>9150</v>
      </c>
      <c r="I2383" s="1930" t="s">
        <v>305</v>
      </c>
      <c r="J2383" s="1930" t="s">
        <v>137</v>
      </c>
      <c r="K2383" s="1933">
        <v>12.9</v>
      </c>
      <c r="L2383" s="1930" t="s">
        <v>138</v>
      </c>
    </row>
    <row r="2384" spans="1:12" ht="13.5" x14ac:dyDescent="0.25">
      <c r="A2384" s="1930" t="s">
        <v>4555</v>
      </c>
      <c r="B2384" s="1930" t="s">
        <v>4556</v>
      </c>
      <c r="C2384" s="1930" t="s">
        <v>4578</v>
      </c>
      <c r="D2384" s="1930" t="s">
        <v>4579</v>
      </c>
      <c r="E2384" s="1931" t="s">
        <v>33</v>
      </c>
      <c r="F2384" s="1930" t="s">
        <v>33</v>
      </c>
      <c r="G2384" s="1932">
        <v>100769</v>
      </c>
      <c r="H2384" s="1930" t="s">
        <v>9151</v>
      </c>
      <c r="I2384" s="1930" t="s">
        <v>305</v>
      </c>
      <c r="J2384" s="1930" t="s">
        <v>137</v>
      </c>
      <c r="K2384" s="1933">
        <v>13.39</v>
      </c>
      <c r="L2384" s="1930" t="s">
        <v>138</v>
      </c>
    </row>
    <row r="2385" spans="1:12" ht="13.5" x14ac:dyDescent="0.25">
      <c r="A2385" s="1930" t="s">
        <v>4555</v>
      </c>
      <c r="B2385" s="1930" t="s">
        <v>4556</v>
      </c>
      <c r="C2385" s="1930" t="s">
        <v>4578</v>
      </c>
      <c r="D2385" s="1930" t="s">
        <v>4579</v>
      </c>
      <c r="E2385" s="1931" t="s">
        <v>33</v>
      </c>
      <c r="F2385" s="1930" t="s">
        <v>33</v>
      </c>
      <c r="G2385" s="1932">
        <v>100770</v>
      </c>
      <c r="H2385" s="1930" t="s">
        <v>9152</v>
      </c>
      <c r="I2385" s="1930" t="s">
        <v>305</v>
      </c>
      <c r="J2385" s="1930" t="s">
        <v>137</v>
      </c>
      <c r="K2385" s="1933">
        <v>13</v>
      </c>
      <c r="L2385" s="1930" t="s">
        <v>138</v>
      </c>
    </row>
    <row r="2386" spans="1:12" ht="13.5" x14ac:dyDescent="0.25">
      <c r="A2386" s="1930" t="s">
        <v>4555</v>
      </c>
      <c r="B2386" s="1930" t="s">
        <v>4556</v>
      </c>
      <c r="C2386" s="1930" t="s">
        <v>4578</v>
      </c>
      <c r="D2386" s="1930" t="s">
        <v>4579</v>
      </c>
      <c r="E2386" s="1931" t="s">
        <v>33</v>
      </c>
      <c r="F2386" s="1930" t="s">
        <v>33</v>
      </c>
      <c r="G2386" s="1932">
        <v>100771</v>
      </c>
      <c r="H2386" s="1930" t="s">
        <v>9153</v>
      </c>
      <c r="I2386" s="1930" t="s">
        <v>305</v>
      </c>
      <c r="J2386" s="1930" t="s">
        <v>137</v>
      </c>
      <c r="K2386" s="1933">
        <v>15.58</v>
      </c>
      <c r="L2386" s="1930" t="s">
        <v>138</v>
      </c>
    </row>
    <row r="2387" spans="1:12" ht="13.5" x14ac:dyDescent="0.25">
      <c r="A2387" s="1930" t="s">
        <v>4555</v>
      </c>
      <c r="B2387" s="1930" t="s">
        <v>4556</v>
      </c>
      <c r="C2387" s="1930" t="s">
        <v>4578</v>
      </c>
      <c r="D2387" s="1930" t="s">
        <v>4579</v>
      </c>
      <c r="E2387" s="1931" t="s">
        <v>33</v>
      </c>
      <c r="F2387" s="1930" t="s">
        <v>33</v>
      </c>
      <c r="G2387" s="1932">
        <v>100772</v>
      </c>
      <c r="H2387" s="1930" t="s">
        <v>9154</v>
      </c>
      <c r="I2387" s="1930" t="s">
        <v>305</v>
      </c>
      <c r="J2387" s="1930" t="s">
        <v>137</v>
      </c>
      <c r="K2387" s="1933">
        <v>8.99</v>
      </c>
      <c r="L2387" s="1930" t="s">
        <v>138</v>
      </c>
    </row>
    <row r="2388" spans="1:12" ht="13.5" x14ac:dyDescent="0.25">
      <c r="A2388" s="1930" t="s">
        <v>4555</v>
      </c>
      <c r="B2388" s="1930" t="s">
        <v>4556</v>
      </c>
      <c r="C2388" s="1930" t="s">
        <v>4578</v>
      </c>
      <c r="D2388" s="1930" t="s">
        <v>4579</v>
      </c>
      <c r="E2388" s="1931" t="s">
        <v>33</v>
      </c>
      <c r="F2388" s="1930" t="s">
        <v>33</v>
      </c>
      <c r="G2388" s="1932">
        <v>100773</v>
      </c>
      <c r="H2388" s="1930" t="s">
        <v>9155</v>
      </c>
      <c r="I2388" s="1930" t="s">
        <v>305</v>
      </c>
      <c r="J2388" s="1930" t="s">
        <v>137</v>
      </c>
      <c r="K2388" s="1933">
        <v>12.14</v>
      </c>
      <c r="L2388" s="1930" t="s">
        <v>138</v>
      </c>
    </row>
    <row r="2389" spans="1:12" ht="13.5" x14ac:dyDescent="0.25">
      <c r="A2389" s="1930" t="s">
        <v>4555</v>
      </c>
      <c r="B2389" s="1930" t="s">
        <v>4556</v>
      </c>
      <c r="C2389" s="1930" t="s">
        <v>4578</v>
      </c>
      <c r="D2389" s="1930" t="s">
        <v>4579</v>
      </c>
      <c r="E2389" s="1931" t="s">
        <v>33</v>
      </c>
      <c r="F2389" s="1930" t="s">
        <v>33</v>
      </c>
      <c r="G2389" s="1932">
        <v>100774</v>
      </c>
      <c r="H2389" s="1930" t="s">
        <v>9156</v>
      </c>
      <c r="I2389" s="1930" t="s">
        <v>305</v>
      </c>
      <c r="J2389" s="1930" t="s">
        <v>137</v>
      </c>
      <c r="K2389" s="1933">
        <v>6.4</v>
      </c>
      <c r="L2389" s="1930" t="s">
        <v>138</v>
      </c>
    </row>
    <row r="2390" spans="1:12" ht="13.5" x14ac:dyDescent="0.25">
      <c r="A2390" s="1930" t="s">
        <v>4555</v>
      </c>
      <c r="B2390" s="1930" t="s">
        <v>4556</v>
      </c>
      <c r="C2390" s="1930" t="s">
        <v>4578</v>
      </c>
      <c r="D2390" s="1930" t="s">
        <v>4579</v>
      </c>
      <c r="E2390" s="1931" t="s">
        <v>33</v>
      </c>
      <c r="F2390" s="1930" t="s">
        <v>33</v>
      </c>
      <c r="G2390" s="1932">
        <v>100775</v>
      </c>
      <c r="H2390" s="1930" t="s">
        <v>9157</v>
      </c>
      <c r="I2390" s="1930" t="s">
        <v>305</v>
      </c>
      <c r="J2390" s="1930" t="s">
        <v>137</v>
      </c>
      <c r="K2390" s="1933">
        <v>7.83</v>
      </c>
      <c r="L2390" s="1930" t="s">
        <v>138</v>
      </c>
    </row>
    <row r="2391" spans="1:12" ht="13.5" x14ac:dyDescent="0.25">
      <c r="A2391" s="1930" t="s">
        <v>4555</v>
      </c>
      <c r="B2391" s="1930" t="s">
        <v>4556</v>
      </c>
      <c r="C2391" s="1930" t="s">
        <v>4578</v>
      </c>
      <c r="D2391" s="1930" t="s">
        <v>4579</v>
      </c>
      <c r="E2391" s="1931" t="s">
        <v>33</v>
      </c>
      <c r="F2391" s="1930" t="s">
        <v>33</v>
      </c>
      <c r="G2391" s="1932">
        <v>100776</v>
      </c>
      <c r="H2391" s="1930" t="s">
        <v>9158</v>
      </c>
      <c r="I2391" s="1930" t="s">
        <v>305</v>
      </c>
      <c r="J2391" s="1930" t="s">
        <v>137</v>
      </c>
      <c r="K2391" s="1933">
        <v>12.2</v>
      </c>
      <c r="L2391" s="1930" t="s">
        <v>138</v>
      </c>
    </row>
    <row r="2392" spans="1:12" ht="13.5" x14ac:dyDescent="0.25">
      <c r="A2392" s="1930" t="s">
        <v>4555</v>
      </c>
      <c r="B2392" s="1930" t="s">
        <v>4556</v>
      </c>
      <c r="C2392" s="1930" t="s">
        <v>4578</v>
      </c>
      <c r="D2392" s="1930" t="s">
        <v>4579</v>
      </c>
      <c r="E2392" s="1931" t="s">
        <v>33</v>
      </c>
      <c r="F2392" s="1930" t="s">
        <v>33</v>
      </c>
      <c r="G2392" s="1932">
        <v>100777</v>
      </c>
      <c r="H2392" s="1930" t="s">
        <v>9159</v>
      </c>
      <c r="I2392" s="1930" t="s">
        <v>305</v>
      </c>
      <c r="J2392" s="1930" t="s">
        <v>137</v>
      </c>
      <c r="K2392" s="1933">
        <v>8.32</v>
      </c>
      <c r="L2392" s="1930" t="s">
        <v>138</v>
      </c>
    </row>
    <row r="2393" spans="1:12" ht="13.5" x14ac:dyDescent="0.25">
      <c r="A2393" s="1930" t="s">
        <v>4555</v>
      </c>
      <c r="B2393" s="1930" t="s">
        <v>4556</v>
      </c>
      <c r="C2393" s="1930" t="s">
        <v>4578</v>
      </c>
      <c r="D2393" s="1930" t="s">
        <v>4579</v>
      </c>
      <c r="E2393" s="1931" t="s">
        <v>33</v>
      </c>
      <c r="F2393" s="1930" t="s">
        <v>33</v>
      </c>
      <c r="G2393" s="1932">
        <v>100778</v>
      </c>
      <c r="H2393" s="1930" t="s">
        <v>9160</v>
      </c>
      <c r="I2393" s="1930" t="s">
        <v>305</v>
      </c>
      <c r="J2393" s="1930" t="s">
        <v>137</v>
      </c>
      <c r="K2393" s="1933">
        <v>5.25</v>
      </c>
      <c r="L2393" s="1930" t="s">
        <v>138</v>
      </c>
    </row>
    <row r="2394" spans="1:12" ht="13.5" x14ac:dyDescent="0.25">
      <c r="A2394" s="1930" t="s">
        <v>4580</v>
      </c>
      <c r="B2394" s="1930" t="s">
        <v>4581</v>
      </c>
      <c r="C2394" s="1930" t="s">
        <v>4582</v>
      </c>
      <c r="D2394" s="1930" t="s">
        <v>4583</v>
      </c>
      <c r="E2394" s="1931" t="s">
        <v>33</v>
      </c>
      <c r="F2394" s="1930" t="s">
        <v>33</v>
      </c>
      <c r="G2394" s="1932">
        <v>98560</v>
      </c>
      <c r="H2394" s="1930" t="s">
        <v>5437</v>
      </c>
      <c r="I2394" s="1930" t="s">
        <v>306</v>
      </c>
      <c r="J2394" s="1930" t="s">
        <v>320</v>
      </c>
      <c r="K2394" s="1933">
        <v>34.42</v>
      </c>
      <c r="L2394" s="1930" t="s">
        <v>138</v>
      </c>
    </row>
    <row r="2395" spans="1:12" ht="13.5" x14ac:dyDescent="0.25">
      <c r="A2395" s="1930" t="s">
        <v>4580</v>
      </c>
      <c r="B2395" s="1930" t="s">
        <v>4581</v>
      </c>
      <c r="C2395" s="1930" t="s">
        <v>4582</v>
      </c>
      <c r="D2395" s="1930" t="s">
        <v>4583</v>
      </c>
      <c r="E2395" s="1931" t="s">
        <v>33</v>
      </c>
      <c r="F2395" s="1930" t="s">
        <v>33</v>
      </c>
      <c r="G2395" s="1932">
        <v>98561</v>
      </c>
      <c r="H2395" s="1930" t="s">
        <v>5438</v>
      </c>
      <c r="I2395" s="1930" t="s">
        <v>306</v>
      </c>
      <c r="J2395" s="1930" t="s">
        <v>320</v>
      </c>
      <c r="K2395" s="1933">
        <v>31.59</v>
      </c>
      <c r="L2395" s="1930" t="s">
        <v>138</v>
      </c>
    </row>
    <row r="2396" spans="1:12" ht="13.5" x14ac:dyDescent="0.25">
      <c r="A2396" s="1930" t="s">
        <v>4580</v>
      </c>
      <c r="B2396" s="1930" t="s">
        <v>4581</v>
      </c>
      <c r="C2396" s="1930" t="s">
        <v>4582</v>
      </c>
      <c r="D2396" s="1930" t="s">
        <v>4583</v>
      </c>
      <c r="E2396" s="1931" t="s">
        <v>33</v>
      </c>
      <c r="F2396" s="1930" t="s">
        <v>33</v>
      </c>
      <c r="G2396" s="1932">
        <v>98562</v>
      </c>
      <c r="H2396" s="1930" t="s">
        <v>5439</v>
      </c>
      <c r="I2396" s="1930" t="s">
        <v>306</v>
      </c>
      <c r="J2396" s="1930" t="s">
        <v>320</v>
      </c>
      <c r="K2396" s="1933">
        <v>30.07</v>
      </c>
      <c r="L2396" s="1930" t="s">
        <v>138</v>
      </c>
    </row>
    <row r="2397" spans="1:12" ht="13.5" x14ac:dyDescent="0.25">
      <c r="A2397" s="1930" t="s">
        <v>4580</v>
      </c>
      <c r="B2397" s="1930" t="s">
        <v>4581</v>
      </c>
      <c r="C2397" s="1930" t="s">
        <v>4584</v>
      </c>
      <c r="D2397" s="1930" t="s">
        <v>4585</v>
      </c>
      <c r="E2397" s="1931" t="s">
        <v>33</v>
      </c>
      <c r="F2397" s="1930" t="s">
        <v>33</v>
      </c>
      <c r="G2397" s="1932">
        <v>98555</v>
      </c>
      <c r="H2397" s="1930" t="s">
        <v>8072</v>
      </c>
      <c r="I2397" s="1930" t="s">
        <v>306</v>
      </c>
      <c r="J2397" s="1930" t="s">
        <v>320</v>
      </c>
      <c r="K2397" s="1933">
        <v>19.59</v>
      </c>
      <c r="L2397" s="1930" t="s">
        <v>138</v>
      </c>
    </row>
    <row r="2398" spans="1:12" ht="13.5" x14ac:dyDescent="0.25">
      <c r="A2398" s="1930" t="s">
        <v>4580</v>
      </c>
      <c r="B2398" s="1930" t="s">
        <v>4581</v>
      </c>
      <c r="C2398" s="1930" t="s">
        <v>4584</v>
      </c>
      <c r="D2398" s="1930" t="s">
        <v>4585</v>
      </c>
      <c r="E2398" s="1931" t="s">
        <v>33</v>
      </c>
      <c r="F2398" s="1930" t="s">
        <v>33</v>
      </c>
      <c r="G2398" s="1932">
        <v>98556</v>
      </c>
      <c r="H2398" s="1930" t="s">
        <v>8073</v>
      </c>
      <c r="I2398" s="1930" t="s">
        <v>306</v>
      </c>
      <c r="J2398" s="1930" t="s">
        <v>320</v>
      </c>
      <c r="K2398" s="1933">
        <v>37.229999999999997</v>
      </c>
      <c r="L2398" s="1930" t="s">
        <v>138</v>
      </c>
    </row>
    <row r="2399" spans="1:12" ht="13.5" x14ac:dyDescent="0.25">
      <c r="A2399" s="1930" t="s">
        <v>4580</v>
      </c>
      <c r="B2399" s="1930" t="s">
        <v>4581</v>
      </c>
      <c r="C2399" s="1930" t="s">
        <v>4584</v>
      </c>
      <c r="D2399" s="1930" t="s">
        <v>4585</v>
      </c>
      <c r="E2399" s="1931" t="s">
        <v>33</v>
      </c>
      <c r="F2399" s="1930" t="s">
        <v>33</v>
      </c>
      <c r="G2399" s="1932">
        <v>98558</v>
      </c>
      <c r="H2399" s="1930" t="s">
        <v>8074</v>
      </c>
      <c r="I2399" s="1930" t="s">
        <v>168</v>
      </c>
      <c r="J2399" s="1930" t="s">
        <v>320</v>
      </c>
      <c r="K2399" s="1933">
        <v>5.69</v>
      </c>
      <c r="L2399" s="1930" t="s">
        <v>138</v>
      </c>
    </row>
    <row r="2400" spans="1:12" ht="13.5" x14ac:dyDescent="0.25">
      <c r="A2400" s="1930" t="s">
        <v>4580</v>
      </c>
      <c r="B2400" s="1930" t="s">
        <v>4581</v>
      </c>
      <c r="C2400" s="1930" t="s">
        <v>4584</v>
      </c>
      <c r="D2400" s="1930" t="s">
        <v>4585</v>
      </c>
      <c r="E2400" s="1931" t="s">
        <v>33</v>
      </c>
      <c r="F2400" s="1930" t="s">
        <v>33</v>
      </c>
      <c r="G2400" s="1932">
        <v>98559</v>
      </c>
      <c r="H2400" s="1930" t="s">
        <v>5440</v>
      </c>
      <c r="I2400" s="1930" t="s">
        <v>136</v>
      </c>
      <c r="J2400" s="1930" t="s">
        <v>320</v>
      </c>
      <c r="K2400" s="1933">
        <v>3.5</v>
      </c>
      <c r="L2400" s="1930" t="s">
        <v>138</v>
      </c>
    </row>
    <row r="2401" spans="1:12" ht="13.5" x14ac:dyDescent="0.25">
      <c r="A2401" s="1930" t="s">
        <v>4580</v>
      </c>
      <c r="B2401" s="1930" t="s">
        <v>4581</v>
      </c>
      <c r="C2401" s="1930" t="s">
        <v>4586</v>
      </c>
      <c r="D2401" s="1930" t="s">
        <v>4587</v>
      </c>
      <c r="E2401" s="1931" t="s">
        <v>33</v>
      </c>
      <c r="F2401" s="1930" t="s">
        <v>33</v>
      </c>
      <c r="G2401" s="1932">
        <v>98546</v>
      </c>
      <c r="H2401" s="1930" t="s">
        <v>5441</v>
      </c>
      <c r="I2401" s="1930" t="s">
        <v>306</v>
      </c>
      <c r="J2401" s="1930" t="s">
        <v>137</v>
      </c>
      <c r="K2401" s="1933">
        <v>79.11</v>
      </c>
      <c r="L2401" s="1930" t="s">
        <v>138</v>
      </c>
    </row>
    <row r="2402" spans="1:12" ht="13.5" x14ac:dyDescent="0.25">
      <c r="A2402" s="1930" t="s">
        <v>4580</v>
      </c>
      <c r="B2402" s="1930" t="s">
        <v>4581</v>
      </c>
      <c r="C2402" s="1930" t="s">
        <v>4586</v>
      </c>
      <c r="D2402" s="1930" t="s">
        <v>4587</v>
      </c>
      <c r="E2402" s="1931" t="s">
        <v>33</v>
      </c>
      <c r="F2402" s="1930" t="s">
        <v>33</v>
      </c>
      <c r="G2402" s="1932">
        <v>98547</v>
      </c>
      <c r="H2402" s="1930" t="s">
        <v>5442</v>
      </c>
      <c r="I2402" s="1930" t="s">
        <v>306</v>
      </c>
      <c r="J2402" s="1930" t="s">
        <v>137</v>
      </c>
      <c r="K2402" s="1933">
        <v>146.68</v>
      </c>
      <c r="L2402" s="1930" t="s">
        <v>138</v>
      </c>
    </row>
    <row r="2403" spans="1:12" ht="13.5" x14ac:dyDescent="0.25">
      <c r="A2403" s="1930" t="s">
        <v>4580</v>
      </c>
      <c r="B2403" s="1930" t="s">
        <v>4581</v>
      </c>
      <c r="C2403" s="1930" t="s">
        <v>4586</v>
      </c>
      <c r="D2403" s="1930" t="s">
        <v>4587</v>
      </c>
      <c r="E2403" s="1931" t="s">
        <v>33</v>
      </c>
      <c r="F2403" s="1930" t="s">
        <v>33</v>
      </c>
      <c r="G2403" s="1932">
        <v>98553</v>
      </c>
      <c r="H2403" s="1930" t="s">
        <v>14892</v>
      </c>
      <c r="I2403" s="1930" t="s">
        <v>306</v>
      </c>
      <c r="J2403" s="1930" t="s">
        <v>320</v>
      </c>
      <c r="K2403" s="1933">
        <v>90.47</v>
      </c>
      <c r="L2403" s="1930" t="s">
        <v>138</v>
      </c>
    </row>
    <row r="2404" spans="1:12" ht="13.5" x14ac:dyDescent="0.25">
      <c r="A2404" s="1930" t="s">
        <v>4580</v>
      </c>
      <c r="B2404" s="1930" t="s">
        <v>4581</v>
      </c>
      <c r="C2404" s="1930" t="s">
        <v>4586</v>
      </c>
      <c r="D2404" s="1930" t="s">
        <v>4587</v>
      </c>
      <c r="E2404" s="1931" t="s">
        <v>33</v>
      </c>
      <c r="F2404" s="1930" t="s">
        <v>33</v>
      </c>
      <c r="G2404" s="1932">
        <v>98554</v>
      </c>
      <c r="H2404" s="1930" t="s">
        <v>14893</v>
      </c>
      <c r="I2404" s="1930" t="s">
        <v>306</v>
      </c>
      <c r="J2404" s="1930" t="s">
        <v>320</v>
      </c>
      <c r="K2404" s="1933">
        <v>32.1</v>
      </c>
      <c r="L2404" s="1930" t="s">
        <v>138</v>
      </c>
    </row>
    <row r="2405" spans="1:12" ht="13.5" x14ac:dyDescent="0.25">
      <c r="A2405" s="1930" t="s">
        <v>4580</v>
      </c>
      <c r="B2405" s="1930" t="s">
        <v>4581</v>
      </c>
      <c r="C2405" s="1930" t="s">
        <v>4588</v>
      </c>
      <c r="D2405" s="1930" t="s">
        <v>4589</v>
      </c>
      <c r="E2405" s="1931" t="s">
        <v>33</v>
      </c>
      <c r="F2405" s="1930" t="s">
        <v>33</v>
      </c>
      <c r="G2405" s="1932">
        <v>98557</v>
      </c>
      <c r="H2405" s="1930" t="s">
        <v>5443</v>
      </c>
      <c r="I2405" s="1930" t="s">
        <v>306</v>
      </c>
      <c r="J2405" s="1930" t="s">
        <v>320</v>
      </c>
      <c r="K2405" s="1933">
        <v>31.62</v>
      </c>
      <c r="L2405" s="1930" t="s">
        <v>138</v>
      </c>
    </row>
    <row r="2406" spans="1:12" ht="13.5" x14ac:dyDescent="0.25">
      <c r="A2406" s="1930" t="s">
        <v>4580</v>
      </c>
      <c r="B2406" s="1930" t="s">
        <v>4581</v>
      </c>
      <c r="C2406" s="1930" t="s">
        <v>5444</v>
      </c>
      <c r="D2406" s="1930" t="s">
        <v>5445</v>
      </c>
      <c r="E2406" s="1931" t="s">
        <v>33</v>
      </c>
      <c r="F2406" s="1930" t="s">
        <v>33</v>
      </c>
      <c r="G2406" s="1932">
        <v>98563</v>
      </c>
      <c r="H2406" s="1930" t="s">
        <v>5446</v>
      </c>
      <c r="I2406" s="1930" t="s">
        <v>306</v>
      </c>
      <c r="J2406" s="1930" t="s">
        <v>320</v>
      </c>
      <c r="K2406" s="1933">
        <v>24.34</v>
      </c>
      <c r="L2406" s="1930" t="s">
        <v>138</v>
      </c>
    </row>
    <row r="2407" spans="1:12" ht="13.5" x14ac:dyDescent="0.25">
      <c r="A2407" s="1930" t="s">
        <v>4580</v>
      </c>
      <c r="B2407" s="1930" t="s">
        <v>4581</v>
      </c>
      <c r="C2407" s="1930" t="s">
        <v>5444</v>
      </c>
      <c r="D2407" s="1930" t="s">
        <v>5445</v>
      </c>
      <c r="E2407" s="1931" t="s">
        <v>33</v>
      </c>
      <c r="F2407" s="1930" t="s">
        <v>33</v>
      </c>
      <c r="G2407" s="1932">
        <v>98564</v>
      </c>
      <c r="H2407" s="1930" t="s">
        <v>5447</v>
      </c>
      <c r="I2407" s="1930" t="s">
        <v>306</v>
      </c>
      <c r="J2407" s="1930" t="s">
        <v>320</v>
      </c>
      <c r="K2407" s="1933">
        <v>30.84</v>
      </c>
      <c r="L2407" s="1930" t="s">
        <v>138</v>
      </c>
    </row>
    <row r="2408" spans="1:12" ht="13.5" x14ac:dyDescent="0.25">
      <c r="A2408" s="1930" t="s">
        <v>4580</v>
      </c>
      <c r="B2408" s="1930" t="s">
        <v>4581</v>
      </c>
      <c r="C2408" s="1930" t="s">
        <v>5444</v>
      </c>
      <c r="D2408" s="1930" t="s">
        <v>5445</v>
      </c>
      <c r="E2408" s="1931" t="s">
        <v>33</v>
      </c>
      <c r="F2408" s="1930" t="s">
        <v>33</v>
      </c>
      <c r="G2408" s="1932">
        <v>98565</v>
      </c>
      <c r="H2408" s="1930" t="s">
        <v>5448</v>
      </c>
      <c r="I2408" s="1930" t="s">
        <v>306</v>
      </c>
      <c r="J2408" s="1930" t="s">
        <v>320</v>
      </c>
      <c r="K2408" s="1933">
        <v>35.090000000000003</v>
      </c>
      <c r="L2408" s="1930" t="s">
        <v>138</v>
      </c>
    </row>
    <row r="2409" spans="1:12" ht="13.5" x14ac:dyDescent="0.25">
      <c r="A2409" s="1930" t="s">
        <v>4580</v>
      </c>
      <c r="B2409" s="1930" t="s">
        <v>4581</v>
      </c>
      <c r="C2409" s="1930" t="s">
        <v>5444</v>
      </c>
      <c r="D2409" s="1930" t="s">
        <v>5445</v>
      </c>
      <c r="E2409" s="1931" t="s">
        <v>33</v>
      </c>
      <c r="F2409" s="1930" t="s">
        <v>33</v>
      </c>
      <c r="G2409" s="1932">
        <v>98566</v>
      </c>
      <c r="H2409" s="1930" t="s">
        <v>5449</v>
      </c>
      <c r="I2409" s="1930" t="s">
        <v>306</v>
      </c>
      <c r="J2409" s="1930" t="s">
        <v>320</v>
      </c>
      <c r="K2409" s="1933">
        <v>41.59</v>
      </c>
      <c r="L2409" s="1930" t="s">
        <v>138</v>
      </c>
    </row>
    <row r="2410" spans="1:12" ht="13.5" x14ac:dyDescent="0.25">
      <c r="A2410" s="1930" t="s">
        <v>4580</v>
      </c>
      <c r="B2410" s="1930" t="s">
        <v>4581</v>
      </c>
      <c r="C2410" s="1930" t="s">
        <v>5444</v>
      </c>
      <c r="D2410" s="1930" t="s">
        <v>5445</v>
      </c>
      <c r="E2410" s="1931" t="s">
        <v>33</v>
      </c>
      <c r="F2410" s="1930" t="s">
        <v>33</v>
      </c>
      <c r="G2410" s="1932">
        <v>98567</v>
      </c>
      <c r="H2410" s="1930" t="s">
        <v>5450</v>
      </c>
      <c r="I2410" s="1930" t="s">
        <v>306</v>
      </c>
      <c r="J2410" s="1930" t="s">
        <v>320</v>
      </c>
      <c r="K2410" s="1933">
        <v>45.35</v>
      </c>
      <c r="L2410" s="1930" t="s">
        <v>138</v>
      </c>
    </row>
    <row r="2411" spans="1:12" ht="13.5" x14ac:dyDescent="0.25">
      <c r="A2411" s="1930" t="s">
        <v>4580</v>
      </c>
      <c r="B2411" s="1930" t="s">
        <v>4581</v>
      </c>
      <c r="C2411" s="1930" t="s">
        <v>5444</v>
      </c>
      <c r="D2411" s="1930" t="s">
        <v>5445</v>
      </c>
      <c r="E2411" s="1931" t="s">
        <v>33</v>
      </c>
      <c r="F2411" s="1930" t="s">
        <v>33</v>
      </c>
      <c r="G2411" s="1932">
        <v>98568</v>
      </c>
      <c r="H2411" s="1930" t="s">
        <v>5451</v>
      </c>
      <c r="I2411" s="1930" t="s">
        <v>306</v>
      </c>
      <c r="J2411" s="1930" t="s">
        <v>320</v>
      </c>
      <c r="K2411" s="1933">
        <v>51.84</v>
      </c>
      <c r="L2411" s="1930" t="s">
        <v>138</v>
      </c>
    </row>
    <row r="2412" spans="1:12" ht="13.5" x14ac:dyDescent="0.25">
      <c r="A2412" s="1930" t="s">
        <v>4580</v>
      </c>
      <c r="B2412" s="1930" t="s">
        <v>4581</v>
      </c>
      <c r="C2412" s="1930" t="s">
        <v>5444</v>
      </c>
      <c r="D2412" s="1930" t="s">
        <v>5445</v>
      </c>
      <c r="E2412" s="1931" t="s">
        <v>33</v>
      </c>
      <c r="F2412" s="1930" t="s">
        <v>33</v>
      </c>
      <c r="G2412" s="1932">
        <v>98569</v>
      </c>
      <c r="H2412" s="1930" t="s">
        <v>5452</v>
      </c>
      <c r="I2412" s="1930" t="s">
        <v>306</v>
      </c>
      <c r="J2412" s="1930" t="s">
        <v>320</v>
      </c>
      <c r="K2412" s="1933">
        <v>56.09</v>
      </c>
      <c r="L2412" s="1930" t="s">
        <v>138</v>
      </c>
    </row>
    <row r="2413" spans="1:12" ht="13.5" x14ac:dyDescent="0.25">
      <c r="A2413" s="1930" t="s">
        <v>4580</v>
      </c>
      <c r="B2413" s="1930" t="s">
        <v>4581</v>
      </c>
      <c r="C2413" s="1930" t="s">
        <v>5444</v>
      </c>
      <c r="D2413" s="1930" t="s">
        <v>5445</v>
      </c>
      <c r="E2413" s="1931" t="s">
        <v>33</v>
      </c>
      <c r="F2413" s="1930" t="s">
        <v>33</v>
      </c>
      <c r="G2413" s="1932">
        <v>98570</v>
      </c>
      <c r="H2413" s="1930" t="s">
        <v>5453</v>
      </c>
      <c r="I2413" s="1930" t="s">
        <v>306</v>
      </c>
      <c r="J2413" s="1930" t="s">
        <v>320</v>
      </c>
      <c r="K2413" s="1933">
        <v>62.6</v>
      </c>
      <c r="L2413" s="1930" t="s">
        <v>138</v>
      </c>
    </row>
    <row r="2414" spans="1:12" ht="13.5" x14ac:dyDescent="0.25">
      <c r="A2414" s="1930" t="s">
        <v>4580</v>
      </c>
      <c r="B2414" s="1930" t="s">
        <v>4581</v>
      </c>
      <c r="C2414" s="1930" t="s">
        <v>5444</v>
      </c>
      <c r="D2414" s="1930" t="s">
        <v>5445</v>
      </c>
      <c r="E2414" s="1931" t="s">
        <v>33</v>
      </c>
      <c r="F2414" s="1930" t="s">
        <v>33</v>
      </c>
      <c r="G2414" s="1932">
        <v>98571</v>
      </c>
      <c r="H2414" s="1930" t="s">
        <v>5454</v>
      </c>
      <c r="I2414" s="1930" t="s">
        <v>306</v>
      </c>
      <c r="J2414" s="1930" t="s">
        <v>320</v>
      </c>
      <c r="K2414" s="1933">
        <v>27.63</v>
      </c>
      <c r="L2414" s="1930" t="s">
        <v>138</v>
      </c>
    </row>
    <row r="2415" spans="1:12" ht="13.5" x14ac:dyDescent="0.25">
      <c r="A2415" s="1930" t="s">
        <v>4580</v>
      </c>
      <c r="B2415" s="1930" t="s">
        <v>4581</v>
      </c>
      <c r="C2415" s="1930" t="s">
        <v>5444</v>
      </c>
      <c r="D2415" s="1930" t="s">
        <v>5445</v>
      </c>
      <c r="E2415" s="1931" t="s">
        <v>33</v>
      </c>
      <c r="F2415" s="1930" t="s">
        <v>33</v>
      </c>
      <c r="G2415" s="1932">
        <v>98572</v>
      </c>
      <c r="H2415" s="1930" t="s">
        <v>5455</v>
      </c>
      <c r="I2415" s="1930" t="s">
        <v>306</v>
      </c>
      <c r="J2415" s="1930" t="s">
        <v>320</v>
      </c>
      <c r="K2415" s="1933">
        <v>34.090000000000003</v>
      </c>
      <c r="L2415" s="1930" t="s">
        <v>138</v>
      </c>
    </row>
    <row r="2416" spans="1:12" ht="13.5" x14ac:dyDescent="0.25">
      <c r="A2416" s="1930" t="s">
        <v>4580</v>
      </c>
      <c r="B2416" s="1930" t="s">
        <v>4581</v>
      </c>
      <c r="C2416" s="1930" t="s">
        <v>5444</v>
      </c>
      <c r="D2416" s="1930" t="s">
        <v>5445</v>
      </c>
      <c r="E2416" s="1931" t="s">
        <v>33</v>
      </c>
      <c r="F2416" s="1930" t="s">
        <v>33</v>
      </c>
      <c r="G2416" s="1932">
        <v>98573</v>
      </c>
      <c r="H2416" s="1930" t="s">
        <v>5456</v>
      </c>
      <c r="I2416" s="1930" t="s">
        <v>306</v>
      </c>
      <c r="J2416" s="1930" t="s">
        <v>320</v>
      </c>
      <c r="K2416" s="1933">
        <v>40.28</v>
      </c>
      <c r="L2416" s="1930" t="s">
        <v>138</v>
      </c>
    </row>
    <row r="2417" spans="1:12" ht="13.5" x14ac:dyDescent="0.25">
      <c r="A2417" s="1930" t="s">
        <v>4590</v>
      </c>
      <c r="B2417" s="1930" t="s">
        <v>4591</v>
      </c>
      <c r="C2417" s="1930" t="s">
        <v>4592</v>
      </c>
      <c r="D2417" s="1930" t="s">
        <v>4593</v>
      </c>
      <c r="E2417" s="1931" t="s">
        <v>33</v>
      </c>
      <c r="F2417" s="1930" t="s">
        <v>33</v>
      </c>
      <c r="G2417" s="1932">
        <v>91831</v>
      </c>
      <c r="H2417" s="1930" t="s">
        <v>1789</v>
      </c>
      <c r="I2417" s="1930" t="s">
        <v>136</v>
      </c>
      <c r="J2417" s="1930" t="s">
        <v>320</v>
      </c>
      <c r="K2417" s="1933">
        <v>5.74</v>
      </c>
      <c r="L2417" s="1930" t="s">
        <v>138</v>
      </c>
    </row>
    <row r="2418" spans="1:12" ht="13.5" x14ac:dyDescent="0.25">
      <c r="A2418" s="1930" t="s">
        <v>4590</v>
      </c>
      <c r="B2418" s="1930" t="s">
        <v>4591</v>
      </c>
      <c r="C2418" s="1930" t="s">
        <v>4592</v>
      </c>
      <c r="D2418" s="1930" t="s">
        <v>4593</v>
      </c>
      <c r="E2418" s="1931" t="s">
        <v>33</v>
      </c>
      <c r="F2418" s="1930" t="s">
        <v>33</v>
      </c>
      <c r="G2418" s="1932">
        <v>91833</v>
      </c>
      <c r="H2418" s="1930" t="s">
        <v>8075</v>
      </c>
      <c r="I2418" s="1930" t="s">
        <v>136</v>
      </c>
      <c r="J2418" s="1930" t="s">
        <v>320</v>
      </c>
      <c r="K2418" s="1933">
        <v>6.08</v>
      </c>
      <c r="L2418" s="1930" t="s">
        <v>138</v>
      </c>
    </row>
    <row r="2419" spans="1:12" ht="13.5" x14ac:dyDescent="0.25">
      <c r="A2419" s="1930" t="s">
        <v>4590</v>
      </c>
      <c r="B2419" s="1930" t="s">
        <v>4591</v>
      </c>
      <c r="C2419" s="1930" t="s">
        <v>4592</v>
      </c>
      <c r="D2419" s="1930" t="s">
        <v>4593</v>
      </c>
      <c r="E2419" s="1931" t="s">
        <v>33</v>
      </c>
      <c r="F2419" s="1930" t="s">
        <v>33</v>
      </c>
      <c r="G2419" s="1932">
        <v>91834</v>
      </c>
      <c r="H2419" s="1930" t="s">
        <v>1790</v>
      </c>
      <c r="I2419" s="1930" t="s">
        <v>136</v>
      </c>
      <c r="J2419" s="1930" t="s">
        <v>320</v>
      </c>
      <c r="K2419" s="1933">
        <v>6.42</v>
      </c>
      <c r="L2419" s="1930" t="s">
        <v>138</v>
      </c>
    </row>
    <row r="2420" spans="1:12" ht="13.5" x14ac:dyDescent="0.25">
      <c r="A2420" s="1930" t="s">
        <v>4590</v>
      </c>
      <c r="B2420" s="1930" t="s">
        <v>4591</v>
      </c>
      <c r="C2420" s="1930" t="s">
        <v>4592</v>
      </c>
      <c r="D2420" s="1930" t="s">
        <v>4593</v>
      </c>
      <c r="E2420" s="1931" t="s">
        <v>33</v>
      </c>
      <c r="F2420" s="1930" t="s">
        <v>33</v>
      </c>
      <c r="G2420" s="1932">
        <v>91835</v>
      </c>
      <c r="H2420" s="1930" t="s">
        <v>8076</v>
      </c>
      <c r="I2420" s="1930" t="s">
        <v>136</v>
      </c>
      <c r="J2420" s="1930" t="s">
        <v>320</v>
      </c>
      <c r="K2420" s="1933">
        <v>7.29</v>
      </c>
      <c r="L2420" s="1930" t="s">
        <v>138</v>
      </c>
    </row>
    <row r="2421" spans="1:12" ht="13.5" x14ac:dyDescent="0.25">
      <c r="A2421" s="1930" t="s">
        <v>4590</v>
      </c>
      <c r="B2421" s="1930" t="s">
        <v>4591</v>
      </c>
      <c r="C2421" s="1930" t="s">
        <v>4592</v>
      </c>
      <c r="D2421" s="1930" t="s">
        <v>4593</v>
      </c>
      <c r="E2421" s="1931" t="s">
        <v>33</v>
      </c>
      <c r="F2421" s="1930" t="s">
        <v>33</v>
      </c>
      <c r="G2421" s="1932">
        <v>91836</v>
      </c>
      <c r="H2421" s="1930" t="s">
        <v>1791</v>
      </c>
      <c r="I2421" s="1930" t="s">
        <v>136</v>
      </c>
      <c r="J2421" s="1930" t="s">
        <v>320</v>
      </c>
      <c r="K2421" s="1933">
        <v>8.33</v>
      </c>
      <c r="L2421" s="1930" t="s">
        <v>138</v>
      </c>
    </row>
    <row r="2422" spans="1:12" ht="13.5" x14ac:dyDescent="0.25">
      <c r="A2422" s="1930" t="s">
        <v>4590</v>
      </c>
      <c r="B2422" s="1930" t="s">
        <v>4591</v>
      </c>
      <c r="C2422" s="1930" t="s">
        <v>4592</v>
      </c>
      <c r="D2422" s="1930" t="s">
        <v>4593</v>
      </c>
      <c r="E2422" s="1931" t="s">
        <v>33</v>
      </c>
      <c r="F2422" s="1930" t="s">
        <v>33</v>
      </c>
      <c r="G2422" s="1932">
        <v>91837</v>
      </c>
      <c r="H2422" s="1930" t="s">
        <v>8077</v>
      </c>
      <c r="I2422" s="1930" t="s">
        <v>136</v>
      </c>
      <c r="J2422" s="1930" t="s">
        <v>320</v>
      </c>
      <c r="K2422" s="1933">
        <v>10.36</v>
      </c>
      <c r="L2422" s="1930" t="s">
        <v>138</v>
      </c>
    </row>
    <row r="2423" spans="1:12" ht="13.5" x14ac:dyDescent="0.25">
      <c r="A2423" s="1930" t="s">
        <v>4590</v>
      </c>
      <c r="B2423" s="1930" t="s">
        <v>4591</v>
      </c>
      <c r="C2423" s="1930" t="s">
        <v>4592</v>
      </c>
      <c r="D2423" s="1930" t="s">
        <v>4593</v>
      </c>
      <c r="E2423" s="1931" t="s">
        <v>33</v>
      </c>
      <c r="F2423" s="1930" t="s">
        <v>33</v>
      </c>
      <c r="G2423" s="1932">
        <v>91839</v>
      </c>
      <c r="H2423" s="1930" t="s">
        <v>8078</v>
      </c>
      <c r="I2423" s="1930" t="s">
        <v>136</v>
      </c>
      <c r="J2423" s="1930" t="s">
        <v>137</v>
      </c>
      <c r="K2423" s="1933">
        <v>7.76</v>
      </c>
      <c r="L2423" s="1930" t="s">
        <v>138</v>
      </c>
    </row>
    <row r="2424" spans="1:12" ht="13.5" x14ac:dyDescent="0.25">
      <c r="A2424" s="1930" t="s">
        <v>4590</v>
      </c>
      <c r="B2424" s="1930" t="s">
        <v>4591</v>
      </c>
      <c r="C2424" s="1930" t="s">
        <v>4592</v>
      </c>
      <c r="D2424" s="1930" t="s">
        <v>4593</v>
      </c>
      <c r="E2424" s="1931" t="s">
        <v>33</v>
      </c>
      <c r="F2424" s="1930" t="s">
        <v>33</v>
      </c>
      <c r="G2424" s="1932">
        <v>91840</v>
      </c>
      <c r="H2424" s="1930" t="s">
        <v>8079</v>
      </c>
      <c r="I2424" s="1930" t="s">
        <v>136</v>
      </c>
      <c r="J2424" s="1930" t="s">
        <v>137</v>
      </c>
      <c r="K2424" s="1933">
        <v>9.7799999999999994</v>
      </c>
      <c r="L2424" s="1930" t="s">
        <v>138</v>
      </c>
    </row>
    <row r="2425" spans="1:12" ht="13.5" x14ac:dyDescent="0.25">
      <c r="A2425" s="1930" t="s">
        <v>4590</v>
      </c>
      <c r="B2425" s="1930" t="s">
        <v>4591</v>
      </c>
      <c r="C2425" s="1930" t="s">
        <v>4592</v>
      </c>
      <c r="D2425" s="1930" t="s">
        <v>4593</v>
      </c>
      <c r="E2425" s="1931" t="s">
        <v>33</v>
      </c>
      <c r="F2425" s="1930" t="s">
        <v>33</v>
      </c>
      <c r="G2425" s="1932">
        <v>91841</v>
      </c>
      <c r="H2425" s="1930" t="s">
        <v>8080</v>
      </c>
      <c r="I2425" s="1930" t="s">
        <v>136</v>
      </c>
      <c r="J2425" s="1930" t="s">
        <v>137</v>
      </c>
      <c r="K2425" s="1933">
        <v>9.25</v>
      </c>
      <c r="L2425" s="1930" t="s">
        <v>138</v>
      </c>
    </row>
    <row r="2426" spans="1:12" ht="13.5" x14ac:dyDescent="0.25">
      <c r="A2426" s="1930" t="s">
        <v>4590</v>
      </c>
      <c r="B2426" s="1930" t="s">
        <v>4591</v>
      </c>
      <c r="C2426" s="1930" t="s">
        <v>4592</v>
      </c>
      <c r="D2426" s="1930" t="s">
        <v>4593</v>
      </c>
      <c r="E2426" s="1931" t="s">
        <v>33</v>
      </c>
      <c r="F2426" s="1930" t="s">
        <v>33</v>
      </c>
      <c r="G2426" s="1932">
        <v>91842</v>
      </c>
      <c r="H2426" s="1930" t="s">
        <v>1792</v>
      </c>
      <c r="I2426" s="1930" t="s">
        <v>136</v>
      </c>
      <c r="J2426" s="1930" t="s">
        <v>320</v>
      </c>
      <c r="K2426" s="1933">
        <v>4.17</v>
      </c>
      <c r="L2426" s="1930" t="s">
        <v>138</v>
      </c>
    </row>
    <row r="2427" spans="1:12" ht="13.5" x14ac:dyDescent="0.25">
      <c r="A2427" s="1930" t="s">
        <v>4590</v>
      </c>
      <c r="B2427" s="1930" t="s">
        <v>4591</v>
      </c>
      <c r="C2427" s="1930" t="s">
        <v>4592</v>
      </c>
      <c r="D2427" s="1930" t="s">
        <v>4593</v>
      </c>
      <c r="E2427" s="1931" t="s">
        <v>33</v>
      </c>
      <c r="F2427" s="1930" t="s">
        <v>33</v>
      </c>
      <c r="G2427" s="1932">
        <v>91843</v>
      </c>
      <c r="H2427" s="1930" t="s">
        <v>8081</v>
      </c>
      <c r="I2427" s="1930" t="s">
        <v>136</v>
      </c>
      <c r="J2427" s="1930" t="s">
        <v>320</v>
      </c>
      <c r="K2427" s="1933">
        <v>4.51</v>
      </c>
      <c r="L2427" s="1930" t="s">
        <v>138</v>
      </c>
    </row>
    <row r="2428" spans="1:12" ht="13.5" x14ac:dyDescent="0.25">
      <c r="A2428" s="1930" t="s">
        <v>4590</v>
      </c>
      <c r="B2428" s="1930" t="s">
        <v>4591</v>
      </c>
      <c r="C2428" s="1930" t="s">
        <v>4592</v>
      </c>
      <c r="D2428" s="1930" t="s">
        <v>4593</v>
      </c>
      <c r="E2428" s="1931" t="s">
        <v>33</v>
      </c>
      <c r="F2428" s="1930" t="s">
        <v>33</v>
      </c>
      <c r="G2428" s="1932">
        <v>91844</v>
      </c>
      <c r="H2428" s="1930" t="s">
        <v>1793</v>
      </c>
      <c r="I2428" s="1930" t="s">
        <v>136</v>
      </c>
      <c r="J2428" s="1930" t="s">
        <v>320</v>
      </c>
      <c r="K2428" s="1933">
        <v>4.84</v>
      </c>
      <c r="L2428" s="1930" t="s">
        <v>138</v>
      </c>
    </row>
    <row r="2429" spans="1:12" ht="13.5" x14ac:dyDescent="0.25">
      <c r="A2429" s="1930" t="s">
        <v>4590</v>
      </c>
      <c r="B2429" s="1930" t="s">
        <v>4591</v>
      </c>
      <c r="C2429" s="1930" t="s">
        <v>4592</v>
      </c>
      <c r="D2429" s="1930" t="s">
        <v>4593</v>
      </c>
      <c r="E2429" s="1931" t="s">
        <v>33</v>
      </c>
      <c r="F2429" s="1930" t="s">
        <v>33</v>
      </c>
      <c r="G2429" s="1932">
        <v>91845</v>
      </c>
      <c r="H2429" s="1930" t="s">
        <v>8082</v>
      </c>
      <c r="I2429" s="1930" t="s">
        <v>136</v>
      </c>
      <c r="J2429" s="1930" t="s">
        <v>320</v>
      </c>
      <c r="K2429" s="1933">
        <v>5.71</v>
      </c>
      <c r="L2429" s="1930" t="s">
        <v>138</v>
      </c>
    </row>
    <row r="2430" spans="1:12" ht="13.5" x14ac:dyDescent="0.25">
      <c r="A2430" s="1930" t="s">
        <v>4590</v>
      </c>
      <c r="B2430" s="1930" t="s">
        <v>4591</v>
      </c>
      <c r="C2430" s="1930" t="s">
        <v>4592</v>
      </c>
      <c r="D2430" s="1930" t="s">
        <v>4593</v>
      </c>
      <c r="E2430" s="1931" t="s">
        <v>33</v>
      </c>
      <c r="F2430" s="1930" t="s">
        <v>33</v>
      </c>
      <c r="G2430" s="1932">
        <v>91846</v>
      </c>
      <c r="H2430" s="1930" t="s">
        <v>1794</v>
      </c>
      <c r="I2430" s="1930" t="s">
        <v>136</v>
      </c>
      <c r="J2430" s="1930" t="s">
        <v>320</v>
      </c>
      <c r="K2430" s="1933">
        <v>6.76</v>
      </c>
      <c r="L2430" s="1930" t="s">
        <v>138</v>
      </c>
    </row>
    <row r="2431" spans="1:12" ht="13.5" x14ac:dyDescent="0.25">
      <c r="A2431" s="1930" t="s">
        <v>4590</v>
      </c>
      <c r="B2431" s="1930" t="s">
        <v>4591</v>
      </c>
      <c r="C2431" s="1930" t="s">
        <v>4592</v>
      </c>
      <c r="D2431" s="1930" t="s">
        <v>4593</v>
      </c>
      <c r="E2431" s="1931" t="s">
        <v>33</v>
      </c>
      <c r="F2431" s="1930" t="s">
        <v>33</v>
      </c>
      <c r="G2431" s="1932">
        <v>91847</v>
      </c>
      <c r="H2431" s="1930" t="s">
        <v>8083</v>
      </c>
      <c r="I2431" s="1930" t="s">
        <v>136</v>
      </c>
      <c r="J2431" s="1930" t="s">
        <v>320</v>
      </c>
      <c r="K2431" s="1933">
        <v>8.7899999999999991</v>
      </c>
      <c r="L2431" s="1930" t="s">
        <v>138</v>
      </c>
    </row>
    <row r="2432" spans="1:12" ht="13.5" x14ac:dyDescent="0.25">
      <c r="A2432" s="1930" t="s">
        <v>4590</v>
      </c>
      <c r="B2432" s="1930" t="s">
        <v>4591</v>
      </c>
      <c r="C2432" s="1930" t="s">
        <v>4592</v>
      </c>
      <c r="D2432" s="1930" t="s">
        <v>4593</v>
      </c>
      <c r="E2432" s="1931" t="s">
        <v>33</v>
      </c>
      <c r="F2432" s="1930" t="s">
        <v>33</v>
      </c>
      <c r="G2432" s="1932">
        <v>91849</v>
      </c>
      <c r="H2432" s="1930" t="s">
        <v>8084</v>
      </c>
      <c r="I2432" s="1930" t="s">
        <v>136</v>
      </c>
      <c r="J2432" s="1930" t="s">
        <v>137</v>
      </c>
      <c r="K2432" s="1933">
        <v>6.19</v>
      </c>
      <c r="L2432" s="1930" t="s">
        <v>138</v>
      </c>
    </row>
    <row r="2433" spans="1:12" ht="13.5" x14ac:dyDescent="0.25">
      <c r="A2433" s="1930" t="s">
        <v>4590</v>
      </c>
      <c r="B2433" s="1930" t="s">
        <v>4591</v>
      </c>
      <c r="C2433" s="1930" t="s">
        <v>4592</v>
      </c>
      <c r="D2433" s="1930" t="s">
        <v>4593</v>
      </c>
      <c r="E2433" s="1931" t="s">
        <v>33</v>
      </c>
      <c r="F2433" s="1930" t="s">
        <v>33</v>
      </c>
      <c r="G2433" s="1932">
        <v>91850</v>
      </c>
      <c r="H2433" s="1930" t="s">
        <v>8085</v>
      </c>
      <c r="I2433" s="1930" t="s">
        <v>136</v>
      </c>
      <c r="J2433" s="1930" t="s">
        <v>137</v>
      </c>
      <c r="K2433" s="1933">
        <v>8.24</v>
      </c>
      <c r="L2433" s="1930" t="s">
        <v>138</v>
      </c>
    </row>
    <row r="2434" spans="1:12" ht="13.5" x14ac:dyDescent="0.25">
      <c r="A2434" s="1930" t="s">
        <v>4590</v>
      </c>
      <c r="B2434" s="1930" t="s">
        <v>4591</v>
      </c>
      <c r="C2434" s="1930" t="s">
        <v>4592</v>
      </c>
      <c r="D2434" s="1930" t="s">
        <v>4593</v>
      </c>
      <c r="E2434" s="1931" t="s">
        <v>33</v>
      </c>
      <c r="F2434" s="1930" t="s">
        <v>33</v>
      </c>
      <c r="G2434" s="1932">
        <v>91851</v>
      </c>
      <c r="H2434" s="1930" t="s">
        <v>8086</v>
      </c>
      <c r="I2434" s="1930" t="s">
        <v>136</v>
      </c>
      <c r="J2434" s="1930" t="s">
        <v>137</v>
      </c>
      <c r="K2434" s="1933">
        <v>7.71</v>
      </c>
      <c r="L2434" s="1930" t="s">
        <v>138</v>
      </c>
    </row>
    <row r="2435" spans="1:12" ht="13.5" x14ac:dyDescent="0.25">
      <c r="A2435" s="1930" t="s">
        <v>4590</v>
      </c>
      <c r="B2435" s="1930" t="s">
        <v>4591</v>
      </c>
      <c r="C2435" s="1930" t="s">
        <v>4592</v>
      </c>
      <c r="D2435" s="1930" t="s">
        <v>4593</v>
      </c>
      <c r="E2435" s="1931" t="s">
        <v>33</v>
      </c>
      <c r="F2435" s="1930" t="s">
        <v>33</v>
      </c>
      <c r="G2435" s="1932">
        <v>91852</v>
      </c>
      <c r="H2435" s="1930" t="s">
        <v>1795</v>
      </c>
      <c r="I2435" s="1930" t="s">
        <v>136</v>
      </c>
      <c r="J2435" s="1930" t="s">
        <v>320</v>
      </c>
      <c r="K2435" s="1933">
        <v>6.1</v>
      </c>
      <c r="L2435" s="1930" t="s">
        <v>138</v>
      </c>
    </row>
    <row r="2436" spans="1:12" ht="13.5" x14ac:dyDescent="0.25">
      <c r="A2436" s="1930" t="s">
        <v>4590</v>
      </c>
      <c r="B2436" s="1930" t="s">
        <v>4591</v>
      </c>
      <c r="C2436" s="1930" t="s">
        <v>4592</v>
      </c>
      <c r="D2436" s="1930" t="s">
        <v>4593</v>
      </c>
      <c r="E2436" s="1931" t="s">
        <v>33</v>
      </c>
      <c r="F2436" s="1930" t="s">
        <v>33</v>
      </c>
      <c r="G2436" s="1932">
        <v>91853</v>
      </c>
      <c r="H2436" s="1930" t="s">
        <v>8087</v>
      </c>
      <c r="I2436" s="1930" t="s">
        <v>136</v>
      </c>
      <c r="J2436" s="1930" t="s">
        <v>320</v>
      </c>
      <c r="K2436" s="1933">
        <v>6.41</v>
      </c>
      <c r="L2436" s="1930" t="s">
        <v>138</v>
      </c>
    </row>
    <row r="2437" spans="1:12" ht="13.5" x14ac:dyDescent="0.25">
      <c r="A2437" s="1930" t="s">
        <v>4590</v>
      </c>
      <c r="B2437" s="1930" t="s">
        <v>4591</v>
      </c>
      <c r="C2437" s="1930" t="s">
        <v>4592</v>
      </c>
      <c r="D2437" s="1930" t="s">
        <v>4593</v>
      </c>
      <c r="E2437" s="1931" t="s">
        <v>33</v>
      </c>
      <c r="F2437" s="1930" t="s">
        <v>33</v>
      </c>
      <c r="G2437" s="1932">
        <v>91854</v>
      </c>
      <c r="H2437" s="1930" t="s">
        <v>1796</v>
      </c>
      <c r="I2437" s="1930" t="s">
        <v>136</v>
      </c>
      <c r="J2437" s="1930" t="s">
        <v>320</v>
      </c>
      <c r="K2437" s="1933">
        <v>6.76</v>
      </c>
      <c r="L2437" s="1930" t="s">
        <v>138</v>
      </c>
    </row>
    <row r="2438" spans="1:12" ht="13.5" x14ac:dyDescent="0.25">
      <c r="A2438" s="1930" t="s">
        <v>4590</v>
      </c>
      <c r="B2438" s="1930" t="s">
        <v>4591</v>
      </c>
      <c r="C2438" s="1930" t="s">
        <v>4592</v>
      </c>
      <c r="D2438" s="1930" t="s">
        <v>4593</v>
      </c>
      <c r="E2438" s="1931" t="s">
        <v>33</v>
      </c>
      <c r="F2438" s="1930" t="s">
        <v>33</v>
      </c>
      <c r="G2438" s="1932">
        <v>91855</v>
      </c>
      <c r="H2438" s="1930" t="s">
        <v>8088</v>
      </c>
      <c r="I2438" s="1930" t="s">
        <v>136</v>
      </c>
      <c r="J2438" s="1930" t="s">
        <v>320</v>
      </c>
      <c r="K2438" s="1933">
        <v>7.56</v>
      </c>
      <c r="L2438" s="1930" t="s">
        <v>138</v>
      </c>
    </row>
    <row r="2439" spans="1:12" ht="13.5" x14ac:dyDescent="0.25">
      <c r="A2439" s="1930" t="s">
        <v>4590</v>
      </c>
      <c r="B2439" s="1930" t="s">
        <v>4591</v>
      </c>
      <c r="C2439" s="1930" t="s">
        <v>4592</v>
      </c>
      <c r="D2439" s="1930" t="s">
        <v>4593</v>
      </c>
      <c r="E2439" s="1931" t="s">
        <v>33</v>
      </c>
      <c r="F2439" s="1930" t="s">
        <v>33</v>
      </c>
      <c r="G2439" s="1932">
        <v>91856</v>
      </c>
      <c r="H2439" s="1930" t="s">
        <v>1797</v>
      </c>
      <c r="I2439" s="1930" t="s">
        <v>136</v>
      </c>
      <c r="J2439" s="1930" t="s">
        <v>320</v>
      </c>
      <c r="K2439" s="1933">
        <v>8.59</v>
      </c>
      <c r="L2439" s="1930" t="s">
        <v>138</v>
      </c>
    </row>
    <row r="2440" spans="1:12" ht="13.5" x14ac:dyDescent="0.25">
      <c r="A2440" s="1930" t="s">
        <v>4590</v>
      </c>
      <c r="B2440" s="1930" t="s">
        <v>4591</v>
      </c>
      <c r="C2440" s="1930" t="s">
        <v>4592</v>
      </c>
      <c r="D2440" s="1930" t="s">
        <v>4593</v>
      </c>
      <c r="E2440" s="1931" t="s">
        <v>33</v>
      </c>
      <c r="F2440" s="1930" t="s">
        <v>33</v>
      </c>
      <c r="G2440" s="1932">
        <v>91857</v>
      </c>
      <c r="H2440" s="1930" t="s">
        <v>8089</v>
      </c>
      <c r="I2440" s="1930" t="s">
        <v>136</v>
      </c>
      <c r="J2440" s="1930" t="s">
        <v>320</v>
      </c>
      <c r="K2440" s="1933">
        <v>10.47</v>
      </c>
      <c r="L2440" s="1930" t="s">
        <v>138</v>
      </c>
    </row>
    <row r="2441" spans="1:12" ht="13.5" x14ac:dyDescent="0.25">
      <c r="A2441" s="1930" t="s">
        <v>4590</v>
      </c>
      <c r="B2441" s="1930" t="s">
        <v>4591</v>
      </c>
      <c r="C2441" s="1930" t="s">
        <v>4592</v>
      </c>
      <c r="D2441" s="1930" t="s">
        <v>4593</v>
      </c>
      <c r="E2441" s="1931" t="s">
        <v>33</v>
      </c>
      <c r="F2441" s="1930" t="s">
        <v>33</v>
      </c>
      <c r="G2441" s="1932">
        <v>91859</v>
      </c>
      <c r="H2441" s="1930" t="s">
        <v>8090</v>
      </c>
      <c r="I2441" s="1930" t="s">
        <v>136</v>
      </c>
      <c r="J2441" s="1930" t="s">
        <v>137</v>
      </c>
      <c r="K2441" s="1933">
        <v>8.07</v>
      </c>
      <c r="L2441" s="1930" t="s">
        <v>138</v>
      </c>
    </row>
    <row r="2442" spans="1:12" ht="13.5" x14ac:dyDescent="0.25">
      <c r="A2442" s="1930" t="s">
        <v>4590</v>
      </c>
      <c r="B2442" s="1930" t="s">
        <v>4591</v>
      </c>
      <c r="C2442" s="1930" t="s">
        <v>4592</v>
      </c>
      <c r="D2442" s="1930" t="s">
        <v>4593</v>
      </c>
      <c r="E2442" s="1931" t="s">
        <v>33</v>
      </c>
      <c r="F2442" s="1930" t="s">
        <v>33</v>
      </c>
      <c r="G2442" s="1932">
        <v>91860</v>
      </c>
      <c r="H2442" s="1930" t="s">
        <v>8091</v>
      </c>
      <c r="I2442" s="1930" t="s">
        <v>136</v>
      </c>
      <c r="J2442" s="1930" t="s">
        <v>137</v>
      </c>
      <c r="K2442" s="1933">
        <v>10.039999999999999</v>
      </c>
      <c r="L2442" s="1930" t="s">
        <v>138</v>
      </c>
    </row>
    <row r="2443" spans="1:12" ht="13.5" x14ac:dyDescent="0.25">
      <c r="A2443" s="1930" t="s">
        <v>4590</v>
      </c>
      <c r="B2443" s="1930" t="s">
        <v>4591</v>
      </c>
      <c r="C2443" s="1930" t="s">
        <v>4592</v>
      </c>
      <c r="D2443" s="1930" t="s">
        <v>4593</v>
      </c>
      <c r="E2443" s="1931" t="s">
        <v>33</v>
      </c>
      <c r="F2443" s="1930" t="s">
        <v>33</v>
      </c>
      <c r="G2443" s="1932">
        <v>91861</v>
      </c>
      <c r="H2443" s="1930" t="s">
        <v>8092</v>
      </c>
      <c r="I2443" s="1930" t="s">
        <v>136</v>
      </c>
      <c r="J2443" s="1930" t="s">
        <v>137</v>
      </c>
      <c r="K2443" s="1933">
        <v>9.5500000000000007</v>
      </c>
      <c r="L2443" s="1930" t="s">
        <v>138</v>
      </c>
    </row>
    <row r="2444" spans="1:12" ht="13.5" x14ac:dyDescent="0.25">
      <c r="A2444" s="1930" t="s">
        <v>4590</v>
      </c>
      <c r="B2444" s="1930" t="s">
        <v>4591</v>
      </c>
      <c r="C2444" s="1930" t="s">
        <v>4592</v>
      </c>
      <c r="D2444" s="1930" t="s">
        <v>4593</v>
      </c>
      <c r="E2444" s="1931" t="s">
        <v>33</v>
      </c>
      <c r="F2444" s="1930" t="s">
        <v>33</v>
      </c>
      <c r="G2444" s="1932">
        <v>91862</v>
      </c>
      <c r="H2444" s="1930" t="s">
        <v>1798</v>
      </c>
      <c r="I2444" s="1930" t="s">
        <v>136</v>
      </c>
      <c r="J2444" s="1930" t="s">
        <v>320</v>
      </c>
      <c r="K2444" s="1933">
        <v>6.92</v>
      </c>
      <c r="L2444" s="1930" t="s">
        <v>138</v>
      </c>
    </row>
    <row r="2445" spans="1:12" ht="13.5" x14ac:dyDescent="0.25">
      <c r="A2445" s="1930" t="s">
        <v>4590</v>
      </c>
      <c r="B2445" s="1930" t="s">
        <v>4591</v>
      </c>
      <c r="C2445" s="1930" t="s">
        <v>4592</v>
      </c>
      <c r="D2445" s="1930" t="s">
        <v>4593</v>
      </c>
      <c r="E2445" s="1931" t="s">
        <v>33</v>
      </c>
      <c r="F2445" s="1930" t="s">
        <v>33</v>
      </c>
      <c r="G2445" s="1932">
        <v>91863</v>
      </c>
      <c r="H2445" s="1930" t="s">
        <v>1799</v>
      </c>
      <c r="I2445" s="1930" t="s">
        <v>136</v>
      </c>
      <c r="J2445" s="1930" t="s">
        <v>320</v>
      </c>
      <c r="K2445" s="1933">
        <v>8.11</v>
      </c>
      <c r="L2445" s="1930" t="s">
        <v>138</v>
      </c>
    </row>
    <row r="2446" spans="1:12" ht="13.5" x14ac:dyDescent="0.25">
      <c r="A2446" s="1930" t="s">
        <v>4590</v>
      </c>
      <c r="B2446" s="1930" t="s">
        <v>4591</v>
      </c>
      <c r="C2446" s="1930" t="s">
        <v>4592</v>
      </c>
      <c r="D2446" s="1930" t="s">
        <v>4593</v>
      </c>
      <c r="E2446" s="1931" t="s">
        <v>33</v>
      </c>
      <c r="F2446" s="1930" t="s">
        <v>33</v>
      </c>
      <c r="G2446" s="1932">
        <v>91864</v>
      </c>
      <c r="H2446" s="1930" t="s">
        <v>1800</v>
      </c>
      <c r="I2446" s="1930" t="s">
        <v>136</v>
      </c>
      <c r="J2446" s="1930" t="s">
        <v>320</v>
      </c>
      <c r="K2446" s="1933">
        <v>10.63</v>
      </c>
      <c r="L2446" s="1930" t="s">
        <v>138</v>
      </c>
    </row>
    <row r="2447" spans="1:12" ht="13.5" x14ac:dyDescent="0.25">
      <c r="A2447" s="1930" t="s">
        <v>4590</v>
      </c>
      <c r="B2447" s="1930" t="s">
        <v>4591</v>
      </c>
      <c r="C2447" s="1930" t="s">
        <v>4592</v>
      </c>
      <c r="D2447" s="1930" t="s">
        <v>4593</v>
      </c>
      <c r="E2447" s="1931" t="s">
        <v>33</v>
      </c>
      <c r="F2447" s="1930" t="s">
        <v>33</v>
      </c>
      <c r="G2447" s="1932">
        <v>91865</v>
      </c>
      <c r="H2447" s="1930" t="s">
        <v>1801</v>
      </c>
      <c r="I2447" s="1930" t="s">
        <v>136</v>
      </c>
      <c r="J2447" s="1930" t="s">
        <v>320</v>
      </c>
      <c r="K2447" s="1933">
        <v>13.18</v>
      </c>
      <c r="L2447" s="1930" t="s">
        <v>138</v>
      </c>
    </row>
    <row r="2448" spans="1:12" ht="13.5" x14ac:dyDescent="0.25">
      <c r="A2448" s="1930" t="s">
        <v>4590</v>
      </c>
      <c r="B2448" s="1930" t="s">
        <v>4591</v>
      </c>
      <c r="C2448" s="1930" t="s">
        <v>4592</v>
      </c>
      <c r="D2448" s="1930" t="s">
        <v>4593</v>
      </c>
      <c r="E2448" s="1931" t="s">
        <v>33</v>
      </c>
      <c r="F2448" s="1930" t="s">
        <v>33</v>
      </c>
      <c r="G2448" s="1932">
        <v>91866</v>
      </c>
      <c r="H2448" s="1930" t="s">
        <v>1802</v>
      </c>
      <c r="I2448" s="1930" t="s">
        <v>136</v>
      </c>
      <c r="J2448" s="1930" t="s">
        <v>320</v>
      </c>
      <c r="K2448" s="1933">
        <v>5.45</v>
      </c>
      <c r="L2448" s="1930" t="s">
        <v>138</v>
      </c>
    </row>
    <row r="2449" spans="1:12" ht="13.5" x14ac:dyDescent="0.25">
      <c r="A2449" s="1930" t="s">
        <v>4590</v>
      </c>
      <c r="B2449" s="1930" t="s">
        <v>4591</v>
      </c>
      <c r="C2449" s="1930" t="s">
        <v>4592</v>
      </c>
      <c r="D2449" s="1930" t="s">
        <v>4593</v>
      </c>
      <c r="E2449" s="1931" t="s">
        <v>33</v>
      </c>
      <c r="F2449" s="1930" t="s">
        <v>33</v>
      </c>
      <c r="G2449" s="1932">
        <v>91867</v>
      </c>
      <c r="H2449" s="1930" t="s">
        <v>1803</v>
      </c>
      <c r="I2449" s="1930" t="s">
        <v>136</v>
      </c>
      <c r="J2449" s="1930" t="s">
        <v>320</v>
      </c>
      <c r="K2449" s="1933">
        <v>6.65</v>
      </c>
      <c r="L2449" s="1930" t="s">
        <v>138</v>
      </c>
    </row>
    <row r="2450" spans="1:12" ht="13.5" x14ac:dyDescent="0.25">
      <c r="A2450" s="1930" t="s">
        <v>4590</v>
      </c>
      <c r="B2450" s="1930" t="s">
        <v>4591</v>
      </c>
      <c r="C2450" s="1930" t="s">
        <v>4592</v>
      </c>
      <c r="D2450" s="1930" t="s">
        <v>4593</v>
      </c>
      <c r="E2450" s="1931" t="s">
        <v>33</v>
      </c>
      <c r="F2450" s="1930" t="s">
        <v>33</v>
      </c>
      <c r="G2450" s="1932">
        <v>91868</v>
      </c>
      <c r="H2450" s="1930" t="s">
        <v>1804</v>
      </c>
      <c r="I2450" s="1930" t="s">
        <v>136</v>
      </c>
      <c r="J2450" s="1930" t="s">
        <v>320</v>
      </c>
      <c r="K2450" s="1933">
        <v>9.17</v>
      </c>
      <c r="L2450" s="1930" t="s">
        <v>138</v>
      </c>
    </row>
    <row r="2451" spans="1:12" ht="13.5" x14ac:dyDescent="0.25">
      <c r="A2451" s="1930" t="s">
        <v>4590</v>
      </c>
      <c r="B2451" s="1930" t="s">
        <v>4591</v>
      </c>
      <c r="C2451" s="1930" t="s">
        <v>4592</v>
      </c>
      <c r="D2451" s="1930" t="s">
        <v>4593</v>
      </c>
      <c r="E2451" s="1931" t="s">
        <v>33</v>
      </c>
      <c r="F2451" s="1930" t="s">
        <v>33</v>
      </c>
      <c r="G2451" s="1932">
        <v>91869</v>
      </c>
      <c r="H2451" s="1930" t="s">
        <v>1805</v>
      </c>
      <c r="I2451" s="1930" t="s">
        <v>136</v>
      </c>
      <c r="J2451" s="1930" t="s">
        <v>320</v>
      </c>
      <c r="K2451" s="1933">
        <v>11.72</v>
      </c>
      <c r="L2451" s="1930" t="s">
        <v>138</v>
      </c>
    </row>
    <row r="2452" spans="1:12" ht="13.5" x14ac:dyDescent="0.25">
      <c r="A2452" s="1930" t="s">
        <v>4590</v>
      </c>
      <c r="B2452" s="1930" t="s">
        <v>4591</v>
      </c>
      <c r="C2452" s="1930" t="s">
        <v>4592</v>
      </c>
      <c r="D2452" s="1930" t="s">
        <v>4593</v>
      </c>
      <c r="E2452" s="1931" t="s">
        <v>33</v>
      </c>
      <c r="F2452" s="1930" t="s">
        <v>33</v>
      </c>
      <c r="G2452" s="1932">
        <v>91870</v>
      </c>
      <c r="H2452" s="1930" t="s">
        <v>1806</v>
      </c>
      <c r="I2452" s="1930" t="s">
        <v>136</v>
      </c>
      <c r="J2452" s="1930" t="s">
        <v>320</v>
      </c>
      <c r="K2452" s="1933">
        <v>7.87</v>
      </c>
      <c r="L2452" s="1930" t="s">
        <v>138</v>
      </c>
    </row>
    <row r="2453" spans="1:12" ht="13.5" x14ac:dyDescent="0.25">
      <c r="A2453" s="1930" t="s">
        <v>4590</v>
      </c>
      <c r="B2453" s="1930" t="s">
        <v>4591</v>
      </c>
      <c r="C2453" s="1930" t="s">
        <v>4592</v>
      </c>
      <c r="D2453" s="1930" t="s">
        <v>4593</v>
      </c>
      <c r="E2453" s="1931" t="s">
        <v>33</v>
      </c>
      <c r="F2453" s="1930" t="s">
        <v>33</v>
      </c>
      <c r="G2453" s="1932">
        <v>91871</v>
      </c>
      <c r="H2453" s="1930" t="s">
        <v>1807</v>
      </c>
      <c r="I2453" s="1930" t="s">
        <v>136</v>
      </c>
      <c r="J2453" s="1930" t="s">
        <v>320</v>
      </c>
      <c r="K2453" s="1933">
        <v>9.1</v>
      </c>
      <c r="L2453" s="1930" t="s">
        <v>138</v>
      </c>
    </row>
    <row r="2454" spans="1:12" ht="13.5" x14ac:dyDescent="0.25">
      <c r="A2454" s="1930" t="s">
        <v>4590</v>
      </c>
      <c r="B2454" s="1930" t="s">
        <v>4591</v>
      </c>
      <c r="C2454" s="1930" t="s">
        <v>4592</v>
      </c>
      <c r="D2454" s="1930" t="s">
        <v>4593</v>
      </c>
      <c r="E2454" s="1931" t="s">
        <v>33</v>
      </c>
      <c r="F2454" s="1930" t="s">
        <v>33</v>
      </c>
      <c r="G2454" s="1932">
        <v>91872</v>
      </c>
      <c r="H2454" s="1930" t="s">
        <v>1808</v>
      </c>
      <c r="I2454" s="1930" t="s">
        <v>136</v>
      </c>
      <c r="J2454" s="1930" t="s">
        <v>320</v>
      </c>
      <c r="K2454" s="1933">
        <v>11.62</v>
      </c>
      <c r="L2454" s="1930" t="s">
        <v>138</v>
      </c>
    </row>
    <row r="2455" spans="1:12" ht="13.5" x14ac:dyDescent="0.25">
      <c r="A2455" s="1930" t="s">
        <v>4590</v>
      </c>
      <c r="B2455" s="1930" t="s">
        <v>4591</v>
      </c>
      <c r="C2455" s="1930" t="s">
        <v>4592</v>
      </c>
      <c r="D2455" s="1930" t="s">
        <v>4593</v>
      </c>
      <c r="E2455" s="1931" t="s">
        <v>33</v>
      </c>
      <c r="F2455" s="1930" t="s">
        <v>33</v>
      </c>
      <c r="G2455" s="1932">
        <v>91873</v>
      </c>
      <c r="H2455" s="1930" t="s">
        <v>1809</v>
      </c>
      <c r="I2455" s="1930" t="s">
        <v>136</v>
      </c>
      <c r="J2455" s="1930" t="s">
        <v>320</v>
      </c>
      <c r="K2455" s="1933">
        <v>14.14</v>
      </c>
      <c r="L2455" s="1930" t="s">
        <v>138</v>
      </c>
    </row>
    <row r="2456" spans="1:12" ht="13.5" x14ac:dyDescent="0.25">
      <c r="A2456" s="1930" t="s">
        <v>4590</v>
      </c>
      <c r="B2456" s="1930" t="s">
        <v>4591</v>
      </c>
      <c r="C2456" s="1930" t="s">
        <v>4592</v>
      </c>
      <c r="D2456" s="1930" t="s">
        <v>4593</v>
      </c>
      <c r="E2456" s="1931" t="s">
        <v>33</v>
      </c>
      <c r="F2456" s="1930" t="s">
        <v>33</v>
      </c>
      <c r="G2456" s="1932">
        <v>93008</v>
      </c>
      <c r="H2456" s="1930" t="s">
        <v>1810</v>
      </c>
      <c r="I2456" s="1930" t="s">
        <v>136</v>
      </c>
      <c r="J2456" s="1930" t="s">
        <v>320</v>
      </c>
      <c r="K2456" s="1933">
        <v>11.32</v>
      </c>
      <c r="L2456" s="1930" t="s">
        <v>138</v>
      </c>
    </row>
    <row r="2457" spans="1:12" ht="13.5" x14ac:dyDescent="0.25">
      <c r="A2457" s="1930" t="s">
        <v>4590</v>
      </c>
      <c r="B2457" s="1930" t="s">
        <v>4591</v>
      </c>
      <c r="C2457" s="1930" t="s">
        <v>4592</v>
      </c>
      <c r="D2457" s="1930" t="s">
        <v>4593</v>
      </c>
      <c r="E2457" s="1931" t="s">
        <v>33</v>
      </c>
      <c r="F2457" s="1930" t="s">
        <v>33</v>
      </c>
      <c r="G2457" s="1932">
        <v>93009</v>
      </c>
      <c r="H2457" s="1930" t="s">
        <v>1811</v>
      </c>
      <c r="I2457" s="1930" t="s">
        <v>136</v>
      </c>
      <c r="J2457" s="1930" t="s">
        <v>320</v>
      </c>
      <c r="K2457" s="1933">
        <v>16.54</v>
      </c>
      <c r="L2457" s="1930" t="s">
        <v>138</v>
      </c>
    </row>
    <row r="2458" spans="1:12" ht="13.5" x14ac:dyDescent="0.25">
      <c r="A2458" s="1930" t="s">
        <v>4590</v>
      </c>
      <c r="B2458" s="1930" t="s">
        <v>4591</v>
      </c>
      <c r="C2458" s="1930" t="s">
        <v>4592</v>
      </c>
      <c r="D2458" s="1930" t="s">
        <v>4593</v>
      </c>
      <c r="E2458" s="1931" t="s">
        <v>33</v>
      </c>
      <c r="F2458" s="1930" t="s">
        <v>33</v>
      </c>
      <c r="G2458" s="1932">
        <v>93010</v>
      </c>
      <c r="H2458" s="1930" t="s">
        <v>1812</v>
      </c>
      <c r="I2458" s="1930" t="s">
        <v>136</v>
      </c>
      <c r="J2458" s="1930" t="s">
        <v>320</v>
      </c>
      <c r="K2458" s="1933">
        <v>22.91</v>
      </c>
      <c r="L2458" s="1930" t="s">
        <v>138</v>
      </c>
    </row>
    <row r="2459" spans="1:12" ht="13.5" x14ac:dyDescent="0.25">
      <c r="A2459" s="1930" t="s">
        <v>4590</v>
      </c>
      <c r="B2459" s="1930" t="s">
        <v>4591</v>
      </c>
      <c r="C2459" s="1930" t="s">
        <v>4592</v>
      </c>
      <c r="D2459" s="1930" t="s">
        <v>4593</v>
      </c>
      <c r="E2459" s="1931" t="s">
        <v>33</v>
      </c>
      <c r="F2459" s="1930" t="s">
        <v>33</v>
      </c>
      <c r="G2459" s="1932">
        <v>93011</v>
      </c>
      <c r="H2459" s="1930" t="s">
        <v>1813</v>
      </c>
      <c r="I2459" s="1930" t="s">
        <v>136</v>
      </c>
      <c r="J2459" s="1930" t="s">
        <v>320</v>
      </c>
      <c r="K2459" s="1933">
        <v>27.92</v>
      </c>
      <c r="L2459" s="1930" t="s">
        <v>138</v>
      </c>
    </row>
    <row r="2460" spans="1:12" ht="13.5" x14ac:dyDescent="0.25">
      <c r="A2460" s="1930" t="s">
        <v>4590</v>
      </c>
      <c r="B2460" s="1930" t="s">
        <v>4591</v>
      </c>
      <c r="C2460" s="1930" t="s">
        <v>4592</v>
      </c>
      <c r="D2460" s="1930" t="s">
        <v>4593</v>
      </c>
      <c r="E2460" s="1931" t="s">
        <v>33</v>
      </c>
      <c r="F2460" s="1930" t="s">
        <v>33</v>
      </c>
      <c r="G2460" s="1932">
        <v>93012</v>
      </c>
      <c r="H2460" s="1930" t="s">
        <v>1814</v>
      </c>
      <c r="I2460" s="1930" t="s">
        <v>136</v>
      </c>
      <c r="J2460" s="1930" t="s">
        <v>320</v>
      </c>
      <c r="K2460" s="1933">
        <v>41.97</v>
      </c>
      <c r="L2460" s="1930" t="s">
        <v>138</v>
      </c>
    </row>
    <row r="2461" spans="1:12" ht="13.5" x14ac:dyDescent="0.25">
      <c r="A2461" s="1930" t="s">
        <v>4590</v>
      </c>
      <c r="B2461" s="1930" t="s">
        <v>4591</v>
      </c>
      <c r="C2461" s="1930" t="s">
        <v>4592</v>
      </c>
      <c r="D2461" s="1930" t="s">
        <v>4593</v>
      </c>
      <c r="E2461" s="1931" t="s">
        <v>33</v>
      </c>
      <c r="F2461" s="1930" t="s">
        <v>33</v>
      </c>
      <c r="G2461" s="1932">
        <v>95726</v>
      </c>
      <c r="H2461" s="1930" t="s">
        <v>1815</v>
      </c>
      <c r="I2461" s="1930" t="s">
        <v>136</v>
      </c>
      <c r="J2461" s="1930" t="s">
        <v>320</v>
      </c>
      <c r="K2461" s="1933">
        <v>4.7300000000000004</v>
      </c>
      <c r="L2461" s="1930" t="s">
        <v>138</v>
      </c>
    </row>
    <row r="2462" spans="1:12" ht="13.5" x14ac:dyDescent="0.25">
      <c r="A2462" s="1930" t="s">
        <v>4590</v>
      </c>
      <c r="B2462" s="1930" t="s">
        <v>4591</v>
      </c>
      <c r="C2462" s="1930" t="s">
        <v>4592</v>
      </c>
      <c r="D2462" s="1930" t="s">
        <v>4593</v>
      </c>
      <c r="E2462" s="1931" t="s">
        <v>33</v>
      </c>
      <c r="F2462" s="1930" t="s">
        <v>33</v>
      </c>
      <c r="G2462" s="1932">
        <v>95727</v>
      </c>
      <c r="H2462" s="1930" t="s">
        <v>1816</v>
      </c>
      <c r="I2462" s="1930" t="s">
        <v>136</v>
      </c>
      <c r="J2462" s="1930" t="s">
        <v>320</v>
      </c>
      <c r="K2462" s="1933">
        <v>5.39</v>
      </c>
      <c r="L2462" s="1930" t="s">
        <v>138</v>
      </c>
    </row>
    <row r="2463" spans="1:12" ht="13.5" x14ac:dyDescent="0.25">
      <c r="A2463" s="1930" t="s">
        <v>4590</v>
      </c>
      <c r="B2463" s="1930" t="s">
        <v>4591</v>
      </c>
      <c r="C2463" s="1930" t="s">
        <v>4592</v>
      </c>
      <c r="D2463" s="1930" t="s">
        <v>4593</v>
      </c>
      <c r="E2463" s="1931" t="s">
        <v>33</v>
      </c>
      <c r="F2463" s="1930" t="s">
        <v>33</v>
      </c>
      <c r="G2463" s="1932">
        <v>95728</v>
      </c>
      <c r="H2463" s="1930" t="s">
        <v>1817</v>
      </c>
      <c r="I2463" s="1930" t="s">
        <v>136</v>
      </c>
      <c r="J2463" s="1930" t="s">
        <v>320</v>
      </c>
      <c r="K2463" s="1933">
        <v>6.76</v>
      </c>
      <c r="L2463" s="1930" t="s">
        <v>138</v>
      </c>
    </row>
    <row r="2464" spans="1:12" ht="13.5" x14ac:dyDescent="0.25">
      <c r="A2464" s="1930" t="s">
        <v>4590</v>
      </c>
      <c r="B2464" s="1930" t="s">
        <v>4591</v>
      </c>
      <c r="C2464" s="1930" t="s">
        <v>4592</v>
      </c>
      <c r="D2464" s="1930" t="s">
        <v>4593</v>
      </c>
      <c r="E2464" s="1931" t="s">
        <v>33</v>
      </c>
      <c r="F2464" s="1930" t="s">
        <v>33</v>
      </c>
      <c r="G2464" s="1932">
        <v>95729</v>
      </c>
      <c r="H2464" s="1930" t="s">
        <v>1818</v>
      </c>
      <c r="I2464" s="1930" t="s">
        <v>136</v>
      </c>
      <c r="J2464" s="1930" t="s">
        <v>320</v>
      </c>
      <c r="K2464" s="1933">
        <v>6.29</v>
      </c>
      <c r="L2464" s="1930" t="s">
        <v>138</v>
      </c>
    </row>
    <row r="2465" spans="1:12" ht="13.5" x14ac:dyDescent="0.25">
      <c r="A2465" s="1930" t="s">
        <v>4590</v>
      </c>
      <c r="B2465" s="1930" t="s">
        <v>4591</v>
      </c>
      <c r="C2465" s="1930" t="s">
        <v>4592</v>
      </c>
      <c r="D2465" s="1930" t="s">
        <v>4593</v>
      </c>
      <c r="E2465" s="1931" t="s">
        <v>33</v>
      </c>
      <c r="F2465" s="1930" t="s">
        <v>33</v>
      </c>
      <c r="G2465" s="1932">
        <v>95730</v>
      </c>
      <c r="H2465" s="1930" t="s">
        <v>1819</v>
      </c>
      <c r="I2465" s="1930" t="s">
        <v>136</v>
      </c>
      <c r="J2465" s="1930" t="s">
        <v>320</v>
      </c>
      <c r="K2465" s="1933">
        <v>6.94</v>
      </c>
      <c r="L2465" s="1930" t="s">
        <v>138</v>
      </c>
    </row>
    <row r="2466" spans="1:12" ht="13.5" x14ac:dyDescent="0.25">
      <c r="A2466" s="1930" t="s">
        <v>4590</v>
      </c>
      <c r="B2466" s="1930" t="s">
        <v>4591</v>
      </c>
      <c r="C2466" s="1930" t="s">
        <v>4592</v>
      </c>
      <c r="D2466" s="1930" t="s">
        <v>4593</v>
      </c>
      <c r="E2466" s="1931" t="s">
        <v>33</v>
      </c>
      <c r="F2466" s="1930" t="s">
        <v>33</v>
      </c>
      <c r="G2466" s="1932">
        <v>95731</v>
      </c>
      <c r="H2466" s="1930" t="s">
        <v>1820</v>
      </c>
      <c r="I2466" s="1930" t="s">
        <v>136</v>
      </c>
      <c r="J2466" s="1930" t="s">
        <v>320</v>
      </c>
      <c r="K2466" s="1933">
        <v>8.32</v>
      </c>
      <c r="L2466" s="1930" t="s">
        <v>138</v>
      </c>
    </row>
    <row r="2467" spans="1:12" ht="13.5" x14ac:dyDescent="0.25">
      <c r="A2467" s="1930" t="s">
        <v>4590</v>
      </c>
      <c r="B2467" s="1930" t="s">
        <v>4591</v>
      </c>
      <c r="C2467" s="1930" t="s">
        <v>4592</v>
      </c>
      <c r="D2467" s="1930" t="s">
        <v>4593</v>
      </c>
      <c r="E2467" s="1931" t="s">
        <v>33</v>
      </c>
      <c r="F2467" s="1930" t="s">
        <v>33</v>
      </c>
      <c r="G2467" s="1932">
        <v>95732</v>
      </c>
      <c r="H2467" s="1930" t="s">
        <v>1821</v>
      </c>
      <c r="I2467" s="1930" t="s">
        <v>168</v>
      </c>
      <c r="J2467" s="1930" t="s">
        <v>320</v>
      </c>
      <c r="K2467" s="1933">
        <v>3.22</v>
      </c>
      <c r="L2467" s="1930" t="s">
        <v>138</v>
      </c>
    </row>
    <row r="2468" spans="1:12" ht="13.5" x14ac:dyDescent="0.25">
      <c r="A2468" s="1930" t="s">
        <v>4590</v>
      </c>
      <c r="B2468" s="1930" t="s">
        <v>4591</v>
      </c>
      <c r="C2468" s="1930" t="s">
        <v>4592</v>
      </c>
      <c r="D2468" s="1930" t="s">
        <v>4593</v>
      </c>
      <c r="E2468" s="1931" t="s">
        <v>33</v>
      </c>
      <c r="F2468" s="1930" t="s">
        <v>33</v>
      </c>
      <c r="G2468" s="1932">
        <v>95745</v>
      </c>
      <c r="H2468" s="1930" t="s">
        <v>1822</v>
      </c>
      <c r="I2468" s="1930" t="s">
        <v>136</v>
      </c>
      <c r="J2468" s="1930" t="s">
        <v>137</v>
      </c>
      <c r="K2468" s="1933">
        <v>16.75</v>
      </c>
      <c r="L2468" s="1930" t="s">
        <v>138</v>
      </c>
    </row>
    <row r="2469" spans="1:12" ht="13.5" x14ac:dyDescent="0.25">
      <c r="A2469" s="1930" t="s">
        <v>4590</v>
      </c>
      <c r="B2469" s="1930" t="s">
        <v>4591</v>
      </c>
      <c r="C2469" s="1930" t="s">
        <v>4592</v>
      </c>
      <c r="D2469" s="1930" t="s">
        <v>4593</v>
      </c>
      <c r="E2469" s="1931" t="s">
        <v>33</v>
      </c>
      <c r="F2469" s="1930" t="s">
        <v>33</v>
      </c>
      <c r="G2469" s="1932">
        <v>95746</v>
      </c>
      <c r="H2469" s="1930" t="s">
        <v>1823</v>
      </c>
      <c r="I2469" s="1930" t="s">
        <v>136</v>
      </c>
      <c r="J2469" s="1930" t="s">
        <v>137</v>
      </c>
      <c r="K2469" s="1933">
        <v>20.83</v>
      </c>
      <c r="L2469" s="1930" t="s">
        <v>138</v>
      </c>
    </row>
    <row r="2470" spans="1:12" ht="13.5" x14ac:dyDescent="0.25">
      <c r="A2470" s="1930" t="s">
        <v>4590</v>
      </c>
      <c r="B2470" s="1930" t="s">
        <v>4591</v>
      </c>
      <c r="C2470" s="1930" t="s">
        <v>4592</v>
      </c>
      <c r="D2470" s="1930" t="s">
        <v>4593</v>
      </c>
      <c r="E2470" s="1931" t="s">
        <v>33</v>
      </c>
      <c r="F2470" s="1930" t="s">
        <v>33</v>
      </c>
      <c r="G2470" s="1932">
        <v>95747</v>
      </c>
      <c r="H2470" s="1930" t="s">
        <v>1824</v>
      </c>
      <c r="I2470" s="1930" t="s">
        <v>136</v>
      </c>
      <c r="J2470" s="1930" t="s">
        <v>137</v>
      </c>
      <c r="K2470" s="1933">
        <v>34.56</v>
      </c>
      <c r="L2470" s="1930" t="s">
        <v>138</v>
      </c>
    </row>
    <row r="2471" spans="1:12" ht="13.5" x14ac:dyDescent="0.25">
      <c r="A2471" s="1930" t="s">
        <v>4590</v>
      </c>
      <c r="B2471" s="1930" t="s">
        <v>4591</v>
      </c>
      <c r="C2471" s="1930" t="s">
        <v>4592</v>
      </c>
      <c r="D2471" s="1930" t="s">
        <v>4593</v>
      </c>
      <c r="E2471" s="1931" t="s">
        <v>33</v>
      </c>
      <c r="F2471" s="1930" t="s">
        <v>33</v>
      </c>
      <c r="G2471" s="1932">
        <v>95748</v>
      </c>
      <c r="H2471" s="1930" t="s">
        <v>1825</v>
      </c>
      <c r="I2471" s="1930" t="s">
        <v>136</v>
      </c>
      <c r="J2471" s="1930" t="s">
        <v>137</v>
      </c>
      <c r="K2471" s="1933">
        <v>37.299999999999997</v>
      </c>
      <c r="L2471" s="1930" t="s">
        <v>138</v>
      </c>
    </row>
    <row r="2472" spans="1:12" ht="13.5" x14ac:dyDescent="0.25">
      <c r="A2472" s="1930" t="s">
        <v>4590</v>
      </c>
      <c r="B2472" s="1930" t="s">
        <v>4591</v>
      </c>
      <c r="C2472" s="1930" t="s">
        <v>4592</v>
      </c>
      <c r="D2472" s="1930" t="s">
        <v>4593</v>
      </c>
      <c r="E2472" s="1931" t="s">
        <v>33</v>
      </c>
      <c r="F2472" s="1930" t="s">
        <v>33</v>
      </c>
      <c r="G2472" s="1932">
        <v>95749</v>
      </c>
      <c r="H2472" s="1930" t="s">
        <v>1826</v>
      </c>
      <c r="I2472" s="1930" t="s">
        <v>136</v>
      </c>
      <c r="J2472" s="1930" t="s">
        <v>137</v>
      </c>
      <c r="K2472" s="1933">
        <v>21.78</v>
      </c>
      <c r="L2472" s="1930" t="s">
        <v>138</v>
      </c>
    </row>
    <row r="2473" spans="1:12" ht="13.5" x14ac:dyDescent="0.25">
      <c r="A2473" s="1930" t="s">
        <v>4590</v>
      </c>
      <c r="B2473" s="1930" t="s">
        <v>4591</v>
      </c>
      <c r="C2473" s="1930" t="s">
        <v>4592</v>
      </c>
      <c r="D2473" s="1930" t="s">
        <v>4593</v>
      </c>
      <c r="E2473" s="1931" t="s">
        <v>33</v>
      </c>
      <c r="F2473" s="1930" t="s">
        <v>33</v>
      </c>
      <c r="G2473" s="1932">
        <v>95750</v>
      </c>
      <c r="H2473" s="1930" t="s">
        <v>1827</v>
      </c>
      <c r="I2473" s="1930" t="s">
        <v>136</v>
      </c>
      <c r="J2473" s="1930" t="s">
        <v>137</v>
      </c>
      <c r="K2473" s="1933">
        <v>25.74</v>
      </c>
      <c r="L2473" s="1930" t="s">
        <v>138</v>
      </c>
    </row>
    <row r="2474" spans="1:12" ht="13.5" x14ac:dyDescent="0.25">
      <c r="A2474" s="1930" t="s">
        <v>4590</v>
      </c>
      <c r="B2474" s="1930" t="s">
        <v>4591</v>
      </c>
      <c r="C2474" s="1930" t="s">
        <v>4592</v>
      </c>
      <c r="D2474" s="1930" t="s">
        <v>4593</v>
      </c>
      <c r="E2474" s="1931" t="s">
        <v>33</v>
      </c>
      <c r="F2474" s="1930" t="s">
        <v>33</v>
      </c>
      <c r="G2474" s="1932">
        <v>95751</v>
      </c>
      <c r="H2474" s="1930" t="s">
        <v>1828</v>
      </c>
      <c r="I2474" s="1930" t="s">
        <v>136</v>
      </c>
      <c r="J2474" s="1930" t="s">
        <v>137</v>
      </c>
      <c r="K2474" s="1933">
        <v>39.33</v>
      </c>
      <c r="L2474" s="1930" t="s">
        <v>138</v>
      </c>
    </row>
    <row r="2475" spans="1:12" ht="13.5" x14ac:dyDescent="0.25">
      <c r="A2475" s="1930" t="s">
        <v>4590</v>
      </c>
      <c r="B2475" s="1930" t="s">
        <v>4591</v>
      </c>
      <c r="C2475" s="1930" t="s">
        <v>4592</v>
      </c>
      <c r="D2475" s="1930" t="s">
        <v>4593</v>
      </c>
      <c r="E2475" s="1931" t="s">
        <v>33</v>
      </c>
      <c r="F2475" s="1930" t="s">
        <v>33</v>
      </c>
      <c r="G2475" s="1932">
        <v>95752</v>
      </c>
      <c r="H2475" s="1930" t="s">
        <v>1829</v>
      </c>
      <c r="I2475" s="1930" t="s">
        <v>136</v>
      </c>
      <c r="J2475" s="1930" t="s">
        <v>137</v>
      </c>
      <c r="K2475" s="1933">
        <v>41.89</v>
      </c>
      <c r="L2475" s="1930" t="s">
        <v>138</v>
      </c>
    </row>
    <row r="2476" spans="1:12" ht="13.5" x14ac:dyDescent="0.25">
      <c r="A2476" s="1930" t="s">
        <v>4590</v>
      </c>
      <c r="B2476" s="1930" t="s">
        <v>4591</v>
      </c>
      <c r="C2476" s="1930" t="s">
        <v>4592</v>
      </c>
      <c r="D2476" s="1930" t="s">
        <v>4593</v>
      </c>
      <c r="E2476" s="1931" t="s">
        <v>33</v>
      </c>
      <c r="F2476" s="1930" t="s">
        <v>33</v>
      </c>
      <c r="G2476" s="1932">
        <v>97667</v>
      </c>
      <c r="H2476" s="1930" t="s">
        <v>8093</v>
      </c>
      <c r="I2476" s="1930" t="s">
        <v>136</v>
      </c>
      <c r="J2476" s="1930" t="s">
        <v>137</v>
      </c>
      <c r="K2476" s="1933">
        <v>6.24</v>
      </c>
      <c r="L2476" s="1930" t="s">
        <v>138</v>
      </c>
    </row>
    <row r="2477" spans="1:12" ht="13.5" x14ac:dyDescent="0.25">
      <c r="A2477" s="1930" t="s">
        <v>4590</v>
      </c>
      <c r="B2477" s="1930" t="s">
        <v>4591</v>
      </c>
      <c r="C2477" s="1930" t="s">
        <v>4592</v>
      </c>
      <c r="D2477" s="1930" t="s">
        <v>4593</v>
      </c>
      <c r="E2477" s="1931" t="s">
        <v>33</v>
      </c>
      <c r="F2477" s="1930" t="s">
        <v>33</v>
      </c>
      <c r="G2477" s="1932">
        <v>97668</v>
      </c>
      <c r="H2477" s="1930" t="s">
        <v>8094</v>
      </c>
      <c r="I2477" s="1930" t="s">
        <v>136</v>
      </c>
      <c r="J2477" s="1930" t="s">
        <v>137</v>
      </c>
      <c r="K2477" s="1933">
        <v>9.5399999999999991</v>
      </c>
      <c r="L2477" s="1930" t="s">
        <v>138</v>
      </c>
    </row>
    <row r="2478" spans="1:12" ht="13.5" x14ac:dyDescent="0.25">
      <c r="A2478" s="1930" t="s">
        <v>4590</v>
      </c>
      <c r="B2478" s="1930" t="s">
        <v>4591</v>
      </c>
      <c r="C2478" s="1930" t="s">
        <v>4592</v>
      </c>
      <c r="D2478" s="1930" t="s">
        <v>4593</v>
      </c>
      <c r="E2478" s="1931" t="s">
        <v>33</v>
      </c>
      <c r="F2478" s="1930" t="s">
        <v>33</v>
      </c>
      <c r="G2478" s="1932">
        <v>97669</v>
      </c>
      <c r="H2478" s="1930" t="s">
        <v>8095</v>
      </c>
      <c r="I2478" s="1930" t="s">
        <v>136</v>
      </c>
      <c r="J2478" s="1930" t="s">
        <v>137</v>
      </c>
      <c r="K2478" s="1933">
        <v>15.14</v>
      </c>
      <c r="L2478" s="1930" t="s">
        <v>138</v>
      </c>
    </row>
    <row r="2479" spans="1:12" ht="13.5" x14ac:dyDescent="0.25">
      <c r="A2479" s="1930" t="s">
        <v>4590</v>
      </c>
      <c r="B2479" s="1930" t="s">
        <v>4591</v>
      </c>
      <c r="C2479" s="1930" t="s">
        <v>4592</v>
      </c>
      <c r="D2479" s="1930" t="s">
        <v>4593</v>
      </c>
      <c r="E2479" s="1931" t="s">
        <v>33</v>
      </c>
      <c r="F2479" s="1930" t="s">
        <v>33</v>
      </c>
      <c r="G2479" s="1932">
        <v>97670</v>
      </c>
      <c r="H2479" s="1930" t="s">
        <v>8096</v>
      </c>
      <c r="I2479" s="1930" t="s">
        <v>136</v>
      </c>
      <c r="J2479" s="1930" t="s">
        <v>137</v>
      </c>
      <c r="K2479" s="1933">
        <v>19.53</v>
      </c>
      <c r="L2479" s="1930" t="s">
        <v>138</v>
      </c>
    </row>
    <row r="2480" spans="1:12" ht="13.5" x14ac:dyDescent="0.25">
      <c r="A2480" s="1930" t="s">
        <v>4590</v>
      </c>
      <c r="B2480" s="1930" t="s">
        <v>4591</v>
      </c>
      <c r="C2480" s="1930" t="s">
        <v>4594</v>
      </c>
      <c r="D2480" s="1930" t="s">
        <v>4595</v>
      </c>
      <c r="E2480" s="1931" t="s">
        <v>33</v>
      </c>
      <c r="F2480" s="1930" t="s">
        <v>33</v>
      </c>
      <c r="G2480" s="1932">
        <v>91874</v>
      </c>
      <c r="H2480" s="1930" t="s">
        <v>1830</v>
      </c>
      <c r="I2480" s="1930" t="s">
        <v>168</v>
      </c>
      <c r="J2480" s="1930" t="s">
        <v>320</v>
      </c>
      <c r="K2480" s="1933">
        <v>3.51</v>
      </c>
      <c r="L2480" s="1930" t="s">
        <v>138</v>
      </c>
    </row>
    <row r="2481" spans="1:12" ht="13.5" x14ac:dyDescent="0.25">
      <c r="A2481" s="1930" t="s">
        <v>4590</v>
      </c>
      <c r="B2481" s="1930" t="s">
        <v>4591</v>
      </c>
      <c r="C2481" s="1930" t="s">
        <v>4594</v>
      </c>
      <c r="D2481" s="1930" t="s">
        <v>4595</v>
      </c>
      <c r="E2481" s="1931" t="s">
        <v>33</v>
      </c>
      <c r="F2481" s="1930" t="s">
        <v>33</v>
      </c>
      <c r="G2481" s="1932">
        <v>91875</v>
      </c>
      <c r="H2481" s="1930" t="s">
        <v>1831</v>
      </c>
      <c r="I2481" s="1930" t="s">
        <v>168</v>
      </c>
      <c r="J2481" s="1930" t="s">
        <v>320</v>
      </c>
      <c r="K2481" s="1933">
        <v>4.63</v>
      </c>
      <c r="L2481" s="1930" t="s">
        <v>138</v>
      </c>
    </row>
    <row r="2482" spans="1:12" ht="13.5" x14ac:dyDescent="0.25">
      <c r="A2482" s="1930" t="s">
        <v>4590</v>
      </c>
      <c r="B2482" s="1930" t="s">
        <v>4591</v>
      </c>
      <c r="C2482" s="1930" t="s">
        <v>4594</v>
      </c>
      <c r="D2482" s="1930" t="s">
        <v>4595</v>
      </c>
      <c r="E2482" s="1931" t="s">
        <v>33</v>
      </c>
      <c r="F2482" s="1930" t="s">
        <v>33</v>
      </c>
      <c r="G2482" s="1932">
        <v>91876</v>
      </c>
      <c r="H2482" s="1930" t="s">
        <v>1832</v>
      </c>
      <c r="I2482" s="1930" t="s">
        <v>168</v>
      </c>
      <c r="J2482" s="1930" t="s">
        <v>320</v>
      </c>
      <c r="K2482" s="1933">
        <v>6.09</v>
      </c>
      <c r="L2482" s="1930" t="s">
        <v>138</v>
      </c>
    </row>
    <row r="2483" spans="1:12" ht="13.5" x14ac:dyDescent="0.25">
      <c r="A2483" s="1930" t="s">
        <v>4590</v>
      </c>
      <c r="B2483" s="1930" t="s">
        <v>4591</v>
      </c>
      <c r="C2483" s="1930" t="s">
        <v>4594</v>
      </c>
      <c r="D2483" s="1930" t="s">
        <v>4595</v>
      </c>
      <c r="E2483" s="1931" t="s">
        <v>33</v>
      </c>
      <c r="F2483" s="1930" t="s">
        <v>33</v>
      </c>
      <c r="G2483" s="1932">
        <v>91877</v>
      </c>
      <c r="H2483" s="1930" t="s">
        <v>1833</v>
      </c>
      <c r="I2483" s="1930" t="s">
        <v>168</v>
      </c>
      <c r="J2483" s="1930" t="s">
        <v>320</v>
      </c>
      <c r="K2483" s="1933">
        <v>8.02</v>
      </c>
      <c r="L2483" s="1930" t="s">
        <v>138</v>
      </c>
    </row>
    <row r="2484" spans="1:12" ht="13.5" x14ac:dyDescent="0.25">
      <c r="A2484" s="1930" t="s">
        <v>4590</v>
      </c>
      <c r="B2484" s="1930" t="s">
        <v>4591</v>
      </c>
      <c r="C2484" s="1930" t="s">
        <v>4594</v>
      </c>
      <c r="D2484" s="1930" t="s">
        <v>4595</v>
      </c>
      <c r="E2484" s="1931" t="s">
        <v>33</v>
      </c>
      <c r="F2484" s="1930" t="s">
        <v>33</v>
      </c>
      <c r="G2484" s="1932">
        <v>91878</v>
      </c>
      <c r="H2484" s="1930" t="s">
        <v>1834</v>
      </c>
      <c r="I2484" s="1930" t="s">
        <v>168</v>
      </c>
      <c r="J2484" s="1930" t="s">
        <v>320</v>
      </c>
      <c r="K2484" s="1933">
        <v>4.57</v>
      </c>
      <c r="L2484" s="1930" t="s">
        <v>138</v>
      </c>
    </row>
    <row r="2485" spans="1:12" ht="13.5" x14ac:dyDescent="0.25">
      <c r="A2485" s="1930" t="s">
        <v>4590</v>
      </c>
      <c r="B2485" s="1930" t="s">
        <v>4591</v>
      </c>
      <c r="C2485" s="1930" t="s">
        <v>4594</v>
      </c>
      <c r="D2485" s="1930" t="s">
        <v>4595</v>
      </c>
      <c r="E2485" s="1931" t="s">
        <v>33</v>
      </c>
      <c r="F2485" s="1930" t="s">
        <v>33</v>
      </c>
      <c r="G2485" s="1932">
        <v>91879</v>
      </c>
      <c r="H2485" s="1930" t="s">
        <v>1835</v>
      </c>
      <c r="I2485" s="1930" t="s">
        <v>168</v>
      </c>
      <c r="J2485" s="1930" t="s">
        <v>320</v>
      </c>
      <c r="K2485" s="1933">
        <v>5.65</v>
      </c>
      <c r="L2485" s="1930" t="s">
        <v>138</v>
      </c>
    </row>
    <row r="2486" spans="1:12" ht="13.5" x14ac:dyDescent="0.25">
      <c r="A2486" s="1930" t="s">
        <v>4590</v>
      </c>
      <c r="B2486" s="1930" t="s">
        <v>4591</v>
      </c>
      <c r="C2486" s="1930" t="s">
        <v>4594</v>
      </c>
      <c r="D2486" s="1930" t="s">
        <v>4595</v>
      </c>
      <c r="E2486" s="1931" t="s">
        <v>33</v>
      </c>
      <c r="F2486" s="1930" t="s">
        <v>33</v>
      </c>
      <c r="G2486" s="1932">
        <v>91880</v>
      </c>
      <c r="H2486" s="1930" t="s">
        <v>1836</v>
      </c>
      <c r="I2486" s="1930" t="s">
        <v>168</v>
      </c>
      <c r="J2486" s="1930" t="s">
        <v>320</v>
      </c>
      <c r="K2486" s="1933">
        <v>7.15</v>
      </c>
      <c r="L2486" s="1930" t="s">
        <v>138</v>
      </c>
    </row>
    <row r="2487" spans="1:12" ht="13.5" x14ac:dyDescent="0.25">
      <c r="A2487" s="1930" t="s">
        <v>4590</v>
      </c>
      <c r="B2487" s="1930" t="s">
        <v>4591</v>
      </c>
      <c r="C2487" s="1930" t="s">
        <v>4594</v>
      </c>
      <c r="D2487" s="1930" t="s">
        <v>4595</v>
      </c>
      <c r="E2487" s="1931" t="s">
        <v>33</v>
      </c>
      <c r="F2487" s="1930" t="s">
        <v>33</v>
      </c>
      <c r="G2487" s="1932">
        <v>91881</v>
      </c>
      <c r="H2487" s="1930" t="s">
        <v>1837</v>
      </c>
      <c r="I2487" s="1930" t="s">
        <v>168</v>
      </c>
      <c r="J2487" s="1930" t="s">
        <v>320</v>
      </c>
      <c r="K2487" s="1933">
        <v>9.08</v>
      </c>
      <c r="L2487" s="1930" t="s">
        <v>138</v>
      </c>
    </row>
    <row r="2488" spans="1:12" ht="13.5" x14ac:dyDescent="0.25">
      <c r="A2488" s="1930" t="s">
        <v>4590</v>
      </c>
      <c r="B2488" s="1930" t="s">
        <v>4591</v>
      </c>
      <c r="C2488" s="1930" t="s">
        <v>4594</v>
      </c>
      <c r="D2488" s="1930" t="s">
        <v>4595</v>
      </c>
      <c r="E2488" s="1931" t="s">
        <v>33</v>
      </c>
      <c r="F2488" s="1930" t="s">
        <v>33</v>
      </c>
      <c r="G2488" s="1932">
        <v>91882</v>
      </c>
      <c r="H2488" s="1930" t="s">
        <v>1838</v>
      </c>
      <c r="I2488" s="1930" t="s">
        <v>168</v>
      </c>
      <c r="J2488" s="1930" t="s">
        <v>320</v>
      </c>
      <c r="K2488" s="1933">
        <v>5.7</v>
      </c>
      <c r="L2488" s="1930" t="s">
        <v>138</v>
      </c>
    </row>
    <row r="2489" spans="1:12" ht="13.5" x14ac:dyDescent="0.25">
      <c r="A2489" s="1930" t="s">
        <v>4590</v>
      </c>
      <c r="B2489" s="1930" t="s">
        <v>4591</v>
      </c>
      <c r="C2489" s="1930" t="s">
        <v>4594</v>
      </c>
      <c r="D2489" s="1930" t="s">
        <v>4595</v>
      </c>
      <c r="E2489" s="1931" t="s">
        <v>33</v>
      </c>
      <c r="F2489" s="1930" t="s">
        <v>33</v>
      </c>
      <c r="G2489" s="1932">
        <v>91884</v>
      </c>
      <c r="H2489" s="1930" t="s">
        <v>1839</v>
      </c>
      <c r="I2489" s="1930" t="s">
        <v>168</v>
      </c>
      <c r="J2489" s="1930" t="s">
        <v>320</v>
      </c>
      <c r="K2489" s="1933">
        <v>6.52</v>
      </c>
      <c r="L2489" s="1930" t="s">
        <v>138</v>
      </c>
    </row>
    <row r="2490" spans="1:12" ht="13.5" x14ac:dyDescent="0.25">
      <c r="A2490" s="1930" t="s">
        <v>4590</v>
      </c>
      <c r="B2490" s="1930" t="s">
        <v>4591</v>
      </c>
      <c r="C2490" s="1930" t="s">
        <v>4594</v>
      </c>
      <c r="D2490" s="1930" t="s">
        <v>4595</v>
      </c>
      <c r="E2490" s="1931" t="s">
        <v>33</v>
      </c>
      <c r="F2490" s="1930" t="s">
        <v>33</v>
      </c>
      <c r="G2490" s="1932">
        <v>91885</v>
      </c>
      <c r="H2490" s="1930" t="s">
        <v>1840</v>
      </c>
      <c r="I2490" s="1930" t="s">
        <v>168</v>
      </c>
      <c r="J2490" s="1930" t="s">
        <v>320</v>
      </c>
      <c r="K2490" s="1933">
        <v>7.66</v>
      </c>
      <c r="L2490" s="1930" t="s">
        <v>138</v>
      </c>
    </row>
    <row r="2491" spans="1:12" ht="13.5" x14ac:dyDescent="0.25">
      <c r="A2491" s="1930" t="s">
        <v>4590</v>
      </c>
      <c r="B2491" s="1930" t="s">
        <v>4591</v>
      </c>
      <c r="C2491" s="1930" t="s">
        <v>4594</v>
      </c>
      <c r="D2491" s="1930" t="s">
        <v>4595</v>
      </c>
      <c r="E2491" s="1931" t="s">
        <v>33</v>
      </c>
      <c r="F2491" s="1930" t="s">
        <v>33</v>
      </c>
      <c r="G2491" s="1932">
        <v>91886</v>
      </c>
      <c r="H2491" s="1930" t="s">
        <v>1841</v>
      </c>
      <c r="I2491" s="1930" t="s">
        <v>168</v>
      </c>
      <c r="J2491" s="1930" t="s">
        <v>320</v>
      </c>
      <c r="K2491" s="1933">
        <v>9.19</v>
      </c>
      <c r="L2491" s="1930" t="s">
        <v>138</v>
      </c>
    </row>
    <row r="2492" spans="1:12" ht="13.5" x14ac:dyDescent="0.25">
      <c r="A2492" s="1930" t="s">
        <v>4590</v>
      </c>
      <c r="B2492" s="1930" t="s">
        <v>4591</v>
      </c>
      <c r="C2492" s="1930" t="s">
        <v>4594</v>
      </c>
      <c r="D2492" s="1930" t="s">
        <v>4595</v>
      </c>
      <c r="E2492" s="1931" t="s">
        <v>33</v>
      </c>
      <c r="F2492" s="1930" t="s">
        <v>33</v>
      </c>
      <c r="G2492" s="1932">
        <v>91887</v>
      </c>
      <c r="H2492" s="1930" t="s">
        <v>1842</v>
      </c>
      <c r="I2492" s="1930" t="s">
        <v>168</v>
      </c>
      <c r="J2492" s="1930" t="s">
        <v>320</v>
      </c>
      <c r="K2492" s="1933">
        <v>6.26</v>
      </c>
      <c r="L2492" s="1930" t="s">
        <v>138</v>
      </c>
    </row>
    <row r="2493" spans="1:12" ht="13.5" x14ac:dyDescent="0.25">
      <c r="A2493" s="1930" t="s">
        <v>4590</v>
      </c>
      <c r="B2493" s="1930" t="s">
        <v>4591</v>
      </c>
      <c r="C2493" s="1930" t="s">
        <v>4594</v>
      </c>
      <c r="D2493" s="1930" t="s">
        <v>4595</v>
      </c>
      <c r="E2493" s="1931" t="s">
        <v>33</v>
      </c>
      <c r="F2493" s="1930" t="s">
        <v>33</v>
      </c>
      <c r="G2493" s="1932">
        <v>91889</v>
      </c>
      <c r="H2493" s="1930" t="s">
        <v>1843</v>
      </c>
      <c r="I2493" s="1930" t="s">
        <v>168</v>
      </c>
      <c r="J2493" s="1930" t="s">
        <v>320</v>
      </c>
      <c r="K2493" s="1933">
        <v>6.07</v>
      </c>
      <c r="L2493" s="1930" t="s">
        <v>138</v>
      </c>
    </row>
    <row r="2494" spans="1:12" ht="13.5" x14ac:dyDescent="0.25">
      <c r="A2494" s="1930" t="s">
        <v>4590</v>
      </c>
      <c r="B2494" s="1930" t="s">
        <v>4591</v>
      </c>
      <c r="C2494" s="1930" t="s">
        <v>4594</v>
      </c>
      <c r="D2494" s="1930" t="s">
        <v>4595</v>
      </c>
      <c r="E2494" s="1931" t="s">
        <v>33</v>
      </c>
      <c r="F2494" s="1930" t="s">
        <v>33</v>
      </c>
      <c r="G2494" s="1932">
        <v>91890</v>
      </c>
      <c r="H2494" s="1930" t="s">
        <v>1844</v>
      </c>
      <c r="I2494" s="1930" t="s">
        <v>168</v>
      </c>
      <c r="J2494" s="1930" t="s">
        <v>320</v>
      </c>
      <c r="K2494" s="1933">
        <v>7.55</v>
      </c>
      <c r="L2494" s="1930" t="s">
        <v>138</v>
      </c>
    </row>
    <row r="2495" spans="1:12" ht="13.5" x14ac:dyDescent="0.25">
      <c r="A2495" s="1930" t="s">
        <v>4590</v>
      </c>
      <c r="B2495" s="1930" t="s">
        <v>4591</v>
      </c>
      <c r="C2495" s="1930" t="s">
        <v>4594</v>
      </c>
      <c r="D2495" s="1930" t="s">
        <v>4595</v>
      </c>
      <c r="E2495" s="1931" t="s">
        <v>33</v>
      </c>
      <c r="F2495" s="1930" t="s">
        <v>33</v>
      </c>
      <c r="G2495" s="1932">
        <v>91892</v>
      </c>
      <c r="H2495" s="1930" t="s">
        <v>1845</v>
      </c>
      <c r="I2495" s="1930" t="s">
        <v>168</v>
      </c>
      <c r="J2495" s="1930" t="s">
        <v>320</v>
      </c>
      <c r="K2495" s="1933">
        <v>8.8000000000000007</v>
      </c>
      <c r="L2495" s="1930" t="s">
        <v>138</v>
      </c>
    </row>
    <row r="2496" spans="1:12" ht="13.5" x14ac:dyDescent="0.25">
      <c r="A2496" s="1930" t="s">
        <v>4590</v>
      </c>
      <c r="B2496" s="1930" t="s">
        <v>4591</v>
      </c>
      <c r="C2496" s="1930" t="s">
        <v>4594</v>
      </c>
      <c r="D2496" s="1930" t="s">
        <v>4595</v>
      </c>
      <c r="E2496" s="1931" t="s">
        <v>33</v>
      </c>
      <c r="F2496" s="1930" t="s">
        <v>33</v>
      </c>
      <c r="G2496" s="1932">
        <v>91893</v>
      </c>
      <c r="H2496" s="1930" t="s">
        <v>1846</v>
      </c>
      <c r="I2496" s="1930" t="s">
        <v>168</v>
      </c>
      <c r="J2496" s="1930" t="s">
        <v>320</v>
      </c>
      <c r="K2496" s="1933">
        <v>10.220000000000001</v>
      </c>
      <c r="L2496" s="1930" t="s">
        <v>138</v>
      </c>
    </row>
    <row r="2497" spans="1:12" ht="13.5" x14ac:dyDescent="0.25">
      <c r="A2497" s="1930" t="s">
        <v>4590</v>
      </c>
      <c r="B2497" s="1930" t="s">
        <v>4591</v>
      </c>
      <c r="C2497" s="1930" t="s">
        <v>4594</v>
      </c>
      <c r="D2497" s="1930" t="s">
        <v>4595</v>
      </c>
      <c r="E2497" s="1931" t="s">
        <v>33</v>
      </c>
      <c r="F2497" s="1930" t="s">
        <v>33</v>
      </c>
      <c r="G2497" s="1932">
        <v>91895</v>
      </c>
      <c r="H2497" s="1930" t="s">
        <v>8097</v>
      </c>
      <c r="I2497" s="1930" t="s">
        <v>168</v>
      </c>
      <c r="J2497" s="1930" t="s">
        <v>320</v>
      </c>
      <c r="K2497" s="1933">
        <v>11.48</v>
      </c>
      <c r="L2497" s="1930" t="s">
        <v>138</v>
      </c>
    </row>
    <row r="2498" spans="1:12" ht="13.5" x14ac:dyDescent="0.25">
      <c r="A2498" s="1930" t="s">
        <v>4590</v>
      </c>
      <c r="B2498" s="1930" t="s">
        <v>4591</v>
      </c>
      <c r="C2498" s="1930" t="s">
        <v>4594</v>
      </c>
      <c r="D2498" s="1930" t="s">
        <v>4595</v>
      </c>
      <c r="E2498" s="1931" t="s">
        <v>33</v>
      </c>
      <c r="F2498" s="1930" t="s">
        <v>33</v>
      </c>
      <c r="G2498" s="1932">
        <v>91896</v>
      </c>
      <c r="H2498" s="1930" t="s">
        <v>1847</v>
      </c>
      <c r="I2498" s="1930" t="s">
        <v>168</v>
      </c>
      <c r="J2498" s="1930" t="s">
        <v>320</v>
      </c>
      <c r="K2498" s="1933">
        <v>12.56</v>
      </c>
      <c r="L2498" s="1930" t="s">
        <v>138</v>
      </c>
    </row>
    <row r="2499" spans="1:12" ht="13.5" x14ac:dyDescent="0.25">
      <c r="A2499" s="1930" t="s">
        <v>4590</v>
      </c>
      <c r="B2499" s="1930" t="s">
        <v>4591</v>
      </c>
      <c r="C2499" s="1930" t="s">
        <v>4594</v>
      </c>
      <c r="D2499" s="1930" t="s">
        <v>4595</v>
      </c>
      <c r="E2499" s="1931" t="s">
        <v>33</v>
      </c>
      <c r="F2499" s="1930" t="s">
        <v>33</v>
      </c>
      <c r="G2499" s="1932">
        <v>91898</v>
      </c>
      <c r="H2499" s="1930" t="s">
        <v>1848</v>
      </c>
      <c r="I2499" s="1930" t="s">
        <v>168</v>
      </c>
      <c r="J2499" s="1930" t="s">
        <v>320</v>
      </c>
      <c r="K2499" s="1933">
        <v>13.91</v>
      </c>
      <c r="L2499" s="1930" t="s">
        <v>138</v>
      </c>
    </row>
    <row r="2500" spans="1:12" ht="13.5" x14ac:dyDescent="0.25">
      <c r="A2500" s="1930" t="s">
        <v>4590</v>
      </c>
      <c r="B2500" s="1930" t="s">
        <v>4591</v>
      </c>
      <c r="C2500" s="1930" t="s">
        <v>4594</v>
      </c>
      <c r="D2500" s="1930" t="s">
        <v>4595</v>
      </c>
      <c r="E2500" s="1931" t="s">
        <v>33</v>
      </c>
      <c r="F2500" s="1930" t="s">
        <v>33</v>
      </c>
      <c r="G2500" s="1932">
        <v>91899</v>
      </c>
      <c r="H2500" s="1930" t="s">
        <v>1849</v>
      </c>
      <c r="I2500" s="1930" t="s">
        <v>168</v>
      </c>
      <c r="J2500" s="1930" t="s">
        <v>320</v>
      </c>
      <c r="K2500" s="1933">
        <v>7.78</v>
      </c>
      <c r="L2500" s="1930" t="s">
        <v>138</v>
      </c>
    </row>
    <row r="2501" spans="1:12" ht="13.5" x14ac:dyDescent="0.25">
      <c r="A2501" s="1930" t="s">
        <v>4590</v>
      </c>
      <c r="B2501" s="1930" t="s">
        <v>4591</v>
      </c>
      <c r="C2501" s="1930" t="s">
        <v>4594</v>
      </c>
      <c r="D2501" s="1930" t="s">
        <v>4595</v>
      </c>
      <c r="E2501" s="1931" t="s">
        <v>33</v>
      </c>
      <c r="F2501" s="1930" t="s">
        <v>33</v>
      </c>
      <c r="G2501" s="1932">
        <v>91901</v>
      </c>
      <c r="H2501" s="1930" t="s">
        <v>1850</v>
      </c>
      <c r="I2501" s="1930" t="s">
        <v>168</v>
      </c>
      <c r="J2501" s="1930" t="s">
        <v>320</v>
      </c>
      <c r="K2501" s="1933">
        <v>7.59</v>
      </c>
      <c r="L2501" s="1930" t="s">
        <v>138</v>
      </c>
    </row>
    <row r="2502" spans="1:12" ht="13.5" x14ac:dyDescent="0.25">
      <c r="A2502" s="1930" t="s">
        <v>4590</v>
      </c>
      <c r="B2502" s="1930" t="s">
        <v>4591</v>
      </c>
      <c r="C2502" s="1930" t="s">
        <v>4594</v>
      </c>
      <c r="D2502" s="1930" t="s">
        <v>4595</v>
      </c>
      <c r="E2502" s="1931" t="s">
        <v>33</v>
      </c>
      <c r="F2502" s="1930" t="s">
        <v>33</v>
      </c>
      <c r="G2502" s="1932">
        <v>91902</v>
      </c>
      <c r="H2502" s="1930" t="s">
        <v>1851</v>
      </c>
      <c r="I2502" s="1930" t="s">
        <v>168</v>
      </c>
      <c r="J2502" s="1930" t="s">
        <v>320</v>
      </c>
      <c r="K2502" s="1933">
        <v>9.07</v>
      </c>
      <c r="L2502" s="1930" t="s">
        <v>138</v>
      </c>
    </row>
    <row r="2503" spans="1:12" ht="13.5" x14ac:dyDescent="0.25">
      <c r="A2503" s="1930" t="s">
        <v>4590</v>
      </c>
      <c r="B2503" s="1930" t="s">
        <v>4591</v>
      </c>
      <c r="C2503" s="1930" t="s">
        <v>4594</v>
      </c>
      <c r="D2503" s="1930" t="s">
        <v>4595</v>
      </c>
      <c r="E2503" s="1931" t="s">
        <v>33</v>
      </c>
      <c r="F2503" s="1930" t="s">
        <v>33</v>
      </c>
      <c r="G2503" s="1932">
        <v>91904</v>
      </c>
      <c r="H2503" s="1930" t="s">
        <v>1852</v>
      </c>
      <c r="I2503" s="1930" t="s">
        <v>168</v>
      </c>
      <c r="J2503" s="1930" t="s">
        <v>320</v>
      </c>
      <c r="K2503" s="1933">
        <v>10.32</v>
      </c>
      <c r="L2503" s="1930" t="s">
        <v>138</v>
      </c>
    </row>
    <row r="2504" spans="1:12" ht="13.5" x14ac:dyDescent="0.25">
      <c r="A2504" s="1930" t="s">
        <v>4590</v>
      </c>
      <c r="B2504" s="1930" t="s">
        <v>4591</v>
      </c>
      <c r="C2504" s="1930" t="s">
        <v>4594</v>
      </c>
      <c r="D2504" s="1930" t="s">
        <v>4595</v>
      </c>
      <c r="E2504" s="1931" t="s">
        <v>33</v>
      </c>
      <c r="F2504" s="1930" t="s">
        <v>33</v>
      </c>
      <c r="G2504" s="1932">
        <v>91905</v>
      </c>
      <c r="H2504" s="1930" t="s">
        <v>1853</v>
      </c>
      <c r="I2504" s="1930" t="s">
        <v>168</v>
      </c>
      <c r="J2504" s="1930" t="s">
        <v>320</v>
      </c>
      <c r="K2504" s="1933">
        <v>11.76</v>
      </c>
      <c r="L2504" s="1930" t="s">
        <v>138</v>
      </c>
    </row>
    <row r="2505" spans="1:12" ht="13.5" x14ac:dyDescent="0.25">
      <c r="A2505" s="1930" t="s">
        <v>4590</v>
      </c>
      <c r="B2505" s="1930" t="s">
        <v>4591</v>
      </c>
      <c r="C2505" s="1930" t="s">
        <v>4594</v>
      </c>
      <c r="D2505" s="1930" t="s">
        <v>4595</v>
      </c>
      <c r="E2505" s="1931" t="s">
        <v>33</v>
      </c>
      <c r="F2505" s="1930" t="s">
        <v>33</v>
      </c>
      <c r="G2505" s="1932">
        <v>91907</v>
      </c>
      <c r="H2505" s="1930" t="s">
        <v>8098</v>
      </c>
      <c r="I2505" s="1930" t="s">
        <v>168</v>
      </c>
      <c r="J2505" s="1930" t="s">
        <v>320</v>
      </c>
      <c r="K2505" s="1933">
        <v>13.02</v>
      </c>
      <c r="L2505" s="1930" t="s">
        <v>138</v>
      </c>
    </row>
    <row r="2506" spans="1:12" ht="13.5" x14ac:dyDescent="0.25">
      <c r="A2506" s="1930" t="s">
        <v>4590</v>
      </c>
      <c r="B2506" s="1930" t="s">
        <v>4591</v>
      </c>
      <c r="C2506" s="1930" t="s">
        <v>4594</v>
      </c>
      <c r="D2506" s="1930" t="s">
        <v>4595</v>
      </c>
      <c r="E2506" s="1931" t="s">
        <v>33</v>
      </c>
      <c r="F2506" s="1930" t="s">
        <v>33</v>
      </c>
      <c r="G2506" s="1932">
        <v>91908</v>
      </c>
      <c r="H2506" s="1930" t="s">
        <v>1854</v>
      </c>
      <c r="I2506" s="1930" t="s">
        <v>168</v>
      </c>
      <c r="J2506" s="1930" t="s">
        <v>320</v>
      </c>
      <c r="K2506" s="1933">
        <v>14.13</v>
      </c>
      <c r="L2506" s="1930" t="s">
        <v>138</v>
      </c>
    </row>
    <row r="2507" spans="1:12" ht="13.5" x14ac:dyDescent="0.25">
      <c r="A2507" s="1930" t="s">
        <v>4590</v>
      </c>
      <c r="B2507" s="1930" t="s">
        <v>4591</v>
      </c>
      <c r="C2507" s="1930" t="s">
        <v>4594</v>
      </c>
      <c r="D2507" s="1930" t="s">
        <v>4595</v>
      </c>
      <c r="E2507" s="1931" t="s">
        <v>33</v>
      </c>
      <c r="F2507" s="1930" t="s">
        <v>33</v>
      </c>
      <c r="G2507" s="1932">
        <v>91910</v>
      </c>
      <c r="H2507" s="1930" t="s">
        <v>1855</v>
      </c>
      <c r="I2507" s="1930" t="s">
        <v>168</v>
      </c>
      <c r="J2507" s="1930" t="s">
        <v>320</v>
      </c>
      <c r="K2507" s="1933">
        <v>15.48</v>
      </c>
      <c r="L2507" s="1930" t="s">
        <v>138</v>
      </c>
    </row>
    <row r="2508" spans="1:12" ht="13.5" x14ac:dyDescent="0.25">
      <c r="A2508" s="1930" t="s">
        <v>4590</v>
      </c>
      <c r="B2508" s="1930" t="s">
        <v>4591</v>
      </c>
      <c r="C2508" s="1930" t="s">
        <v>4594</v>
      </c>
      <c r="D2508" s="1930" t="s">
        <v>4595</v>
      </c>
      <c r="E2508" s="1931" t="s">
        <v>33</v>
      </c>
      <c r="F2508" s="1930" t="s">
        <v>33</v>
      </c>
      <c r="G2508" s="1932">
        <v>91911</v>
      </c>
      <c r="H2508" s="1930" t="s">
        <v>1856</v>
      </c>
      <c r="I2508" s="1930" t="s">
        <v>168</v>
      </c>
      <c r="J2508" s="1930" t="s">
        <v>320</v>
      </c>
      <c r="K2508" s="1933">
        <v>9.5299999999999994</v>
      </c>
      <c r="L2508" s="1930" t="s">
        <v>138</v>
      </c>
    </row>
    <row r="2509" spans="1:12" ht="13.5" x14ac:dyDescent="0.25">
      <c r="A2509" s="1930" t="s">
        <v>4590</v>
      </c>
      <c r="B2509" s="1930" t="s">
        <v>4591</v>
      </c>
      <c r="C2509" s="1930" t="s">
        <v>4594</v>
      </c>
      <c r="D2509" s="1930" t="s">
        <v>4595</v>
      </c>
      <c r="E2509" s="1931" t="s">
        <v>33</v>
      </c>
      <c r="F2509" s="1930" t="s">
        <v>33</v>
      </c>
      <c r="G2509" s="1932">
        <v>91913</v>
      </c>
      <c r="H2509" s="1930" t="s">
        <v>1857</v>
      </c>
      <c r="I2509" s="1930" t="s">
        <v>168</v>
      </c>
      <c r="J2509" s="1930" t="s">
        <v>320</v>
      </c>
      <c r="K2509" s="1933">
        <v>9.34</v>
      </c>
      <c r="L2509" s="1930" t="s">
        <v>138</v>
      </c>
    </row>
    <row r="2510" spans="1:12" ht="13.5" x14ac:dyDescent="0.25">
      <c r="A2510" s="1930" t="s">
        <v>4590</v>
      </c>
      <c r="B2510" s="1930" t="s">
        <v>4591</v>
      </c>
      <c r="C2510" s="1930" t="s">
        <v>4594</v>
      </c>
      <c r="D2510" s="1930" t="s">
        <v>4595</v>
      </c>
      <c r="E2510" s="1931" t="s">
        <v>33</v>
      </c>
      <c r="F2510" s="1930" t="s">
        <v>33</v>
      </c>
      <c r="G2510" s="1932">
        <v>91914</v>
      </c>
      <c r="H2510" s="1930" t="s">
        <v>1858</v>
      </c>
      <c r="I2510" s="1930" t="s">
        <v>168</v>
      </c>
      <c r="J2510" s="1930" t="s">
        <v>320</v>
      </c>
      <c r="K2510" s="1933">
        <v>10.41</v>
      </c>
      <c r="L2510" s="1930" t="s">
        <v>138</v>
      </c>
    </row>
    <row r="2511" spans="1:12" ht="13.5" x14ac:dyDescent="0.25">
      <c r="A2511" s="1930" t="s">
        <v>4590</v>
      </c>
      <c r="B2511" s="1930" t="s">
        <v>4591</v>
      </c>
      <c r="C2511" s="1930" t="s">
        <v>4594</v>
      </c>
      <c r="D2511" s="1930" t="s">
        <v>4595</v>
      </c>
      <c r="E2511" s="1931" t="s">
        <v>33</v>
      </c>
      <c r="F2511" s="1930" t="s">
        <v>33</v>
      </c>
      <c r="G2511" s="1932">
        <v>91916</v>
      </c>
      <c r="H2511" s="1930" t="s">
        <v>1859</v>
      </c>
      <c r="I2511" s="1930" t="s">
        <v>168</v>
      </c>
      <c r="J2511" s="1930" t="s">
        <v>320</v>
      </c>
      <c r="K2511" s="1933">
        <v>11.66</v>
      </c>
      <c r="L2511" s="1930" t="s">
        <v>138</v>
      </c>
    </row>
    <row r="2512" spans="1:12" ht="13.5" x14ac:dyDescent="0.25">
      <c r="A2512" s="1930" t="s">
        <v>4590</v>
      </c>
      <c r="B2512" s="1930" t="s">
        <v>4591</v>
      </c>
      <c r="C2512" s="1930" t="s">
        <v>4594</v>
      </c>
      <c r="D2512" s="1930" t="s">
        <v>4595</v>
      </c>
      <c r="E2512" s="1931" t="s">
        <v>33</v>
      </c>
      <c r="F2512" s="1930" t="s">
        <v>33</v>
      </c>
      <c r="G2512" s="1932">
        <v>91917</v>
      </c>
      <c r="H2512" s="1930" t="s">
        <v>1860</v>
      </c>
      <c r="I2512" s="1930" t="s">
        <v>168</v>
      </c>
      <c r="J2512" s="1930" t="s">
        <v>320</v>
      </c>
      <c r="K2512" s="1933">
        <v>12.56</v>
      </c>
      <c r="L2512" s="1930" t="s">
        <v>138</v>
      </c>
    </row>
    <row r="2513" spans="1:12" ht="13.5" x14ac:dyDescent="0.25">
      <c r="A2513" s="1930" t="s">
        <v>4590</v>
      </c>
      <c r="B2513" s="1930" t="s">
        <v>4591</v>
      </c>
      <c r="C2513" s="1930" t="s">
        <v>4594</v>
      </c>
      <c r="D2513" s="1930" t="s">
        <v>4595</v>
      </c>
      <c r="E2513" s="1931" t="s">
        <v>33</v>
      </c>
      <c r="F2513" s="1930" t="s">
        <v>33</v>
      </c>
      <c r="G2513" s="1932">
        <v>91919</v>
      </c>
      <c r="H2513" s="1930" t="s">
        <v>8099</v>
      </c>
      <c r="I2513" s="1930" t="s">
        <v>168</v>
      </c>
      <c r="J2513" s="1930" t="s">
        <v>320</v>
      </c>
      <c r="K2513" s="1933">
        <v>13.82</v>
      </c>
      <c r="L2513" s="1930" t="s">
        <v>138</v>
      </c>
    </row>
    <row r="2514" spans="1:12" ht="13.5" x14ac:dyDescent="0.25">
      <c r="A2514" s="1930" t="s">
        <v>4590</v>
      </c>
      <c r="B2514" s="1930" t="s">
        <v>4591</v>
      </c>
      <c r="C2514" s="1930" t="s">
        <v>4594</v>
      </c>
      <c r="D2514" s="1930" t="s">
        <v>4595</v>
      </c>
      <c r="E2514" s="1931" t="s">
        <v>33</v>
      </c>
      <c r="F2514" s="1930" t="s">
        <v>33</v>
      </c>
      <c r="G2514" s="1932">
        <v>91920</v>
      </c>
      <c r="H2514" s="1930" t="s">
        <v>1861</v>
      </c>
      <c r="I2514" s="1930" t="s">
        <v>168</v>
      </c>
      <c r="J2514" s="1930" t="s">
        <v>320</v>
      </c>
      <c r="K2514" s="1933">
        <v>14.31</v>
      </c>
      <c r="L2514" s="1930" t="s">
        <v>138</v>
      </c>
    </row>
    <row r="2515" spans="1:12" ht="13.5" x14ac:dyDescent="0.25">
      <c r="A2515" s="1930" t="s">
        <v>4590</v>
      </c>
      <c r="B2515" s="1930" t="s">
        <v>4591</v>
      </c>
      <c r="C2515" s="1930" t="s">
        <v>4594</v>
      </c>
      <c r="D2515" s="1930" t="s">
        <v>4595</v>
      </c>
      <c r="E2515" s="1931" t="s">
        <v>33</v>
      </c>
      <c r="F2515" s="1930" t="s">
        <v>33</v>
      </c>
      <c r="G2515" s="1932">
        <v>91922</v>
      </c>
      <c r="H2515" s="1930" t="s">
        <v>1862</v>
      </c>
      <c r="I2515" s="1930" t="s">
        <v>168</v>
      </c>
      <c r="J2515" s="1930" t="s">
        <v>320</v>
      </c>
      <c r="K2515" s="1933">
        <v>15.66</v>
      </c>
      <c r="L2515" s="1930" t="s">
        <v>138</v>
      </c>
    </row>
    <row r="2516" spans="1:12" ht="13.5" x14ac:dyDescent="0.25">
      <c r="A2516" s="1930" t="s">
        <v>4590</v>
      </c>
      <c r="B2516" s="1930" t="s">
        <v>4591</v>
      </c>
      <c r="C2516" s="1930" t="s">
        <v>4594</v>
      </c>
      <c r="D2516" s="1930" t="s">
        <v>4595</v>
      </c>
      <c r="E2516" s="1931" t="s">
        <v>33</v>
      </c>
      <c r="F2516" s="1930" t="s">
        <v>33</v>
      </c>
      <c r="G2516" s="1932">
        <v>93013</v>
      </c>
      <c r="H2516" s="1930" t="s">
        <v>1863</v>
      </c>
      <c r="I2516" s="1930" t="s">
        <v>168</v>
      </c>
      <c r="J2516" s="1930" t="s">
        <v>320</v>
      </c>
      <c r="K2516" s="1933">
        <v>10.38</v>
      </c>
      <c r="L2516" s="1930" t="s">
        <v>138</v>
      </c>
    </row>
    <row r="2517" spans="1:12" ht="13.5" x14ac:dyDescent="0.25">
      <c r="A2517" s="1930" t="s">
        <v>4590</v>
      </c>
      <c r="B2517" s="1930" t="s">
        <v>4591</v>
      </c>
      <c r="C2517" s="1930" t="s">
        <v>4594</v>
      </c>
      <c r="D2517" s="1930" t="s">
        <v>4595</v>
      </c>
      <c r="E2517" s="1931" t="s">
        <v>33</v>
      </c>
      <c r="F2517" s="1930" t="s">
        <v>33</v>
      </c>
      <c r="G2517" s="1932">
        <v>93014</v>
      </c>
      <c r="H2517" s="1930" t="s">
        <v>1864</v>
      </c>
      <c r="I2517" s="1930" t="s">
        <v>168</v>
      </c>
      <c r="J2517" s="1930" t="s">
        <v>320</v>
      </c>
      <c r="K2517" s="1933">
        <v>12.63</v>
      </c>
      <c r="L2517" s="1930" t="s">
        <v>138</v>
      </c>
    </row>
    <row r="2518" spans="1:12" ht="13.5" x14ac:dyDescent="0.25">
      <c r="A2518" s="1930" t="s">
        <v>4590</v>
      </c>
      <c r="B2518" s="1930" t="s">
        <v>4591</v>
      </c>
      <c r="C2518" s="1930" t="s">
        <v>4594</v>
      </c>
      <c r="D2518" s="1930" t="s">
        <v>4595</v>
      </c>
      <c r="E2518" s="1931" t="s">
        <v>33</v>
      </c>
      <c r="F2518" s="1930" t="s">
        <v>33</v>
      </c>
      <c r="G2518" s="1932">
        <v>93015</v>
      </c>
      <c r="H2518" s="1930" t="s">
        <v>1865</v>
      </c>
      <c r="I2518" s="1930" t="s">
        <v>168</v>
      </c>
      <c r="J2518" s="1930" t="s">
        <v>320</v>
      </c>
      <c r="K2518" s="1933">
        <v>18.43</v>
      </c>
      <c r="L2518" s="1930" t="s">
        <v>138</v>
      </c>
    </row>
    <row r="2519" spans="1:12" ht="13.5" x14ac:dyDescent="0.25">
      <c r="A2519" s="1930" t="s">
        <v>4590</v>
      </c>
      <c r="B2519" s="1930" t="s">
        <v>4591</v>
      </c>
      <c r="C2519" s="1930" t="s">
        <v>4594</v>
      </c>
      <c r="D2519" s="1930" t="s">
        <v>4595</v>
      </c>
      <c r="E2519" s="1931" t="s">
        <v>33</v>
      </c>
      <c r="F2519" s="1930" t="s">
        <v>33</v>
      </c>
      <c r="G2519" s="1932">
        <v>93016</v>
      </c>
      <c r="H2519" s="1930" t="s">
        <v>1866</v>
      </c>
      <c r="I2519" s="1930" t="s">
        <v>168</v>
      </c>
      <c r="J2519" s="1930" t="s">
        <v>320</v>
      </c>
      <c r="K2519" s="1933">
        <v>22.15</v>
      </c>
      <c r="L2519" s="1930" t="s">
        <v>138</v>
      </c>
    </row>
    <row r="2520" spans="1:12" ht="13.5" x14ac:dyDescent="0.25">
      <c r="A2520" s="1930" t="s">
        <v>4590</v>
      </c>
      <c r="B2520" s="1930" t="s">
        <v>4591</v>
      </c>
      <c r="C2520" s="1930" t="s">
        <v>4594</v>
      </c>
      <c r="D2520" s="1930" t="s">
        <v>4595</v>
      </c>
      <c r="E2520" s="1931" t="s">
        <v>33</v>
      </c>
      <c r="F2520" s="1930" t="s">
        <v>33</v>
      </c>
      <c r="G2520" s="1932">
        <v>93017</v>
      </c>
      <c r="H2520" s="1930" t="s">
        <v>1867</v>
      </c>
      <c r="I2520" s="1930" t="s">
        <v>168</v>
      </c>
      <c r="J2520" s="1930" t="s">
        <v>320</v>
      </c>
      <c r="K2520" s="1933">
        <v>32.58</v>
      </c>
      <c r="L2520" s="1930" t="s">
        <v>138</v>
      </c>
    </row>
    <row r="2521" spans="1:12" ht="13.5" x14ac:dyDescent="0.25">
      <c r="A2521" s="1930" t="s">
        <v>4590</v>
      </c>
      <c r="B2521" s="1930" t="s">
        <v>4591</v>
      </c>
      <c r="C2521" s="1930" t="s">
        <v>4594</v>
      </c>
      <c r="D2521" s="1930" t="s">
        <v>4595</v>
      </c>
      <c r="E2521" s="1931" t="s">
        <v>33</v>
      </c>
      <c r="F2521" s="1930" t="s">
        <v>33</v>
      </c>
      <c r="G2521" s="1932">
        <v>93018</v>
      </c>
      <c r="H2521" s="1930" t="s">
        <v>1868</v>
      </c>
      <c r="I2521" s="1930" t="s">
        <v>168</v>
      </c>
      <c r="J2521" s="1930" t="s">
        <v>320</v>
      </c>
      <c r="K2521" s="1933">
        <v>15.81</v>
      </c>
      <c r="L2521" s="1930" t="s">
        <v>138</v>
      </c>
    </row>
    <row r="2522" spans="1:12" ht="13.5" x14ac:dyDescent="0.25">
      <c r="A2522" s="1930" t="s">
        <v>4590</v>
      </c>
      <c r="B2522" s="1930" t="s">
        <v>4591</v>
      </c>
      <c r="C2522" s="1930" t="s">
        <v>4594</v>
      </c>
      <c r="D2522" s="1930" t="s">
        <v>4595</v>
      </c>
      <c r="E2522" s="1931" t="s">
        <v>33</v>
      </c>
      <c r="F2522" s="1930" t="s">
        <v>33</v>
      </c>
      <c r="G2522" s="1932">
        <v>93020</v>
      </c>
      <c r="H2522" s="1930" t="s">
        <v>1869</v>
      </c>
      <c r="I2522" s="1930" t="s">
        <v>168</v>
      </c>
      <c r="J2522" s="1930" t="s">
        <v>320</v>
      </c>
      <c r="K2522" s="1933">
        <v>19.91</v>
      </c>
      <c r="L2522" s="1930" t="s">
        <v>138</v>
      </c>
    </row>
    <row r="2523" spans="1:12" ht="13.5" x14ac:dyDescent="0.25">
      <c r="A2523" s="1930" t="s">
        <v>4590</v>
      </c>
      <c r="B2523" s="1930" t="s">
        <v>4591</v>
      </c>
      <c r="C2523" s="1930" t="s">
        <v>4594</v>
      </c>
      <c r="D2523" s="1930" t="s">
        <v>4595</v>
      </c>
      <c r="E2523" s="1931" t="s">
        <v>33</v>
      </c>
      <c r="F2523" s="1930" t="s">
        <v>33</v>
      </c>
      <c r="G2523" s="1932">
        <v>93022</v>
      </c>
      <c r="H2523" s="1930" t="s">
        <v>1870</v>
      </c>
      <c r="I2523" s="1930" t="s">
        <v>168</v>
      </c>
      <c r="J2523" s="1930" t="s">
        <v>320</v>
      </c>
      <c r="K2523" s="1933">
        <v>31.77</v>
      </c>
      <c r="L2523" s="1930" t="s">
        <v>138</v>
      </c>
    </row>
    <row r="2524" spans="1:12" ht="13.5" x14ac:dyDescent="0.25">
      <c r="A2524" s="1930" t="s">
        <v>4590</v>
      </c>
      <c r="B2524" s="1930" t="s">
        <v>4591</v>
      </c>
      <c r="C2524" s="1930" t="s">
        <v>4594</v>
      </c>
      <c r="D2524" s="1930" t="s">
        <v>4595</v>
      </c>
      <c r="E2524" s="1931" t="s">
        <v>33</v>
      </c>
      <c r="F2524" s="1930" t="s">
        <v>33</v>
      </c>
      <c r="G2524" s="1932">
        <v>93024</v>
      </c>
      <c r="H2524" s="1930" t="s">
        <v>1871</v>
      </c>
      <c r="I2524" s="1930" t="s">
        <v>168</v>
      </c>
      <c r="J2524" s="1930" t="s">
        <v>320</v>
      </c>
      <c r="K2524" s="1933">
        <v>33.6</v>
      </c>
      <c r="L2524" s="1930" t="s">
        <v>138</v>
      </c>
    </row>
    <row r="2525" spans="1:12" ht="13.5" x14ac:dyDescent="0.25">
      <c r="A2525" s="1930" t="s">
        <v>4590</v>
      </c>
      <c r="B2525" s="1930" t="s">
        <v>4591</v>
      </c>
      <c r="C2525" s="1930" t="s">
        <v>4594</v>
      </c>
      <c r="D2525" s="1930" t="s">
        <v>4595</v>
      </c>
      <c r="E2525" s="1931" t="s">
        <v>33</v>
      </c>
      <c r="F2525" s="1930" t="s">
        <v>33</v>
      </c>
      <c r="G2525" s="1932">
        <v>93026</v>
      </c>
      <c r="H2525" s="1930" t="s">
        <v>1872</v>
      </c>
      <c r="I2525" s="1930" t="s">
        <v>168</v>
      </c>
      <c r="J2525" s="1930" t="s">
        <v>320</v>
      </c>
      <c r="K2525" s="1933">
        <v>53.3</v>
      </c>
      <c r="L2525" s="1930" t="s">
        <v>138</v>
      </c>
    </row>
    <row r="2526" spans="1:12" ht="13.5" x14ac:dyDescent="0.25">
      <c r="A2526" s="1930" t="s">
        <v>4590</v>
      </c>
      <c r="B2526" s="1930" t="s">
        <v>4591</v>
      </c>
      <c r="C2526" s="1930" t="s">
        <v>4594</v>
      </c>
      <c r="D2526" s="1930" t="s">
        <v>4595</v>
      </c>
      <c r="E2526" s="1931" t="s">
        <v>33</v>
      </c>
      <c r="F2526" s="1930" t="s">
        <v>33</v>
      </c>
      <c r="G2526" s="1932">
        <v>95733</v>
      </c>
      <c r="H2526" s="1930" t="s">
        <v>1873</v>
      </c>
      <c r="I2526" s="1930" t="s">
        <v>168</v>
      </c>
      <c r="J2526" s="1930" t="s">
        <v>320</v>
      </c>
      <c r="K2526" s="1933">
        <v>4.18</v>
      </c>
      <c r="L2526" s="1930" t="s">
        <v>138</v>
      </c>
    </row>
    <row r="2527" spans="1:12" ht="13.5" x14ac:dyDescent="0.25">
      <c r="A2527" s="1930" t="s">
        <v>4590</v>
      </c>
      <c r="B2527" s="1930" t="s">
        <v>4591</v>
      </c>
      <c r="C2527" s="1930" t="s">
        <v>4594</v>
      </c>
      <c r="D2527" s="1930" t="s">
        <v>4595</v>
      </c>
      <c r="E2527" s="1931" t="s">
        <v>33</v>
      </c>
      <c r="F2527" s="1930" t="s">
        <v>33</v>
      </c>
      <c r="G2527" s="1932">
        <v>95734</v>
      </c>
      <c r="H2527" s="1930" t="s">
        <v>1874</v>
      </c>
      <c r="I2527" s="1930" t="s">
        <v>168</v>
      </c>
      <c r="J2527" s="1930" t="s">
        <v>320</v>
      </c>
      <c r="K2527" s="1933">
        <v>5.56</v>
      </c>
      <c r="L2527" s="1930" t="s">
        <v>138</v>
      </c>
    </row>
    <row r="2528" spans="1:12" ht="13.5" x14ac:dyDescent="0.25">
      <c r="A2528" s="1930" t="s">
        <v>4590</v>
      </c>
      <c r="B2528" s="1930" t="s">
        <v>4591</v>
      </c>
      <c r="C2528" s="1930" t="s">
        <v>4594</v>
      </c>
      <c r="D2528" s="1930" t="s">
        <v>4595</v>
      </c>
      <c r="E2528" s="1931" t="s">
        <v>33</v>
      </c>
      <c r="F2528" s="1930" t="s">
        <v>33</v>
      </c>
      <c r="G2528" s="1932">
        <v>95735</v>
      </c>
      <c r="H2528" s="1930" t="s">
        <v>1875</v>
      </c>
      <c r="I2528" s="1930" t="s">
        <v>168</v>
      </c>
      <c r="J2528" s="1930" t="s">
        <v>320</v>
      </c>
      <c r="K2528" s="1933">
        <v>4.83</v>
      </c>
      <c r="L2528" s="1930" t="s">
        <v>138</v>
      </c>
    </row>
    <row r="2529" spans="1:12" ht="13.5" x14ac:dyDescent="0.25">
      <c r="A2529" s="1930" t="s">
        <v>4590</v>
      </c>
      <c r="B2529" s="1930" t="s">
        <v>4591</v>
      </c>
      <c r="C2529" s="1930" t="s">
        <v>4594</v>
      </c>
      <c r="D2529" s="1930" t="s">
        <v>4595</v>
      </c>
      <c r="E2529" s="1931" t="s">
        <v>33</v>
      </c>
      <c r="F2529" s="1930" t="s">
        <v>33</v>
      </c>
      <c r="G2529" s="1932">
        <v>95736</v>
      </c>
      <c r="H2529" s="1930" t="s">
        <v>1876</v>
      </c>
      <c r="I2529" s="1930" t="s">
        <v>168</v>
      </c>
      <c r="J2529" s="1930" t="s">
        <v>320</v>
      </c>
      <c r="K2529" s="1933">
        <v>5.6</v>
      </c>
      <c r="L2529" s="1930" t="s">
        <v>138</v>
      </c>
    </row>
    <row r="2530" spans="1:12" ht="13.5" x14ac:dyDescent="0.25">
      <c r="A2530" s="1930" t="s">
        <v>4590</v>
      </c>
      <c r="B2530" s="1930" t="s">
        <v>4591</v>
      </c>
      <c r="C2530" s="1930" t="s">
        <v>4594</v>
      </c>
      <c r="D2530" s="1930" t="s">
        <v>4595</v>
      </c>
      <c r="E2530" s="1931" t="s">
        <v>33</v>
      </c>
      <c r="F2530" s="1930" t="s">
        <v>33</v>
      </c>
      <c r="G2530" s="1932">
        <v>95738</v>
      </c>
      <c r="H2530" s="1930" t="s">
        <v>1877</v>
      </c>
      <c r="I2530" s="1930" t="s">
        <v>168</v>
      </c>
      <c r="J2530" s="1930" t="s">
        <v>320</v>
      </c>
      <c r="K2530" s="1933">
        <v>6.72</v>
      </c>
      <c r="L2530" s="1930" t="s">
        <v>138</v>
      </c>
    </row>
    <row r="2531" spans="1:12" ht="13.5" x14ac:dyDescent="0.25">
      <c r="A2531" s="1930" t="s">
        <v>4590</v>
      </c>
      <c r="B2531" s="1930" t="s">
        <v>4591</v>
      </c>
      <c r="C2531" s="1930" t="s">
        <v>4594</v>
      </c>
      <c r="D2531" s="1930" t="s">
        <v>4595</v>
      </c>
      <c r="E2531" s="1931" t="s">
        <v>33</v>
      </c>
      <c r="F2531" s="1930" t="s">
        <v>33</v>
      </c>
      <c r="G2531" s="1932">
        <v>95753</v>
      </c>
      <c r="H2531" s="1930" t="s">
        <v>1878</v>
      </c>
      <c r="I2531" s="1930" t="s">
        <v>168</v>
      </c>
      <c r="J2531" s="1930" t="s">
        <v>137</v>
      </c>
      <c r="K2531" s="1933">
        <v>5.53</v>
      </c>
      <c r="L2531" s="1930" t="s">
        <v>138</v>
      </c>
    </row>
    <row r="2532" spans="1:12" ht="13.5" x14ac:dyDescent="0.25">
      <c r="A2532" s="1930" t="s">
        <v>4590</v>
      </c>
      <c r="B2532" s="1930" t="s">
        <v>4591</v>
      </c>
      <c r="C2532" s="1930" t="s">
        <v>4594</v>
      </c>
      <c r="D2532" s="1930" t="s">
        <v>4595</v>
      </c>
      <c r="E2532" s="1931" t="s">
        <v>33</v>
      </c>
      <c r="F2532" s="1930" t="s">
        <v>33</v>
      </c>
      <c r="G2532" s="1932">
        <v>95754</v>
      </c>
      <c r="H2532" s="1930" t="s">
        <v>1879</v>
      </c>
      <c r="I2532" s="1930" t="s">
        <v>168</v>
      </c>
      <c r="J2532" s="1930" t="s">
        <v>137</v>
      </c>
      <c r="K2532" s="1933">
        <v>6.89</v>
      </c>
      <c r="L2532" s="1930" t="s">
        <v>138</v>
      </c>
    </row>
    <row r="2533" spans="1:12" ht="13.5" x14ac:dyDescent="0.25">
      <c r="A2533" s="1930" t="s">
        <v>4590</v>
      </c>
      <c r="B2533" s="1930" t="s">
        <v>4591</v>
      </c>
      <c r="C2533" s="1930" t="s">
        <v>4594</v>
      </c>
      <c r="D2533" s="1930" t="s">
        <v>4595</v>
      </c>
      <c r="E2533" s="1931" t="s">
        <v>33</v>
      </c>
      <c r="F2533" s="1930" t="s">
        <v>33</v>
      </c>
      <c r="G2533" s="1932">
        <v>95755</v>
      </c>
      <c r="H2533" s="1930" t="s">
        <v>1880</v>
      </c>
      <c r="I2533" s="1930" t="s">
        <v>168</v>
      </c>
      <c r="J2533" s="1930" t="s">
        <v>137</v>
      </c>
      <c r="K2533" s="1933">
        <v>9.93</v>
      </c>
      <c r="L2533" s="1930" t="s">
        <v>138</v>
      </c>
    </row>
    <row r="2534" spans="1:12" ht="13.5" x14ac:dyDescent="0.25">
      <c r="A2534" s="1930" t="s">
        <v>4590</v>
      </c>
      <c r="B2534" s="1930" t="s">
        <v>4591</v>
      </c>
      <c r="C2534" s="1930" t="s">
        <v>4594</v>
      </c>
      <c r="D2534" s="1930" t="s">
        <v>4595</v>
      </c>
      <c r="E2534" s="1931" t="s">
        <v>33</v>
      </c>
      <c r="F2534" s="1930" t="s">
        <v>33</v>
      </c>
      <c r="G2534" s="1932">
        <v>95756</v>
      </c>
      <c r="H2534" s="1930" t="s">
        <v>1881</v>
      </c>
      <c r="I2534" s="1930" t="s">
        <v>168</v>
      </c>
      <c r="J2534" s="1930" t="s">
        <v>137</v>
      </c>
      <c r="K2534" s="1933">
        <v>13.23</v>
      </c>
      <c r="L2534" s="1930" t="s">
        <v>138</v>
      </c>
    </row>
    <row r="2535" spans="1:12" ht="13.5" x14ac:dyDescent="0.25">
      <c r="A2535" s="1930" t="s">
        <v>4590</v>
      </c>
      <c r="B2535" s="1930" t="s">
        <v>4591</v>
      </c>
      <c r="C2535" s="1930" t="s">
        <v>4594</v>
      </c>
      <c r="D2535" s="1930" t="s">
        <v>4595</v>
      </c>
      <c r="E2535" s="1931" t="s">
        <v>33</v>
      </c>
      <c r="F2535" s="1930" t="s">
        <v>33</v>
      </c>
      <c r="G2535" s="1932">
        <v>95757</v>
      </c>
      <c r="H2535" s="1930" t="s">
        <v>1882</v>
      </c>
      <c r="I2535" s="1930" t="s">
        <v>168</v>
      </c>
      <c r="J2535" s="1930" t="s">
        <v>137</v>
      </c>
      <c r="K2535" s="1933">
        <v>8.33</v>
      </c>
      <c r="L2535" s="1930" t="s">
        <v>138</v>
      </c>
    </row>
    <row r="2536" spans="1:12" ht="13.5" x14ac:dyDescent="0.25">
      <c r="A2536" s="1930" t="s">
        <v>4590</v>
      </c>
      <c r="B2536" s="1930" t="s">
        <v>4591</v>
      </c>
      <c r="C2536" s="1930" t="s">
        <v>4594</v>
      </c>
      <c r="D2536" s="1930" t="s">
        <v>4595</v>
      </c>
      <c r="E2536" s="1931" t="s">
        <v>33</v>
      </c>
      <c r="F2536" s="1930" t="s">
        <v>33</v>
      </c>
      <c r="G2536" s="1932">
        <v>95758</v>
      </c>
      <c r="H2536" s="1930" t="s">
        <v>1883</v>
      </c>
      <c r="I2536" s="1930" t="s">
        <v>168</v>
      </c>
      <c r="J2536" s="1930" t="s">
        <v>137</v>
      </c>
      <c r="K2536" s="1933">
        <v>9.36</v>
      </c>
      <c r="L2536" s="1930" t="s">
        <v>138</v>
      </c>
    </row>
    <row r="2537" spans="1:12" ht="13.5" x14ac:dyDescent="0.25">
      <c r="A2537" s="1930" t="s">
        <v>4590</v>
      </c>
      <c r="B2537" s="1930" t="s">
        <v>4591</v>
      </c>
      <c r="C2537" s="1930" t="s">
        <v>4594</v>
      </c>
      <c r="D2537" s="1930" t="s">
        <v>4595</v>
      </c>
      <c r="E2537" s="1931" t="s">
        <v>33</v>
      </c>
      <c r="F2537" s="1930" t="s">
        <v>33</v>
      </c>
      <c r="G2537" s="1932">
        <v>95759</v>
      </c>
      <c r="H2537" s="1930" t="s">
        <v>1884</v>
      </c>
      <c r="I2537" s="1930" t="s">
        <v>168</v>
      </c>
      <c r="J2537" s="1930" t="s">
        <v>137</v>
      </c>
      <c r="K2537" s="1933">
        <v>11.94</v>
      </c>
      <c r="L2537" s="1930" t="s">
        <v>138</v>
      </c>
    </row>
    <row r="2538" spans="1:12" ht="13.5" x14ac:dyDescent="0.25">
      <c r="A2538" s="1930" t="s">
        <v>4590</v>
      </c>
      <c r="B2538" s="1930" t="s">
        <v>4591</v>
      </c>
      <c r="C2538" s="1930" t="s">
        <v>4594</v>
      </c>
      <c r="D2538" s="1930" t="s">
        <v>4595</v>
      </c>
      <c r="E2538" s="1931" t="s">
        <v>33</v>
      </c>
      <c r="F2538" s="1930" t="s">
        <v>33</v>
      </c>
      <c r="G2538" s="1932">
        <v>95760</v>
      </c>
      <c r="H2538" s="1930" t="s">
        <v>1885</v>
      </c>
      <c r="I2538" s="1930" t="s">
        <v>168</v>
      </c>
      <c r="J2538" s="1930" t="s">
        <v>137</v>
      </c>
      <c r="K2538" s="1933">
        <v>14.7</v>
      </c>
      <c r="L2538" s="1930" t="s">
        <v>138</v>
      </c>
    </row>
    <row r="2539" spans="1:12" ht="13.5" x14ac:dyDescent="0.25">
      <c r="A2539" s="1930" t="s">
        <v>4590</v>
      </c>
      <c r="B2539" s="1930" t="s">
        <v>4591</v>
      </c>
      <c r="C2539" s="1930" t="s">
        <v>4594</v>
      </c>
      <c r="D2539" s="1930" t="s">
        <v>4595</v>
      </c>
      <c r="E2539" s="1931" t="s">
        <v>33</v>
      </c>
      <c r="F2539" s="1930" t="s">
        <v>33</v>
      </c>
      <c r="G2539" s="1932">
        <v>97559</v>
      </c>
      <c r="H2539" s="1930" t="s">
        <v>8100</v>
      </c>
      <c r="I2539" s="1930" t="s">
        <v>168</v>
      </c>
      <c r="J2539" s="1930" t="s">
        <v>320</v>
      </c>
      <c r="K2539" s="1933">
        <v>7.41</v>
      </c>
      <c r="L2539" s="1930" t="s">
        <v>138</v>
      </c>
    </row>
    <row r="2540" spans="1:12" ht="13.5" x14ac:dyDescent="0.25">
      <c r="A2540" s="1930" t="s">
        <v>4590</v>
      </c>
      <c r="B2540" s="1930" t="s">
        <v>4591</v>
      </c>
      <c r="C2540" s="1930" t="s">
        <v>4594</v>
      </c>
      <c r="D2540" s="1930" t="s">
        <v>4595</v>
      </c>
      <c r="E2540" s="1931" t="s">
        <v>33</v>
      </c>
      <c r="F2540" s="1930" t="s">
        <v>33</v>
      </c>
      <c r="G2540" s="1932">
        <v>97562</v>
      </c>
      <c r="H2540" s="1930" t="s">
        <v>8101</v>
      </c>
      <c r="I2540" s="1930" t="s">
        <v>168</v>
      </c>
      <c r="J2540" s="1930" t="s">
        <v>320</v>
      </c>
      <c r="K2540" s="1933">
        <v>8.93</v>
      </c>
      <c r="L2540" s="1930" t="s">
        <v>138</v>
      </c>
    </row>
    <row r="2541" spans="1:12" ht="13.5" x14ac:dyDescent="0.25">
      <c r="A2541" s="1930" t="s">
        <v>4590</v>
      </c>
      <c r="B2541" s="1930" t="s">
        <v>4591</v>
      </c>
      <c r="C2541" s="1930" t="s">
        <v>4594</v>
      </c>
      <c r="D2541" s="1930" t="s">
        <v>4595</v>
      </c>
      <c r="E2541" s="1931" t="s">
        <v>33</v>
      </c>
      <c r="F2541" s="1930" t="s">
        <v>33</v>
      </c>
      <c r="G2541" s="1932">
        <v>97564</v>
      </c>
      <c r="H2541" s="1930" t="s">
        <v>8102</v>
      </c>
      <c r="I2541" s="1930" t="s">
        <v>168</v>
      </c>
      <c r="J2541" s="1930" t="s">
        <v>320</v>
      </c>
      <c r="K2541" s="1933">
        <v>10.27</v>
      </c>
      <c r="L2541" s="1930" t="s">
        <v>138</v>
      </c>
    </row>
    <row r="2542" spans="1:12" ht="13.5" x14ac:dyDescent="0.25">
      <c r="A2542" s="1930" t="s">
        <v>4590</v>
      </c>
      <c r="B2542" s="1930" t="s">
        <v>4591</v>
      </c>
      <c r="C2542" s="1930" t="s">
        <v>4596</v>
      </c>
      <c r="D2542" s="1930" t="s">
        <v>4597</v>
      </c>
      <c r="E2542" s="1931" t="s">
        <v>33</v>
      </c>
      <c r="F2542" s="1930" t="s">
        <v>33</v>
      </c>
      <c r="G2542" s="1932">
        <v>91924</v>
      </c>
      <c r="H2542" s="1930" t="s">
        <v>1886</v>
      </c>
      <c r="I2542" s="1930" t="s">
        <v>136</v>
      </c>
      <c r="J2542" s="1930" t="s">
        <v>320</v>
      </c>
      <c r="K2542" s="1933">
        <v>2.1</v>
      </c>
      <c r="L2542" s="1930" t="s">
        <v>138</v>
      </c>
    </row>
    <row r="2543" spans="1:12" ht="13.5" x14ac:dyDescent="0.25">
      <c r="A2543" s="1930" t="s">
        <v>4590</v>
      </c>
      <c r="B2543" s="1930" t="s">
        <v>4591</v>
      </c>
      <c r="C2543" s="1930" t="s">
        <v>4596</v>
      </c>
      <c r="D2543" s="1930" t="s">
        <v>4597</v>
      </c>
      <c r="E2543" s="1931" t="s">
        <v>33</v>
      </c>
      <c r="F2543" s="1930" t="s">
        <v>33</v>
      </c>
      <c r="G2543" s="1932">
        <v>91925</v>
      </c>
      <c r="H2543" s="1930" t="s">
        <v>1887</v>
      </c>
      <c r="I2543" s="1930" t="s">
        <v>136</v>
      </c>
      <c r="J2543" s="1930" t="s">
        <v>320</v>
      </c>
      <c r="K2543" s="1933">
        <v>2.96</v>
      </c>
      <c r="L2543" s="1930" t="s">
        <v>138</v>
      </c>
    </row>
    <row r="2544" spans="1:12" ht="13.5" x14ac:dyDescent="0.25">
      <c r="A2544" s="1930" t="s">
        <v>4590</v>
      </c>
      <c r="B2544" s="1930" t="s">
        <v>4591</v>
      </c>
      <c r="C2544" s="1930" t="s">
        <v>4596</v>
      </c>
      <c r="D2544" s="1930" t="s">
        <v>4597</v>
      </c>
      <c r="E2544" s="1931" t="s">
        <v>33</v>
      </c>
      <c r="F2544" s="1930" t="s">
        <v>33</v>
      </c>
      <c r="G2544" s="1932">
        <v>91926</v>
      </c>
      <c r="H2544" s="1930" t="s">
        <v>1888</v>
      </c>
      <c r="I2544" s="1930" t="s">
        <v>136</v>
      </c>
      <c r="J2544" s="1930" t="s">
        <v>320</v>
      </c>
      <c r="K2544" s="1933">
        <v>3.03</v>
      </c>
      <c r="L2544" s="1930" t="s">
        <v>138</v>
      </c>
    </row>
    <row r="2545" spans="1:12" ht="13.5" x14ac:dyDescent="0.25">
      <c r="A2545" s="1930" t="s">
        <v>4590</v>
      </c>
      <c r="B2545" s="1930" t="s">
        <v>4591</v>
      </c>
      <c r="C2545" s="1930" t="s">
        <v>4596</v>
      </c>
      <c r="D2545" s="1930" t="s">
        <v>4597</v>
      </c>
      <c r="E2545" s="1931" t="s">
        <v>33</v>
      </c>
      <c r="F2545" s="1930" t="s">
        <v>33</v>
      </c>
      <c r="G2545" s="1932">
        <v>91927</v>
      </c>
      <c r="H2545" s="1930" t="s">
        <v>1889</v>
      </c>
      <c r="I2545" s="1930" t="s">
        <v>136</v>
      </c>
      <c r="J2545" s="1930" t="s">
        <v>320</v>
      </c>
      <c r="K2545" s="1933">
        <v>3.97</v>
      </c>
      <c r="L2545" s="1930" t="s">
        <v>138</v>
      </c>
    </row>
    <row r="2546" spans="1:12" ht="13.5" x14ac:dyDescent="0.25">
      <c r="A2546" s="1930" t="s">
        <v>4590</v>
      </c>
      <c r="B2546" s="1930" t="s">
        <v>4591</v>
      </c>
      <c r="C2546" s="1930" t="s">
        <v>4596</v>
      </c>
      <c r="D2546" s="1930" t="s">
        <v>4597</v>
      </c>
      <c r="E2546" s="1931" t="s">
        <v>33</v>
      </c>
      <c r="F2546" s="1930" t="s">
        <v>33</v>
      </c>
      <c r="G2546" s="1932">
        <v>91928</v>
      </c>
      <c r="H2546" s="1930" t="s">
        <v>1890</v>
      </c>
      <c r="I2546" s="1930" t="s">
        <v>136</v>
      </c>
      <c r="J2546" s="1930" t="s">
        <v>320</v>
      </c>
      <c r="K2546" s="1933">
        <v>4.93</v>
      </c>
      <c r="L2546" s="1930" t="s">
        <v>138</v>
      </c>
    </row>
    <row r="2547" spans="1:12" ht="13.5" x14ac:dyDescent="0.25">
      <c r="A2547" s="1930" t="s">
        <v>4590</v>
      </c>
      <c r="B2547" s="1930" t="s">
        <v>4591</v>
      </c>
      <c r="C2547" s="1930" t="s">
        <v>4596</v>
      </c>
      <c r="D2547" s="1930" t="s">
        <v>4597</v>
      </c>
      <c r="E2547" s="1931" t="s">
        <v>33</v>
      </c>
      <c r="F2547" s="1930" t="s">
        <v>33</v>
      </c>
      <c r="G2547" s="1932">
        <v>91929</v>
      </c>
      <c r="H2547" s="1930" t="s">
        <v>1891</v>
      </c>
      <c r="I2547" s="1930" t="s">
        <v>136</v>
      </c>
      <c r="J2547" s="1930" t="s">
        <v>320</v>
      </c>
      <c r="K2547" s="1933">
        <v>5.59</v>
      </c>
      <c r="L2547" s="1930" t="s">
        <v>138</v>
      </c>
    </row>
    <row r="2548" spans="1:12" ht="13.5" x14ac:dyDescent="0.25">
      <c r="A2548" s="1930" t="s">
        <v>4590</v>
      </c>
      <c r="B2548" s="1930" t="s">
        <v>4591</v>
      </c>
      <c r="C2548" s="1930" t="s">
        <v>4596</v>
      </c>
      <c r="D2548" s="1930" t="s">
        <v>4597</v>
      </c>
      <c r="E2548" s="1931" t="s">
        <v>33</v>
      </c>
      <c r="F2548" s="1930" t="s">
        <v>33</v>
      </c>
      <c r="G2548" s="1932">
        <v>91930</v>
      </c>
      <c r="H2548" s="1930" t="s">
        <v>1892</v>
      </c>
      <c r="I2548" s="1930" t="s">
        <v>136</v>
      </c>
      <c r="J2548" s="1930" t="s">
        <v>320</v>
      </c>
      <c r="K2548" s="1933">
        <v>6.74</v>
      </c>
      <c r="L2548" s="1930" t="s">
        <v>138</v>
      </c>
    </row>
    <row r="2549" spans="1:12" ht="13.5" x14ac:dyDescent="0.25">
      <c r="A2549" s="1930" t="s">
        <v>4590</v>
      </c>
      <c r="B2549" s="1930" t="s">
        <v>4591</v>
      </c>
      <c r="C2549" s="1930" t="s">
        <v>4596</v>
      </c>
      <c r="D2549" s="1930" t="s">
        <v>4597</v>
      </c>
      <c r="E2549" s="1931" t="s">
        <v>33</v>
      </c>
      <c r="F2549" s="1930" t="s">
        <v>33</v>
      </c>
      <c r="G2549" s="1932">
        <v>91931</v>
      </c>
      <c r="H2549" s="1930" t="s">
        <v>1893</v>
      </c>
      <c r="I2549" s="1930" t="s">
        <v>136</v>
      </c>
      <c r="J2549" s="1930" t="s">
        <v>320</v>
      </c>
      <c r="K2549" s="1933">
        <v>7.52</v>
      </c>
      <c r="L2549" s="1930" t="s">
        <v>138</v>
      </c>
    </row>
    <row r="2550" spans="1:12" ht="13.5" x14ac:dyDescent="0.25">
      <c r="A2550" s="1930" t="s">
        <v>4590</v>
      </c>
      <c r="B2550" s="1930" t="s">
        <v>4591</v>
      </c>
      <c r="C2550" s="1930" t="s">
        <v>4596</v>
      </c>
      <c r="D2550" s="1930" t="s">
        <v>4597</v>
      </c>
      <c r="E2550" s="1931" t="s">
        <v>33</v>
      </c>
      <c r="F2550" s="1930" t="s">
        <v>33</v>
      </c>
      <c r="G2550" s="1932">
        <v>91932</v>
      </c>
      <c r="H2550" s="1930" t="s">
        <v>1894</v>
      </c>
      <c r="I2550" s="1930" t="s">
        <v>136</v>
      </c>
      <c r="J2550" s="1930" t="s">
        <v>320</v>
      </c>
      <c r="K2550" s="1933">
        <v>11.07</v>
      </c>
      <c r="L2550" s="1930" t="s">
        <v>138</v>
      </c>
    </row>
    <row r="2551" spans="1:12" ht="13.5" x14ac:dyDescent="0.25">
      <c r="A2551" s="1930" t="s">
        <v>4590</v>
      </c>
      <c r="B2551" s="1930" t="s">
        <v>4591</v>
      </c>
      <c r="C2551" s="1930" t="s">
        <v>4596</v>
      </c>
      <c r="D2551" s="1930" t="s">
        <v>4597</v>
      </c>
      <c r="E2551" s="1931" t="s">
        <v>33</v>
      </c>
      <c r="F2551" s="1930" t="s">
        <v>33</v>
      </c>
      <c r="G2551" s="1932">
        <v>91933</v>
      </c>
      <c r="H2551" s="1930" t="s">
        <v>1895</v>
      </c>
      <c r="I2551" s="1930" t="s">
        <v>136</v>
      </c>
      <c r="J2551" s="1930" t="s">
        <v>320</v>
      </c>
      <c r="K2551" s="1933">
        <v>11.82</v>
      </c>
      <c r="L2551" s="1930" t="s">
        <v>138</v>
      </c>
    </row>
    <row r="2552" spans="1:12" ht="13.5" x14ac:dyDescent="0.25">
      <c r="A2552" s="1930" t="s">
        <v>4590</v>
      </c>
      <c r="B2552" s="1930" t="s">
        <v>4591</v>
      </c>
      <c r="C2552" s="1930" t="s">
        <v>4596</v>
      </c>
      <c r="D2552" s="1930" t="s">
        <v>4597</v>
      </c>
      <c r="E2552" s="1931" t="s">
        <v>33</v>
      </c>
      <c r="F2552" s="1930" t="s">
        <v>33</v>
      </c>
      <c r="G2552" s="1932">
        <v>91934</v>
      </c>
      <c r="H2552" s="1930" t="s">
        <v>1896</v>
      </c>
      <c r="I2552" s="1930" t="s">
        <v>136</v>
      </c>
      <c r="J2552" s="1930" t="s">
        <v>320</v>
      </c>
      <c r="K2552" s="1933">
        <v>16.93</v>
      </c>
      <c r="L2552" s="1930" t="s">
        <v>138</v>
      </c>
    </row>
    <row r="2553" spans="1:12" ht="13.5" x14ac:dyDescent="0.25">
      <c r="A2553" s="1930" t="s">
        <v>4590</v>
      </c>
      <c r="B2553" s="1930" t="s">
        <v>4591</v>
      </c>
      <c r="C2553" s="1930" t="s">
        <v>4596</v>
      </c>
      <c r="D2553" s="1930" t="s">
        <v>4597</v>
      </c>
      <c r="E2553" s="1931" t="s">
        <v>33</v>
      </c>
      <c r="F2553" s="1930" t="s">
        <v>33</v>
      </c>
      <c r="G2553" s="1932">
        <v>91935</v>
      </c>
      <c r="H2553" s="1930" t="s">
        <v>1897</v>
      </c>
      <c r="I2553" s="1930" t="s">
        <v>136</v>
      </c>
      <c r="J2553" s="1930" t="s">
        <v>320</v>
      </c>
      <c r="K2553" s="1933">
        <v>18.010000000000002</v>
      </c>
      <c r="L2553" s="1930" t="s">
        <v>138</v>
      </c>
    </row>
    <row r="2554" spans="1:12" ht="13.5" x14ac:dyDescent="0.25">
      <c r="A2554" s="1930" t="s">
        <v>4590</v>
      </c>
      <c r="B2554" s="1930" t="s">
        <v>4591</v>
      </c>
      <c r="C2554" s="1930" t="s">
        <v>4596</v>
      </c>
      <c r="D2554" s="1930" t="s">
        <v>4597</v>
      </c>
      <c r="E2554" s="1931" t="s">
        <v>33</v>
      </c>
      <c r="F2554" s="1930" t="s">
        <v>33</v>
      </c>
      <c r="G2554" s="1932">
        <v>92979</v>
      </c>
      <c r="H2554" s="1930" t="s">
        <v>1898</v>
      </c>
      <c r="I2554" s="1930" t="s">
        <v>136</v>
      </c>
      <c r="J2554" s="1930" t="s">
        <v>320</v>
      </c>
      <c r="K2554" s="1933">
        <v>7.47</v>
      </c>
      <c r="L2554" s="1930" t="s">
        <v>138</v>
      </c>
    </row>
    <row r="2555" spans="1:12" ht="13.5" x14ac:dyDescent="0.25">
      <c r="A2555" s="1930" t="s">
        <v>4590</v>
      </c>
      <c r="B2555" s="1930" t="s">
        <v>4591</v>
      </c>
      <c r="C2555" s="1930" t="s">
        <v>4596</v>
      </c>
      <c r="D2555" s="1930" t="s">
        <v>4597</v>
      </c>
      <c r="E2555" s="1931" t="s">
        <v>33</v>
      </c>
      <c r="F2555" s="1930" t="s">
        <v>33</v>
      </c>
      <c r="G2555" s="1932">
        <v>92980</v>
      </c>
      <c r="H2555" s="1930" t="s">
        <v>1899</v>
      </c>
      <c r="I2555" s="1930" t="s">
        <v>136</v>
      </c>
      <c r="J2555" s="1930" t="s">
        <v>320</v>
      </c>
      <c r="K2555" s="1933">
        <v>8.1199999999999992</v>
      </c>
      <c r="L2555" s="1930" t="s">
        <v>138</v>
      </c>
    </row>
    <row r="2556" spans="1:12" ht="13.5" x14ac:dyDescent="0.25">
      <c r="A2556" s="1930" t="s">
        <v>4590</v>
      </c>
      <c r="B2556" s="1930" t="s">
        <v>4591</v>
      </c>
      <c r="C2556" s="1930" t="s">
        <v>4596</v>
      </c>
      <c r="D2556" s="1930" t="s">
        <v>4597</v>
      </c>
      <c r="E2556" s="1931" t="s">
        <v>33</v>
      </c>
      <c r="F2556" s="1930" t="s">
        <v>33</v>
      </c>
      <c r="G2556" s="1932">
        <v>92981</v>
      </c>
      <c r="H2556" s="1930" t="s">
        <v>1900</v>
      </c>
      <c r="I2556" s="1930" t="s">
        <v>136</v>
      </c>
      <c r="J2556" s="1930" t="s">
        <v>320</v>
      </c>
      <c r="K2556" s="1933">
        <v>11.47</v>
      </c>
      <c r="L2556" s="1930" t="s">
        <v>138</v>
      </c>
    </row>
    <row r="2557" spans="1:12" ht="13.5" x14ac:dyDescent="0.25">
      <c r="A2557" s="1930" t="s">
        <v>4590</v>
      </c>
      <c r="B2557" s="1930" t="s">
        <v>4591</v>
      </c>
      <c r="C2557" s="1930" t="s">
        <v>4596</v>
      </c>
      <c r="D2557" s="1930" t="s">
        <v>4597</v>
      </c>
      <c r="E2557" s="1931" t="s">
        <v>33</v>
      </c>
      <c r="F2557" s="1930" t="s">
        <v>33</v>
      </c>
      <c r="G2557" s="1932">
        <v>92982</v>
      </c>
      <c r="H2557" s="1930" t="s">
        <v>1901</v>
      </c>
      <c r="I2557" s="1930" t="s">
        <v>136</v>
      </c>
      <c r="J2557" s="1930" t="s">
        <v>320</v>
      </c>
      <c r="K2557" s="1933">
        <v>12.41</v>
      </c>
      <c r="L2557" s="1930" t="s">
        <v>138</v>
      </c>
    </row>
    <row r="2558" spans="1:12" ht="13.5" x14ac:dyDescent="0.25">
      <c r="A2558" s="1930" t="s">
        <v>4590</v>
      </c>
      <c r="B2558" s="1930" t="s">
        <v>4591</v>
      </c>
      <c r="C2558" s="1930" t="s">
        <v>4596</v>
      </c>
      <c r="D2558" s="1930" t="s">
        <v>4597</v>
      </c>
      <c r="E2558" s="1931" t="s">
        <v>33</v>
      </c>
      <c r="F2558" s="1930" t="s">
        <v>33</v>
      </c>
      <c r="G2558" s="1932">
        <v>92983</v>
      </c>
      <c r="H2558" s="1930" t="s">
        <v>1902</v>
      </c>
      <c r="I2558" s="1930" t="s">
        <v>136</v>
      </c>
      <c r="J2558" s="1930" t="s">
        <v>320</v>
      </c>
      <c r="K2558" s="1933">
        <v>19.760000000000002</v>
      </c>
      <c r="L2558" s="1930" t="s">
        <v>138</v>
      </c>
    </row>
    <row r="2559" spans="1:12" ht="13.5" x14ac:dyDescent="0.25">
      <c r="A2559" s="1930" t="s">
        <v>4590</v>
      </c>
      <c r="B2559" s="1930" t="s">
        <v>4591</v>
      </c>
      <c r="C2559" s="1930" t="s">
        <v>4596</v>
      </c>
      <c r="D2559" s="1930" t="s">
        <v>4597</v>
      </c>
      <c r="E2559" s="1931" t="s">
        <v>33</v>
      </c>
      <c r="F2559" s="1930" t="s">
        <v>33</v>
      </c>
      <c r="G2559" s="1932">
        <v>92984</v>
      </c>
      <c r="H2559" s="1930" t="s">
        <v>1903</v>
      </c>
      <c r="I2559" s="1930" t="s">
        <v>136</v>
      </c>
      <c r="J2559" s="1930" t="s">
        <v>320</v>
      </c>
      <c r="K2559" s="1933">
        <v>20.28</v>
      </c>
      <c r="L2559" s="1930" t="s">
        <v>138</v>
      </c>
    </row>
    <row r="2560" spans="1:12" ht="13.5" x14ac:dyDescent="0.25">
      <c r="A2560" s="1930" t="s">
        <v>4590</v>
      </c>
      <c r="B2560" s="1930" t="s">
        <v>4591</v>
      </c>
      <c r="C2560" s="1930" t="s">
        <v>4596</v>
      </c>
      <c r="D2560" s="1930" t="s">
        <v>4597</v>
      </c>
      <c r="E2560" s="1931" t="s">
        <v>33</v>
      </c>
      <c r="F2560" s="1930" t="s">
        <v>33</v>
      </c>
      <c r="G2560" s="1932">
        <v>92985</v>
      </c>
      <c r="H2560" s="1930" t="s">
        <v>1904</v>
      </c>
      <c r="I2560" s="1930" t="s">
        <v>136</v>
      </c>
      <c r="J2560" s="1930" t="s">
        <v>320</v>
      </c>
      <c r="K2560" s="1933">
        <v>26.62</v>
      </c>
      <c r="L2560" s="1930" t="s">
        <v>138</v>
      </c>
    </row>
    <row r="2561" spans="1:12" ht="13.5" x14ac:dyDescent="0.25">
      <c r="A2561" s="1930" t="s">
        <v>4590</v>
      </c>
      <c r="B2561" s="1930" t="s">
        <v>4591</v>
      </c>
      <c r="C2561" s="1930" t="s">
        <v>4596</v>
      </c>
      <c r="D2561" s="1930" t="s">
        <v>4597</v>
      </c>
      <c r="E2561" s="1931" t="s">
        <v>33</v>
      </c>
      <c r="F2561" s="1930" t="s">
        <v>33</v>
      </c>
      <c r="G2561" s="1932">
        <v>92986</v>
      </c>
      <c r="H2561" s="1930" t="s">
        <v>1905</v>
      </c>
      <c r="I2561" s="1930" t="s">
        <v>136</v>
      </c>
      <c r="J2561" s="1930" t="s">
        <v>320</v>
      </c>
      <c r="K2561" s="1933">
        <v>27.4</v>
      </c>
      <c r="L2561" s="1930" t="s">
        <v>138</v>
      </c>
    </row>
    <row r="2562" spans="1:12" ht="13.5" x14ac:dyDescent="0.25">
      <c r="A2562" s="1930" t="s">
        <v>4590</v>
      </c>
      <c r="B2562" s="1930" t="s">
        <v>4591</v>
      </c>
      <c r="C2562" s="1930" t="s">
        <v>4596</v>
      </c>
      <c r="D2562" s="1930" t="s">
        <v>4597</v>
      </c>
      <c r="E2562" s="1931" t="s">
        <v>33</v>
      </c>
      <c r="F2562" s="1930" t="s">
        <v>33</v>
      </c>
      <c r="G2562" s="1932">
        <v>92987</v>
      </c>
      <c r="H2562" s="1930" t="s">
        <v>1906</v>
      </c>
      <c r="I2562" s="1930" t="s">
        <v>136</v>
      </c>
      <c r="J2562" s="1930" t="s">
        <v>320</v>
      </c>
      <c r="K2562" s="1933">
        <v>38.32</v>
      </c>
      <c r="L2562" s="1930" t="s">
        <v>138</v>
      </c>
    </row>
    <row r="2563" spans="1:12" ht="13.5" x14ac:dyDescent="0.25">
      <c r="A2563" s="1930" t="s">
        <v>4590</v>
      </c>
      <c r="B2563" s="1930" t="s">
        <v>4591</v>
      </c>
      <c r="C2563" s="1930" t="s">
        <v>4596</v>
      </c>
      <c r="D2563" s="1930" t="s">
        <v>4597</v>
      </c>
      <c r="E2563" s="1931" t="s">
        <v>33</v>
      </c>
      <c r="F2563" s="1930" t="s">
        <v>33</v>
      </c>
      <c r="G2563" s="1932">
        <v>92988</v>
      </c>
      <c r="H2563" s="1930" t="s">
        <v>1907</v>
      </c>
      <c r="I2563" s="1930" t="s">
        <v>136</v>
      </c>
      <c r="J2563" s="1930" t="s">
        <v>320</v>
      </c>
      <c r="K2563" s="1933">
        <v>38.43</v>
      </c>
      <c r="L2563" s="1930" t="s">
        <v>138</v>
      </c>
    </row>
    <row r="2564" spans="1:12" ht="13.5" x14ac:dyDescent="0.25">
      <c r="A2564" s="1930" t="s">
        <v>4590</v>
      </c>
      <c r="B2564" s="1930" t="s">
        <v>4591</v>
      </c>
      <c r="C2564" s="1930" t="s">
        <v>4596</v>
      </c>
      <c r="D2564" s="1930" t="s">
        <v>4597</v>
      </c>
      <c r="E2564" s="1931" t="s">
        <v>33</v>
      </c>
      <c r="F2564" s="1930" t="s">
        <v>33</v>
      </c>
      <c r="G2564" s="1932">
        <v>92989</v>
      </c>
      <c r="H2564" s="1930" t="s">
        <v>1908</v>
      </c>
      <c r="I2564" s="1930" t="s">
        <v>136</v>
      </c>
      <c r="J2564" s="1930" t="s">
        <v>320</v>
      </c>
      <c r="K2564" s="1933">
        <v>53.28</v>
      </c>
      <c r="L2564" s="1930" t="s">
        <v>138</v>
      </c>
    </row>
    <row r="2565" spans="1:12" ht="13.5" x14ac:dyDescent="0.25">
      <c r="A2565" s="1930" t="s">
        <v>4590</v>
      </c>
      <c r="B2565" s="1930" t="s">
        <v>4591</v>
      </c>
      <c r="C2565" s="1930" t="s">
        <v>4596</v>
      </c>
      <c r="D2565" s="1930" t="s">
        <v>4597</v>
      </c>
      <c r="E2565" s="1931" t="s">
        <v>33</v>
      </c>
      <c r="F2565" s="1930" t="s">
        <v>33</v>
      </c>
      <c r="G2565" s="1932">
        <v>92990</v>
      </c>
      <c r="H2565" s="1930" t="s">
        <v>1909</v>
      </c>
      <c r="I2565" s="1930" t="s">
        <v>136</v>
      </c>
      <c r="J2565" s="1930" t="s">
        <v>320</v>
      </c>
      <c r="K2565" s="1933">
        <v>52.67</v>
      </c>
      <c r="L2565" s="1930" t="s">
        <v>138</v>
      </c>
    </row>
    <row r="2566" spans="1:12" ht="13.5" x14ac:dyDescent="0.25">
      <c r="A2566" s="1930" t="s">
        <v>4590</v>
      </c>
      <c r="B2566" s="1930" t="s">
        <v>4591</v>
      </c>
      <c r="C2566" s="1930" t="s">
        <v>4596</v>
      </c>
      <c r="D2566" s="1930" t="s">
        <v>4597</v>
      </c>
      <c r="E2566" s="1931" t="s">
        <v>33</v>
      </c>
      <c r="F2566" s="1930" t="s">
        <v>33</v>
      </c>
      <c r="G2566" s="1932">
        <v>92991</v>
      </c>
      <c r="H2566" s="1930" t="s">
        <v>1910</v>
      </c>
      <c r="I2566" s="1930" t="s">
        <v>136</v>
      </c>
      <c r="J2566" s="1930" t="s">
        <v>320</v>
      </c>
      <c r="K2566" s="1933">
        <v>69.489999999999995</v>
      </c>
      <c r="L2566" s="1930" t="s">
        <v>138</v>
      </c>
    </row>
    <row r="2567" spans="1:12" ht="13.5" x14ac:dyDescent="0.25">
      <c r="A2567" s="1930" t="s">
        <v>4590</v>
      </c>
      <c r="B2567" s="1930" t="s">
        <v>4591</v>
      </c>
      <c r="C2567" s="1930" t="s">
        <v>4596</v>
      </c>
      <c r="D2567" s="1930" t="s">
        <v>4597</v>
      </c>
      <c r="E2567" s="1931" t="s">
        <v>33</v>
      </c>
      <c r="F2567" s="1930" t="s">
        <v>33</v>
      </c>
      <c r="G2567" s="1932">
        <v>92992</v>
      </c>
      <c r="H2567" s="1930" t="s">
        <v>1911</v>
      </c>
      <c r="I2567" s="1930" t="s">
        <v>136</v>
      </c>
      <c r="J2567" s="1930" t="s">
        <v>320</v>
      </c>
      <c r="K2567" s="1933">
        <v>69.540000000000006</v>
      </c>
      <c r="L2567" s="1930" t="s">
        <v>138</v>
      </c>
    </row>
    <row r="2568" spans="1:12" ht="13.5" x14ac:dyDescent="0.25">
      <c r="A2568" s="1930" t="s">
        <v>4590</v>
      </c>
      <c r="B2568" s="1930" t="s">
        <v>4591</v>
      </c>
      <c r="C2568" s="1930" t="s">
        <v>4596</v>
      </c>
      <c r="D2568" s="1930" t="s">
        <v>4597</v>
      </c>
      <c r="E2568" s="1931" t="s">
        <v>33</v>
      </c>
      <c r="F2568" s="1930" t="s">
        <v>33</v>
      </c>
      <c r="G2568" s="1932">
        <v>92993</v>
      </c>
      <c r="H2568" s="1930" t="s">
        <v>1912</v>
      </c>
      <c r="I2568" s="1930" t="s">
        <v>136</v>
      </c>
      <c r="J2568" s="1930" t="s">
        <v>320</v>
      </c>
      <c r="K2568" s="1933">
        <v>89.1</v>
      </c>
      <c r="L2568" s="1930" t="s">
        <v>138</v>
      </c>
    </row>
    <row r="2569" spans="1:12" ht="13.5" x14ac:dyDescent="0.25">
      <c r="A2569" s="1930" t="s">
        <v>4590</v>
      </c>
      <c r="B2569" s="1930" t="s">
        <v>4591</v>
      </c>
      <c r="C2569" s="1930" t="s">
        <v>4596</v>
      </c>
      <c r="D2569" s="1930" t="s">
        <v>4597</v>
      </c>
      <c r="E2569" s="1931" t="s">
        <v>33</v>
      </c>
      <c r="F2569" s="1930" t="s">
        <v>33</v>
      </c>
      <c r="G2569" s="1932">
        <v>92994</v>
      </c>
      <c r="H2569" s="1930" t="s">
        <v>1913</v>
      </c>
      <c r="I2569" s="1930" t="s">
        <v>136</v>
      </c>
      <c r="J2569" s="1930" t="s">
        <v>320</v>
      </c>
      <c r="K2569" s="1933">
        <v>89.98</v>
      </c>
      <c r="L2569" s="1930" t="s">
        <v>138</v>
      </c>
    </row>
    <row r="2570" spans="1:12" ht="13.5" x14ac:dyDescent="0.25">
      <c r="A2570" s="1930" t="s">
        <v>4590</v>
      </c>
      <c r="B2570" s="1930" t="s">
        <v>4591</v>
      </c>
      <c r="C2570" s="1930" t="s">
        <v>4596</v>
      </c>
      <c r="D2570" s="1930" t="s">
        <v>4597</v>
      </c>
      <c r="E2570" s="1931" t="s">
        <v>33</v>
      </c>
      <c r="F2570" s="1930" t="s">
        <v>33</v>
      </c>
      <c r="G2570" s="1932">
        <v>92995</v>
      </c>
      <c r="H2570" s="1930" t="s">
        <v>1914</v>
      </c>
      <c r="I2570" s="1930" t="s">
        <v>136</v>
      </c>
      <c r="J2570" s="1930" t="s">
        <v>320</v>
      </c>
      <c r="K2570" s="1933">
        <v>110.83</v>
      </c>
      <c r="L2570" s="1930" t="s">
        <v>138</v>
      </c>
    </row>
    <row r="2571" spans="1:12" ht="13.5" x14ac:dyDescent="0.25">
      <c r="A2571" s="1930" t="s">
        <v>4590</v>
      </c>
      <c r="B2571" s="1930" t="s">
        <v>4591</v>
      </c>
      <c r="C2571" s="1930" t="s">
        <v>4596</v>
      </c>
      <c r="D2571" s="1930" t="s">
        <v>4597</v>
      </c>
      <c r="E2571" s="1931" t="s">
        <v>33</v>
      </c>
      <c r="F2571" s="1930" t="s">
        <v>33</v>
      </c>
      <c r="G2571" s="1932">
        <v>92996</v>
      </c>
      <c r="H2571" s="1930" t="s">
        <v>1915</v>
      </c>
      <c r="I2571" s="1930" t="s">
        <v>136</v>
      </c>
      <c r="J2571" s="1930" t="s">
        <v>320</v>
      </c>
      <c r="K2571" s="1933">
        <v>111.14</v>
      </c>
      <c r="L2571" s="1930" t="s">
        <v>138</v>
      </c>
    </row>
    <row r="2572" spans="1:12" ht="13.5" x14ac:dyDescent="0.25">
      <c r="A2572" s="1930" t="s">
        <v>4590</v>
      </c>
      <c r="B2572" s="1930" t="s">
        <v>4591</v>
      </c>
      <c r="C2572" s="1930" t="s">
        <v>4596</v>
      </c>
      <c r="D2572" s="1930" t="s">
        <v>4597</v>
      </c>
      <c r="E2572" s="1931" t="s">
        <v>33</v>
      </c>
      <c r="F2572" s="1930" t="s">
        <v>33</v>
      </c>
      <c r="G2572" s="1932">
        <v>92997</v>
      </c>
      <c r="H2572" s="1930" t="s">
        <v>1916</v>
      </c>
      <c r="I2572" s="1930" t="s">
        <v>136</v>
      </c>
      <c r="J2572" s="1930" t="s">
        <v>320</v>
      </c>
      <c r="K2572" s="1933">
        <v>134.66999999999999</v>
      </c>
      <c r="L2572" s="1930" t="s">
        <v>138</v>
      </c>
    </row>
    <row r="2573" spans="1:12" ht="13.5" x14ac:dyDescent="0.25">
      <c r="A2573" s="1930" t="s">
        <v>4590</v>
      </c>
      <c r="B2573" s="1930" t="s">
        <v>4591</v>
      </c>
      <c r="C2573" s="1930" t="s">
        <v>4596</v>
      </c>
      <c r="D2573" s="1930" t="s">
        <v>4597</v>
      </c>
      <c r="E2573" s="1931" t="s">
        <v>33</v>
      </c>
      <c r="F2573" s="1930" t="s">
        <v>33</v>
      </c>
      <c r="G2573" s="1932">
        <v>92998</v>
      </c>
      <c r="H2573" s="1930" t="s">
        <v>1917</v>
      </c>
      <c r="I2573" s="1930" t="s">
        <v>136</v>
      </c>
      <c r="J2573" s="1930" t="s">
        <v>320</v>
      </c>
      <c r="K2573" s="1933">
        <v>135.97</v>
      </c>
      <c r="L2573" s="1930" t="s">
        <v>138</v>
      </c>
    </row>
    <row r="2574" spans="1:12" ht="13.5" x14ac:dyDescent="0.25">
      <c r="A2574" s="1930" t="s">
        <v>4590</v>
      </c>
      <c r="B2574" s="1930" t="s">
        <v>4591</v>
      </c>
      <c r="C2574" s="1930" t="s">
        <v>4596</v>
      </c>
      <c r="D2574" s="1930" t="s">
        <v>4597</v>
      </c>
      <c r="E2574" s="1931" t="s">
        <v>33</v>
      </c>
      <c r="F2574" s="1930" t="s">
        <v>33</v>
      </c>
      <c r="G2574" s="1932">
        <v>92999</v>
      </c>
      <c r="H2574" s="1930" t="s">
        <v>1918</v>
      </c>
      <c r="I2574" s="1930" t="s">
        <v>136</v>
      </c>
      <c r="J2574" s="1930" t="s">
        <v>320</v>
      </c>
      <c r="K2574" s="1933">
        <v>177.37</v>
      </c>
      <c r="L2574" s="1930" t="s">
        <v>138</v>
      </c>
    </row>
    <row r="2575" spans="1:12" ht="13.5" x14ac:dyDescent="0.25">
      <c r="A2575" s="1930" t="s">
        <v>4590</v>
      </c>
      <c r="B2575" s="1930" t="s">
        <v>4591</v>
      </c>
      <c r="C2575" s="1930" t="s">
        <v>4596</v>
      </c>
      <c r="D2575" s="1930" t="s">
        <v>4597</v>
      </c>
      <c r="E2575" s="1931" t="s">
        <v>33</v>
      </c>
      <c r="F2575" s="1930" t="s">
        <v>33</v>
      </c>
      <c r="G2575" s="1932">
        <v>93000</v>
      </c>
      <c r="H2575" s="1930" t="s">
        <v>1919</v>
      </c>
      <c r="I2575" s="1930" t="s">
        <v>136</v>
      </c>
      <c r="J2575" s="1930" t="s">
        <v>320</v>
      </c>
      <c r="K2575" s="1933">
        <v>178.45</v>
      </c>
      <c r="L2575" s="1930" t="s">
        <v>138</v>
      </c>
    </row>
    <row r="2576" spans="1:12" ht="13.5" x14ac:dyDescent="0.25">
      <c r="A2576" s="1930" t="s">
        <v>4590</v>
      </c>
      <c r="B2576" s="1930" t="s">
        <v>4591</v>
      </c>
      <c r="C2576" s="1930" t="s">
        <v>4596</v>
      </c>
      <c r="D2576" s="1930" t="s">
        <v>4597</v>
      </c>
      <c r="E2576" s="1931" t="s">
        <v>33</v>
      </c>
      <c r="F2576" s="1930" t="s">
        <v>33</v>
      </c>
      <c r="G2576" s="1932">
        <v>93001</v>
      </c>
      <c r="H2576" s="1930" t="s">
        <v>1920</v>
      </c>
      <c r="I2576" s="1930" t="s">
        <v>136</v>
      </c>
      <c r="J2576" s="1930" t="s">
        <v>320</v>
      </c>
      <c r="K2576" s="1933">
        <v>216.64</v>
      </c>
      <c r="L2576" s="1930" t="s">
        <v>138</v>
      </c>
    </row>
    <row r="2577" spans="1:12" ht="13.5" x14ac:dyDescent="0.25">
      <c r="A2577" s="1930" t="s">
        <v>4590</v>
      </c>
      <c r="B2577" s="1930" t="s">
        <v>4591</v>
      </c>
      <c r="C2577" s="1930" t="s">
        <v>4596</v>
      </c>
      <c r="D2577" s="1930" t="s">
        <v>4597</v>
      </c>
      <c r="E2577" s="1931" t="s">
        <v>33</v>
      </c>
      <c r="F2577" s="1930" t="s">
        <v>33</v>
      </c>
      <c r="G2577" s="1932">
        <v>93002</v>
      </c>
      <c r="H2577" s="1930" t="s">
        <v>1921</v>
      </c>
      <c r="I2577" s="1930" t="s">
        <v>136</v>
      </c>
      <c r="J2577" s="1930" t="s">
        <v>320</v>
      </c>
      <c r="K2577" s="1933">
        <v>222.67</v>
      </c>
      <c r="L2577" s="1930" t="s">
        <v>138</v>
      </c>
    </row>
    <row r="2578" spans="1:12" ht="13.5" x14ac:dyDescent="0.25">
      <c r="A2578" s="1930" t="s">
        <v>4590</v>
      </c>
      <c r="B2578" s="1930" t="s">
        <v>4591</v>
      </c>
      <c r="C2578" s="1930" t="s">
        <v>4598</v>
      </c>
      <c r="D2578" s="1930" t="s">
        <v>4599</v>
      </c>
      <c r="E2578" s="1931" t="s">
        <v>33</v>
      </c>
      <c r="F2578" s="1930" t="s">
        <v>33</v>
      </c>
      <c r="G2578" s="1932">
        <v>83446</v>
      </c>
      <c r="H2578" s="1930" t="s">
        <v>1922</v>
      </c>
      <c r="I2578" s="1930" t="s">
        <v>168</v>
      </c>
      <c r="J2578" s="1930" t="s">
        <v>320</v>
      </c>
      <c r="K2578" s="1933">
        <v>152.12</v>
      </c>
      <c r="L2578" s="1930" t="s">
        <v>138</v>
      </c>
    </row>
    <row r="2579" spans="1:12" ht="13.5" x14ac:dyDescent="0.25">
      <c r="A2579" s="1930" t="s">
        <v>4590</v>
      </c>
      <c r="B2579" s="1930" t="s">
        <v>4591</v>
      </c>
      <c r="C2579" s="1930" t="s">
        <v>4598</v>
      </c>
      <c r="D2579" s="1930" t="s">
        <v>4599</v>
      </c>
      <c r="E2579" s="1931" t="s">
        <v>33</v>
      </c>
      <c r="F2579" s="1930" t="s">
        <v>33</v>
      </c>
      <c r="G2579" s="1932">
        <v>91936</v>
      </c>
      <c r="H2579" s="1930" t="s">
        <v>1923</v>
      </c>
      <c r="I2579" s="1930" t="s">
        <v>168</v>
      </c>
      <c r="J2579" s="1930" t="s">
        <v>320</v>
      </c>
      <c r="K2579" s="1933">
        <v>9.07</v>
      </c>
      <c r="L2579" s="1930" t="s">
        <v>138</v>
      </c>
    </row>
    <row r="2580" spans="1:12" ht="13.5" x14ac:dyDescent="0.25">
      <c r="A2580" s="1930" t="s">
        <v>4590</v>
      </c>
      <c r="B2580" s="1930" t="s">
        <v>4591</v>
      </c>
      <c r="C2580" s="1930" t="s">
        <v>4598</v>
      </c>
      <c r="D2580" s="1930" t="s">
        <v>4599</v>
      </c>
      <c r="E2580" s="1931" t="s">
        <v>33</v>
      </c>
      <c r="F2580" s="1930" t="s">
        <v>33</v>
      </c>
      <c r="G2580" s="1932">
        <v>91937</v>
      </c>
      <c r="H2580" s="1930" t="s">
        <v>1924</v>
      </c>
      <c r="I2580" s="1930" t="s">
        <v>168</v>
      </c>
      <c r="J2580" s="1930" t="s">
        <v>320</v>
      </c>
      <c r="K2580" s="1933">
        <v>7.88</v>
      </c>
      <c r="L2580" s="1930" t="s">
        <v>138</v>
      </c>
    </row>
    <row r="2581" spans="1:12" ht="13.5" x14ac:dyDescent="0.25">
      <c r="A2581" s="1930" t="s">
        <v>4590</v>
      </c>
      <c r="B2581" s="1930" t="s">
        <v>4591</v>
      </c>
      <c r="C2581" s="1930" t="s">
        <v>4598</v>
      </c>
      <c r="D2581" s="1930" t="s">
        <v>4599</v>
      </c>
      <c r="E2581" s="1931" t="s">
        <v>33</v>
      </c>
      <c r="F2581" s="1930" t="s">
        <v>33</v>
      </c>
      <c r="G2581" s="1932">
        <v>91939</v>
      </c>
      <c r="H2581" s="1930" t="s">
        <v>1925</v>
      </c>
      <c r="I2581" s="1930" t="s">
        <v>168</v>
      </c>
      <c r="J2581" s="1930" t="s">
        <v>320</v>
      </c>
      <c r="K2581" s="1933">
        <v>20.74</v>
      </c>
      <c r="L2581" s="1930" t="s">
        <v>138</v>
      </c>
    </row>
    <row r="2582" spans="1:12" ht="13.5" x14ac:dyDescent="0.25">
      <c r="A2582" s="1930" t="s">
        <v>4590</v>
      </c>
      <c r="B2582" s="1930" t="s">
        <v>4591</v>
      </c>
      <c r="C2582" s="1930" t="s">
        <v>4598</v>
      </c>
      <c r="D2582" s="1930" t="s">
        <v>4599</v>
      </c>
      <c r="E2582" s="1931" t="s">
        <v>33</v>
      </c>
      <c r="F2582" s="1930" t="s">
        <v>33</v>
      </c>
      <c r="G2582" s="1932">
        <v>91940</v>
      </c>
      <c r="H2582" s="1930" t="s">
        <v>1926</v>
      </c>
      <c r="I2582" s="1930" t="s">
        <v>168</v>
      </c>
      <c r="J2582" s="1930" t="s">
        <v>320</v>
      </c>
      <c r="K2582" s="1933">
        <v>10.85</v>
      </c>
      <c r="L2582" s="1930" t="s">
        <v>138</v>
      </c>
    </row>
    <row r="2583" spans="1:12" ht="13.5" x14ac:dyDescent="0.25">
      <c r="A2583" s="1930" t="s">
        <v>4590</v>
      </c>
      <c r="B2583" s="1930" t="s">
        <v>4591</v>
      </c>
      <c r="C2583" s="1930" t="s">
        <v>4598</v>
      </c>
      <c r="D2583" s="1930" t="s">
        <v>4599</v>
      </c>
      <c r="E2583" s="1931" t="s">
        <v>33</v>
      </c>
      <c r="F2583" s="1930" t="s">
        <v>33</v>
      </c>
      <c r="G2583" s="1932">
        <v>91941</v>
      </c>
      <c r="H2583" s="1930" t="s">
        <v>1927</v>
      </c>
      <c r="I2583" s="1930" t="s">
        <v>168</v>
      </c>
      <c r="J2583" s="1930" t="s">
        <v>320</v>
      </c>
      <c r="K2583" s="1933">
        <v>7.14</v>
      </c>
      <c r="L2583" s="1930" t="s">
        <v>138</v>
      </c>
    </row>
    <row r="2584" spans="1:12" ht="13.5" x14ac:dyDescent="0.25">
      <c r="A2584" s="1930" t="s">
        <v>4590</v>
      </c>
      <c r="B2584" s="1930" t="s">
        <v>4591</v>
      </c>
      <c r="C2584" s="1930" t="s">
        <v>4598</v>
      </c>
      <c r="D2584" s="1930" t="s">
        <v>4599</v>
      </c>
      <c r="E2584" s="1931" t="s">
        <v>33</v>
      </c>
      <c r="F2584" s="1930" t="s">
        <v>33</v>
      </c>
      <c r="G2584" s="1932">
        <v>91942</v>
      </c>
      <c r="H2584" s="1930" t="s">
        <v>1928</v>
      </c>
      <c r="I2584" s="1930" t="s">
        <v>168</v>
      </c>
      <c r="J2584" s="1930" t="s">
        <v>320</v>
      </c>
      <c r="K2584" s="1933">
        <v>25.14</v>
      </c>
      <c r="L2584" s="1930" t="s">
        <v>138</v>
      </c>
    </row>
    <row r="2585" spans="1:12" ht="13.5" x14ac:dyDescent="0.25">
      <c r="A2585" s="1930" t="s">
        <v>4590</v>
      </c>
      <c r="B2585" s="1930" t="s">
        <v>4591</v>
      </c>
      <c r="C2585" s="1930" t="s">
        <v>4598</v>
      </c>
      <c r="D2585" s="1930" t="s">
        <v>4599</v>
      </c>
      <c r="E2585" s="1931" t="s">
        <v>33</v>
      </c>
      <c r="F2585" s="1930" t="s">
        <v>33</v>
      </c>
      <c r="G2585" s="1932">
        <v>91943</v>
      </c>
      <c r="H2585" s="1930" t="s">
        <v>1929</v>
      </c>
      <c r="I2585" s="1930" t="s">
        <v>168</v>
      </c>
      <c r="J2585" s="1930" t="s">
        <v>320</v>
      </c>
      <c r="K2585" s="1933">
        <v>13.77</v>
      </c>
      <c r="L2585" s="1930" t="s">
        <v>138</v>
      </c>
    </row>
    <row r="2586" spans="1:12" ht="13.5" x14ac:dyDescent="0.25">
      <c r="A2586" s="1930" t="s">
        <v>4590</v>
      </c>
      <c r="B2586" s="1930" t="s">
        <v>4591</v>
      </c>
      <c r="C2586" s="1930" t="s">
        <v>4598</v>
      </c>
      <c r="D2586" s="1930" t="s">
        <v>4599</v>
      </c>
      <c r="E2586" s="1931" t="s">
        <v>33</v>
      </c>
      <c r="F2586" s="1930" t="s">
        <v>33</v>
      </c>
      <c r="G2586" s="1932">
        <v>91944</v>
      </c>
      <c r="H2586" s="1930" t="s">
        <v>1930</v>
      </c>
      <c r="I2586" s="1930" t="s">
        <v>168</v>
      </c>
      <c r="J2586" s="1930" t="s">
        <v>320</v>
      </c>
      <c r="K2586" s="1933">
        <v>9.51</v>
      </c>
      <c r="L2586" s="1930" t="s">
        <v>138</v>
      </c>
    </row>
    <row r="2587" spans="1:12" ht="13.5" x14ac:dyDescent="0.25">
      <c r="A2587" s="1930" t="s">
        <v>4590</v>
      </c>
      <c r="B2587" s="1930" t="s">
        <v>4591</v>
      </c>
      <c r="C2587" s="1930" t="s">
        <v>4598</v>
      </c>
      <c r="D2587" s="1930" t="s">
        <v>4599</v>
      </c>
      <c r="E2587" s="1931" t="s">
        <v>33</v>
      </c>
      <c r="F2587" s="1930" t="s">
        <v>33</v>
      </c>
      <c r="G2587" s="1932">
        <v>92865</v>
      </c>
      <c r="H2587" s="1930" t="s">
        <v>1931</v>
      </c>
      <c r="I2587" s="1930" t="s">
        <v>168</v>
      </c>
      <c r="J2587" s="1930" t="s">
        <v>320</v>
      </c>
      <c r="K2587" s="1933">
        <v>7.11</v>
      </c>
      <c r="L2587" s="1930" t="s">
        <v>138</v>
      </c>
    </row>
    <row r="2588" spans="1:12" ht="13.5" x14ac:dyDescent="0.25">
      <c r="A2588" s="1930" t="s">
        <v>4590</v>
      </c>
      <c r="B2588" s="1930" t="s">
        <v>4591</v>
      </c>
      <c r="C2588" s="1930" t="s">
        <v>4598</v>
      </c>
      <c r="D2588" s="1930" t="s">
        <v>4599</v>
      </c>
      <c r="E2588" s="1931" t="s">
        <v>33</v>
      </c>
      <c r="F2588" s="1930" t="s">
        <v>33</v>
      </c>
      <c r="G2588" s="1932">
        <v>92866</v>
      </c>
      <c r="H2588" s="1930" t="s">
        <v>1932</v>
      </c>
      <c r="I2588" s="1930" t="s">
        <v>168</v>
      </c>
      <c r="J2588" s="1930" t="s">
        <v>320</v>
      </c>
      <c r="K2588" s="1933">
        <v>6.07</v>
      </c>
      <c r="L2588" s="1930" t="s">
        <v>138</v>
      </c>
    </row>
    <row r="2589" spans="1:12" ht="13.5" x14ac:dyDescent="0.25">
      <c r="A2589" s="1930" t="s">
        <v>4590</v>
      </c>
      <c r="B2589" s="1930" t="s">
        <v>4591</v>
      </c>
      <c r="C2589" s="1930" t="s">
        <v>4598</v>
      </c>
      <c r="D2589" s="1930" t="s">
        <v>4599</v>
      </c>
      <c r="E2589" s="1931" t="s">
        <v>33</v>
      </c>
      <c r="F2589" s="1930" t="s">
        <v>33</v>
      </c>
      <c r="G2589" s="1932">
        <v>92867</v>
      </c>
      <c r="H2589" s="1930" t="s">
        <v>1933</v>
      </c>
      <c r="I2589" s="1930" t="s">
        <v>168</v>
      </c>
      <c r="J2589" s="1930" t="s">
        <v>320</v>
      </c>
      <c r="K2589" s="1933">
        <v>20.149999999999999</v>
      </c>
      <c r="L2589" s="1930" t="s">
        <v>138</v>
      </c>
    </row>
    <row r="2590" spans="1:12" ht="13.5" x14ac:dyDescent="0.25">
      <c r="A2590" s="1930" t="s">
        <v>4590</v>
      </c>
      <c r="B2590" s="1930" t="s">
        <v>4591</v>
      </c>
      <c r="C2590" s="1930" t="s">
        <v>4598</v>
      </c>
      <c r="D2590" s="1930" t="s">
        <v>4599</v>
      </c>
      <c r="E2590" s="1931" t="s">
        <v>33</v>
      </c>
      <c r="F2590" s="1930" t="s">
        <v>33</v>
      </c>
      <c r="G2590" s="1932">
        <v>92868</v>
      </c>
      <c r="H2590" s="1930" t="s">
        <v>1934</v>
      </c>
      <c r="I2590" s="1930" t="s">
        <v>168</v>
      </c>
      <c r="J2590" s="1930" t="s">
        <v>320</v>
      </c>
      <c r="K2590" s="1933">
        <v>10.26</v>
      </c>
      <c r="L2590" s="1930" t="s">
        <v>138</v>
      </c>
    </row>
    <row r="2591" spans="1:12" ht="13.5" x14ac:dyDescent="0.25">
      <c r="A2591" s="1930" t="s">
        <v>4590</v>
      </c>
      <c r="B2591" s="1930" t="s">
        <v>4591</v>
      </c>
      <c r="C2591" s="1930" t="s">
        <v>4598</v>
      </c>
      <c r="D2591" s="1930" t="s">
        <v>4599</v>
      </c>
      <c r="E2591" s="1931" t="s">
        <v>33</v>
      </c>
      <c r="F2591" s="1930" t="s">
        <v>33</v>
      </c>
      <c r="G2591" s="1932">
        <v>92869</v>
      </c>
      <c r="H2591" s="1930" t="s">
        <v>1935</v>
      </c>
      <c r="I2591" s="1930" t="s">
        <v>168</v>
      </c>
      <c r="J2591" s="1930" t="s">
        <v>320</v>
      </c>
      <c r="K2591" s="1933">
        <v>6.55</v>
      </c>
      <c r="L2591" s="1930" t="s">
        <v>138</v>
      </c>
    </row>
    <row r="2592" spans="1:12" ht="13.5" x14ac:dyDescent="0.25">
      <c r="A2592" s="1930" t="s">
        <v>4590</v>
      </c>
      <c r="B2592" s="1930" t="s">
        <v>4591</v>
      </c>
      <c r="C2592" s="1930" t="s">
        <v>4598</v>
      </c>
      <c r="D2592" s="1930" t="s">
        <v>4599</v>
      </c>
      <c r="E2592" s="1931" t="s">
        <v>33</v>
      </c>
      <c r="F2592" s="1930" t="s">
        <v>33</v>
      </c>
      <c r="G2592" s="1932">
        <v>92870</v>
      </c>
      <c r="H2592" s="1930" t="s">
        <v>1936</v>
      </c>
      <c r="I2592" s="1930" t="s">
        <v>168</v>
      </c>
      <c r="J2592" s="1930" t="s">
        <v>320</v>
      </c>
      <c r="K2592" s="1933">
        <v>24.07</v>
      </c>
      <c r="L2592" s="1930" t="s">
        <v>138</v>
      </c>
    </row>
    <row r="2593" spans="1:12" ht="13.5" x14ac:dyDescent="0.25">
      <c r="A2593" s="1930" t="s">
        <v>4590</v>
      </c>
      <c r="B2593" s="1930" t="s">
        <v>4591</v>
      </c>
      <c r="C2593" s="1930" t="s">
        <v>4598</v>
      </c>
      <c r="D2593" s="1930" t="s">
        <v>4599</v>
      </c>
      <c r="E2593" s="1931" t="s">
        <v>33</v>
      </c>
      <c r="F2593" s="1930" t="s">
        <v>33</v>
      </c>
      <c r="G2593" s="1932">
        <v>92871</v>
      </c>
      <c r="H2593" s="1930" t="s">
        <v>1937</v>
      </c>
      <c r="I2593" s="1930" t="s">
        <v>168</v>
      </c>
      <c r="J2593" s="1930" t="s">
        <v>320</v>
      </c>
      <c r="K2593" s="1933">
        <v>12.7</v>
      </c>
      <c r="L2593" s="1930" t="s">
        <v>138</v>
      </c>
    </row>
    <row r="2594" spans="1:12" ht="13.5" x14ac:dyDescent="0.25">
      <c r="A2594" s="1930" t="s">
        <v>4590</v>
      </c>
      <c r="B2594" s="1930" t="s">
        <v>4591</v>
      </c>
      <c r="C2594" s="1930" t="s">
        <v>4598</v>
      </c>
      <c r="D2594" s="1930" t="s">
        <v>4599</v>
      </c>
      <c r="E2594" s="1931" t="s">
        <v>33</v>
      </c>
      <c r="F2594" s="1930" t="s">
        <v>33</v>
      </c>
      <c r="G2594" s="1932">
        <v>92872</v>
      </c>
      <c r="H2594" s="1930" t="s">
        <v>1938</v>
      </c>
      <c r="I2594" s="1930" t="s">
        <v>168</v>
      </c>
      <c r="J2594" s="1930" t="s">
        <v>320</v>
      </c>
      <c r="K2594" s="1933">
        <v>8.44</v>
      </c>
      <c r="L2594" s="1930" t="s">
        <v>138</v>
      </c>
    </row>
    <row r="2595" spans="1:12" ht="13.5" x14ac:dyDescent="0.25">
      <c r="A2595" s="1930" t="s">
        <v>4590</v>
      </c>
      <c r="B2595" s="1930" t="s">
        <v>4591</v>
      </c>
      <c r="C2595" s="1930" t="s">
        <v>4598</v>
      </c>
      <c r="D2595" s="1930" t="s">
        <v>4599</v>
      </c>
      <c r="E2595" s="1931" t="s">
        <v>33</v>
      </c>
      <c r="F2595" s="1930" t="s">
        <v>33</v>
      </c>
      <c r="G2595" s="1932">
        <v>95777</v>
      </c>
      <c r="H2595" s="1930" t="s">
        <v>1939</v>
      </c>
      <c r="I2595" s="1930" t="s">
        <v>168</v>
      </c>
      <c r="J2595" s="1930" t="s">
        <v>320</v>
      </c>
      <c r="K2595" s="1933">
        <v>20.100000000000001</v>
      </c>
      <c r="L2595" s="1930" t="s">
        <v>138</v>
      </c>
    </row>
    <row r="2596" spans="1:12" ht="13.5" x14ac:dyDescent="0.25">
      <c r="A2596" s="1930" t="s">
        <v>4590</v>
      </c>
      <c r="B2596" s="1930" t="s">
        <v>4591</v>
      </c>
      <c r="C2596" s="1930" t="s">
        <v>4598</v>
      </c>
      <c r="D2596" s="1930" t="s">
        <v>4599</v>
      </c>
      <c r="E2596" s="1931" t="s">
        <v>33</v>
      </c>
      <c r="F2596" s="1930" t="s">
        <v>33</v>
      </c>
      <c r="G2596" s="1932">
        <v>95778</v>
      </c>
      <c r="H2596" s="1930" t="s">
        <v>1940</v>
      </c>
      <c r="I2596" s="1930" t="s">
        <v>168</v>
      </c>
      <c r="J2596" s="1930" t="s">
        <v>320</v>
      </c>
      <c r="K2596" s="1933">
        <v>20.53</v>
      </c>
      <c r="L2596" s="1930" t="s">
        <v>138</v>
      </c>
    </row>
    <row r="2597" spans="1:12" ht="13.5" x14ac:dyDescent="0.25">
      <c r="A2597" s="1930" t="s">
        <v>4590</v>
      </c>
      <c r="B2597" s="1930" t="s">
        <v>4591</v>
      </c>
      <c r="C2597" s="1930" t="s">
        <v>4598</v>
      </c>
      <c r="D2597" s="1930" t="s">
        <v>4599</v>
      </c>
      <c r="E2597" s="1931" t="s">
        <v>33</v>
      </c>
      <c r="F2597" s="1930" t="s">
        <v>33</v>
      </c>
      <c r="G2597" s="1932">
        <v>95779</v>
      </c>
      <c r="H2597" s="1930" t="s">
        <v>1941</v>
      </c>
      <c r="I2597" s="1930" t="s">
        <v>168</v>
      </c>
      <c r="J2597" s="1930" t="s">
        <v>320</v>
      </c>
      <c r="K2597" s="1933">
        <v>19.07</v>
      </c>
      <c r="L2597" s="1930" t="s">
        <v>138</v>
      </c>
    </row>
    <row r="2598" spans="1:12" ht="13.5" x14ac:dyDescent="0.25">
      <c r="A2598" s="1930" t="s">
        <v>4590</v>
      </c>
      <c r="B2598" s="1930" t="s">
        <v>4591</v>
      </c>
      <c r="C2598" s="1930" t="s">
        <v>4598</v>
      </c>
      <c r="D2598" s="1930" t="s">
        <v>4599</v>
      </c>
      <c r="E2598" s="1931" t="s">
        <v>33</v>
      </c>
      <c r="F2598" s="1930" t="s">
        <v>33</v>
      </c>
      <c r="G2598" s="1932">
        <v>95780</v>
      </c>
      <c r="H2598" s="1930" t="s">
        <v>1942</v>
      </c>
      <c r="I2598" s="1930" t="s">
        <v>168</v>
      </c>
      <c r="J2598" s="1930" t="s">
        <v>320</v>
      </c>
      <c r="K2598" s="1933">
        <v>22.6</v>
      </c>
      <c r="L2598" s="1930" t="s">
        <v>138</v>
      </c>
    </row>
    <row r="2599" spans="1:12" ht="13.5" x14ac:dyDescent="0.25">
      <c r="A2599" s="1930" t="s">
        <v>4590</v>
      </c>
      <c r="B2599" s="1930" t="s">
        <v>4591</v>
      </c>
      <c r="C2599" s="1930" t="s">
        <v>4598</v>
      </c>
      <c r="D2599" s="1930" t="s">
        <v>4599</v>
      </c>
      <c r="E2599" s="1931" t="s">
        <v>33</v>
      </c>
      <c r="F2599" s="1930" t="s">
        <v>33</v>
      </c>
      <c r="G2599" s="1932">
        <v>95781</v>
      </c>
      <c r="H2599" s="1930" t="s">
        <v>1943</v>
      </c>
      <c r="I2599" s="1930" t="s">
        <v>168</v>
      </c>
      <c r="J2599" s="1930" t="s">
        <v>320</v>
      </c>
      <c r="K2599" s="1933">
        <v>22.92</v>
      </c>
      <c r="L2599" s="1930" t="s">
        <v>138</v>
      </c>
    </row>
    <row r="2600" spans="1:12" ht="13.5" x14ac:dyDescent="0.25">
      <c r="A2600" s="1930" t="s">
        <v>4590</v>
      </c>
      <c r="B2600" s="1930" t="s">
        <v>4591</v>
      </c>
      <c r="C2600" s="1930" t="s">
        <v>4598</v>
      </c>
      <c r="D2600" s="1930" t="s">
        <v>4599</v>
      </c>
      <c r="E2600" s="1931" t="s">
        <v>33</v>
      </c>
      <c r="F2600" s="1930" t="s">
        <v>33</v>
      </c>
      <c r="G2600" s="1932">
        <v>95782</v>
      </c>
      <c r="H2600" s="1930" t="s">
        <v>1944</v>
      </c>
      <c r="I2600" s="1930" t="s">
        <v>168</v>
      </c>
      <c r="J2600" s="1930" t="s">
        <v>320</v>
      </c>
      <c r="K2600" s="1933">
        <v>23.77</v>
      </c>
      <c r="L2600" s="1930" t="s">
        <v>138</v>
      </c>
    </row>
    <row r="2601" spans="1:12" ht="13.5" x14ac:dyDescent="0.25">
      <c r="A2601" s="1930" t="s">
        <v>4590</v>
      </c>
      <c r="B2601" s="1930" t="s">
        <v>4591</v>
      </c>
      <c r="C2601" s="1930" t="s">
        <v>4598</v>
      </c>
      <c r="D2601" s="1930" t="s">
        <v>4599</v>
      </c>
      <c r="E2601" s="1931" t="s">
        <v>33</v>
      </c>
      <c r="F2601" s="1930" t="s">
        <v>33</v>
      </c>
      <c r="G2601" s="1932">
        <v>95785</v>
      </c>
      <c r="H2601" s="1930" t="s">
        <v>1945</v>
      </c>
      <c r="I2601" s="1930" t="s">
        <v>168</v>
      </c>
      <c r="J2601" s="1930" t="s">
        <v>320</v>
      </c>
      <c r="K2601" s="1933">
        <v>26.82</v>
      </c>
      <c r="L2601" s="1930" t="s">
        <v>138</v>
      </c>
    </row>
    <row r="2602" spans="1:12" ht="13.5" x14ac:dyDescent="0.25">
      <c r="A2602" s="1930" t="s">
        <v>4590</v>
      </c>
      <c r="B2602" s="1930" t="s">
        <v>4591</v>
      </c>
      <c r="C2602" s="1930" t="s">
        <v>4598</v>
      </c>
      <c r="D2602" s="1930" t="s">
        <v>4599</v>
      </c>
      <c r="E2602" s="1931" t="s">
        <v>33</v>
      </c>
      <c r="F2602" s="1930" t="s">
        <v>33</v>
      </c>
      <c r="G2602" s="1932">
        <v>95787</v>
      </c>
      <c r="H2602" s="1930" t="s">
        <v>1946</v>
      </c>
      <c r="I2602" s="1930" t="s">
        <v>168</v>
      </c>
      <c r="J2602" s="1930" t="s">
        <v>320</v>
      </c>
      <c r="K2602" s="1933">
        <v>20.49</v>
      </c>
      <c r="L2602" s="1930" t="s">
        <v>138</v>
      </c>
    </row>
    <row r="2603" spans="1:12" ht="13.5" x14ac:dyDescent="0.25">
      <c r="A2603" s="1930" t="s">
        <v>4590</v>
      </c>
      <c r="B2603" s="1930" t="s">
        <v>4591</v>
      </c>
      <c r="C2603" s="1930" t="s">
        <v>4598</v>
      </c>
      <c r="D2603" s="1930" t="s">
        <v>4599</v>
      </c>
      <c r="E2603" s="1931" t="s">
        <v>33</v>
      </c>
      <c r="F2603" s="1930" t="s">
        <v>33</v>
      </c>
      <c r="G2603" s="1932">
        <v>95789</v>
      </c>
      <c r="H2603" s="1930" t="s">
        <v>1947</v>
      </c>
      <c r="I2603" s="1930" t="s">
        <v>168</v>
      </c>
      <c r="J2603" s="1930" t="s">
        <v>320</v>
      </c>
      <c r="K2603" s="1933">
        <v>24.91</v>
      </c>
      <c r="L2603" s="1930" t="s">
        <v>138</v>
      </c>
    </row>
    <row r="2604" spans="1:12" ht="13.5" x14ac:dyDescent="0.25">
      <c r="A2604" s="1930" t="s">
        <v>4590</v>
      </c>
      <c r="B2604" s="1930" t="s">
        <v>4591</v>
      </c>
      <c r="C2604" s="1930" t="s">
        <v>4598</v>
      </c>
      <c r="D2604" s="1930" t="s">
        <v>4599</v>
      </c>
      <c r="E2604" s="1931" t="s">
        <v>33</v>
      </c>
      <c r="F2604" s="1930" t="s">
        <v>33</v>
      </c>
      <c r="G2604" s="1932">
        <v>95791</v>
      </c>
      <c r="H2604" s="1930" t="s">
        <v>1948</v>
      </c>
      <c r="I2604" s="1930" t="s">
        <v>168</v>
      </c>
      <c r="J2604" s="1930" t="s">
        <v>320</v>
      </c>
      <c r="K2604" s="1933">
        <v>31.5</v>
      </c>
      <c r="L2604" s="1930" t="s">
        <v>138</v>
      </c>
    </row>
    <row r="2605" spans="1:12" ht="13.5" x14ac:dyDescent="0.25">
      <c r="A2605" s="1930" t="s">
        <v>4590</v>
      </c>
      <c r="B2605" s="1930" t="s">
        <v>4591</v>
      </c>
      <c r="C2605" s="1930" t="s">
        <v>4598</v>
      </c>
      <c r="D2605" s="1930" t="s">
        <v>4599</v>
      </c>
      <c r="E2605" s="1931" t="s">
        <v>33</v>
      </c>
      <c r="F2605" s="1930" t="s">
        <v>33</v>
      </c>
      <c r="G2605" s="1932">
        <v>95795</v>
      </c>
      <c r="H2605" s="1930" t="s">
        <v>1949</v>
      </c>
      <c r="I2605" s="1930" t="s">
        <v>168</v>
      </c>
      <c r="J2605" s="1930" t="s">
        <v>320</v>
      </c>
      <c r="K2605" s="1933">
        <v>23.65</v>
      </c>
      <c r="L2605" s="1930" t="s">
        <v>138</v>
      </c>
    </row>
    <row r="2606" spans="1:12" ht="13.5" x14ac:dyDescent="0.25">
      <c r="A2606" s="1930" t="s">
        <v>4590</v>
      </c>
      <c r="B2606" s="1930" t="s">
        <v>4591</v>
      </c>
      <c r="C2606" s="1930" t="s">
        <v>4598</v>
      </c>
      <c r="D2606" s="1930" t="s">
        <v>4599</v>
      </c>
      <c r="E2606" s="1931" t="s">
        <v>33</v>
      </c>
      <c r="F2606" s="1930" t="s">
        <v>33</v>
      </c>
      <c r="G2606" s="1932">
        <v>95796</v>
      </c>
      <c r="H2606" s="1930" t="s">
        <v>1950</v>
      </c>
      <c r="I2606" s="1930" t="s">
        <v>168</v>
      </c>
      <c r="J2606" s="1930" t="s">
        <v>320</v>
      </c>
      <c r="K2606" s="1933">
        <v>29.3</v>
      </c>
      <c r="L2606" s="1930" t="s">
        <v>138</v>
      </c>
    </row>
    <row r="2607" spans="1:12" ht="13.5" x14ac:dyDescent="0.25">
      <c r="A2607" s="1930" t="s">
        <v>4590</v>
      </c>
      <c r="B2607" s="1930" t="s">
        <v>4591</v>
      </c>
      <c r="C2607" s="1930" t="s">
        <v>4598</v>
      </c>
      <c r="D2607" s="1930" t="s">
        <v>4599</v>
      </c>
      <c r="E2607" s="1931" t="s">
        <v>33</v>
      </c>
      <c r="F2607" s="1930" t="s">
        <v>33</v>
      </c>
      <c r="G2607" s="1932">
        <v>95797</v>
      </c>
      <c r="H2607" s="1930" t="s">
        <v>1951</v>
      </c>
      <c r="I2607" s="1930" t="s">
        <v>168</v>
      </c>
      <c r="J2607" s="1930" t="s">
        <v>320</v>
      </c>
      <c r="K2607" s="1933">
        <v>36.67</v>
      </c>
      <c r="L2607" s="1930" t="s">
        <v>138</v>
      </c>
    </row>
    <row r="2608" spans="1:12" ht="13.5" x14ac:dyDescent="0.25">
      <c r="A2608" s="1930" t="s">
        <v>4590</v>
      </c>
      <c r="B2608" s="1930" t="s">
        <v>4591</v>
      </c>
      <c r="C2608" s="1930" t="s">
        <v>4598</v>
      </c>
      <c r="D2608" s="1930" t="s">
        <v>4599</v>
      </c>
      <c r="E2608" s="1931" t="s">
        <v>33</v>
      </c>
      <c r="F2608" s="1930" t="s">
        <v>33</v>
      </c>
      <c r="G2608" s="1932">
        <v>95801</v>
      </c>
      <c r="H2608" s="1930" t="s">
        <v>1952</v>
      </c>
      <c r="I2608" s="1930" t="s">
        <v>168</v>
      </c>
      <c r="J2608" s="1930" t="s">
        <v>320</v>
      </c>
      <c r="K2608" s="1933">
        <v>28.19</v>
      </c>
      <c r="L2608" s="1930" t="s">
        <v>138</v>
      </c>
    </row>
    <row r="2609" spans="1:12" ht="13.5" x14ac:dyDescent="0.25">
      <c r="A2609" s="1930" t="s">
        <v>4590</v>
      </c>
      <c r="B2609" s="1930" t="s">
        <v>4591</v>
      </c>
      <c r="C2609" s="1930" t="s">
        <v>4598</v>
      </c>
      <c r="D2609" s="1930" t="s">
        <v>4599</v>
      </c>
      <c r="E2609" s="1931" t="s">
        <v>33</v>
      </c>
      <c r="F2609" s="1930" t="s">
        <v>33</v>
      </c>
      <c r="G2609" s="1932">
        <v>95802</v>
      </c>
      <c r="H2609" s="1930" t="s">
        <v>1953</v>
      </c>
      <c r="I2609" s="1930" t="s">
        <v>168</v>
      </c>
      <c r="J2609" s="1930" t="s">
        <v>320</v>
      </c>
      <c r="K2609" s="1933">
        <v>31.34</v>
      </c>
      <c r="L2609" s="1930" t="s">
        <v>138</v>
      </c>
    </row>
    <row r="2610" spans="1:12" ht="13.5" x14ac:dyDescent="0.25">
      <c r="A2610" s="1930" t="s">
        <v>4590</v>
      </c>
      <c r="B2610" s="1930" t="s">
        <v>4591</v>
      </c>
      <c r="C2610" s="1930" t="s">
        <v>4598</v>
      </c>
      <c r="D2610" s="1930" t="s">
        <v>4599</v>
      </c>
      <c r="E2610" s="1931" t="s">
        <v>33</v>
      </c>
      <c r="F2610" s="1930" t="s">
        <v>33</v>
      </c>
      <c r="G2610" s="1932">
        <v>95803</v>
      </c>
      <c r="H2610" s="1930" t="s">
        <v>1954</v>
      </c>
      <c r="I2610" s="1930" t="s">
        <v>168</v>
      </c>
      <c r="J2610" s="1930" t="s">
        <v>320</v>
      </c>
      <c r="K2610" s="1933">
        <v>40.770000000000003</v>
      </c>
      <c r="L2610" s="1930" t="s">
        <v>138</v>
      </c>
    </row>
    <row r="2611" spans="1:12" ht="13.5" x14ac:dyDescent="0.25">
      <c r="A2611" s="1930" t="s">
        <v>4590</v>
      </c>
      <c r="B2611" s="1930" t="s">
        <v>4591</v>
      </c>
      <c r="C2611" s="1930" t="s">
        <v>4598</v>
      </c>
      <c r="D2611" s="1930" t="s">
        <v>4599</v>
      </c>
      <c r="E2611" s="1931" t="s">
        <v>33</v>
      </c>
      <c r="F2611" s="1930" t="s">
        <v>33</v>
      </c>
      <c r="G2611" s="1932">
        <v>95804</v>
      </c>
      <c r="H2611" s="1930" t="s">
        <v>1955</v>
      </c>
      <c r="I2611" s="1930" t="s">
        <v>168</v>
      </c>
      <c r="J2611" s="1930" t="s">
        <v>320</v>
      </c>
      <c r="K2611" s="1933">
        <v>17.04</v>
      </c>
      <c r="L2611" s="1930" t="s">
        <v>138</v>
      </c>
    </row>
    <row r="2612" spans="1:12" ht="13.5" x14ac:dyDescent="0.25">
      <c r="A2612" s="1930" t="s">
        <v>4590</v>
      </c>
      <c r="B2612" s="1930" t="s">
        <v>4591</v>
      </c>
      <c r="C2612" s="1930" t="s">
        <v>4598</v>
      </c>
      <c r="D2612" s="1930" t="s">
        <v>4599</v>
      </c>
      <c r="E2612" s="1931" t="s">
        <v>33</v>
      </c>
      <c r="F2612" s="1930" t="s">
        <v>33</v>
      </c>
      <c r="G2612" s="1932">
        <v>95805</v>
      </c>
      <c r="H2612" s="1930" t="s">
        <v>1956</v>
      </c>
      <c r="I2612" s="1930" t="s">
        <v>168</v>
      </c>
      <c r="J2612" s="1930" t="s">
        <v>320</v>
      </c>
      <c r="K2612" s="1933">
        <v>17.21</v>
      </c>
      <c r="L2612" s="1930" t="s">
        <v>138</v>
      </c>
    </row>
    <row r="2613" spans="1:12" ht="13.5" x14ac:dyDescent="0.25">
      <c r="A2613" s="1930" t="s">
        <v>4590</v>
      </c>
      <c r="B2613" s="1930" t="s">
        <v>4591</v>
      </c>
      <c r="C2613" s="1930" t="s">
        <v>4598</v>
      </c>
      <c r="D2613" s="1930" t="s">
        <v>4599</v>
      </c>
      <c r="E2613" s="1931" t="s">
        <v>33</v>
      </c>
      <c r="F2613" s="1930" t="s">
        <v>33</v>
      </c>
      <c r="G2613" s="1932">
        <v>95806</v>
      </c>
      <c r="H2613" s="1930" t="s">
        <v>1957</v>
      </c>
      <c r="I2613" s="1930" t="s">
        <v>168</v>
      </c>
      <c r="J2613" s="1930" t="s">
        <v>320</v>
      </c>
      <c r="K2613" s="1933">
        <v>17.739999999999998</v>
      </c>
      <c r="L2613" s="1930" t="s">
        <v>138</v>
      </c>
    </row>
    <row r="2614" spans="1:12" ht="13.5" x14ac:dyDescent="0.25">
      <c r="A2614" s="1930" t="s">
        <v>4590</v>
      </c>
      <c r="B2614" s="1930" t="s">
        <v>4591</v>
      </c>
      <c r="C2614" s="1930" t="s">
        <v>4598</v>
      </c>
      <c r="D2614" s="1930" t="s">
        <v>4599</v>
      </c>
      <c r="E2614" s="1931" t="s">
        <v>33</v>
      </c>
      <c r="F2614" s="1930" t="s">
        <v>33</v>
      </c>
      <c r="G2614" s="1932">
        <v>95807</v>
      </c>
      <c r="H2614" s="1930" t="s">
        <v>1958</v>
      </c>
      <c r="I2614" s="1930" t="s">
        <v>168</v>
      </c>
      <c r="J2614" s="1930" t="s">
        <v>320</v>
      </c>
      <c r="K2614" s="1933">
        <v>19.64</v>
      </c>
      <c r="L2614" s="1930" t="s">
        <v>138</v>
      </c>
    </row>
    <row r="2615" spans="1:12" ht="13.5" x14ac:dyDescent="0.25">
      <c r="A2615" s="1930" t="s">
        <v>4590</v>
      </c>
      <c r="B2615" s="1930" t="s">
        <v>4591</v>
      </c>
      <c r="C2615" s="1930" t="s">
        <v>4598</v>
      </c>
      <c r="D2615" s="1930" t="s">
        <v>4599</v>
      </c>
      <c r="E2615" s="1931" t="s">
        <v>33</v>
      </c>
      <c r="F2615" s="1930" t="s">
        <v>33</v>
      </c>
      <c r="G2615" s="1932">
        <v>95808</v>
      </c>
      <c r="H2615" s="1930" t="s">
        <v>1959</v>
      </c>
      <c r="I2615" s="1930" t="s">
        <v>168</v>
      </c>
      <c r="J2615" s="1930" t="s">
        <v>320</v>
      </c>
      <c r="K2615" s="1933">
        <v>20.16</v>
      </c>
      <c r="L2615" s="1930" t="s">
        <v>138</v>
      </c>
    </row>
    <row r="2616" spans="1:12" ht="13.5" x14ac:dyDescent="0.25">
      <c r="A2616" s="1930" t="s">
        <v>4590</v>
      </c>
      <c r="B2616" s="1930" t="s">
        <v>4591</v>
      </c>
      <c r="C2616" s="1930" t="s">
        <v>4598</v>
      </c>
      <c r="D2616" s="1930" t="s">
        <v>4599</v>
      </c>
      <c r="E2616" s="1931" t="s">
        <v>33</v>
      </c>
      <c r="F2616" s="1930" t="s">
        <v>33</v>
      </c>
      <c r="G2616" s="1932">
        <v>95809</v>
      </c>
      <c r="H2616" s="1930" t="s">
        <v>1960</v>
      </c>
      <c r="I2616" s="1930" t="s">
        <v>168</v>
      </c>
      <c r="J2616" s="1930" t="s">
        <v>320</v>
      </c>
      <c r="K2616" s="1933">
        <v>22.02</v>
      </c>
      <c r="L2616" s="1930" t="s">
        <v>138</v>
      </c>
    </row>
    <row r="2617" spans="1:12" ht="13.5" x14ac:dyDescent="0.25">
      <c r="A2617" s="1930" t="s">
        <v>4590</v>
      </c>
      <c r="B2617" s="1930" t="s">
        <v>4591</v>
      </c>
      <c r="C2617" s="1930" t="s">
        <v>4598</v>
      </c>
      <c r="D2617" s="1930" t="s">
        <v>4599</v>
      </c>
      <c r="E2617" s="1931" t="s">
        <v>33</v>
      </c>
      <c r="F2617" s="1930" t="s">
        <v>33</v>
      </c>
      <c r="G2617" s="1932">
        <v>95810</v>
      </c>
      <c r="H2617" s="1930" t="s">
        <v>1961</v>
      </c>
      <c r="I2617" s="1930" t="s">
        <v>168</v>
      </c>
      <c r="J2617" s="1930" t="s">
        <v>320</v>
      </c>
      <c r="K2617" s="1933">
        <v>9.89</v>
      </c>
      <c r="L2617" s="1930" t="s">
        <v>138</v>
      </c>
    </row>
    <row r="2618" spans="1:12" ht="13.5" x14ac:dyDescent="0.25">
      <c r="A2618" s="1930" t="s">
        <v>4590</v>
      </c>
      <c r="B2618" s="1930" t="s">
        <v>4591</v>
      </c>
      <c r="C2618" s="1930" t="s">
        <v>4598</v>
      </c>
      <c r="D2618" s="1930" t="s">
        <v>4599</v>
      </c>
      <c r="E2618" s="1931" t="s">
        <v>33</v>
      </c>
      <c r="F2618" s="1930" t="s">
        <v>33</v>
      </c>
      <c r="G2618" s="1932">
        <v>95811</v>
      </c>
      <c r="H2618" s="1930" t="s">
        <v>1962</v>
      </c>
      <c r="I2618" s="1930" t="s">
        <v>168</v>
      </c>
      <c r="J2618" s="1930" t="s">
        <v>320</v>
      </c>
      <c r="K2618" s="1933">
        <v>10.41</v>
      </c>
      <c r="L2618" s="1930" t="s">
        <v>138</v>
      </c>
    </row>
    <row r="2619" spans="1:12" ht="13.5" x14ac:dyDescent="0.25">
      <c r="A2619" s="1930" t="s">
        <v>4590</v>
      </c>
      <c r="B2619" s="1930" t="s">
        <v>4591</v>
      </c>
      <c r="C2619" s="1930" t="s">
        <v>4598</v>
      </c>
      <c r="D2619" s="1930" t="s">
        <v>4599</v>
      </c>
      <c r="E2619" s="1931" t="s">
        <v>33</v>
      </c>
      <c r="F2619" s="1930" t="s">
        <v>33</v>
      </c>
      <c r="G2619" s="1932">
        <v>95812</v>
      </c>
      <c r="H2619" s="1930" t="s">
        <v>1963</v>
      </c>
      <c r="I2619" s="1930" t="s">
        <v>168</v>
      </c>
      <c r="J2619" s="1930" t="s">
        <v>320</v>
      </c>
      <c r="K2619" s="1933">
        <v>12.27</v>
      </c>
      <c r="L2619" s="1930" t="s">
        <v>138</v>
      </c>
    </row>
    <row r="2620" spans="1:12" ht="13.5" x14ac:dyDescent="0.25">
      <c r="A2620" s="1930" t="s">
        <v>4590</v>
      </c>
      <c r="B2620" s="1930" t="s">
        <v>4591</v>
      </c>
      <c r="C2620" s="1930" t="s">
        <v>4598</v>
      </c>
      <c r="D2620" s="1930" t="s">
        <v>4599</v>
      </c>
      <c r="E2620" s="1931" t="s">
        <v>33</v>
      </c>
      <c r="F2620" s="1930" t="s">
        <v>33</v>
      </c>
      <c r="G2620" s="1932">
        <v>95813</v>
      </c>
      <c r="H2620" s="1930" t="s">
        <v>1964</v>
      </c>
      <c r="I2620" s="1930" t="s">
        <v>168</v>
      </c>
      <c r="J2620" s="1930" t="s">
        <v>320</v>
      </c>
      <c r="K2620" s="1933">
        <v>12.09</v>
      </c>
      <c r="L2620" s="1930" t="s">
        <v>138</v>
      </c>
    </row>
    <row r="2621" spans="1:12" ht="13.5" x14ac:dyDescent="0.25">
      <c r="A2621" s="1930" t="s">
        <v>4590</v>
      </c>
      <c r="B2621" s="1930" t="s">
        <v>4591</v>
      </c>
      <c r="C2621" s="1930" t="s">
        <v>4598</v>
      </c>
      <c r="D2621" s="1930" t="s">
        <v>4599</v>
      </c>
      <c r="E2621" s="1931" t="s">
        <v>33</v>
      </c>
      <c r="F2621" s="1930" t="s">
        <v>33</v>
      </c>
      <c r="G2621" s="1932">
        <v>95814</v>
      </c>
      <c r="H2621" s="1930" t="s">
        <v>1965</v>
      </c>
      <c r="I2621" s="1930" t="s">
        <v>168</v>
      </c>
      <c r="J2621" s="1930" t="s">
        <v>320</v>
      </c>
      <c r="K2621" s="1933">
        <v>12.86</v>
      </c>
      <c r="L2621" s="1930" t="s">
        <v>138</v>
      </c>
    </row>
    <row r="2622" spans="1:12" ht="13.5" x14ac:dyDescent="0.25">
      <c r="A2622" s="1930" t="s">
        <v>4590</v>
      </c>
      <c r="B2622" s="1930" t="s">
        <v>4591</v>
      </c>
      <c r="C2622" s="1930" t="s">
        <v>4598</v>
      </c>
      <c r="D2622" s="1930" t="s">
        <v>4599</v>
      </c>
      <c r="E2622" s="1931" t="s">
        <v>33</v>
      </c>
      <c r="F2622" s="1930" t="s">
        <v>33</v>
      </c>
      <c r="G2622" s="1932">
        <v>95815</v>
      </c>
      <c r="H2622" s="1930" t="s">
        <v>1966</v>
      </c>
      <c r="I2622" s="1930" t="s">
        <v>168</v>
      </c>
      <c r="J2622" s="1930" t="s">
        <v>320</v>
      </c>
      <c r="K2622" s="1933">
        <v>16.39</v>
      </c>
      <c r="L2622" s="1930" t="s">
        <v>138</v>
      </c>
    </row>
    <row r="2623" spans="1:12" ht="13.5" x14ac:dyDescent="0.25">
      <c r="A2623" s="1930" t="s">
        <v>4590</v>
      </c>
      <c r="B2623" s="1930" t="s">
        <v>4591</v>
      </c>
      <c r="C2623" s="1930" t="s">
        <v>4598</v>
      </c>
      <c r="D2623" s="1930" t="s">
        <v>4599</v>
      </c>
      <c r="E2623" s="1931" t="s">
        <v>33</v>
      </c>
      <c r="F2623" s="1930" t="s">
        <v>33</v>
      </c>
      <c r="G2623" s="1932">
        <v>95816</v>
      </c>
      <c r="H2623" s="1930" t="s">
        <v>1967</v>
      </c>
      <c r="I2623" s="1930" t="s">
        <v>168</v>
      </c>
      <c r="J2623" s="1930" t="s">
        <v>320</v>
      </c>
      <c r="K2623" s="1933">
        <v>24.18</v>
      </c>
      <c r="L2623" s="1930" t="s">
        <v>138</v>
      </c>
    </row>
    <row r="2624" spans="1:12" ht="13.5" x14ac:dyDescent="0.25">
      <c r="A2624" s="1930" t="s">
        <v>4590</v>
      </c>
      <c r="B2624" s="1930" t="s">
        <v>4591</v>
      </c>
      <c r="C2624" s="1930" t="s">
        <v>4598</v>
      </c>
      <c r="D2624" s="1930" t="s">
        <v>4599</v>
      </c>
      <c r="E2624" s="1931" t="s">
        <v>33</v>
      </c>
      <c r="F2624" s="1930" t="s">
        <v>33</v>
      </c>
      <c r="G2624" s="1932">
        <v>95817</v>
      </c>
      <c r="H2624" s="1930" t="s">
        <v>1968</v>
      </c>
      <c r="I2624" s="1930" t="s">
        <v>168</v>
      </c>
      <c r="J2624" s="1930" t="s">
        <v>320</v>
      </c>
      <c r="K2624" s="1933">
        <v>24.93</v>
      </c>
      <c r="L2624" s="1930" t="s">
        <v>138</v>
      </c>
    </row>
    <row r="2625" spans="1:12" ht="13.5" x14ac:dyDescent="0.25">
      <c r="A2625" s="1930" t="s">
        <v>4590</v>
      </c>
      <c r="B2625" s="1930" t="s">
        <v>4591</v>
      </c>
      <c r="C2625" s="1930" t="s">
        <v>4598</v>
      </c>
      <c r="D2625" s="1930" t="s">
        <v>4599</v>
      </c>
      <c r="E2625" s="1931" t="s">
        <v>33</v>
      </c>
      <c r="F2625" s="1930" t="s">
        <v>33</v>
      </c>
      <c r="G2625" s="1932">
        <v>95818</v>
      </c>
      <c r="H2625" s="1930" t="s">
        <v>1969</v>
      </c>
      <c r="I2625" s="1930" t="s">
        <v>168</v>
      </c>
      <c r="J2625" s="1930" t="s">
        <v>320</v>
      </c>
      <c r="K2625" s="1933">
        <v>29.67</v>
      </c>
      <c r="L2625" s="1930" t="s">
        <v>138</v>
      </c>
    </row>
    <row r="2626" spans="1:12" ht="13.5" x14ac:dyDescent="0.25">
      <c r="A2626" s="1930" t="s">
        <v>4590</v>
      </c>
      <c r="B2626" s="1930" t="s">
        <v>4591</v>
      </c>
      <c r="C2626" s="1930" t="s">
        <v>4598</v>
      </c>
      <c r="D2626" s="1930" t="s">
        <v>4599</v>
      </c>
      <c r="E2626" s="1931" t="s">
        <v>33</v>
      </c>
      <c r="F2626" s="1930" t="s">
        <v>33</v>
      </c>
      <c r="G2626" s="1932">
        <v>97886</v>
      </c>
      <c r="H2626" s="1930" t="s">
        <v>5457</v>
      </c>
      <c r="I2626" s="1930" t="s">
        <v>168</v>
      </c>
      <c r="J2626" s="1930" t="s">
        <v>137</v>
      </c>
      <c r="K2626" s="1933">
        <v>123.55</v>
      </c>
      <c r="L2626" s="1930" t="s">
        <v>138</v>
      </c>
    </row>
    <row r="2627" spans="1:12" ht="13.5" x14ac:dyDescent="0.25">
      <c r="A2627" s="1930" t="s">
        <v>4590</v>
      </c>
      <c r="B2627" s="1930" t="s">
        <v>4591</v>
      </c>
      <c r="C2627" s="1930" t="s">
        <v>4598</v>
      </c>
      <c r="D2627" s="1930" t="s">
        <v>4599</v>
      </c>
      <c r="E2627" s="1931" t="s">
        <v>33</v>
      </c>
      <c r="F2627" s="1930" t="s">
        <v>33</v>
      </c>
      <c r="G2627" s="1932">
        <v>97887</v>
      </c>
      <c r="H2627" s="1930" t="s">
        <v>5458</v>
      </c>
      <c r="I2627" s="1930" t="s">
        <v>168</v>
      </c>
      <c r="J2627" s="1930" t="s">
        <v>137</v>
      </c>
      <c r="K2627" s="1933">
        <v>194.73</v>
      </c>
      <c r="L2627" s="1930" t="s">
        <v>138</v>
      </c>
    </row>
    <row r="2628" spans="1:12" ht="13.5" x14ac:dyDescent="0.25">
      <c r="A2628" s="1930" t="s">
        <v>4590</v>
      </c>
      <c r="B2628" s="1930" t="s">
        <v>4591</v>
      </c>
      <c r="C2628" s="1930" t="s">
        <v>4598</v>
      </c>
      <c r="D2628" s="1930" t="s">
        <v>4599</v>
      </c>
      <c r="E2628" s="1931" t="s">
        <v>33</v>
      </c>
      <c r="F2628" s="1930" t="s">
        <v>33</v>
      </c>
      <c r="G2628" s="1932">
        <v>97888</v>
      </c>
      <c r="H2628" s="1930" t="s">
        <v>5459</v>
      </c>
      <c r="I2628" s="1930" t="s">
        <v>168</v>
      </c>
      <c r="J2628" s="1930" t="s">
        <v>137</v>
      </c>
      <c r="K2628" s="1933">
        <v>373.87</v>
      </c>
      <c r="L2628" s="1930" t="s">
        <v>138</v>
      </c>
    </row>
    <row r="2629" spans="1:12" ht="13.5" x14ac:dyDescent="0.25">
      <c r="A2629" s="1930" t="s">
        <v>4590</v>
      </c>
      <c r="B2629" s="1930" t="s">
        <v>4591</v>
      </c>
      <c r="C2629" s="1930" t="s">
        <v>4598</v>
      </c>
      <c r="D2629" s="1930" t="s">
        <v>4599</v>
      </c>
      <c r="E2629" s="1931" t="s">
        <v>33</v>
      </c>
      <c r="F2629" s="1930" t="s">
        <v>33</v>
      </c>
      <c r="G2629" s="1932">
        <v>97889</v>
      </c>
      <c r="H2629" s="1930" t="s">
        <v>5460</v>
      </c>
      <c r="I2629" s="1930" t="s">
        <v>168</v>
      </c>
      <c r="J2629" s="1930" t="s">
        <v>137</v>
      </c>
      <c r="K2629" s="1933">
        <v>501.88</v>
      </c>
      <c r="L2629" s="1930" t="s">
        <v>138</v>
      </c>
    </row>
    <row r="2630" spans="1:12" ht="13.5" x14ac:dyDescent="0.25">
      <c r="A2630" s="1930" t="s">
        <v>4590</v>
      </c>
      <c r="B2630" s="1930" t="s">
        <v>4591</v>
      </c>
      <c r="C2630" s="1930" t="s">
        <v>4598</v>
      </c>
      <c r="D2630" s="1930" t="s">
        <v>4599</v>
      </c>
      <c r="E2630" s="1931" t="s">
        <v>33</v>
      </c>
      <c r="F2630" s="1930" t="s">
        <v>33</v>
      </c>
      <c r="G2630" s="1932">
        <v>97890</v>
      </c>
      <c r="H2630" s="1930" t="s">
        <v>5461</v>
      </c>
      <c r="I2630" s="1930" t="s">
        <v>168</v>
      </c>
      <c r="J2630" s="1930" t="s">
        <v>137</v>
      </c>
      <c r="K2630" s="1933">
        <v>575.1</v>
      </c>
      <c r="L2630" s="1930" t="s">
        <v>138</v>
      </c>
    </row>
    <row r="2631" spans="1:12" ht="13.5" x14ac:dyDescent="0.25">
      <c r="A2631" s="1930" t="s">
        <v>4590</v>
      </c>
      <c r="B2631" s="1930" t="s">
        <v>4591</v>
      </c>
      <c r="C2631" s="1930" t="s">
        <v>4598</v>
      </c>
      <c r="D2631" s="1930" t="s">
        <v>4599</v>
      </c>
      <c r="E2631" s="1931" t="s">
        <v>33</v>
      </c>
      <c r="F2631" s="1930" t="s">
        <v>33</v>
      </c>
      <c r="G2631" s="1932">
        <v>97891</v>
      </c>
      <c r="H2631" s="1930" t="s">
        <v>5462</v>
      </c>
      <c r="I2631" s="1930" t="s">
        <v>168</v>
      </c>
      <c r="J2631" s="1930" t="s">
        <v>137</v>
      </c>
      <c r="K2631" s="1933">
        <v>149.38</v>
      </c>
      <c r="L2631" s="1930" t="s">
        <v>138</v>
      </c>
    </row>
    <row r="2632" spans="1:12" ht="13.5" x14ac:dyDescent="0.25">
      <c r="A2632" s="1930" t="s">
        <v>4590</v>
      </c>
      <c r="B2632" s="1930" t="s">
        <v>4591</v>
      </c>
      <c r="C2632" s="1930" t="s">
        <v>4598</v>
      </c>
      <c r="D2632" s="1930" t="s">
        <v>4599</v>
      </c>
      <c r="E2632" s="1931" t="s">
        <v>33</v>
      </c>
      <c r="F2632" s="1930" t="s">
        <v>33</v>
      </c>
      <c r="G2632" s="1932">
        <v>97892</v>
      </c>
      <c r="H2632" s="1930" t="s">
        <v>5463</v>
      </c>
      <c r="I2632" s="1930" t="s">
        <v>168</v>
      </c>
      <c r="J2632" s="1930" t="s">
        <v>137</v>
      </c>
      <c r="K2632" s="1933">
        <v>277.95</v>
      </c>
      <c r="L2632" s="1930" t="s">
        <v>138</v>
      </c>
    </row>
    <row r="2633" spans="1:12" ht="13.5" x14ac:dyDescent="0.25">
      <c r="A2633" s="1930" t="s">
        <v>4590</v>
      </c>
      <c r="B2633" s="1930" t="s">
        <v>4591</v>
      </c>
      <c r="C2633" s="1930" t="s">
        <v>4598</v>
      </c>
      <c r="D2633" s="1930" t="s">
        <v>4599</v>
      </c>
      <c r="E2633" s="1931" t="s">
        <v>33</v>
      </c>
      <c r="F2633" s="1930" t="s">
        <v>33</v>
      </c>
      <c r="G2633" s="1932">
        <v>97893</v>
      </c>
      <c r="H2633" s="1930" t="s">
        <v>5464</v>
      </c>
      <c r="I2633" s="1930" t="s">
        <v>168</v>
      </c>
      <c r="J2633" s="1930" t="s">
        <v>137</v>
      </c>
      <c r="K2633" s="1933">
        <v>379.56</v>
      </c>
      <c r="L2633" s="1930" t="s">
        <v>138</v>
      </c>
    </row>
    <row r="2634" spans="1:12" ht="13.5" x14ac:dyDescent="0.25">
      <c r="A2634" s="1930" t="s">
        <v>4590</v>
      </c>
      <c r="B2634" s="1930" t="s">
        <v>4591</v>
      </c>
      <c r="C2634" s="1930" t="s">
        <v>4598</v>
      </c>
      <c r="D2634" s="1930" t="s">
        <v>4599</v>
      </c>
      <c r="E2634" s="1931" t="s">
        <v>33</v>
      </c>
      <c r="F2634" s="1930" t="s">
        <v>33</v>
      </c>
      <c r="G2634" s="1932">
        <v>97894</v>
      </c>
      <c r="H2634" s="1930" t="s">
        <v>5465</v>
      </c>
      <c r="I2634" s="1930" t="s">
        <v>168</v>
      </c>
      <c r="J2634" s="1930" t="s">
        <v>137</v>
      </c>
      <c r="K2634" s="1933">
        <v>426.87</v>
      </c>
      <c r="L2634" s="1930" t="s">
        <v>138</v>
      </c>
    </row>
    <row r="2635" spans="1:12" ht="13.5" x14ac:dyDescent="0.25">
      <c r="A2635" s="1930" t="s">
        <v>4590</v>
      </c>
      <c r="B2635" s="1930" t="s">
        <v>4591</v>
      </c>
      <c r="C2635" s="1930" t="s">
        <v>4600</v>
      </c>
      <c r="D2635" s="1930" t="s">
        <v>4601</v>
      </c>
      <c r="E2635" s="1931" t="s">
        <v>33</v>
      </c>
      <c r="F2635" s="1930" t="s">
        <v>33</v>
      </c>
      <c r="G2635" s="1932">
        <v>68066</v>
      </c>
      <c r="H2635" s="1930" t="s">
        <v>1970</v>
      </c>
      <c r="I2635" s="1930" t="s">
        <v>168</v>
      </c>
      <c r="J2635" s="1930" t="s">
        <v>320</v>
      </c>
      <c r="K2635" s="1933">
        <v>170.06</v>
      </c>
      <c r="L2635" s="1930" t="s">
        <v>138</v>
      </c>
    </row>
    <row r="2636" spans="1:12" ht="13.5" x14ac:dyDescent="0.25">
      <c r="A2636" s="1930" t="s">
        <v>4590</v>
      </c>
      <c r="B2636" s="1930" t="s">
        <v>4591</v>
      </c>
      <c r="C2636" s="1930" t="s">
        <v>4600</v>
      </c>
      <c r="D2636" s="1930" t="s">
        <v>4601</v>
      </c>
      <c r="E2636" s="1931" t="s">
        <v>33</v>
      </c>
      <c r="F2636" s="1930" t="s">
        <v>33</v>
      </c>
      <c r="G2636" s="1932">
        <v>72319</v>
      </c>
      <c r="H2636" s="1930" t="s">
        <v>1971</v>
      </c>
      <c r="I2636" s="1930" t="s">
        <v>168</v>
      </c>
      <c r="J2636" s="1930" t="s">
        <v>320</v>
      </c>
      <c r="K2636" s="1933">
        <v>4407.87</v>
      </c>
      <c r="L2636" s="1930" t="s">
        <v>138</v>
      </c>
    </row>
    <row r="2637" spans="1:12" ht="13.5" x14ac:dyDescent="0.25">
      <c r="A2637" s="1930" t="s">
        <v>4590</v>
      </c>
      <c r="B2637" s="1930" t="s">
        <v>4591</v>
      </c>
      <c r="C2637" s="1930" t="s">
        <v>4600</v>
      </c>
      <c r="D2637" s="1930" t="s">
        <v>4601</v>
      </c>
      <c r="E2637" s="1931" t="s">
        <v>33</v>
      </c>
      <c r="F2637" s="1930" t="s">
        <v>33</v>
      </c>
      <c r="G2637" s="1932">
        <v>72341</v>
      </c>
      <c r="H2637" s="1930" t="s">
        <v>1972</v>
      </c>
      <c r="I2637" s="1930" t="s">
        <v>168</v>
      </c>
      <c r="J2637" s="1930" t="s">
        <v>137</v>
      </c>
      <c r="K2637" s="1933">
        <v>230.02</v>
      </c>
      <c r="L2637" s="1930" t="s">
        <v>138</v>
      </c>
    </row>
    <row r="2638" spans="1:12" ht="13.5" x14ac:dyDescent="0.25">
      <c r="A2638" s="1930" t="s">
        <v>4590</v>
      </c>
      <c r="B2638" s="1930" t="s">
        <v>4591</v>
      </c>
      <c r="C2638" s="1930" t="s">
        <v>4600</v>
      </c>
      <c r="D2638" s="1930" t="s">
        <v>4601</v>
      </c>
      <c r="E2638" s="1931" t="s">
        <v>33</v>
      </c>
      <c r="F2638" s="1930" t="s">
        <v>33</v>
      </c>
      <c r="G2638" s="1932">
        <v>72343</v>
      </c>
      <c r="H2638" s="1930" t="s">
        <v>1973</v>
      </c>
      <c r="I2638" s="1930" t="s">
        <v>168</v>
      </c>
      <c r="J2638" s="1930" t="s">
        <v>137</v>
      </c>
      <c r="K2638" s="1933">
        <v>272.48</v>
      </c>
      <c r="L2638" s="1930" t="s">
        <v>138</v>
      </c>
    </row>
    <row r="2639" spans="1:12" ht="13.5" x14ac:dyDescent="0.25">
      <c r="A2639" s="1930" t="s">
        <v>4590</v>
      </c>
      <c r="B2639" s="1930" t="s">
        <v>4591</v>
      </c>
      <c r="C2639" s="1930" t="s">
        <v>4600</v>
      </c>
      <c r="D2639" s="1930" t="s">
        <v>4601</v>
      </c>
      <c r="E2639" s="1931" t="s">
        <v>33</v>
      </c>
      <c r="F2639" s="1930" t="s">
        <v>33</v>
      </c>
      <c r="G2639" s="1932">
        <v>72344</v>
      </c>
      <c r="H2639" s="1930" t="s">
        <v>1974</v>
      </c>
      <c r="I2639" s="1930" t="s">
        <v>168</v>
      </c>
      <c r="J2639" s="1930" t="s">
        <v>137</v>
      </c>
      <c r="K2639" s="1933">
        <v>429.11</v>
      </c>
      <c r="L2639" s="1930" t="s">
        <v>138</v>
      </c>
    </row>
    <row r="2640" spans="1:12" ht="13.5" x14ac:dyDescent="0.25">
      <c r="A2640" s="1930" t="s">
        <v>4590</v>
      </c>
      <c r="B2640" s="1930" t="s">
        <v>4591</v>
      </c>
      <c r="C2640" s="1930" t="s">
        <v>4600</v>
      </c>
      <c r="D2640" s="1930" t="s">
        <v>4601</v>
      </c>
      <c r="E2640" s="1931" t="s">
        <v>33</v>
      </c>
      <c r="F2640" s="1930" t="s">
        <v>33</v>
      </c>
      <c r="G2640" s="1932">
        <v>72345</v>
      </c>
      <c r="H2640" s="1930" t="s">
        <v>1975</v>
      </c>
      <c r="I2640" s="1930" t="s">
        <v>168</v>
      </c>
      <c r="J2640" s="1930" t="s">
        <v>137</v>
      </c>
      <c r="K2640" s="1933">
        <v>1232.44</v>
      </c>
      <c r="L2640" s="1930" t="s">
        <v>138</v>
      </c>
    </row>
    <row r="2641" spans="1:12" ht="13.5" x14ac:dyDescent="0.25">
      <c r="A2641" s="1930" t="s">
        <v>4590</v>
      </c>
      <c r="B2641" s="1930" t="s">
        <v>4591</v>
      </c>
      <c r="C2641" s="1930" t="s">
        <v>4600</v>
      </c>
      <c r="D2641" s="1930" t="s">
        <v>4601</v>
      </c>
      <c r="E2641" s="1931">
        <v>74130</v>
      </c>
      <c r="F2641" s="1930" t="s">
        <v>4602</v>
      </c>
      <c r="G2641" s="1932" t="s">
        <v>1976</v>
      </c>
      <c r="H2641" s="1930" t="s">
        <v>1977</v>
      </c>
      <c r="I2641" s="1930" t="s">
        <v>168</v>
      </c>
      <c r="J2641" s="1930" t="s">
        <v>346</v>
      </c>
      <c r="K2641" s="1933">
        <v>13.05</v>
      </c>
      <c r="L2641" s="1930" t="s">
        <v>138</v>
      </c>
    </row>
    <row r="2642" spans="1:12" ht="13.5" x14ac:dyDescent="0.25">
      <c r="A2642" s="1930" t="s">
        <v>4590</v>
      </c>
      <c r="B2642" s="1930" t="s">
        <v>4591</v>
      </c>
      <c r="C2642" s="1930" t="s">
        <v>4600</v>
      </c>
      <c r="D2642" s="1930" t="s">
        <v>4601</v>
      </c>
      <c r="E2642" s="1931">
        <v>74130</v>
      </c>
      <c r="F2642" s="1930" t="s">
        <v>4602</v>
      </c>
      <c r="G2642" s="1932" t="s">
        <v>1978</v>
      </c>
      <c r="H2642" s="1930" t="s">
        <v>1979</v>
      </c>
      <c r="I2642" s="1930" t="s">
        <v>168</v>
      </c>
      <c r="J2642" s="1930" t="s">
        <v>320</v>
      </c>
      <c r="K2642" s="1933">
        <v>20.170000000000002</v>
      </c>
      <c r="L2642" s="1930" t="s">
        <v>138</v>
      </c>
    </row>
    <row r="2643" spans="1:12" ht="13.5" x14ac:dyDescent="0.25">
      <c r="A2643" s="1930" t="s">
        <v>4590</v>
      </c>
      <c r="B2643" s="1930" t="s">
        <v>4591</v>
      </c>
      <c r="C2643" s="1930" t="s">
        <v>4600</v>
      </c>
      <c r="D2643" s="1930" t="s">
        <v>4601</v>
      </c>
      <c r="E2643" s="1931">
        <v>74130</v>
      </c>
      <c r="F2643" s="1930" t="s">
        <v>4602</v>
      </c>
      <c r="G2643" s="1932" t="s">
        <v>1980</v>
      </c>
      <c r="H2643" s="1930" t="s">
        <v>1981</v>
      </c>
      <c r="I2643" s="1930" t="s">
        <v>168</v>
      </c>
      <c r="J2643" s="1930" t="s">
        <v>320</v>
      </c>
      <c r="K2643" s="1933">
        <v>59.6</v>
      </c>
      <c r="L2643" s="1930" t="s">
        <v>138</v>
      </c>
    </row>
    <row r="2644" spans="1:12" ht="13.5" x14ac:dyDescent="0.25">
      <c r="A2644" s="1930" t="s">
        <v>4590</v>
      </c>
      <c r="B2644" s="1930" t="s">
        <v>4591</v>
      </c>
      <c r="C2644" s="1930" t="s">
        <v>4600</v>
      </c>
      <c r="D2644" s="1930" t="s">
        <v>4601</v>
      </c>
      <c r="E2644" s="1931">
        <v>74130</v>
      </c>
      <c r="F2644" s="1930" t="s">
        <v>4602</v>
      </c>
      <c r="G2644" s="1932" t="s">
        <v>1982</v>
      </c>
      <c r="H2644" s="1930" t="s">
        <v>1983</v>
      </c>
      <c r="I2644" s="1930" t="s">
        <v>168</v>
      </c>
      <c r="J2644" s="1930" t="s">
        <v>320</v>
      </c>
      <c r="K2644" s="1933">
        <v>85.08</v>
      </c>
      <c r="L2644" s="1930" t="s">
        <v>138</v>
      </c>
    </row>
    <row r="2645" spans="1:12" ht="13.5" x14ac:dyDescent="0.25">
      <c r="A2645" s="1930" t="s">
        <v>4590</v>
      </c>
      <c r="B2645" s="1930" t="s">
        <v>4591</v>
      </c>
      <c r="C2645" s="1930" t="s">
        <v>4600</v>
      </c>
      <c r="D2645" s="1930" t="s">
        <v>4601</v>
      </c>
      <c r="E2645" s="1931">
        <v>74130</v>
      </c>
      <c r="F2645" s="1930" t="s">
        <v>4602</v>
      </c>
      <c r="G2645" s="1932" t="s">
        <v>1984</v>
      </c>
      <c r="H2645" s="1930" t="s">
        <v>1985</v>
      </c>
      <c r="I2645" s="1930" t="s">
        <v>168</v>
      </c>
      <c r="J2645" s="1930" t="s">
        <v>320</v>
      </c>
      <c r="K2645" s="1933">
        <v>113.93</v>
      </c>
      <c r="L2645" s="1930" t="s">
        <v>138</v>
      </c>
    </row>
    <row r="2646" spans="1:12" ht="13.5" x14ac:dyDescent="0.25">
      <c r="A2646" s="1930" t="s">
        <v>4590</v>
      </c>
      <c r="B2646" s="1930" t="s">
        <v>4591</v>
      </c>
      <c r="C2646" s="1930" t="s">
        <v>4600</v>
      </c>
      <c r="D2646" s="1930" t="s">
        <v>4601</v>
      </c>
      <c r="E2646" s="1931">
        <v>74130</v>
      </c>
      <c r="F2646" s="1930" t="s">
        <v>4602</v>
      </c>
      <c r="G2646" s="1932" t="s">
        <v>1986</v>
      </c>
      <c r="H2646" s="1930" t="s">
        <v>1987</v>
      </c>
      <c r="I2646" s="1930" t="s">
        <v>168</v>
      </c>
      <c r="J2646" s="1930" t="s">
        <v>320</v>
      </c>
      <c r="K2646" s="1933">
        <v>325.39</v>
      </c>
      <c r="L2646" s="1930" t="s">
        <v>138</v>
      </c>
    </row>
    <row r="2647" spans="1:12" ht="13.5" x14ac:dyDescent="0.25">
      <c r="A2647" s="1930" t="s">
        <v>4590</v>
      </c>
      <c r="B2647" s="1930" t="s">
        <v>4591</v>
      </c>
      <c r="C2647" s="1930" t="s">
        <v>4600</v>
      </c>
      <c r="D2647" s="1930" t="s">
        <v>4601</v>
      </c>
      <c r="E2647" s="1931">
        <v>74130</v>
      </c>
      <c r="F2647" s="1930" t="s">
        <v>4602</v>
      </c>
      <c r="G2647" s="1932" t="s">
        <v>1988</v>
      </c>
      <c r="H2647" s="1930" t="s">
        <v>1989</v>
      </c>
      <c r="I2647" s="1930" t="s">
        <v>168</v>
      </c>
      <c r="J2647" s="1930" t="s">
        <v>320</v>
      </c>
      <c r="K2647" s="1933">
        <v>843.35</v>
      </c>
      <c r="L2647" s="1930" t="s">
        <v>138</v>
      </c>
    </row>
    <row r="2648" spans="1:12" ht="13.5" x14ac:dyDescent="0.25">
      <c r="A2648" s="1930" t="s">
        <v>4590</v>
      </c>
      <c r="B2648" s="1930" t="s">
        <v>4591</v>
      </c>
      <c r="C2648" s="1930" t="s">
        <v>4600</v>
      </c>
      <c r="D2648" s="1930" t="s">
        <v>4601</v>
      </c>
      <c r="E2648" s="1931">
        <v>74130</v>
      </c>
      <c r="F2648" s="1930" t="s">
        <v>4602</v>
      </c>
      <c r="G2648" s="1932" t="s">
        <v>1990</v>
      </c>
      <c r="H2648" s="1930" t="s">
        <v>1991</v>
      </c>
      <c r="I2648" s="1930" t="s">
        <v>168</v>
      </c>
      <c r="J2648" s="1930" t="s">
        <v>320</v>
      </c>
      <c r="K2648" s="1933">
        <v>1153.02</v>
      </c>
      <c r="L2648" s="1930" t="s">
        <v>138</v>
      </c>
    </row>
    <row r="2649" spans="1:12" ht="13.5" x14ac:dyDescent="0.25">
      <c r="A2649" s="1930" t="s">
        <v>4590</v>
      </c>
      <c r="B2649" s="1930" t="s">
        <v>4591</v>
      </c>
      <c r="C2649" s="1930" t="s">
        <v>4600</v>
      </c>
      <c r="D2649" s="1930" t="s">
        <v>4601</v>
      </c>
      <c r="E2649" s="1931">
        <v>74130</v>
      </c>
      <c r="F2649" s="1930" t="s">
        <v>4602</v>
      </c>
      <c r="G2649" s="1932" t="s">
        <v>1992</v>
      </c>
      <c r="H2649" s="1930" t="s">
        <v>1993</v>
      </c>
      <c r="I2649" s="1930" t="s">
        <v>168</v>
      </c>
      <c r="J2649" s="1930" t="s">
        <v>320</v>
      </c>
      <c r="K2649" s="1933">
        <v>1889.62</v>
      </c>
      <c r="L2649" s="1930" t="s">
        <v>138</v>
      </c>
    </row>
    <row r="2650" spans="1:12" ht="13.5" x14ac:dyDescent="0.25">
      <c r="A2650" s="1930" t="s">
        <v>4590</v>
      </c>
      <c r="B2650" s="1930" t="s">
        <v>4591</v>
      </c>
      <c r="C2650" s="1930" t="s">
        <v>4600</v>
      </c>
      <c r="D2650" s="1930" t="s">
        <v>4601</v>
      </c>
      <c r="E2650" s="1931">
        <v>74130</v>
      </c>
      <c r="F2650" s="1930" t="s">
        <v>4602</v>
      </c>
      <c r="G2650" s="1932" t="s">
        <v>1994</v>
      </c>
      <c r="H2650" s="1930" t="s">
        <v>1995</v>
      </c>
      <c r="I2650" s="1930" t="s">
        <v>168</v>
      </c>
      <c r="J2650" s="1930" t="s">
        <v>320</v>
      </c>
      <c r="K2650" s="1933">
        <v>509.45</v>
      </c>
      <c r="L2650" s="1930" t="s">
        <v>138</v>
      </c>
    </row>
    <row r="2651" spans="1:12" ht="13.5" x14ac:dyDescent="0.25">
      <c r="A2651" s="1930" t="s">
        <v>4590</v>
      </c>
      <c r="B2651" s="1930" t="s">
        <v>4591</v>
      </c>
      <c r="C2651" s="1930" t="s">
        <v>4600</v>
      </c>
      <c r="D2651" s="1930" t="s">
        <v>4601</v>
      </c>
      <c r="E2651" s="1931">
        <v>74131</v>
      </c>
      <c r="F2651" s="1930" t="s">
        <v>4603</v>
      </c>
      <c r="G2651" s="1932" t="s">
        <v>1996</v>
      </c>
      <c r="H2651" s="1930" t="s">
        <v>1997</v>
      </c>
      <c r="I2651" s="1930" t="s">
        <v>168</v>
      </c>
      <c r="J2651" s="1930" t="s">
        <v>320</v>
      </c>
      <c r="K2651" s="1933">
        <v>73.709999999999994</v>
      </c>
      <c r="L2651" s="1930" t="s">
        <v>138</v>
      </c>
    </row>
    <row r="2652" spans="1:12" ht="13.5" x14ac:dyDescent="0.25">
      <c r="A2652" s="1930" t="s">
        <v>4590</v>
      </c>
      <c r="B2652" s="1930" t="s">
        <v>4591</v>
      </c>
      <c r="C2652" s="1930" t="s">
        <v>4600</v>
      </c>
      <c r="D2652" s="1930" t="s">
        <v>4601</v>
      </c>
      <c r="E2652" s="1931">
        <v>74131</v>
      </c>
      <c r="F2652" s="1930" t="s">
        <v>4603</v>
      </c>
      <c r="G2652" s="1932" t="s">
        <v>1998</v>
      </c>
      <c r="H2652" s="1930" t="s">
        <v>1999</v>
      </c>
      <c r="I2652" s="1930" t="s">
        <v>168</v>
      </c>
      <c r="J2652" s="1930" t="s">
        <v>320</v>
      </c>
      <c r="K2652" s="1933">
        <v>358.41</v>
      </c>
      <c r="L2652" s="1930" t="s">
        <v>138</v>
      </c>
    </row>
    <row r="2653" spans="1:12" ht="13.5" x14ac:dyDescent="0.25">
      <c r="A2653" s="1930" t="s">
        <v>4590</v>
      </c>
      <c r="B2653" s="1930" t="s">
        <v>4591</v>
      </c>
      <c r="C2653" s="1930" t="s">
        <v>4600</v>
      </c>
      <c r="D2653" s="1930" t="s">
        <v>4601</v>
      </c>
      <c r="E2653" s="1931">
        <v>74131</v>
      </c>
      <c r="F2653" s="1930" t="s">
        <v>4603</v>
      </c>
      <c r="G2653" s="1932" t="s">
        <v>4955</v>
      </c>
      <c r="H2653" s="1930" t="s">
        <v>2000</v>
      </c>
      <c r="I2653" s="1930" t="s">
        <v>168</v>
      </c>
      <c r="J2653" s="1930" t="s">
        <v>320</v>
      </c>
      <c r="K2653" s="1933">
        <v>412.83</v>
      </c>
      <c r="L2653" s="1930" t="s">
        <v>138</v>
      </c>
    </row>
    <row r="2654" spans="1:12" ht="13.5" x14ac:dyDescent="0.25">
      <c r="A2654" s="1930" t="s">
        <v>4590</v>
      </c>
      <c r="B2654" s="1930" t="s">
        <v>4591</v>
      </c>
      <c r="C2654" s="1930" t="s">
        <v>4600</v>
      </c>
      <c r="D2654" s="1930" t="s">
        <v>4601</v>
      </c>
      <c r="E2654" s="1931">
        <v>74131</v>
      </c>
      <c r="F2654" s="1930" t="s">
        <v>4603</v>
      </c>
      <c r="G2654" s="1932" t="s">
        <v>2001</v>
      </c>
      <c r="H2654" s="1930" t="s">
        <v>2002</v>
      </c>
      <c r="I2654" s="1930" t="s">
        <v>168</v>
      </c>
      <c r="J2654" s="1930" t="s">
        <v>320</v>
      </c>
      <c r="K2654" s="1933">
        <v>475.6</v>
      </c>
      <c r="L2654" s="1930" t="s">
        <v>138</v>
      </c>
    </row>
    <row r="2655" spans="1:12" ht="13.5" x14ac:dyDescent="0.25">
      <c r="A2655" s="1930" t="s">
        <v>4590</v>
      </c>
      <c r="B2655" s="1930" t="s">
        <v>4591</v>
      </c>
      <c r="C2655" s="1930" t="s">
        <v>4600</v>
      </c>
      <c r="D2655" s="1930" t="s">
        <v>4601</v>
      </c>
      <c r="E2655" s="1931">
        <v>74131</v>
      </c>
      <c r="F2655" s="1930" t="s">
        <v>4603</v>
      </c>
      <c r="G2655" s="1932" t="s">
        <v>2003</v>
      </c>
      <c r="H2655" s="1930" t="s">
        <v>2004</v>
      </c>
      <c r="I2655" s="1930" t="s">
        <v>168</v>
      </c>
      <c r="J2655" s="1930" t="s">
        <v>320</v>
      </c>
      <c r="K2655" s="1933">
        <v>656.59</v>
      </c>
      <c r="L2655" s="1930" t="s">
        <v>138</v>
      </c>
    </row>
    <row r="2656" spans="1:12" ht="13.5" x14ac:dyDescent="0.25">
      <c r="A2656" s="1930" t="s">
        <v>4590</v>
      </c>
      <c r="B2656" s="1930" t="s">
        <v>4591</v>
      </c>
      <c r="C2656" s="1930" t="s">
        <v>4600</v>
      </c>
      <c r="D2656" s="1930" t="s">
        <v>4601</v>
      </c>
      <c r="E2656" s="1931">
        <v>74131</v>
      </c>
      <c r="F2656" s="1930" t="s">
        <v>4603</v>
      </c>
      <c r="G2656" s="1932" t="s">
        <v>2005</v>
      </c>
      <c r="H2656" s="1930" t="s">
        <v>2006</v>
      </c>
      <c r="I2656" s="1930" t="s">
        <v>168</v>
      </c>
      <c r="J2656" s="1930" t="s">
        <v>320</v>
      </c>
      <c r="K2656" s="1933">
        <v>953.64</v>
      </c>
      <c r="L2656" s="1930" t="s">
        <v>138</v>
      </c>
    </row>
    <row r="2657" spans="1:12" ht="13.5" x14ac:dyDescent="0.25">
      <c r="A2657" s="1930" t="s">
        <v>4590</v>
      </c>
      <c r="B2657" s="1930" t="s">
        <v>4591</v>
      </c>
      <c r="C2657" s="1930" t="s">
        <v>4600</v>
      </c>
      <c r="D2657" s="1930" t="s">
        <v>4601</v>
      </c>
      <c r="E2657" s="1931" t="s">
        <v>33</v>
      </c>
      <c r="F2657" s="1930" t="s">
        <v>33</v>
      </c>
      <c r="G2657" s="1932">
        <v>83463</v>
      </c>
      <c r="H2657" s="1930" t="s">
        <v>2007</v>
      </c>
      <c r="I2657" s="1930" t="s">
        <v>168</v>
      </c>
      <c r="J2657" s="1930" t="s">
        <v>320</v>
      </c>
      <c r="K2657" s="1933">
        <v>278.97000000000003</v>
      </c>
      <c r="L2657" s="1930" t="s">
        <v>138</v>
      </c>
    </row>
    <row r="2658" spans="1:12" ht="13.5" x14ac:dyDescent="0.25">
      <c r="A2658" s="1930" t="s">
        <v>4590</v>
      </c>
      <c r="B2658" s="1930" t="s">
        <v>4591</v>
      </c>
      <c r="C2658" s="1930" t="s">
        <v>4600</v>
      </c>
      <c r="D2658" s="1930" t="s">
        <v>4601</v>
      </c>
      <c r="E2658" s="1931" t="s">
        <v>33</v>
      </c>
      <c r="F2658" s="1930" t="s">
        <v>33</v>
      </c>
      <c r="G2658" s="1932">
        <v>84402</v>
      </c>
      <c r="H2658" s="1930" t="s">
        <v>2008</v>
      </c>
      <c r="I2658" s="1930" t="s">
        <v>168</v>
      </c>
      <c r="J2658" s="1930" t="s">
        <v>320</v>
      </c>
      <c r="K2658" s="1933">
        <v>87.73</v>
      </c>
      <c r="L2658" s="1930" t="s">
        <v>138</v>
      </c>
    </row>
    <row r="2659" spans="1:12" ht="13.5" x14ac:dyDescent="0.25">
      <c r="A2659" s="1930" t="s">
        <v>4590</v>
      </c>
      <c r="B2659" s="1930" t="s">
        <v>4591</v>
      </c>
      <c r="C2659" s="1930" t="s">
        <v>4600</v>
      </c>
      <c r="D2659" s="1930" t="s">
        <v>4601</v>
      </c>
      <c r="E2659" s="1931" t="s">
        <v>33</v>
      </c>
      <c r="F2659" s="1930" t="s">
        <v>33</v>
      </c>
      <c r="G2659" s="1932">
        <v>93653</v>
      </c>
      <c r="H2659" s="1930" t="s">
        <v>2009</v>
      </c>
      <c r="I2659" s="1930" t="s">
        <v>168</v>
      </c>
      <c r="J2659" s="1930" t="s">
        <v>320</v>
      </c>
      <c r="K2659" s="1933">
        <v>9.99</v>
      </c>
      <c r="L2659" s="1930" t="s">
        <v>138</v>
      </c>
    </row>
    <row r="2660" spans="1:12" ht="13.5" x14ac:dyDescent="0.25">
      <c r="A2660" s="1930" t="s">
        <v>4590</v>
      </c>
      <c r="B2660" s="1930" t="s">
        <v>4591</v>
      </c>
      <c r="C2660" s="1930" t="s">
        <v>4600</v>
      </c>
      <c r="D2660" s="1930" t="s">
        <v>4601</v>
      </c>
      <c r="E2660" s="1931" t="s">
        <v>33</v>
      </c>
      <c r="F2660" s="1930" t="s">
        <v>33</v>
      </c>
      <c r="G2660" s="1932">
        <v>93654</v>
      </c>
      <c r="H2660" s="1930" t="s">
        <v>2010</v>
      </c>
      <c r="I2660" s="1930" t="s">
        <v>168</v>
      </c>
      <c r="J2660" s="1930" t="s">
        <v>320</v>
      </c>
      <c r="K2660" s="1933">
        <v>10.45</v>
      </c>
      <c r="L2660" s="1930" t="s">
        <v>138</v>
      </c>
    </row>
    <row r="2661" spans="1:12" ht="13.5" x14ac:dyDescent="0.25">
      <c r="A2661" s="1930" t="s">
        <v>4590</v>
      </c>
      <c r="B2661" s="1930" t="s">
        <v>4591</v>
      </c>
      <c r="C2661" s="1930" t="s">
        <v>4600</v>
      </c>
      <c r="D2661" s="1930" t="s">
        <v>4601</v>
      </c>
      <c r="E2661" s="1931" t="s">
        <v>33</v>
      </c>
      <c r="F2661" s="1930" t="s">
        <v>33</v>
      </c>
      <c r="G2661" s="1932">
        <v>93655</v>
      </c>
      <c r="H2661" s="1930" t="s">
        <v>2011</v>
      </c>
      <c r="I2661" s="1930" t="s">
        <v>168</v>
      </c>
      <c r="J2661" s="1930" t="s">
        <v>320</v>
      </c>
      <c r="K2661" s="1933">
        <v>11.3</v>
      </c>
      <c r="L2661" s="1930" t="s">
        <v>138</v>
      </c>
    </row>
    <row r="2662" spans="1:12" ht="13.5" x14ac:dyDescent="0.25">
      <c r="A2662" s="1930" t="s">
        <v>4590</v>
      </c>
      <c r="B2662" s="1930" t="s">
        <v>4591</v>
      </c>
      <c r="C2662" s="1930" t="s">
        <v>4600</v>
      </c>
      <c r="D2662" s="1930" t="s">
        <v>4601</v>
      </c>
      <c r="E2662" s="1931" t="s">
        <v>33</v>
      </c>
      <c r="F2662" s="1930" t="s">
        <v>33</v>
      </c>
      <c r="G2662" s="1932">
        <v>93656</v>
      </c>
      <c r="H2662" s="1930" t="s">
        <v>2012</v>
      </c>
      <c r="I2662" s="1930" t="s">
        <v>168</v>
      </c>
      <c r="J2662" s="1930" t="s">
        <v>320</v>
      </c>
      <c r="K2662" s="1933">
        <v>11.3</v>
      </c>
      <c r="L2662" s="1930" t="s">
        <v>138</v>
      </c>
    </row>
    <row r="2663" spans="1:12" ht="13.5" x14ac:dyDescent="0.25">
      <c r="A2663" s="1930" t="s">
        <v>4590</v>
      </c>
      <c r="B2663" s="1930" t="s">
        <v>4591</v>
      </c>
      <c r="C2663" s="1930" t="s">
        <v>4600</v>
      </c>
      <c r="D2663" s="1930" t="s">
        <v>4601</v>
      </c>
      <c r="E2663" s="1931" t="s">
        <v>33</v>
      </c>
      <c r="F2663" s="1930" t="s">
        <v>33</v>
      </c>
      <c r="G2663" s="1932">
        <v>93657</v>
      </c>
      <c r="H2663" s="1930" t="s">
        <v>2013</v>
      </c>
      <c r="I2663" s="1930" t="s">
        <v>168</v>
      </c>
      <c r="J2663" s="1930" t="s">
        <v>320</v>
      </c>
      <c r="K2663" s="1933">
        <v>12.36</v>
      </c>
      <c r="L2663" s="1930" t="s">
        <v>138</v>
      </c>
    </row>
    <row r="2664" spans="1:12" ht="13.5" x14ac:dyDescent="0.25">
      <c r="A2664" s="1930" t="s">
        <v>4590</v>
      </c>
      <c r="B2664" s="1930" t="s">
        <v>4591</v>
      </c>
      <c r="C2664" s="1930" t="s">
        <v>4600</v>
      </c>
      <c r="D2664" s="1930" t="s">
        <v>4601</v>
      </c>
      <c r="E2664" s="1931" t="s">
        <v>33</v>
      </c>
      <c r="F2664" s="1930" t="s">
        <v>33</v>
      </c>
      <c r="G2664" s="1932">
        <v>93658</v>
      </c>
      <c r="H2664" s="1930" t="s">
        <v>2014</v>
      </c>
      <c r="I2664" s="1930" t="s">
        <v>168</v>
      </c>
      <c r="J2664" s="1930" t="s">
        <v>320</v>
      </c>
      <c r="K2664" s="1933">
        <v>17.96</v>
      </c>
      <c r="L2664" s="1930" t="s">
        <v>138</v>
      </c>
    </row>
    <row r="2665" spans="1:12" ht="13.5" x14ac:dyDescent="0.25">
      <c r="A2665" s="1930" t="s">
        <v>4590</v>
      </c>
      <c r="B2665" s="1930" t="s">
        <v>4591</v>
      </c>
      <c r="C2665" s="1930" t="s">
        <v>4600</v>
      </c>
      <c r="D2665" s="1930" t="s">
        <v>4601</v>
      </c>
      <c r="E2665" s="1931" t="s">
        <v>33</v>
      </c>
      <c r="F2665" s="1930" t="s">
        <v>33</v>
      </c>
      <c r="G2665" s="1932">
        <v>93659</v>
      </c>
      <c r="H2665" s="1930" t="s">
        <v>2015</v>
      </c>
      <c r="I2665" s="1930" t="s">
        <v>168</v>
      </c>
      <c r="J2665" s="1930" t="s">
        <v>320</v>
      </c>
      <c r="K2665" s="1933">
        <v>20.11</v>
      </c>
      <c r="L2665" s="1930" t="s">
        <v>138</v>
      </c>
    </row>
    <row r="2666" spans="1:12" ht="13.5" x14ac:dyDescent="0.25">
      <c r="A2666" s="1930" t="s">
        <v>4590</v>
      </c>
      <c r="B2666" s="1930" t="s">
        <v>4591</v>
      </c>
      <c r="C2666" s="1930" t="s">
        <v>4600</v>
      </c>
      <c r="D2666" s="1930" t="s">
        <v>4601</v>
      </c>
      <c r="E2666" s="1931" t="s">
        <v>33</v>
      </c>
      <c r="F2666" s="1930" t="s">
        <v>33</v>
      </c>
      <c r="G2666" s="1932">
        <v>93660</v>
      </c>
      <c r="H2666" s="1930" t="s">
        <v>2016</v>
      </c>
      <c r="I2666" s="1930" t="s">
        <v>168</v>
      </c>
      <c r="J2666" s="1930" t="s">
        <v>320</v>
      </c>
      <c r="K2666" s="1933">
        <v>50.27</v>
      </c>
      <c r="L2666" s="1930" t="s">
        <v>138</v>
      </c>
    </row>
    <row r="2667" spans="1:12" ht="13.5" x14ac:dyDescent="0.25">
      <c r="A2667" s="1930" t="s">
        <v>4590</v>
      </c>
      <c r="B2667" s="1930" t="s">
        <v>4591</v>
      </c>
      <c r="C2667" s="1930" t="s">
        <v>4600</v>
      </c>
      <c r="D2667" s="1930" t="s">
        <v>4601</v>
      </c>
      <c r="E2667" s="1931" t="s">
        <v>33</v>
      </c>
      <c r="F2667" s="1930" t="s">
        <v>33</v>
      </c>
      <c r="G2667" s="1932">
        <v>93661</v>
      </c>
      <c r="H2667" s="1930" t="s">
        <v>2017</v>
      </c>
      <c r="I2667" s="1930" t="s">
        <v>168</v>
      </c>
      <c r="J2667" s="1930" t="s">
        <v>320</v>
      </c>
      <c r="K2667" s="1933">
        <v>51.18</v>
      </c>
      <c r="L2667" s="1930" t="s">
        <v>138</v>
      </c>
    </row>
    <row r="2668" spans="1:12" ht="13.5" x14ac:dyDescent="0.25">
      <c r="A2668" s="1930" t="s">
        <v>4590</v>
      </c>
      <c r="B2668" s="1930" t="s">
        <v>4591</v>
      </c>
      <c r="C2668" s="1930" t="s">
        <v>4600</v>
      </c>
      <c r="D2668" s="1930" t="s">
        <v>4601</v>
      </c>
      <c r="E2668" s="1931" t="s">
        <v>33</v>
      </c>
      <c r="F2668" s="1930" t="s">
        <v>33</v>
      </c>
      <c r="G2668" s="1932">
        <v>93662</v>
      </c>
      <c r="H2668" s="1930" t="s">
        <v>2018</v>
      </c>
      <c r="I2668" s="1930" t="s">
        <v>168</v>
      </c>
      <c r="J2668" s="1930" t="s">
        <v>320</v>
      </c>
      <c r="K2668" s="1933">
        <v>52.94</v>
      </c>
      <c r="L2668" s="1930" t="s">
        <v>138</v>
      </c>
    </row>
    <row r="2669" spans="1:12" ht="13.5" x14ac:dyDescent="0.25">
      <c r="A2669" s="1930" t="s">
        <v>4590</v>
      </c>
      <c r="B2669" s="1930" t="s">
        <v>4591</v>
      </c>
      <c r="C2669" s="1930" t="s">
        <v>4600</v>
      </c>
      <c r="D2669" s="1930" t="s">
        <v>4601</v>
      </c>
      <c r="E2669" s="1931" t="s">
        <v>33</v>
      </c>
      <c r="F2669" s="1930" t="s">
        <v>33</v>
      </c>
      <c r="G2669" s="1932">
        <v>93663</v>
      </c>
      <c r="H2669" s="1930" t="s">
        <v>2019</v>
      </c>
      <c r="I2669" s="1930" t="s">
        <v>168</v>
      </c>
      <c r="J2669" s="1930" t="s">
        <v>320</v>
      </c>
      <c r="K2669" s="1933">
        <v>52.94</v>
      </c>
      <c r="L2669" s="1930" t="s">
        <v>138</v>
      </c>
    </row>
    <row r="2670" spans="1:12" ht="13.5" x14ac:dyDescent="0.25">
      <c r="A2670" s="1930" t="s">
        <v>4590</v>
      </c>
      <c r="B2670" s="1930" t="s">
        <v>4591</v>
      </c>
      <c r="C2670" s="1930" t="s">
        <v>4600</v>
      </c>
      <c r="D2670" s="1930" t="s">
        <v>4601</v>
      </c>
      <c r="E2670" s="1931" t="s">
        <v>33</v>
      </c>
      <c r="F2670" s="1930" t="s">
        <v>33</v>
      </c>
      <c r="G2670" s="1932">
        <v>93664</v>
      </c>
      <c r="H2670" s="1930" t="s">
        <v>2020</v>
      </c>
      <c r="I2670" s="1930" t="s">
        <v>168</v>
      </c>
      <c r="J2670" s="1930" t="s">
        <v>320</v>
      </c>
      <c r="K2670" s="1933">
        <v>55.02</v>
      </c>
      <c r="L2670" s="1930" t="s">
        <v>138</v>
      </c>
    </row>
    <row r="2671" spans="1:12" ht="13.5" x14ac:dyDescent="0.25">
      <c r="A2671" s="1930" t="s">
        <v>4590</v>
      </c>
      <c r="B2671" s="1930" t="s">
        <v>4591</v>
      </c>
      <c r="C2671" s="1930" t="s">
        <v>4600</v>
      </c>
      <c r="D2671" s="1930" t="s">
        <v>4601</v>
      </c>
      <c r="E2671" s="1931" t="s">
        <v>33</v>
      </c>
      <c r="F2671" s="1930" t="s">
        <v>33</v>
      </c>
      <c r="G2671" s="1932">
        <v>93665</v>
      </c>
      <c r="H2671" s="1930" t="s">
        <v>2021</v>
      </c>
      <c r="I2671" s="1930" t="s">
        <v>168</v>
      </c>
      <c r="J2671" s="1930" t="s">
        <v>320</v>
      </c>
      <c r="K2671" s="1933">
        <v>57.66</v>
      </c>
      <c r="L2671" s="1930" t="s">
        <v>138</v>
      </c>
    </row>
    <row r="2672" spans="1:12" ht="13.5" x14ac:dyDescent="0.25">
      <c r="A2672" s="1930" t="s">
        <v>4590</v>
      </c>
      <c r="B2672" s="1930" t="s">
        <v>4591</v>
      </c>
      <c r="C2672" s="1930" t="s">
        <v>4600</v>
      </c>
      <c r="D2672" s="1930" t="s">
        <v>4601</v>
      </c>
      <c r="E2672" s="1931" t="s">
        <v>33</v>
      </c>
      <c r="F2672" s="1930" t="s">
        <v>33</v>
      </c>
      <c r="G2672" s="1932">
        <v>93666</v>
      </c>
      <c r="H2672" s="1930" t="s">
        <v>2022</v>
      </c>
      <c r="I2672" s="1930" t="s">
        <v>168</v>
      </c>
      <c r="J2672" s="1930" t="s">
        <v>320</v>
      </c>
      <c r="K2672" s="1933">
        <v>61.97</v>
      </c>
      <c r="L2672" s="1930" t="s">
        <v>138</v>
      </c>
    </row>
    <row r="2673" spans="1:12" ht="13.5" x14ac:dyDescent="0.25">
      <c r="A2673" s="1930" t="s">
        <v>4590</v>
      </c>
      <c r="B2673" s="1930" t="s">
        <v>4591</v>
      </c>
      <c r="C2673" s="1930" t="s">
        <v>4600</v>
      </c>
      <c r="D2673" s="1930" t="s">
        <v>4601</v>
      </c>
      <c r="E2673" s="1931" t="s">
        <v>33</v>
      </c>
      <c r="F2673" s="1930" t="s">
        <v>33</v>
      </c>
      <c r="G2673" s="1932">
        <v>93667</v>
      </c>
      <c r="H2673" s="1930" t="s">
        <v>2023</v>
      </c>
      <c r="I2673" s="1930" t="s">
        <v>168</v>
      </c>
      <c r="J2673" s="1930" t="s">
        <v>320</v>
      </c>
      <c r="K2673" s="1933">
        <v>62.63</v>
      </c>
      <c r="L2673" s="1930" t="s">
        <v>138</v>
      </c>
    </row>
    <row r="2674" spans="1:12" ht="13.5" x14ac:dyDescent="0.25">
      <c r="A2674" s="1930" t="s">
        <v>4590</v>
      </c>
      <c r="B2674" s="1930" t="s">
        <v>4591</v>
      </c>
      <c r="C2674" s="1930" t="s">
        <v>4600</v>
      </c>
      <c r="D2674" s="1930" t="s">
        <v>4601</v>
      </c>
      <c r="E2674" s="1931" t="s">
        <v>33</v>
      </c>
      <c r="F2674" s="1930" t="s">
        <v>33</v>
      </c>
      <c r="G2674" s="1932">
        <v>93668</v>
      </c>
      <c r="H2674" s="1930" t="s">
        <v>2024</v>
      </c>
      <c r="I2674" s="1930" t="s">
        <v>168</v>
      </c>
      <c r="J2674" s="1930" t="s">
        <v>320</v>
      </c>
      <c r="K2674" s="1933">
        <v>64.010000000000005</v>
      </c>
      <c r="L2674" s="1930" t="s">
        <v>138</v>
      </c>
    </row>
    <row r="2675" spans="1:12" ht="13.5" x14ac:dyDescent="0.25">
      <c r="A2675" s="1930" t="s">
        <v>4590</v>
      </c>
      <c r="B2675" s="1930" t="s">
        <v>4591</v>
      </c>
      <c r="C2675" s="1930" t="s">
        <v>4600</v>
      </c>
      <c r="D2675" s="1930" t="s">
        <v>4601</v>
      </c>
      <c r="E2675" s="1931" t="s">
        <v>33</v>
      </c>
      <c r="F2675" s="1930" t="s">
        <v>33</v>
      </c>
      <c r="G2675" s="1932">
        <v>93669</v>
      </c>
      <c r="H2675" s="1930" t="s">
        <v>2025</v>
      </c>
      <c r="I2675" s="1930" t="s">
        <v>168</v>
      </c>
      <c r="J2675" s="1930" t="s">
        <v>320</v>
      </c>
      <c r="K2675" s="1933">
        <v>66.61</v>
      </c>
      <c r="L2675" s="1930" t="s">
        <v>138</v>
      </c>
    </row>
    <row r="2676" spans="1:12" ht="13.5" x14ac:dyDescent="0.25">
      <c r="A2676" s="1930" t="s">
        <v>4590</v>
      </c>
      <c r="B2676" s="1930" t="s">
        <v>4591</v>
      </c>
      <c r="C2676" s="1930" t="s">
        <v>4600</v>
      </c>
      <c r="D2676" s="1930" t="s">
        <v>4601</v>
      </c>
      <c r="E2676" s="1931" t="s">
        <v>33</v>
      </c>
      <c r="F2676" s="1930" t="s">
        <v>33</v>
      </c>
      <c r="G2676" s="1932">
        <v>93670</v>
      </c>
      <c r="H2676" s="1930" t="s">
        <v>2026</v>
      </c>
      <c r="I2676" s="1930" t="s">
        <v>168</v>
      </c>
      <c r="J2676" s="1930" t="s">
        <v>320</v>
      </c>
      <c r="K2676" s="1933">
        <v>66.61</v>
      </c>
      <c r="L2676" s="1930" t="s">
        <v>138</v>
      </c>
    </row>
    <row r="2677" spans="1:12" ht="13.5" x14ac:dyDescent="0.25">
      <c r="A2677" s="1930" t="s">
        <v>4590</v>
      </c>
      <c r="B2677" s="1930" t="s">
        <v>4591</v>
      </c>
      <c r="C2677" s="1930" t="s">
        <v>4600</v>
      </c>
      <c r="D2677" s="1930" t="s">
        <v>4601</v>
      </c>
      <c r="E2677" s="1931" t="s">
        <v>33</v>
      </c>
      <c r="F2677" s="1930" t="s">
        <v>33</v>
      </c>
      <c r="G2677" s="1932">
        <v>93671</v>
      </c>
      <c r="H2677" s="1930" t="s">
        <v>2027</v>
      </c>
      <c r="I2677" s="1930" t="s">
        <v>168</v>
      </c>
      <c r="J2677" s="1930" t="s">
        <v>320</v>
      </c>
      <c r="K2677" s="1933">
        <v>69.760000000000005</v>
      </c>
      <c r="L2677" s="1930" t="s">
        <v>138</v>
      </c>
    </row>
    <row r="2678" spans="1:12" ht="13.5" x14ac:dyDescent="0.25">
      <c r="A2678" s="1930" t="s">
        <v>4590</v>
      </c>
      <c r="B2678" s="1930" t="s">
        <v>4591</v>
      </c>
      <c r="C2678" s="1930" t="s">
        <v>4600</v>
      </c>
      <c r="D2678" s="1930" t="s">
        <v>4601</v>
      </c>
      <c r="E2678" s="1931" t="s">
        <v>33</v>
      </c>
      <c r="F2678" s="1930" t="s">
        <v>33</v>
      </c>
      <c r="G2678" s="1932">
        <v>93672</v>
      </c>
      <c r="H2678" s="1930" t="s">
        <v>2028</v>
      </c>
      <c r="I2678" s="1930" t="s">
        <v>168</v>
      </c>
      <c r="J2678" s="1930" t="s">
        <v>320</v>
      </c>
      <c r="K2678" s="1933">
        <v>74.83</v>
      </c>
      <c r="L2678" s="1930" t="s">
        <v>138</v>
      </c>
    </row>
    <row r="2679" spans="1:12" ht="13.5" x14ac:dyDescent="0.25">
      <c r="A2679" s="1930" t="s">
        <v>4590</v>
      </c>
      <c r="B2679" s="1930" t="s">
        <v>4591</v>
      </c>
      <c r="C2679" s="1930" t="s">
        <v>4600</v>
      </c>
      <c r="D2679" s="1930" t="s">
        <v>4601</v>
      </c>
      <c r="E2679" s="1931" t="s">
        <v>33</v>
      </c>
      <c r="F2679" s="1930" t="s">
        <v>33</v>
      </c>
      <c r="G2679" s="1932">
        <v>93673</v>
      </c>
      <c r="H2679" s="1930" t="s">
        <v>2029</v>
      </c>
      <c r="I2679" s="1930" t="s">
        <v>168</v>
      </c>
      <c r="J2679" s="1930" t="s">
        <v>320</v>
      </c>
      <c r="K2679" s="1933">
        <v>81.28</v>
      </c>
      <c r="L2679" s="1930" t="s">
        <v>138</v>
      </c>
    </row>
    <row r="2680" spans="1:12" ht="13.5" x14ac:dyDescent="0.25">
      <c r="A2680" s="1930" t="s">
        <v>4590</v>
      </c>
      <c r="B2680" s="1930" t="s">
        <v>4591</v>
      </c>
      <c r="C2680" s="1930" t="s">
        <v>4600</v>
      </c>
      <c r="D2680" s="1930" t="s">
        <v>4601</v>
      </c>
      <c r="E2680" s="1931" t="s">
        <v>33</v>
      </c>
      <c r="F2680" s="1930" t="s">
        <v>33</v>
      </c>
      <c r="G2680" s="1932">
        <v>97359</v>
      </c>
      <c r="H2680" s="1930" t="s">
        <v>14894</v>
      </c>
      <c r="I2680" s="1930" t="s">
        <v>168</v>
      </c>
      <c r="J2680" s="1930" t="s">
        <v>320</v>
      </c>
      <c r="K2680" s="1933">
        <v>2571.1</v>
      </c>
      <c r="L2680" s="1930" t="s">
        <v>138</v>
      </c>
    </row>
    <row r="2681" spans="1:12" ht="13.5" x14ac:dyDescent="0.25">
      <c r="A2681" s="1930" t="s">
        <v>4590</v>
      </c>
      <c r="B2681" s="1930" t="s">
        <v>4591</v>
      </c>
      <c r="C2681" s="1930" t="s">
        <v>4600</v>
      </c>
      <c r="D2681" s="1930" t="s">
        <v>4601</v>
      </c>
      <c r="E2681" s="1931" t="s">
        <v>33</v>
      </c>
      <c r="F2681" s="1930" t="s">
        <v>33</v>
      </c>
      <c r="G2681" s="1932">
        <v>97360</v>
      </c>
      <c r="H2681" s="1930" t="s">
        <v>14895</v>
      </c>
      <c r="I2681" s="1930" t="s">
        <v>168</v>
      </c>
      <c r="J2681" s="1930" t="s">
        <v>320</v>
      </c>
      <c r="K2681" s="1933">
        <v>4953.79</v>
      </c>
      <c r="L2681" s="1930" t="s">
        <v>138</v>
      </c>
    </row>
    <row r="2682" spans="1:12" ht="13.5" x14ac:dyDescent="0.25">
      <c r="A2682" s="1930" t="s">
        <v>4590</v>
      </c>
      <c r="B2682" s="1930" t="s">
        <v>4591</v>
      </c>
      <c r="C2682" s="1930" t="s">
        <v>4600</v>
      </c>
      <c r="D2682" s="1930" t="s">
        <v>4601</v>
      </c>
      <c r="E2682" s="1931" t="s">
        <v>33</v>
      </c>
      <c r="F2682" s="1930" t="s">
        <v>33</v>
      </c>
      <c r="G2682" s="1932">
        <v>97361</v>
      </c>
      <c r="H2682" s="1930" t="s">
        <v>14896</v>
      </c>
      <c r="I2682" s="1930" t="s">
        <v>168</v>
      </c>
      <c r="J2682" s="1930" t="s">
        <v>320</v>
      </c>
      <c r="K2682" s="1933">
        <v>6605.05</v>
      </c>
      <c r="L2682" s="1930" t="s">
        <v>138</v>
      </c>
    </row>
    <row r="2683" spans="1:12" ht="13.5" x14ac:dyDescent="0.25">
      <c r="A2683" s="1930" t="s">
        <v>4590</v>
      </c>
      <c r="B2683" s="1930" t="s">
        <v>4591</v>
      </c>
      <c r="C2683" s="1930" t="s">
        <v>4604</v>
      </c>
      <c r="D2683" s="1930" t="s">
        <v>4605</v>
      </c>
      <c r="E2683" s="1931" t="s">
        <v>33</v>
      </c>
      <c r="F2683" s="1930" t="s">
        <v>33</v>
      </c>
      <c r="G2683" s="1932">
        <v>91945</v>
      </c>
      <c r="H2683" s="1930" t="s">
        <v>2030</v>
      </c>
      <c r="I2683" s="1930" t="s">
        <v>168</v>
      </c>
      <c r="J2683" s="1930" t="s">
        <v>320</v>
      </c>
      <c r="K2683" s="1933">
        <v>7.79</v>
      </c>
      <c r="L2683" s="1930" t="s">
        <v>138</v>
      </c>
    </row>
    <row r="2684" spans="1:12" ht="13.5" x14ac:dyDescent="0.25">
      <c r="A2684" s="1930" t="s">
        <v>4590</v>
      </c>
      <c r="B2684" s="1930" t="s">
        <v>4591</v>
      </c>
      <c r="C2684" s="1930" t="s">
        <v>4604</v>
      </c>
      <c r="D2684" s="1930" t="s">
        <v>4605</v>
      </c>
      <c r="E2684" s="1931" t="s">
        <v>33</v>
      </c>
      <c r="F2684" s="1930" t="s">
        <v>33</v>
      </c>
      <c r="G2684" s="1932">
        <v>91946</v>
      </c>
      <c r="H2684" s="1930" t="s">
        <v>2031</v>
      </c>
      <c r="I2684" s="1930" t="s">
        <v>168</v>
      </c>
      <c r="J2684" s="1930" t="s">
        <v>320</v>
      </c>
      <c r="K2684" s="1933">
        <v>6.61</v>
      </c>
      <c r="L2684" s="1930" t="s">
        <v>138</v>
      </c>
    </row>
    <row r="2685" spans="1:12" ht="13.5" x14ac:dyDescent="0.25">
      <c r="A2685" s="1930" t="s">
        <v>4590</v>
      </c>
      <c r="B2685" s="1930" t="s">
        <v>4591</v>
      </c>
      <c r="C2685" s="1930" t="s">
        <v>4604</v>
      </c>
      <c r="D2685" s="1930" t="s">
        <v>4605</v>
      </c>
      <c r="E2685" s="1931" t="s">
        <v>33</v>
      </c>
      <c r="F2685" s="1930" t="s">
        <v>33</v>
      </c>
      <c r="G2685" s="1932">
        <v>91947</v>
      </c>
      <c r="H2685" s="1930" t="s">
        <v>2032</v>
      </c>
      <c r="I2685" s="1930" t="s">
        <v>168</v>
      </c>
      <c r="J2685" s="1930" t="s">
        <v>320</v>
      </c>
      <c r="K2685" s="1933">
        <v>5.87</v>
      </c>
      <c r="L2685" s="1930" t="s">
        <v>138</v>
      </c>
    </row>
    <row r="2686" spans="1:12" ht="13.5" x14ac:dyDescent="0.25">
      <c r="A2686" s="1930" t="s">
        <v>4590</v>
      </c>
      <c r="B2686" s="1930" t="s">
        <v>4591</v>
      </c>
      <c r="C2686" s="1930" t="s">
        <v>4604</v>
      </c>
      <c r="D2686" s="1930" t="s">
        <v>4605</v>
      </c>
      <c r="E2686" s="1931" t="s">
        <v>33</v>
      </c>
      <c r="F2686" s="1930" t="s">
        <v>33</v>
      </c>
      <c r="G2686" s="1932">
        <v>91949</v>
      </c>
      <c r="H2686" s="1930" t="s">
        <v>2033</v>
      </c>
      <c r="I2686" s="1930" t="s">
        <v>168</v>
      </c>
      <c r="J2686" s="1930" t="s">
        <v>320</v>
      </c>
      <c r="K2686" s="1933">
        <v>12.15</v>
      </c>
      <c r="L2686" s="1930" t="s">
        <v>138</v>
      </c>
    </row>
    <row r="2687" spans="1:12" ht="13.5" x14ac:dyDescent="0.25">
      <c r="A2687" s="1930" t="s">
        <v>4590</v>
      </c>
      <c r="B2687" s="1930" t="s">
        <v>4591</v>
      </c>
      <c r="C2687" s="1930" t="s">
        <v>4604</v>
      </c>
      <c r="D2687" s="1930" t="s">
        <v>4605</v>
      </c>
      <c r="E2687" s="1931" t="s">
        <v>33</v>
      </c>
      <c r="F2687" s="1930" t="s">
        <v>33</v>
      </c>
      <c r="G2687" s="1932">
        <v>91950</v>
      </c>
      <c r="H2687" s="1930" t="s">
        <v>2034</v>
      </c>
      <c r="I2687" s="1930" t="s">
        <v>168</v>
      </c>
      <c r="J2687" s="1930" t="s">
        <v>320</v>
      </c>
      <c r="K2687" s="1933">
        <v>10.72</v>
      </c>
      <c r="L2687" s="1930" t="s">
        <v>138</v>
      </c>
    </row>
    <row r="2688" spans="1:12" ht="13.5" x14ac:dyDescent="0.25">
      <c r="A2688" s="1930" t="s">
        <v>4590</v>
      </c>
      <c r="B2688" s="1930" t="s">
        <v>4591</v>
      </c>
      <c r="C2688" s="1930" t="s">
        <v>4604</v>
      </c>
      <c r="D2688" s="1930" t="s">
        <v>4605</v>
      </c>
      <c r="E2688" s="1931" t="s">
        <v>33</v>
      </c>
      <c r="F2688" s="1930" t="s">
        <v>33</v>
      </c>
      <c r="G2688" s="1932">
        <v>91951</v>
      </c>
      <c r="H2688" s="1930" t="s">
        <v>2035</v>
      </c>
      <c r="I2688" s="1930" t="s">
        <v>168</v>
      </c>
      <c r="J2688" s="1930" t="s">
        <v>320</v>
      </c>
      <c r="K2688" s="1933">
        <v>9.8699999999999992</v>
      </c>
      <c r="L2688" s="1930" t="s">
        <v>138</v>
      </c>
    </row>
    <row r="2689" spans="1:12" ht="13.5" x14ac:dyDescent="0.25">
      <c r="A2689" s="1930" t="s">
        <v>4590</v>
      </c>
      <c r="B2689" s="1930" t="s">
        <v>4591</v>
      </c>
      <c r="C2689" s="1930" t="s">
        <v>4604</v>
      </c>
      <c r="D2689" s="1930" t="s">
        <v>4605</v>
      </c>
      <c r="E2689" s="1931" t="s">
        <v>33</v>
      </c>
      <c r="F2689" s="1930" t="s">
        <v>33</v>
      </c>
      <c r="G2689" s="1932">
        <v>91952</v>
      </c>
      <c r="H2689" s="1930" t="s">
        <v>2036</v>
      </c>
      <c r="I2689" s="1930" t="s">
        <v>168</v>
      </c>
      <c r="J2689" s="1930" t="s">
        <v>320</v>
      </c>
      <c r="K2689" s="1933">
        <v>14.52</v>
      </c>
      <c r="L2689" s="1930" t="s">
        <v>138</v>
      </c>
    </row>
    <row r="2690" spans="1:12" ht="13.5" x14ac:dyDescent="0.25">
      <c r="A2690" s="1930" t="s">
        <v>4590</v>
      </c>
      <c r="B2690" s="1930" t="s">
        <v>4591</v>
      </c>
      <c r="C2690" s="1930" t="s">
        <v>4604</v>
      </c>
      <c r="D2690" s="1930" t="s">
        <v>4605</v>
      </c>
      <c r="E2690" s="1931" t="s">
        <v>33</v>
      </c>
      <c r="F2690" s="1930" t="s">
        <v>33</v>
      </c>
      <c r="G2690" s="1932">
        <v>91953</v>
      </c>
      <c r="H2690" s="1930" t="s">
        <v>2037</v>
      </c>
      <c r="I2690" s="1930" t="s">
        <v>168</v>
      </c>
      <c r="J2690" s="1930" t="s">
        <v>320</v>
      </c>
      <c r="K2690" s="1933">
        <v>21.13</v>
      </c>
      <c r="L2690" s="1930" t="s">
        <v>138</v>
      </c>
    </row>
    <row r="2691" spans="1:12" ht="13.5" x14ac:dyDescent="0.25">
      <c r="A2691" s="1930" t="s">
        <v>4590</v>
      </c>
      <c r="B2691" s="1930" t="s">
        <v>4591</v>
      </c>
      <c r="C2691" s="1930" t="s">
        <v>4604</v>
      </c>
      <c r="D2691" s="1930" t="s">
        <v>4605</v>
      </c>
      <c r="E2691" s="1931" t="s">
        <v>33</v>
      </c>
      <c r="F2691" s="1930" t="s">
        <v>33</v>
      </c>
      <c r="G2691" s="1932">
        <v>91954</v>
      </c>
      <c r="H2691" s="1930" t="s">
        <v>2038</v>
      </c>
      <c r="I2691" s="1930" t="s">
        <v>168</v>
      </c>
      <c r="J2691" s="1930" t="s">
        <v>320</v>
      </c>
      <c r="K2691" s="1933">
        <v>19.47</v>
      </c>
      <c r="L2691" s="1930" t="s">
        <v>138</v>
      </c>
    </row>
    <row r="2692" spans="1:12" ht="13.5" x14ac:dyDescent="0.25">
      <c r="A2692" s="1930" t="s">
        <v>4590</v>
      </c>
      <c r="B2692" s="1930" t="s">
        <v>4591</v>
      </c>
      <c r="C2692" s="1930" t="s">
        <v>4604</v>
      </c>
      <c r="D2692" s="1930" t="s">
        <v>4605</v>
      </c>
      <c r="E2692" s="1931" t="s">
        <v>33</v>
      </c>
      <c r="F2692" s="1930" t="s">
        <v>33</v>
      </c>
      <c r="G2692" s="1932">
        <v>91955</v>
      </c>
      <c r="H2692" s="1930" t="s">
        <v>2039</v>
      </c>
      <c r="I2692" s="1930" t="s">
        <v>168</v>
      </c>
      <c r="J2692" s="1930" t="s">
        <v>320</v>
      </c>
      <c r="K2692" s="1933">
        <v>26.08</v>
      </c>
      <c r="L2692" s="1930" t="s">
        <v>138</v>
      </c>
    </row>
    <row r="2693" spans="1:12" ht="13.5" x14ac:dyDescent="0.25">
      <c r="A2693" s="1930" t="s">
        <v>4590</v>
      </c>
      <c r="B2693" s="1930" t="s">
        <v>4591</v>
      </c>
      <c r="C2693" s="1930" t="s">
        <v>4604</v>
      </c>
      <c r="D2693" s="1930" t="s">
        <v>4605</v>
      </c>
      <c r="E2693" s="1931" t="s">
        <v>33</v>
      </c>
      <c r="F2693" s="1930" t="s">
        <v>33</v>
      </c>
      <c r="G2693" s="1932">
        <v>91956</v>
      </c>
      <c r="H2693" s="1930" t="s">
        <v>2040</v>
      </c>
      <c r="I2693" s="1930" t="s">
        <v>168</v>
      </c>
      <c r="J2693" s="1930" t="s">
        <v>320</v>
      </c>
      <c r="K2693" s="1933">
        <v>31.78</v>
      </c>
      <c r="L2693" s="1930" t="s">
        <v>138</v>
      </c>
    </row>
    <row r="2694" spans="1:12" ht="13.5" x14ac:dyDescent="0.25">
      <c r="A2694" s="1930" t="s">
        <v>4590</v>
      </c>
      <c r="B2694" s="1930" t="s">
        <v>4591</v>
      </c>
      <c r="C2694" s="1930" t="s">
        <v>4604</v>
      </c>
      <c r="D2694" s="1930" t="s">
        <v>4605</v>
      </c>
      <c r="E2694" s="1931" t="s">
        <v>33</v>
      </c>
      <c r="F2694" s="1930" t="s">
        <v>33</v>
      </c>
      <c r="G2694" s="1932">
        <v>91957</v>
      </c>
      <c r="H2694" s="1930" t="s">
        <v>2041</v>
      </c>
      <c r="I2694" s="1930" t="s">
        <v>168</v>
      </c>
      <c r="J2694" s="1930" t="s">
        <v>320</v>
      </c>
      <c r="K2694" s="1933">
        <v>38.39</v>
      </c>
      <c r="L2694" s="1930" t="s">
        <v>138</v>
      </c>
    </row>
    <row r="2695" spans="1:12" ht="13.5" x14ac:dyDescent="0.25">
      <c r="A2695" s="1930" t="s">
        <v>4590</v>
      </c>
      <c r="B2695" s="1930" t="s">
        <v>4591</v>
      </c>
      <c r="C2695" s="1930" t="s">
        <v>4604</v>
      </c>
      <c r="D2695" s="1930" t="s">
        <v>4605</v>
      </c>
      <c r="E2695" s="1931" t="s">
        <v>33</v>
      </c>
      <c r="F2695" s="1930" t="s">
        <v>33</v>
      </c>
      <c r="G2695" s="1932">
        <v>91958</v>
      </c>
      <c r="H2695" s="1930" t="s">
        <v>2042</v>
      </c>
      <c r="I2695" s="1930" t="s">
        <v>168</v>
      </c>
      <c r="J2695" s="1930" t="s">
        <v>320</v>
      </c>
      <c r="K2695" s="1933">
        <v>26.86</v>
      </c>
      <c r="L2695" s="1930" t="s">
        <v>138</v>
      </c>
    </row>
    <row r="2696" spans="1:12" ht="13.5" x14ac:dyDescent="0.25">
      <c r="A2696" s="1930" t="s">
        <v>4590</v>
      </c>
      <c r="B2696" s="1930" t="s">
        <v>4591</v>
      </c>
      <c r="C2696" s="1930" t="s">
        <v>4604</v>
      </c>
      <c r="D2696" s="1930" t="s">
        <v>4605</v>
      </c>
      <c r="E2696" s="1931" t="s">
        <v>33</v>
      </c>
      <c r="F2696" s="1930" t="s">
        <v>33</v>
      </c>
      <c r="G2696" s="1932">
        <v>91959</v>
      </c>
      <c r="H2696" s="1930" t="s">
        <v>2043</v>
      </c>
      <c r="I2696" s="1930" t="s">
        <v>168</v>
      </c>
      <c r="J2696" s="1930" t="s">
        <v>320</v>
      </c>
      <c r="K2696" s="1933">
        <v>33.47</v>
      </c>
      <c r="L2696" s="1930" t="s">
        <v>138</v>
      </c>
    </row>
    <row r="2697" spans="1:12" ht="13.5" x14ac:dyDescent="0.25">
      <c r="A2697" s="1930" t="s">
        <v>4590</v>
      </c>
      <c r="B2697" s="1930" t="s">
        <v>4591</v>
      </c>
      <c r="C2697" s="1930" t="s">
        <v>4604</v>
      </c>
      <c r="D2697" s="1930" t="s">
        <v>4605</v>
      </c>
      <c r="E2697" s="1931" t="s">
        <v>33</v>
      </c>
      <c r="F2697" s="1930" t="s">
        <v>33</v>
      </c>
      <c r="G2697" s="1932">
        <v>91960</v>
      </c>
      <c r="H2697" s="1930" t="s">
        <v>2044</v>
      </c>
      <c r="I2697" s="1930" t="s">
        <v>168</v>
      </c>
      <c r="J2697" s="1930" t="s">
        <v>320</v>
      </c>
      <c r="K2697" s="1933">
        <v>36.729999999999997</v>
      </c>
      <c r="L2697" s="1930" t="s">
        <v>138</v>
      </c>
    </row>
    <row r="2698" spans="1:12" ht="13.5" x14ac:dyDescent="0.25">
      <c r="A2698" s="1930" t="s">
        <v>4590</v>
      </c>
      <c r="B2698" s="1930" t="s">
        <v>4591</v>
      </c>
      <c r="C2698" s="1930" t="s">
        <v>4604</v>
      </c>
      <c r="D2698" s="1930" t="s">
        <v>4605</v>
      </c>
      <c r="E2698" s="1931" t="s">
        <v>33</v>
      </c>
      <c r="F2698" s="1930" t="s">
        <v>33</v>
      </c>
      <c r="G2698" s="1932">
        <v>91961</v>
      </c>
      <c r="H2698" s="1930" t="s">
        <v>2045</v>
      </c>
      <c r="I2698" s="1930" t="s">
        <v>168</v>
      </c>
      <c r="J2698" s="1930" t="s">
        <v>320</v>
      </c>
      <c r="K2698" s="1933">
        <v>43.34</v>
      </c>
      <c r="L2698" s="1930" t="s">
        <v>138</v>
      </c>
    </row>
    <row r="2699" spans="1:12" ht="13.5" x14ac:dyDescent="0.25">
      <c r="A2699" s="1930" t="s">
        <v>4590</v>
      </c>
      <c r="B2699" s="1930" t="s">
        <v>4591</v>
      </c>
      <c r="C2699" s="1930" t="s">
        <v>4604</v>
      </c>
      <c r="D2699" s="1930" t="s">
        <v>4605</v>
      </c>
      <c r="E2699" s="1931" t="s">
        <v>33</v>
      </c>
      <c r="F2699" s="1930" t="s">
        <v>33</v>
      </c>
      <c r="G2699" s="1932">
        <v>91962</v>
      </c>
      <c r="H2699" s="1930" t="s">
        <v>2046</v>
      </c>
      <c r="I2699" s="1930" t="s">
        <v>168</v>
      </c>
      <c r="J2699" s="1930" t="s">
        <v>320</v>
      </c>
      <c r="K2699" s="1933">
        <v>49.07</v>
      </c>
      <c r="L2699" s="1930" t="s">
        <v>138</v>
      </c>
    </row>
    <row r="2700" spans="1:12" ht="13.5" x14ac:dyDescent="0.25">
      <c r="A2700" s="1930" t="s">
        <v>4590</v>
      </c>
      <c r="B2700" s="1930" t="s">
        <v>4591</v>
      </c>
      <c r="C2700" s="1930" t="s">
        <v>4604</v>
      </c>
      <c r="D2700" s="1930" t="s">
        <v>4605</v>
      </c>
      <c r="E2700" s="1931" t="s">
        <v>33</v>
      </c>
      <c r="F2700" s="1930" t="s">
        <v>33</v>
      </c>
      <c r="G2700" s="1932">
        <v>91963</v>
      </c>
      <c r="H2700" s="1930" t="s">
        <v>2047</v>
      </c>
      <c r="I2700" s="1930" t="s">
        <v>168</v>
      </c>
      <c r="J2700" s="1930" t="s">
        <v>320</v>
      </c>
      <c r="K2700" s="1933">
        <v>55.68</v>
      </c>
      <c r="L2700" s="1930" t="s">
        <v>138</v>
      </c>
    </row>
    <row r="2701" spans="1:12" ht="13.5" x14ac:dyDescent="0.25">
      <c r="A2701" s="1930" t="s">
        <v>4590</v>
      </c>
      <c r="B2701" s="1930" t="s">
        <v>4591</v>
      </c>
      <c r="C2701" s="1930" t="s">
        <v>4604</v>
      </c>
      <c r="D2701" s="1930" t="s">
        <v>4605</v>
      </c>
      <c r="E2701" s="1931" t="s">
        <v>33</v>
      </c>
      <c r="F2701" s="1930" t="s">
        <v>33</v>
      </c>
      <c r="G2701" s="1932">
        <v>91964</v>
      </c>
      <c r="H2701" s="1930" t="s">
        <v>2048</v>
      </c>
      <c r="I2701" s="1930" t="s">
        <v>168</v>
      </c>
      <c r="J2701" s="1930" t="s">
        <v>320</v>
      </c>
      <c r="K2701" s="1933">
        <v>44.13</v>
      </c>
      <c r="L2701" s="1930" t="s">
        <v>138</v>
      </c>
    </row>
    <row r="2702" spans="1:12" ht="13.5" x14ac:dyDescent="0.25">
      <c r="A2702" s="1930" t="s">
        <v>4590</v>
      </c>
      <c r="B2702" s="1930" t="s">
        <v>4591</v>
      </c>
      <c r="C2702" s="1930" t="s">
        <v>4604</v>
      </c>
      <c r="D2702" s="1930" t="s">
        <v>4605</v>
      </c>
      <c r="E2702" s="1931" t="s">
        <v>33</v>
      </c>
      <c r="F2702" s="1930" t="s">
        <v>33</v>
      </c>
      <c r="G2702" s="1932">
        <v>91965</v>
      </c>
      <c r="H2702" s="1930" t="s">
        <v>2049</v>
      </c>
      <c r="I2702" s="1930" t="s">
        <v>168</v>
      </c>
      <c r="J2702" s="1930" t="s">
        <v>320</v>
      </c>
      <c r="K2702" s="1933">
        <v>50.74</v>
      </c>
      <c r="L2702" s="1930" t="s">
        <v>138</v>
      </c>
    </row>
    <row r="2703" spans="1:12" ht="13.5" x14ac:dyDescent="0.25">
      <c r="A2703" s="1930" t="s">
        <v>4590</v>
      </c>
      <c r="B2703" s="1930" t="s">
        <v>4591</v>
      </c>
      <c r="C2703" s="1930" t="s">
        <v>4604</v>
      </c>
      <c r="D2703" s="1930" t="s">
        <v>4605</v>
      </c>
      <c r="E2703" s="1931" t="s">
        <v>33</v>
      </c>
      <c r="F2703" s="1930" t="s">
        <v>33</v>
      </c>
      <c r="G2703" s="1932">
        <v>91966</v>
      </c>
      <c r="H2703" s="1930" t="s">
        <v>2050</v>
      </c>
      <c r="I2703" s="1930" t="s">
        <v>168</v>
      </c>
      <c r="J2703" s="1930" t="s">
        <v>320</v>
      </c>
      <c r="K2703" s="1933">
        <v>39.22</v>
      </c>
      <c r="L2703" s="1930" t="s">
        <v>138</v>
      </c>
    </row>
    <row r="2704" spans="1:12" ht="13.5" x14ac:dyDescent="0.25">
      <c r="A2704" s="1930" t="s">
        <v>4590</v>
      </c>
      <c r="B2704" s="1930" t="s">
        <v>4591</v>
      </c>
      <c r="C2704" s="1930" t="s">
        <v>4604</v>
      </c>
      <c r="D2704" s="1930" t="s">
        <v>4605</v>
      </c>
      <c r="E2704" s="1931" t="s">
        <v>33</v>
      </c>
      <c r="F2704" s="1930" t="s">
        <v>33</v>
      </c>
      <c r="G2704" s="1932">
        <v>91967</v>
      </c>
      <c r="H2704" s="1930" t="s">
        <v>2051</v>
      </c>
      <c r="I2704" s="1930" t="s">
        <v>168</v>
      </c>
      <c r="J2704" s="1930" t="s">
        <v>320</v>
      </c>
      <c r="K2704" s="1933">
        <v>45.83</v>
      </c>
      <c r="L2704" s="1930" t="s">
        <v>138</v>
      </c>
    </row>
    <row r="2705" spans="1:12" ht="13.5" x14ac:dyDescent="0.25">
      <c r="A2705" s="1930" t="s">
        <v>4590</v>
      </c>
      <c r="B2705" s="1930" t="s">
        <v>4591</v>
      </c>
      <c r="C2705" s="1930" t="s">
        <v>4604</v>
      </c>
      <c r="D2705" s="1930" t="s">
        <v>4605</v>
      </c>
      <c r="E2705" s="1931" t="s">
        <v>33</v>
      </c>
      <c r="F2705" s="1930" t="s">
        <v>33</v>
      </c>
      <c r="G2705" s="1932">
        <v>91968</v>
      </c>
      <c r="H2705" s="1930" t="s">
        <v>2052</v>
      </c>
      <c r="I2705" s="1930" t="s">
        <v>168</v>
      </c>
      <c r="J2705" s="1930" t="s">
        <v>320</v>
      </c>
      <c r="K2705" s="1933">
        <v>53.98</v>
      </c>
      <c r="L2705" s="1930" t="s">
        <v>138</v>
      </c>
    </row>
    <row r="2706" spans="1:12" ht="13.5" x14ac:dyDescent="0.25">
      <c r="A2706" s="1930" t="s">
        <v>4590</v>
      </c>
      <c r="B2706" s="1930" t="s">
        <v>4591</v>
      </c>
      <c r="C2706" s="1930" t="s">
        <v>4604</v>
      </c>
      <c r="D2706" s="1930" t="s">
        <v>4605</v>
      </c>
      <c r="E2706" s="1931" t="s">
        <v>33</v>
      </c>
      <c r="F2706" s="1930" t="s">
        <v>33</v>
      </c>
      <c r="G2706" s="1932">
        <v>91969</v>
      </c>
      <c r="H2706" s="1930" t="s">
        <v>2053</v>
      </c>
      <c r="I2706" s="1930" t="s">
        <v>168</v>
      </c>
      <c r="J2706" s="1930" t="s">
        <v>320</v>
      </c>
      <c r="K2706" s="1933">
        <v>60.59</v>
      </c>
      <c r="L2706" s="1930" t="s">
        <v>138</v>
      </c>
    </row>
    <row r="2707" spans="1:12" ht="13.5" x14ac:dyDescent="0.25">
      <c r="A2707" s="1930" t="s">
        <v>4590</v>
      </c>
      <c r="B2707" s="1930" t="s">
        <v>4591</v>
      </c>
      <c r="C2707" s="1930" t="s">
        <v>4604</v>
      </c>
      <c r="D2707" s="1930" t="s">
        <v>4605</v>
      </c>
      <c r="E2707" s="1931" t="s">
        <v>33</v>
      </c>
      <c r="F2707" s="1930" t="s">
        <v>33</v>
      </c>
      <c r="G2707" s="1932">
        <v>91970</v>
      </c>
      <c r="H2707" s="1930" t="s">
        <v>2054</v>
      </c>
      <c r="I2707" s="1930" t="s">
        <v>168</v>
      </c>
      <c r="J2707" s="1930" t="s">
        <v>320</v>
      </c>
      <c r="K2707" s="1933">
        <v>56.73</v>
      </c>
      <c r="L2707" s="1930" t="s">
        <v>138</v>
      </c>
    </row>
    <row r="2708" spans="1:12" ht="13.5" x14ac:dyDescent="0.25">
      <c r="A2708" s="1930" t="s">
        <v>4590</v>
      </c>
      <c r="B2708" s="1930" t="s">
        <v>4591</v>
      </c>
      <c r="C2708" s="1930" t="s">
        <v>4604</v>
      </c>
      <c r="D2708" s="1930" t="s">
        <v>4605</v>
      </c>
      <c r="E2708" s="1931" t="s">
        <v>33</v>
      </c>
      <c r="F2708" s="1930" t="s">
        <v>33</v>
      </c>
      <c r="G2708" s="1932">
        <v>91971</v>
      </c>
      <c r="H2708" s="1930" t="s">
        <v>2055</v>
      </c>
      <c r="I2708" s="1930" t="s">
        <v>168</v>
      </c>
      <c r="J2708" s="1930" t="s">
        <v>320</v>
      </c>
      <c r="K2708" s="1933">
        <v>67.45</v>
      </c>
      <c r="L2708" s="1930" t="s">
        <v>138</v>
      </c>
    </row>
    <row r="2709" spans="1:12" ht="13.5" x14ac:dyDescent="0.25">
      <c r="A2709" s="1930" t="s">
        <v>4590</v>
      </c>
      <c r="B2709" s="1930" t="s">
        <v>4591</v>
      </c>
      <c r="C2709" s="1930" t="s">
        <v>4604</v>
      </c>
      <c r="D2709" s="1930" t="s">
        <v>4605</v>
      </c>
      <c r="E2709" s="1931" t="s">
        <v>33</v>
      </c>
      <c r="F2709" s="1930" t="s">
        <v>33</v>
      </c>
      <c r="G2709" s="1932">
        <v>91972</v>
      </c>
      <c r="H2709" s="1930" t="s">
        <v>2056</v>
      </c>
      <c r="I2709" s="1930" t="s">
        <v>168</v>
      </c>
      <c r="J2709" s="1930" t="s">
        <v>320</v>
      </c>
      <c r="K2709" s="1933">
        <v>61.67</v>
      </c>
      <c r="L2709" s="1930" t="s">
        <v>138</v>
      </c>
    </row>
    <row r="2710" spans="1:12" ht="13.5" x14ac:dyDescent="0.25">
      <c r="A2710" s="1930" t="s">
        <v>4590</v>
      </c>
      <c r="B2710" s="1930" t="s">
        <v>4591</v>
      </c>
      <c r="C2710" s="1930" t="s">
        <v>4604</v>
      </c>
      <c r="D2710" s="1930" t="s">
        <v>4605</v>
      </c>
      <c r="E2710" s="1931" t="s">
        <v>33</v>
      </c>
      <c r="F2710" s="1930" t="s">
        <v>33</v>
      </c>
      <c r="G2710" s="1932">
        <v>91973</v>
      </c>
      <c r="H2710" s="1930" t="s">
        <v>2057</v>
      </c>
      <c r="I2710" s="1930" t="s">
        <v>168</v>
      </c>
      <c r="J2710" s="1930" t="s">
        <v>320</v>
      </c>
      <c r="K2710" s="1933">
        <v>72.39</v>
      </c>
      <c r="L2710" s="1930" t="s">
        <v>138</v>
      </c>
    </row>
    <row r="2711" spans="1:12" ht="13.5" x14ac:dyDescent="0.25">
      <c r="A2711" s="1930" t="s">
        <v>4590</v>
      </c>
      <c r="B2711" s="1930" t="s">
        <v>4591</v>
      </c>
      <c r="C2711" s="1930" t="s">
        <v>4604</v>
      </c>
      <c r="D2711" s="1930" t="s">
        <v>4605</v>
      </c>
      <c r="E2711" s="1931" t="s">
        <v>33</v>
      </c>
      <c r="F2711" s="1930" t="s">
        <v>33</v>
      </c>
      <c r="G2711" s="1932">
        <v>91974</v>
      </c>
      <c r="H2711" s="1930" t="s">
        <v>2058</v>
      </c>
      <c r="I2711" s="1930" t="s">
        <v>168</v>
      </c>
      <c r="J2711" s="1930" t="s">
        <v>320</v>
      </c>
      <c r="K2711" s="1933">
        <v>51.78</v>
      </c>
      <c r="L2711" s="1930" t="s">
        <v>138</v>
      </c>
    </row>
    <row r="2712" spans="1:12" ht="13.5" x14ac:dyDescent="0.25">
      <c r="A2712" s="1930" t="s">
        <v>4590</v>
      </c>
      <c r="B2712" s="1930" t="s">
        <v>4591</v>
      </c>
      <c r="C2712" s="1930" t="s">
        <v>4604</v>
      </c>
      <c r="D2712" s="1930" t="s">
        <v>4605</v>
      </c>
      <c r="E2712" s="1931" t="s">
        <v>33</v>
      </c>
      <c r="F2712" s="1930" t="s">
        <v>33</v>
      </c>
      <c r="G2712" s="1932">
        <v>91975</v>
      </c>
      <c r="H2712" s="1930" t="s">
        <v>2059</v>
      </c>
      <c r="I2712" s="1930" t="s">
        <v>168</v>
      </c>
      <c r="J2712" s="1930" t="s">
        <v>320</v>
      </c>
      <c r="K2712" s="1933">
        <v>62.5</v>
      </c>
      <c r="L2712" s="1930" t="s">
        <v>138</v>
      </c>
    </row>
    <row r="2713" spans="1:12" ht="13.5" x14ac:dyDescent="0.25">
      <c r="A2713" s="1930" t="s">
        <v>4590</v>
      </c>
      <c r="B2713" s="1930" t="s">
        <v>4591</v>
      </c>
      <c r="C2713" s="1930" t="s">
        <v>4604</v>
      </c>
      <c r="D2713" s="1930" t="s">
        <v>4605</v>
      </c>
      <c r="E2713" s="1931" t="s">
        <v>33</v>
      </c>
      <c r="F2713" s="1930" t="s">
        <v>33</v>
      </c>
      <c r="G2713" s="1932">
        <v>91976</v>
      </c>
      <c r="H2713" s="1930" t="s">
        <v>2060</v>
      </c>
      <c r="I2713" s="1930" t="s">
        <v>168</v>
      </c>
      <c r="J2713" s="1930" t="s">
        <v>320</v>
      </c>
      <c r="K2713" s="1933">
        <v>76.540000000000006</v>
      </c>
      <c r="L2713" s="1930" t="s">
        <v>138</v>
      </c>
    </row>
    <row r="2714" spans="1:12" ht="13.5" x14ac:dyDescent="0.25">
      <c r="A2714" s="1930" t="s">
        <v>4590</v>
      </c>
      <c r="B2714" s="1930" t="s">
        <v>4591</v>
      </c>
      <c r="C2714" s="1930" t="s">
        <v>4604</v>
      </c>
      <c r="D2714" s="1930" t="s">
        <v>4605</v>
      </c>
      <c r="E2714" s="1931" t="s">
        <v>33</v>
      </c>
      <c r="F2714" s="1930" t="s">
        <v>33</v>
      </c>
      <c r="G2714" s="1932">
        <v>91977</v>
      </c>
      <c r="H2714" s="1930" t="s">
        <v>2061</v>
      </c>
      <c r="I2714" s="1930" t="s">
        <v>168</v>
      </c>
      <c r="J2714" s="1930" t="s">
        <v>320</v>
      </c>
      <c r="K2714" s="1933">
        <v>87.26</v>
      </c>
      <c r="L2714" s="1930" t="s">
        <v>138</v>
      </c>
    </row>
    <row r="2715" spans="1:12" ht="13.5" x14ac:dyDescent="0.25">
      <c r="A2715" s="1930" t="s">
        <v>4590</v>
      </c>
      <c r="B2715" s="1930" t="s">
        <v>4591</v>
      </c>
      <c r="C2715" s="1930" t="s">
        <v>4604</v>
      </c>
      <c r="D2715" s="1930" t="s">
        <v>4605</v>
      </c>
      <c r="E2715" s="1931" t="s">
        <v>33</v>
      </c>
      <c r="F2715" s="1930" t="s">
        <v>33</v>
      </c>
      <c r="G2715" s="1932">
        <v>91978</v>
      </c>
      <c r="H2715" s="1930" t="s">
        <v>2062</v>
      </c>
      <c r="I2715" s="1930" t="s">
        <v>168</v>
      </c>
      <c r="J2715" s="1930" t="s">
        <v>320</v>
      </c>
      <c r="K2715" s="1933">
        <v>31.74</v>
      </c>
      <c r="L2715" s="1930" t="s">
        <v>138</v>
      </c>
    </row>
    <row r="2716" spans="1:12" ht="13.5" x14ac:dyDescent="0.25">
      <c r="A2716" s="1930" t="s">
        <v>4590</v>
      </c>
      <c r="B2716" s="1930" t="s">
        <v>4591</v>
      </c>
      <c r="C2716" s="1930" t="s">
        <v>4604</v>
      </c>
      <c r="D2716" s="1930" t="s">
        <v>4605</v>
      </c>
      <c r="E2716" s="1931" t="s">
        <v>33</v>
      </c>
      <c r="F2716" s="1930" t="s">
        <v>33</v>
      </c>
      <c r="G2716" s="1932">
        <v>91979</v>
      </c>
      <c r="H2716" s="1930" t="s">
        <v>2063</v>
      </c>
      <c r="I2716" s="1930" t="s">
        <v>168</v>
      </c>
      <c r="J2716" s="1930" t="s">
        <v>320</v>
      </c>
      <c r="K2716" s="1933">
        <v>38.35</v>
      </c>
      <c r="L2716" s="1930" t="s">
        <v>138</v>
      </c>
    </row>
    <row r="2717" spans="1:12" ht="13.5" x14ac:dyDescent="0.25">
      <c r="A2717" s="1930" t="s">
        <v>4590</v>
      </c>
      <c r="B2717" s="1930" t="s">
        <v>4591</v>
      </c>
      <c r="C2717" s="1930" t="s">
        <v>4604</v>
      </c>
      <c r="D2717" s="1930" t="s">
        <v>4605</v>
      </c>
      <c r="E2717" s="1931" t="s">
        <v>33</v>
      </c>
      <c r="F2717" s="1930" t="s">
        <v>33</v>
      </c>
      <c r="G2717" s="1932">
        <v>91980</v>
      </c>
      <c r="H2717" s="1930" t="s">
        <v>2064</v>
      </c>
      <c r="I2717" s="1930" t="s">
        <v>168</v>
      </c>
      <c r="J2717" s="1930" t="s">
        <v>320</v>
      </c>
      <c r="K2717" s="1933">
        <v>30.63</v>
      </c>
      <c r="L2717" s="1930" t="s">
        <v>138</v>
      </c>
    </row>
    <row r="2718" spans="1:12" ht="13.5" x14ac:dyDescent="0.25">
      <c r="A2718" s="1930" t="s">
        <v>4590</v>
      </c>
      <c r="B2718" s="1930" t="s">
        <v>4591</v>
      </c>
      <c r="C2718" s="1930" t="s">
        <v>4604</v>
      </c>
      <c r="D2718" s="1930" t="s">
        <v>4605</v>
      </c>
      <c r="E2718" s="1931" t="s">
        <v>33</v>
      </c>
      <c r="F2718" s="1930" t="s">
        <v>33</v>
      </c>
      <c r="G2718" s="1932">
        <v>91981</v>
      </c>
      <c r="H2718" s="1930" t="s">
        <v>2065</v>
      </c>
      <c r="I2718" s="1930" t="s">
        <v>168</v>
      </c>
      <c r="J2718" s="1930" t="s">
        <v>320</v>
      </c>
      <c r="K2718" s="1933">
        <v>37.24</v>
      </c>
      <c r="L2718" s="1930" t="s">
        <v>138</v>
      </c>
    </row>
    <row r="2719" spans="1:12" ht="13.5" x14ac:dyDescent="0.25">
      <c r="A2719" s="1930" t="s">
        <v>4590</v>
      </c>
      <c r="B2719" s="1930" t="s">
        <v>4591</v>
      </c>
      <c r="C2719" s="1930" t="s">
        <v>4604</v>
      </c>
      <c r="D2719" s="1930" t="s">
        <v>4605</v>
      </c>
      <c r="E2719" s="1931" t="s">
        <v>33</v>
      </c>
      <c r="F2719" s="1930" t="s">
        <v>33</v>
      </c>
      <c r="G2719" s="1932">
        <v>91982</v>
      </c>
      <c r="H2719" s="1930" t="s">
        <v>2066</v>
      </c>
      <c r="I2719" s="1930" t="s">
        <v>168</v>
      </c>
      <c r="J2719" s="1930" t="s">
        <v>320</v>
      </c>
      <c r="K2719" s="1933">
        <v>78.92</v>
      </c>
      <c r="L2719" s="1930" t="s">
        <v>138</v>
      </c>
    </row>
    <row r="2720" spans="1:12" ht="13.5" x14ac:dyDescent="0.25">
      <c r="A2720" s="1930" t="s">
        <v>4590</v>
      </c>
      <c r="B2720" s="1930" t="s">
        <v>4591</v>
      </c>
      <c r="C2720" s="1930" t="s">
        <v>4604</v>
      </c>
      <c r="D2720" s="1930" t="s">
        <v>4605</v>
      </c>
      <c r="E2720" s="1931" t="s">
        <v>33</v>
      </c>
      <c r="F2720" s="1930" t="s">
        <v>33</v>
      </c>
      <c r="G2720" s="1932">
        <v>91983</v>
      </c>
      <c r="H2720" s="1930" t="s">
        <v>2067</v>
      </c>
      <c r="I2720" s="1930" t="s">
        <v>168</v>
      </c>
      <c r="J2720" s="1930" t="s">
        <v>320</v>
      </c>
      <c r="K2720" s="1933">
        <v>85.53</v>
      </c>
      <c r="L2720" s="1930" t="s">
        <v>138</v>
      </c>
    </row>
    <row r="2721" spans="1:12" ht="13.5" x14ac:dyDescent="0.25">
      <c r="A2721" s="1930" t="s">
        <v>4590</v>
      </c>
      <c r="B2721" s="1930" t="s">
        <v>4591</v>
      </c>
      <c r="C2721" s="1930" t="s">
        <v>4604</v>
      </c>
      <c r="D2721" s="1930" t="s">
        <v>4605</v>
      </c>
      <c r="E2721" s="1931" t="s">
        <v>33</v>
      </c>
      <c r="F2721" s="1930" t="s">
        <v>33</v>
      </c>
      <c r="G2721" s="1932">
        <v>91984</v>
      </c>
      <c r="H2721" s="1930" t="s">
        <v>2068</v>
      </c>
      <c r="I2721" s="1930" t="s">
        <v>168</v>
      </c>
      <c r="J2721" s="1930" t="s">
        <v>320</v>
      </c>
      <c r="K2721" s="1933">
        <v>13.49</v>
      </c>
      <c r="L2721" s="1930" t="s">
        <v>138</v>
      </c>
    </row>
    <row r="2722" spans="1:12" ht="13.5" x14ac:dyDescent="0.25">
      <c r="A2722" s="1930" t="s">
        <v>4590</v>
      </c>
      <c r="B2722" s="1930" t="s">
        <v>4591</v>
      </c>
      <c r="C2722" s="1930" t="s">
        <v>4604</v>
      </c>
      <c r="D2722" s="1930" t="s">
        <v>4605</v>
      </c>
      <c r="E2722" s="1931" t="s">
        <v>33</v>
      </c>
      <c r="F2722" s="1930" t="s">
        <v>33</v>
      </c>
      <c r="G2722" s="1932">
        <v>91985</v>
      </c>
      <c r="H2722" s="1930" t="s">
        <v>2069</v>
      </c>
      <c r="I2722" s="1930" t="s">
        <v>168</v>
      </c>
      <c r="J2722" s="1930" t="s">
        <v>320</v>
      </c>
      <c r="K2722" s="1933">
        <v>20.100000000000001</v>
      </c>
      <c r="L2722" s="1930" t="s">
        <v>138</v>
      </c>
    </row>
    <row r="2723" spans="1:12" ht="13.5" x14ac:dyDescent="0.25">
      <c r="A2723" s="1930" t="s">
        <v>4590</v>
      </c>
      <c r="B2723" s="1930" t="s">
        <v>4591</v>
      </c>
      <c r="C2723" s="1930" t="s">
        <v>4604</v>
      </c>
      <c r="D2723" s="1930" t="s">
        <v>4605</v>
      </c>
      <c r="E2723" s="1931" t="s">
        <v>33</v>
      </c>
      <c r="F2723" s="1930" t="s">
        <v>33</v>
      </c>
      <c r="G2723" s="1932">
        <v>91986</v>
      </c>
      <c r="H2723" s="1930" t="s">
        <v>2070</v>
      </c>
      <c r="I2723" s="1930" t="s">
        <v>168</v>
      </c>
      <c r="J2723" s="1930" t="s">
        <v>320</v>
      </c>
      <c r="K2723" s="1933">
        <v>29.78</v>
      </c>
      <c r="L2723" s="1930" t="s">
        <v>138</v>
      </c>
    </row>
    <row r="2724" spans="1:12" ht="13.5" x14ac:dyDescent="0.25">
      <c r="A2724" s="1930" t="s">
        <v>4590</v>
      </c>
      <c r="B2724" s="1930" t="s">
        <v>4591</v>
      </c>
      <c r="C2724" s="1930" t="s">
        <v>4604</v>
      </c>
      <c r="D2724" s="1930" t="s">
        <v>4605</v>
      </c>
      <c r="E2724" s="1931" t="s">
        <v>33</v>
      </c>
      <c r="F2724" s="1930" t="s">
        <v>33</v>
      </c>
      <c r="G2724" s="1932">
        <v>91987</v>
      </c>
      <c r="H2724" s="1930" t="s">
        <v>2071</v>
      </c>
      <c r="I2724" s="1930" t="s">
        <v>168</v>
      </c>
      <c r="J2724" s="1930" t="s">
        <v>320</v>
      </c>
      <c r="K2724" s="1933">
        <v>36.39</v>
      </c>
      <c r="L2724" s="1930" t="s">
        <v>138</v>
      </c>
    </row>
    <row r="2725" spans="1:12" ht="13.5" x14ac:dyDescent="0.25">
      <c r="A2725" s="1930" t="s">
        <v>4590</v>
      </c>
      <c r="B2725" s="1930" t="s">
        <v>4591</v>
      </c>
      <c r="C2725" s="1930" t="s">
        <v>4604</v>
      </c>
      <c r="D2725" s="1930" t="s">
        <v>4605</v>
      </c>
      <c r="E2725" s="1931" t="s">
        <v>33</v>
      </c>
      <c r="F2725" s="1930" t="s">
        <v>33</v>
      </c>
      <c r="G2725" s="1932">
        <v>91988</v>
      </c>
      <c r="H2725" s="1930" t="s">
        <v>2072</v>
      </c>
      <c r="I2725" s="1930" t="s">
        <v>168</v>
      </c>
      <c r="J2725" s="1930" t="s">
        <v>320</v>
      </c>
      <c r="K2725" s="1933">
        <v>17.239999999999998</v>
      </c>
      <c r="L2725" s="1930" t="s">
        <v>138</v>
      </c>
    </row>
    <row r="2726" spans="1:12" ht="13.5" x14ac:dyDescent="0.25">
      <c r="A2726" s="1930" t="s">
        <v>4590</v>
      </c>
      <c r="B2726" s="1930" t="s">
        <v>4591</v>
      </c>
      <c r="C2726" s="1930" t="s">
        <v>4604</v>
      </c>
      <c r="D2726" s="1930" t="s">
        <v>4605</v>
      </c>
      <c r="E2726" s="1931" t="s">
        <v>33</v>
      </c>
      <c r="F2726" s="1930" t="s">
        <v>33</v>
      </c>
      <c r="G2726" s="1932">
        <v>91989</v>
      </c>
      <c r="H2726" s="1930" t="s">
        <v>2073</v>
      </c>
      <c r="I2726" s="1930" t="s">
        <v>168</v>
      </c>
      <c r="J2726" s="1930" t="s">
        <v>320</v>
      </c>
      <c r="K2726" s="1933">
        <v>23.85</v>
      </c>
      <c r="L2726" s="1930" t="s">
        <v>138</v>
      </c>
    </row>
    <row r="2727" spans="1:12" ht="13.5" x14ac:dyDescent="0.25">
      <c r="A2727" s="1930" t="s">
        <v>4590</v>
      </c>
      <c r="B2727" s="1930" t="s">
        <v>4591</v>
      </c>
      <c r="C2727" s="1930" t="s">
        <v>4604</v>
      </c>
      <c r="D2727" s="1930" t="s">
        <v>4605</v>
      </c>
      <c r="E2727" s="1931" t="s">
        <v>33</v>
      </c>
      <c r="F2727" s="1930" t="s">
        <v>33</v>
      </c>
      <c r="G2727" s="1932">
        <v>91990</v>
      </c>
      <c r="H2727" s="1930" t="s">
        <v>2074</v>
      </c>
      <c r="I2727" s="1930" t="s">
        <v>168</v>
      </c>
      <c r="J2727" s="1930" t="s">
        <v>320</v>
      </c>
      <c r="K2727" s="1933">
        <v>25.25</v>
      </c>
      <c r="L2727" s="1930" t="s">
        <v>138</v>
      </c>
    </row>
    <row r="2728" spans="1:12" ht="13.5" x14ac:dyDescent="0.25">
      <c r="A2728" s="1930" t="s">
        <v>4590</v>
      </c>
      <c r="B2728" s="1930" t="s">
        <v>4591</v>
      </c>
      <c r="C2728" s="1930" t="s">
        <v>4604</v>
      </c>
      <c r="D2728" s="1930" t="s">
        <v>4605</v>
      </c>
      <c r="E2728" s="1931" t="s">
        <v>33</v>
      </c>
      <c r="F2728" s="1930" t="s">
        <v>33</v>
      </c>
      <c r="G2728" s="1932">
        <v>91991</v>
      </c>
      <c r="H2728" s="1930" t="s">
        <v>2075</v>
      </c>
      <c r="I2728" s="1930" t="s">
        <v>168</v>
      </c>
      <c r="J2728" s="1930" t="s">
        <v>320</v>
      </c>
      <c r="K2728" s="1933">
        <v>27.27</v>
      </c>
      <c r="L2728" s="1930" t="s">
        <v>138</v>
      </c>
    </row>
    <row r="2729" spans="1:12" ht="13.5" x14ac:dyDescent="0.25">
      <c r="A2729" s="1930" t="s">
        <v>4590</v>
      </c>
      <c r="B2729" s="1930" t="s">
        <v>4591</v>
      </c>
      <c r="C2729" s="1930" t="s">
        <v>4604</v>
      </c>
      <c r="D2729" s="1930" t="s">
        <v>4605</v>
      </c>
      <c r="E2729" s="1931" t="s">
        <v>33</v>
      </c>
      <c r="F2729" s="1930" t="s">
        <v>33</v>
      </c>
      <c r="G2729" s="1932">
        <v>91992</v>
      </c>
      <c r="H2729" s="1930" t="s">
        <v>2076</v>
      </c>
      <c r="I2729" s="1930" t="s">
        <v>168</v>
      </c>
      <c r="J2729" s="1930" t="s">
        <v>320</v>
      </c>
      <c r="K2729" s="1933">
        <v>31.86</v>
      </c>
      <c r="L2729" s="1930" t="s">
        <v>138</v>
      </c>
    </row>
    <row r="2730" spans="1:12" ht="13.5" x14ac:dyDescent="0.25">
      <c r="A2730" s="1930" t="s">
        <v>4590</v>
      </c>
      <c r="B2730" s="1930" t="s">
        <v>4591</v>
      </c>
      <c r="C2730" s="1930" t="s">
        <v>4604</v>
      </c>
      <c r="D2730" s="1930" t="s">
        <v>4605</v>
      </c>
      <c r="E2730" s="1931" t="s">
        <v>33</v>
      </c>
      <c r="F2730" s="1930" t="s">
        <v>33</v>
      </c>
      <c r="G2730" s="1932">
        <v>91993</v>
      </c>
      <c r="H2730" s="1930" t="s">
        <v>2077</v>
      </c>
      <c r="I2730" s="1930" t="s">
        <v>168</v>
      </c>
      <c r="J2730" s="1930" t="s">
        <v>320</v>
      </c>
      <c r="K2730" s="1933">
        <v>33.880000000000003</v>
      </c>
      <c r="L2730" s="1930" t="s">
        <v>138</v>
      </c>
    </row>
    <row r="2731" spans="1:12" ht="13.5" x14ac:dyDescent="0.25">
      <c r="A2731" s="1930" t="s">
        <v>4590</v>
      </c>
      <c r="B2731" s="1930" t="s">
        <v>4591</v>
      </c>
      <c r="C2731" s="1930" t="s">
        <v>4604</v>
      </c>
      <c r="D2731" s="1930" t="s">
        <v>4605</v>
      </c>
      <c r="E2731" s="1931" t="s">
        <v>33</v>
      </c>
      <c r="F2731" s="1930" t="s">
        <v>33</v>
      </c>
      <c r="G2731" s="1932">
        <v>91994</v>
      </c>
      <c r="H2731" s="1930" t="s">
        <v>2078</v>
      </c>
      <c r="I2731" s="1930" t="s">
        <v>168</v>
      </c>
      <c r="J2731" s="1930" t="s">
        <v>320</v>
      </c>
      <c r="K2731" s="1933">
        <v>18.420000000000002</v>
      </c>
      <c r="L2731" s="1930" t="s">
        <v>138</v>
      </c>
    </row>
    <row r="2732" spans="1:12" ht="13.5" x14ac:dyDescent="0.25">
      <c r="A2732" s="1930" t="s">
        <v>4590</v>
      </c>
      <c r="B2732" s="1930" t="s">
        <v>4591</v>
      </c>
      <c r="C2732" s="1930" t="s">
        <v>4604</v>
      </c>
      <c r="D2732" s="1930" t="s">
        <v>4605</v>
      </c>
      <c r="E2732" s="1931" t="s">
        <v>33</v>
      </c>
      <c r="F2732" s="1930" t="s">
        <v>33</v>
      </c>
      <c r="G2732" s="1932">
        <v>91995</v>
      </c>
      <c r="H2732" s="1930" t="s">
        <v>2079</v>
      </c>
      <c r="I2732" s="1930" t="s">
        <v>168</v>
      </c>
      <c r="J2732" s="1930" t="s">
        <v>320</v>
      </c>
      <c r="K2732" s="1933">
        <v>20.440000000000001</v>
      </c>
      <c r="L2732" s="1930" t="s">
        <v>138</v>
      </c>
    </row>
    <row r="2733" spans="1:12" ht="13.5" x14ac:dyDescent="0.25">
      <c r="A2733" s="1930" t="s">
        <v>4590</v>
      </c>
      <c r="B2733" s="1930" t="s">
        <v>4591</v>
      </c>
      <c r="C2733" s="1930" t="s">
        <v>4604</v>
      </c>
      <c r="D2733" s="1930" t="s">
        <v>4605</v>
      </c>
      <c r="E2733" s="1931" t="s">
        <v>33</v>
      </c>
      <c r="F2733" s="1930" t="s">
        <v>33</v>
      </c>
      <c r="G2733" s="1932">
        <v>91996</v>
      </c>
      <c r="H2733" s="1930" t="s">
        <v>2080</v>
      </c>
      <c r="I2733" s="1930" t="s">
        <v>168</v>
      </c>
      <c r="J2733" s="1930" t="s">
        <v>320</v>
      </c>
      <c r="K2733" s="1933">
        <v>25.03</v>
      </c>
      <c r="L2733" s="1930" t="s">
        <v>138</v>
      </c>
    </row>
    <row r="2734" spans="1:12" ht="13.5" x14ac:dyDescent="0.25">
      <c r="A2734" s="1930" t="s">
        <v>4590</v>
      </c>
      <c r="B2734" s="1930" t="s">
        <v>4591</v>
      </c>
      <c r="C2734" s="1930" t="s">
        <v>4604</v>
      </c>
      <c r="D2734" s="1930" t="s">
        <v>4605</v>
      </c>
      <c r="E2734" s="1931" t="s">
        <v>33</v>
      </c>
      <c r="F2734" s="1930" t="s">
        <v>33</v>
      </c>
      <c r="G2734" s="1932">
        <v>91997</v>
      </c>
      <c r="H2734" s="1930" t="s">
        <v>2081</v>
      </c>
      <c r="I2734" s="1930" t="s">
        <v>168</v>
      </c>
      <c r="J2734" s="1930" t="s">
        <v>320</v>
      </c>
      <c r="K2734" s="1933">
        <v>27.05</v>
      </c>
      <c r="L2734" s="1930" t="s">
        <v>138</v>
      </c>
    </row>
    <row r="2735" spans="1:12" ht="13.5" x14ac:dyDescent="0.25">
      <c r="A2735" s="1930" t="s">
        <v>4590</v>
      </c>
      <c r="B2735" s="1930" t="s">
        <v>4591</v>
      </c>
      <c r="C2735" s="1930" t="s">
        <v>4604</v>
      </c>
      <c r="D2735" s="1930" t="s">
        <v>4605</v>
      </c>
      <c r="E2735" s="1931" t="s">
        <v>33</v>
      </c>
      <c r="F2735" s="1930" t="s">
        <v>33</v>
      </c>
      <c r="G2735" s="1932">
        <v>91998</v>
      </c>
      <c r="H2735" s="1930" t="s">
        <v>2082</v>
      </c>
      <c r="I2735" s="1930" t="s">
        <v>168</v>
      </c>
      <c r="J2735" s="1930" t="s">
        <v>320</v>
      </c>
      <c r="K2735" s="1933">
        <v>15.76</v>
      </c>
      <c r="L2735" s="1930" t="s">
        <v>138</v>
      </c>
    </row>
    <row r="2736" spans="1:12" ht="13.5" x14ac:dyDescent="0.25">
      <c r="A2736" s="1930" t="s">
        <v>4590</v>
      </c>
      <c r="B2736" s="1930" t="s">
        <v>4591</v>
      </c>
      <c r="C2736" s="1930" t="s">
        <v>4604</v>
      </c>
      <c r="D2736" s="1930" t="s">
        <v>4605</v>
      </c>
      <c r="E2736" s="1931" t="s">
        <v>33</v>
      </c>
      <c r="F2736" s="1930" t="s">
        <v>33</v>
      </c>
      <c r="G2736" s="1932">
        <v>91999</v>
      </c>
      <c r="H2736" s="1930" t="s">
        <v>2083</v>
      </c>
      <c r="I2736" s="1930" t="s">
        <v>168</v>
      </c>
      <c r="J2736" s="1930" t="s">
        <v>320</v>
      </c>
      <c r="K2736" s="1933">
        <v>17.78</v>
      </c>
      <c r="L2736" s="1930" t="s">
        <v>138</v>
      </c>
    </row>
    <row r="2737" spans="1:12" ht="13.5" x14ac:dyDescent="0.25">
      <c r="A2737" s="1930" t="s">
        <v>4590</v>
      </c>
      <c r="B2737" s="1930" t="s">
        <v>4591</v>
      </c>
      <c r="C2737" s="1930" t="s">
        <v>4604</v>
      </c>
      <c r="D2737" s="1930" t="s">
        <v>4605</v>
      </c>
      <c r="E2737" s="1931" t="s">
        <v>33</v>
      </c>
      <c r="F2737" s="1930" t="s">
        <v>33</v>
      </c>
      <c r="G2737" s="1932">
        <v>92000</v>
      </c>
      <c r="H2737" s="1930" t="s">
        <v>2084</v>
      </c>
      <c r="I2737" s="1930" t="s">
        <v>168</v>
      </c>
      <c r="J2737" s="1930" t="s">
        <v>320</v>
      </c>
      <c r="K2737" s="1933">
        <v>22.37</v>
      </c>
      <c r="L2737" s="1930" t="s">
        <v>138</v>
      </c>
    </row>
    <row r="2738" spans="1:12" ht="13.5" x14ac:dyDescent="0.25">
      <c r="A2738" s="1930" t="s">
        <v>4590</v>
      </c>
      <c r="B2738" s="1930" t="s">
        <v>4591</v>
      </c>
      <c r="C2738" s="1930" t="s">
        <v>4604</v>
      </c>
      <c r="D2738" s="1930" t="s">
        <v>4605</v>
      </c>
      <c r="E2738" s="1931" t="s">
        <v>33</v>
      </c>
      <c r="F2738" s="1930" t="s">
        <v>33</v>
      </c>
      <c r="G2738" s="1932">
        <v>92001</v>
      </c>
      <c r="H2738" s="1930" t="s">
        <v>2085</v>
      </c>
      <c r="I2738" s="1930" t="s">
        <v>168</v>
      </c>
      <c r="J2738" s="1930" t="s">
        <v>320</v>
      </c>
      <c r="K2738" s="1933">
        <v>24.39</v>
      </c>
      <c r="L2738" s="1930" t="s">
        <v>138</v>
      </c>
    </row>
    <row r="2739" spans="1:12" ht="13.5" x14ac:dyDescent="0.25">
      <c r="A2739" s="1930" t="s">
        <v>4590</v>
      </c>
      <c r="B2739" s="1930" t="s">
        <v>4591</v>
      </c>
      <c r="C2739" s="1930" t="s">
        <v>4604</v>
      </c>
      <c r="D2739" s="1930" t="s">
        <v>4605</v>
      </c>
      <c r="E2739" s="1931" t="s">
        <v>33</v>
      </c>
      <c r="F2739" s="1930" t="s">
        <v>33</v>
      </c>
      <c r="G2739" s="1932">
        <v>92002</v>
      </c>
      <c r="H2739" s="1930" t="s">
        <v>2086</v>
      </c>
      <c r="I2739" s="1930" t="s">
        <v>168</v>
      </c>
      <c r="J2739" s="1930" t="s">
        <v>320</v>
      </c>
      <c r="K2739" s="1933">
        <v>34.630000000000003</v>
      </c>
      <c r="L2739" s="1930" t="s">
        <v>138</v>
      </c>
    </row>
    <row r="2740" spans="1:12" ht="13.5" x14ac:dyDescent="0.25">
      <c r="A2740" s="1930" t="s">
        <v>4590</v>
      </c>
      <c r="B2740" s="1930" t="s">
        <v>4591</v>
      </c>
      <c r="C2740" s="1930" t="s">
        <v>4604</v>
      </c>
      <c r="D2740" s="1930" t="s">
        <v>4605</v>
      </c>
      <c r="E2740" s="1931" t="s">
        <v>33</v>
      </c>
      <c r="F2740" s="1930" t="s">
        <v>33</v>
      </c>
      <c r="G2740" s="1932">
        <v>92003</v>
      </c>
      <c r="H2740" s="1930" t="s">
        <v>2087</v>
      </c>
      <c r="I2740" s="1930" t="s">
        <v>168</v>
      </c>
      <c r="J2740" s="1930" t="s">
        <v>320</v>
      </c>
      <c r="K2740" s="1933">
        <v>38.67</v>
      </c>
      <c r="L2740" s="1930" t="s">
        <v>138</v>
      </c>
    </row>
    <row r="2741" spans="1:12" ht="13.5" x14ac:dyDescent="0.25">
      <c r="A2741" s="1930" t="s">
        <v>4590</v>
      </c>
      <c r="B2741" s="1930" t="s">
        <v>4591</v>
      </c>
      <c r="C2741" s="1930" t="s">
        <v>4604</v>
      </c>
      <c r="D2741" s="1930" t="s">
        <v>4605</v>
      </c>
      <c r="E2741" s="1931" t="s">
        <v>33</v>
      </c>
      <c r="F2741" s="1930" t="s">
        <v>33</v>
      </c>
      <c r="G2741" s="1932">
        <v>92004</v>
      </c>
      <c r="H2741" s="1930" t="s">
        <v>2088</v>
      </c>
      <c r="I2741" s="1930" t="s">
        <v>168</v>
      </c>
      <c r="J2741" s="1930" t="s">
        <v>320</v>
      </c>
      <c r="K2741" s="1933">
        <v>41.24</v>
      </c>
      <c r="L2741" s="1930" t="s">
        <v>138</v>
      </c>
    </row>
    <row r="2742" spans="1:12" ht="13.5" x14ac:dyDescent="0.25">
      <c r="A2742" s="1930" t="s">
        <v>4590</v>
      </c>
      <c r="B2742" s="1930" t="s">
        <v>4591</v>
      </c>
      <c r="C2742" s="1930" t="s">
        <v>4604</v>
      </c>
      <c r="D2742" s="1930" t="s">
        <v>4605</v>
      </c>
      <c r="E2742" s="1931" t="s">
        <v>33</v>
      </c>
      <c r="F2742" s="1930" t="s">
        <v>33</v>
      </c>
      <c r="G2742" s="1932">
        <v>92005</v>
      </c>
      <c r="H2742" s="1930" t="s">
        <v>2089</v>
      </c>
      <c r="I2742" s="1930" t="s">
        <v>168</v>
      </c>
      <c r="J2742" s="1930" t="s">
        <v>320</v>
      </c>
      <c r="K2742" s="1933">
        <v>45.28</v>
      </c>
      <c r="L2742" s="1930" t="s">
        <v>138</v>
      </c>
    </row>
    <row r="2743" spans="1:12" ht="13.5" x14ac:dyDescent="0.25">
      <c r="A2743" s="1930" t="s">
        <v>4590</v>
      </c>
      <c r="B2743" s="1930" t="s">
        <v>4591</v>
      </c>
      <c r="C2743" s="1930" t="s">
        <v>4604</v>
      </c>
      <c r="D2743" s="1930" t="s">
        <v>4605</v>
      </c>
      <c r="E2743" s="1931" t="s">
        <v>33</v>
      </c>
      <c r="F2743" s="1930" t="s">
        <v>33</v>
      </c>
      <c r="G2743" s="1932">
        <v>92006</v>
      </c>
      <c r="H2743" s="1930" t="s">
        <v>2090</v>
      </c>
      <c r="I2743" s="1930" t="s">
        <v>168</v>
      </c>
      <c r="J2743" s="1930" t="s">
        <v>320</v>
      </c>
      <c r="K2743" s="1933">
        <v>29.32</v>
      </c>
      <c r="L2743" s="1930" t="s">
        <v>138</v>
      </c>
    </row>
    <row r="2744" spans="1:12" ht="13.5" x14ac:dyDescent="0.25">
      <c r="A2744" s="1930" t="s">
        <v>4590</v>
      </c>
      <c r="B2744" s="1930" t="s">
        <v>4591</v>
      </c>
      <c r="C2744" s="1930" t="s">
        <v>4604</v>
      </c>
      <c r="D2744" s="1930" t="s">
        <v>4605</v>
      </c>
      <c r="E2744" s="1931" t="s">
        <v>33</v>
      </c>
      <c r="F2744" s="1930" t="s">
        <v>33</v>
      </c>
      <c r="G2744" s="1932">
        <v>92007</v>
      </c>
      <c r="H2744" s="1930" t="s">
        <v>2091</v>
      </c>
      <c r="I2744" s="1930" t="s">
        <v>168</v>
      </c>
      <c r="J2744" s="1930" t="s">
        <v>320</v>
      </c>
      <c r="K2744" s="1933">
        <v>33.36</v>
      </c>
      <c r="L2744" s="1930" t="s">
        <v>138</v>
      </c>
    </row>
    <row r="2745" spans="1:12" ht="13.5" x14ac:dyDescent="0.25">
      <c r="A2745" s="1930" t="s">
        <v>4590</v>
      </c>
      <c r="B2745" s="1930" t="s">
        <v>4591</v>
      </c>
      <c r="C2745" s="1930" t="s">
        <v>4604</v>
      </c>
      <c r="D2745" s="1930" t="s">
        <v>4605</v>
      </c>
      <c r="E2745" s="1931" t="s">
        <v>33</v>
      </c>
      <c r="F2745" s="1930" t="s">
        <v>33</v>
      </c>
      <c r="G2745" s="1932">
        <v>92008</v>
      </c>
      <c r="H2745" s="1930" t="s">
        <v>2092</v>
      </c>
      <c r="I2745" s="1930" t="s">
        <v>168</v>
      </c>
      <c r="J2745" s="1930" t="s">
        <v>320</v>
      </c>
      <c r="K2745" s="1933">
        <v>35.93</v>
      </c>
      <c r="L2745" s="1930" t="s">
        <v>138</v>
      </c>
    </row>
    <row r="2746" spans="1:12" ht="13.5" x14ac:dyDescent="0.25">
      <c r="A2746" s="1930" t="s">
        <v>4590</v>
      </c>
      <c r="B2746" s="1930" t="s">
        <v>4591</v>
      </c>
      <c r="C2746" s="1930" t="s">
        <v>4604</v>
      </c>
      <c r="D2746" s="1930" t="s">
        <v>4605</v>
      </c>
      <c r="E2746" s="1931" t="s">
        <v>33</v>
      </c>
      <c r="F2746" s="1930" t="s">
        <v>33</v>
      </c>
      <c r="G2746" s="1932">
        <v>92009</v>
      </c>
      <c r="H2746" s="1930" t="s">
        <v>2093</v>
      </c>
      <c r="I2746" s="1930" t="s">
        <v>168</v>
      </c>
      <c r="J2746" s="1930" t="s">
        <v>320</v>
      </c>
      <c r="K2746" s="1933">
        <v>39.97</v>
      </c>
      <c r="L2746" s="1930" t="s">
        <v>138</v>
      </c>
    </row>
    <row r="2747" spans="1:12" ht="13.5" x14ac:dyDescent="0.25">
      <c r="A2747" s="1930" t="s">
        <v>4590</v>
      </c>
      <c r="B2747" s="1930" t="s">
        <v>4591</v>
      </c>
      <c r="C2747" s="1930" t="s">
        <v>4604</v>
      </c>
      <c r="D2747" s="1930" t="s">
        <v>4605</v>
      </c>
      <c r="E2747" s="1931" t="s">
        <v>33</v>
      </c>
      <c r="F2747" s="1930" t="s">
        <v>33</v>
      </c>
      <c r="G2747" s="1932">
        <v>92010</v>
      </c>
      <c r="H2747" s="1930" t="s">
        <v>2094</v>
      </c>
      <c r="I2747" s="1930" t="s">
        <v>168</v>
      </c>
      <c r="J2747" s="1930" t="s">
        <v>320</v>
      </c>
      <c r="K2747" s="1933">
        <v>50.83</v>
      </c>
      <c r="L2747" s="1930" t="s">
        <v>138</v>
      </c>
    </row>
    <row r="2748" spans="1:12" ht="13.5" x14ac:dyDescent="0.25">
      <c r="A2748" s="1930" t="s">
        <v>4590</v>
      </c>
      <c r="B2748" s="1930" t="s">
        <v>4591</v>
      </c>
      <c r="C2748" s="1930" t="s">
        <v>4604</v>
      </c>
      <c r="D2748" s="1930" t="s">
        <v>4605</v>
      </c>
      <c r="E2748" s="1931" t="s">
        <v>33</v>
      </c>
      <c r="F2748" s="1930" t="s">
        <v>33</v>
      </c>
      <c r="G2748" s="1932">
        <v>92011</v>
      </c>
      <c r="H2748" s="1930" t="s">
        <v>2095</v>
      </c>
      <c r="I2748" s="1930" t="s">
        <v>168</v>
      </c>
      <c r="J2748" s="1930" t="s">
        <v>320</v>
      </c>
      <c r="K2748" s="1933">
        <v>56.89</v>
      </c>
      <c r="L2748" s="1930" t="s">
        <v>138</v>
      </c>
    </row>
    <row r="2749" spans="1:12" ht="13.5" x14ac:dyDescent="0.25">
      <c r="A2749" s="1930" t="s">
        <v>4590</v>
      </c>
      <c r="B2749" s="1930" t="s">
        <v>4591</v>
      </c>
      <c r="C2749" s="1930" t="s">
        <v>4604</v>
      </c>
      <c r="D2749" s="1930" t="s">
        <v>4605</v>
      </c>
      <c r="E2749" s="1931" t="s">
        <v>33</v>
      </c>
      <c r="F2749" s="1930" t="s">
        <v>33</v>
      </c>
      <c r="G2749" s="1932">
        <v>92012</v>
      </c>
      <c r="H2749" s="1930" t="s">
        <v>2096</v>
      </c>
      <c r="I2749" s="1930" t="s">
        <v>168</v>
      </c>
      <c r="J2749" s="1930" t="s">
        <v>320</v>
      </c>
      <c r="K2749" s="1933">
        <v>57.44</v>
      </c>
      <c r="L2749" s="1930" t="s">
        <v>138</v>
      </c>
    </row>
    <row r="2750" spans="1:12" ht="13.5" x14ac:dyDescent="0.25">
      <c r="A2750" s="1930" t="s">
        <v>4590</v>
      </c>
      <c r="B2750" s="1930" t="s">
        <v>4591</v>
      </c>
      <c r="C2750" s="1930" t="s">
        <v>4604</v>
      </c>
      <c r="D2750" s="1930" t="s">
        <v>4605</v>
      </c>
      <c r="E2750" s="1931" t="s">
        <v>33</v>
      </c>
      <c r="F2750" s="1930" t="s">
        <v>33</v>
      </c>
      <c r="G2750" s="1932">
        <v>92013</v>
      </c>
      <c r="H2750" s="1930" t="s">
        <v>2097</v>
      </c>
      <c r="I2750" s="1930" t="s">
        <v>168</v>
      </c>
      <c r="J2750" s="1930" t="s">
        <v>320</v>
      </c>
      <c r="K2750" s="1933">
        <v>63.5</v>
      </c>
      <c r="L2750" s="1930" t="s">
        <v>138</v>
      </c>
    </row>
    <row r="2751" spans="1:12" ht="13.5" x14ac:dyDescent="0.25">
      <c r="A2751" s="1930" t="s">
        <v>4590</v>
      </c>
      <c r="B2751" s="1930" t="s">
        <v>4591</v>
      </c>
      <c r="C2751" s="1930" t="s">
        <v>4604</v>
      </c>
      <c r="D2751" s="1930" t="s">
        <v>4605</v>
      </c>
      <c r="E2751" s="1931" t="s">
        <v>33</v>
      </c>
      <c r="F2751" s="1930" t="s">
        <v>33</v>
      </c>
      <c r="G2751" s="1932">
        <v>92014</v>
      </c>
      <c r="H2751" s="1930" t="s">
        <v>2098</v>
      </c>
      <c r="I2751" s="1930" t="s">
        <v>168</v>
      </c>
      <c r="J2751" s="1930" t="s">
        <v>320</v>
      </c>
      <c r="K2751" s="1933">
        <v>42.87</v>
      </c>
      <c r="L2751" s="1930" t="s">
        <v>138</v>
      </c>
    </row>
    <row r="2752" spans="1:12" ht="13.5" x14ac:dyDescent="0.25">
      <c r="A2752" s="1930" t="s">
        <v>4590</v>
      </c>
      <c r="B2752" s="1930" t="s">
        <v>4591</v>
      </c>
      <c r="C2752" s="1930" t="s">
        <v>4604</v>
      </c>
      <c r="D2752" s="1930" t="s">
        <v>4605</v>
      </c>
      <c r="E2752" s="1931" t="s">
        <v>33</v>
      </c>
      <c r="F2752" s="1930" t="s">
        <v>33</v>
      </c>
      <c r="G2752" s="1932">
        <v>92015</v>
      </c>
      <c r="H2752" s="1930" t="s">
        <v>2099</v>
      </c>
      <c r="I2752" s="1930" t="s">
        <v>168</v>
      </c>
      <c r="J2752" s="1930" t="s">
        <v>320</v>
      </c>
      <c r="K2752" s="1933">
        <v>48.93</v>
      </c>
      <c r="L2752" s="1930" t="s">
        <v>138</v>
      </c>
    </row>
    <row r="2753" spans="1:12" ht="13.5" x14ac:dyDescent="0.25">
      <c r="A2753" s="1930" t="s">
        <v>4590</v>
      </c>
      <c r="B2753" s="1930" t="s">
        <v>4591</v>
      </c>
      <c r="C2753" s="1930" t="s">
        <v>4604</v>
      </c>
      <c r="D2753" s="1930" t="s">
        <v>4605</v>
      </c>
      <c r="E2753" s="1931" t="s">
        <v>33</v>
      </c>
      <c r="F2753" s="1930" t="s">
        <v>33</v>
      </c>
      <c r="G2753" s="1932">
        <v>92016</v>
      </c>
      <c r="H2753" s="1930" t="s">
        <v>2100</v>
      </c>
      <c r="I2753" s="1930" t="s">
        <v>168</v>
      </c>
      <c r="J2753" s="1930" t="s">
        <v>320</v>
      </c>
      <c r="K2753" s="1933">
        <v>49.48</v>
      </c>
      <c r="L2753" s="1930" t="s">
        <v>138</v>
      </c>
    </row>
    <row r="2754" spans="1:12" ht="13.5" x14ac:dyDescent="0.25">
      <c r="A2754" s="1930" t="s">
        <v>4590</v>
      </c>
      <c r="B2754" s="1930" t="s">
        <v>4591</v>
      </c>
      <c r="C2754" s="1930" t="s">
        <v>4604</v>
      </c>
      <c r="D2754" s="1930" t="s">
        <v>4605</v>
      </c>
      <c r="E2754" s="1931" t="s">
        <v>33</v>
      </c>
      <c r="F2754" s="1930" t="s">
        <v>33</v>
      </c>
      <c r="G2754" s="1932">
        <v>92017</v>
      </c>
      <c r="H2754" s="1930" t="s">
        <v>2101</v>
      </c>
      <c r="I2754" s="1930" t="s">
        <v>168</v>
      </c>
      <c r="J2754" s="1930" t="s">
        <v>320</v>
      </c>
      <c r="K2754" s="1933">
        <v>55.54</v>
      </c>
      <c r="L2754" s="1930" t="s">
        <v>138</v>
      </c>
    </row>
    <row r="2755" spans="1:12" ht="13.5" x14ac:dyDescent="0.25">
      <c r="A2755" s="1930" t="s">
        <v>4590</v>
      </c>
      <c r="B2755" s="1930" t="s">
        <v>4591</v>
      </c>
      <c r="C2755" s="1930" t="s">
        <v>4604</v>
      </c>
      <c r="D2755" s="1930" t="s">
        <v>4605</v>
      </c>
      <c r="E2755" s="1931" t="s">
        <v>33</v>
      </c>
      <c r="F2755" s="1930" t="s">
        <v>33</v>
      </c>
      <c r="G2755" s="1932">
        <v>92018</v>
      </c>
      <c r="H2755" s="1930" t="s">
        <v>2102</v>
      </c>
      <c r="I2755" s="1930" t="s">
        <v>168</v>
      </c>
      <c r="J2755" s="1930" t="s">
        <v>320</v>
      </c>
      <c r="K2755" s="1933">
        <v>56.79</v>
      </c>
      <c r="L2755" s="1930" t="s">
        <v>138</v>
      </c>
    </row>
    <row r="2756" spans="1:12" ht="13.5" x14ac:dyDescent="0.25">
      <c r="A2756" s="1930" t="s">
        <v>4590</v>
      </c>
      <c r="B2756" s="1930" t="s">
        <v>4591</v>
      </c>
      <c r="C2756" s="1930" t="s">
        <v>4604</v>
      </c>
      <c r="D2756" s="1930" t="s">
        <v>4605</v>
      </c>
      <c r="E2756" s="1931" t="s">
        <v>33</v>
      </c>
      <c r="F2756" s="1930" t="s">
        <v>33</v>
      </c>
      <c r="G2756" s="1932">
        <v>92019</v>
      </c>
      <c r="H2756" s="1930" t="s">
        <v>2103</v>
      </c>
      <c r="I2756" s="1930" t="s">
        <v>168</v>
      </c>
      <c r="J2756" s="1930" t="s">
        <v>320</v>
      </c>
      <c r="K2756" s="1933">
        <v>67.510000000000005</v>
      </c>
      <c r="L2756" s="1930" t="s">
        <v>138</v>
      </c>
    </row>
    <row r="2757" spans="1:12" ht="13.5" x14ac:dyDescent="0.25">
      <c r="A2757" s="1930" t="s">
        <v>4590</v>
      </c>
      <c r="B2757" s="1930" t="s">
        <v>4591</v>
      </c>
      <c r="C2757" s="1930" t="s">
        <v>4604</v>
      </c>
      <c r="D2757" s="1930" t="s">
        <v>4605</v>
      </c>
      <c r="E2757" s="1931" t="s">
        <v>33</v>
      </c>
      <c r="F2757" s="1930" t="s">
        <v>33</v>
      </c>
      <c r="G2757" s="1932">
        <v>92020</v>
      </c>
      <c r="H2757" s="1930" t="s">
        <v>2104</v>
      </c>
      <c r="I2757" s="1930" t="s">
        <v>168</v>
      </c>
      <c r="J2757" s="1930" t="s">
        <v>320</v>
      </c>
      <c r="K2757" s="1933">
        <v>84.08</v>
      </c>
      <c r="L2757" s="1930" t="s">
        <v>138</v>
      </c>
    </row>
    <row r="2758" spans="1:12" ht="13.5" x14ac:dyDescent="0.25">
      <c r="A2758" s="1930" t="s">
        <v>4590</v>
      </c>
      <c r="B2758" s="1930" t="s">
        <v>4591</v>
      </c>
      <c r="C2758" s="1930" t="s">
        <v>4604</v>
      </c>
      <c r="D2758" s="1930" t="s">
        <v>4605</v>
      </c>
      <c r="E2758" s="1931" t="s">
        <v>33</v>
      </c>
      <c r="F2758" s="1930" t="s">
        <v>33</v>
      </c>
      <c r="G2758" s="1932">
        <v>92021</v>
      </c>
      <c r="H2758" s="1930" t="s">
        <v>2105</v>
      </c>
      <c r="I2758" s="1930" t="s">
        <v>168</v>
      </c>
      <c r="J2758" s="1930" t="s">
        <v>320</v>
      </c>
      <c r="K2758" s="1933">
        <v>94.8</v>
      </c>
      <c r="L2758" s="1930" t="s">
        <v>138</v>
      </c>
    </row>
    <row r="2759" spans="1:12" ht="13.5" x14ac:dyDescent="0.25">
      <c r="A2759" s="1930" t="s">
        <v>4590</v>
      </c>
      <c r="B2759" s="1930" t="s">
        <v>4591</v>
      </c>
      <c r="C2759" s="1930" t="s">
        <v>4604</v>
      </c>
      <c r="D2759" s="1930" t="s">
        <v>4605</v>
      </c>
      <c r="E2759" s="1931" t="s">
        <v>33</v>
      </c>
      <c r="F2759" s="1930" t="s">
        <v>33</v>
      </c>
      <c r="G2759" s="1932">
        <v>92022</v>
      </c>
      <c r="H2759" s="1930" t="s">
        <v>2106</v>
      </c>
      <c r="I2759" s="1930" t="s">
        <v>168</v>
      </c>
      <c r="J2759" s="1930" t="s">
        <v>320</v>
      </c>
      <c r="K2759" s="1933">
        <v>30.73</v>
      </c>
      <c r="L2759" s="1930" t="s">
        <v>138</v>
      </c>
    </row>
    <row r="2760" spans="1:12" ht="13.5" x14ac:dyDescent="0.25">
      <c r="A2760" s="1930" t="s">
        <v>4590</v>
      </c>
      <c r="B2760" s="1930" t="s">
        <v>4591</v>
      </c>
      <c r="C2760" s="1930" t="s">
        <v>4604</v>
      </c>
      <c r="D2760" s="1930" t="s">
        <v>4605</v>
      </c>
      <c r="E2760" s="1931" t="s">
        <v>33</v>
      </c>
      <c r="F2760" s="1930" t="s">
        <v>33</v>
      </c>
      <c r="G2760" s="1932">
        <v>92023</v>
      </c>
      <c r="H2760" s="1930" t="s">
        <v>2107</v>
      </c>
      <c r="I2760" s="1930" t="s">
        <v>168</v>
      </c>
      <c r="J2760" s="1930" t="s">
        <v>320</v>
      </c>
      <c r="K2760" s="1933">
        <v>37.340000000000003</v>
      </c>
      <c r="L2760" s="1930" t="s">
        <v>138</v>
      </c>
    </row>
    <row r="2761" spans="1:12" ht="13.5" x14ac:dyDescent="0.25">
      <c r="A2761" s="1930" t="s">
        <v>4590</v>
      </c>
      <c r="B2761" s="1930" t="s">
        <v>4591</v>
      </c>
      <c r="C2761" s="1930" t="s">
        <v>4604</v>
      </c>
      <c r="D2761" s="1930" t="s">
        <v>4605</v>
      </c>
      <c r="E2761" s="1931" t="s">
        <v>33</v>
      </c>
      <c r="F2761" s="1930" t="s">
        <v>33</v>
      </c>
      <c r="G2761" s="1932">
        <v>92024</v>
      </c>
      <c r="H2761" s="1930" t="s">
        <v>2108</v>
      </c>
      <c r="I2761" s="1930" t="s">
        <v>168</v>
      </c>
      <c r="J2761" s="1930" t="s">
        <v>320</v>
      </c>
      <c r="K2761" s="1933">
        <v>46.97</v>
      </c>
      <c r="L2761" s="1930" t="s">
        <v>138</v>
      </c>
    </row>
    <row r="2762" spans="1:12" ht="13.5" x14ac:dyDescent="0.25">
      <c r="A2762" s="1930" t="s">
        <v>4590</v>
      </c>
      <c r="B2762" s="1930" t="s">
        <v>4591</v>
      </c>
      <c r="C2762" s="1930" t="s">
        <v>4604</v>
      </c>
      <c r="D2762" s="1930" t="s">
        <v>4605</v>
      </c>
      <c r="E2762" s="1931" t="s">
        <v>33</v>
      </c>
      <c r="F2762" s="1930" t="s">
        <v>33</v>
      </c>
      <c r="G2762" s="1932">
        <v>92025</v>
      </c>
      <c r="H2762" s="1930" t="s">
        <v>2109</v>
      </c>
      <c r="I2762" s="1930" t="s">
        <v>168</v>
      </c>
      <c r="J2762" s="1930" t="s">
        <v>320</v>
      </c>
      <c r="K2762" s="1933">
        <v>53.58</v>
      </c>
      <c r="L2762" s="1930" t="s">
        <v>138</v>
      </c>
    </row>
    <row r="2763" spans="1:12" ht="13.5" x14ac:dyDescent="0.25">
      <c r="A2763" s="1930" t="s">
        <v>4590</v>
      </c>
      <c r="B2763" s="1930" t="s">
        <v>4591</v>
      </c>
      <c r="C2763" s="1930" t="s">
        <v>4604</v>
      </c>
      <c r="D2763" s="1930" t="s">
        <v>4605</v>
      </c>
      <c r="E2763" s="1931" t="s">
        <v>33</v>
      </c>
      <c r="F2763" s="1930" t="s">
        <v>33</v>
      </c>
      <c r="G2763" s="1932">
        <v>92026</v>
      </c>
      <c r="H2763" s="1930" t="s">
        <v>2110</v>
      </c>
      <c r="I2763" s="1930" t="s">
        <v>168</v>
      </c>
      <c r="J2763" s="1930" t="s">
        <v>320</v>
      </c>
      <c r="K2763" s="1933">
        <v>43.08</v>
      </c>
      <c r="L2763" s="1930" t="s">
        <v>138</v>
      </c>
    </row>
    <row r="2764" spans="1:12" ht="13.5" x14ac:dyDescent="0.25">
      <c r="A2764" s="1930" t="s">
        <v>4590</v>
      </c>
      <c r="B2764" s="1930" t="s">
        <v>4591</v>
      </c>
      <c r="C2764" s="1930" t="s">
        <v>4604</v>
      </c>
      <c r="D2764" s="1930" t="s">
        <v>4605</v>
      </c>
      <c r="E2764" s="1931" t="s">
        <v>33</v>
      </c>
      <c r="F2764" s="1930" t="s">
        <v>33</v>
      </c>
      <c r="G2764" s="1932">
        <v>92027</v>
      </c>
      <c r="H2764" s="1930" t="s">
        <v>2111</v>
      </c>
      <c r="I2764" s="1930" t="s">
        <v>168</v>
      </c>
      <c r="J2764" s="1930" t="s">
        <v>320</v>
      </c>
      <c r="K2764" s="1933">
        <v>49.69</v>
      </c>
      <c r="L2764" s="1930" t="s">
        <v>138</v>
      </c>
    </row>
    <row r="2765" spans="1:12" ht="13.5" x14ac:dyDescent="0.25">
      <c r="A2765" s="1930" t="s">
        <v>4590</v>
      </c>
      <c r="B2765" s="1930" t="s">
        <v>4591</v>
      </c>
      <c r="C2765" s="1930" t="s">
        <v>4604</v>
      </c>
      <c r="D2765" s="1930" t="s">
        <v>4605</v>
      </c>
      <c r="E2765" s="1931" t="s">
        <v>33</v>
      </c>
      <c r="F2765" s="1930" t="s">
        <v>33</v>
      </c>
      <c r="G2765" s="1932">
        <v>92028</v>
      </c>
      <c r="H2765" s="1930" t="s">
        <v>2112</v>
      </c>
      <c r="I2765" s="1930" t="s">
        <v>168</v>
      </c>
      <c r="J2765" s="1930" t="s">
        <v>320</v>
      </c>
      <c r="K2765" s="1933">
        <v>35.68</v>
      </c>
      <c r="L2765" s="1930" t="s">
        <v>138</v>
      </c>
    </row>
    <row r="2766" spans="1:12" ht="13.5" x14ac:dyDescent="0.25">
      <c r="A2766" s="1930" t="s">
        <v>4590</v>
      </c>
      <c r="B2766" s="1930" t="s">
        <v>4591</v>
      </c>
      <c r="C2766" s="1930" t="s">
        <v>4604</v>
      </c>
      <c r="D2766" s="1930" t="s">
        <v>4605</v>
      </c>
      <c r="E2766" s="1931" t="s">
        <v>33</v>
      </c>
      <c r="F2766" s="1930" t="s">
        <v>33</v>
      </c>
      <c r="G2766" s="1932">
        <v>92029</v>
      </c>
      <c r="H2766" s="1930" t="s">
        <v>2113</v>
      </c>
      <c r="I2766" s="1930" t="s">
        <v>168</v>
      </c>
      <c r="J2766" s="1930" t="s">
        <v>320</v>
      </c>
      <c r="K2766" s="1933">
        <v>42.29</v>
      </c>
      <c r="L2766" s="1930" t="s">
        <v>138</v>
      </c>
    </row>
    <row r="2767" spans="1:12" ht="13.5" x14ac:dyDescent="0.25">
      <c r="A2767" s="1930" t="s">
        <v>4590</v>
      </c>
      <c r="B2767" s="1930" t="s">
        <v>4591</v>
      </c>
      <c r="C2767" s="1930" t="s">
        <v>4604</v>
      </c>
      <c r="D2767" s="1930" t="s">
        <v>4605</v>
      </c>
      <c r="E2767" s="1931" t="s">
        <v>33</v>
      </c>
      <c r="F2767" s="1930" t="s">
        <v>33</v>
      </c>
      <c r="G2767" s="1932">
        <v>92030</v>
      </c>
      <c r="H2767" s="1930" t="s">
        <v>2114</v>
      </c>
      <c r="I2767" s="1930" t="s">
        <v>168</v>
      </c>
      <c r="J2767" s="1930" t="s">
        <v>320</v>
      </c>
      <c r="K2767" s="1933">
        <v>51.88</v>
      </c>
      <c r="L2767" s="1930" t="s">
        <v>138</v>
      </c>
    </row>
    <row r="2768" spans="1:12" ht="13.5" x14ac:dyDescent="0.25">
      <c r="A2768" s="1930" t="s">
        <v>4590</v>
      </c>
      <c r="B2768" s="1930" t="s">
        <v>4591</v>
      </c>
      <c r="C2768" s="1930" t="s">
        <v>4604</v>
      </c>
      <c r="D2768" s="1930" t="s">
        <v>4605</v>
      </c>
      <c r="E2768" s="1931" t="s">
        <v>33</v>
      </c>
      <c r="F2768" s="1930" t="s">
        <v>33</v>
      </c>
      <c r="G2768" s="1932">
        <v>92031</v>
      </c>
      <c r="H2768" s="1930" t="s">
        <v>2115</v>
      </c>
      <c r="I2768" s="1930" t="s">
        <v>168</v>
      </c>
      <c r="J2768" s="1930" t="s">
        <v>320</v>
      </c>
      <c r="K2768" s="1933">
        <v>58.49</v>
      </c>
      <c r="L2768" s="1930" t="s">
        <v>138</v>
      </c>
    </row>
    <row r="2769" spans="1:12" ht="13.5" x14ac:dyDescent="0.25">
      <c r="A2769" s="1930" t="s">
        <v>4590</v>
      </c>
      <c r="B2769" s="1930" t="s">
        <v>4591</v>
      </c>
      <c r="C2769" s="1930" t="s">
        <v>4604</v>
      </c>
      <c r="D2769" s="1930" t="s">
        <v>4605</v>
      </c>
      <c r="E2769" s="1931" t="s">
        <v>33</v>
      </c>
      <c r="F2769" s="1930" t="s">
        <v>33</v>
      </c>
      <c r="G2769" s="1932">
        <v>92032</v>
      </c>
      <c r="H2769" s="1930" t="s">
        <v>2116</v>
      </c>
      <c r="I2769" s="1930" t="s">
        <v>168</v>
      </c>
      <c r="J2769" s="1930" t="s">
        <v>320</v>
      </c>
      <c r="K2769" s="1933">
        <v>52.93</v>
      </c>
      <c r="L2769" s="1930" t="s">
        <v>138</v>
      </c>
    </row>
    <row r="2770" spans="1:12" ht="13.5" x14ac:dyDescent="0.25">
      <c r="A2770" s="1930" t="s">
        <v>4590</v>
      </c>
      <c r="B2770" s="1930" t="s">
        <v>4591</v>
      </c>
      <c r="C2770" s="1930" t="s">
        <v>4604</v>
      </c>
      <c r="D2770" s="1930" t="s">
        <v>4605</v>
      </c>
      <c r="E2770" s="1931" t="s">
        <v>33</v>
      </c>
      <c r="F2770" s="1930" t="s">
        <v>33</v>
      </c>
      <c r="G2770" s="1932">
        <v>92033</v>
      </c>
      <c r="H2770" s="1930" t="s">
        <v>2117</v>
      </c>
      <c r="I2770" s="1930" t="s">
        <v>168</v>
      </c>
      <c r="J2770" s="1930" t="s">
        <v>320</v>
      </c>
      <c r="K2770" s="1933">
        <v>59.54</v>
      </c>
      <c r="L2770" s="1930" t="s">
        <v>138</v>
      </c>
    </row>
    <row r="2771" spans="1:12" ht="13.5" x14ac:dyDescent="0.25">
      <c r="A2771" s="1930" t="s">
        <v>4590</v>
      </c>
      <c r="B2771" s="1930" t="s">
        <v>4591</v>
      </c>
      <c r="C2771" s="1930" t="s">
        <v>4604</v>
      </c>
      <c r="D2771" s="1930" t="s">
        <v>4605</v>
      </c>
      <c r="E2771" s="1931" t="s">
        <v>33</v>
      </c>
      <c r="F2771" s="1930" t="s">
        <v>33</v>
      </c>
      <c r="G2771" s="1932">
        <v>92034</v>
      </c>
      <c r="H2771" s="1930" t="s">
        <v>2118</v>
      </c>
      <c r="I2771" s="1930" t="s">
        <v>168</v>
      </c>
      <c r="J2771" s="1930" t="s">
        <v>320</v>
      </c>
      <c r="K2771" s="1933">
        <v>48.02</v>
      </c>
      <c r="L2771" s="1930" t="s">
        <v>138</v>
      </c>
    </row>
    <row r="2772" spans="1:12" ht="13.5" x14ac:dyDescent="0.25">
      <c r="A2772" s="1930" t="s">
        <v>4590</v>
      </c>
      <c r="B2772" s="1930" t="s">
        <v>4591</v>
      </c>
      <c r="C2772" s="1930" t="s">
        <v>4604</v>
      </c>
      <c r="D2772" s="1930" t="s">
        <v>4605</v>
      </c>
      <c r="E2772" s="1931" t="s">
        <v>33</v>
      </c>
      <c r="F2772" s="1930" t="s">
        <v>33</v>
      </c>
      <c r="G2772" s="1932">
        <v>92035</v>
      </c>
      <c r="H2772" s="1930" t="s">
        <v>2119</v>
      </c>
      <c r="I2772" s="1930" t="s">
        <v>168</v>
      </c>
      <c r="J2772" s="1930" t="s">
        <v>320</v>
      </c>
      <c r="K2772" s="1933">
        <v>54.63</v>
      </c>
      <c r="L2772" s="1930" t="s">
        <v>138</v>
      </c>
    </row>
    <row r="2773" spans="1:12" ht="13.5" x14ac:dyDescent="0.25">
      <c r="A2773" s="1930" t="s">
        <v>4590</v>
      </c>
      <c r="B2773" s="1930" t="s">
        <v>4591</v>
      </c>
      <c r="C2773" s="1930" t="s">
        <v>4606</v>
      </c>
      <c r="D2773" s="1930" t="s">
        <v>4607</v>
      </c>
      <c r="E2773" s="1931" t="s">
        <v>33</v>
      </c>
      <c r="F2773" s="1930" t="s">
        <v>33</v>
      </c>
      <c r="G2773" s="1932">
        <v>72278</v>
      </c>
      <c r="H2773" s="1930" t="s">
        <v>2120</v>
      </c>
      <c r="I2773" s="1930" t="s">
        <v>168</v>
      </c>
      <c r="J2773" s="1930" t="s">
        <v>137</v>
      </c>
      <c r="K2773" s="1933">
        <v>74.89</v>
      </c>
      <c r="L2773" s="1930" t="s">
        <v>138</v>
      </c>
    </row>
    <row r="2774" spans="1:12" ht="13.5" x14ac:dyDescent="0.25">
      <c r="A2774" s="1930" t="s">
        <v>4590</v>
      </c>
      <c r="B2774" s="1930" t="s">
        <v>4591</v>
      </c>
      <c r="C2774" s="1930" t="s">
        <v>4606</v>
      </c>
      <c r="D2774" s="1930" t="s">
        <v>4607</v>
      </c>
      <c r="E2774" s="1931" t="s">
        <v>33</v>
      </c>
      <c r="F2774" s="1930" t="s">
        <v>33</v>
      </c>
      <c r="G2774" s="1932">
        <v>72280</v>
      </c>
      <c r="H2774" s="1930" t="s">
        <v>2121</v>
      </c>
      <c r="I2774" s="1930" t="s">
        <v>168</v>
      </c>
      <c r="J2774" s="1930" t="s">
        <v>137</v>
      </c>
      <c r="K2774" s="1933">
        <v>39.67</v>
      </c>
      <c r="L2774" s="1930" t="s">
        <v>138</v>
      </c>
    </row>
    <row r="2775" spans="1:12" ht="13.5" x14ac:dyDescent="0.25">
      <c r="A2775" s="1930" t="s">
        <v>4590</v>
      </c>
      <c r="B2775" s="1930" t="s">
        <v>4591</v>
      </c>
      <c r="C2775" s="1930" t="s">
        <v>4606</v>
      </c>
      <c r="D2775" s="1930" t="s">
        <v>4607</v>
      </c>
      <c r="E2775" s="1931" t="s">
        <v>33</v>
      </c>
      <c r="F2775" s="1930" t="s">
        <v>33</v>
      </c>
      <c r="G2775" s="1932">
        <v>97583</v>
      </c>
      <c r="H2775" s="1930" t="s">
        <v>14897</v>
      </c>
      <c r="I2775" s="1930" t="s">
        <v>168</v>
      </c>
      <c r="J2775" s="1930" t="s">
        <v>137</v>
      </c>
      <c r="K2775" s="1933">
        <v>43.61</v>
      </c>
      <c r="L2775" s="1930" t="s">
        <v>138</v>
      </c>
    </row>
    <row r="2776" spans="1:12" ht="13.5" x14ac:dyDescent="0.25">
      <c r="A2776" s="1930" t="s">
        <v>4590</v>
      </c>
      <c r="B2776" s="1930" t="s">
        <v>4591</v>
      </c>
      <c r="C2776" s="1930" t="s">
        <v>4606</v>
      </c>
      <c r="D2776" s="1930" t="s">
        <v>4607</v>
      </c>
      <c r="E2776" s="1931" t="s">
        <v>33</v>
      </c>
      <c r="F2776" s="1930" t="s">
        <v>33</v>
      </c>
      <c r="G2776" s="1932">
        <v>97584</v>
      </c>
      <c r="H2776" s="1930" t="s">
        <v>14898</v>
      </c>
      <c r="I2776" s="1930" t="s">
        <v>168</v>
      </c>
      <c r="J2776" s="1930" t="s">
        <v>137</v>
      </c>
      <c r="K2776" s="1933">
        <v>59.67</v>
      </c>
      <c r="L2776" s="1930" t="s">
        <v>138</v>
      </c>
    </row>
    <row r="2777" spans="1:12" ht="13.5" x14ac:dyDescent="0.25">
      <c r="A2777" s="1930" t="s">
        <v>4590</v>
      </c>
      <c r="B2777" s="1930" t="s">
        <v>4591</v>
      </c>
      <c r="C2777" s="1930" t="s">
        <v>4606</v>
      </c>
      <c r="D2777" s="1930" t="s">
        <v>4607</v>
      </c>
      <c r="E2777" s="1931" t="s">
        <v>33</v>
      </c>
      <c r="F2777" s="1930" t="s">
        <v>33</v>
      </c>
      <c r="G2777" s="1932">
        <v>97585</v>
      </c>
      <c r="H2777" s="1930" t="s">
        <v>14899</v>
      </c>
      <c r="I2777" s="1930" t="s">
        <v>168</v>
      </c>
      <c r="J2777" s="1930" t="s">
        <v>137</v>
      </c>
      <c r="K2777" s="1933">
        <v>57.98</v>
      </c>
      <c r="L2777" s="1930" t="s">
        <v>138</v>
      </c>
    </row>
    <row r="2778" spans="1:12" ht="13.5" x14ac:dyDescent="0.25">
      <c r="A2778" s="1930" t="s">
        <v>4590</v>
      </c>
      <c r="B2778" s="1930" t="s">
        <v>4591</v>
      </c>
      <c r="C2778" s="1930" t="s">
        <v>4606</v>
      </c>
      <c r="D2778" s="1930" t="s">
        <v>4607</v>
      </c>
      <c r="E2778" s="1931" t="s">
        <v>33</v>
      </c>
      <c r="F2778" s="1930" t="s">
        <v>33</v>
      </c>
      <c r="G2778" s="1932">
        <v>97586</v>
      </c>
      <c r="H2778" s="1930" t="s">
        <v>14900</v>
      </c>
      <c r="I2778" s="1930" t="s">
        <v>168</v>
      </c>
      <c r="J2778" s="1930" t="s">
        <v>137</v>
      </c>
      <c r="K2778" s="1933">
        <v>77.37</v>
      </c>
      <c r="L2778" s="1930" t="s">
        <v>138</v>
      </c>
    </row>
    <row r="2779" spans="1:12" ht="13.5" x14ac:dyDescent="0.25">
      <c r="A2779" s="1930" t="s">
        <v>4590</v>
      </c>
      <c r="B2779" s="1930" t="s">
        <v>4591</v>
      </c>
      <c r="C2779" s="1930" t="s">
        <v>4606</v>
      </c>
      <c r="D2779" s="1930" t="s">
        <v>4607</v>
      </c>
      <c r="E2779" s="1931" t="s">
        <v>33</v>
      </c>
      <c r="F2779" s="1930" t="s">
        <v>33</v>
      </c>
      <c r="G2779" s="1932">
        <v>97587</v>
      </c>
      <c r="H2779" s="1930" t="s">
        <v>14901</v>
      </c>
      <c r="I2779" s="1930" t="s">
        <v>168</v>
      </c>
      <c r="J2779" s="1930" t="s">
        <v>137</v>
      </c>
      <c r="K2779" s="1933">
        <v>137.49</v>
      </c>
      <c r="L2779" s="1930" t="s">
        <v>138</v>
      </c>
    </row>
    <row r="2780" spans="1:12" ht="13.5" x14ac:dyDescent="0.25">
      <c r="A2780" s="1930" t="s">
        <v>4590</v>
      </c>
      <c r="B2780" s="1930" t="s">
        <v>4591</v>
      </c>
      <c r="C2780" s="1930" t="s">
        <v>4606</v>
      </c>
      <c r="D2780" s="1930" t="s">
        <v>4607</v>
      </c>
      <c r="E2780" s="1931" t="s">
        <v>33</v>
      </c>
      <c r="F2780" s="1930" t="s">
        <v>33</v>
      </c>
      <c r="G2780" s="1932">
        <v>97589</v>
      </c>
      <c r="H2780" s="1930" t="s">
        <v>14902</v>
      </c>
      <c r="I2780" s="1930" t="s">
        <v>168</v>
      </c>
      <c r="J2780" s="1930" t="s">
        <v>137</v>
      </c>
      <c r="K2780" s="1933">
        <v>27.53</v>
      </c>
      <c r="L2780" s="1930" t="s">
        <v>138</v>
      </c>
    </row>
    <row r="2781" spans="1:12" ht="13.5" x14ac:dyDescent="0.25">
      <c r="A2781" s="1930" t="s">
        <v>4590</v>
      </c>
      <c r="B2781" s="1930" t="s">
        <v>4591</v>
      </c>
      <c r="C2781" s="1930" t="s">
        <v>4606</v>
      </c>
      <c r="D2781" s="1930" t="s">
        <v>4607</v>
      </c>
      <c r="E2781" s="1931" t="s">
        <v>33</v>
      </c>
      <c r="F2781" s="1930" t="s">
        <v>33</v>
      </c>
      <c r="G2781" s="1932">
        <v>97590</v>
      </c>
      <c r="H2781" s="1930" t="s">
        <v>14903</v>
      </c>
      <c r="I2781" s="1930" t="s">
        <v>168</v>
      </c>
      <c r="J2781" s="1930" t="s">
        <v>137</v>
      </c>
      <c r="K2781" s="1933">
        <v>54.33</v>
      </c>
      <c r="L2781" s="1930" t="s">
        <v>138</v>
      </c>
    </row>
    <row r="2782" spans="1:12" ht="13.5" x14ac:dyDescent="0.25">
      <c r="A2782" s="1930" t="s">
        <v>4590</v>
      </c>
      <c r="B2782" s="1930" t="s">
        <v>4591</v>
      </c>
      <c r="C2782" s="1930" t="s">
        <v>4606</v>
      </c>
      <c r="D2782" s="1930" t="s">
        <v>4607</v>
      </c>
      <c r="E2782" s="1931" t="s">
        <v>33</v>
      </c>
      <c r="F2782" s="1930" t="s">
        <v>33</v>
      </c>
      <c r="G2782" s="1932">
        <v>97591</v>
      </c>
      <c r="H2782" s="1930" t="s">
        <v>14904</v>
      </c>
      <c r="I2782" s="1930" t="s">
        <v>168</v>
      </c>
      <c r="J2782" s="1930" t="s">
        <v>137</v>
      </c>
      <c r="K2782" s="1933">
        <v>73.19</v>
      </c>
      <c r="L2782" s="1930" t="s">
        <v>138</v>
      </c>
    </row>
    <row r="2783" spans="1:12" ht="13.5" x14ac:dyDescent="0.25">
      <c r="A2783" s="1930" t="s">
        <v>4590</v>
      </c>
      <c r="B2783" s="1930" t="s">
        <v>4591</v>
      </c>
      <c r="C2783" s="1930" t="s">
        <v>4606</v>
      </c>
      <c r="D2783" s="1930" t="s">
        <v>4607</v>
      </c>
      <c r="E2783" s="1931" t="s">
        <v>33</v>
      </c>
      <c r="F2783" s="1930" t="s">
        <v>33</v>
      </c>
      <c r="G2783" s="1932">
        <v>97592</v>
      </c>
      <c r="H2783" s="1930" t="s">
        <v>14905</v>
      </c>
      <c r="I2783" s="1930" t="s">
        <v>168</v>
      </c>
      <c r="J2783" s="1930" t="s">
        <v>320</v>
      </c>
      <c r="K2783" s="1933">
        <v>37.380000000000003</v>
      </c>
      <c r="L2783" s="1930" t="s">
        <v>138</v>
      </c>
    </row>
    <row r="2784" spans="1:12" ht="13.5" x14ac:dyDescent="0.25">
      <c r="A2784" s="1930" t="s">
        <v>4590</v>
      </c>
      <c r="B2784" s="1930" t="s">
        <v>4591</v>
      </c>
      <c r="C2784" s="1930" t="s">
        <v>4606</v>
      </c>
      <c r="D2784" s="1930" t="s">
        <v>4607</v>
      </c>
      <c r="E2784" s="1931" t="s">
        <v>33</v>
      </c>
      <c r="F2784" s="1930" t="s">
        <v>33</v>
      </c>
      <c r="G2784" s="1932">
        <v>97593</v>
      </c>
      <c r="H2784" s="1930" t="s">
        <v>14906</v>
      </c>
      <c r="I2784" s="1930" t="s">
        <v>168</v>
      </c>
      <c r="J2784" s="1930" t="s">
        <v>137</v>
      </c>
      <c r="K2784" s="1933">
        <v>74.069999999999993</v>
      </c>
      <c r="L2784" s="1930" t="s">
        <v>138</v>
      </c>
    </row>
    <row r="2785" spans="1:12" ht="13.5" x14ac:dyDescent="0.25">
      <c r="A2785" s="1930" t="s">
        <v>4590</v>
      </c>
      <c r="B2785" s="1930" t="s">
        <v>4591</v>
      </c>
      <c r="C2785" s="1930" t="s">
        <v>4606</v>
      </c>
      <c r="D2785" s="1930" t="s">
        <v>4607</v>
      </c>
      <c r="E2785" s="1931" t="s">
        <v>33</v>
      </c>
      <c r="F2785" s="1930" t="s">
        <v>33</v>
      </c>
      <c r="G2785" s="1932">
        <v>97594</v>
      </c>
      <c r="H2785" s="1930" t="s">
        <v>14907</v>
      </c>
      <c r="I2785" s="1930" t="s">
        <v>168</v>
      </c>
      <c r="J2785" s="1930" t="s">
        <v>137</v>
      </c>
      <c r="K2785" s="1933">
        <v>72.47</v>
      </c>
      <c r="L2785" s="1930" t="s">
        <v>138</v>
      </c>
    </row>
    <row r="2786" spans="1:12" ht="13.5" x14ac:dyDescent="0.25">
      <c r="A2786" s="1930" t="s">
        <v>4590</v>
      </c>
      <c r="B2786" s="1930" t="s">
        <v>4591</v>
      </c>
      <c r="C2786" s="1930" t="s">
        <v>4606</v>
      </c>
      <c r="D2786" s="1930" t="s">
        <v>4607</v>
      </c>
      <c r="E2786" s="1931" t="s">
        <v>33</v>
      </c>
      <c r="F2786" s="1930" t="s">
        <v>33</v>
      </c>
      <c r="G2786" s="1932">
        <v>97595</v>
      </c>
      <c r="H2786" s="1930" t="s">
        <v>14908</v>
      </c>
      <c r="I2786" s="1930" t="s">
        <v>168</v>
      </c>
      <c r="J2786" s="1930" t="s">
        <v>137</v>
      </c>
      <c r="K2786" s="1933">
        <v>53.16</v>
      </c>
      <c r="L2786" s="1930" t="s">
        <v>138</v>
      </c>
    </row>
    <row r="2787" spans="1:12" ht="13.5" x14ac:dyDescent="0.25">
      <c r="A2787" s="1930" t="s">
        <v>4590</v>
      </c>
      <c r="B2787" s="1930" t="s">
        <v>4591</v>
      </c>
      <c r="C2787" s="1930" t="s">
        <v>4606</v>
      </c>
      <c r="D2787" s="1930" t="s">
        <v>4607</v>
      </c>
      <c r="E2787" s="1931" t="s">
        <v>33</v>
      </c>
      <c r="F2787" s="1930" t="s">
        <v>33</v>
      </c>
      <c r="G2787" s="1932">
        <v>97596</v>
      </c>
      <c r="H2787" s="1930" t="s">
        <v>14909</v>
      </c>
      <c r="I2787" s="1930" t="s">
        <v>168</v>
      </c>
      <c r="J2787" s="1930" t="s">
        <v>137</v>
      </c>
      <c r="K2787" s="1933">
        <v>38.69</v>
      </c>
      <c r="L2787" s="1930" t="s">
        <v>138</v>
      </c>
    </row>
    <row r="2788" spans="1:12" ht="13.5" x14ac:dyDescent="0.25">
      <c r="A2788" s="1930" t="s">
        <v>4590</v>
      </c>
      <c r="B2788" s="1930" t="s">
        <v>4591</v>
      </c>
      <c r="C2788" s="1930" t="s">
        <v>4606</v>
      </c>
      <c r="D2788" s="1930" t="s">
        <v>4607</v>
      </c>
      <c r="E2788" s="1931" t="s">
        <v>33</v>
      </c>
      <c r="F2788" s="1930" t="s">
        <v>33</v>
      </c>
      <c r="G2788" s="1932">
        <v>97597</v>
      </c>
      <c r="H2788" s="1930" t="s">
        <v>14910</v>
      </c>
      <c r="I2788" s="1930" t="s">
        <v>168</v>
      </c>
      <c r="J2788" s="1930" t="s">
        <v>137</v>
      </c>
      <c r="K2788" s="1933">
        <v>36.54</v>
      </c>
      <c r="L2788" s="1930" t="s">
        <v>138</v>
      </c>
    </row>
    <row r="2789" spans="1:12" ht="13.5" x14ac:dyDescent="0.25">
      <c r="A2789" s="1930" t="s">
        <v>4590</v>
      </c>
      <c r="B2789" s="1930" t="s">
        <v>4591</v>
      </c>
      <c r="C2789" s="1930" t="s">
        <v>4606</v>
      </c>
      <c r="D2789" s="1930" t="s">
        <v>4607</v>
      </c>
      <c r="E2789" s="1931" t="s">
        <v>33</v>
      </c>
      <c r="F2789" s="1930" t="s">
        <v>33</v>
      </c>
      <c r="G2789" s="1932">
        <v>97598</v>
      </c>
      <c r="H2789" s="1930" t="s">
        <v>14911</v>
      </c>
      <c r="I2789" s="1930" t="s">
        <v>168</v>
      </c>
      <c r="J2789" s="1930" t="s">
        <v>137</v>
      </c>
      <c r="K2789" s="1933">
        <v>34.69</v>
      </c>
      <c r="L2789" s="1930" t="s">
        <v>138</v>
      </c>
    </row>
    <row r="2790" spans="1:12" ht="13.5" x14ac:dyDescent="0.25">
      <c r="A2790" s="1930" t="s">
        <v>4590</v>
      </c>
      <c r="B2790" s="1930" t="s">
        <v>4591</v>
      </c>
      <c r="C2790" s="1930" t="s">
        <v>4606</v>
      </c>
      <c r="D2790" s="1930" t="s">
        <v>4607</v>
      </c>
      <c r="E2790" s="1931" t="s">
        <v>33</v>
      </c>
      <c r="F2790" s="1930" t="s">
        <v>33</v>
      </c>
      <c r="G2790" s="1932">
        <v>97599</v>
      </c>
      <c r="H2790" s="1930" t="s">
        <v>14912</v>
      </c>
      <c r="I2790" s="1930" t="s">
        <v>168</v>
      </c>
      <c r="J2790" s="1930" t="s">
        <v>320</v>
      </c>
      <c r="K2790" s="1933">
        <v>29.9</v>
      </c>
      <c r="L2790" s="1930" t="s">
        <v>138</v>
      </c>
    </row>
    <row r="2791" spans="1:12" ht="13.5" x14ac:dyDescent="0.25">
      <c r="A2791" s="1930" t="s">
        <v>4590</v>
      </c>
      <c r="B2791" s="1930" t="s">
        <v>4591</v>
      </c>
      <c r="C2791" s="1930" t="s">
        <v>4606</v>
      </c>
      <c r="D2791" s="1930" t="s">
        <v>4607</v>
      </c>
      <c r="E2791" s="1931" t="s">
        <v>33</v>
      </c>
      <c r="F2791" s="1930" t="s">
        <v>33</v>
      </c>
      <c r="G2791" s="1932">
        <v>97609</v>
      </c>
      <c r="H2791" s="1930" t="s">
        <v>14913</v>
      </c>
      <c r="I2791" s="1930" t="s">
        <v>168</v>
      </c>
      <c r="J2791" s="1930" t="s">
        <v>320</v>
      </c>
      <c r="K2791" s="1933">
        <v>15.43</v>
      </c>
      <c r="L2791" s="1930" t="s">
        <v>138</v>
      </c>
    </row>
    <row r="2792" spans="1:12" ht="13.5" x14ac:dyDescent="0.25">
      <c r="A2792" s="1930" t="s">
        <v>4590</v>
      </c>
      <c r="B2792" s="1930" t="s">
        <v>4591</v>
      </c>
      <c r="C2792" s="1930" t="s">
        <v>4606</v>
      </c>
      <c r="D2792" s="1930" t="s">
        <v>4607</v>
      </c>
      <c r="E2792" s="1931" t="s">
        <v>33</v>
      </c>
      <c r="F2792" s="1930" t="s">
        <v>33</v>
      </c>
      <c r="G2792" s="1932">
        <v>97610</v>
      </c>
      <c r="H2792" s="1930" t="s">
        <v>14914</v>
      </c>
      <c r="I2792" s="1930" t="s">
        <v>168</v>
      </c>
      <c r="J2792" s="1930" t="s">
        <v>320</v>
      </c>
      <c r="K2792" s="1933">
        <v>16.739999999999998</v>
      </c>
      <c r="L2792" s="1930" t="s">
        <v>138</v>
      </c>
    </row>
    <row r="2793" spans="1:12" ht="13.5" x14ac:dyDescent="0.25">
      <c r="A2793" s="1930" t="s">
        <v>4590</v>
      </c>
      <c r="B2793" s="1930" t="s">
        <v>4591</v>
      </c>
      <c r="C2793" s="1930" t="s">
        <v>4606</v>
      </c>
      <c r="D2793" s="1930" t="s">
        <v>4607</v>
      </c>
      <c r="E2793" s="1931" t="s">
        <v>33</v>
      </c>
      <c r="F2793" s="1930" t="s">
        <v>33</v>
      </c>
      <c r="G2793" s="1932">
        <v>97611</v>
      </c>
      <c r="H2793" s="1930" t="s">
        <v>14915</v>
      </c>
      <c r="I2793" s="1930" t="s">
        <v>168</v>
      </c>
      <c r="J2793" s="1930" t="s">
        <v>137</v>
      </c>
      <c r="K2793" s="1933">
        <v>16.670000000000002</v>
      </c>
      <c r="L2793" s="1930" t="s">
        <v>138</v>
      </c>
    </row>
    <row r="2794" spans="1:12" ht="13.5" x14ac:dyDescent="0.25">
      <c r="A2794" s="1930" t="s">
        <v>4590</v>
      </c>
      <c r="B2794" s="1930" t="s">
        <v>4591</v>
      </c>
      <c r="C2794" s="1930" t="s">
        <v>4606</v>
      </c>
      <c r="D2794" s="1930" t="s">
        <v>4607</v>
      </c>
      <c r="E2794" s="1931" t="s">
        <v>33</v>
      </c>
      <c r="F2794" s="1930" t="s">
        <v>33</v>
      </c>
      <c r="G2794" s="1932">
        <v>97612</v>
      </c>
      <c r="H2794" s="1930" t="s">
        <v>14916</v>
      </c>
      <c r="I2794" s="1930" t="s">
        <v>168</v>
      </c>
      <c r="J2794" s="1930" t="s">
        <v>137</v>
      </c>
      <c r="K2794" s="1933">
        <v>18.07</v>
      </c>
      <c r="L2794" s="1930" t="s">
        <v>138</v>
      </c>
    </row>
    <row r="2795" spans="1:12" ht="13.5" x14ac:dyDescent="0.25">
      <c r="A2795" s="1930" t="s">
        <v>4590</v>
      </c>
      <c r="B2795" s="1930" t="s">
        <v>4591</v>
      </c>
      <c r="C2795" s="1930" t="s">
        <v>4606</v>
      </c>
      <c r="D2795" s="1930" t="s">
        <v>4607</v>
      </c>
      <c r="E2795" s="1931" t="s">
        <v>33</v>
      </c>
      <c r="F2795" s="1930" t="s">
        <v>33</v>
      </c>
      <c r="G2795" s="1932">
        <v>97613</v>
      </c>
      <c r="H2795" s="1930" t="s">
        <v>14917</v>
      </c>
      <c r="I2795" s="1930" t="s">
        <v>168</v>
      </c>
      <c r="J2795" s="1930" t="s">
        <v>137</v>
      </c>
      <c r="K2795" s="1933">
        <v>22.71</v>
      </c>
      <c r="L2795" s="1930" t="s">
        <v>138</v>
      </c>
    </row>
    <row r="2796" spans="1:12" ht="13.5" x14ac:dyDescent="0.25">
      <c r="A2796" s="1930" t="s">
        <v>4590</v>
      </c>
      <c r="B2796" s="1930" t="s">
        <v>4591</v>
      </c>
      <c r="C2796" s="1930" t="s">
        <v>4606</v>
      </c>
      <c r="D2796" s="1930" t="s">
        <v>4607</v>
      </c>
      <c r="E2796" s="1931" t="s">
        <v>33</v>
      </c>
      <c r="F2796" s="1930" t="s">
        <v>33</v>
      </c>
      <c r="G2796" s="1932">
        <v>97614</v>
      </c>
      <c r="H2796" s="1930" t="s">
        <v>14918</v>
      </c>
      <c r="I2796" s="1930" t="s">
        <v>168</v>
      </c>
      <c r="J2796" s="1930" t="s">
        <v>137</v>
      </c>
      <c r="K2796" s="1933">
        <v>39.47</v>
      </c>
      <c r="L2796" s="1930" t="s">
        <v>138</v>
      </c>
    </row>
    <row r="2797" spans="1:12" ht="13.5" x14ac:dyDescent="0.25">
      <c r="A2797" s="1930" t="s">
        <v>4590</v>
      </c>
      <c r="B2797" s="1930" t="s">
        <v>4591</v>
      </c>
      <c r="C2797" s="1930" t="s">
        <v>4606</v>
      </c>
      <c r="D2797" s="1930" t="s">
        <v>4607</v>
      </c>
      <c r="E2797" s="1931" t="s">
        <v>33</v>
      </c>
      <c r="F2797" s="1930" t="s">
        <v>33</v>
      </c>
      <c r="G2797" s="1932">
        <v>97615</v>
      </c>
      <c r="H2797" s="1930" t="s">
        <v>14919</v>
      </c>
      <c r="I2797" s="1930" t="s">
        <v>168</v>
      </c>
      <c r="J2797" s="1930" t="s">
        <v>137</v>
      </c>
      <c r="K2797" s="1933">
        <v>31.08</v>
      </c>
      <c r="L2797" s="1930" t="s">
        <v>138</v>
      </c>
    </row>
    <row r="2798" spans="1:12" ht="13.5" x14ac:dyDescent="0.25">
      <c r="A2798" s="1930" t="s">
        <v>4590</v>
      </c>
      <c r="B2798" s="1930" t="s">
        <v>4591</v>
      </c>
      <c r="C2798" s="1930" t="s">
        <v>4606</v>
      </c>
      <c r="D2798" s="1930" t="s">
        <v>4607</v>
      </c>
      <c r="E2798" s="1931" t="s">
        <v>33</v>
      </c>
      <c r="F2798" s="1930" t="s">
        <v>33</v>
      </c>
      <c r="G2798" s="1932">
        <v>97616</v>
      </c>
      <c r="H2798" s="1930" t="s">
        <v>14920</v>
      </c>
      <c r="I2798" s="1930" t="s">
        <v>168</v>
      </c>
      <c r="J2798" s="1930" t="s">
        <v>137</v>
      </c>
      <c r="K2798" s="1933">
        <v>34.89</v>
      </c>
      <c r="L2798" s="1930" t="s">
        <v>138</v>
      </c>
    </row>
    <row r="2799" spans="1:12" ht="13.5" x14ac:dyDescent="0.25">
      <c r="A2799" s="1930" t="s">
        <v>4590</v>
      </c>
      <c r="B2799" s="1930" t="s">
        <v>4591</v>
      </c>
      <c r="C2799" s="1930" t="s">
        <v>4606</v>
      </c>
      <c r="D2799" s="1930" t="s">
        <v>4607</v>
      </c>
      <c r="E2799" s="1931" t="s">
        <v>33</v>
      </c>
      <c r="F2799" s="1930" t="s">
        <v>33</v>
      </c>
      <c r="G2799" s="1932">
        <v>97617</v>
      </c>
      <c r="H2799" s="1930" t="s">
        <v>14921</v>
      </c>
      <c r="I2799" s="1930" t="s">
        <v>168</v>
      </c>
      <c r="J2799" s="1930" t="s">
        <v>137</v>
      </c>
      <c r="K2799" s="1933">
        <v>34.68</v>
      </c>
      <c r="L2799" s="1930" t="s">
        <v>138</v>
      </c>
    </row>
    <row r="2800" spans="1:12" ht="13.5" x14ac:dyDescent="0.25">
      <c r="A2800" s="1930" t="s">
        <v>4590</v>
      </c>
      <c r="B2800" s="1930" t="s">
        <v>4591</v>
      </c>
      <c r="C2800" s="1930" t="s">
        <v>4606</v>
      </c>
      <c r="D2800" s="1930" t="s">
        <v>4607</v>
      </c>
      <c r="E2800" s="1931" t="s">
        <v>33</v>
      </c>
      <c r="F2800" s="1930" t="s">
        <v>33</v>
      </c>
      <c r="G2800" s="1932">
        <v>97618</v>
      </c>
      <c r="H2800" s="1930" t="s">
        <v>14922</v>
      </c>
      <c r="I2800" s="1930" t="s">
        <v>168</v>
      </c>
      <c r="J2800" s="1930" t="s">
        <v>137</v>
      </c>
      <c r="K2800" s="1933">
        <v>33.04</v>
      </c>
      <c r="L2800" s="1930" t="s">
        <v>138</v>
      </c>
    </row>
    <row r="2801" spans="1:12" ht="13.5" x14ac:dyDescent="0.25">
      <c r="A2801" s="1930" t="s">
        <v>4590</v>
      </c>
      <c r="B2801" s="1930" t="s">
        <v>4591</v>
      </c>
      <c r="C2801" s="1930" t="s">
        <v>4606</v>
      </c>
      <c r="D2801" s="1930" t="s">
        <v>4607</v>
      </c>
      <c r="E2801" s="1931" t="s">
        <v>33</v>
      </c>
      <c r="F2801" s="1930" t="s">
        <v>33</v>
      </c>
      <c r="G2801" s="1932">
        <v>100902</v>
      </c>
      <c r="H2801" s="1930" t="s">
        <v>14923</v>
      </c>
      <c r="I2801" s="1930" t="s">
        <v>168</v>
      </c>
      <c r="J2801" s="1930" t="s">
        <v>320</v>
      </c>
      <c r="K2801" s="1933">
        <v>24.62</v>
      </c>
      <c r="L2801" s="1930" t="s">
        <v>138</v>
      </c>
    </row>
    <row r="2802" spans="1:12" ht="13.5" x14ac:dyDescent="0.25">
      <c r="A2802" s="1930" t="s">
        <v>4590</v>
      </c>
      <c r="B2802" s="1930" t="s">
        <v>4591</v>
      </c>
      <c r="C2802" s="1930" t="s">
        <v>4606</v>
      </c>
      <c r="D2802" s="1930" t="s">
        <v>4607</v>
      </c>
      <c r="E2802" s="1931" t="s">
        <v>33</v>
      </c>
      <c r="F2802" s="1930" t="s">
        <v>33</v>
      </c>
      <c r="G2802" s="1932">
        <v>100903</v>
      </c>
      <c r="H2802" s="1930" t="s">
        <v>14924</v>
      </c>
      <c r="I2802" s="1930" t="s">
        <v>168</v>
      </c>
      <c r="J2802" s="1930" t="s">
        <v>320</v>
      </c>
      <c r="K2802" s="1933">
        <v>30.41</v>
      </c>
      <c r="L2802" s="1930" t="s">
        <v>138</v>
      </c>
    </row>
    <row r="2803" spans="1:12" ht="13.5" x14ac:dyDescent="0.25">
      <c r="A2803" s="1930" t="s">
        <v>4590</v>
      </c>
      <c r="B2803" s="1930" t="s">
        <v>4591</v>
      </c>
      <c r="C2803" s="1930" t="s">
        <v>4606</v>
      </c>
      <c r="D2803" s="1930" t="s">
        <v>4607</v>
      </c>
      <c r="E2803" s="1931" t="s">
        <v>33</v>
      </c>
      <c r="F2803" s="1930" t="s">
        <v>33</v>
      </c>
      <c r="G2803" s="1932">
        <v>100904</v>
      </c>
      <c r="H2803" s="1930" t="s">
        <v>14925</v>
      </c>
      <c r="I2803" s="1930" t="s">
        <v>168</v>
      </c>
      <c r="J2803" s="1930" t="s">
        <v>137</v>
      </c>
      <c r="K2803" s="1933">
        <v>43.61</v>
      </c>
      <c r="L2803" s="1930" t="s">
        <v>138</v>
      </c>
    </row>
    <row r="2804" spans="1:12" ht="13.5" x14ac:dyDescent="0.25">
      <c r="A2804" s="1930" t="s">
        <v>4590</v>
      </c>
      <c r="B2804" s="1930" t="s">
        <v>4591</v>
      </c>
      <c r="C2804" s="1930" t="s">
        <v>4606</v>
      </c>
      <c r="D2804" s="1930" t="s">
        <v>4607</v>
      </c>
      <c r="E2804" s="1931" t="s">
        <v>33</v>
      </c>
      <c r="F2804" s="1930" t="s">
        <v>33</v>
      </c>
      <c r="G2804" s="1932">
        <v>100905</v>
      </c>
      <c r="H2804" s="1930" t="s">
        <v>14926</v>
      </c>
      <c r="I2804" s="1930" t="s">
        <v>168</v>
      </c>
      <c r="J2804" s="1930" t="s">
        <v>137</v>
      </c>
      <c r="K2804" s="1933">
        <v>115.97</v>
      </c>
      <c r="L2804" s="1930" t="s">
        <v>138</v>
      </c>
    </row>
    <row r="2805" spans="1:12" ht="13.5" x14ac:dyDescent="0.25">
      <c r="A2805" s="1930" t="s">
        <v>4590</v>
      </c>
      <c r="B2805" s="1930" t="s">
        <v>4591</v>
      </c>
      <c r="C2805" s="1930" t="s">
        <v>4606</v>
      </c>
      <c r="D2805" s="1930" t="s">
        <v>4607</v>
      </c>
      <c r="E2805" s="1931" t="s">
        <v>33</v>
      </c>
      <c r="F2805" s="1930" t="s">
        <v>33</v>
      </c>
      <c r="G2805" s="1932">
        <v>100906</v>
      </c>
      <c r="H2805" s="1930" t="s">
        <v>14927</v>
      </c>
      <c r="I2805" s="1930" t="s">
        <v>168</v>
      </c>
      <c r="J2805" s="1930" t="s">
        <v>137</v>
      </c>
      <c r="K2805" s="1933">
        <v>154.75</v>
      </c>
      <c r="L2805" s="1930" t="s">
        <v>138</v>
      </c>
    </row>
    <row r="2806" spans="1:12" ht="13.5" x14ac:dyDescent="0.25">
      <c r="A2806" s="1930" t="s">
        <v>4590</v>
      </c>
      <c r="B2806" s="1930" t="s">
        <v>4591</v>
      </c>
      <c r="C2806" s="1930" t="s">
        <v>4606</v>
      </c>
      <c r="D2806" s="1930" t="s">
        <v>4607</v>
      </c>
      <c r="E2806" s="1931" t="s">
        <v>33</v>
      </c>
      <c r="F2806" s="1930" t="s">
        <v>33</v>
      </c>
      <c r="G2806" s="1932">
        <v>100919</v>
      </c>
      <c r="H2806" s="1930" t="s">
        <v>14928</v>
      </c>
      <c r="I2806" s="1930" t="s">
        <v>168</v>
      </c>
      <c r="J2806" s="1930" t="s">
        <v>137</v>
      </c>
      <c r="K2806" s="1933">
        <v>44.94</v>
      </c>
      <c r="L2806" s="1930" t="s">
        <v>138</v>
      </c>
    </row>
    <row r="2807" spans="1:12" ht="13.5" x14ac:dyDescent="0.25">
      <c r="A2807" s="1930" t="s">
        <v>4590</v>
      </c>
      <c r="B2807" s="1930" t="s">
        <v>4591</v>
      </c>
      <c r="C2807" s="1930" t="s">
        <v>4606</v>
      </c>
      <c r="D2807" s="1930" t="s">
        <v>4607</v>
      </c>
      <c r="E2807" s="1931" t="s">
        <v>33</v>
      </c>
      <c r="F2807" s="1930" t="s">
        <v>33</v>
      </c>
      <c r="G2807" s="1932">
        <v>100920</v>
      </c>
      <c r="H2807" s="1930" t="s">
        <v>14929</v>
      </c>
      <c r="I2807" s="1930" t="s">
        <v>168</v>
      </c>
      <c r="J2807" s="1930" t="s">
        <v>137</v>
      </c>
      <c r="K2807" s="1933">
        <v>75.849999999999994</v>
      </c>
      <c r="L2807" s="1930" t="s">
        <v>138</v>
      </c>
    </row>
    <row r="2808" spans="1:12" ht="13.5" x14ac:dyDescent="0.25">
      <c r="A2808" s="1930" t="s">
        <v>4590</v>
      </c>
      <c r="B2808" s="1930" t="s">
        <v>4591</v>
      </c>
      <c r="C2808" s="1930" t="s">
        <v>4606</v>
      </c>
      <c r="D2808" s="1930" t="s">
        <v>4607</v>
      </c>
      <c r="E2808" s="1931" t="s">
        <v>33</v>
      </c>
      <c r="F2808" s="1930" t="s">
        <v>33</v>
      </c>
      <c r="G2808" s="1932">
        <v>100921</v>
      </c>
      <c r="H2808" s="1930" t="s">
        <v>14930</v>
      </c>
      <c r="I2808" s="1930" t="s">
        <v>168</v>
      </c>
      <c r="J2808" s="1930" t="s">
        <v>137</v>
      </c>
      <c r="K2808" s="1933">
        <v>37.44</v>
      </c>
      <c r="L2808" s="1930" t="s">
        <v>138</v>
      </c>
    </row>
    <row r="2809" spans="1:12" ht="13.5" x14ac:dyDescent="0.25">
      <c r="A2809" s="1930" t="s">
        <v>4590</v>
      </c>
      <c r="B2809" s="1930" t="s">
        <v>4591</v>
      </c>
      <c r="C2809" s="1930" t="s">
        <v>4606</v>
      </c>
      <c r="D2809" s="1930" t="s">
        <v>4607</v>
      </c>
      <c r="E2809" s="1931" t="s">
        <v>33</v>
      </c>
      <c r="F2809" s="1930" t="s">
        <v>33</v>
      </c>
      <c r="G2809" s="1932">
        <v>100922</v>
      </c>
      <c r="H2809" s="1930" t="s">
        <v>14931</v>
      </c>
      <c r="I2809" s="1930" t="s">
        <v>168</v>
      </c>
      <c r="J2809" s="1930" t="s">
        <v>137</v>
      </c>
      <c r="K2809" s="1933">
        <v>26.69</v>
      </c>
      <c r="L2809" s="1930" t="s">
        <v>138</v>
      </c>
    </row>
    <row r="2810" spans="1:12" ht="13.5" x14ac:dyDescent="0.25">
      <c r="A2810" s="1930" t="s">
        <v>4590</v>
      </c>
      <c r="B2810" s="1930" t="s">
        <v>4591</v>
      </c>
      <c r="C2810" s="1930" t="s">
        <v>4606</v>
      </c>
      <c r="D2810" s="1930" t="s">
        <v>4607</v>
      </c>
      <c r="E2810" s="1931" t="s">
        <v>33</v>
      </c>
      <c r="F2810" s="1930" t="s">
        <v>33</v>
      </c>
      <c r="G2810" s="1932">
        <v>100923</v>
      </c>
      <c r="H2810" s="1930" t="s">
        <v>14932</v>
      </c>
      <c r="I2810" s="1930" t="s">
        <v>168</v>
      </c>
      <c r="J2810" s="1930" t="s">
        <v>137</v>
      </c>
      <c r="K2810" s="1933">
        <v>30.15</v>
      </c>
      <c r="L2810" s="1930" t="s">
        <v>138</v>
      </c>
    </row>
    <row r="2811" spans="1:12" ht="13.5" x14ac:dyDescent="0.25">
      <c r="A2811" s="1930" t="s">
        <v>4590</v>
      </c>
      <c r="B2811" s="1930" t="s">
        <v>4591</v>
      </c>
      <c r="C2811" s="1930" t="s">
        <v>4608</v>
      </c>
      <c r="D2811" s="1930" t="s">
        <v>4609</v>
      </c>
      <c r="E2811" s="1931" t="s">
        <v>33</v>
      </c>
      <c r="F2811" s="1930" t="s">
        <v>33</v>
      </c>
      <c r="G2811" s="1932">
        <v>72941</v>
      </c>
      <c r="H2811" s="1930" t="s">
        <v>2122</v>
      </c>
      <c r="I2811" s="1930" t="s">
        <v>168</v>
      </c>
      <c r="J2811" s="1930" t="s">
        <v>320</v>
      </c>
      <c r="K2811" s="1933">
        <v>164.85</v>
      </c>
      <c r="L2811" s="1930" t="s">
        <v>138</v>
      </c>
    </row>
    <row r="2812" spans="1:12" ht="13.5" x14ac:dyDescent="0.25">
      <c r="A2812" s="1930" t="s">
        <v>4590</v>
      </c>
      <c r="B2812" s="1930" t="s">
        <v>4591</v>
      </c>
      <c r="C2812" s="1930" t="s">
        <v>4608</v>
      </c>
      <c r="D2812" s="1930" t="s">
        <v>4609</v>
      </c>
      <c r="E2812" s="1931" t="s">
        <v>33</v>
      </c>
      <c r="F2812" s="1930" t="s">
        <v>33</v>
      </c>
      <c r="G2812" s="1932">
        <v>73624</v>
      </c>
      <c r="H2812" s="1930" t="s">
        <v>2123</v>
      </c>
      <c r="I2812" s="1930" t="s">
        <v>168</v>
      </c>
      <c r="J2812" s="1930" t="s">
        <v>137</v>
      </c>
      <c r="K2812" s="1933">
        <v>78.709999999999994</v>
      </c>
      <c r="L2812" s="1930" t="s">
        <v>138</v>
      </c>
    </row>
    <row r="2813" spans="1:12" ht="13.5" x14ac:dyDescent="0.25">
      <c r="A2813" s="1930" t="s">
        <v>4590</v>
      </c>
      <c r="B2813" s="1930" t="s">
        <v>4591</v>
      </c>
      <c r="C2813" s="1930" t="s">
        <v>4608</v>
      </c>
      <c r="D2813" s="1930" t="s">
        <v>4609</v>
      </c>
      <c r="E2813" s="1931">
        <v>73767</v>
      </c>
      <c r="F2813" s="1930" t="s">
        <v>4610</v>
      </c>
      <c r="G2813" s="1932" t="s">
        <v>2124</v>
      </c>
      <c r="H2813" s="1930" t="s">
        <v>2125</v>
      </c>
      <c r="I2813" s="1930" t="s">
        <v>168</v>
      </c>
      <c r="J2813" s="1930" t="s">
        <v>320</v>
      </c>
      <c r="K2813" s="1933">
        <v>12.13</v>
      </c>
      <c r="L2813" s="1930" t="s">
        <v>138</v>
      </c>
    </row>
    <row r="2814" spans="1:12" ht="13.5" x14ac:dyDescent="0.25">
      <c r="A2814" s="1930" t="s">
        <v>4590</v>
      </c>
      <c r="B2814" s="1930" t="s">
        <v>4591</v>
      </c>
      <c r="C2814" s="1930" t="s">
        <v>4608</v>
      </c>
      <c r="D2814" s="1930" t="s">
        <v>4609</v>
      </c>
      <c r="E2814" s="1931">
        <v>73767</v>
      </c>
      <c r="F2814" s="1930" t="s">
        <v>4610</v>
      </c>
      <c r="G2814" s="1932" t="s">
        <v>2126</v>
      </c>
      <c r="H2814" s="1930" t="s">
        <v>2127</v>
      </c>
      <c r="I2814" s="1930" t="s">
        <v>168</v>
      </c>
      <c r="J2814" s="1930" t="s">
        <v>137</v>
      </c>
      <c r="K2814" s="1933">
        <v>9.99</v>
      </c>
      <c r="L2814" s="1930" t="s">
        <v>138</v>
      </c>
    </row>
    <row r="2815" spans="1:12" ht="13.5" x14ac:dyDescent="0.25">
      <c r="A2815" s="1930" t="s">
        <v>4590</v>
      </c>
      <c r="B2815" s="1930" t="s">
        <v>4591</v>
      </c>
      <c r="C2815" s="1930" t="s">
        <v>4608</v>
      </c>
      <c r="D2815" s="1930" t="s">
        <v>4609</v>
      </c>
      <c r="E2815" s="1931">
        <v>73767</v>
      </c>
      <c r="F2815" s="1930" t="s">
        <v>4610</v>
      </c>
      <c r="G2815" s="1932" t="s">
        <v>2128</v>
      </c>
      <c r="H2815" s="1930" t="s">
        <v>2129</v>
      </c>
      <c r="I2815" s="1930" t="s">
        <v>168</v>
      </c>
      <c r="J2815" s="1930" t="s">
        <v>137</v>
      </c>
      <c r="K2815" s="1933">
        <v>7.15</v>
      </c>
      <c r="L2815" s="1930" t="s">
        <v>138</v>
      </c>
    </row>
    <row r="2816" spans="1:12" ht="13.5" x14ac:dyDescent="0.25">
      <c r="A2816" s="1930" t="s">
        <v>4590</v>
      </c>
      <c r="B2816" s="1930" t="s">
        <v>4591</v>
      </c>
      <c r="C2816" s="1930" t="s">
        <v>4608</v>
      </c>
      <c r="D2816" s="1930" t="s">
        <v>4609</v>
      </c>
      <c r="E2816" s="1931">
        <v>73767</v>
      </c>
      <c r="F2816" s="1930" t="s">
        <v>4610</v>
      </c>
      <c r="G2816" s="1932" t="s">
        <v>2130</v>
      </c>
      <c r="H2816" s="1930" t="s">
        <v>2131</v>
      </c>
      <c r="I2816" s="1930" t="s">
        <v>168</v>
      </c>
      <c r="J2816" s="1930" t="s">
        <v>137</v>
      </c>
      <c r="K2816" s="1933">
        <v>4.57</v>
      </c>
      <c r="L2816" s="1930" t="s">
        <v>138</v>
      </c>
    </row>
    <row r="2817" spans="1:12" ht="13.5" x14ac:dyDescent="0.25">
      <c r="A2817" s="1930" t="s">
        <v>4590</v>
      </c>
      <c r="B2817" s="1930" t="s">
        <v>4591</v>
      </c>
      <c r="C2817" s="1930" t="s">
        <v>4608</v>
      </c>
      <c r="D2817" s="1930" t="s">
        <v>4609</v>
      </c>
      <c r="E2817" s="1931">
        <v>73767</v>
      </c>
      <c r="F2817" s="1930" t="s">
        <v>4610</v>
      </c>
      <c r="G2817" s="1932" t="s">
        <v>2132</v>
      </c>
      <c r="H2817" s="1930" t="s">
        <v>2133</v>
      </c>
      <c r="I2817" s="1930" t="s">
        <v>168</v>
      </c>
      <c r="J2817" s="1930" t="s">
        <v>137</v>
      </c>
      <c r="K2817" s="1933">
        <v>4.16</v>
      </c>
      <c r="L2817" s="1930" t="s">
        <v>138</v>
      </c>
    </row>
    <row r="2818" spans="1:12" ht="13.5" x14ac:dyDescent="0.25">
      <c r="A2818" s="1930" t="s">
        <v>4590</v>
      </c>
      <c r="B2818" s="1930" t="s">
        <v>4591</v>
      </c>
      <c r="C2818" s="1930" t="s">
        <v>4608</v>
      </c>
      <c r="D2818" s="1930" t="s">
        <v>4609</v>
      </c>
      <c r="E2818" s="1931">
        <v>73781</v>
      </c>
      <c r="F2818" s="1930" t="s">
        <v>4611</v>
      </c>
      <c r="G2818" s="1932" t="s">
        <v>2134</v>
      </c>
      <c r="H2818" s="1930" t="s">
        <v>2135</v>
      </c>
      <c r="I2818" s="1930" t="s">
        <v>168</v>
      </c>
      <c r="J2818" s="1930" t="s">
        <v>137</v>
      </c>
      <c r="K2818" s="1933">
        <v>27.07</v>
      </c>
      <c r="L2818" s="1930" t="s">
        <v>138</v>
      </c>
    </row>
    <row r="2819" spans="1:12" ht="13.5" x14ac:dyDescent="0.25">
      <c r="A2819" s="1930" t="s">
        <v>4590</v>
      </c>
      <c r="B2819" s="1930" t="s">
        <v>4591</v>
      </c>
      <c r="C2819" s="1930" t="s">
        <v>4608</v>
      </c>
      <c r="D2819" s="1930" t="s">
        <v>4609</v>
      </c>
      <c r="E2819" s="1931">
        <v>73781</v>
      </c>
      <c r="F2819" s="1930" t="s">
        <v>4611</v>
      </c>
      <c r="G2819" s="1932" t="s">
        <v>2136</v>
      </c>
      <c r="H2819" s="1930" t="s">
        <v>2137</v>
      </c>
      <c r="I2819" s="1930" t="s">
        <v>168</v>
      </c>
      <c r="J2819" s="1930" t="s">
        <v>137</v>
      </c>
      <c r="K2819" s="1933">
        <v>83.04</v>
      </c>
      <c r="L2819" s="1930" t="s">
        <v>138</v>
      </c>
    </row>
    <row r="2820" spans="1:12" ht="13.5" x14ac:dyDescent="0.25">
      <c r="A2820" s="1930" t="s">
        <v>4590</v>
      </c>
      <c r="B2820" s="1930" t="s">
        <v>4591</v>
      </c>
      <c r="C2820" s="1930" t="s">
        <v>4608</v>
      </c>
      <c r="D2820" s="1930" t="s">
        <v>4609</v>
      </c>
      <c r="E2820" s="1931" t="s">
        <v>33</v>
      </c>
      <c r="F2820" s="1930" t="s">
        <v>33</v>
      </c>
      <c r="G2820" s="1932">
        <v>88543</v>
      </c>
      <c r="H2820" s="1930" t="s">
        <v>2138</v>
      </c>
      <c r="I2820" s="1930" t="s">
        <v>168</v>
      </c>
      <c r="J2820" s="1930" t="s">
        <v>137</v>
      </c>
      <c r="K2820" s="1933">
        <v>140.76</v>
      </c>
      <c r="L2820" s="1930" t="s">
        <v>138</v>
      </c>
    </row>
    <row r="2821" spans="1:12" ht="13.5" x14ac:dyDescent="0.25">
      <c r="A2821" s="1930" t="s">
        <v>4590</v>
      </c>
      <c r="B2821" s="1930" t="s">
        <v>4591</v>
      </c>
      <c r="C2821" s="1930" t="s">
        <v>4608</v>
      </c>
      <c r="D2821" s="1930" t="s">
        <v>4609</v>
      </c>
      <c r="E2821" s="1931" t="s">
        <v>33</v>
      </c>
      <c r="F2821" s="1930" t="s">
        <v>33</v>
      </c>
      <c r="G2821" s="1932">
        <v>88544</v>
      </c>
      <c r="H2821" s="1930" t="s">
        <v>2139</v>
      </c>
      <c r="I2821" s="1930" t="s">
        <v>168</v>
      </c>
      <c r="J2821" s="1930" t="s">
        <v>137</v>
      </c>
      <c r="K2821" s="1933">
        <v>87.87</v>
      </c>
      <c r="L2821" s="1930" t="s">
        <v>138</v>
      </c>
    </row>
    <row r="2822" spans="1:12" ht="13.5" x14ac:dyDescent="0.25">
      <c r="A2822" s="1930" t="s">
        <v>4590</v>
      </c>
      <c r="B2822" s="1930" t="s">
        <v>4591</v>
      </c>
      <c r="C2822" s="1930" t="s">
        <v>4608</v>
      </c>
      <c r="D2822" s="1930" t="s">
        <v>4609</v>
      </c>
      <c r="E2822" s="1931" t="s">
        <v>33</v>
      </c>
      <c r="F2822" s="1930" t="s">
        <v>33</v>
      </c>
      <c r="G2822" s="1932">
        <v>88545</v>
      </c>
      <c r="H2822" s="1930" t="s">
        <v>2140</v>
      </c>
      <c r="I2822" s="1930" t="s">
        <v>168</v>
      </c>
      <c r="J2822" s="1930" t="s">
        <v>137</v>
      </c>
      <c r="K2822" s="1933">
        <v>162.94</v>
      </c>
      <c r="L2822" s="1930" t="s">
        <v>138</v>
      </c>
    </row>
    <row r="2823" spans="1:12" ht="13.5" x14ac:dyDescent="0.25">
      <c r="A2823" s="1930" t="s">
        <v>4590</v>
      </c>
      <c r="B2823" s="1930" t="s">
        <v>4591</v>
      </c>
      <c r="C2823" s="1930" t="s">
        <v>4612</v>
      </c>
      <c r="D2823" s="1930" t="s">
        <v>4613</v>
      </c>
      <c r="E2823" s="1931" t="s">
        <v>33</v>
      </c>
      <c r="F2823" s="1930" t="s">
        <v>33</v>
      </c>
      <c r="G2823" s="1932">
        <v>100578</v>
      </c>
      <c r="H2823" s="1930" t="s">
        <v>8754</v>
      </c>
      <c r="I2823" s="1930" t="s">
        <v>168</v>
      </c>
      <c r="J2823" s="1930" t="s">
        <v>137</v>
      </c>
      <c r="K2823" s="1933">
        <v>270.85000000000002</v>
      </c>
      <c r="L2823" s="1930" t="s">
        <v>138</v>
      </c>
    </row>
    <row r="2824" spans="1:12" ht="13.5" x14ac:dyDescent="0.25">
      <c r="A2824" s="1930" t="s">
        <v>4590</v>
      </c>
      <c r="B2824" s="1930" t="s">
        <v>4591</v>
      </c>
      <c r="C2824" s="1930" t="s">
        <v>4612</v>
      </c>
      <c r="D2824" s="1930" t="s">
        <v>4613</v>
      </c>
      <c r="E2824" s="1931" t="s">
        <v>33</v>
      </c>
      <c r="F2824" s="1930" t="s">
        <v>33</v>
      </c>
      <c r="G2824" s="1932">
        <v>100579</v>
      </c>
      <c r="H2824" s="1930" t="s">
        <v>8755</v>
      </c>
      <c r="I2824" s="1930" t="s">
        <v>168</v>
      </c>
      <c r="J2824" s="1930" t="s">
        <v>137</v>
      </c>
      <c r="K2824" s="1933">
        <v>296.27</v>
      </c>
      <c r="L2824" s="1930" t="s">
        <v>138</v>
      </c>
    </row>
    <row r="2825" spans="1:12" ht="13.5" x14ac:dyDescent="0.25">
      <c r="A2825" s="1930" t="s">
        <v>4590</v>
      </c>
      <c r="B2825" s="1930" t="s">
        <v>4591</v>
      </c>
      <c r="C2825" s="1930" t="s">
        <v>4612</v>
      </c>
      <c r="D2825" s="1930" t="s">
        <v>4613</v>
      </c>
      <c r="E2825" s="1931" t="s">
        <v>33</v>
      </c>
      <c r="F2825" s="1930" t="s">
        <v>33</v>
      </c>
      <c r="G2825" s="1932">
        <v>100580</v>
      </c>
      <c r="H2825" s="1930" t="s">
        <v>8756</v>
      </c>
      <c r="I2825" s="1930" t="s">
        <v>168</v>
      </c>
      <c r="J2825" s="1930" t="s">
        <v>137</v>
      </c>
      <c r="K2825" s="1933">
        <v>331.05</v>
      </c>
      <c r="L2825" s="1930" t="s">
        <v>138</v>
      </c>
    </row>
    <row r="2826" spans="1:12" ht="13.5" x14ac:dyDescent="0.25">
      <c r="A2826" s="1930" t="s">
        <v>4590</v>
      </c>
      <c r="B2826" s="1930" t="s">
        <v>4591</v>
      </c>
      <c r="C2826" s="1930" t="s">
        <v>4612</v>
      </c>
      <c r="D2826" s="1930" t="s">
        <v>4613</v>
      </c>
      <c r="E2826" s="1931" t="s">
        <v>33</v>
      </c>
      <c r="F2826" s="1930" t="s">
        <v>33</v>
      </c>
      <c r="G2826" s="1932">
        <v>100581</v>
      </c>
      <c r="H2826" s="1930" t="s">
        <v>8757</v>
      </c>
      <c r="I2826" s="1930" t="s">
        <v>168</v>
      </c>
      <c r="J2826" s="1930" t="s">
        <v>137</v>
      </c>
      <c r="K2826" s="1933">
        <v>308.86</v>
      </c>
      <c r="L2826" s="1930" t="s">
        <v>138</v>
      </c>
    </row>
    <row r="2827" spans="1:12" ht="13.5" x14ac:dyDescent="0.25">
      <c r="A2827" s="1930" t="s">
        <v>4590</v>
      </c>
      <c r="B2827" s="1930" t="s">
        <v>4591</v>
      </c>
      <c r="C2827" s="1930" t="s">
        <v>4612</v>
      </c>
      <c r="D2827" s="1930" t="s">
        <v>4613</v>
      </c>
      <c r="E2827" s="1931" t="s">
        <v>33</v>
      </c>
      <c r="F2827" s="1930" t="s">
        <v>33</v>
      </c>
      <c r="G2827" s="1932">
        <v>100582</v>
      </c>
      <c r="H2827" s="1930" t="s">
        <v>8758</v>
      </c>
      <c r="I2827" s="1930" t="s">
        <v>168</v>
      </c>
      <c r="J2827" s="1930" t="s">
        <v>137</v>
      </c>
      <c r="K2827" s="1933">
        <v>371.62</v>
      </c>
      <c r="L2827" s="1930" t="s">
        <v>138</v>
      </c>
    </row>
    <row r="2828" spans="1:12" ht="13.5" x14ac:dyDescent="0.25">
      <c r="A2828" s="1930" t="s">
        <v>4590</v>
      </c>
      <c r="B2828" s="1930" t="s">
        <v>4591</v>
      </c>
      <c r="C2828" s="1930" t="s">
        <v>4612</v>
      </c>
      <c r="D2828" s="1930" t="s">
        <v>4613</v>
      </c>
      <c r="E2828" s="1931" t="s">
        <v>33</v>
      </c>
      <c r="F2828" s="1930" t="s">
        <v>33</v>
      </c>
      <c r="G2828" s="1932">
        <v>100583</v>
      </c>
      <c r="H2828" s="1930" t="s">
        <v>8759</v>
      </c>
      <c r="I2828" s="1930" t="s">
        <v>168</v>
      </c>
      <c r="J2828" s="1930" t="s">
        <v>137</v>
      </c>
      <c r="K2828" s="1933">
        <v>322.56</v>
      </c>
      <c r="L2828" s="1930" t="s">
        <v>138</v>
      </c>
    </row>
    <row r="2829" spans="1:12" ht="13.5" x14ac:dyDescent="0.25">
      <c r="A2829" s="1930" t="s">
        <v>4590</v>
      </c>
      <c r="B2829" s="1930" t="s">
        <v>4591</v>
      </c>
      <c r="C2829" s="1930" t="s">
        <v>4612</v>
      </c>
      <c r="D2829" s="1930" t="s">
        <v>4613</v>
      </c>
      <c r="E2829" s="1931" t="s">
        <v>33</v>
      </c>
      <c r="F2829" s="1930" t="s">
        <v>33</v>
      </c>
      <c r="G2829" s="1932">
        <v>100584</v>
      </c>
      <c r="H2829" s="1930" t="s">
        <v>8760</v>
      </c>
      <c r="I2829" s="1930" t="s">
        <v>168</v>
      </c>
      <c r="J2829" s="1930" t="s">
        <v>137</v>
      </c>
      <c r="K2829" s="1933">
        <v>360.24</v>
      </c>
      <c r="L2829" s="1930" t="s">
        <v>138</v>
      </c>
    </row>
    <row r="2830" spans="1:12" ht="13.5" x14ac:dyDescent="0.25">
      <c r="A2830" s="1930" t="s">
        <v>4590</v>
      </c>
      <c r="B2830" s="1930" t="s">
        <v>4591</v>
      </c>
      <c r="C2830" s="1930" t="s">
        <v>4612</v>
      </c>
      <c r="D2830" s="1930" t="s">
        <v>4613</v>
      </c>
      <c r="E2830" s="1931" t="s">
        <v>33</v>
      </c>
      <c r="F2830" s="1930" t="s">
        <v>33</v>
      </c>
      <c r="G2830" s="1932">
        <v>100585</v>
      </c>
      <c r="H2830" s="1930" t="s">
        <v>8761</v>
      </c>
      <c r="I2830" s="1930" t="s">
        <v>168</v>
      </c>
      <c r="J2830" s="1930" t="s">
        <v>137</v>
      </c>
      <c r="K2830" s="1933">
        <v>349.02</v>
      </c>
      <c r="L2830" s="1930" t="s">
        <v>138</v>
      </c>
    </row>
    <row r="2831" spans="1:12" ht="13.5" x14ac:dyDescent="0.25">
      <c r="A2831" s="1930" t="s">
        <v>4590</v>
      </c>
      <c r="B2831" s="1930" t="s">
        <v>4591</v>
      </c>
      <c r="C2831" s="1930" t="s">
        <v>4612</v>
      </c>
      <c r="D2831" s="1930" t="s">
        <v>4613</v>
      </c>
      <c r="E2831" s="1931" t="s">
        <v>33</v>
      </c>
      <c r="F2831" s="1930" t="s">
        <v>33</v>
      </c>
      <c r="G2831" s="1932">
        <v>100586</v>
      </c>
      <c r="H2831" s="1930" t="s">
        <v>8762</v>
      </c>
      <c r="I2831" s="1930" t="s">
        <v>168</v>
      </c>
      <c r="J2831" s="1930" t="s">
        <v>137</v>
      </c>
      <c r="K2831" s="1933">
        <v>409.02</v>
      </c>
      <c r="L2831" s="1930" t="s">
        <v>138</v>
      </c>
    </row>
    <row r="2832" spans="1:12" ht="13.5" x14ac:dyDescent="0.25">
      <c r="A2832" s="1930" t="s">
        <v>4590</v>
      </c>
      <c r="B2832" s="1930" t="s">
        <v>4591</v>
      </c>
      <c r="C2832" s="1930" t="s">
        <v>4612</v>
      </c>
      <c r="D2832" s="1930" t="s">
        <v>4613</v>
      </c>
      <c r="E2832" s="1931" t="s">
        <v>33</v>
      </c>
      <c r="F2832" s="1930" t="s">
        <v>33</v>
      </c>
      <c r="G2832" s="1932">
        <v>100587</v>
      </c>
      <c r="H2832" s="1930" t="s">
        <v>8763</v>
      </c>
      <c r="I2832" s="1930" t="s">
        <v>168</v>
      </c>
      <c r="J2832" s="1930" t="s">
        <v>137</v>
      </c>
      <c r="K2832" s="1933">
        <v>376.67</v>
      </c>
      <c r="L2832" s="1930" t="s">
        <v>138</v>
      </c>
    </row>
    <row r="2833" spans="1:12" ht="13.5" x14ac:dyDescent="0.25">
      <c r="A2833" s="1930" t="s">
        <v>4590</v>
      </c>
      <c r="B2833" s="1930" t="s">
        <v>4591</v>
      </c>
      <c r="C2833" s="1930" t="s">
        <v>4612</v>
      </c>
      <c r="D2833" s="1930" t="s">
        <v>4613</v>
      </c>
      <c r="E2833" s="1931" t="s">
        <v>33</v>
      </c>
      <c r="F2833" s="1930" t="s">
        <v>33</v>
      </c>
      <c r="G2833" s="1932">
        <v>100588</v>
      </c>
      <c r="H2833" s="1930" t="s">
        <v>8764</v>
      </c>
      <c r="I2833" s="1930" t="s">
        <v>168</v>
      </c>
      <c r="J2833" s="1930" t="s">
        <v>137</v>
      </c>
      <c r="K2833" s="1933">
        <v>423.3</v>
      </c>
      <c r="L2833" s="1930" t="s">
        <v>138</v>
      </c>
    </row>
    <row r="2834" spans="1:12" ht="13.5" x14ac:dyDescent="0.25">
      <c r="A2834" s="1930" t="s">
        <v>4590</v>
      </c>
      <c r="B2834" s="1930" t="s">
        <v>4591</v>
      </c>
      <c r="C2834" s="1930" t="s">
        <v>4612</v>
      </c>
      <c r="D2834" s="1930" t="s">
        <v>4613</v>
      </c>
      <c r="E2834" s="1931" t="s">
        <v>33</v>
      </c>
      <c r="F2834" s="1930" t="s">
        <v>33</v>
      </c>
      <c r="G2834" s="1932">
        <v>100589</v>
      </c>
      <c r="H2834" s="1930" t="s">
        <v>8765</v>
      </c>
      <c r="I2834" s="1930" t="s">
        <v>168</v>
      </c>
      <c r="J2834" s="1930" t="s">
        <v>137</v>
      </c>
      <c r="K2834" s="1933">
        <v>423.01</v>
      </c>
      <c r="L2834" s="1930" t="s">
        <v>138</v>
      </c>
    </row>
    <row r="2835" spans="1:12" ht="13.5" x14ac:dyDescent="0.25">
      <c r="A2835" s="1930" t="s">
        <v>4590</v>
      </c>
      <c r="B2835" s="1930" t="s">
        <v>4591</v>
      </c>
      <c r="C2835" s="1930" t="s">
        <v>4612</v>
      </c>
      <c r="D2835" s="1930" t="s">
        <v>4613</v>
      </c>
      <c r="E2835" s="1931" t="s">
        <v>33</v>
      </c>
      <c r="F2835" s="1930" t="s">
        <v>33</v>
      </c>
      <c r="G2835" s="1932">
        <v>100590</v>
      </c>
      <c r="H2835" s="1930" t="s">
        <v>8766</v>
      </c>
      <c r="I2835" s="1930" t="s">
        <v>168</v>
      </c>
      <c r="J2835" s="1930" t="s">
        <v>137</v>
      </c>
      <c r="K2835" s="1933">
        <v>469.23</v>
      </c>
      <c r="L2835" s="1930" t="s">
        <v>138</v>
      </c>
    </row>
    <row r="2836" spans="1:12" ht="13.5" x14ac:dyDescent="0.25">
      <c r="A2836" s="1930" t="s">
        <v>4590</v>
      </c>
      <c r="B2836" s="1930" t="s">
        <v>4591</v>
      </c>
      <c r="C2836" s="1930" t="s">
        <v>4612</v>
      </c>
      <c r="D2836" s="1930" t="s">
        <v>4613</v>
      </c>
      <c r="E2836" s="1931" t="s">
        <v>33</v>
      </c>
      <c r="F2836" s="1930" t="s">
        <v>33</v>
      </c>
      <c r="G2836" s="1932">
        <v>100591</v>
      </c>
      <c r="H2836" s="1930" t="s">
        <v>8767</v>
      </c>
      <c r="I2836" s="1930" t="s">
        <v>168</v>
      </c>
      <c r="J2836" s="1930" t="s">
        <v>137</v>
      </c>
      <c r="K2836" s="1933">
        <v>416.48</v>
      </c>
      <c r="L2836" s="1930" t="s">
        <v>138</v>
      </c>
    </row>
    <row r="2837" spans="1:12" ht="13.5" x14ac:dyDescent="0.25">
      <c r="A2837" s="1930" t="s">
        <v>4590</v>
      </c>
      <c r="B2837" s="1930" t="s">
        <v>4591</v>
      </c>
      <c r="C2837" s="1930" t="s">
        <v>4612</v>
      </c>
      <c r="D2837" s="1930" t="s">
        <v>4613</v>
      </c>
      <c r="E2837" s="1931" t="s">
        <v>33</v>
      </c>
      <c r="F2837" s="1930" t="s">
        <v>33</v>
      </c>
      <c r="G2837" s="1932">
        <v>100592</v>
      </c>
      <c r="H2837" s="1930" t="s">
        <v>8768</v>
      </c>
      <c r="I2837" s="1930" t="s">
        <v>168</v>
      </c>
      <c r="J2837" s="1930" t="s">
        <v>137</v>
      </c>
      <c r="K2837" s="1933">
        <v>454.76</v>
      </c>
      <c r="L2837" s="1930" t="s">
        <v>138</v>
      </c>
    </row>
    <row r="2838" spans="1:12" ht="13.5" x14ac:dyDescent="0.25">
      <c r="A2838" s="1930" t="s">
        <v>4590</v>
      </c>
      <c r="B2838" s="1930" t="s">
        <v>4591</v>
      </c>
      <c r="C2838" s="1930" t="s">
        <v>4612</v>
      </c>
      <c r="D2838" s="1930" t="s">
        <v>4613</v>
      </c>
      <c r="E2838" s="1931" t="s">
        <v>33</v>
      </c>
      <c r="F2838" s="1930" t="s">
        <v>33</v>
      </c>
      <c r="G2838" s="1932">
        <v>100593</v>
      </c>
      <c r="H2838" s="1930" t="s">
        <v>8769</v>
      </c>
      <c r="I2838" s="1930" t="s">
        <v>168</v>
      </c>
      <c r="J2838" s="1930" t="s">
        <v>137</v>
      </c>
      <c r="K2838" s="1933">
        <v>446.21</v>
      </c>
      <c r="L2838" s="1930" t="s">
        <v>138</v>
      </c>
    </row>
    <row r="2839" spans="1:12" ht="13.5" x14ac:dyDescent="0.25">
      <c r="A2839" s="1930" t="s">
        <v>4590</v>
      </c>
      <c r="B2839" s="1930" t="s">
        <v>4591</v>
      </c>
      <c r="C2839" s="1930" t="s">
        <v>4612</v>
      </c>
      <c r="D2839" s="1930" t="s">
        <v>4613</v>
      </c>
      <c r="E2839" s="1931" t="s">
        <v>33</v>
      </c>
      <c r="F2839" s="1930" t="s">
        <v>33</v>
      </c>
      <c r="G2839" s="1932">
        <v>100594</v>
      </c>
      <c r="H2839" s="1930" t="s">
        <v>8770</v>
      </c>
      <c r="I2839" s="1930" t="s">
        <v>168</v>
      </c>
      <c r="J2839" s="1930" t="s">
        <v>137</v>
      </c>
      <c r="K2839" s="1933">
        <v>511</v>
      </c>
      <c r="L2839" s="1930" t="s">
        <v>138</v>
      </c>
    </row>
    <row r="2840" spans="1:12" ht="13.5" x14ac:dyDescent="0.25">
      <c r="A2840" s="1930" t="s">
        <v>4590</v>
      </c>
      <c r="B2840" s="1930" t="s">
        <v>4591</v>
      </c>
      <c r="C2840" s="1930" t="s">
        <v>4612</v>
      </c>
      <c r="D2840" s="1930" t="s">
        <v>4613</v>
      </c>
      <c r="E2840" s="1931" t="s">
        <v>33</v>
      </c>
      <c r="F2840" s="1930" t="s">
        <v>33</v>
      </c>
      <c r="G2840" s="1932">
        <v>100595</v>
      </c>
      <c r="H2840" s="1930" t="s">
        <v>8771</v>
      </c>
      <c r="I2840" s="1930" t="s">
        <v>168</v>
      </c>
      <c r="J2840" s="1930" t="s">
        <v>137</v>
      </c>
      <c r="K2840" s="1933">
        <v>535.49</v>
      </c>
      <c r="L2840" s="1930" t="s">
        <v>138</v>
      </c>
    </row>
    <row r="2841" spans="1:12" ht="13.5" x14ac:dyDescent="0.25">
      <c r="A2841" s="1930" t="s">
        <v>4590</v>
      </c>
      <c r="B2841" s="1930" t="s">
        <v>4591</v>
      </c>
      <c r="C2841" s="1930" t="s">
        <v>4612</v>
      </c>
      <c r="D2841" s="1930" t="s">
        <v>4613</v>
      </c>
      <c r="E2841" s="1931" t="s">
        <v>33</v>
      </c>
      <c r="F2841" s="1930" t="s">
        <v>33</v>
      </c>
      <c r="G2841" s="1932">
        <v>100596</v>
      </c>
      <c r="H2841" s="1930" t="s">
        <v>8772</v>
      </c>
      <c r="I2841" s="1930" t="s">
        <v>168</v>
      </c>
      <c r="J2841" s="1930" t="s">
        <v>137</v>
      </c>
      <c r="K2841" s="1933">
        <v>622.79</v>
      </c>
      <c r="L2841" s="1930" t="s">
        <v>138</v>
      </c>
    </row>
    <row r="2842" spans="1:12" ht="13.5" x14ac:dyDescent="0.25">
      <c r="A2842" s="1930" t="s">
        <v>4590</v>
      </c>
      <c r="B2842" s="1930" t="s">
        <v>4591</v>
      </c>
      <c r="C2842" s="1930" t="s">
        <v>4612</v>
      </c>
      <c r="D2842" s="1930" t="s">
        <v>4613</v>
      </c>
      <c r="E2842" s="1931" t="s">
        <v>33</v>
      </c>
      <c r="F2842" s="1930" t="s">
        <v>33</v>
      </c>
      <c r="G2842" s="1932">
        <v>100597</v>
      </c>
      <c r="H2842" s="1930" t="s">
        <v>8773</v>
      </c>
      <c r="I2842" s="1930" t="s">
        <v>168</v>
      </c>
      <c r="J2842" s="1930" t="s">
        <v>137</v>
      </c>
      <c r="K2842" s="1933">
        <v>624.73</v>
      </c>
      <c r="L2842" s="1930" t="s">
        <v>138</v>
      </c>
    </row>
    <row r="2843" spans="1:12" ht="13.5" x14ac:dyDescent="0.25">
      <c r="A2843" s="1930" t="s">
        <v>4590</v>
      </c>
      <c r="B2843" s="1930" t="s">
        <v>4591</v>
      </c>
      <c r="C2843" s="1930" t="s">
        <v>4612</v>
      </c>
      <c r="D2843" s="1930" t="s">
        <v>4613</v>
      </c>
      <c r="E2843" s="1931" t="s">
        <v>33</v>
      </c>
      <c r="F2843" s="1930" t="s">
        <v>33</v>
      </c>
      <c r="G2843" s="1932">
        <v>100598</v>
      </c>
      <c r="H2843" s="1930" t="s">
        <v>8774</v>
      </c>
      <c r="I2843" s="1930" t="s">
        <v>168</v>
      </c>
      <c r="J2843" s="1930" t="s">
        <v>137</v>
      </c>
      <c r="K2843" s="1933">
        <v>696.69</v>
      </c>
      <c r="L2843" s="1930" t="s">
        <v>138</v>
      </c>
    </row>
    <row r="2844" spans="1:12" ht="13.5" x14ac:dyDescent="0.25">
      <c r="A2844" s="1930" t="s">
        <v>4590</v>
      </c>
      <c r="B2844" s="1930" t="s">
        <v>4591</v>
      </c>
      <c r="C2844" s="1930" t="s">
        <v>4612</v>
      </c>
      <c r="D2844" s="1930" t="s">
        <v>4613</v>
      </c>
      <c r="E2844" s="1931" t="s">
        <v>33</v>
      </c>
      <c r="F2844" s="1930" t="s">
        <v>33</v>
      </c>
      <c r="G2844" s="1932">
        <v>100599</v>
      </c>
      <c r="H2844" s="1930" t="s">
        <v>8775</v>
      </c>
      <c r="I2844" s="1930" t="s">
        <v>168</v>
      </c>
      <c r="J2844" s="1930" t="s">
        <v>137</v>
      </c>
      <c r="K2844" s="1933">
        <v>284.14999999999998</v>
      </c>
      <c r="L2844" s="1930" t="s">
        <v>138</v>
      </c>
    </row>
    <row r="2845" spans="1:12" ht="13.5" x14ac:dyDescent="0.25">
      <c r="A2845" s="1930" t="s">
        <v>4590</v>
      </c>
      <c r="B2845" s="1930" t="s">
        <v>4591</v>
      </c>
      <c r="C2845" s="1930" t="s">
        <v>4612</v>
      </c>
      <c r="D2845" s="1930" t="s">
        <v>4613</v>
      </c>
      <c r="E2845" s="1931" t="s">
        <v>33</v>
      </c>
      <c r="F2845" s="1930" t="s">
        <v>33</v>
      </c>
      <c r="G2845" s="1932">
        <v>100600</v>
      </c>
      <c r="H2845" s="1930" t="s">
        <v>8776</v>
      </c>
      <c r="I2845" s="1930" t="s">
        <v>168</v>
      </c>
      <c r="J2845" s="1930" t="s">
        <v>137</v>
      </c>
      <c r="K2845" s="1933">
        <v>350.28</v>
      </c>
      <c r="L2845" s="1930" t="s">
        <v>138</v>
      </c>
    </row>
    <row r="2846" spans="1:12" ht="13.5" x14ac:dyDescent="0.25">
      <c r="A2846" s="1930" t="s">
        <v>4590</v>
      </c>
      <c r="B2846" s="1930" t="s">
        <v>4591</v>
      </c>
      <c r="C2846" s="1930" t="s">
        <v>4612</v>
      </c>
      <c r="D2846" s="1930" t="s">
        <v>4613</v>
      </c>
      <c r="E2846" s="1931" t="s">
        <v>33</v>
      </c>
      <c r="F2846" s="1930" t="s">
        <v>33</v>
      </c>
      <c r="G2846" s="1932">
        <v>100601</v>
      </c>
      <c r="H2846" s="1930" t="s">
        <v>8777</v>
      </c>
      <c r="I2846" s="1930" t="s">
        <v>168</v>
      </c>
      <c r="J2846" s="1930" t="s">
        <v>137</v>
      </c>
      <c r="K2846" s="1933">
        <v>462.64</v>
      </c>
      <c r="L2846" s="1930" t="s">
        <v>138</v>
      </c>
    </row>
    <row r="2847" spans="1:12" ht="13.5" x14ac:dyDescent="0.25">
      <c r="A2847" s="1930" t="s">
        <v>4590</v>
      </c>
      <c r="B2847" s="1930" t="s">
        <v>4591</v>
      </c>
      <c r="C2847" s="1930" t="s">
        <v>4612</v>
      </c>
      <c r="D2847" s="1930" t="s">
        <v>4613</v>
      </c>
      <c r="E2847" s="1931" t="s">
        <v>33</v>
      </c>
      <c r="F2847" s="1930" t="s">
        <v>33</v>
      </c>
      <c r="G2847" s="1932">
        <v>100602</v>
      </c>
      <c r="H2847" s="1930" t="s">
        <v>8778</v>
      </c>
      <c r="I2847" s="1930" t="s">
        <v>168</v>
      </c>
      <c r="J2847" s="1930" t="s">
        <v>137</v>
      </c>
      <c r="K2847" s="1933">
        <v>602.80999999999995</v>
      </c>
      <c r="L2847" s="1930" t="s">
        <v>138</v>
      </c>
    </row>
    <row r="2848" spans="1:12" ht="13.5" x14ac:dyDescent="0.25">
      <c r="A2848" s="1930" t="s">
        <v>4590</v>
      </c>
      <c r="B2848" s="1930" t="s">
        <v>4591</v>
      </c>
      <c r="C2848" s="1930" t="s">
        <v>4612</v>
      </c>
      <c r="D2848" s="1930" t="s">
        <v>4613</v>
      </c>
      <c r="E2848" s="1931" t="s">
        <v>33</v>
      </c>
      <c r="F2848" s="1930" t="s">
        <v>33</v>
      </c>
      <c r="G2848" s="1932">
        <v>100603</v>
      </c>
      <c r="H2848" s="1930" t="s">
        <v>8779</v>
      </c>
      <c r="I2848" s="1930" t="s">
        <v>168</v>
      </c>
      <c r="J2848" s="1930" t="s">
        <v>137</v>
      </c>
      <c r="K2848" s="1933">
        <v>963.08</v>
      </c>
      <c r="L2848" s="1930" t="s">
        <v>138</v>
      </c>
    </row>
    <row r="2849" spans="1:12" ht="13.5" x14ac:dyDescent="0.25">
      <c r="A2849" s="1930" t="s">
        <v>4590</v>
      </c>
      <c r="B2849" s="1930" t="s">
        <v>4591</v>
      </c>
      <c r="C2849" s="1930" t="s">
        <v>4612</v>
      </c>
      <c r="D2849" s="1930" t="s">
        <v>4613</v>
      </c>
      <c r="E2849" s="1931" t="s">
        <v>33</v>
      </c>
      <c r="F2849" s="1930" t="s">
        <v>33</v>
      </c>
      <c r="G2849" s="1932">
        <v>100604</v>
      </c>
      <c r="H2849" s="1930" t="s">
        <v>8780</v>
      </c>
      <c r="I2849" s="1930" t="s">
        <v>168</v>
      </c>
      <c r="J2849" s="1930" t="s">
        <v>137</v>
      </c>
      <c r="K2849" s="1933">
        <v>368.91</v>
      </c>
      <c r="L2849" s="1930" t="s">
        <v>138</v>
      </c>
    </row>
    <row r="2850" spans="1:12" ht="13.5" x14ac:dyDescent="0.25">
      <c r="A2850" s="1930" t="s">
        <v>4590</v>
      </c>
      <c r="B2850" s="1930" t="s">
        <v>4591</v>
      </c>
      <c r="C2850" s="1930" t="s">
        <v>4612</v>
      </c>
      <c r="D2850" s="1930" t="s">
        <v>4613</v>
      </c>
      <c r="E2850" s="1931" t="s">
        <v>33</v>
      </c>
      <c r="F2850" s="1930" t="s">
        <v>33</v>
      </c>
      <c r="G2850" s="1932">
        <v>100605</v>
      </c>
      <c r="H2850" s="1930" t="s">
        <v>8781</v>
      </c>
      <c r="I2850" s="1930" t="s">
        <v>168</v>
      </c>
      <c r="J2850" s="1930" t="s">
        <v>137</v>
      </c>
      <c r="K2850" s="1933">
        <v>627.82000000000005</v>
      </c>
      <c r="L2850" s="1930" t="s">
        <v>138</v>
      </c>
    </row>
    <row r="2851" spans="1:12" ht="13.5" x14ac:dyDescent="0.25">
      <c r="A2851" s="1930" t="s">
        <v>4590</v>
      </c>
      <c r="B2851" s="1930" t="s">
        <v>4591</v>
      </c>
      <c r="C2851" s="1930" t="s">
        <v>4612</v>
      </c>
      <c r="D2851" s="1930" t="s">
        <v>4613</v>
      </c>
      <c r="E2851" s="1931" t="s">
        <v>33</v>
      </c>
      <c r="F2851" s="1930" t="s">
        <v>33</v>
      </c>
      <c r="G2851" s="1932">
        <v>100606</v>
      </c>
      <c r="H2851" s="1930" t="s">
        <v>8782</v>
      </c>
      <c r="I2851" s="1930" t="s">
        <v>168</v>
      </c>
      <c r="J2851" s="1930" t="s">
        <v>137</v>
      </c>
      <c r="K2851" s="1933">
        <v>996.4</v>
      </c>
      <c r="L2851" s="1930" t="s">
        <v>138</v>
      </c>
    </row>
    <row r="2852" spans="1:12" ht="13.5" x14ac:dyDescent="0.25">
      <c r="A2852" s="1930" t="s">
        <v>4590</v>
      </c>
      <c r="B2852" s="1930" t="s">
        <v>4591</v>
      </c>
      <c r="C2852" s="1930" t="s">
        <v>4612</v>
      </c>
      <c r="D2852" s="1930" t="s">
        <v>4613</v>
      </c>
      <c r="E2852" s="1931" t="s">
        <v>33</v>
      </c>
      <c r="F2852" s="1930" t="s">
        <v>33</v>
      </c>
      <c r="G2852" s="1932">
        <v>100607</v>
      </c>
      <c r="H2852" s="1930" t="s">
        <v>8783</v>
      </c>
      <c r="I2852" s="1930" t="s">
        <v>168</v>
      </c>
      <c r="J2852" s="1930" t="s">
        <v>137</v>
      </c>
      <c r="K2852" s="1933">
        <v>377.62</v>
      </c>
      <c r="L2852" s="1930" t="s">
        <v>138</v>
      </c>
    </row>
    <row r="2853" spans="1:12" ht="13.5" x14ac:dyDescent="0.25">
      <c r="A2853" s="1930" t="s">
        <v>4590</v>
      </c>
      <c r="B2853" s="1930" t="s">
        <v>4591</v>
      </c>
      <c r="C2853" s="1930" t="s">
        <v>4612</v>
      </c>
      <c r="D2853" s="1930" t="s">
        <v>4613</v>
      </c>
      <c r="E2853" s="1931" t="s">
        <v>33</v>
      </c>
      <c r="F2853" s="1930" t="s">
        <v>33</v>
      </c>
      <c r="G2853" s="1932">
        <v>100608</v>
      </c>
      <c r="H2853" s="1930" t="s">
        <v>8784</v>
      </c>
      <c r="I2853" s="1930" t="s">
        <v>168</v>
      </c>
      <c r="J2853" s="1930" t="s">
        <v>137</v>
      </c>
      <c r="K2853" s="1933">
        <v>640.15</v>
      </c>
      <c r="L2853" s="1930" t="s">
        <v>138</v>
      </c>
    </row>
    <row r="2854" spans="1:12" ht="13.5" x14ac:dyDescent="0.25">
      <c r="A2854" s="1930" t="s">
        <v>4590</v>
      </c>
      <c r="B2854" s="1930" t="s">
        <v>4591</v>
      </c>
      <c r="C2854" s="1930" t="s">
        <v>4612</v>
      </c>
      <c r="D2854" s="1930" t="s">
        <v>4613</v>
      </c>
      <c r="E2854" s="1931" t="s">
        <v>33</v>
      </c>
      <c r="F2854" s="1930" t="s">
        <v>33</v>
      </c>
      <c r="G2854" s="1932">
        <v>100609</v>
      </c>
      <c r="H2854" s="1930" t="s">
        <v>8785</v>
      </c>
      <c r="I2854" s="1930" t="s">
        <v>168</v>
      </c>
      <c r="J2854" s="1930" t="s">
        <v>137</v>
      </c>
      <c r="K2854" s="1933">
        <v>1014.41</v>
      </c>
      <c r="L2854" s="1930" t="s">
        <v>138</v>
      </c>
    </row>
    <row r="2855" spans="1:12" ht="13.5" x14ac:dyDescent="0.25">
      <c r="A2855" s="1930" t="s">
        <v>4590</v>
      </c>
      <c r="B2855" s="1930" t="s">
        <v>4591</v>
      </c>
      <c r="C2855" s="1930" t="s">
        <v>4612</v>
      </c>
      <c r="D2855" s="1930" t="s">
        <v>4613</v>
      </c>
      <c r="E2855" s="1931" t="s">
        <v>33</v>
      </c>
      <c r="F2855" s="1930" t="s">
        <v>33</v>
      </c>
      <c r="G2855" s="1932">
        <v>100610</v>
      </c>
      <c r="H2855" s="1930" t="s">
        <v>8786</v>
      </c>
      <c r="I2855" s="1930" t="s">
        <v>168</v>
      </c>
      <c r="J2855" s="1930" t="s">
        <v>137</v>
      </c>
      <c r="K2855" s="1933">
        <v>386.26</v>
      </c>
      <c r="L2855" s="1930" t="s">
        <v>138</v>
      </c>
    </row>
    <row r="2856" spans="1:12" ht="13.5" x14ac:dyDescent="0.25">
      <c r="A2856" s="1930" t="s">
        <v>4590</v>
      </c>
      <c r="B2856" s="1930" t="s">
        <v>4591</v>
      </c>
      <c r="C2856" s="1930" t="s">
        <v>4612</v>
      </c>
      <c r="D2856" s="1930" t="s">
        <v>4613</v>
      </c>
      <c r="E2856" s="1931" t="s">
        <v>33</v>
      </c>
      <c r="F2856" s="1930" t="s">
        <v>33</v>
      </c>
      <c r="G2856" s="1932">
        <v>100611</v>
      </c>
      <c r="H2856" s="1930" t="s">
        <v>8787</v>
      </c>
      <c r="I2856" s="1930" t="s">
        <v>168</v>
      </c>
      <c r="J2856" s="1930" t="s">
        <v>137</v>
      </c>
      <c r="K2856" s="1933">
        <v>504.28</v>
      </c>
      <c r="L2856" s="1930" t="s">
        <v>138</v>
      </c>
    </row>
    <row r="2857" spans="1:12" ht="13.5" x14ac:dyDescent="0.25">
      <c r="A2857" s="1930" t="s">
        <v>4590</v>
      </c>
      <c r="B2857" s="1930" t="s">
        <v>4591</v>
      </c>
      <c r="C2857" s="1930" t="s">
        <v>4612</v>
      </c>
      <c r="D2857" s="1930" t="s">
        <v>4613</v>
      </c>
      <c r="E2857" s="1931" t="s">
        <v>33</v>
      </c>
      <c r="F2857" s="1930" t="s">
        <v>33</v>
      </c>
      <c r="G2857" s="1932">
        <v>100612</v>
      </c>
      <c r="H2857" s="1930" t="s">
        <v>8788</v>
      </c>
      <c r="I2857" s="1930" t="s">
        <v>168</v>
      </c>
      <c r="J2857" s="1930" t="s">
        <v>137</v>
      </c>
      <c r="K2857" s="1933">
        <v>652.14</v>
      </c>
      <c r="L2857" s="1930" t="s">
        <v>138</v>
      </c>
    </row>
    <row r="2858" spans="1:12" ht="13.5" x14ac:dyDescent="0.25">
      <c r="A2858" s="1930" t="s">
        <v>4590</v>
      </c>
      <c r="B2858" s="1930" t="s">
        <v>4591</v>
      </c>
      <c r="C2858" s="1930" t="s">
        <v>4612</v>
      </c>
      <c r="D2858" s="1930" t="s">
        <v>4613</v>
      </c>
      <c r="E2858" s="1931" t="s">
        <v>33</v>
      </c>
      <c r="F2858" s="1930" t="s">
        <v>33</v>
      </c>
      <c r="G2858" s="1932">
        <v>100613</v>
      </c>
      <c r="H2858" s="1930" t="s">
        <v>8789</v>
      </c>
      <c r="I2858" s="1930" t="s">
        <v>168</v>
      </c>
      <c r="J2858" s="1930" t="s">
        <v>137</v>
      </c>
      <c r="K2858" s="1933">
        <v>1031.94</v>
      </c>
      <c r="L2858" s="1930" t="s">
        <v>138</v>
      </c>
    </row>
    <row r="2859" spans="1:12" ht="13.5" x14ac:dyDescent="0.25">
      <c r="A2859" s="1930" t="s">
        <v>4590</v>
      </c>
      <c r="B2859" s="1930" t="s">
        <v>4591</v>
      </c>
      <c r="C2859" s="1930" t="s">
        <v>4612</v>
      </c>
      <c r="D2859" s="1930" t="s">
        <v>4613</v>
      </c>
      <c r="E2859" s="1931" t="s">
        <v>33</v>
      </c>
      <c r="F2859" s="1930" t="s">
        <v>33</v>
      </c>
      <c r="G2859" s="1932">
        <v>100614</v>
      </c>
      <c r="H2859" s="1930" t="s">
        <v>8790</v>
      </c>
      <c r="I2859" s="1930" t="s">
        <v>168</v>
      </c>
      <c r="J2859" s="1930" t="s">
        <v>137</v>
      </c>
      <c r="K2859" s="1933">
        <v>524.57000000000005</v>
      </c>
      <c r="L2859" s="1930" t="s">
        <v>138</v>
      </c>
    </row>
    <row r="2860" spans="1:12" ht="13.5" x14ac:dyDescent="0.25">
      <c r="A2860" s="1930" t="s">
        <v>4590</v>
      </c>
      <c r="B2860" s="1930" t="s">
        <v>4591</v>
      </c>
      <c r="C2860" s="1930" t="s">
        <v>4612</v>
      </c>
      <c r="D2860" s="1930" t="s">
        <v>4613</v>
      </c>
      <c r="E2860" s="1931" t="s">
        <v>33</v>
      </c>
      <c r="F2860" s="1930" t="s">
        <v>33</v>
      </c>
      <c r="G2860" s="1932">
        <v>100615</v>
      </c>
      <c r="H2860" s="1930" t="s">
        <v>8791</v>
      </c>
      <c r="I2860" s="1930" t="s">
        <v>168</v>
      </c>
      <c r="J2860" s="1930" t="s">
        <v>137</v>
      </c>
      <c r="K2860" s="1933">
        <v>675.88</v>
      </c>
      <c r="L2860" s="1930" t="s">
        <v>138</v>
      </c>
    </row>
    <row r="2861" spans="1:12" ht="13.5" x14ac:dyDescent="0.25">
      <c r="A2861" s="1930" t="s">
        <v>4590</v>
      </c>
      <c r="B2861" s="1930" t="s">
        <v>4591</v>
      </c>
      <c r="C2861" s="1930" t="s">
        <v>4612</v>
      </c>
      <c r="D2861" s="1930" t="s">
        <v>4613</v>
      </c>
      <c r="E2861" s="1931" t="s">
        <v>33</v>
      </c>
      <c r="F2861" s="1930" t="s">
        <v>33</v>
      </c>
      <c r="G2861" s="1932">
        <v>100616</v>
      </c>
      <c r="H2861" s="1930" t="s">
        <v>8792</v>
      </c>
      <c r="I2861" s="1930" t="s">
        <v>168</v>
      </c>
      <c r="J2861" s="1930" t="s">
        <v>137</v>
      </c>
      <c r="K2861" s="1933">
        <v>1069.06</v>
      </c>
      <c r="L2861" s="1930" t="s">
        <v>138</v>
      </c>
    </row>
    <row r="2862" spans="1:12" ht="13.5" x14ac:dyDescent="0.25">
      <c r="A2862" s="1930" t="s">
        <v>4590</v>
      </c>
      <c r="B2862" s="1930" t="s">
        <v>4591</v>
      </c>
      <c r="C2862" s="1930" t="s">
        <v>4612</v>
      </c>
      <c r="D2862" s="1930" t="s">
        <v>4613</v>
      </c>
      <c r="E2862" s="1931" t="s">
        <v>33</v>
      </c>
      <c r="F2862" s="1930" t="s">
        <v>33</v>
      </c>
      <c r="G2862" s="1932">
        <v>100617</v>
      </c>
      <c r="H2862" s="1930" t="s">
        <v>8793</v>
      </c>
      <c r="I2862" s="1930" t="s">
        <v>168</v>
      </c>
      <c r="J2862" s="1930" t="s">
        <v>137</v>
      </c>
      <c r="K2862" s="1933">
        <v>699.47</v>
      </c>
      <c r="L2862" s="1930" t="s">
        <v>138</v>
      </c>
    </row>
    <row r="2863" spans="1:12" ht="13.5" x14ac:dyDescent="0.25">
      <c r="A2863" s="1930" t="s">
        <v>4590</v>
      </c>
      <c r="B2863" s="1930" t="s">
        <v>4591</v>
      </c>
      <c r="C2863" s="1930" t="s">
        <v>4612</v>
      </c>
      <c r="D2863" s="1930" t="s">
        <v>4613</v>
      </c>
      <c r="E2863" s="1931" t="s">
        <v>33</v>
      </c>
      <c r="F2863" s="1930" t="s">
        <v>33</v>
      </c>
      <c r="G2863" s="1932">
        <v>100618</v>
      </c>
      <c r="H2863" s="1930" t="s">
        <v>8794</v>
      </c>
      <c r="I2863" s="1930" t="s">
        <v>168</v>
      </c>
      <c r="J2863" s="1930" t="s">
        <v>137</v>
      </c>
      <c r="K2863" s="1933">
        <v>1110.05</v>
      </c>
      <c r="L2863" s="1930" t="s">
        <v>138</v>
      </c>
    </row>
    <row r="2864" spans="1:12" ht="13.5" x14ac:dyDescent="0.25">
      <c r="A2864" s="1930" t="s">
        <v>4590</v>
      </c>
      <c r="B2864" s="1930" t="s">
        <v>4591</v>
      </c>
      <c r="C2864" s="1930" t="s">
        <v>4614</v>
      </c>
      <c r="D2864" s="1930" t="s">
        <v>4615</v>
      </c>
      <c r="E2864" s="1931" t="s">
        <v>33</v>
      </c>
      <c r="F2864" s="1930" t="s">
        <v>33</v>
      </c>
      <c r="G2864" s="1932">
        <v>100619</v>
      </c>
      <c r="H2864" s="1930" t="s">
        <v>8795</v>
      </c>
      <c r="I2864" s="1930" t="s">
        <v>168</v>
      </c>
      <c r="J2864" s="1930" t="s">
        <v>137</v>
      </c>
      <c r="K2864" s="1933">
        <v>355.27</v>
      </c>
      <c r="L2864" s="1930" t="s">
        <v>138</v>
      </c>
    </row>
    <row r="2865" spans="1:12" ht="13.5" x14ac:dyDescent="0.25">
      <c r="A2865" s="1930" t="s">
        <v>4590</v>
      </c>
      <c r="B2865" s="1930" t="s">
        <v>4591</v>
      </c>
      <c r="C2865" s="1930" t="s">
        <v>4614</v>
      </c>
      <c r="D2865" s="1930" t="s">
        <v>4615</v>
      </c>
      <c r="E2865" s="1931" t="s">
        <v>33</v>
      </c>
      <c r="F2865" s="1930" t="s">
        <v>33</v>
      </c>
      <c r="G2865" s="1932">
        <v>100620</v>
      </c>
      <c r="H2865" s="1930" t="s">
        <v>8796</v>
      </c>
      <c r="I2865" s="1930" t="s">
        <v>168</v>
      </c>
      <c r="J2865" s="1930" t="s">
        <v>137</v>
      </c>
      <c r="K2865" s="1933">
        <v>2125.0700000000002</v>
      </c>
      <c r="L2865" s="1930" t="s">
        <v>138</v>
      </c>
    </row>
    <row r="2866" spans="1:12" ht="13.5" x14ac:dyDescent="0.25">
      <c r="A2866" s="1930" t="s">
        <v>4590</v>
      </c>
      <c r="B2866" s="1930" t="s">
        <v>4591</v>
      </c>
      <c r="C2866" s="1930" t="s">
        <v>4614</v>
      </c>
      <c r="D2866" s="1930" t="s">
        <v>4615</v>
      </c>
      <c r="E2866" s="1931" t="s">
        <v>33</v>
      </c>
      <c r="F2866" s="1930" t="s">
        <v>33</v>
      </c>
      <c r="G2866" s="1932">
        <v>100621</v>
      </c>
      <c r="H2866" s="1930" t="s">
        <v>8797</v>
      </c>
      <c r="I2866" s="1930" t="s">
        <v>168</v>
      </c>
      <c r="J2866" s="1930" t="s">
        <v>137</v>
      </c>
      <c r="K2866" s="1933">
        <v>2379.9499999999998</v>
      </c>
      <c r="L2866" s="1930" t="s">
        <v>138</v>
      </c>
    </row>
    <row r="2867" spans="1:12" ht="13.5" x14ac:dyDescent="0.25">
      <c r="A2867" s="1930" t="s">
        <v>4590</v>
      </c>
      <c r="B2867" s="1930" t="s">
        <v>4591</v>
      </c>
      <c r="C2867" s="1930" t="s">
        <v>4614</v>
      </c>
      <c r="D2867" s="1930" t="s">
        <v>4615</v>
      </c>
      <c r="E2867" s="1931" t="s">
        <v>33</v>
      </c>
      <c r="F2867" s="1930" t="s">
        <v>33</v>
      </c>
      <c r="G2867" s="1932">
        <v>100622</v>
      </c>
      <c r="H2867" s="1930" t="s">
        <v>8798</v>
      </c>
      <c r="I2867" s="1930" t="s">
        <v>168</v>
      </c>
      <c r="J2867" s="1930" t="s">
        <v>137</v>
      </c>
      <c r="K2867" s="1933">
        <v>1382.81</v>
      </c>
      <c r="L2867" s="1930" t="s">
        <v>138</v>
      </c>
    </row>
    <row r="2868" spans="1:12" ht="13.5" x14ac:dyDescent="0.25">
      <c r="A2868" s="1930" t="s">
        <v>4590</v>
      </c>
      <c r="B2868" s="1930" t="s">
        <v>4591</v>
      </c>
      <c r="C2868" s="1930" t="s">
        <v>4614</v>
      </c>
      <c r="D2868" s="1930" t="s">
        <v>4615</v>
      </c>
      <c r="E2868" s="1931" t="s">
        <v>33</v>
      </c>
      <c r="F2868" s="1930" t="s">
        <v>33</v>
      </c>
      <c r="G2868" s="1932">
        <v>100623</v>
      </c>
      <c r="H2868" s="1930" t="s">
        <v>8799</v>
      </c>
      <c r="I2868" s="1930" t="s">
        <v>168</v>
      </c>
      <c r="J2868" s="1930" t="s">
        <v>137</v>
      </c>
      <c r="K2868" s="1933">
        <v>1484.15</v>
      </c>
      <c r="L2868" s="1930" t="s">
        <v>138</v>
      </c>
    </row>
    <row r="2869" spans="1:12" ht="13.5" x14ac:dyDescent="0.25">
      <c r="A2869" s="1930" t="s">
        <v>4590</v>
      </c>
      <c r="B2869" s="1930" t="s">
        <v>4591</v>
      </c>
      <c r="C2869" s="1930" t="s">
        <v>4616</v>
      </c>
      <c r="D2869" s="1930" t="s">
        <v>4617</v>
      </c>
      <c r="E2869" s="1931" t="s">
        <v>33</v>
      </c>
      <c r="F2869" s="1930" t="s">
        <v>33</v>
      </c>
      <c r="G2869" s="1932">
        <v>72281</v>
      </c>
      <c r="H2869" s="1930" t="s">
        <v>2141</v>
      </c>
      <c r="I2869" s="1930" t="s">
        <v>168</v>
      </c>
      <c r="J2869" s="1930" t="s">
        <v>137</v>
      </c>
      <c r="K2869" s="1933">
        <v>103.71</v>
      </c>
      <c r="L2869" s="1930" t="s">
        <v>138</v>
      </c>
    </row>
    <row r="2870" spans="1:12" ht="13.5" x14ac:dyDescent="0.25">
      <c r="A2870" s="1930" t="s">
        <v>4590</v>
      </c>
      <c r="B2870" s="1930" t="s">
        <v>4591</v>
      </c>
      <c r="C2870" s="1930" t="s">
        <v>4616</v>
      </c>
      <c r="D2870" s="1930" t="s">
        <v>4617</v>
      </c>
      <c r="E2870" s="1931" t="s">
        <v>33</v>
      </c>
      <c r="F2870" s="1930" t="s">
        <v>33</v>
      </c>
      <c r="G2870" s="1932">
        <v>72282</v>
      </c>
      <c r="H2870" s="1930" t="s">
        <v>2142</v>
      </c>
      <c r="I2870" s="1930" t="s">
        <v>168</v>
      </c>
      <c r="J2870" s="1930" t="s">
        <v>137</v>
      </c>
      <c r="K2870" s="1933">
        <v>140.34</v>
      </c>
      <c r="L2870" s="1930" t="s">
        <v>138</v>
      </c>
    </row>
    <row r="2871" spans="1:12" ht="13.5" x14ac:dyDescent="0.25">
      <c r="A2871" s="1930" t="s">
        <v>4590</v>
      </c>
      <c r="B2871" s="1930" t="s">
        <v>4591</v>
      </c>
      <c r="C2871" s="1930" t="s">
        <v>4616</v>
      </c>
      <c r="D2871" s="1930" t="s">
        <v>4617</v>
      </c>
      <c r="E2871" s="1931">
        <v>73831</v>
      </c>
      <c r="F2871" s="1930" t="s">
        <v>4618</v>
      </c>
      <c r="G2871" s="1932" t="s">
        <v>2143</v>
      </c>
      <c r="H2871" s="1930" t="s">
        <v>2144</v>
      </c>
      <c r="I2871" s="1930" t="s">
        <v>168</v>
      </c>
      <c r="J2871" s="1930" t="s">
        <v>137</v>
      </c>
      <c r="K2871" s="1933">
        <v>32.49</v>
      </c>
      <c r="L2871" s="1930" t="s">
        <v>138</v>
      </c>
    </row>
    <row r="2872" spans="1:12" ht="13.5" x14ac:dyDescent="0.25">
      <c r="A2872" s="1930" t="s">
        <v>4590</v>
      </c>
      <c r="B2872" s="1930" t="s">
        <v>4591</v>
      </c>
      <c r="C2872" s="1930" t="s">
        <v>4616</v>
      </c>
      <c r="D2872" s="1930" t="s">
        <v>4617</v>
      </c>
      <c r="E2872" s="1931">
        <v>73831</v>
      </c>
      <c r="F2872" s="1930" t="s">
        <v>4618</v>
      </c>
      <c r="G2872" s="1932" t="s">
        <v>2145</v>
      </c>
      <c r="H2872" s="1930" t="s">
        <v>2146</v>
      </c>
      <c r="I2872" s="1930" t="s">
        <v>168</v>
      </c>
      <c r="J2872" s="1930" t="s">
        <v>137</v>
      </c>
      <c r="K2872" s="1933">
        <v>42.86</v>
      </c>
      <c r="L2872" s="1930" t="s">
        <v>138</v>
      </c>
    </row>
    <row r="2873" spans="1:12" ht="13.5" x14ac:dyDescent="0.25">
      <c r="A2873" s="1930" t="s">
        <v>4590</v>
      </c>
      <c r="B2873" s="1930" t="s">
        <v>4591</v>
      </c>
      <c r="C2873" s="1930" t="s">
        <v>4616</v>
      </c>
      <c r="D2873" s="1930" t="s">
        <v>4617</v>
      </c>
      <c r="E2873" s="1931">
        <v>73831</v>
      </c>
      <c r="F2873" s="1930" t="s">
        <v>4618</v>
      </c>
      <c r="G2873" s="1932" t="s">
        <v>2147</v>
      </c>
      <c r="H2873" s="1930" t="s">
        <v>2148</v>
      </c>
      <c r="I2873" s="1930" t="s">
        <v>168</v>
      </c>
      <c r="J2873" s="1930" t="s">
        <v>137</v>
      </c>
      <c r="K2873" s="1933">
        <v>20.92</v>
      </c>
      <c r="L2873" s="1930" t="s">
        <v>138</v>
      </c>
    </row>
    <row r="2874" spans="1:12" ht="13.5" x14ac:dyDescent="0.25">
      <c r="A2874" s="1930" t="s">
        <v>4590</v>
      </c>
      <c r="B2874" s="1930" t="s">
        <v>4591</v>
      </c>
      <c r="C2874" s="1930" t="s">
        <v>4616</v>
      </c>
      <c r="D2874" s="1930" t="s">
        <v>4617</v>
      </c>
      <c r="E2874" s="1931">
        <v>73831</v>
      </c>
      <c r="F2874" s="1930" t="s">
        <v>4618</v>
      </c>
      <c r="G2874" s="1932" t="s">
        <v>2149</v>
      </c>
      <c r="H2874" s="1930" t="s">
        <v>2150</v>
      </c>
      <c r="I2874" s="1930" t="s">
        <v>168</v>
      </c>
      <c r="J2874" s="1930" t="s">
        <v>137</v>
      </c>
      <c r="K2874" s="1933">
        <v>27.09</v>
      </c>
      <c r="L2874" s="1930" t="s">
        <v>138</v>
      </c>
    </row>
    <row r="2875" spans="1:12" ht="13.5" x14ac:dyDescent="0.25">
      <c r="A2875" s="1930" t="s">
        <v>4590</v>
      </c>
      <c r="B2875" s="1930" t="s">
        <v>4591</v>
      </c>
      <c r="C2875" s="1930" t="s">
        <v>4616</v>
      </c>
      <c r="D2875" s="1930" t="s">
        <v>4617</v>
      </c>
      <c r="E2875" s="1931">
        <v>73831</v>
      </c>
      <c r="F2875" s="1930" t="s">
        <v>4618</v>
      </c>
      <c r="G2875" s="1932" t="s">
        <v>2151</v>
      </c>
      <c r="H2875" s="1930" t="s">
        <v>2152</v>
      </c>
      <c r="I2875" s="1930" t="s">
        <v>168</v>
      </c>
      <c r="J2875" s="1930" t="s">
        <v>137</v>
      </c>
      <c r="K2875" s="1933">
        <v>47.98</v>
      </c>
      <c r="L2875" s="1930" t="s">
        <v>138</v>
      </c>
    </row>
    <row r="2876" spans="1:12" ht="13.5" x14ac:dyDescent="0.25">
      <c r="A2876" s="1930" t="s">
        <v>4590</v>
      </c>
      <c r="B2876" s="1930" t="s">
        <v>4591</v>
      </c>
      <c r="C2876" s="1930" t="s">
        <v>4616</v>
      </c>
      <c r="D2876" s="1930" t="s">
        <v>4617</v>
      </c>
      <c r="E2876" s="1931">
        <v>73831</v>
      </c>
      <c r="F2876" s="1930" t="s">
        <v>4618</v>
      </c>
      <c r="G2876" s="1932" t="s">
        <v>2153</v>
      </c>
      <c r="H2876" s="1930" t="s">
        <v>2154</v>
      </c>
      <c r="I2876" s="1930" t="s">
        <v>168</v>
      </c>
      <c r="J2876" s="1930" t="s">
        <v>137</v>
      </c>
      <c r="K2876" s="1933">
        <v>38.61</v>
      </c>
      <c r="L2876" s="1930" t="s">
        <v>138</v>
      </c>
    </row>
    <row r="2877" spans="1:12" ht="13.5" x14ac:dyDescent="0.25">
      <c r="A2877" s="1930" t="s">
        <v>4590</v>
      </c>
      <c r="B2877" s="1930" t="s">
        <v>4591</v>
      </c>
      <c r="C2877" s="1930" t="s">
        <v>4616</v>
      </c>
      <c r="D2877" s="1930" t="s">
        <v>4617</v>
      </c>
      <c r="E2877" s="1931">
        <v>73831</v>
      </c>
      <c r="F2877" s="1930" t="s">
        <v>4618</v>
      </c>
      <c r="G2877" s="1932" t="s">
        <v>2155</v>
      </c>
      <c r="H2877" s="1930" t="s">
        <v>2156</v>
      </c>
      <c r="I2877" s="1930" t="s">
        <v>168</v>
      </c>
      <c r="J2877" s="1930" t="s">
        <v>137</v>
      </c>
      <c r="K2877" s="1933">
        <v>44.01</v>
      </c>
      <c r="L2877" s="1930" t="s">
        <v>138</v>
      </c>
    </row>
    <row r="2878" spans="1:12" ht="13.5" x14ac:dyDescent="0.25">
      <c r="A2878" s="1930" t="s">
        <v>4590</v>
      </c>
      <c r="B2878" s="1930" t="s">
        <v>4591</v>
      </c>
      <c r="C2878" s="1930" t="s">
        <v>4616</v>
      </c>
      <c r="D2878" s="1930" t="s">
        <v>4617</v>
      </c>
      <c r="E2878" s="1931">
        <v>73831</v>
      </c>
      <c r="F2878" s="1930" t="s">
        <v>4618</v>
      </c>
      <c r="G2878" s="1932" t="s">
        <v>2157</v>
      </c>
      <c r="H2878" s="1930" t="s">
        <v>2158</v>
      </c>
      <c r="I2878" s="1930" t="s">
        <v>168</v>
      </c>
      <c r="J2878" s="1930" t="s">
        <v>137</v>
      </c>
      <c r="K2878" s="1933">
        <v>50.64</v>
      </c>
      <c r="L2878" s="1930" t="s">
        <v>138</v>
      </c>
    </row>
    <row r="2879" spans="1:12" ht="13.5" x14ac:dyDescent="0.25">
      <c r="A2879" s="1930" t="s">
        <v>4590</v>
      </c>
      <c r="B2879" s="1930" t="s">
        <v>4591</v>
      </c>
      <c r="C2879" s="1930" t="s">
        <v>4616</v>
      </c>
      <c r="D2879" s="1930" t="s">
        <v>4617</v>
      </c>
      <c r="E2879" s="1931">
        <v>74231</v>
      </c>
      <c r="F2879" s="1930" t="s">
        <v>4619</v>
      </c>
      <c r="G2879" s="1932" t="s">
        <v>2159</v>
      </c>
      <c r="H2879" s="1930" t="s">
        <v>2160</v>
      </c>
      <c r="I2879" s="1930" t="s">
        <v>168</v>
      </c>
      <c r="J2879" s="1930" t="s">
        <v>137</v>
      </c>
      <c r="K2879" s="1933">
        <v>130.16999999999999</v>
      </c>
      <c r="L2879" s="1930" t="s">
        <v>138</v>
      </c>
    </row>
    <row r="2880" spans="1:12" ht="13.5" x14ac:dyDescent="0.25">
      <c r="A2880" s="1930" t="s">
        <v>4590</v>
      </c>
      <c r="B2880" s="1930" t="s">
        <v>4591</v>
      </c>
      <c r="C2880" s="1930" t="s">
        <v>4616</v>
      </c>
      <c r="D2880" s="1930" t="s">
        <v>4617</v>
      </c>
      <c r="E2880" s="1931">
        <v>74246</v>
      </c>
      <c r="F2880" s="1930" t="s">
        <v>4620</v>
      </c>
      <c r="G2880" s="1932" t="s">
        <v>2161</v>
      </c>
      <c r="H2880" s="1930" t="s">
        <v>2162</v>
      </c>
      <c r="I2880" s="1930" t="s">
        <v>168</v>
      </c>
      <c r="J2880" s="1930" t="s">
        <v>137</v>
      </c>
      <c r="K2880" s="1933">
        <v>263.63</v>
      </c>
      <c r="L2880" s="1930" t="s">
        <v>138</v>
      </c>
    </row>
    <row r="2881" spans="1:12" ht="13.5" x14ac:dyDescent="0.25">
      <c r="A2881" s="1930" t="s">
        <v>4590</v>
      </c>
      <c r="B2881" s="1930" t="s">
        <v>4591</v>
      </c>
      <c r="C2881" s="1930" t="s">
        <v>4616</v>
      </c>
      <c r="D2881" s="1930" t="s">
        <v>4617</v>
      </c>
      <c r="E2881" s="1931" t="s">
        <v>33</v>
      </c>
      <c r="F2881" s="1930" t="s">
        <v>33</v>
      </c>
      <c r="G2881" s="1932">
        <v>83399</v>
      </c>
      <c r="H2881" s="1930" t="s">
        <v>2163</v>
      </c>
      <c r="I2881" s="1930" t="s">
        <v>168</v>
      </c>
      <c r="J2881" s="1930" t="s">
        <v>137</v>
      </c>
      <c r="K2881" s="1933">
        <v>29.55</v>
      </c>
      <c r="L2881" s="1930" t="s">
        <v>138</v>
      </c>
    </row>
    <row r="2882" spans="1:12" ht="13.5" x14ac:dyDescent="0.25">
      <c r="A2882" s="1930" t="s">
        <v>4590</v>
      </c>
      <c r="B2882" s="1930" t="s">
        <v>4591</v>
      </c>
      <c r="C2882" s="1930" t="s">
        <v>4616</v>
      </c>
      <c r="D2882" s="1930" t="s">
        <v>4617</v>
      </c>
      <c r="E2882" s="1931" t="s">
        <v>33</v>
      </c>
      <c r="F2882" s="1930" t="s">
        <v>33</v>
      </c>
      <c r="G2882" s="1932">
        <v>83400</v>
      </c>
      <c r="H2882" s="1930" t="s">
        <v>2164</v>
      </c>
      <c r="I2882" s="1930" t="s">
        <v>168</v>
      </c>
      <c r="J2882" s="1930" t="s">
        <v>137</v>
      </c>
      <c r="K2882" s="1933">
        <v>93.17</v>
      </c>
      <c r="L2882" s="1930" t="s">
        <v>138</v>
      </c>
    </row>
    <row r="2883" spans="1:12" ht="13.5" x14ac:dyDescent="0.25">
      <c r="A2883" s="1930" t="s">
        <v>4590</v>
      </c>
      <c r="B2883" s="1930" t="s">
        <v>4591</v>
      </c>
      <c r="C2883" s="1930" t="s">
        <v>4616</v>
      </c>
      <c r="D2883" s="1930" t="s">
        <v>4617</v>
      </c>
      <c r="E2883" s="1931" t="s">
        <v>33</v>
      </c>
      <c r="F2883" s="1930" t="s">
        <v>33</v>
      </c>
      <c r="G2883" s="1932">
        <v>83401</v>
      </c>
      <c r="H2883" s="1930" t="s">
        <v>2165</v>
      </c>
      <c r="I2883" s="1930" t="s">
        <v>168</v>
      </c>
      <c r="J2883" s="1930" t="s">
        <v>137</v>
      </c>
      <c r="K2883" s="1933">
        <v>93.17</v>
      </c>
      <c r="L2883" s="1930" t="s">
        <v>138</v>
      </c>
    </row>
    <row r="2884" spans="1:12" ht="13.5" x14ac:dyDescent="0.25">
      <c r="A2884" s="1930" t="s">
        <v>4590</v>
      </c>
      <c r="B2884" s="1930" t="s">
        <v>4591</v>
      </c>
      <c r="C2884" s="1930" t="s">
        <v>4616</v>
      </c>
      <c r="D2884" s="1930" t="s">
        <v>4617</v>
      </c>
      <c r="E2884" s="1931" t="s">
        <v>33</v>
      </c>
      <c r="F2884" s="1930" t="s">
        <v>33</v>
      </c>
      <c r="G2884" s="1932">
        <v>83402</v>
      </c>
      <c r="H2884" s="1930" t="s">
        <v>2166</v>
      </c>
      <c r="I2884" s="1930" t="s">
        <v>168</v>
      </c>
      <c r="J2884" s="1930" t="s">
        <v>137</v>
      </c>
      <c r="K2884" s="1933">
        <v>52.12</v>
      </c>
      <c r="L2884" s="1930" t="s">
        <v>138</v>
      </c>
    </row>
    <row r="2885" spans="1:12" ht="13.5" x14ac:dyDescent="0.25">
      <c r="A2885" s="1930" t="s">
        <v>4590</v>
      </c>
      <c r="B2885" s="1930" t="s">
        <v>4591</v>
      </c>
      <c r="C2885" s="1930" t="s">
        <v>4616</v>
      </c>
      <c r="D2885" s="1930" t="s">
        <v>4617</v>
      </c>
      <c r="E2885" s="1931" t="s">
        <v>33</v>
      </c>
      <c r="F2885" s="1930" t="s">
        <v>33</v>
      </c>
      <c r="G2885" s="1932">
        <v>83475</v>
      </c>
      <c r="H2885" s="1930" t="s">
        <v>2167</v>
      </c>
      <c r="I2885" s="1930" t="s">
        <v>168</v>
      </c>
      <c r="J2885" s="1930" t="s">
        <v>137</v>
      </c>
      <c r="K2885" s="1933">
        <v>377.25</v>
      </c>
      <c r="L2885" s="1930" t="s">
        <v>138</v>
      </c>
    </row>
    <row r="2886" spans="1:12" ht="13.5" x14ac:dyDescent="0.25">
      <c r="A2886" s="1930" t="s">
        <v>4590</v>
      </c>
      <c r="B2886" s="1930" t="s">
        <v>4591</v>
      </c>
      <c r="C2886" s="1930" t="s">
        <v>4616</v>
      </c>
      <c r="D2886" s="1930" t="s">
        <v>4617</v>
      </c>
      <c r="E2886" s="1931" t="s">
        <v>33</v>
      </c>
      <c r="F2886" s="1930" t="s">
        <v>33</v>
      </c>
      <c r="G2886" s="1932">
        <v>83478</v>
      </c>
      <c r="H2886" s="1930" t="s">
        <v>2168</v>
      </c>
      <c r="I2886" s="1930" t="s">
        <v>168</v>
      </c>
      <c r="J2886" s="1930" t="s">
        <v>137</v>
      </c>
      <c r="K2886" s="1933">
        <v>264.04000000000002</v>
      </c>
      <c r="L2886" s="1930" t="s">
        <v>138</v>
      </c>
    </row>
    <row r="2887" spans="1:12" ht="13.5" x14ac:dyDescent="0.25">
      <c r="A2887" s="1930" t="s">
        <v>4590</v>
      </c>
      <c r="B2887" s="1930" t="s">
        <v>4591</v>
      </c>
      <c r="C2887" s="1930" t="s">
        <v>4616</v>
      </c>
      <c r="D2887" s="1930" t="s">
        <v>4617</v>
      </c>
      <c r="E2887" s="1931" t="s">
        <v>33</v>
      </c>
      <c r="F2887" s="1930" t="s">
        <v>33</v>
      </c>
      <c r="G2887" s="1932">
        <v>83479</v>
      </c>
      <c r="H2887" s="1930" t="s">
        <v>2169</v>
      </c>
      <c r="I2887" s="1930" t="s">
        <v>168</v>
      </c>
      <c r="J2887" s="1930" t="s">
        <v>137</v>
      </c>
      <c r="K2887" s="1933">
        <v>105.95</v>
      </c>
      <c r="L2887" s="1930" t="s">
        <v>138</v>
      </c>
    </row>
    <row r="2888" spans="1:12" ht="13.5" x14ac:dyDescent="0.25">
      <c r="A2888" s="1930" t="s">
        <v>4590</v>
      </c>
      <c r="B2888" s="1930" t="s">
        <v>4591</v>
      </c>
      <c r="C2888" s="1930" t="s">
        <v>4616</v>
      </c>
      <c r="D2888" s="1930" t="s">
        <v>4617</v>
      </c>
      <c r="E2888" s="1931" t="s">
        <v>33</v>
      </c>
      <c r="F2888" s="1930" t="s">
        <v>33</v>
      </c>
      <c r="G2888" s="1932">
        <v>83480</v>
      </c>
      <c r="H2888" s="1930" t="s">
        <v>2170</v>
      </c>
      <c r="I2888" s="1930" t="s">
        <v>168</v>
      </c>
      <c r="J2888" s="1930" t="s">
        <v>137</v>
      </c>
      <c r="K2888" s="1933">
        <v>83.4</v>
      </c>
      <c r="L2888" s="1930" t="s">
        <v>138</v>
      </c>
    </row>
    <row r="2889" spans="1:12" ht="13.5" x14ac:dyDescent="0.25">
      <c r="A2889" s="1930" t="s">
        <v>4590</v>
      </c>
      <c r="B2889" s="1930" t="s">
        <v>4591</v>
      </c>
      <c r="C2889" s="1930" t="s">
        <v>4616</v>
      </c>
      <c r="D2889" s="1930" t="s">
        <v>4617</v>
      </c>
      <c r="E2889" s="1931" t="s">
        <v>33</v>
      </c>
      <c r="F2889" s="1930" t="s">
        <v>33</v>
      </c>
      <c r="G2889" s="1932">
        <v>83481</v>
      </c>
      <c r="H2889" s="1930" t="s">
        <v>2171</v>
      </c>
      <c r="I2889" s="1930" t="s">
        <v>168</v>
      </c>
      <c r="J2889" s="1930" t="s">
        <v>137</v>
      </c>
      <c r="K2889" s="1933">
        <v>93.86</v>
      </c>
      <c r="L2889" s="1930" t="s">
        <v>138</v>
      </c>
    </row>
    <row r="2890" spans="1:12" ht="13.5" x14ac:dyDescent="0.25">
      <c r="A2890" s="1930" t="s">
        <v>4590</v>
      </c>
      <c r="B2890" s="1930" t="s">
        <v>4591</v>
      </c>
      <c r="C2890" s="1930" t="s">
        <v>4616</v>
      </c>
      <c r="D2890" s="1930" t="s">
        <v>4617</v>
      </c>
      <c r="E2890" s="1931" t="s">
        <v>33</v>
      </c>
      <c r="F2890" s="1930" t="s">
        <v>33</v>
      </c>
      <c r="G2890" s="1932">
        <v>97600</v>
      </c>
      <c r="H2890" s="1930" t="s">
        <v>14933</v>
      </c>
      <c r="I2890" s="1930" t="s">
        <v>168</v>
      </c>
      <c r="J2890" s="1930" t="s">
        <v>137</v>
      </c>
      <c r="K2890" s="1933">
        <v>250.65</v>
      </c>
      <c r="L2890" s="1930" t="s">
        <v>138</v>
      </c>
    </row>
    <row r="2891" spans="1:12" ht="13.5" x14ac:dyDescent="0.25">
      <c r="A2891" s="1930" t="s">
        <v>4590</v>
      </c>
      <c r="B2891" s="1930" t="s">
        <v>4591</v>
      </c>
      <c r="C2891" s="1930" t="s">
        <v>4616</v>
      </c>
      <c r="D2891" s="1930" t="s">
        <v>4617</v>
      </c>
      <c r="E2891" s="1931" t="s">
        <v>33</v>
      </c>
      <c r="F2891" s="1930" t="s">
        <v>33</v>
      </c>
      <c r="G2891" s="1932">
        <v>97601</v>
      </c>
      <c r="H2891" s="1930" t="s">
        <v>14934</v>
      </c>
      <c r="I2891" s="1930" t="s">
        <v>168</v>
      </c>
      <c r="J2891" s="1930" t="s">
        <v>137</v>
      </c>
      <c r="K2891" s="1933">
        <v>263.13</v>
      </c>
      <c r="L2891" s="1930" t="s">
        <v>138</v>
      </c>
    </row>
    <row r="2892" spans="1:12" ht="13.5" x14ac:dyDescent="0.25">
      <c r="A2892" s="1930" t="s">
        <v>4590</v>
      </c>
      <c r="B2892" s="1930" t="s">
        <v>4591</v>
      </c>
      <c r="C2892" s="1930" t="s">
        <v>4616</v>
      </c>
      <c r="D2892" s="1930" t="s">
        <v>4617</v>
      </c>
      <c r="E2892" s="1931" t="s">
        <v>33</v>
      </c>
      <c r="F2892" s="1930" t="s">
        <v>33</v>
      </c>
      <c r="G2892" s="1932">
        <v>97605</v>
      </c>
      <c r="H2892" s="1930" t="s">
        <v>14935</v>
      </c>
      <c r="I2892" s="1930" t="s">
        <v>168</v>
      </c>
      <c r="J2892" s="1930" t="s">
        <v>137</v>
      </c>
      <c r="K2892" s="1933">
        <v>53.04</v>
      </c>
      <c r="L2892" s="1930" t="s">
        <v>138</v>
      </c>
    </row>
    <row r="2893" spans="1:12" ht="13.5" x14ac:dyDescent="0.25">
      <c r="A2893" s="1930" t="s">
        <v>4590</v>
      </c>
      <c r="B2893" s="1930" t="s">
        <v>4591</v>
      </c>
      <c r="C2893" s="1930" t="s">
        <v>4616</v>
      </c>
      <c r="D2893" s="1930" t="s">
        <v>4617</v>
      </c>
      <c r="E2893" s="1931" t="s">
        <v>33</v>
      </c>
      <c r="F2893" s="1930" t="s">
        <v>33</v>
      </c>
      <c r="G2893" s="1932">
        <v>97606</v>
      </c>
      <c r="H2893" s="1930" t="s">
        <v>14936</v>
      </c>
      <c r="I2893" s="1930" t="s">
        <v>168</v>
      </c>
      <c r="J2893" s="1930" t="s">
        <v>137</v>
      </c>
      <c r="K2893" s="1933">
        <v>54.28</v>
      </c>
      <c r="L2893" s="1930" t="s">
        <v>138</v>
      </c>
    </row>
    <row r="2894" spans="1:12" ht="13.5" x14ac:dyDescent="0.25">
      <c r="A2894" s="1930" t="s">
        <v>4590</v>
      </c>
      <c r="B2894" s="1930" t="s">
        <v>4591</v>
      </c>
      <c r="C2894" s="1930" t="s">
        <v>4616</v>
      </c>
      <c r="D2894" s="1930" t="s">
        <v>4617</v>
      </c>
      <c r="E2894" s="1931" t="s">
        <v>33</v>
      </c>
      <c r="F2894" s="1930" t="s">
        <v>33</v>
      </c>
      <c r="G2894" s="1932">
        <v>97607</v>
      </c>
      <c r="H2894" s="1930" t="s">
        <v>14937</v>
      </c>
      <c r="I2894" s="1930" t="s">
        <v>168</v>
      </c>
      <c r="J2894" s="1930" t="s">
        <v>137</v>
      </c>
      <c r="K2894" s="1933">
        <v>62.68</v>
      </c>
      <c r="L2894" s="1930" t="s">
        <v>138</v>
      </c>
    </row>
    <row r="2895" spans="1:12" ht="13.5" x14ac:dyDescent="0.25">
      <c r="A2895" s="1930" t="s">
        <v>4590</v>
      </c>
      <c r="B2895" s="1930" t="s">
        <v>4591</v>
      </c>
      <c r="C2895" s="1930" t="s">
        <v>4616</v>
      </c>
      <c r="D2895" s="1930" t="s">
        <v>4617</v>
      </c>
      <c r="E2895" s="1931" t="s">
        <v>33</v>
      </c>
      <c r="F2895" s="1930" t="s">
        <v>33</v>
      </c>
      <c r="G2895" s="1932">
        <v>97608</v>
      </c>
      <c r="H2895" s="1930" t="s">
        <v>14938</v>
      </c>
      <c r="I2895" s="1930" t="s">
        <v>168</v>
      </c>
      <c r="J2895" s="1930" t="s">
        <v>137</v>
      </c>
      <c r="K2895" s="1933">
        <v>63.92</v>
      </c>
      <c r="L2895" s="1930" t="s">
        <v>138</v>
      </c>
    </row>
    <row r="2896" spans="1:12" ht="13.5" x14ac:dyDescent="0.25">
      <c r="A2896" s="1930" t="s">
        <v>4590</v>
      </c>
      <c r="B2896" s="1930" t="s">
        <v>4591</v>
      </c>
      <c r="C2896" s="1930" t="s">
        <v>4621</v>
      </c>
      <c r="D2896" s="1930" t="s">
        <v>4622</v>
      </c>
      <c r="E2896" s="1931">
        <v>73857</v>
      </c>
      <c r="F2896" s="1930" t="s">
        <v>4623</v>
      </c>
      <c r="G2896" s="1932" t="s">
        <v>2172</v>
      </c>
      <c r="H2896" s="1930" t="s">
        <v>2173</v>
      </c>
      <c r="I2896" s="1930" t="s">
        <v>168</v>
      </c>
      <c r="J2896" s="1930" t="s">
        <v>137</v>
      </c>
      <c r="K2896" s="1933">
        <v>6670.82</v>
      </c>
      <c r="L2896" s="1930" t="s">
        <v>138</v>
      </c>
    </row>
    <row r="2897" spans="1:12" ht="13.5" x14ac:dyDescent="0.25">
      <c r="A2897" s="1930" t="s">
        <v>4590</v>
      </c>
      <c r="B2897" s="1930" t="s">
        <v>4591</v>
      </c>
      <c r="C2897" s="1930" t="s">
        <v>4621</v>
      </c>
      <c r="D2897" s="1930" t="s">
        <v>4622</v>
      </c>
      <c r="E2897" s="1931">
        <v>73857</v>
      </c>
      <c r="F2897" s="1930" t="s">
        <v>4623</v>
      </c>
      <c r="G2897" s="1932" t="s">
        <v>2174</v>
      </c>
      <c r="H2897" s="1930" t="s">
        <v>2175</v>
      </c>
      <c r="I2897" s="1930" t="s">
        <v>168</v>
      </c>
      <c r="J2897" s="1930" t="s">
        <v>137</v>
      </c>
      <c r="K2897" s="1933">
        <v>8243.66</v>
      </c>
      <c r="L2897" s="1930" t="s">
        <v>138</v>
      </c>
    </row>
    <row r="2898" spans="1:12" ht="13.5" x14ac:dyDescent="0.25">
      <c r="A2898" s="1930" t="s">
        <v>4590</v>
      </c>
      <c r="B2898" s="1930" t="s">
        <v>4591</v>
      </c>
      <c r="C2898" s="1930" t="s">
        <v>4621</v>
      </c>
      <c r="D2898" s="1930" t="s">
        <v>4622</v>
      </c>
      <c r="E2898" s="1931">
        <v>73857</v>
      </c>
      <c r="F2898" s="1930" t="s">
        <v>4623</v>
      </c>
      <c r="G2898" s="1932" t="s">
        <v>2176</v>
      </c>
      <c r="H2898" s="1930" t="s">
        <v>2177</v>
      </c>
      <c r="I2898" s="1930" t="s">
        <v>168</v>
      </c>
      <c r="J2898" s="1930" t="s">
        <v>137</v>
      </c>
      <c r="K2898" s="1933">
        <v>10391.799999999999</v>
      </c>
      <c r="L2898" s="1930" t="s">
        <v>138</v>
      </c>
    </row>
    <row r="2899" spans="1:12" ht="13.5" x14ac:dyDescent="0.25">
      <c r="A2899" s="1930" t="s">
        <v>4590</v>
      </c>
      <c r="B2899" s="1930" t="s">
        <v>4591</v>
      </c>
      <c r="C2899" s="1930" t="s">
        <v>4621</v>
      </c>
      <c r="D2899" s="1930" t="s">
        <v>4622</v>
      </c>
      <c r="E2899" s="1931">
        <v>73857</v>
      </c>
      <c r="F2899" s="1930" t="s">
        <v>4623</v>
      </c>
      <c r="G2899" s="1932" t="s">
        <v>2178</v>
      </c>
      <c r="H2899" s="1930" t="s">
        <v>2179</v>
      </c>
      <c r="I2899" s="1930" t="s">
        <v>168</v>
      </c>
      <c r="J2899" s="1930" t="s">
        <v>137</v>
      </c>
      <c r="K2899" s="1933">
        <v>14553.07</v>
      </c>
      <c r="L2899" s="1930" t="s">
        <v>138</v>
      </c>
    </row>
    <row r="2900" spans="1:12" ht="13.5" x14ac:dyDescent="0.25">
      <c r="A2900" s="1930" t="s">
        <v>4590</v>
      </c>
      <c r="B2900" s="1930" t="s">
        <v>4591</v>
      </c>
      <c r="C2900" s="1930" t="s">
        <v>4621</v>
      </c>
      <c r="D2900" s="1930" t="s">
        <v>4622</v>
      </c>
      <c r="E2900" s="1931">
        <v>73857</v>
      </c>
      <c r="F2900" s="1930" t="s">
        <v>4623</v>
      </c>
      <c r="G2900" s="1932" t="s">
        <v>2180</v>
      </c>
      <c r="H2900" s="1930" t="s">
        <v>2181</v>
      </c>
      <c r="I2900" s="1930" t="s">
        <v>168</v>
      </c>
      <c r="J2900" s="1930" t="s">
        <v>137</v>
      </c>
      <c r="K2900" s="1933">
        <v>16975.64</v>
      </c>
      <c r="L2900" s="1930" t="s">
        <v>138</v>
      </c>
    </row>
    <row r="2901" spans="1:12" ht="13.5" x14ac:dyDescent="0.25">
      <c r="A2901" s="1930" t="s">
        <v>4590</v>
      </c>
      <c r="B2901" s="1930" t="s">
        <v>4591</v>
      </c>
      <c r="C2901" s="1930" t="s">
        <v>4621</v>
      </c>
      <c r="D2901" s="1930" t="s">
        <v>4622</v>
      </c>
      <c r="E2901" s="1931">
        <v>73857</v>
      </c>
      <c r="F2901" s="1930" t="s">
        <v>4623</v>
      </c>
      <c r="G2901" s="1932" t="s">
        <v>2182</v>
      </c>
      <c r="H2901" s="1930" t="s">
        <v>2183</v>
      </c>
      <c r="I2901" s="1930" t="s">
        <v>168</v>
      </c>
      <c r="J2901" s="1930" t="s">
        <v>137</v>
      </c>
      <c r="K2901" s="1933">
        <v>27629.759999999998</v>
      </c>
      <c r="L2901" s="1930" t="s">
        <v>138</v>
      </c>
    </row>
    <row r="2902" spans="1:12" ht="13.5" x14ac:dyDescent="0.25">
      <c r="A2902" s="1930" t="s">
        <v>4590</v>
      </c>
      <c r="B2902" s="1930" t="s">
        <v>4591</v>
      </c>
      <c r="C2902" s="1930" t="s">
        <v>4621</v>
      </c>
      <c r="D2902" s="1930" t="s">
        <v>4622</v>
      </c>
      <c r="E2902" s="1931">
        <v>73857</v>
      </c>
      <c r="F2902" s="1930" t="s">
        <v>4623</v>
      </c>
      <c r="G2902" s="1932" t="s">
        <v>2184</v>
      </c>
      <c r="H2902" s="1930" t="s">
        <v>2185</v>
      </c>
      <c r="I2902" s="1930" t="s">
        <v>168</v>
      </c>
      <c r="J2902" s="1930" t="s">
        <v>137</v>
      </c>
      <c r="K2902" s="1933">
        <v>4604.6400000000003</v>
      </c>
      <c r="L2902" s="1930" t="s">
        <v>138</v>
      </c>
    </row>
    <row r="2903" spans="1:12" ht="13.5" x14ac:dyDescent="0.25">
      <c r="A2903" s="1930" t="s">
        <v>4590</v>
      </c>
      <c r="B2903" s="1930" t="s">
        <v>4591</v>
      </c>
      <c r="C2903" s="1930" t="s">
        <v>4621</v>
      </c>
      <c r="D2903" s="1930" t="s">
        <v>4622</v>
      </c>
      <c r="E2903" s="1931">
        <v>73857</v>
      </c>
      <c r="F2903" s="1930" t="s">
        <v>4623</v>
      </c>
      <c r="G2903" s="1932" t="s">
        <v>2186</v>
      </c>
      <c r="H2903" s="1930" t="s">
        <v>2187</v>
      </c>
      <c r="I2903" s="1930" t="s">
        <v>168</v>
      </c>
      <c r="J2903" s="1930" t="s">
        <v>137</v>
      </c>
      <c r="K2903" s="1933">
        <v>5156.75</v>
      </c>
      <c r="L2903" s="1930" t="s">
        <v>138</v>
      </c>
    </row>
    <row r="2904" spans="1:12" ht="13.5" x14ac:dyDescent="0.25">
      <c r="A2904" s="1930" t="s">
        <v>4590</v>
      </c>
      <c r="B2904" s="1930" t="s">
        <v>4591</v>
      </c>
      <c r="C2904" s="1930" t="s">
        <v>4621</v>
      </c>
      <c r="D2904" s="1930" t="s">
        <v>4622</v>
      </c>
      <c r="E2904" s="1931">
        <v>73857</v>
      </c>
      <c r="F2904" s="1930" t="s">
        <v>4623</v>
      </c>
      <c r="G2904" s="1932" t="s">
        <v>2188</v>
      </c>
      <c r="H2904" s="1930" t="s">
        <v>2189</v>
      </c>
      <c r="I2904" s="1930" t="s">
        <v>168</v>
      </c>
      <c r="J2904" s="1930" t="s">
        <v>137</v>
      </c>
      <c r="K2904" s="1933">
        <v>37857.43</v>
      </c>
      <c r="L2904" s="1930" t="s">
        <v>138</v>
      </c>
    </row>
    <row r="2905" spans="1:12" ht="13.5" x14ac:dyDescent="0.25">
      <c r="A2905" s="1930" t="s">
        <v>4590</v>
      </c>
      <c r="B2905" s="1930" t="s">
        <v>4591</v>
      </c>
      <c r="C2905" s="1930" t="s">
        <v>4621</v>
      </c>
      <c r="D2905" s="1930" t="s">
        <v>4622</v>
      </c>
      <c r="E2905" s="1931">
        <v>73857</v>
      </c>
      <c r="F2905" s="1930" t="s">
        <v>4623</v>
      </c>
      <c r="G2905" s="1932" t="s">
        <v>2190</v>
      </c>
      <c r="H2905" s="1930" t="s">
        <v>2191</v>
      </c>
      <c r="I2905" s="1930" t="s">
        <v>168</v>
      </c>
      <c r="J2905" s="1930" t="s">
        <v>137</v>
      </c>
      <c r="K2905" s="1933">
        <v>52951.99</v>
      </c>
      <c r="L2905" s="1930" t="s">
        <v>138</v>
      </c>
    </row>
    <row r="2906" spans="1:12" ht="13.5" x14ac:dyDescent="0.25">
      <c r="A2906" s="1930" t="s">
        <v>4590</v>
      </c>
      <c r="B2906" s="1930" t="s">
        <v>4591</v>
      </c>
      <c r="C2906" s="1930" t="s">
        <v>4624</v>
      </c>
      <c r="D2906" s="1930" t="s">
        <v>4625</v>
      </c>
      <c r="E2906" s="1931" t="s">
        <v>33</v>
      </c>
      <c r="F2906" s="1930" t="s">
        <v>33</v>
      </c>
      <c r="G2906" s="1932">
        <v>93128</v>
      </c>
      <c r="H2906" s="1930" t="s">
        <v>2192</v>
      </c>
      <c r="I2906" s="1930" t="s">
        <v>168</v>
      </c>
      <c r="J2906" s="1930" t="s">
        <v>320</v>
      </c>
      <c r="K2906" s="1933">
        <v>109.98</v>
      </c>
      <c r="L2906" s="1930" t="s">
        <v>138</v>
      </c>
    </row>
    <row r="2907" spans="1:12" ht="13.5" x14ac:dyDescent="0.25">
      <c r="A2907" s="1930" t="s">
        <v>4590</v>
      </c>
      <c r="B2907" s="1930" t="s">
        <v>4591</v>
      </c>
      <c r="C2907" s="1930" t="s">
        <v>4624</v>
      </c>
      <c r="D2907" s="1930" t="s">
        <v>4625</v>
      </c>
      <c r="E2907" s="1931" t="s">
        <v>33</v>
      </c>
      <c r="F2907" s="1930" t="s">
        <v>33</v>
      </c>
      <c r="G2907" s="1932">
        <v>93137</v>
      </c>
      <c r="H2907" s="1930" t="s">
        <v>2193</v>
      </c>
      <c r="I2907" s="1930" t="s">
        <v>168</v>
      </c>
      <c r="J2907" s="1930" t="s">
        <v>320</v>
      </c>
      <c r="K2907" s="1933">
        <v>131.13999999999999</v>
      </c>
      <c r="L2907" s="1930" t="s">
        <v>138</v>
      </c>
    </row>
    <row r="2908" spans="1:12" ht="13.5" x14ac:dyDescent="0.25">
      <c r="A2908" s="1930" t="s">
        <v>4590</v>
      </c>
      <c r="B2908" s="1930" t="s">
        <v>4591</v>
      </c>
      <c r="C2908" s="1930" t="s">
        <v>4624</v>
      </c>
      <c r="D2908" s="1930" t="s">
        <v>4625</v>
      </c>
      <c r="E2908" s="1931" t="s">
        <v>33</v>
      </c>
      <c r="F2908" s="1930" t="s">
        <v>33</v>
      </c>
      <c r="G2908" s="1932">
        <v>93138</v>
      </c>
      <c r="H2908" s="1930" t="s">
        <v>2194</v>
      </c>
      <c r="I2908" s="1930" t="s">
        <v>168</v>
      </c>
      <c r="J2908" s="1930" t="s">
        <v>320</v>
      </c>
      <c r="K2908" s="1933">
        <v>123.75</v>
      </c>
      <c r="L2908" s="1930" t="s">
        <v>138</v>
      </c>
    </row>
    <row r="2909" spans="1:12" ht="13.5" x14ac:dyDescent="0.25">
      <c r="A2909" s="1930" t="s">
        <v>4590</v>
      </c>
      <c r="B2909" s="1930" t="s">
        <v>4591</v>
      </c>
      <c r="C2909" s="1930" t="s">
        <v>4624</v>
      </c>
      <c r="D2909" s="1930" t="s">
        <v>4625</v>
      </c>
      <c r="E2909" s="1931" t="s">
        <v>33</v>
      </c>
      <c r="F2909" s="1930" t="s">
        <v>33</v>
      </c>
      <c r="G2909" s="1932">
        <v>93139</v>
      </c>
      <c r="H2909" s="1930" t="s">
        <v>2195</v>
      </c>
      <c r="I2909" s="1930" t="s">
        <v>168</v>
      </c>
      <c r="J2909" s="1930" t="s">
        <v>320</v>
      </c>
      <c r="K2909" s="1933">
        <v>158.65</v>
      </c>
      <c r="L2909" s="1930" t="s">
        <v>138</v>
      </c>
    </row>
    <row r="2910" spans="1:12" ht="13.5" x14ac:dyDescent="0.25">
      <c r="A2910" s="1930" t="s">
        <v>4590</v>
      </c>
      <c r="B2910" s="1930" t="s">
        <v>4591</v>
      </c>
      <c r="C2910" s="1930" t="s">
        <v>4624</v>
      </c>
      <c r="D2910" s="1930" t="s">
        <v>4625</v>
      </c>
      <c r="E2910" s="1931" t="s">
        <v>33</v>
      </c>
      <c r="F2910" s="1930" t="s">
        <v>33</v>
      </c>
      <c r="G2910" s="1932">
        <v>93140</v>
      </c>
      <c r="H2910" s="1930" t="s">
        <v>2196</v>
      </c>
      <c r="I2910" s="1930" t="s">
        <v>168</v>
      </c>
      <c r="J2910" s="1930" t="s">
        <v>320</v>
      </c>
      <c r="K2910" s="1933">
        <v>149.29</v>
      </c>
      <c r="L2910" s="1930" t="s">
        <v>138</v>
      </c>
    </row>
    <row r="2911" spans="1:12" ht="13.5" x14ac:dyDescent="0.25">
      <c r="A2911" s="1930" t="s">
        <v>4590</v>
      </c>
      <c r="B2911" s="1930" t="s">
        <v>4591</v>
      </c>
      <c r="C2911" s="1930" t="s">
        <v>4624</v>
      </c>
      <c r="D2911" s="1930" t="s">
        <v>4625</v>
      </c>
      <c r="E2911" s="1931" t="s">
        <v>33</v>
      </c>
      <c r="F2911" s="1930" t="s">
        <v>33</v>
      </c>
      <c r="G2911" s="1932">
        <v>93141</v>
      </c>
      <c r="H2911" s="1930" t="s">
        <v>2197</v>
      </c>
      <c r="I2911" s="1930" t="s">
        <v>168</v>
      </c>
      <c r="J2911" s="1930" t="s">
        <v>320</v>
      </c>
      <c r="K2911" s="1933">
        <v>134.41</v>
      </c>
      <c r="L2911" s="1930" t="s">
        <v>138</v>
      </c>
    </row>
    <row r="2912" spans="1:12" ht="13.5" x14ac:dyDescent="0.25">
      <c r="A2912" s="1930" t="s">
        <v>4590</v>
      </c>
      <c r="B2912" s="1930" t="s">
        <v>4591</v>
      </c>
      <c r="C2912" s="1930" t="s">
        <v>4624</v>
      </c>
      <c r="D2912" s="1930" t="s">
        <v>4625</v>
      </c>
      <c r="E2912" s="1931" t="s">
        <v>33</v>
      </c>
      <c r="F2912" s="1930" t="s">
        <v>33</v>
      </c>
      <c r="G2912" s="1932">
        <v>93142</v>
      </c>
      <c r="H2912" s="1930" t="s">
        <v>2198</v>
      </c>
      <c r="I2912" s="1930" t="s">
        <v>168</v>
      </c>
      <c r="J2912" s="1930" t="s">
        <v>320</v>
      </c>
      <c r="K2912" s="1933">
        <v>150.62</v>
      </c>
      <c r="L2912" s="1930" t="s">
        <v>138</v>
      </c>
    </row>
    <row r="2913" spans="1:12" ht="13.5" x14ac:dyDescent="0.25">
      <c r="A2913" s="1930" t="s">
        <v>4590</v>
      </c>
      <c r="B2913" s="1930" t="s">
        <v>4591</v>
      </c>
      <c r="C2913" s="1930" t="s">
        <v>4624</v>
      </c>
      <c r="D2913" s="1930" t="s">
        <v>4625</v>
      </c>
      <c r="E2913" s="1931" t="s">
        <v>33</v>
      </c>
      <c r="F2913" s="1930" t="s">
        <v>33</v>
      </c>
      <c r="G2913" s="1932">
        <v>93143</v>
      </c>
      <c r="H2913" s="1930" t="s">
        <v>2199</v>
      </c>
      <c r="I2913" s="1930" t="s">
        <v>168</v>
      </c>
      <c r="J2913" s="1930" t="s">
        <v>320</v>
      </c>
      <c r="K2913" s="1933">
        <v>136.43</v>
      </c>
      <c r="L2913" s="1930" t="s">
        <v>138</v>
      </c>
    </row>
    <row r="2914" spans="1:12" ht="13.5" x14ac:dyDescent="0.25">
      <c r="A2914" s="1930" t="s">
        <v>4590</v>
      </c>
      <c r="B2914" s="1930" t="s">
        <v>4591</v>
      </c>
      <c r="C2914" s="1930" t="s">
        <v>4624</v>
      </c>
      <c r="D2914" s="1930" t="s">
        <v>4625</v>
      </c>
      <c r="E2914" s="1931" t="s">
        <v>33</v>
      </c>
      <c r="F2914" s="1930" t="s">
        <v>33</v>
      </c>
      <c r="G2914" s="1932">
        <v>93144</v>
      </c>
      <c r="H2914" s="1930" t="s">
        <v>2200</v>
      </c>
      <c r="I2914" s="1930" t="s">
        <v>168</v>
      </c>
      <c r="J2914" s="1930" t="s">
        <v>320</v>
      </c>
      <c r="K2914" s="1933">
        <v>176.08</v>
      </c>
      <c r="L2914" s="1930" t="s">
        <v>138</v>
      </c>
    </row>
    <row r="2915" spans="1:12" ht="13.5" x14ac:dyDescent="0.25">
      <c r="A2915" s="1930" t="s">
        <v>4590</v>
      </c>
      <c r="B2915" s="1930" t="s">
        <v>4591</v>
      </c>
      <c r="C2915" s="1930" t="s">
        <v>4624</v>
      </c>
      <c r="D2915" s="1930" t="s">
        <v>4625</v>
      </c>
      <c r="E2915" s="1931" t="s">
        <v>33</v>
      </c>
      <c r="F2915" s="1930" t="s">
        <v>33</v>
      </c>
      <c r="G2915" s="1932">
        <v>93145</v>
      </c>
      <c r="H2915" s="1930" t="s">
        <v>2201</v>
      </c>
      <c r="I2915" s="1930" t="s">
        <v>168</v>
      </c>
      <c r="J2915" s="1930" t="s">
        <v>320</v>
      </c>
      <c r="K2915" s="1933">
        <v>164.36</v>
      </c>
      <c r="L2915" s="1930" t="s">
        <v>138</v>
      </c>
    </row>
    <row r="2916" spans="1:12" ht="13.5" x14ac:dyDescent="0.25">
      <c r="A2916" s="1930" t="s">
        <v>4590</v>
      </c>
      <c r="B2916" s="1930" t="s">
        <v>4591</v>
      </c>
      <c r="C2916" s="1930" t="s">
        <v>4624</v>
      </c>
      <c r="D2916" s="1930" t="s">
        <v>4625</v>
      </c>
      <c r="E2916" s="1931" t="s">
        <v>33</v>
      </c>
      <c r="F2916" s="1930" t="s">
        <v>33</v>
      </c>
      <c r="G2916" s="1932">
        <v>93146</v>
      </c>
      <c r="H2916" s="1930" t="s">
        <v>2202</v>
      </c>
      <c r="I2916" s="1930" t="s">
        <v>168</v>
      </c>
      <c r="J2916" s="1930" t="s">
        <v>320</v>
      </c>
      <c r="K2916" s="1933">
        <v>178.13</v>
      </c>
      <c r="L2916" s="1930" t="s">
        <v>138</v>
      </c>
    </row>
    <row r="2917" spans="1:12" ht="13.5" x14ac:dyDescent="0.25">
      <c r="A2917" s="1930" t="s">
        <v>4590</v>
      </c>
      <c r="B2917" s="1930" t="s">
        <v>4591</v>
      </c>
      <c r="C2917" s="1930" t="s">
        <v>4624</v>
      </c>
      <c r="D2917" s="1930" t="s">
        <v>4625</v>
      </c>
      <c r="E2917" s="1931" t="s">
        <v>33</v>
      </c>
      <c r="F2917" s="1930" t="s">
        <v>33</v>
      </c>
      <c r="G2917" s="1932">
        <v>93147</v>
      </c>
      <c r="H2917" s="1930" t="s">
        <v>2203</v>
      </c>
      <c r="I2917" s="1930" t="s">
        <v>168</v>
      </c>
      <c r="J2917" s="1930" t="s">
        <v>320</v>
      </c>
      <c r="K2917" s="1933">
        <v>203.7</v>
      </c>
      <c r="L2917" s="1930" t="s">
        <v>138</v>
      </c>
    </row>
    <row r="2918" spans="1:12" ht="13.5" x14ac:dyDescent="0.25">
      <c r="A2918" s="1930" t="s">
        <v>4590</v>
      </c>
      <c r="B2918" s="1930" t="s">
        <v>4591</v>
      </c>
      <c r="C2918" s="1930" t="s">
        <v>4626</v>
      </c>
      <c r="D2918" s="1930" t="s">
        <v>4627</v>
      </c>
      <c r="E2918" s="1931" t="s">
        <v>33</v>
      </c>
      <c r="F2918" s="1930" t="s">
        <v>33</v>
      </c>
      <c r="G2918" s="1932">
        <v>96971</v>
      </c>
      <c r="H2918" s="1930" t="s">
        <v>5029</v>
      </c>
      <c r="I2918" s="1930" t="s">
        <v>136</v>
      </c>
      <c r="J2918" s="1930" t="s">
        <v>320</v>
      </c>
      <c r="K2918" s="1933">
        <v>22.97</v>
      </c>
      <c r="L2918" s="1930" t="s">
        <v>138</v>
      </c>
    </row>
    <row r="2919" spans="1:12" ht="13.5" x14ac:dyDescent="0.25">
      <c r="A2919" s="1930" t="s">
        <v>4590</v>
      </c>
      <c r="B2919" s="1930" t="s">
        <v>4591</v>
      </c>
      <c r="C2919" s="1930" t="s">
        <v>4626</v>
      </c>
      <c r="D2919" s="1930" t="s">
        <v>4627</v>
      </c>
      <c r="E2919" s="1931" t="s">
        <v>33</v>
      </c>
      <c r="F2919" s="1930" t="s">
        <v>33</v>
      </c>
      <c r="G2919" s="1932">
        <v>96972</v>
      </c>
      <c r="H2919" s="1930" t="s">
        <v>5030</v>
      </c>
      <c r="I2919" s="1930" t="s">
        <v>136</v>
      </c>
      <c r="J2919" s="1930" t="s">
        <v>320</v>
      </c>
      <c r="K2919" s="1933">
        <v>30.95</v>
      </c>
      <c r="L2919" s="1930" t="s">
        <v>138</v>
      </c>
    </row>
    <row r="2920" spans="1:12" ht="13.5" x14ac:dyDescent="0.25">
      <c r="A2920" s="1930" t="s">
        <v>4590</v>
      </c>
      <c r="B2920" s="1930" t="s">
        <v>4591</v>
      </c>
      <c r="C2920" s="1930" t="s">
        <v>4626</v>
      </c>
      <c r="D2920" s="1930" t="s">
        <v>4627</v>
      </c>
      <c r="E2920" s="1931" t="s">
        <v>33</v>
      </c>
      <c r="F2920" s="1930" t="s">
        <v>33</v>
      </c>
      <c r="G2920" s="1932">
        <v>96973</v>
      </c>
      <c r="H2920" s="1930" t="s">
        <v>5031</v>
      </c>
      <c r="I2920" s="1930" t="s">
        <v>136</v>
      </c>
      <c r="J2920" s="1930" t="s">
        <v>320</v>
      </c>
      <c r="K2920" s="1933">
        <v>38.51</v>
      </c>
      <c r="L2920" s="1930" t="s">
        <v>138</v>
      </c>
    </row>
    <row r="2921" spans="1:12" ht="13.5" x14ac:dyDescent="0.25">
      <c r="A2921" s="1930" t="s">
        <v>4590</v>
      </c>
      <c r="B2921" s="1930" t="s">
        <v>4591</v>
      </c>
      <c r="C2921" s="1930" t="s">
        <v>4626</v>
      </c>
      <c r="D2921" s="1930" t="s">
        <v>4627</v>
      </c>
      <c r="E2921" s="1931" t="s">
        <v>33</v>
      </c>
      <c r="F2921" s="1930" t="s">
        <v>33</v>
      </c>
      <c r="G2921" s="1932">
        <v>96974</v>
      </c>
      <c r="H2921" s="1930" t="s">
        <v>5032</v>
      </c>
      <c r="I2921" s="1930" t="s">
        <v>136</v>
      </c>
      <c r="J2921" s="1930" t="s">
        <v>320</v>
      </c>
      <c r="K2921" s="1933">
        <v>48.37</v>
      </c>
      <c r="L2921" s="1930" t="s">
        <v>138</v>
      </c>
    </row>
    <row r="2922" spans="1:12" ht="13.5" x14ac:dyDescent="0.25">
      <c r="A2922" s="1930" t="s">
        <v>4590</v>
      </c>
      <c r="B2922" s="1930" t="s">
        <v>4591</v>
      </c>
      <c r="C2922" s="1930" t="s">
        <v>4626</v>
      </c>
      <c r="D2922" s="1930" t="s">
        <v>4627</v>
      </c>
      <c r="E2922" s="1931" t="s">
        <v>33</v>
      </c>
      <c r="F2922" s="1930" t="s">
        <v>33</v>
      </c>
      <c r="G2922" s="1932">
        <v>96975</v>
      </c>
      <c r="H2922" s="1930" t="s">
        <v>5033</v>
      </c>
      <c r="I2922" s="1930" t="s">
        <v>136</v>
      </c>
      <c r="J2922" s="1930" t="s">
        <v>320</v>
      </c>
      <c r="K2922" s="1933">
        <v>61.37</v>
      </c>
      <c r="L2922" s="1930" t="s">
        <v>138</v>
      </c>
    </row>
    <row r="2923" spans="1:12" ht="13.5" x14ac:dyDescent="0.25">
      <c r="A2923" s="1930" t="s">
        <v>4590</v>
      </c>
      <c r="B2923" s="1930" t="s">
        <v>4591</v>
      </c>
      <c r="C2923" s="1930" t="s">
        <v>4626</v>
      </c>
      <c r="D2923" s="1930" t="s">
        <v>4627</v>
      </c>
      <c r="E2923" s="1931" t="s">
        <v>33</v>
      </c>
      <c r="F2923" s="1930" t="s">
        <v>33</v>
      </c>
      <c r="G2923" s="1932">
        <v>96976</v>
      </c>
      <c r="H2923" s="1930" t="s">
        <v>5034</v>
      </c>
      <c r="I2923" s="1930" t="s">
        <v>136</v>
      </c>
      <c r="J2923" s="1930" t="s">
        <v>320</v>
      </c>
      <c r="K2923" s="1933">
        <v>78.41</v>
      </c>
      <c r="L2923" s="1930" t="s">
        <v>138</v>
      </c>
    </row>
    <row r="2924" spans="1:12" ht="13.5" x14ac:dyDescent="0.25">
      <c r="A2924" s="1930" t="s">
        <v>4590</v>
      </c>
      <c r="B2924" s="1930" t="s">
        <v>4591</v>
      </c>
      <c r="C2924" s="1930" t="s">
        <v>4626</v>
      </c>
      <c r="D2924" s="1930" t="s">
        <v>4627</v>
      </c>
      <c r="E2924" s="1931" t="s">
        <v>33</v>
      </c>
      <c r="F2924" s="1930" t="s">
        <v>33</v>
      </c>
      <c r="G2924" s="1932">
        <v>96977</v>
      </c>
      <c r="H2924" s="1930" t="s">
        <v>5035</v>
      </c>
      <c r="I2924" s="1930" t="s">
        <v>136</v>
      </c>
      <c r="J2924" s="1930" t="s">
        <v>320</v>
      </c>
      <c r="K2924" s="1933">
        <v>28.17</v>
      </c>
      <c r="L2924" s="1930" t="s">
        <v>138</v>
      </c>
    </row>
    <row r="2925" spans="1:12" ht="13.5" x14ac:dyDescent="0.25">
      <c r="A2925" s="1930" t="s">
        <v>4590</v>
      </c>
      <c r="B2925" s="1930" t="s">
        <v>4591</v>
      </c>
      <c r="C2925" s="1930" t="s">
        <v>4626</v>
      </c>
      <c r="D2925" s="1930" t="s">
        <v>4627</v>
      </c>
      <c r="E2925" s="1931" t="s">
        <v>33</v>
      </c>
      <c r="F2925" s="1930" t="s">
        <v>33</v>
      </c>
      <c r="G2925" s="1932">
        <v>96978</v>
      </c>
      <c r="H2925" s="1930" t="s">
        <v>5036</v>
      </c>
      <c r="I2925" s="1930" t="s">
        <v>136</v>
      </c>
      <c r="J2925" s="1930" t="s">
        <v>320</v>
      </c>
      <c r="K2925" s="1933">
        <v>39.46</v>
      </c>
      <c r="L2925" s="1930" t="s">
        <v>138</v>
      </c>
    </row>
    <row r="2926" spans="1:12" ht="13.5" x14ac:dyDescent="0.25">
      <c r="A2926" s="1930" t="s">
        <v>4590</v>
      </c>
      <c r="B2926" s="1930" t="s">
        <v>4591</v>
      </c>
      <c r="C2926" s="1930" t="s">
        <v>4626</v>
      </c>
      <c r="D2926" s="1930" t="s">
        <v>4627</v>
      </c>
      <c r="E2926" s="1931" t="s">
        <v>33</v>
      </c>
      <c r="F2926" s="1930" t="s">
        <v>33</v>
      </c>
      <c r="G2926" s="1932">
        <v>96979</v>
      </c>
      <c r="H2926" s="1930" t="s">
        <v>5037</v>
      </c>
      <c r="I2926" s="1930" t="s">
        <v>136</v>
      </c>
      <c r="J2926" s="1930" t="s">
        <v>320</v>
      </c>
      <c r="K2926" s="1933">
        <v>55.2</v>
      </c>
      <c r="L2926" s="1930" t="s">
        <v>138</v>
      </c>
    </row>
    <row r="2927" spans="1:12" ht="13.5" x14ac:dyDescent="0.25">
      <c r="A2927" s="1930" t="s">
        <v>4590</v>
      </c>
      <c r="B2927" s="1930" t="s">
        <v>4591</v>
      </c>
      <c r="C2927" s="1930" t="s">
        <v>4626</v>
      </c>
      <c r="D2927" s="1930" t="s">
        <v>4627</v>
      </c>
      <c r="E2927" s="1931" t="s">
        <v>33</v>
      </c>
      <c r="F2927" s="1930" t="s">
        <v>33</v>
      </c>
      <c r="G2927" s="1932">
        <v>96984</v>
      </c>
      <c r="H2927" s="1930" t="s">
        <v>5039</v>
      </c>
      <c r="I2927" s="1930" t="s">
        <v>168</v>
      </c>
      <c r="J2927" s="1930" t="s">
        <v>320</v>
      </c>
      <c r="K2927" s="1933">
        <v>41.95</v>
      </c>
      <c r="L2927" s="1930" t="s">
        <v>138</v>
      </c>
    </row>
    <row r="2928" spans="1:12" ht="13.5" x14ac:dyDescent="0.25">
      <c r="A2928" s="1930" t="s">
        <v>4590</v>
      </c>
      <c r="B2928" s="1930" t="s">
        <v>4591</v>
      </c>
      <c r="C2928" s="1930" t="s">
        <v>4626</v>
      </c>
      <c r="D2928" s="1930" t="s">
        <v>4627</v>
      </c>
      <c r="E2928" s="1931" t="s">
        <v>33</v>
      </c>
      <c r="F2928" s="1930" t="s">
        <v>33</v>
      </c>
      <c r="G2928" s="1932">
        <v>96985</v>
      </c>
      <c r="H2928" s="1930" t="s">
        <v>5040</v>
      </c>
      <c r="I2928" s="1930" t="s">
        <v>168</v>
      </c>
      <c r="J2928" s="1930" t="s">
        <v>320</v>
      </c>
      <c r="K2928" s="1933">
        <v>56.92</v>
      </c>
      <c r="L2928" s="1930" t="s">
        <v>138</v>
      </c>
    </row>
    <row r="2929" spans="1:12" ht="13.5" x14ac:dyDescent="0.25">
      <c r="A2929" s="1930" t="s">
        <v>4590</v>
      </c>
      <c r="B2929" s="1930" t="s">
        <v>4591</v>
      </c>
      <c r="C2929" s="1930" t="s">
        <v>4626</v>
      </c>
      <c r="D2929" s="1930" t="s">
        <v>4627</v>
      </c>
      <c r="E2929" s="1931" t="s">
        <v>33</v>
      </c>
      <c r="F2929" s="1930" t="s">
        <v>33</v>
      </c>
      <c r="G2929" s="1932">
        <v>96986</v>
      </c>
      <c r="H2929" s="1930" t="s">
        <v>5041</v>
      </c>
      <c r="I2929" s="1930" t="s">
        <v>168</v>
      </c>
      <c r="J2929" s="1930" t="s">
        <v>320</v>
      </c>
      <c r="K2929" s="1933">
        <v>84.99</v>
      </c>
      <c r="L2929" s="1930" t="s">
        <v>138</v>
      </c>
    </row>
    <row r="2930" spans="1:12" ht="13.5" x14ac:dyDescent="0.25">
      <c r="A2930" s="1930" t="s">
        <v>4590</v>
      </c>
      <c r="B2930" s="1930" t="s">
        <v>4591</v>
      </c>
      <c r="C2930" s="1930" t="s">
        <v>4626</v>
      </c>
      <c r="D2930" s="1930" t="s">
        <v>4627</v>
      </c>
      <c r="E2930" s="1931" t="s">
        <v>33</v>
      </c>
      <c r="F2930" s="1930" t="s">
        <v>33</v>
      </c>
      <c r="G2930" s="1932">
        <v>96987</v>
      </c>
      <c r="H2930" s="1930" t="s">
        <v>5042</v>
      </c>
      <c r="I2930" s="1930" t="s">
        <v>168</v>
      </c>
      <c r="J2930" s="1930" t="s">
        <v>320</v>
      </c>
      <c r="K2930" s="1933">
        <v>117.18</v>
      </c>
      <c r="L2930" s="1930" t="s">
        <v>138</v>
      </c>
    </row>
    <row r="2931" spans="1:12" ht="13.5" x14ac:dyDescent="0.25">
      <c r="A2931" s="1930" t="s">
        <v>4590</v>
      </c>
      <c r="B2931" s="1930" t="s">
        <v>4591</v>
      </c>
      <c r="C2931" s="1930" t="s">
        <v>4626</v>
      </c>
      <c r="D2931" s="1930" t="s">
        <v>4627</v>
      </c>
      <c r="E2931" s="1931" t="s">
        <v>33</v>
      </c>
      <c r="F2931" s="1930" t="s">
        <v>33</v>
      </c>
      <c r="G2931" s="1932">
        <v>96988</v>
      </c>
      <c r="H2931" s="1930" t="s">
        <v>5043</v>
      </c>
      <c r="I2931" s="1930" t="s">
        <v>168</v>
      </c>
      <c r="J2931" s="1930" t="s">
        <v>320</v>
      </c>
      <c r="K2931" s="1933">
        <v>179.97</v>
      </c>
      <c r="L2931" s="1930" t="s">
        <v>138</v>
      </c>
    </row>
    <row r="2932" spans="1:12" ht="13.5" x14ac:dyDescent="0.25">
      <c r="A2932" s="1930" t="s">
        <v>4590</v>
      </c>
      <c r="B2932" s="1930" t="s">
        <v>4591</v>
      </c>
      <c r="C2932" s="1930" t="s">
        <v>4626</v>
      </c>
      <c r="D2932" s="1930" t="s">
        <v>4627</v>
      </c>
      <c r="E2932" s="1931" t="s">
        <v>33</v>
      </c>
      <c r="F2932" s="1930" t="s">
        <v>33</v>
      </c>
      <c r="G2932" s="1932">
        <v>96989</v>
      </c>
      <c r="H2932" s="1930" t="s">
        <v>5044</v>
      </c>
      <c r="I2932" s="1930" t="s">
        <v>168</v>
      </c>
      <c r="J2932" s="1930" t="s">
        <v>320</v>
      </c>
      <c r="K2932" s="1933">
        <v>118.31</v>
      </c>
      <c r="L2932" s="1930" t="s">
        <v>138</v>
      </c>
    </row>
    <row r="2933" spans="1:12" ht="13.5" x14ac:dyDescent="0.25">
      <c r="A2933" s="1930" t="s">
        <v>4590</v>
      </c>
      <c r="B2933" s="1930" t="s">
        <v>4591</v>
      </c>
      <c r="C2933" s="1930" t="s">
        <v>4626</v>
      </c>
      <c r="D2933" s="1930" t="s">
        <v>4627</v>
      </c>
      <c r="E2933" s="1931" t="s">
        <v>33</v>
      </c>
      <c r="F2933" s="1930" t="s">
        <v>33</v>
      </c>
      <c r="G2933" s="1932">
        <v>98463</v>
      </c>
      <c r="H2933" s="1930" t="s">
        <v>5038</v>
      </c>
      <c r="I2933" s="1930" t="s">
        <v>168</v>
      </c>
      <c r="J2933" s="1930" t="s">
        <v>320</v>
      </c>
      <c r="K2933" s="1933">
        <v>21.69</v>
      </c>
      <c r="L2933" s="1930" t="s">
        <v>138</v>
      </c>
    </row>
    <row r="2934" spans="1:12" ht="13.5" x14ac:dyDescent="0.25">
      <c r="A2934" s="1930" t="s">
        <v>4590</v>
      </c>
      <c r="B2934" s="1930" t="s">
        <v>4591</v>
      </c>
      <c r="C2934" s="1930" t="s">
        <v>4629</v>
      </c>
      <c r="D2934" s="1930" t="s">
        <v>4630</v>
      </c>
      <c r="E2934" s="1931" t="s">
        <v>33</v>
      </c>
      <c r="F2934" s="1930" t="s">
        <v>33</v>
      </c>
      <c r="G2934" s="1932">
        <v>88547</v>
      </c>
      <c r="H2934" s="1930" t="s">
        <v>2204</v>
      </c>
      <c r="I2934" s="1930" t="s">
        <v>168</v>
      </c>
      <c r="J2934" s="1930" t="s">
        <v>320</v>
      </c>
      <c r="K2934" s="1933">
        <v>73.150000000000006</v>
      </c>
      <c r="L2934" s="1930" t="s">
        <v>138</v>
      </c>
    </row>
    <row r="2935" spans="1:12" ht="13.5" x14ac:dyDescent="0.25">
      <c r="A2935" s="1930" t="s">
        <v>4631</v>
      </c>
      <c r="B2935" s="1930" t="s">
        <v>4632</v>
      </c>
      <c r="C2935" s="1930" t="s">
        <v>4633</v>
      </c>
      <c r="D2935" s="1930" t="s">
        <v>4634</v>
      </c>
      <c r="E2935" s="1931" t="s">
        <v>33</v>
      </c>
      <c r="F2935" s="1930" t="s">
        <v>33</v>
      </c>
      <c r="G2935" s="1932">
        <v>72283</v>
      </c>
      <c r="H2935" s="1930" t="s">
        <v>2205</v>
      </c>
      <c r="I2935" s="1930" t="s">
        <v>168</v>
      </c>
      <c r="J2935" s="1930" t="s">
        <v>320</v>
      </c>
      <c r="K2935" s="1933">
        <v>833.25</v>
      </c>
      <c r="L2935" s="1930" t="s">
        <v>138</v>
      </c>
    </row>
    <row r="2936" spans="1:12" ht="13.5" x14ac:dyDescent="0.25">
      <c r="A2936" s="1930" t="s">
        <v>4631</v>
      </c>
      <c r="B2936" s="1930" t="s">
        <v>4632</v>
      </c>
      <c r="C2936" s="1930" t="s">
        <v>4633</v>
      </c>
      <c r="D2936" s="1930" t="s">
        <v>4634</v>
      </c>
      <c r="E2936" s="1931" t="s">
        <v>33</v>
      </c>
      <c r="F2936" s="1930" t="s">
        <v>33</v>
      </c>
      <c r="G2936" s="1932">
        <v>72287</v>
      </c>
      <c r="H2936" s="1930" t="s">
        <v>2206</v>
      </c>
      <c r="I2936" s="1930" t="s">
        <v>168</v>
      </c>
      <c r="J2936" s="1930" t="s">
        <v>320</v>
      </c>
      <c r="K2936" s="1933">
        <v>215.84</v>
      </c>
      <c r="L2936" s="1930" t="s">
        <v>138</v>
      </c>
    </row>
    <row r="2937" spans="1:12" ht="13.5" x14ac:dyDescent="0.25">
      <c r="A2937" s="1930" t="s">
        <v>4631</v>
      </c>
      <c r="B2937" s="1930" t="s">
        <v>4632</v>
      </c>
      <c r="C2937" s="1930" t="s">
        <v>4633</v>
      </c>
      <c r="D2937" s="1930" t="s">
        <v>4634</v>
      </c>
      <c r="E2937" s="1931" t="s">
        <v>33</v>
      </c>
      <c r="F2937" s="1930" t="s">
        <v>33</v>
      </c>
      <c r="G2937" s="1932">
        <v>72288</v>
      </c>
      <c r="H2937" s="1930" t="s">
        <v>9161</v>
      </c>
      <c r="I2937" s="1930" t="s">
        <v>168</v>
      </c>
      <c r="J2937" s="1930" t="s">
        <v>320</v>
      </c>
      <c r="K2937" s="1933">
        <v>268.74</v>
      </c>
      <c r="L2937" s="1930" t="s">
        <v>138</v>
      </c>
    </row>
    <row r="2938" spans="1:12" ht="13.5" x14ac:dyDescent="0.25">
      <c r="A2938" s="1930" t="s">
        <v>4631</v>
      </c>
      <c r="B2938" s="1930" t="s">
        <v>4632</v>
      </c>
      <c r="C2938" s="1930" t="s">
        <v>4633</v>
      </c>
      <c r="D2938" s="1930" t="s">
        <v>4634</v>
      </c>
      <c r="E2938" s="1931" t="s">
        <v>33</v>
      </c>
      <c r="F2938" s="1930" t="s">
        <v>33</v>
      </c>
      <c r="G2938" s="1932">
        <v>72553</v>
      </c>
      <c r="H2938" s="1930" t="s">
        <v>2207</v>
      </c>
      <c r="I2938" s="1930" t="s">
        <v>168</v>
      </c>
      <c r="J2938" s="1930" t="s">
        <v>320</v>
      </c>
      <c r="K2938" s="1933">
        <v>154.74</v>
      </c>
      <c r="L2938" s="1930" t="s">
        <v>138</v>
      </c>
    </row>
    <row r="2939" spans="1:12" ht="13.5" x14ac:dyDescent="0.25">
      <c r="A2939" s="1930" t="s">
        <v>4631</v>
      </c>
      <c r="B2939" s="1930" t="s">
        <v>4632</v>
      </c>
      <c r="C2939" s="1930" t="s">
        <v>4633</v>
      </c>
      <c r="D2939" s="1930" t="s">
        <v>4634</v>
      </c>
      <c r="E2939" s="1931" t="s">
        <v>33</v>
      </c>
      <c r="F2939" s="1930" t="s">
        <v>33</v>
      </c>
      <c r="G2939" s="1932">
        <v>72554</v>
      </c>
      <c r="H2939" s="1930" t="s">
        <v>2208</v>
      </c>
      <c r="I2939" s="1930" t="s">
        <v>168</v>
      </c>
      <c r="J2939" s="1930" t="s">
        <v>320</v>
      </c>
      <c r="K2939" s="1933">
        <v>520.9</v>
      </c>
      <c r="L2939" s="1930" t="s">
        <v>138</v>
      </c>
    </row>
    <row r="2940" spans="1:12" ht="13.5" x14ac:dyDescent="0.25">
      <c r="A2940" s="1930" t="s">
        <v>4631</v>
      </c>
      <c r="B2940" s="1930" t="s">
        <v>4632</v>
      </c>
      <c r="C2940" s="1930" t="s">
        <v>4633</v>
      </c>
      <c r="D2940" s="1930" t="s">
        <v>4634</v>
      </c>
      <c r="E2940" s="1931">
        <v>73775</v>
      </c>
      <c r="F2940" s="1930" t="s">
        <v>4635</v>
      </c>
      <c r="G2940" s="1932" t="s">
        <v>2209</v>
      </c>
      <c r="H2940" s="1930" t="s">
        <v>2210</v>
      </c>
      <c r="I2940" s="1930" t="s">
        <v>168</v>
      </c>
      <c r="J2940" s="1930" t="s">
        <v>320</v>
      </c>
      <c r="K2940" s="1933">
        <v>161.44999999999999</v>
      </c>
      <c r="L2940" s="1930" t="s">
        <v>138</v>
      </c>
    </row>
    <row r="2941" spans="1:12" ht="13.5" x14ac:dyDescent="0.25">
      <c r="A2941" s="1930" t="s">
        <v>4631</v>
      </c>
      <c r="B2941" s="1930" t="s">
        <v>4632</v>
      </c>
      <c r="C2941" s="1930" t="s">
        <v>4633</v>
      </c>
      <c r="D2941" s="1930" t="s">
        <v>4634</v>
      </c>
      <c r="E2941" s="1931">
        <v>73775</v>
      </c>
      <c r="F2941" s="1930" t="s">
        <v>4635</v>
      </c>
      <c r="G2941" s="1932" t="s">
        <v>2211</v>
      </c>
      <c r="H2941" s="1930" t="s">
        <v>2212</v>
      </c>
      <c r="I2941" s="1930" t="s">
        <v>168</v>
      </c>
      <c r="J2941" s="1930" t="s">
        <v>320</v>
      </c>
      <c r="K2941" s="1933">
        <v>166.36</v>
      </c>
      <c r="L2941" s="1930" t="s">
        <v>138</v>
      </c>
    </row>
    <row r="2942" spans="1:12" ht="13.5" x14ac:dyDescent="0.25">
      <c r="A2942" s="1930" t="s">
        <v>4631</v>
      </c>
      <c r="B2942" s="1930" t="s">
        <v>4632</v>
      </c>
      <c r="C2942" s="1930" t="s">
        <v>4633</v>
      </c>
      <c r="D2942" s="1930" t="s">
        <v>4634</v>
      </c>
      <c r="E2942" s="1931" t="s">
        <v>33</v>
      </c>
      <c r="F2942" s="1930" t="s">
        <v>33</v>
      </c>
      <c r="G2942" s="1932">
        <v>83633</v>
      </c>
      <c r="H2942" s="1930" t="s">
        <v>2213</v>
      </c>
      <c r="I2942" s="1930" t="s">
        <v>168</v>
      </c>
      <c r="J2942" s="1930" t="s">
        <v>137</v>
      </c>
      <c r="K2942" s="1933">
        <v>1895.91</v>
      </c>
      <c r="L2942" s="1930" t="s">
        <v>138</v>
      </c>
    </row>
    <row r="2943" spans="1:12" ht="13.5" x14ac:dyDescent="0.25">
      <c r="A2943" s="1930" t="s">
        <v>4631</v>
      </c>
      <c r="B2943" s="1930" t="s">
        <v>4632</v>
      </c>
      <c r="C2943" s="1930" t="s">
        <v>4633</v>
      </c>
      <c r="D2943" s="1930" t="s">
        <v>4634</v>
      </c>
      <c r="E2943" s="1931" t="s">
        <v>33</v>
      </c>
      <c r="F2943" s="1930" t="s">
        <v>33</v>
      </c>
      <c r="G2943" s="1932">
        <v>83634</v>
      </c>
      <c r="H2943" s="1930" t="s">
        <v>2214</v>
      </c>
      <c r="I2943" s="1930" t="s">
        <v>168</v>
      </c>
      <c r="J2943" s="1930" t="s">
        <v>320</v>
      </c>
      <c r="K2943" s="1933">
        <v>488.37</v>
      </c>
      <c r="L2943" s="1930" t="s">
        <v>138</v>
      </c>
    </row>
    <row r="2944" spans="1:12" ht="13.5" x14ac:dyDescent="0.25">
      <c r="A2944" s="1930" t="s">
        <v>4631</v>
      </c>
      <c r="B2944" s="1930" t="s">
        <v>4632</v>
      </c>
      <c r="C2944" s="1930" t="s">
        <v>4633</v>
      </c>
      <c r="D2944" s="1930" t="s">
        <v>4634</v>
      </c>
      <c r="E2944" s="1931" t="s">
        <v>33</v>
      </c>
      <c r="F2944" s="1930" t="s">
        <v>33</v>
      </c>
      <c r="G2944" s="1932">
        <v>83635</v>
      </c>
      <c r="H2944" s="1930" t="s">
        <v>2215</v>
      </c>
      <c r="I2944" s="1930" t="s">
        <v>168</v>
      </c>
      <c r="J2944" s="1930" t="s">
        <v>346</v>
      </c>
      <c r="K2944" s="1933">
        <v>187.61</v>
      </c>
      <c r="L2944" s="1930" t="s">
        <v>138</v>
      </c>
    </row>
    <row r="2945" spans="1:12" ht="13.5" x14ac:dyDescent="0.25">
      <c r="A2945" s="1930" t="s">
        <v>4631</v>
      </c>
      <c r="B2945" s="1930" t="s">
        <v>4632</v>
      </c>
      <c r="C2945" s="1930" t="s">
        <v>4633</v>
      </c>
      <c r="D2945" s="1930" t="s">
        <v>4634</v>
      </c>
      <c r="E2945" s="1931" t="s">
        <v>33</v>
      </c>
      <c r="F2945" s="1930" t="s">
        <v>33</v>
      </c>
      <c r="G2945" s="1932">
        <v>96765</v>
      </c>
      <c r="H2945" s="1930" t="s">
        <v>5466</v>
      </c>
      <c r="I2945" s="1930" t="s">
        <v>168</v>
      </c>
      <c r="J2945" s="1930" t="s">
        <v>320</v>
      </c>
      <c r="K2945" s="1933">
        <v>980.09</v>
      </c>
      <c r="L2945" s="1930" t="s">
        <v>138</v>
      </c>
    </row>
    <row r="2946" spans="1:12" ht="13.5" x14ac:dyDescent="0.25">
      <c r="A2946" s="1930" t="s">
        <v>4631</v>
      </c>
      <c r="B2946" s="1930" t="s">
        <v>4632</v>
      </c>
      <c r="C2946" s="1930" t="s">
        <v>4636</v>
      </c>
      <c r="D2946" s="1930" t="s">
        <v>4637</v>
      </c>
      <c r="E2946" s="1931">
        <v>73749</v>
      </c>
      <c r="F2946" s="1930" t="s">
        <v>4638</v>
      </c>
      <c r="G2946" s="1932" t="s">
        <v>2216</v>
      </c>
      <c r="H2946" s="1930" t="s">
        <v>2217</v>
      </c>
      <c r="I2946" s="1930" t="s">
        <v>168</v>
      </c>
      <c r="J2946" s="1930" t="s">
        <v>137</v>
      </c>
      <c r="K2946" s="1933">
        <v>182.32</v>
      </c>
      <c r="L2946" s="1930" t="s">
        <v>138</v>
      </c>
    </row>
    <row r="2947" spans="1:12" ht="13.5" x14ac:dyDescent="0.25">
      <c r="A2947" s="1930" t="s">
        <v>4631</v>
      </c>
      <c r="B2947" s="1930" t="s">
        <v>4632</v>
      </c>
      <c r="C2947" s="1930" t="s">
        <v>4636</v>
      </c>
      <c r="D2947" s="1930" t="s">
        <v>4637</v>
      </c>
      <c r="E2947" s="1931">
        <v>73749</v>
      </c>
      <c r="F2947" s="1930" t="s">
        <v>4638</v>
      </c>
      <c r="G2947" s="1932" t="s">
        <v>2218</v>
      </c>
      <c r="H2947" s="1930" t="s">
        <v>2219</v>
      </c>
      <c r="I2947" s="1930" t="s">
        <v>168</v>
      </c>
      <c r="J2947" s="1930" t="s">
        <v>137</v>
      </c>
      <c r="K2947" s="1933">
        <v>336.92</v>
      </c>
      <c r="L2947" s="1930" t="s">
        <v>138</v>
      </c>
    </row>
    <row r="2948" spans="1:12" ht="13.5" x14ac:dyDescent="0.25">
      <c r="A2948" s="1930" t="s">
        <v>4631</v>
      </c>
      <c r="B2948" s="1930" t="s">
        <v>4632</v>
      </c>
      <c r="C2948" s="1930" t="s">
        <v>4636</v>
      </c>
      <c r="D2948" s="1930" t="s">
        <v>4637</v>
      </c>
      <c r="E2948" s="1931">
        <v>73749</v>
      </c>
      <c r="F2948" s="1930" t="s">
        <v>4638</v>
      </c>
      <c r="G2948" s="1932" t="s">
        <v>2220</v>
      </c>
      <c r="H2948" s="1930" t="s">
        <v>2221</v>
      </c>
      <c r="I2948" s="1930" t="s">
        <v>168</v>
      </c>
      <c r="J2948" s="1930" t="s">
        <v>137</v>
      </c>
      <c r="K2948" s="1933">
        <v>1086.42</v>
      </c>
      <c r="L2948" s="1930" t="s">
        <v>138</v>
      </c>
    </row>
    <row r="2949" spans="1:12" ht="13.5" x14ac:dyDescent="0.25">
      <c r="A2949" s="1930" t="s">
        <v>4631</v>
      </c>
      <c r="B2949" s="1930" t="s">
        <v>4632</v>
      </c>
      <c r="C2949" s="1930" t="s">
        <v>4636</v>
      </c>
      <c r="D2949" s="1930" t="s">
        <v>4637</v>
      </c>
      <c r="E2949" s="1931" t="s">
        <v>33</v>
      </c>
      <c r="F2949" s="1930" t="s">
        <v>33</v>
      </c>
      <c r="G2949" s="1932">
        <v>84796</v>
      </c>
      <c r="H2949" s="1930" t="s">
        <v>2222</v>
      </c>
      <c r="I2949" s="1930" t="s">
        <v>168</v>
      </c>
      <c r="J2949" s="1930" t="s">
        <v>137</v>
      </c>
      <c r="K2949" s="1933">
        <v>471.51</v>
      </c>
      <c r="L2949" s="1930" t="s">
        <v>138</v>
      </c>
    </row>
    <row r="2950" spans="1:12" ht="13.5" x14ac:dyDescent="0.25">
      <c r="A2950" s="1930" t="s">
        <v>4631</v>
      </c>
      <c r="B2950" s="1930" t="s">
        <v>4632</v>
      </c>
      <c r="C2950" s="1930" t="s">
        <v>4636</v>
      </c>
      <c r="D2950" s="1930" t="s">
        <v>4637</v>
      </c>
      <c r="E2950" s="1931" t="s">
        <v>33</v>
      </c>
      <c r="F2950" s="1930" t="s">
        <v>33</v>
      </c>
      <c r="G2950" s="1932">
        <v>84798</v>
      </c>
      <c r="H2950" s="1930" t="s">
        <v>2223</v>
      </c>
      <c r="I2950" s="1930" t="s">
        <v>168</v>
      </c>
      <c r="J2950" s="1930" t="s">
        <v>137</v>
      </c>
      <c r="K2950" s="1933">
        <v>215.64</v>
      </c>
      <c r="L2950" s="1930" t="s">
        <v>138</v>
      </c>
    </row>
    <row r="2951" spans="1:12" ht="13.5" x14ac:dyDescent="0.25">
      <c r="A2951" s="1930" t="s">
        <v>4631</v>
      </c>
      <c r="B2951" s="1930" t="s">
        <v>4632</v>
      </c>
      <c r="C2951" s="1930" t="s">
        <v>4636</v>
      </c>
      <c r="D2951" s="1930" t="s">
        <v>4637</v>
      </c>
      <c r="E2951" s="1931" t="s">
        <v>33</v>
      </c>
      <c r="F2951" s="1930" t="s">
        <v>33</v>
      </c>
      <c r="G2951" s="1932">
        <v>98261</v>
      </c>
      <c r="H2951" s="1930" t="s">
        <v>8800</v>
      </c>
      <c r="I2951" s="1930" t="s">
        <v>136</v>
      </c>
      <c r="J2951" s="1930" t="s">
        <v>320</v>
      </c>
      <c r="K2951" s="1933">
        <v>2.85</v>
      </c>
      <c r="L2951" s="1930" t="s">
        <v>138</v>
      </c>
    </row>
    <row r="2952" spans="1:12" ht="13.5" x14ac:dyDescent="0.25">
      <c r="A2952" s="1930" t="s">
        <v>4631</v>
      </c>
      <c r="B2952" s="1930" t="s">
        <v>4632</v>
      </c>
      <c r="C2952" s="1930" t="s">
        <v>4636</v>
      </c>
      <c r="D2952" s="1930" t="s">
        <v>4637</v>
      </c>
      <c r="E2952" s="1931" t="s">
        <v>33</v>
      </c>
      <c r="F2952" s="1930" t="s">
        <v>33</v>
      </c>
      <c r="G2952" s="1932">
        <v>98262</v>
      </c>
      <c r="H2952" s="1930" t="s">
        <v>8801</v>
      </c>
      <c r="I2952" s="1930" t="s">
        <v>136</v>
      </c>
      <c r="J2952" s="1930" t="s">
        <v>320</v>
      </c>
      <c r="K2952" s="1933">
        <v>3.41</v>
      </c>
      <c r="L2952" s="1930" t="s">
        <v>138</v>
      </c>
    </row>
    <row r="2953" spans="1:12" ht="13.5" x14ac:dyDescent="0.25">
      <c r="A2953" s="1930" t="s">
        <v>4631</v>
      </c>
      <c r="B2953" s="1930" t="s">
        <v>4632</v>
      </c>
      <c r="C2953" s="1930" t="s">
        <v>4636</v>
      </c>
      <c r="D2953" s="1930" t="s">
        <v>4637</v>
      </c>
      <c r="E2953" s="1931" t="s">
        <v>33</v>
      </c>
      <c r="F2953" s="1930" t="s">
        <v>33</v>
      </c>
      <c r="G2953" s="1932">
        <v>98263</v>
      </c>
      <c r="H2953" s="1930" t="s">
        <v>8802</v>
      </c>
      <c r="I2953" s="1930" t="s">
        <v>136</v>
      </c>
      <c r="J2953" s="1930" t="s">
        <v>320</v>
      </c>
      <c r="K2953" s="1933">
        <v>4.0999999999999996</v>
      </c>
      <c r="L2953" s="1930" t="s">
        <v>138</v>
      </c>
    </row>
    <row r="2954" spans="1:12" ht="13.5" x14ac:dyDescent="0.25">
      <c r="A2954" s="1930" t="s">
        <v>4631</v>
      </c>
      <c r="B2954" s="1930" t="s">
        <v>4632</v>
      </c>
      <c r="C2954" s="1930" t="s">
        <v>4636</v>
      </c>
      <c r="D2954" s="1930" t="s">
        <v>4637</v>
      </c>
      <c r="E2954" s="1931" t="s">
        <v>33</v>
      </c>
      <c r="F2954" s="1930" t="s">
        <v>33</v>
      </c>
      <c r="G2954" s="1932">
        <v>98264</v>
      </c>
      <c r="H2954" s="1930" t="s">
        <v>8803</v>
      </c>
      <c r="I2954" s="1930" t="s">
        <v>136</v>
      </c>
      <c r="J2954" s="1930" t="s">
        <v>320</v>
      </c>
      <c r="K2954" s="1933">
        <v>4.63</v>
      </c>
      <c r="L2954" s="1930" t="s">
        <v>138</v>
      </c>
    </row>
    <row r="2955" spans="1:12" ht="13.5" x14ac:dyDescent="0.25">
      <c r="A2955" s="1930" t="s">
        <v>4631</v>
      </c>
      <c r="B2955" s="1930" t="s">
        <v>4632</v>
      </c>
      <c r="C2955" s="1930" t="s">
        <v>4636</v>
      </c>
      <c r="D2955" s="1930" t="s">
        <v>4637</v>
      </c>
      <c r="E2955" s="1931" t="s">
        <v>33</v>
      </c>
      <c r="F2955" s="1930" t="s">
        <v>33</v>
      </c>
      <c r="G2955" s="1932">
        <v>98265</v>
      </c>
      <c r="H2955" s="1930" t="s">
        <v>8804</v>
      </c>
      <c r="I2955" s="1930" t="s">
        <v>136</v>
      </c>
      <c r="J2955" s="1930" t="s">
        <v>320</v>
      </c>
      <c r="K2955" s="1933">
        <v>5.44</v>
      </c>
      <c r="L2955" s="1930" t="s">
        <v>138</v>
      </c>
    </row>
    <row r="2956" spans="1:12" ht="13.5" x14ac:dyDescent="0.25">
      <c r="A2956" s="1930" t="s">
        <v>4631</v>
      </c>
      <c r="B2956" s="1930" t="s">
        <v>4632</v>
      </c>
      <c r="C2956" s="1930" t="s">
        <v>4636</v>
      </c>
      <c r="D2956" s="1930" t="s">
        <v>4637</v>
      </c>
      <c r="E2956" s="1931" t="s">
        <v>33</v>
      </c>
      <c r="F2956" s="1930" t="s">
        <v>33</v>
      </c>
      <c r="G2956" s="1932">
        <v>98266</v>
      </c>
      <c r="H2956" s="1930" t="s">
        <v>8805</v>
      </c>
      <c r="I2956" s="1930" t="s">
        <v>136</v>
      </c>
      <c r="J2956" s="1930" t="s">
        <v>320</v>
      </c>
      <c r="K2956" s="1933">
        <v>5.9</v>
      </c>
      <c r="L2956" s="1930" t="s">
        <v>138</v>
      </c>
    </row>
    <row r="2957" spans="1:12" ht="13.5" x14ac:dyDescent="0.25">
      <c r="A2957" s="1930" t="s">
        <v>4631</v>
      </c>
      <c r="B2957" s="1930" t="s">
        <v>4632</v>
      </c>
      <c r="C2957" s="1930" t="s">
        <v>4636</v>
      </c>
      <c r="D2957" s="1930" t="s">
        <v>4637</v>
      </c>
      <c r="E2957" s="1931" t="s">
        <v>33</v>
      </c>
      <c r="F2957" s="1930" t="s">
        <v>33</v>
      </c>
      <c r="G2957" s="1932">
        <v>98267</v>
      </c>
      <c r="H2957" s="1930" t="s">
        <v>8806</v>
      </c>
      <c r="I2957" s="1930" t="s">
        <v>136</v>
      </c>
      <c r="J2957" s="1930" t="s">
        <v>320</v>
      </c>
      <c r="K2957" s="1933">
        <v>9.89</v>
      </c>
      <c r="L2957" s="1930" t="s">
        <v>138</v>
      </c>
    </row>
    <row r="2958" spans="1:12" ht="13.5" x14ac:dyDescent="0.25">
      <c r="A2958" s="1930" t="s">
        <v>4631</v>
      </c>
      <c r="B2958" s="1930" t="s">
        <v>4632</v>
      </c>
      <c r="C2958" s="1930" t="s">
        <v>4636</v>
      </c>
      <c r="D2958" s="1930" t="s">
        <v>4637</v>
      </c>
      <c r="E2958" s="1931" t="s">
        <v>33</v>
      </c>
      <c r="F2958" s="1930" t="s">
        <v>33</v>
      </c>
      <c r="G2958" s="1932">
        <v>98268</v>
      </c>
      <c r="H2958" s="1930" t="s">
        <v>8807</v>
      </c>
      <c r="I2958" s="1930" t="s">
        <v>136</v>
      </c>
      <c r="J2958" s="1930" t="s">
        <v>320</v>
      </c>
      <c r="K2958" s="1933">
        <v>16.48</v>
      </c>
      <c r="L2958" s="1930" t="s">
        <v>138</v>
      </c>
    </row>
    <row r="2959" spans="1:12" ht="13.5" x14ac:dyDescent="0.25">
      <c r="A2959" s="1930" t="s">
        <v>4631</v>
      </c>
      <c r="B2959" s="1930" t="s">
        <v>4632</v>
      </c>
      <c r="C2959" s="1930" t="s">
        <v>4636</v>
      </c>
      <c r="D2959" s="1930" t="s">
        <v>4637</v>
      </c>
      <c r="E2959" s="1931" t="s">
        <v>33</v>
      </c>
      <c r="F2959" s="1930" t="s">
        <v>33</v>
      </c>
      <c r="G2959" s="1932">
        <v>98269</v>
      </c>
      <c r="H2959" s="1930" t="s">
        <v>8808</v>
      </c>
      <c r="I2959" s="1930" t="s">
        <v>136</v>
      </c>
      <c r="J2959" s="1930" t="s">
        <v>320</v>
      </c>
      <c r="K2959" s="1933">
        <v>21.45</v>
      </c>
      <c r="L2959" s="1930" t="s">
        <v>138</v>
      </c>
    </row>
    <row r="2960" spans="1:12" ht="13.5" x14ac:dyDescent="0.25">
      <c r="A2960" s="1930" t="s">
        <v>4631</v>
      </c>
      <c r="B2960" s="1930" t="s">
        <v>4632</v>
      </c>
      <c r="C2960" s="1930" t="s">
        <v>4636</v>
      </c>
      <c r="D2960" s="1930" t="s">
        <v>4637</v>
      </c>
      <c r="E2960" s="1931" t="s">
        <v>33</v>
      </c>
      <c r="F2960" s="1930" t="s">
        <v>33</v>
      </c>
      <c r="G2960" s="1932">
        <v>98270</v>
      </c>
      <c r="H2960" s="1930" t="s">
        <v>8809</v>
      </c>
      <c r="I2960" s="1930" t="s">
        <v>136</v>
      </c>
      <c r="J2960" s="1930" t="s">
        <v>320</v>
      </c>
      <c r="K2960" s="1933">
        <v>35.31</v>
      </c>
      <c r="L2960" s="1930" t="s">
        <v>138</v>
      </c>
    </row>
    <row r="2961" spans="1:12" ht="13.5" x14ac:dyDescent="0.25">
      <c r="A2961" s="1930" t="s">
        <v>4631</v>
      </c>
      <c r="B2961" s="1930" t="s">
        <v>4632</v>
      </c>
      <c r="C2961" s="1930" t="s">
        <v>4636</v>
      </c>
      <c r="D2961" s="1930" t="s">
        <v>4637</v>
      </c>
      <c r="E2961" s="1931" t="s">
        <v>33</v>
      </c>
      <c r="F2961" s="1930" t="s">
        <v>33</v>
      </c>
      <c r="G2961" s="1932">
        <v>98271</v>
      </c>
      <c r="H2961" s="1930" t="s">
        <v>8810</v>
      </c>
      <c r="I2961" s="1930" t="s">
        <v>136</v>
      </c>
      <c r="J2961" s="1930" t="s">
        <v>320</v>
      </c>
      <c r="K2961" s="1933">
        <v>55.23</v>
      </c>
      <c r="L2961" s="1930" t="s">
        <v>138</v>
      </c>
    </row>
    <row r="2962" spans="1:12" ht="13.5" x14ac:dyDescent="0.25">
      <c r="A2962" s="1930" t="s">
        <v>4631</v>
      </c>
      <c r="B2962" s="1930" t="s">
        <v>4632</v>
      </c>
      <c r="C2962" s="1930" t="s">
        <v>4636</v>
      </c>
      <c r="D2962" s="1930" t="s">
        <v>4637</v>
      </c>
      <c r="E2962" s="1931" t="s">
        <v>33</v>
      </c>
      <c r="F2962" s="1930" t="s">
        <v>33</v>
      </c>
      <c r="G2962" s="1932">
        <v>98272</v>
      </c>
      <c r="H2962" s="1930" t="s">
        <v>8811</v>
      </c>
      <c r="I2962" s="1930" t="s">
        <v>136</v>
      </c>
      <c r="J2962" s="1930" t="s">
        <v>320</v>
      </c>
      <c r="K2962" s="1933">
        <v>130.51</v>
      </c>
      <c r="L2962" s="1930" t="s">
        <v>138</v>
      </c>
    </row>
    <row r="2963" spans="1:12" ht="13.5" x14ac:dyDescent="0.25">
      <c r="A2963" s="1930" t="s">
        <v>4631</v>
      </c>
      <c r="B2963" s="1930" t="s">
        <v>4632</v>
      </c>
      <c r="C2963" s="1930" t="s">
        <v>4636</v>
      </c>
      <c r="D2963" s="1930" t="s">
        <v>4637</v>
      </c>
      <c r="E2963" s="1931" t="s">
        <v>33</v>
      </c>
      <c r="F2963" s="1930" t="s">
        <v>33</v>
      </c>
      <c r="G2963" s="1932">
        <v>98273</v>
      </c>
      <c r="H2963" s="1930" t="s">
        <v>8812</v>
      </c>
      <c r="I2963" s="1930" t="s">
        <v>136</v>
      </c>
      <c r="J2963" s="1930" t="s">
        <v>320</v>
      </c>
      <c r="K2963" s="1933">
        <v>2.4500000000000002</v>
      </c>
      <c r="L2963" s="1930" t="s">
        <v>138</v>
      </c>
    </row>
    <row r="2964" spans="1:12" ht="13.5" x14ac:dyDescent="0.25">
      <c r="A2964" s="1930" t="s">
        <v>4631</v>
      </c>
      <c r="B2964" s="1930" t="s">
        <v>4632</v>
      </c>
      <c r="C2964" s="1930" t="s">
        <v>4636</v>
      </c>
      <c r="D2964" s="1930" t="s">
        <v>4637</v>
      </c>
      <c r="E2964" s="1931" t="s">
        <v>33</v>
      </c>
      <c r="F2964" s="1930" t="s">
        <v>33</v>
      </c>
      <c r="G2964" s="1932">
        <v>98274</v>
      </c>
      <c r="H2964" s="1930" t="s">
        <v>8813</v>
      </c>
      <c r="I2964" s="1930" t="s">
        <v>136</v>
      </c>
      <c r="J2964" s="1930" t="s">
        <v>320</v>
      </c>
      <c r="K2964" s="1933">
        <v>3.26</v>
      </c>
      <c r="L2964" s="1930" t="s">
        <v>138</v>
      </c>
    </row>
    <row r="2965" spans="1:12" ht="13.5" x14ac:dyDescent="0.25">
      <c r="A2965" s="1930" t="s">
        <v>4631</v>
      </c>
      <c r="B2965" s="1930" t="s">
        <v>4632</v>
      </c>
      <c r="C2965" s="1930" t="s">
        <v>4636</v>
      </c>
      <c r="D2965" s="1930" t="s">
        <v>4637</v>
      </c>
      <c r="E2965" s="1931" t="s">
        <v>33</v>
      </c>
      <c r="F2965" s="1930" t="s">
        <v>33</v>
      </c>
      <c r="G2965" s="1932">
        <v>98275</v>
      </c>
      <c r="H2965" s="1930" t="s">
        <v>8814</v>
      </c>
      <c r="I2965" s="1930" t="s">
        <v>136</v>
      </c>
      <c r="J2965" s="1930" t="s">
        <v>320</v>
      </c>
      <c r="K2965" s="1933">
        <v>3.71</v>
      </c>
      <c r="L2965" s="1930" t="s">
        <v>138</v>
      </c>
    </row>
    <row r="2966" spans="1:12" ht="13.5" x14ac:dyDescent="0.25">
      <c r="A2966" s="1930" t="s">
        <v>4631</v>
      </c>
      <c r="B2966" s="1930" t="s">
        <v>4632</v>
      </c>
      <c r="C2966" s="1930" t="s">
        <v>4636</v>
      </c>
      <c r="D2966" s="1930" t="s">
        <v>4637</v>
      </c>
      <c r="E2966" s="1931" t="s">
        <v>33</v>
      </c>
      <c r="F2966" s="1930" t="s">
        <v>33</v>
      </c>
      <c r="G2966" s="1932">
        <v>98276</v>
      </c>
      <c r="H2966" s="1930" t="s">
        <v>8815</v>
      </c>
      <c r="I2966" s="1930" t="s">
        <v>136</v>
      </c>
      <c r="J2966" s="1930" t="s">
        <v>320</v>
      </c>
      <c r="K2966" s="1933">
        <v>7.7</v>
      </c>
      <c r="L2966" s="1930" t="s">
        <v>138</v>
      </c>
    </row>
    <row r="2967" spans="1:12" ht="13.5" x14ac:dyDescent="0.25">
      <c r="A2967" s="1930" t="s">
        <v>4631</v>
      </c>
      <c r="B2967" s="1930" t="s">
        <v>4632</v>
      </c>
      <c r="C2967" s="1930" t="s">
        <v>4636</v>
      </c>
      <c r="D2967" s="1930" t="s">
        <v>4637</v>
      </c>
      <c r="E2967" s="1931" t="s">
        <v>33</v>
      </c>
      <c r="F2967" s="1930" t="s">
        <v>33</v>
      </c>
      <c r="G2967" s="1932">
        <v>98277</v>
      </c>
      <c r="H2967" s="1930" t="s">
        <v>8816</v>
      </c>
      <c r="I2967" s="1930" t="s">
        <v>136</v>
      </c>
      <c r="J2967" s="1930" t="s">
        <v>320</v>
      </c>
      <c r="K2967" s="1933">
        <v>14.3</v>
      </c>
      <c r="L2967" s="1930" t="s">
        <v>138</v>
      </c>
    </row>
    <row r="2968" spans="1:12" ht="13.5" x14ac:dyDescent="0.25">
      <c r="A2968" s="1930" t="s">
        <v>4631</v>
      </c>
      <c r="B2968" s="1930" t="s">
        <v>4632</v>
      </c>
      <c r="C2968" s="1930" t="s">
        <v>4636</v>
      </c>
      <c r="D2968" s="1930" t="s">
        <v>4637</v>
      </c>
      <c r="E2968" s="1931" t="s">
        <v>33</v>
      </c>
      <c r="F2968" s="1930" t="s">
        <v>33</v>
      </c>
      <c r="G2968" s="1932">
        <v>98278</v>
      </c>
      <c r="H2968" s="1930" t="s">
        <v>8817</v>
      </c>
      <c r="I2968" s="1930" t="s">
        <v>136</v>
      </c>
      <c r="J2968" s="1930" t="s">
        <v>320</v>
      </c>
      <c r="K2968" s="1933">
        <v>19.25</v>
      </c>
      <c r="L2968" s="1930" t="s">
        <v>138</v>
      </c>
    </row>
    <row r="2969" spans="1:12" ht="13.5" x14ac:dyDescent="0.25">
      <c r="A2969" s="1930" t="s">
        <v>4631</v>
      </c>
      <c r="B2969" s="1930" t="s">
        <v>4632</v>
      </c>
      <c r="C2969" s="1930" t="s">
        <v>4636</v>
      </c>
      <c r="D2969" s="1930" t="s">
        <v>4637</v>
      </c>
      <c r="E2969" s="1931" t="s">
        <v>33</v>
      </c>
      <c r="F2969" s="1930" t="s">
        <v>33</v>
      </c>
      <c r="G2969" s="1932">
        <v>98279</v>
      </c>
      <c r="H2969" s="1930" t="s">
        <v>8818</v>
      </c>
      <c r="I2969" s="1930" t="s">
        <v>136</v>
      </c>
      <c r="J2969" s="1930" t="s">
        <v>320</v>
      </c>
      <c r="K2969" s="1933">
        <v>33.119999999999997</v>
      </c>
      <c r="L2969" s="1930" t="s">
        <v>138</v>
      </c>
    </row>
    <row r="2970" spans="1:12" ht="13.5" x14ac:dyDescent="0.25">
      <c r="A2970" s="1930" t="s">
        <v>4631</v>
      </c>
      <c r="B2970" s="1930" t="s">
        <v>4632</v>
      </c>
      <c r="C2970" s="1930" t="s">
        <v>4636</v>
      </c>
      <c r="D2970" s="1930" t="s">
        <v>4637</v>
      </c>
      <c r="E2970" s="1931" t="s">
        <v>33</v>
      </c>
      <c r="F2970" s="1930" t="s">
        <v>33</v>
      </c>
      <c r="G2970" s="1932">
        <v>98280</v>
      </c>
      <c r="H2970" s="1930" t="s">
        <v>8819</v>
      </c>
      <c r="I2970" s="1930" t="s">
        <v>136</v>
      </c>
      <c r="J2970" s="1930" t="s">
        <v>320</v>
      </c>
      <c r="K2970" s="1933">
        <v>5.67</v>
      </c>
      <c r="L2970" s="1930" t="s">
        <v>138</v>
      </c>
    </row>
    <row r="2971" spans="1:12" ht="13.5" x14ac:dyDescent="0.25">
      <c r="A2971" s="1930" t="s">
        <v>4631</v>
      </c>
      <c r="B2971" s="1930" t="s">
        <v>4632</v>
      </c>
      <c r="C2971" s="1930" t="s">
        <v>4636</v>
      </c>
      <c r="D2971" s="1930" t="s">
        <v>4637</v>
      </c>
      <c r="E2971" s="1931" t="s">
        <v>33</v>
      </c>
      <c r="F2971" s="1930" t="s">
        <v>33</v>
      </c>
      <c r="G2971" s="1932">
        <v>98281</v>
      </c>
      <c r="H2971" s="1930" t="s">
        <v>8820</v>
      </c>
      <c r="I2971" s="1930" t="s">
        <v>136</v>
      </c>
      <c r="J2971" s="1930" t="s">
        <v>320</v>
      </c>
      <c r="K2971" s="1933">
        <v>6.22</v>
      </c>
      <c r="L2971" s="1930" t="s">
        <v>138</v>
      </c>
    </row>
    <row r="2972" spans="1:12" ht="13.5" x14ac:dyDescent="0.25">
      <c r="A2972" s="1930" t="s">
        <v>4631</v>
      </c>
      <c r="B2972" s="1930" t="s">
        <v>4632</v>
      </c>
      <c r="C2972" s="1930" t="s">
        <v>4636</v>
      </c>
      <c r="D2972" s="1930" t="s">
        <v>4637</v>
      </c>
      <c r="E2972" s="1931" t="s">
        <v>33</v>
      </c>
      <c r="F2972" s="1930" t="s">
        <v>33</v>
      </c>
      <c r="G2972" s="1932">
        <v>98282</v>
      </c>
      <c r="H2972" s="1930" t="s">
        <v>8821</v>
      </c>
      <c r="I2972" s="1930" t="s">
        <v>136</v>
      </c>
      <c r="J2972" s="1930" t="s">
        <v>320</v>
      </c>
      <c r="K2972" s="1933">
        <v>6.91</v>
      </c>
      <c r="L2972" s="1930" t="s">
        <v>138</v>
      </c>
    </row>
    <row r="2973" spans="1:12" ht="13.5" x14ac:dyDescent="0.25">
      <c r="A2973" s="1930" t="s">
        <v>4631</v>
      </c>
      <c r="B2973" s="1930" t="s">
        <v>4632</v>
      </c>
      <c r="C2973" s="1930" t="s">
        <v>4636</v>
      </c>
      <c r="D2973" s="1930" t="s">
        <v>4637</v>
      </c>
      <c r="E2973" s="1931" t="s">
        <v>33</v>
      </c>
      <c r="F2973" s="1930" t="s">
        <v>33</v>
      </c>
      <c r="G2973" s="1932">
        <v>98283</v>
      </c>
      <c r="H2973" s="1930" t="s">
        <v>8822</v>
      </c>
      <c r="I2973" s="1930" t="s">
        <v>136</v>
      </c>
      <c r="J2973" s="1930" t="s">
        <v>320</v>
      </c>
      <c r="K2973" s="1933">
        <v>7.46</v>
      </c>
      <c r="L2973" s="1930" t="s">
        <v>138</v>
      </c>
    </row>
    <row r="2974" spans="1:12" ht="13.5" x14ac:dyDescent="0.25">
      <c r="A2974" s="1930" t="s">
        <v>4631</v>
      </c>
      <c r="B2974" s="1930" t="s">
        <v>4632</v>
      </c>
      <c r="C2974" s="1930" t="s">
        <v>4636</v>
      </c>
      <c r="D2974" s="1930" t="s">
        <v>4637</v>
      </c>
      <c r="E2974" s="1931" t="s">
        <v>33</v>
      </c>
      <c r="F2974" s="1930" t="s">
        <v>33</v>
      </c>
      <c r="G2974" s="1932">
        <v>98284</v>
      </c>
      <c r="H2974" s="1930" t="s">
        <v>8823</v>
      </c>
      <c r="I2974" s="1930" t="s">
        <v>136</v>
      </c>
      <c r="J2974" s="1930" t="s">
        <v>320</v>
      </c>
      <c r="K2974" s="1933">
        <v>8.26</v>
      </c>
      <c r="L2974" s="1930" t="s">
        <v>138</v>
      </c>
    </row>
    <row r="2975" spans="1:12" ht="13.5" x14ac:dyDescent="0.25">
      <c r="A2975" s="1930" t="s">
        <v>4631</v>
      </c>
      <c r="B2975" s="1930" t="s">
        <v>4632</v>
      </c>
      <c r="C2975" s="1930" t="s">
        <v>4636</v>
      </c>
      <c r="D2975" s="1930" t="s">
        <v>4637</v>
      </c>
      <c r="E2975" s="1931" t="s">
        <v>33</v>
      </c>
      <c r="F2975" s="1930" t="s">
        <v>33</v>
      </c>
      <c r="G2975" s="1932">
        <v>98285</v>
      </c>
      <c r="H2975" s="1930" t="s">
        <v>8824</v>
      </c>
      <c r="I2975" s="1930" t="s">
        <v>136</v>
      </c>
      <c r="J2975" s="1930" t="s">
        <v>320</v>
      </c>
      <c r="K2975" s="1933">
        <v>8.73</v>
      </c>
      <c r="L2975" s="1930" t="s">
        <v>138</v>
      </c>
    </row>
    <row r="2976" spans="1:12" ht="13.5" x14ac:dyDescent="0.25">
      <c r="A2976" s="1930" t="s">
        <v>4631</v>
      </c>
      <c r="B2976" s="1930" t="s">
        <v>4632</v>
      </c>
      <c r="C2976" s="1930" t="s">
        <v>4636</v>
      </c>
      <c r="D2976" s="1930" t="s">
        <v>4637</v>
      </c>
      <c r="E2976" s="1931" t="s">
        <v>33</v>
      </c>
      <c r="F2976" s="1930" t="s">
        <v>33</v>
      </c>
      <c r="G2976" s="1932">
        <v>98286</v>
      </c>
      <c r="H2976" s="1930" t="s">
        <v>8825</v>
      </c>
      <c r="I2976" s="1930" t="s">
        <v>136</v>
      </c>
      <c r="J2976" s="1930" t="s">
        <v>320</v>
      </c>
      <c r="K2976" s="1933">
        <v>12.71</v>
      </c>
      <c r="L2976" s="1930" t="s">
        <v>138</v>
      </c>
    </row>
    <row r="2977" spans="1:12" ht="13.5" x14ac:dyDescent="0.25">
      <c r="A2977" s="1930" t="s">
        <v>4631</v>
      </c>
      <c r="B2977" s="1930" t="s">
        <v>4632</v>
      </c>
      <c r="C2977" s="1930" t="s">
        <v>4636</v>
      </c>
      <c r="D2977" s="1930" t="s">
        <v>4637</v>
      </c>
      <c r="E2977" s="1931" t="s">
        <v>33</v>
      </c>
      <c r="F2977" s="1930" t="s">
        <v>33</v>
      </c>
      <c r="G2977" s="1932">
        <v>98287</v>
      </c>
      <c r="H2977" s="1930" t="s">
        <v>8826</v>
      </c>
      <c r="I2977" s="1930" t="s">
        <v>136</v>
      </c>
      <c r="J2977" s="1930" t="s">
        <v>320</v>
      </c>
      <c r="K2977" s="1933">
        <v>1.1599999999999999</v>
      </c>
      <c r="L2977" s="1930" t="s">
        <v>138</v>
      </c>
    </row>
    <row r="2978" spans="1:12" ht="13.5" x14ac:dyDescent="0.25">
      <c r="A2978" s="1930" t="s">
        <v>4631</v>
      </c>
      <c r="B2978" s="1930" t="s">
        <v>4632</v>
      </c>
      <c r="C2978" s="1930" t="s">
        <v>4636</v>
      </c>
      <c r="D2978" s="1930" t="s">
        <v>4637</v>
      </c>
      <c r="E2978" s="1931" t="s">
        <v>33</v>
      </c>
      <c r="F2978" s="1930" t="s">
        <v>33</v>
      </c>
      <c r="G2978" s="1932">
        <v>98288</v>
      </c>
      <c r="H2978" s="1930" t="s">
        <v>8827</v>
      </c>
      <c r="I2978" s="1930" t="s">
        <v>136</v>
      </c>
      <c r="J2978" s="1930" t="s">
        <v>320</v>
      </c>
      <c r="K2978" s="1933">
        <v>1.72</v>
      </c>
      <c r="L2978" s="1930" t="s">
        <v>138</v>
      </c>
    </row>
    <row r="2979" spans="1:12" ht="13.5" x14ac:dyDescent="0.25">
      <c r="A2979" s="1930" t="s">
        <v>4631</v>
      </c>
      <c r="B2979" s="1930" t="s">
        <v>4632</v>
      </c>
      <c r="C2979" s="1930" t="s">
        <v>4636</v>
      </c>
      <c r="D2979" s="1930" t="s">
        <v>4637</v>
      </c>
      <c r="E2979" s="1931" t="s">
        <v>33</v>
      </c>
      <c r="F2979" s="1930" t="s">
        <v>33</v>
      </c>
      <c r="G2979" s="1932">
        <v>98289</v>
      </c>
      <c r="H2979" s="1930" t="s">
        <v>8828</v>
      </c>
      <c r="I2979" s="1930" t="s">
        <v>136</v>
      </c>
      <c r="J2979" s="1930" t="s">
        <v>320</v>
      </c>
      <c r="K2979" s="1933">
        <v>2.41</v>
      </c>
      <c r="L2979" s="1930" t="s">
        <v>138</v>
      </c>
    </row>
    <row r="2980" spans="1:12" ht="13.5" x14ac:dyDescent="0.25">
      <c r="A2980" s="1930" t="s">
        <v>4631</v>
      </c>
      <c r="B2980" s="1930" t="s">
        <v>4632</v>
      </c>
      <c r="C2980" s="1930" t="s">
        <v>4636</v>
      </c>
      <c r="D2980" s="1930" t="s">
        <v>4637</v>
      </c>
      <c r="E2980" s="1931" t="s">
        <v>33</v>
      </c>
      <c r="F2980" s="1930" t="s">
        <v>33</v>
      </c>
      <c r="G2980" s="1932">
        <v>98290</v>
      </c>
      <c r="H2980" s="1930" t="s">
        <v>8829</v>
      </c>
      <c r="I2980" s="1930" t="s">
        <v>136</v>
      </c>
      <c r="J2980" s="1930" t="s">
        <v>320</v>
      </c>
      <c r="K2980" s="1933">
        <v>2.94</v>
      </c>
      <c r="L2980" s="1930" t="s">
        <v>138</v>
      </c>
    </row>
    <row r="2981" spans="1:12" ht="13.5" x14ac:dyDescent="0.25">
      <c r="A2981" s="1930" t="s">
        <v>4631</v>
      </c>
      <c r="B2981" s="1930" t="s">
        <v>4632</v>
      </c>
      <c r="C2981" s="1930" t="s">
        <v>4636</v>
      </c>
      <c r="D2981" s="1930" t="s">
        <v>4637</v>
      </c>
      <c r="E2981" s="1931" t="s">
        <v>33</v>
      </c>
      <c r="F2981" s="1930" t="s">
        <v>33</v>
      </c>
      <c r="G2981" s="1932">
        <v>98291</v>
      </c>
      <c r="H2981" s="1930" t="s">
        <v>8830</v>
      </c>
      <c r="I2981" s="1930" t="s">
        <v>136</v>
      </c>
      <c r="J2981" s="1930" t="s">
        <v>320</v>
      </c>
      <c r="K2981" s="1933">
        <v>3.76</v>
      </c>
      <c r="L2981" s="1930" t="s">
        <v>138</v>
      </c>
    </row>
    <row r="2982" spans="1:12" ht="13.5" x14ac:dyDescent="0.25">
      <c r="A2982" s="1930" t="s">
        <v>4631</v>
      </c>
      <c r="B2982" s="1930" t="s">
        <v>4632</v>
      </c>
      <c r="C2982" s="1930" t="s">
        <v>4636</v>
      </c>
      <c r="D2982" s="1930" t="s">
        <v>4637</v>
      </c>
      <c r="E2982" s="1931" t="s">
        <v>33</v>
      </c>
      <c r="F2982" s="1930" t="s">
        <v>33</v>
      </c>
      <c r="G2982" s="1932">
        <v>98292</v>
      </c>
      <c r="H2982" s="1930" t="s">
        <v>8831</v>
      </c>
      <c r="I2982" s="1930" t="s">
        <v>136</v>
      </c>
      <c r="J2982" s="1930" t="s">
        <v>320</v>
      </c>
      <c r="K2982" s="1933">
        <v>4.22</v>
      </c>
      <c r="L2982" s="1930" t="s">
        <v>138</v>
      </c>
    </row>
    <row r="2983" spans="1:12" ht="13.5" x14ac:dyDescent="0.25">
      <c r="A2983" s="1930" t="s">
        <v>4631</v>
      </c>
      <c r="B2983" s="1930" t="s">
        <v>4632</v>
      </c>
      <c r="C2983" s="1930" t="s">
        <v>4636</v>
      </c>
      <c r="D2983" s="1930" t="s">
        <v>4637</v>
      </c>
      <c r="E2983" s="1931" t="s">
        <v>33</v>
      </c>
      <c r="F2983" s="1930" t="s">
        <v>33</v>
      </c>
      <c r="G2983" s="1932">
        <v>98293</v>
      </c>
      <c r="H2983" s="1930" t="s">
        <v>8832</v>
      </c>
      <c r="I2983" s="1930" t="s">
        <v>136</v>
      </c>
      <c r="J2983" s="1930" t="s">
        <v>320</v>
      </c>
      <c r="K2983" s="1933">
        <v>8.1999999999999993</v>
      </c>
      <c r="L2983" s="1930" t="s">
        <v>138</v>
      </c>
    </row>
    <row r="2984" spans="1:12" ht="13.5" x14ac:dyDescent="0.25">
      <c r="A2984" s="1930" t="s">
        <v>4631</v>
      </c>
      <c r="B2984" s="1930" t="s">
        <v>4632</v>
      </c>
      <c r="C2984" s="1930" t="s">
        <v>4636</v>
      </c>
      <c r="D2984" s="1930" t="s">
        <v>4637</v>
      </c>
      <c r="E2984" s="1931" t="s">
        <v>33</v>
      </c>
      <c r="F2984" s="1930" t="s">
        <v>33</v>
      </c>
      <c r="G2984" s="1932">
        <v>98400</v>
      </c>
      <c r="H2984" s="1930" t="s">
        <v>8833</v>
      </c>
      <c r="I2984" s="1930" t="s">
        <v>136</v>
      </c>
      <c r="J2984" s="1930" t="s">
        <v>320</v>
      </c>
      <c r="K2984" s="1933">
        <v>11.84</v>
      </c>
      <c r="L2984" s="1930" t="s">
        <v>138</v>
      </c>
    </row>
    <row r="2985" spans="1:12" ht="13.5" x14ac:dyDescent="0.25">
      <c r="A2985" s="1930" t="s">
        <v>4631</v>
      </c>
      <c r="B2985" s="1930" t="s">
        <v>4632</v>
      </c>
      <c r="C2985" s="1930" t="s">
        <v>4636</v>
      </c>
      <c r="D2985" s="1930" t="s">
        <v>4637</v>
      </c>
      <c r="E2985" s="1931" t="s">
        <v>33</v>
      </c>
      <c r="F2985" s="1930" t="s">
        <v>33</v>
      </c>
      <c r="G2985" s="1932">
        <v>98401</v>
      </c>
      <c r="H2985" s="1930" t="s">
        <v>8834</v>
      </c>
      <c r="I2985" s="1930" t="s">
        <v>136</v>
      </c>
      <c r="J2985" s="1930" t="s">
        <v>320</v>
      </c>
      <c r="K2985" s="1933">
        <v>18.579999999999998</v>
      </c>
      <c r="L2985" s="1930" t="s">
        <v>138</v>
      </c>
    </row>
    <row r="2986" spans="1:12" ht="13.5" x14ac:dyDescent="0.25">
      <c r="A2986" s="1930" t="s">
        <v>4631</v>
      </c>
      <c r="B2986" s="1930" t="s">
        <v>4632</v>
      </c>
      <c r="C2986" s="1930" t="s">
        <v>4636</v>
      </c>
      <c r="D2986" s="1930" t="s">
        <v>4637</v>
      </c>
      <c r="E2986" s="1931" t="s">
        <v>33</v>
      </c>
      <c r="F2986" s="1930" t="s">
        <v>33</v>
      </c>
      <c r="G2986" s="1932">
        <v>98402</v>
      </c>
      <c r="H2986" s="1930" t="s">
        <v>8835</v>
      </c>
      <c r="I2986" s="1930" t="s">
        <v>136</v>
      </c>
      <c r="J2986" s="1930" t="s">
        <v>320</v>
      </c>
      <c r="K2986" s="1933">
        <v>24.25</v>
      </c>
      <c r="L2986" s="1930" t="s">
        <v>138</v>
      </c>
    </row>
    <row r="2987" spans="1:12" ht="13.5" x14ac:dyDescent="0.25">
      <c r="A2987" s="1930" t="s">
        <v>4631</v>
      </c>
      <c r="B2987" s="1930" t="s">
        <v>4632</v>
      </c>
      <c r="C2987" s="1930" t="s">
        <v>4636</v>
      </c>
      <c r="D2987" s="1930" t="s">
        <v>4637</v>
      </c>
      <c r="E2987" s="1931" t="s">
        <v>33</v>
      </c>
      <c r="F2987" s="1930" t="s">
        <v>33</v>
      </c>
      <c r="G2987" s="1932">
        <v>100556</v>
      </c>
      <c r="H2987" s="1930" t="s">
        <v>8836</v>
      </c>
      <c r="I2987" s="1930" t="s">
        <v>168</v>
      </c>
      <c r="J2987" s="1930" t="s">
        <v>320</v>
      </c>
      <c r="K2987" s="1933">
        <v>25.54</v>
      </c>
      <c r="L2987" s="1930" t="s">
        <v>138</v>
      </c>
    </row>
    <row r="2988" spans="1:12" ht="13.5" x14ac:dyDescent="0.25">
      <c r="A2988" s="1930" t="s">
        <v>4631</v>
      </c>
      <c r="B2988" s="1930" t="s">
        <v>4632</v>
      </c>
      <c r="C2988" s="1930" t="s">
        <v>4636</v>
      </c>
      <c r="D2988" s="1930" t="s">
        <v>4637</v>
      </c>
      <c r="E2988" s="1931" t="s">
        <v>33</v>
      </c>
      <c r="F2988" s="1930" t="s">
        <v>33</v>
      </c>
      <c r="G2988" s="1932">
        <v>100557</v>
      </c>
      <c r="H2988" s="1930" t="s">
        <v>8837</v>
      </c>
      <c r="I2988" s="1930" t="s">
        <v>168</v>
      </c>
      <c r="J2988" s="1930" t="s">
        <v>320</v>
      </c>
      <c r="K2988" s="1933">
        <v>279.93</v>
      </c>
      <c r="L2988" s="1930" t="s">
        <v>138</v>
      </c>
    </row>
    <row r="2989" spans="1:12" ht="13.5" x14ac:dyDescent="0.25">
      <c r="A2989" s="1930" t="s">
        <v>4631</v>
      </c>
      <c r="B2989" s="1930" t="s">
        <v>4632</v>
      </c>
      <c r="C2989" s="1930" t="s">
        <v>4636</v>
      </c>
      <c r="D2989" s="1930" t="s">
        <v>4637</v>
      </c>
      <c r="E2989" s="1931" t="s">
        <v>33</v>
      </c>
      <c r="F2989" s="1930" t="s">
        <v>33</v>
      </c>
      <c r="G2989" s="1932">
        <v>100560</v>
      </c>
      <c r="H2989" s="1930" t="s">
        <v>8838</v>
      </c>
      <c r="I2989" s="1930" t="s">
        <v>168</v>
      </c>
      <c r="J2989" s="1930" t="s">
        <v>320</v>
      </c>
      <c r="K2989" s="1933">
        <v>69.260000000000005</v>
      </c>
      <c r="L2989" s="1930" t="s">
        <v>138</v>
      </c>
    </row>
    <row r="2990" spans="1:12" ht="13.5" x14ac:dyDescent="0.25">
      <c r="A2990" s="1930" t="s">
        <v>4631</v>
      </c>
      <c r="B2990" s="1930" t="s">
        <v>4632</v>
      </c>
      <c r="C2990" s="1930" t="s">
        <v>4636</v>
      </c>
      <c r="D2990" s="1930" t="s">
        <v>4637</v>
      </c>
      <c r="E2990" s="1931" t="s">
        <v>33</v>
      </c>
      <c r="F2990" s="1930" t="s">
        <v>33</v>
      </c>
      <c r="G2990" s="1932">
        <v>100561</v>
      </c>
      <c r="H2990" s="1930" t="s">
        <v>8839</v>
      </c>
      <c r="I2990" s="1930" t="s">
        <v>168</v>
      </c>
      <c r="J2990" s="1930" t="s">
        <v>320</v>
      </c>
      <c r="K2990" s="1933">
        <v>119.76</v>
      </c>
      <c r="L2990" s="1930" t="s">
        <v>138</v>
      </c>
    </row>
    <row r="2991" spans="1:12" ht="13.5" x14ac:dyDescent="0.25">
      <c r="A2991" s="1930" t="s">
        <v>4631</v>
      </c>
      <c r="B2991" s="1930" t="s">
        <v>4632</v>
      </c>
      <c r="C2991" s="1930" t="s">
        <v>4636</v>
      </c>
      <c r="D2991" s="1930" t="s">
        <v>4637</v>
      </c>
      <c r="E2991" s="1931" t="s">
        <v>33</v>
      </c>
      <c r="F2991" s="1930" t="s">
        <v>33</v>
      </c>
      <c r="G2991" s="1932">
        <v>100562</v>
      </c>
      <c r="H2991" s="1930" t="s">
        <v>8840</v>
      </c>
      <c r="I2991" s="1930" t="s">
        <v>168</v>
      </c>
      <c r="J2991" s="1930" t="s">
        <v>320</v>
      </c>
      <c r="K2991" s="1933">
        <v>181.04</v>
      </c>
      <c r="L2991" s="1930" t="s">
        <v>138</v>
      </c>
    </row>
    <row r="2992" spans="1:12" ht="13.5" x14ac:dyDescent="0.25">
      <c r="A2992" s="1930" t="s">
        <v>4631</v>
      </c>
      <c r="B2992" s="1930" t="s">
        <v>4632</v>
      </c>
      <c r="C2992" s="1930" t="s">
        <v>4636</v>
      </c>
      <c r="D2992" s="1930" t="s">
        <v>4637</v>
      </c>
      <c r="E2992" s="1931" t="s">
        <v>33</v>
      </c>
      <c r="F2992" s="1930" t="s">
        <v>33</v>
      </c>
      <c r="G2992" s="1932">
        <v>100563</v>
      </c>
      <c r="H2992" s="1930" t="s">
        <v>8841</v>
      </c>
      <c r="I2992" s="1930" t="s">
        <v>168</v>
      </c>
      <c r="J2992" s="1930" t="s">
        <v>320</v>
      </c>
      <c r="K2992" s="1933">
        <v>257.37</v>
      </c>
      <c r="L2992" s="1930" t="s">
        <v>138</v>
      </c>
    </row>
    <row r="2993" spans="1:12" ht="13.5" x14ac:dyDescent="0.25">
      <c r="A2993" s="1930" t="s">
        <v>4631</v>
      </c>
      <c r="B2993" s="1930" t="s">
        <v>4632</v>
      </c>
      <c r="C2993" s="1930" t="s">
        <v>4639</v>
      </c>
      <c r="D2993" s="1930" t="s">
        <v>4640</v>
      </c>
      <c r="E2993" s="1931" t="s">
        <v>33</v>
      </c>
      <c r="F2993" s="1930" t="s">
        <v>33</v>
      </c>
      <c r="G2993" s="1932">
        <v>98397</v>
      </c>
      <c r="H2993" s="1930" t="s">
        <v>5271</v>
      </c>
      <c r="I2993" s="1930" t="s">
        <v>306</v>
      </c>
      <c r="J2993" s="1930" t="s">
        <v>320</v>
      </c>
      <c r="K2993" s="1933">
        <v>8.86</v>
      </c>
      <c r="L2993" s="1930" t="s">
        <v>138</v>
      </c>
    </row>
    <row r="2994" spans="1:12" ht="13.5" x14ac:dyDescent="0.25">
      <c r="A2994" s="1930" t="s">
        <v>4631</v>
      </c>
      <c r="B2994" s="1930" t="s">
        <v>4632</v>
      </c>
      <c r="C2994" s="1930" t="s">
        <v>4641</v>
      </c>
      <c r="D2994" s="1930" t="s">
        <v>4642</v>
      </c>
      <c r="E2994" s="1931">
        <v>74003</v>
      </c>
      <c r="F2994" s="1930" t="s">
        <v>4643</v>
      </c>
      <c r="G2994" s="1932" t="s">
        <v>2224</v>
      </c>
      <c r="H2994" s="1930" t="s">
        <v>2225</v>
      </c>
      <c r="I2994" s="1930" t="s">
        <v>168</v>
      </c>
      <c r="J2994" s="1930" t="s">
        <v>137</v>
      </c>
      <c r="K2994" s="1933">
        <v>5758.54</v>
      </c>
      <c r="L2994" s="1930" t="s">
        <v>138</v>
      </c>
    </row>
    <row r="2995" spans="1:12" ht="13.5" x14ac:dyDescent="0.25">
      <c r="A2995" s="1930" t="s">
        <v>4631</v>
      </c>
      <c r="B2995" s="1930" t="s">
        <v>4632</v>
      </c>
      <c r="C2995" s="1930" t="s">
        <v>4641</v>
      </c>
      <c r="D2995" s="1930" t="s">
        <v>4642</v>
      </c>
      <c r="E2995" s="1931" t="s">
        <v>33</v>
      </c>
      <c r="F2995" s="1930" t="s">
        <v>33</v>
      </c>
      <c r="G2995" s="1932">
        <v>85120</v>
      </c>
      <c r="H2995" s="1930" t="s">
        <v>2226</v>
      </c>
      <c r="I2995" s="1930" t="s">
        <v>168</v>
      </c>
      <c r="J2995" s="1930" t="s">
        <v>137</v>
      </c>
      <c r="K2995" s="1933">
        <v>120.7</v>
      </c>
      <c r="L2995" s="1930" t="s">
        <v>138</v>
      </c>
    </row>
    <row r="2996" spans="1:12" ht="13.5" x14ac:dyDescent="0.25">
      <c r="A2996" s="1930" t="s">
        <v>4631</v>
      </c>
      <c r="B2996" s="1930" t="s">
        <v>4632</v>
      </c>
      <c r="C2996" s="1930" t="s">
        <v>4644</v>
      </c>
      <c r="D2996" s="1930" t="s">
        <v>4645</v>
      </c>
      <c r="E2996" s="1931" t="s">
        <v>33</v>
      </c>
      <c r="F2996" s="1930" t="s">
        <v>33</v>
      </c>
      <c r="G2996" s="1932">
        <v>83486</v>
      </c>
      <c r="H2996" s="1930" t="s">
        <v>2227</v>
      </c>
      <c r="I2996" s="1930" t="s">
        <v>168</v>
      </c>
      <c r="J2996" s="1930" t="s">
        <v>320</v>
      </c>
      <c r="K2996" s="1933">
        <v>1161.58</v>
      </c>
      <c r="L2996" s="1930" t="s">
        <v>138</v>
      </c>
    </row>
    <row r="2997" spans="1:12" ht="13.5" x14ac:dyDescent="0.25">
      <c r="A2997" s="1930" t="s">
        <v>4631</v>
      </c>
      <c r="B2997" s="1930" t="s">
        <v>4632</v>
      </c>
      <c r="C2997" s="1930" t="s">
        <v>4644</v>
      </c>
      <c r="D2997" s="1930" t="s">
        <v>4645</v>
      </c>
      <c r="E2997" s="1931" t="s">
        <v>33</v>
      </c>
      <c r="F2997" s="1930" t="s">
        <v>33</v>
      </c>
      <c r="G2997" s="1932">
        <v>83643</v>
      </c>
      <c r="H2997" s="1930" t="s">
        <v>2228</v>
      </c>
      <c r="I2997" s="1930" t="s">
        <v>168</v>
      </c>
      <c r="J2997" s="1930" t="s">
        <v>320</v>
      </c>
      <c r="K2997" s="1933">
        <v>3822.19</v>
      </c>
      <c r="L2997" s="1930" t="s">
        <v>138</v>
      </c>
    </row>
    <row r="2998" spans="1:12" ht="13.5" x14ac:dyDescent="0.25">
      <c r="A2998" s="1930" t="s">
        <v>4631</v>
      </c>
      <c r="B2998" s="1930" t="s">
        <v>4632</v>
      </c>
      <c r="C2998" s="1930" t="s">
        <v>4644</v>
      </c>
      <c r="D2998" s="1930" t="s">
        <v>4645</v>
      </c>
      <c r="E2998" s="1931" t="s">
        <v>33</v>
      </c>
      <c r="F2998" s="1930" t="s">
        <v>33</v>
      </c>
      <c r="G2998" s="1932">
        <v>83644</v>
      </c>
      <c r="H2998" s="1930" t="s">
        <v>2229</v>
      </c>
      <c r="I2998" s="1930" t="s">
        <v>168</v>
      </c>
      <c r="J2998" s="1930" t="s">
        <v>320</v>
      </c>
      <c r="K2998" s="1933">
        <v>4875.55</v>
      </c>
      <c r="L2998" s="1930" t="s">
        <v>138</v>
      </c>
    </row>
    <row r="2999" spans="1:12" ht="13.5" x14ac:dyDescent="0.25">
      <c r="A2999" s="1930" t="s">
        <v>4631</v>
      </c>
      <c r="B2999" s="1930" t="s">
        <v>4632</v>
      </c>
      <c r="C2999" s="1930" t="s">
        <v>4644</v>
      </c>
      <c r="D2999" s="1930" t="s">
        <v>4645</v>
      </c>
      <c r="E2999" s="1931" t="s">
        <v>33</v>
      </c>
      <c r="F2999" s="1930" t="s">
        <v>33</v>
      </c>
      <c r="G2999" s="1932">
        <v>83645</v>
      </c>
      <c r="H2999" s="1930" t="s">
        <v>2230</v>
      </c>
      <c r="I2999" s="1930" t="s">
        <v>168</v>
      </c>
      <c r="J2999" s="1930" t="s">
        <v>320</v>
      </c>
      <c r="K2999" s="1933">
        <v>1551.97</v>
      </c>
      <c r="L2999" s="1930" t="s">
        <v>138</v>
      </c>
    </row>
    <row r="3000" spans="1:12" ht="13.5" x14ac:dyDescent="0.25">
      <c r="A3000" s="1930" t="s">
        <v>4631</v>
      </c>
      <c r="B3000" s="1930" t="s">
        <v>4632</v>
      </c>
      <c r="C3000" s="1930" t="s">
        <v>4644</v>
      </c>
      <c r="D3000" s="1930" t="s">
        <v>4645</v>
      </c>
      <c r="E3000" s="1931" t="s">
        <v>33</v>
      </c>
      <c r="F3000" s="1930" t="s">
        <v>33</v>
      </c>
      <c r="G3000" s="1932">
        <v>83646</v>
      </c>
      <c r="H3000" s="1930" t="s">
        <v>2231</v>
      </c>
      <c r="I3000" s="1930" t="s">
        <v>168</v>
      </c>
      <c r="J3000" s="1930" t="s">
        <v>320</v>
      </c>
      <c r="K3000" s="1933">
        <v>1800.98</v>
      </c>
      <c r="L3000" s="1930" t="s">
        <v>138</v>
      </c>
    </row>
    <row r="3001" spans="1:12" ht="13.5" x14ac:dyDescent="0.25">
      <c r="A3001" s="1930" t="s">
        <v>4631</v>
      </c>
      <c r="B3001" s="1930" t="s">
        <v>4632</v>
      </c>
      <c r="C3001" s="1930" t="s">
        <v>4644</v>
      </c>
      <c r="D3001" s="1930" t="s">
        <v>4645</v>
      </c>
      <c r="E3001" s="1931" t="s">
        <v>33</v>
      </c>
      <c r="F3001" s="1930" t="s">
        <v>33</v>
      </c>
      <c r="G3001" s="1932">
        <v>83647</v>
      </c>
      <c r="H3001" s="1930" t="s">
        <v>2232</v>
      </c>
      <c r="I3001" s="1930" t="s">
        <v>168</v>
      </c>
      <c r="J3001" s="1930" t="s">
        <v>320</v>
      </c>
      <c r="K3001" s="1933">
        <v>1179.32</v>
      </c>
      <c r="L3001" s="1930" t="s">
        <v>138</v>
      </c>
    </row>
    <row r="3002" spans="1:12" ht="13.5" x14ac:dyDescent="0.25">
      <c r="A3002" s="1930" t="s">
        <v>4631</v>
      </c>
      <c r="B3002" s="1930" t="s">
        <v>4632</v>
      </c>
      <c r="C3002" s="1930" t="s">
        <v>4644</v>
      </c>
      <c r="D3002" s="1930" t="s">
        <v>4645</v>
      </c>
      <c r="E3002" s="1931" t="s">
        <v>33</v>
      </c>
      <c r="F3002" s="1930" t="s">
        <v>33</v>
      </c>
      <c r="G3002" s="1932">
        <v>83648</v>
      </c>
      <c r="H3002" s="1930" t="s">
        <v>2233</v>
      </c>
      <c r="I3002" s="1930" t="s">
        <v>168</v>
      </c>
      <c r="J3002" s="1930" t="s">
        <v>320</v>
      </c>
      <c r="K3002" s="1933">
        <v>758.33</v>
      </c>
      <c r="L3002" s="1930" t="s">
        <v>138</v>
      </c>
    </row>
    <row r="3003" spans="1:12" ht="13.5" x14ac:dyDescent="0.25">
      <c r="A3003" s="1930" t="s">
        <v>4631</v>
      </c>
      <c r="B3003" s="1930" t="s">
        <v>4632</v>
      </c>
      <c r="C3003" s="1930" t="s">
        <v>4644</v>
      </c>
      <c r="D3003" s="1930" t="s">
        <v>4645</v>
      </c>
      <c r="E3003" s="1931" t="s">
        <v>33</v>
      </c>
      <c r="F3003" s="1930" t="s">
        <v>33</v>
      </c>
      <c r="G3003" s="1932">
        <v>83649</v>
      </c>
      <c r="H3003" s="1930" t="s">
        <v>2234</v>
      </c>
      <c r="I3003" s="1930" t="s">
        <v>168</v>
      </c>
      <c r="J3003" s="1930" t="s">
        <v>137</v>
      </c>
      <c r="K3003" s="1933">
        <v>4664.46</v>
      </c>
      <c r="L3003" s="1930" t="s">
        <v>138</v>
      </c>
    </row>
    <row r="3004" spans="1:12" ht="13.5" x14ac:dyDescent="0.25">
      <c r="A3004" s="1930" t="s">
        <v>4631</v>
      </c>
      <c r="B3004" s="1930" t="s">
        <v>4632</v>
      </c>
      <c r="C3004" s="1930" t="s">
        <v>4644</v>
      </c>
      <c r="D3004" s="1930" t="s">
        <v>4645</v>
      </c>
      <c r="E3004" s="1931" t="s">
        <v>33</v>
      </c>
      <c r="F3004" s="1930" t="s">
        <v>33</v>
      </c>
      <c r="G3004" s="1932">
        <v>83650</v>
      </c>
      <c r="H3004" s="1930" t="s">
        <v>2235</v>
      </c>
      <c r="I3004" s="1930" t="s">
        <v>168</v>
      </c>
      <c r="J3004" s="1930" t="s">
        <v>137</v>
      </c>
      <c r="K3004" s="1933">
        <v>3919.16</v>
      </c>
      <c r="L3004" s="1930" t="s">
        <v>138</v>
      </c>
    </row>
    <row r="3005" spans="1:12" ht="13.5" x14ac:dyDescent="0.25">
      <c r="A3005" s="1930" t="s">
        <v>4631</v>
      </c>
      <c r="B3005" s="1930" t="s">
        <v>4632</v>
      </c>
      <c r="C3005" s="1930" t="s">
        <v>5272</v>
      </c>
      <c r="D3005" s="1930" t="s">
        <v>5273</v>
      </c>
      <c r="E3005" s="1931" t="s">
        <v>33</v>
      </c>
      <c r="F3005" s="1930" t="s">
        <v>33</v>
      </c>
      <c r="G3005" s="1932">
        <v>98294</v>
      </c>
      <c r="H3005" s="1930" t="s">
        <v>8842</v>
      </c>
      <c r="I3005" s="1930" t="s">
        <v>136</v>
      </c>
      <c r="J3005" s="1930" t="s">
        <v>320</v>
      </c>
      <c r="K3005" s="1933">
        <v>1.85</v>
      </c>
      <c r="L3005" s="1930" t="s">
        <v>138</v>
      </c>
    </row>
    <row r="3006" spans="1:12" ht="13.5" x14ac:dyDescent="0.25">
      <c r="A3006" s="1930" t="s">
        <v>4631</v>
      </c>
      <c r="B3006" s="1930" t="s">
        <v>4632</v>
      </c>
      <c r="C3006" s="1930" t="s">
        <v>5272</v>
      </c>
      <c r="D3006" s="1930" t="s">
        <v>5273</v>
      </c>
      <c r="E3006" s="1931" t="s">
        <v>33</v>
      </c>
      <c r="F3006" s="1930" t="s">
        <v>33</v>
      </c>
      <c r="G3006" s="1932">
        <v>98295</v>
      </c>
      <c r="H3006" s="1930" t="s">
        <v>8843</v>
      </c>
      <c r="I3006" s="1930" t="s">
        <v>136</v>
      </c>
      <c r="J3006" s="1930" t="s">
        <v>320</v>
      </c>
      <c r="K3006" s="1933">
        <v>1.33</v>
      </c>
      <c r="L3006" s="1930" t="s">
        <v>138</v>
      </c>
    </row>
    <row r="3007" spans="1:12" ht="13.5" x14ac:dyDescent="0.25">
      <c r="A3007" s="1930" t="s">
        <v>4631</v>
      </c>
      <c r="B3007" s="1930" t="s">
        <v>4632</v>
      </c>
      <c r="C3007" s="1930" t="s">
        <v>5272</v>
      </c>
      <c r="D3007" s="1930" t="s">
        <v>5273</v>
      </c>
      <c r="E3007" s="1931" t="s">
        <v>33</v>
      </c>
      <c r="F3007" s="1930" t="s">
        <v>33</v>
      </c>
      <c r="G3007" s="1932">
        <v>98296</v>
      </c>
      <c r="H3007" s="1930" t="s">
        <v>8844</v>
      </c>
      <c r="I3007" s="1930" t="s">
        <v>136</v>
      </c>
      <c r="J3007" s="1930" t="s">
        <v>320</v>
      </c>
      <c r="K3007" s="1933">
        <v>2.84</v>
      </c>
      <c r="L3007" s="1930" t="s">
        <v>138</v>
      </c>
    </row>
    <row r="3008" spans="1:12" ht="13.5" x14ac:dyDescent="0.25">
      <c r="A3008" s="1930" t="s">
        <v>4631</v>
      </c>
      <c r="B3008" s="1930" t="s">
        <v>4632</v>
      </c>
      <c r="C3008" s="1930" t="s">
        <v>5272</v>
      </c>
      <c r="D3008" s="1930" t="s">
        <v>5273</v>
      </c>
      <c r="E3008" s="1931" t="s">
        <v>33</v>
      </c>
      <c r="F3008" s="1930" t="s">
        <v>33</v>
      </c>
      <c r="G3008" s="1932">
        <v>98297</v>
      </c>
      <c r="H3008" s="1930" t="s">
        <v>8845</v>
      </c>
      <c r="I3008" s="1930" t="s">
        <v>136</v>
      </c>
      <c r="J3008" s="1930" t="s">
        <v>320</v>
      </c>
      <c r="K3008" s="1933">
        <v>2.0299999999999998</v>
      </c>
      <c r="L3008" s="1930" t="s">
        <v>138</v>
      </c>
    </row>
    <row r="3009" spans="1:12" ht="13.5" x14ac:dyDescent="0.25">
      <c r="A3009" s="1930" t="s">
        <v>4631</v>
      </c>
      <c r="B3009" s="1930" t="s">
        <v>4632</v>
      </c>
      <c r="C3009" s="1930" t="s">
        <v>5272</v>
      </c>
      <c r="D3009" s="1930" t="s">
        <v>5273</v>
      </c>
      <c r="E3009" s="1931" t="s">
        <v>33</v>
      </c>
      <c r="F3009" s="1930" t="s">
        <v>33</v>
      </c>
      <c r="G3009" s="1932">
        <v>98301</v>
      </c>
      <c r="H3009" s="1930" t="s">
        <v>8846</v>
      </c>
      <c r="I3009" s="1930" t="s">
        <v>168</v>
      </c>
      <c r="J3009" s="1930" t="s">
        <v>320</v>
      </c>
      <c r="K3009" s="1933">
        <v>417.39</v>
      </c>
      <c r="L3009" s="1930" t="s">
        <v>138</v>
      </c>
    </row>
    <row r="3010" spans="1:12" ht="13.5" x14ac:dyDescent="0.25">
      <c r="A3010" s="1930" t="s">
        <v>4631</v>
      </c>
      <c r="B3010" s="1930" t="s">
        <v>4632</v>
      </c>
      <c r="C3010" s="1930" t="s">
        <v>5272</v>
      </c>
      <c r="D3010" s="1930" t="s">
        <v>5273</v>
      </c>
      <c r="E3010" s="1931" t="s">
        <v>33</v>
      </c>
      <c r="F3010" s="1930" t="s">
        <v>33</v>
      </c>
      <c r="G3010" s="1932">
        <v>98302</v>
      </c>
      <c r="H3010" s="1930" t="s">
        <v>8847</v>
      </c>
      <c r="I3010" s="1930" t="s">
        <v>168</v>
      </c>
      <c r="J3010" s="1930" t="s">
        <v>320</v>
      </c>
      <c r="K3010" s="1933">
        <v>560.04</v>
      </c>
      <c r="L3010" s="1930" t="s">
        <v>138</v>
      </c>
    </row>
    <row r="3011" spans="1:12" ht="13.5" x14ac:dyDescent="0.25">
      <c r="A3011" s="1930" t="s">
        <v>4631</v>
      </c>
      <c r="B3011" s="1930" t="s">
        <v>4632</v>
      </c>
      <c r="C3011" s="1930" t="s">
        <v>5272</v>
      </c>
      <c r="D3011" s="1930" t="s">
        <v>5273</v>
      </c>
      <c r="E3011" s="1931" t="s">
        <v>33</v>
      </c>
      <c r="F3011" s="1930" t="s">
        <v>33</v>
      </c>
      <c r="G3011" s="1932">
        <v>98304</v>
      </c>
      <c r="H3011" s="1930" t="s">
        <v>8848</v>
      </c>
      <c r="I3011" s="1930" t="s">
        <v>168</v>
      </c>
      <c r="J3011" s="1930" t="s">
        <v>320</v>
      </c>
      <c r="K3011" s="1933">
        <v>899.24</v>
      </c>
      <c r="L3011" s="1930" t="s">
        <v>138</v>
      </c>
    </row>
    <row r="3012" spans="1:12" ht="13.5" x14ac:dyDescent="0.25">
      <c r="A3012" s="1930" t="s">
        <v>4631</v>
      </c>
      <c r="B3012" s="1930" t="s">
        <v>4632</v>
      </c>
      <c r="C3012" s="1930" t="s">
        <v>5272</v>
      </c>
      <c r="D3012" s="1930" t="s">
        <v>5273</v>
      </c>
      <c r="E3012" s="1931" t="s">
        <v>33</v>
      </c>
      <c r="F3012" s="1930" t="s">
        <v>33</v>
      </c>
      <c r="G3012" s="1932">
        <v>98307</v>
      </c>
      <c r="H3012" s="1930" t="s">
        <v>8849</v>
      </c>
      <c r="I3012" s="1930" t="s">
        <v>168</v>
      </c>
      <c r="J3012" s="1930" t="s">
        <v>320</v>
      </c>
      <c r="K3012" s="1933">
        <v>40.549999999999997</v>
      </c>
      <c r="L3012" s="1930" t="s">
        <v>138</v>
      </c>
    </row>
    <row r="3013" spans="1:12" ht="13.5" x14ac:dyDescent="0.25">
      <c r="A3013" s="1930" t="s">
        <v>4631</v>
      </c>
      <c r="B3013" s="1930" t="s">
        <v>4632</v>
      </c>
      <c r="C3013" s="1930" t="s">
        <v>5272</v>
      </c>
      <c r="D3013" s="1930" t="s">
        <v>5273</v>
      </c>
      <c r="E3013" s="1931" t="s">
        <v>33</v>
      </c>
      <c r="F3013" s="1930" t="s">
        <v>33</v>
      </c>
      <c r="G3013" s="1932">
        <v>98308</v>
      </c>
      <c r="H3013" s="1930" t="s">
        <v>8850</v>
      </c>
      <c r="I3013" s="1930" t="s">
        <v>168</v>
      </c>
      <c r="J3013" s="1930" t="s">
        <v>320</v>
      </c>
      <c r="K3013" s="1933">
        <v>26.22</v>
      </c>
      <c r="L3013" s="1930" t="s">
        <v>138</v>
      </c>
    </row>
    <row r="3014" spans="1:12" ht="13.5" x14ac:dyDescent="0.25">
      <c r="A3014" s="1930" t="s">
        <v>4631</v>
      </c>
      <c r="B3014" s="1930" t="s">
        <v>4632</v>
      </c>
      <c r="C3014" s="1930" t="s">
        <v>5272</v>
      </c>
      <c r="D3014" s="1930" t="s">
        <v>5273</v>
      </c>
      <c r="E3014" s="1931" t="s">
        <v>33</v>
      </c>
      <c r="F3014" s="1930" t="s">
        <v>33</v>
      </c>
      <c r="G3014" s="1932">
        <v>98593</v>
      </c>
      <c r="H3014" s="1930" t="s">
        <v>8851</v>
      </c>
      <c r="I3014" s="1930" t="s">
        <v>168</v>
      </c>
      <c r="J3014" s="1930" t="s">
        <v>320</v>
      </c>
      <c r="K3014" s="1933">
        <v>728.86</v>
      </c>
      <c r="L3014" s="1930" t="s">
        <v>138</v>
      </c>
    </row>
    <row r="3015" spans="1:12" ht="13.5" x14ac:dyDescent="0.25">
      <c r="A3015" s="1930" t="s">
        <v>4646</v>
      </c>
      <c r="B3015" s="1930" t="s">
        <v>4647</v>
      </c>
      <c r="C3015" s="1930" t="s">
        <v>4648</v>
      </c>
      <c r="D3015" s="1930" t="s">
        <v>4649</v>
      </c>
      <c r="E3015" s="1931" t="s">
        <v>33</v>
      </c>
      <c r="F3015" s="1930" t="s">
        <v>33</v>
      </c>
      <c r="G3015" s="1932">
        <v>89355</v>
      </c>
      <c r="H3015" s="1930" t="s">
        <v>2236</v>
      </c>
      <c r="I3015" s="1930" t="s">
        <v>136</v>
      </c>
      <c r="J3015" s="1930" t="s">
        <v>320</v>
      </c>
      <c r="K3015" s="1933">
        <v>13.72</v>
      </c>
      <c r="L3015" s="1930" t="s">
        <v>138</v>
      </c>
    </row>
    <row r="3016" spans="1:12" ht="13.5" x14ac:dyDescent="0.25">
      <c r="A3016" s="1930" t="s">
        <v>4646</v>
      </c>
      <c r="B3016" s="1930" t="s">
        <v>4647</v>
      </c>
      <c r="C3016" s="1930" t="s">
        <v>4648</v>
      </c>
      <c r="D3016" s="1930" t="s">
        <v>4649</v>
      </c>
      <c r="E3016" s="1931" t="s">
        <v>33</v>
      </c>
      <c r="F3016" s="1930" t="s">
        <v>33</v>
      </c>
      <c r="G3016" s="1932">
        <v>89356</v>
      </c>
      <c r="H3016" s="1930" t="s">
        <v>2237</v>
      </c>
      <c r="I3016" s="1930" t="s">
        <v>136</v>
      </c>
      <c r="J3016" s="1930" t="s">
        <v>320</v>
      </c>
      <c r="K3016" s="1933">
        <v>16.170000000000002</v>
      </c>
      <c r="L3016" s="1930" t="s">
        <v>138</v>
      </c>
    </row>
    <row r="3017" spans="1:12" ht="13.5" x14ac:dyDescent="0.25">
      <c r="A3017" s="1930" t="s">
        <v>4646</v>
      </c>
      <c r="B3017" s="1930" t="s">
        <v>4647</v>
      </c>
      <c r="C3017" s="1930" t="s">
        <v>4648</v>
      </c>
      <c r="D3017" s="1930" t="s">
        <v>4649</v>
      </c>
      <c r="E3017" s="1931" t="s">
        <v>33</v>
      </c>
      <c r="F3017" s="1930" t="s">
        <v>33</v>
      </c>
      <c r="G3017" s="1932">
        <v>89357</v>
      </c>
      <c r="H3017" s="1930" t="s">
        <v>2238</v>
      </c>
      <c r="I3017" s="1930" t="s">
        <v>136</v>
      </c>
      <c r="J3017" s="1930" t="s">
        <v>320</v>
      </c>
      <c r="K3017" s="1933">
        <v>22.4</v>
      </c>
      <c r="L3017" s="1930" t="s">
        <v>138</v>
      </c>
    </row>
    <row r="3018" spans="1:12" ht="13.5" x14ac:dyDescent="0.25">
      <c r="A3018" s="1930" t="s">
        <v>4646</v>
      </c>
      <c r="B3018" s="1930" t="s">
        <v>4647</v>
      </c>
      <c r="C3018" s="1930" t="s">
        <v>4648</v>
      </c>
      <c r="D3018" s="1930" t="s">
        <v>4649</v>
      </c>
      <c r="E3018" s="1931" t="s">
        <v>33</v>
      </c>
      <c r="F3018" s="1930" t="s">
        <v>33</v>
      </c>
      <c r="G3018" s="1932">
        <v>89401</v>
      </c>
      <c r="H3018" s="1930" t="s">
        <v>2239</v>
      </c>
      <c r="I3018" s="1930" t="s">
        <v>136</v>
      </c>
      <c r="J3018" s="1930" t="s">
        <v>320</v>
      </c>
      <c r="K3018" s="1933">
        <v>5.76</v>
      </c>
      <c r="L3018" s="1930" t="s">
        <v>138</v>
      </c>
    </row>
    <row r="3019" spans="1:12" ht="13.5" x14ac:dyDescent="0.25">
      <c r="A3019" s="1930" t="s">
        <v>4646</v>
      </c>
      <c r="B3019" s="1930" t="s">
        <v>4647</v>
      </c>
      <c r="C3019" s="1930" t="s">
        <v>4648</v>
      </c>
      <c r="D3019" s="1930" t="s">
        <v>4649</v>
      </c>
      <c r="E3019" s="1931" t="s">
        <v>33</v>
      </c>
      <c r="F3019" s="1930" t="s">
        <v>33</v>
      </c>
      <c r="G3019" s="1932">
        <v>89402</v>
      </c>
      <c r="H3019" s="1930" t="s">
        <v>2240</v>
      </c>
      <c r="I3019" s="1930" t="s">
        <v>136</v>
      </c>
      <c r="J3019" s="1930" t="s">
        <v>320</v>
      </c>
      <c r="K3019" s="1933">
        <v>6.99</v>
      </c>
      <c r="L3019" s="1930" t="s">
        <v>138</v>
      </c>
    </row>
    <row r="3020" spans="1:12" ht="13.5" x14ac:dyDescent="0.25">
      <c r="A3020" s="1930" t="s">
        <v>4646</v>
      </c>
      <c r="B3020" s="1930" t="s">
        <v>4647</v>
      </c>
      <c r="C3020" s="1930" t="s">
        <v>4648</v>
      </c>
      <c r="D3020" s="1930" t="s">
        <v>4649</v>
      </c>
      <c r="E3020" s="1931" t="s">
        <v>33</v>
      </c>
      <c r="F3020" s="1930" t="s">
        <v>33</v>
      </c>
      <c r="G3020" s="1932">
        <v>89403</v>
      </c>
      <c r="H3020" s="1930" t="s">
        <v>2241</v>
      </c>
      <c r="I3020" s="1930" t="s">
        <v>136</v>
      </c>
      <c r="J3020" s="1930" t="s">
        <v>320</v>
      </c>
      <c r="K3020" s="1933">
        <v>11.43</v>
      </c>
      <c r="L3020" s="1930" t="s">
        <v>138</v>
      </c>
    </row>
    <row r="3021" spans="1:12" ht="13.5" x14ac:dyDescent="0.25">
      <c r="A3021" s="1930" t="s">
        <v>4646</v>
      </c>
      <c r="B3021" s="1930" t="s">
        <v>4647</v>
      </c>
      <c r="C3021" s="1930" t="s">
        <v>4648</v>
      </c>
      <c r="D3021" s="1930" t="s">
        <v>4649</v>
      </c>
      <c r="E3021" s="1931" t="s">
        <v>33</v>
      </c>
      <c r="F3021" s="1930" t="s">
        <v>33</v>
      </c>
      <c r="G3021" s="1932">
        <v>89446</v>
      </c>
      <c r="H3021" s="1930" t="s">
        <v>2242</v>
      </c>
      <c r="I3021" s="1930" t="s">
        <v>136</v>
      </c>
      <c r="J3021" s="1930" t="s">
        <v>320</v>
      </c>
      <c r="K3021" s="1933">
        <v>3.51</v>
      </c>
      <c r="L3021" s="1930" t="s">
        <v>138</v>
      </c>
    </row>
    <row r="3022" spans="1:12" ht="13.5" x14ac:dyDescent="0.25">
      <c r="A3022" s="1930" t="s">
        <v>4646</v>
      </c>
      <c r="B3022" s="1930" t="s">
        <v>4647</v>
      </c>
      <c r="C3022" s="1930" t="s">
        <v>4648</v>
      </c>
      <c r="D3022" s="1930" t="s">
        <v>4649</v>
      </c>
      <c r="E3022" s="1931" t="s">
        <v>33</v>
      </c>
      <c r="F3022" s="1930" t="s">
        <v>33</v>
      </c>
      <c r="G3022" s="1932">
        <v>89447</v>
      </c>
      <c r="H3022" s="1930" t="s">
        <v>2243</v>
      </c>
      <c r="I3022" s="1930" t="s">
        <v>136</v>
      </c>
      <c r="J3022" s="1930" t="s">
        <v>320</v>
      </c>
      <c r="K3022" s="1933">
        <v>7.34</v>
      </c>
      <c r="L3022" s="1930" t="s">
        <v>138</v>
      </c>
    </row>
    <row r="3023" spans="1:12" ht="13.5" x14ac:dyDescent="0.25">
      <c r="A3023" s="1930" t="s">
        <v>4646</v>
      </c>
      <c r="B3023" s="1930" t="s">
        <v>4647</v>
      </c>
      <c r="C3023" s="1930" t="s">
        <v>4648</v>
      </c>
      <c r="D3023" s="1930" t="s">
        <v>4649</v>
      </c>
      <c r="E3023" s="1931" t="s">
        <v>33</v>
      </c>
      <c r="F3023" s="1930" t="s">
        <v>33</v>
      </c>
      <c r="G3023" s="1932">
        <v>89448</v>
      </c>
      <c r="H3023" s="1930" t="s">
        <v>2244</v>
      </c>
      <c r="I3023" s="1930" t="s">
        <v>136</v>
      </c>
      <c r="J3023" s="1930" t="s">
        <v>320</v>
      </c>
      <c r="K3023" s="1933">
        <v>10.52</v>
      </c>
      <c r="L3023" s="1930" t="s">
        <v>138</v>
      </c>
    </row>
    <row r="3024" spans="1:12" ht="13.5" x14ac:dyDescent="0.25">
      <c r="A3024" s="1930" t="s">
        <v>4646</v>
      </c>
      <c r="B3024" s="1930" t="s">
        <v>4647</v>
      </c>
      <c r="C3024" s="1930" t="s">
        <v>4648</v>
      </c>
      <c r="D3024" s="1930" t="s">
        <v>4649</v>
      </c>
      <c r="E3024" s="1931" t="s">
        <v>33</v>
      </c>
      <c r="F3024" s="1930" t="s">
        <v>33</v>
      </c>
      <c r="G3024" s="1932">
        <v>89449</v>
      </c>
      <c r="H3024" s="1930" t="s">
        <v>2245</v>
      </c>
      <c r="I3024" s="1930" t="s">
        <v>136</v>
      </c>
      <c r="J3024" s="1930" t="s">
        <v>320</v>
      </c>
      <c r="K3024" s="1933">
        <v>12.11</v>
      </c>
      <c r="L3024" s="1930" t="s">
        <v>138</v>
      </c>
    </row>
    <row r="3025" spans="1:12" ht="13.5" x14ac:dyDescent="0.25">
      <c r="A3025" s="1930" t="s">
        <v>4646</v>
      </c>
      <c r="B3025" s="1930" t="s">
        <v>4647</v>
      </c>
      <c r="C3025" s="1930" t="s">
        <v>4648</v>
      </c>
      <c r="D3025" s="1930" t="s">
        <v>4649</v>
      </c>
      <c r="E3025" s="1931" t="s">
        <v>33</v>
      </c>
      <c r="F3025" s="1930" t="s">
        <v>33</v>
      </c>
      <c r="G3025" s="1932">
        <v>89450</v>
      </c>
      <c r="H3025" s="1930" t="s">
        <v>2246</v>
      </c>
      <c r="I3025" s="1930" t="s">
        <v>136</v>
      </c>
      <c r="J3025" s="1930" t="s">
        <v>320</v>
      </c>
      <c r="K3025" s="1933">
        <v>19.89</v>
      </c>
      <c r="L3025" s="1930" t="s">
        <v>138</v>
      </c>
    </row>
    <row r="3026" spans="1:12" ht="13.5" x14ac:dyDescent="0.25">
      <c r="A3026" s="1930" t="s">
        <v>4646</v>
      </c>
      <c r="B3026" s="1930" t="s">
        <v>4647</v>
      </c>
      <c r="C3026" s="1930" t="s">
        <v>4648</v>
      </c>
      <c r="D3026" s="1930" t="s">
        <v>4649</v>
      </c>
      <c r="E3026" s="1931" t="s">
        <v>33</v>
      </c>
      <c r="F3026" s="1930" t="s">
        <v>33</v>
      </c>
      <c r="G3026" s="1932">
        <v>89451</v>
      </c>
      <c r="H3026" s="1930" t="s">
        <v>2247</v>
      </c>
      <c r="I3026" s="1930" t="s">
        <v>136</v>
      </c>
      <c r="J3026" s="1930" t="s">
        <v>320</v>
      </c>
      <c r="K3026" s="1933">
        <v>32.82</v>
      </c>
      <c r="L3026" s="1930" t="s">
        <v>138</v>
      </c>
    </row>
    <row r="3027" spans="1:12" ht="13.5" x14ac:dyDescent="0.25">
      <c r="A3027" s="1930" t="s">
        <v>4646</v>
      </c>
      <c r="B3027" s="1930" t="s">
        <v>4647</v>
      </c>
      <c r="C3027" s="1930" t="s">
        <v>4648</v>
      </c>
      <c r="D3027" s="1930" t="s">
        <v>4649</v>
      </c>
      <c r="E3027" s="1931" t="s">
        <v>33</v>
      </c>
      <c r="F3027" s="1930" t="s">
        <v>33</v>
      </c>
      <c r="G3027" s="1932">
        <v>89452</v>
      </c>
      <c r="H3027" s="1930" t="s">
        <v>2248</v>
      </c>
      <c r="I3027" s="1930" t="s">
        <v>136</v>
      </c>
      <c r="J3027" s="1930" t="s">
        <v>320</v>
      </c>
      <c r="K3027" s="1933">
        <v>40.81</v>
      </c>
      <c r="L3027" s="1930" t="s">
        <v>138</v>
      </c>
    </row>
    <row r="3028" spans="1:12" ht="13.5" x14ac:dyDescent="0.25">
      <c r="A3028" s="1930" t="s">
        <v>4646</v>
      </c>
      <c r="B3028" s="1930" t="s">
        <v>4647</v>
      </c>
      <c r="C3028" s="1930" t="s">
        <v>4648</v>
      </c>
      <c r="D3028" s="1930" t="s">
        <v>4649</v>
      </c>
      <c r="E3028" s="1931" t="s">
        <v>33</v>
      </c>
      <c r="F3028" s="1930" t="s">
        <v>33</v>
      </c>
      <c r="G3028" s="1932">
        <v>89508</v>
      </c>
      <c r="H3028" s="1930" t="s">
        <v>2249</v>
      </c>
      <c r="I3028" s="1930" t="s">
        <v>136</v>
      </c>
      <c r="J3028" s="1930" t="s">
        <v>320</v>
      </c>
      <c r="K3028" s="1933">
        <v>14.43</v>
      </c>
      <c r="L3028" s="1930" t="s">
        <v>138</v>
      </c>
    </row>
    <row r="3029" spans="1:12" ht="13.5" x14ac:dyDescent="0.25">
      <c r="A3029" s="1930" t="s">
        <v>4646</v>
      </c>
      <c r="B3029" s="1930" t="s">
        <v>4647</v>
      </c>
      <c r="C3029" s="1930" t="s">
        <v>4648</v>
      </c>
      <c r="D3029" s="1930" t="s">
        <v>4649</v>
      </c>
      <c r="E3029" s="1931" t="s">
        <v>33</v>
      </c>
      <c r="F3029" s="1930" t="s">
        <v>33</v>
      </c>
      <c r="G3029" s="1932">
        <v>89509</v>
      </c>
      <c r="H3029" s="1930" t="s">
        <v>2250</v>
      </c>
      <c r="I3029" s="1930" t="s">
        <v>136</v>
      </c>
      <c r="J3029" s="1930" t="s">
        <v>320</v>
      </c>
      <c r="K3029" s="1933">
        <v>19.809999999999999</v>
      </c>
      <c r="L3029" s="1930" t="s">
        <v>138</v>
      </c>
    </row>
    <row r="3030" spans="1:12" ht="13.5" x14ac:dyDescent="0.25">
      <c r="A3030" s="1930" t="s">
        <v>4646</v>
      </c>
      <c r="B3030" s="1930" t="s">
        <v>4647</v>
      </c>
      <c r="C3030" s="1930" t="s">
        <v>4648</v>
      </c>
      <c r="D3030" s="1930" t="s">
        <v>4649</v>
      </c>
      <c r="E3030" s="1931" t="s">
        <v>33</v>
      </c>
      <c r="F3030" s="1930" t="s">
        <v>33</v>
      </c>
      <c r="G3030" s="1932">
        <v>89511</v>
      </c>
      <c r="H3030" s="1930" t="s">
        <v>2251</v>
      </c>
      <c r="I3030" s="1930" t="s">
        <v>136</v>
      </c>
      <c r="J3030" s="1930" t="s">
        <v>320</v>
      </c>
      <c r="K3030" s="1933">
        <v>29.54</v>
      </c>
      <c r="L3030" s="1930" t="s">
        <v>138</v>
      </c>
    </row>
    <row r="3031" spans="1:12" ht="13.5" x14ac:dyDescent="0.25">
      <c r="A3031" s="1930" t="s">
        <v>4646</v>
      </c>
      <c r="B3031" s="1930" t="s">
        <v>4647</v>
      </c>
      <c r="C3031" s="1930" t="s">
        <v>4648</v>
      </c>
      <c r="D3031" s="1930" t="s">
        <v>4649</v>
      </c>
      <c r="E3031" s="1931" t="s">
        <v>33</v>
      </c>
      <c r="F3031" s="1930" t="s">
        <v>33</v>
      </c>
      <c r="G3031" s="1932">
        <v>89512</v>
      </c>
      <c r="H3031" s="1930" t="s">
        <v>2252</v>
      </c>
      <c r="I3031" s="1930" t="s">
        <v>136</v>
      </c>
      <c r="J3031" s="1930" t="s">
        <v>320</v>
      </c>
      <c r="K3031" s="1933">
        <v>46.34</v>
      </c>
      <c r="L3031" s="1930" t="s">
        <v>138</v>
      </c>
    </row>
    <row r="3032" spans="1:12" ht="13.5" x14ac:dyDescent="0.25">
      <c r="A3032" s="1930" t="s">
        <v>4646</v>
      </c>
      <c r="B3032" s="1930" t="s">
        <v>4647</v>
      </c>
      <c r="C3032" s="1930" t="s">
        <v>4648</v>
      </c>
      <c r="D3032" s="1930" t="s">
        <v>4649</v>
      </c>
      <c r="E3032" s="1931" t="s">
        <v>33</v>
      </c>
      <c r="F3032" s="1930" t="s">
        <v>33</v>
      </c>
      <c r="G3032" s="1932">
        <v>89576</v>
      </c>
      <c r="H3032" s="1930" t="s">
        <v>2253</v>
      </c>
      <c r="I3032" s="1930" t="s">
        <v>136</v>
      </c>
      <c r="J3032" s="1930" t="s">
        <v>320</v>
      </c>
      <c r="K3032" s="1933">
        <v>16.93</v>
      </c>
      <c r="L3032" s="1930" t="s">
        <v>138</v>
      </c>
    </row>
    <row r="3033" spans="1:12" ht="13.5" x14ac:dyDescent="0.25">
      <c r="A3033" s="1930" t="s">
        <v>4646</v>
      </c>
      <c r="B3033" s="1930" t="s">
        <v>4647</v>
      </c>
      <c r="C3033" s="1930" t="s">
        <v>4648</v>
      </c>
      <c r="D3033" s="1930" t="s">
        <v>4649</v>
      </c>
      <c r="E3033" s="1931" t="s">
        <v>33</v>
      </c>
      <c r="F3033" s="1930" t="s">
        <v>33</v>
      </c>
      <c r="G3033" s="1932">
        <v>89578</v>
      </c>
      <c r="H3033" s="1930" t="s">
        <v>2254</v>
      </c>
      <c r="I3033" s="1930" t="s">
        <v>136</v>
      </c>
      <c r="J3033" s="1930" t="s">
        <v>320</v>
      </c>
      <c r="K3033" s="1933">
        <v>29.12</v>
      </c>
      <c r="L3033" s="1930" t="s">
        <v>138</v>
      </c>
    </row>
    <row r="3034" spans="1:12" ht="13.5" x14ac:dyDescent="0.25">
      <c r="A3034" s="1930" t="s">
        <v>4646</v>
      </c>
      <c r="B3034" s="1930" t="s">
        <v>4647</v>
      </c>
      <c r="C3034" s="1930" t="s">
        <v>4648</v>
      </c>
      <c r="D3034" s="1930" t="s">
        <v>4649</v>
      </c>
      <c r="E3034" s="1931" t="s">
        <v>33</v>
      </c>
      <c r="F3034" s="1930" t="s">
        <v>33</v>
      </c>
      <c r="G3034" s="1932">
        <v>89580</v>
      </c>
      <c r="H3034" s="1930" t="s">
        <v>2255</v>
      </c>
      <c r="I3034" s="1930" t="s">
        <v>136</v>
      </c>
      <c r="J3034" s="1930" t="s">
        <v>320</v>
      </c>
      <c r="K3034" s="1933">
        <v>57.11</v>
      </c>
      <c r="L3034" s="1930" t="s">
        <v>138</v>
      </c>
    </row>
    <row r="3035" spans="1:12" ht="13.5" x14ac:dyDescent="0.25">
      <c r="A3035" s="1930" t="s">
        <v>4646</v>
      </c>
      <c r="B3035" s="1930" t="s">
        <v>4647</v>
      </c>
      <c r="C3035" s="1930" t="s">
        <v>4648</v>
      </c>
      <c r="D3035" s="1930" t="s">
        <v>4649</v>
      </c>
      <c r="E3035" s="1931" t="s">
        <v>33</v>
      </c>
      <c r="F3035" s="1930" t="s">
        <v>33</v>
      </c>
      <c r="G3035" s="1932">
        <v>89633</v>
      </c>
      <c r="H3035" s="1930" t="s">
        <v>2256</v>
      </c>
      <c r="I3035" s="1930" t="s">
        <v>136</v>
      </c>
      <c r="J3035" s="1930" t="s">
        <v>320</v>
      </c>
      <c r="K3035" s="1933">
        <v>15.91</v>
      </c>
      <c r="L3035" s="1930" t="s">
        <v>138</v>
      </c>
    </row>
    <row r="3036" spans="1:12" ht="13.5" x14ac:dyDescent="0.25">
      <c r="A3036" s="1930" t="s">
        <v>4646</v>
      </c>
      <c r="B3036" s="1930" t="s">
        <v>4647</v>
      </c>
      <c r="C3036" s="1930" t="s">
        <v>4648</v>
      </c>
      <c r="D3036" s="1930" t="s">
        <v>4649</v>
      </c>
      <c r="E3036" s="1931" t="s">
        <v>33</v>
      </c>
      <c r="F3036" s="1930" t="s">
        <v>33</v>
      </c>
      <c r="G3036" s="1932">
        <v>89634</v>
      </c>
      <c r="H3036" s="1930" t="s">
        <v>2257</v>
      </c>
      <c r="I3036" s="1930" t="s">
        <v>136</v>
      </c>
      <c r="J3036" s="1930" t="s">
        <v>320</v>
      </c>
      <c r="K3036" s="1933">
        <v>23.41</v>
      </c>
      <c r="L3036" s="1930" t="s">
        <v>138</v>
      </c>
    </row>
    <row r="3037" spans="1:12" ht="13.5" x14ac:dyDescent="0.25">
      <c r="A3037" s="1930" t="s">
        <v>4646</v>
      </c>
      <c r="B3037" s="1930" t="s">
        <v>4647</v>
      </c>
      <c r="C3037" s="1930" t="s">
        <v>4648</v>
      </c>
      <c r="D3037" s="1930" t="s">
        <v>4649</v>
      </c>
      <c r="E3037" s="1931" t="s">
        <v>33</v>
      </c>
      <c r="F3037" s="1930" t="s">
        <v>33</v>
      </c>
      <c r="G3037" s="1932">
        <v>89635</v>
      </c>
      <c r="H3037" s="1930" t="s">
        <v>2258</v>
      </c>
      <c r="I3037" s="1930" t="s">
        <v>136</v>
      </c>
      <c r="J3037" s="1930" t="s">
        <v>320</v>
      </c>
      <c r="K3037" s="1933">
        <v>32.520000000000003</v>
      </c>
      <c r="L3037" s="1930" t="s">
        <v>138</v>
      </c>
    </row>
    <row r="3038" spans="1:12" ht="13.5" x14ac:dyDescent="0.25">
      <c r="A3038" s="1930" t="s">
        <v>4646</v>
      </c>
      <c r="B3038" s="1930" t="s">
        <v>4647</v>
      </c>
      <c r="C3038" s="1930" t="s">
        <v>4648</v>
      </c>
      <c r="D3038" s="1930" t="s">
        <v>4649</v>
      </c>
      <c r="E3038" s="1931" t="s">
        <v>33</v>
      </c>
      <c r="F3038" s="1930" t="s">
        <v>33</v>
      </c>
      <c r="G3038" s="1932">
        <v>89636</v>
      </c>
      <c r="H3038" s="1930" t="s">
        <v>2259</v>
      </c>
      <c r="I3038" s="1930" t="s">
        <v>136</v>
      </c>
      <c r="J3038" s="1930" t="s">
        <v>320</v>
      </c>
      <c r="K3038" s="1933">
        <v>39.409999999999997</v>
      </c>
      <c r="L3038" s="1930" t="s">
        <v>138</v>
      </c>
    </row>
    <row r="3039" spans="1:12" ht="13.5" x14ac:dyDescent="0.25">
      <c r="A3039" s="1930" t="s">
        <v>4646</v>
      </c>
      <c r="B3039" s="1930" t="s">
        <v>4647</v>
      </c>
      <c r="C3039" s="1930" t="s">
        <v>4648</v>
      </c>
      <c r="D3039" s="1930" t="s">
        <v>4649</v>
      </c>
      <c r="E3039" s="1931" t="s">
        <v>33</v>
      </c>
      <c r="F3039" s="1930" t="s">
        <v>33</v>
      </c>
      <c r="G3039" s="1932">
        <v>89711</v>
      </c>
      <c r="H3039" s="1930" t="s">
        <v>2260</v>
      </c>
      <c r="I3039" s="1930" t="s">
        <v>136</v>
      </c>
      <c r="J3039" s="1930" t="s">
        <v>320</v>
      </c>
      <c r="K3039" s="1933">
        <v>14.34</v>
      </c>
      <c r="L3039" s="1930" t="s">
        <v>138</v>
      </c>
    </row>
    <row r="3040" spans="1:12" ht="13.5" x14ac:dyDescent="0.25">
      <c r="A3040" s="1930" t="s">
        <v>4646</v>
      </c>
      <c r="B3040" s="1930" t="s">
        <v>4647</v>
      </c>
      <c r="C3040" s="1930" t="s">
        <v>4648</v>
      </c>
      <c r="D3040" s="1930" t="s">
        <v>4649</v>
      </c>
      <c r="E3040" s="1931" t="s">
        <v>33</v>
      </c>
      <c r="F3040" s="1930" t="s">
        <v>33</v>
      </c>
      <c r="G3040" s="1932">
        <v>89712</v>
      </c>
      <c r="H3040" s="1930" t="s">
        <v>2261</v>
      </c>
      <c r="I3040" s="1930" t="s">
        <v>136</v>
      </c>
      <c r="J3040" s="1930" t="s">
        <v>320</v>
      </c>
      <c r="K3040" s="1933">
        <v>21.17</v>
      </c>
      <c r="L3040" s="1930" t="s">
        <v>138</v>
      </c>
    </row>
    <row r="3041" spans="1:12" ht="13.5" x14ac:dyDescent="0.25">
      <c r="A3041" s="1930" t="s">
        <v>4646</v>
      </c>
      <c r="B3041" s="1930" t="s">
        <v>4647</v>
      </c>
      <c r="C3041" s="1930" t="s">
        <v>4648</v>
      </c>
      <c r="D3041" s="1930" t="s">
        <v>4649</v>
      </c>
      <c r="E3041" s="1931" t="s">
        <v>33</v>
      </c>
      <c r="F3041" s="1930" t="s">
        <v>33</v>
      </c>
      <c r="G3041" s="1932">
        <v>89713</v>
      </c>
      <c r="H3041" s="1930" t="s">
        <v>2262</v>
      </c>
      <c r="I3041" s="1930" t="s">
        <v>136</v>
      </c>
      <c r="J3041" s="1930" t="s">
        <v>320</v>
      </c>
      <c r="K3041" s="1933">
        <v>32.229999999999997</v>
      </c>
      <c r="L3041" s="1930" t="s">
        <v>138</v>
      </c>
    </row>
    <row r="3042" spans="1:12" ht="13.5" x14ac:dyDescent="0.25">
      <c r="A3042" s="1930" t="s">
        <v>4646</v>
      </c>
      <c r="B3042" s="1930" t="s">
        <v>4647</v>
      </c>
      <c r="C3042" s="1930" t="s">
        <v>4648</v>
      </c>
      <c r="D3042" s="1930" t="s">
        <v>4649</v>
      </c>
      <c r="E3042" s="1931" t="s">
        <v>33</v>
      </c>
      <c r="F3042" s="1930" t="s">
        <v>33</v>
      </c>
      <c r="G3042" s="1932">
        <v>89714</v>
      </c>
      <c r="H3042" s="1930" t="s">
        <v>2263</v>
      </c>
      <c r="I3042" s="1930" t="s">
        <v>136</v>
      </c>
      <c r="J3042" s="1930" t="s">
        <v>320</v>
      </c>
      <c r="K3042" s="1933">
        <v>41.52</v>
      </c>
      <c r="L3042" s="1930" t="s">
        <v>138</v>
      </c>
    </row>
    <row r="3043" spans="1:12" ht="13.5" x14ac:dyDescent="0.25">
      <c r="A3043" s="1930" t="s">
        <v>4646</v>
      </c>
      <c r="B3043" s="1930" t="s">
        <v>4647</v>
      </c>
      <c r="C3043" s="1930" t="s">
        <v>4648</v>
      </c>
      <c r="D3043" s="1930" t="s">
        <v>4649</v>
      </c>
      <c r="E3043" s="1931" t="s">
        <v>33</v>
      </c>
      <c r="F3043" s="1930" t="s">
        <v>33</v>
      </c>
      <c r="G3043" s="1932">
        <v>89716</v>
      </c>
      <c r="H3043" s="1930" t="s">
        <v>2264</v>
      </c>
      <c r="I3043" s="1930" t="s">
        <v>136</v>
      </c>
      <c r="J3043" s="1930" t="s">
        <v>320</v>
      </c>
      <c r="K3043" s="1933">
        <v>15.09</v>
      </c>
      <c r="L3043" s="1930" t="s">
        <v>138</v>
      </c>
    </row>
    <row r="3044" spans="1:12" ht="13.5" x14ac:dyDescent="0.25">
      <c r="A3044" s="1930" t="s">
        <v>4646</v>
      </c>
      <c r="B3044" s="1930" t="s">
        <v>4647</v>
      </c>
      <c r="C3044" s="1930" t="s">
        <v>4648</v>
      </c>
      <c r="D3044" s="1930" t="s">
        <v>4649</v>
      </c>
      <c r="E3044" s="1931" t="s">
        <v>33</v>
      </c>
      <c r="F3044" s="1930" t="s">
        <v>33</v>
      </c>
      <c r="G3044" s="1932">
        <v>89717</v>
      </c>
      <c r="H3044" s="1930" t="s">
        <v>2265</v>
      </c>
      <c r="I3044" s="1930" t="s">
        <v>136</v>
      </c>
      <c r="J3044" s="1930" t="s">
        <v>320</v>
      </c>
      <c r="K3044" s="1933">
        <v>22.7</v>
      </c>
      <c r="L3044" s="1930" t="s">
        <v>138</v>
      </c>
    </row>
    <row r="3045" spans="1:12" ht="13.5" x14ac:dyDescent="0.25">
      <c r="A3045" s="1930" t="s">
        <v>4646</v>
      </c>
      <c r="B3045" s="1930" t="s">
        <v>4647</v>
      </c>
      <c r="C3045" s="1930" t="s">
        <v>4648</v>
      </c>
      <c r="D3045" s="1930" t="s">
        <v>4649</v>
      </c>
      <c r="E3045" s="1931" t="s">
        <v>33</v>
      </c>
      <c r="F3045" s="1930" t="s">
        <v>33</v>
      </c>
      <c r="G3045" s="1932">
        <v>89770</v>
      </c>
      <c r="H3045" s="1930" t="s">
        <v>2266</v>
      </c>
      <c r="I3045" s="1930" t="s">
        <v>136</v>
      </c>
      <c r="J3045" s="1930" t="s">
        <v>320</v>
      </c>
      <c r="K3045" s="1933">
        <v>23.53</v>
      </c>
      <c r="L3045" s="1930" t="s">
        <v>138</v>
      </c>
    </row>
    <row r="3046" spans="1:12" ht="13.5" x14ac:dyDescent="0.25">
      <c r="A3046" s="1930" t="s">
        <v>4646</v>
      </c>
      <c r="B3046" s="1930" t="s">
        <v>4647</v>
      </c>
      <c r="C3046" s="1930" t="s">
        <v>4648</v>
      </c>
      <c r="D3046" s="1930" t="s">
        <v>4649</v>
      </c>
      <c r="E3046" s="1931" t="s">
        <v>33</v>
      </c>
      <c r="F3046" s="1930" t="s">
        <v>33</v>
      </c>
      <c r="G3046" s="1932">
        <v>89771</v>
      </c>
      <c r="H3046" s="1930" t="s">
        <v>2267</v>
      </c>
      <c r="I3046" s="1930" t="s">
        <v>136</v>
      </c>
      <c r="J3046" s="1930" t="s">
        <v>320</v>
      </c>
      <c r="K3046" s="1933">
        <v>32.11</v>
      </c>
      <c r="L3046" s="1930" t="s">
        <v>138</v>
      </c>
    </row>
    <row r="3047" spans="1:12" ht="13.5" x14ac:dyDescent="0.25">
      <c r="A3047" s="1930" t="s">
        <v>4646</v>
      </c>
      <c r="B3047" s="1930" t="s">
        <v>4647</v>
      </c>
      <c r="C3047" s="1930" t="s">
        <v>4648</v>
      </c>
      <c r="D3047" s="1930" t="s">
        <v>4649</v>
      </c>
      <c r="E3047" s="1931" t="s">
        <v>33</v>
      </c>
      <c r="F3047" s="1930" t="s">
        <v>33</v>
      </c>
      <c r="G3047" s="1932">
        <v>89773</v>
      </c>
      <c r="H3047" s="1930" t="s">
        <v>2268</v>
      </c>
      <c r="I3047" s="1930" t="s">
        <v>136</v>
      </c>
      <c r="J3047" s="1930" t="s">
        <v>320</v>
      </c>
      <c r="K3047" s="1933">
        <v>74.599999999999994</v>
      </c>
      <c r="L3047" s="1930" t="s">
        <v>138</v>
      </c>
    </row>
    <row r="3048" spans="1:12" ht="13.5" x14ac:dyDescent="0.25">
      <c r="A3048" s="1930" t="s">
        <v>4646</v>
      </c>
      <c r="B3048" s="1930" t="s">
        <v>4647</v>
      </c>
      <c r="C3048" s="1930" t="s">
        <v>4648</v>
      </c>
      <c r="D3048" s="1930" t="s">
        <v>4649</v>
      </c>
      <c r="E3048" s="1931" t="s">
        <v>33</v>
      </c>
      <c r="F3048" s="1930" t="s">
        <v>33</v>
      </c>
      <c r="G3048" s="1932">
        <v>89775</v>
      </c>
      <c r="H3048" s="1930" t="s">
        <v>2269</v>
      </c>
      <c r="I3048" s="1930" t="s">
        <v>136</v>
      </c>
      <c r="J3048" s="1930" t="s">
        <v>320</v>
      </c>
      <c r="K3048" s="1933">
        <v>117.68</v>
      </c>
      <c r="L3048" s="1930" t="s">
        <v>138</v>
      </c>
    </row>
    <row r="3049" spans="1:12" ht="13.5" x14ac:dyDescent="0.25">
      <c r="A3049" s="1930" t="s">
        <v>4646</v>
      </c>
      <c r="B3049" s="1930" t="s">
        <v>4647</v>
      </c>
      <c r="C3049" s="1930" t="s">
        <v>4648</v>
      </c>
      <c r="D3049" s="1930" t="s">
        <v>4649</v>
      </c>
      <c r="E3049" s="1931" t="s">
        <v>33</v>
      </c>
      <c r="F3049" s="1930" t="s">
        <v>33</v>
      </c>
      <c r="G3049" s="1932">
        <v>89798</v>
      </c>
      <c r="H3049" s="1930" t="s">
        <v>2270</v>
      </c>
      <c r="I3049" s="1930" t="s">
        <v>136</v>
      </c>
      <c r="J3049" s="1930" t="s">
        <v>320</v>
      </c>
      <c r="K3049" s="1933">
        <v>8.35</v>
      </c>
      <c r="L3049" s="1930" t="s">
        <v>138</v>
      </c>
    </row>
    <row r="3050" spans="1:12" ht="13.5" x14ac:dyDescent="0.25">
      <c r="A3050" s="1930" t="s">
        <v>4646</v>
      </c>
      <c r="B3050" s="1930" t="s">
        <v>4647</v>
      </c>
      <c r="C3050" s="1930" t="s">
        <v>4648</v>
      </c>
      <c r="D3050" s="1930" t="s">
        <v>4649</v>
      </c>
      <c r="E3050" s="1931" t="s">
        <v>33</v>
      </c>
      <c r="F3050" s="1930" t="s">
        <v>33</v>
      </c>
      <c r="G3050" s="1932">
        <v>89799</v>
      </c>
      <c r="H3050" s="1930" t="s">
        <v>2271</v>
      </c>
      <c r="I3050" s="1930" t="s">
        <v>136</v>
      </c>
      <c r="J3050" s="1930" t="s">
        <v>320</v>
      </c>
      <c r="K3050" s="1933">
        <v>13.89</v>
      </c>
      <c r="L3050" s="1930" t="s">
        <v>138</v>
      </c>
    </row>
    <row r="3051" spans="1:12" ht="13.5" x14ac:dyDescent="0.25">
      <c r="A3051" s="1930" t="s">
        <v>4646</v>
      </c>
      <c r="B3051" s="1930" t="s">
        <v>4647</v>
      </c>
      <c r="C3051" s="1930" t="s">
        <v>4648</v>
      </c>
      <c r="D3051" s="1930" t="s">
        <v>4649</v>
      </c>
      <c r="E3051" s="1931" t="s">
        <v>33</v>
      </c>
      <c r="F3051" s="1930" t="s">
        <v>33</v>
      </c>
      <c r="G3051" s="1932">
        <v>89800</v>
      </c>
      <c r="H3051" s="1930" t="s">
        <v>2272</v>
      </c>
      <c r="I3051" s="1930" t="s">
        <v>136</v>
      </c>
      <c r="J3051" s="1930" t="s">
        <v>320</v>
      </c>
      <c r="K3051" s="1933">
        <v>17.34</v>
      </c>
      <c r="L3051" s="1930" t="s">
        <v>138</v>
      </c>
    </row>
    <row r="3052" spans="1:12" ht="13.5" x14ac:dyDescent="0.25">
      <c r="A3052" s="1930" t="s">
        <v>4646</v>
      </c>
      <c r="B3052" s="1930" t="s">
        <v>4647</v>
      </c>
      <c r="C3052" s="1930" t="s">
        <v>4648</v>
      </c>
      <c r="D3052" s="1930" t="s">
        <v>4649</v>
      </c>
      <c r="E3052" s="1931" t="s">
        <v>33</v>
      </c>
      <c r="F3052" s="1930" t="s">
        <v>33</v>
      </c>
      <c r="G3052" s="1932">
        <v>89848</v>
      </c>
      <c r="H3052" s="1930" t="s">
        <v>2273</v>
      </c>
      <c r="I3052" s="1930" t="s">
        <v>136</v>
      </c>
      <c r="J3052" s="1930" t="s">
        <v>320</v>
      </c>
      <c r="K3052" s="1933">
        <v>21.58</v>
      </c>
      <c r="L3052" s="1930" t="s">
        <v>138</v>
      </c>
    </row>
    <row r="3053" spans="1:12" ht="13.5" x14ac:dyDescent="0.25">
      <c r="A3053" s="1930" t="s">
        <v>4646</v>
      </c>
      <c r="B3053" s="1930" t="s">
        <v>4647</v>
      </c>
      <c r="C3053" s="1930" t="s">
        <v>4648</v>
      </c>
      <c r="D3053" s="1930" t="s">
        <v>4649</v>
      </c>
      <c r="E3053" s="1931" t="s">
        <v>33</v>
      </c>
      <c r="F3053" s="1930" t="s">
        <v>33</v>
      </c>
      <c r="G3053" s="1932">
        <v>89849</v>
      </c>
      <c r="H3053" s="1930" t="s">
        <v>2274</v>
      </c>
      <c r="I3053" s="1930" t="s">
        <v>136</v>
      </c>
      <c r="J3053" s="1930" t="s">
        <v>320</v>
      </c>
      <c r="K3053" s="1933">
        <v>41.28</v>
      </c>
      <c r="L3053" s="1930" t="s">
        <v>138</v>
      </c>
    </row>
    <row r="3054" spans="1:12" ht="13.5" x14ac:dyDescent="0.25">
      <c r="A3054" s="1930" t="s">
        <v>4646</v>
      </c>
      <c r="B3054" s="1930" t="s">
        <v>4647</v>
      </c>
      <c r="C3054" s="1930" t="s">
        <v>4648</v>
      </c>
      <c r="D3054" s="1930" t="s">
        <v>4649</v>
      </c>
      <c r="E3054" s="1931" t="s">
        <v>33</v>
      </c>
      <c r="F3054" s="1930" t="s">
        <v>33</v>
      </c>
      <c r="G3054" s="1932">
        <v>89865</v>
      </c>
      <c r="H3054" s="1930" t="s">
        <v>2275</v>
      </c>
      <c r="I3054" s="1930" t="s">
        <v>136</v>
      </c>
      <c r="J3054" s="1930" t="s">
        <v>320</v>
      </c>
      <c r="K3054" s="1933">
        <v>9.7100000000000009</v>
      </c>
      <c r="L3054" s="1930" t="s">
        <v>138</v>
      </c>
    </row>
    <row r="3055" spans="1:12" ht="13.5" x14ac:dyDescent="0.25">
      <c r="A3055" s="1930" t="s">
        <v>4646</v>
      </c>
      <c r="B3055" s="1930" t="s">
        <v>4647</v>
      </c>
      <c r="C3055" s="1930" t="s">
        <v>4648</v>
      </c>
      <c r="D3055" s="1930" t="s">
        <v>4649</v>
      </c>
      <c r="E3055" s="1931" t="s">
        <v>33</v>
      </c>
      <c r="F3055" s="1930" t="s">
        <v>33</v>
      </c>
      <c r="G3055" s="1932">
        <v>91784</v>
      </c>
      <c r="H3055" s="1930" t="s">
        <v>2276</v>
      </c>
      <c r="I3055" s="1930" t="s">
        <v>136</v>
      </c>
      <c r="J3055" s="1930" t="s">
        <v>320</v>
      </c>
      <c r="K3055" s="1933">
        <v>32.549999999999997</v>
      </c>
      <c r="L3055" s="1930" t="s">
        <v>138</v>
      </c>
    </row>
    <row r="3056" spans="1:12" ht="13.5" x14ac:dyDescent="0.25">
      <c r="A3056" s="1930" t="s">
        <v>4646</v>
      </c>
      <c r="B3056" s="1930" t="s">
        <v>4647</v>
      </c>
      <c r="C3056" s="1930" t="s">
        <v>4648</v>
      </c>
      <c r="D3056" s="1930" t="s">
        <v>4649</v>
      </c>
      <c r="E3056" s="1931" t="s">
        <v>33</v>
      </c>
      <c r="F3056" s="1930" t="s">
        <v>33</v>
      </c>
      <c r="G3056" s="1932">
        <v>91785</v>
      </c>
      <c r="H3056" s="1930" t="s">
        <v>2277</v>
      </c>
      <c r="I3056" s="1930" t="s">
        <v>136</v>
      </c>
      <c r="J3056" s="1930" t="s">
        <v>137</v>
      </c>
      <c r="K3056" s="1933">
        <v>32.159999999999997</v>
      </c>
      <c r="L3056" s="1930" t="s">
        <v>138</v>
      </c>
    </row>
    <row r="3057" spans="1:12" ht="13.5" x14ac:dyDescent="0.25">
      <c r="A3057" s="1930" t="s">
        <v>4646</v>
      </c>
      <c r="B3057" s="1930" t="s">
        <v>4647</v>
      </c>
      <c r="C3057" s="1930" t="s">
        <v>4648</v>
      </c>
      <c r="D3057" s="1930" t="s">
        <v>4649</v>
      </c>
      <c r="E3057" s="1931" t="s">
        <v>33</v>
      </c>
      <c r="F3057" s="1930" t="s">
        <v>33</v>
      </c>
      <c r="G3057" s="1932">
        <v>91786</v>
      </c>
      <c r="H3057" s="1930" t="s">
        <v>2278</v>
      </c>
      <c r="I3057" s="1930" t="s">
        <v>136</v>
      </c>
      <c r="J3057" s="1930" t="s">
        <v>137</v>
      </c>
      <c r="K3057" s="1933">
        <v>21.16</v>
      </c>
      <c r="L3057" s="1930" t="s">
        <v>138</v>
      </c>
    </row>
    <row r="3058" spans="1:12" ht="13.5" x14ac:dyDescent="0.25">
      <c r="A3058" s="1930" t="s">
        <v>4646</v>
      </c>
      <c r="B3058" s="1930" t="s">
        <v>4647</v>
      </c>
      <c r="C3058" s="1930" t="s">
        <v>4648</v>
      </c>
      <c r="D3058" s="1930" t="s">
        <v>4649</v>
      </c>
      <c r="E3058" s="1931" t="s">
        <v>33</v>
      </c>
      <c r="F3058" s="1930" t="s">
        <v>33</v>
      </c>
      <c r="G3058" s="1932">
        <v>91787</v>
      </c>
      <c r="H3058" s="1930" t="s">
        <v>2279</v>
      </c>
      <c r="I3058" s="1930" t="s">
        <v>136</v>
      </c>
      <c r="J3058" s="1930" t="s">
        <v>137</v>
      </c>
      <c r="K3058" s="1933">
        <v>22.92</v>
      </c>
      <c r="L3058" s="1930" t="s">
        <v>138</v>
      </c>
    </row>
    <row r="3059" spans="1:12" ht="13.5" x14ac:dyDescent="0.25">
      <c r="A3059" s="1930" t="s">
        <v>4646</v>
      </c>
      <c r="B3059" s="1930" t="s">
        <v>4647</v>
      </c>
      <c r="C3059" s="1930" t="s">
        <v>4648</v>
      </c>
      <c r="D3059" s="1930" t="s">
        <v>4649</v>
      </c>
      <c r="E3059" s="1931" t="s">
        <v>33</v>
      </c>
      <c r="F3059" s="1930" t="s">
        <v>33</v>
      </c>
      <c r="G3059" s="1932">
        <v>91788</v>
      </c>
      <c r="H3059" s="1930" t="s">
        <v>2280</v>
      </c>
      <c r="I3059" s="1930" t="s">
        <v>136</v>
      </c>
      <c r="J3059" s="1930" t="s">
        <v>137</v>
      </c>
      <c r="K3059" s="1933">
        <v>29.54</v>
      </c>
      <c r="L3059" s="1930" t="s">
        <v>138</v>
      </c>
    </row>
    <row r="3060" spans="1:12" ht="13.5" x14ac:dyDescent="0.25">
      <c r="A3060" s="1930" t="s">
        <v>4646</v>
      </c>
      <c r="B3060" s="1930" t="s">
        <v>4647</v>
      </c>
      <c r="C3060" s="1930" t="s">
        <v>4648</v>
      </c>
      <c r="D3060" s="1930" t="s">
        <v>4649</v>
      </c>
      <c r="E3060" s="1931" t="s">
        <v>33</v>
      </c>
      <c r="F3060" s="1930" t="s">
        <v>33</v>
      </c>
      <c r="G3060" s="1932">
        <v>91789</v>
      </c>
      <c r="H3060" s="1930" t="s">
        <v>2281</v>
      </c>
      <c r="I3060" s="1930" t="s">
        <v>136</v>
      </c>
      <c r="J3060" s="1930" t="s">
        <v>320</v>
      </c>
      <c r="K3060" s="1933">
        <v>30.65</v>
      </c>
      <c r="L3060" s="1930" t="s">
        <v>138</v>
      </c>
    </row>
    <row r="3061" spans="1:12" ht="13.5" x14ac:dyDescent="0.25">
      <c r="A3061" s="1930" t="s">
        <v>4646</v>
      </c>
      <c r="B3061" s="1930" t="s">
        <v>4647</v>
      </c>
      <c r="C3061" s="1930" t="s">
        <v>4648</v>
      </c>
      <c r="D3061" s="1930" t="s">
        <v>4649</v>
      </c>
      <c r="E3061" s="1931" t="s">
        <v>33</v>
      </c>
      <c r="F3061" s="1930" t="s">
        <v>33</v>
      </c>
      <c r="G3061" s="1932">
        <v>91790</v>
      </c>
      <c r="H3061" s="1930" t="s">
        <v>2282</v>
      </c>
      <c r="I3061" s="1930" t="s">
        <v>136</v>
      </c>
      <c r="J3061" s="1930" t="s">
        <v>137</v>
      </c>
      <c r="K3061" s="1933">
        <v>47.11</v>
      </c>
      <c r="L3061" s="1930" t="s">
        <v>138</v>
      </c>
    </row>
    <row r="3062" spans="1:12" ht="13.5" x14ac:dyDescent="0.25">
      <c r="A3062" s="1930" t="s">
        <v>4646</v>
      </c>
      <c r="B3062" s="1930" t="s">
        <v>4647</v>
      </c>
      <c r="C3062" s="1930" t="s">
        <v>4648</v>
      </c>
      <c r="D3062" s="1930" t="s">
        <v>4649</v>
      </c>
      <c r="E3062" s="1931" t="s">
        <v>33</v>
      </c>
      <c r="F3062" s="1930" t="s">
        <v>33</v>
      </c>
      <c r="G3062" s="1932">
        <v>91791</v>
      </c>
      <c r="H3062" s="1930" t="s">
        <v>2283</v>
      </c>
      <c r="I3062" s="1930" t="s">
        <v>136</v>
      </c>
      <c r="J3062" s="1930" t="s">
        <v>137</v>
      </c>
      <c r="K3062" s="1933">
        <v>60.76</v>
      </c>
      <c r="L3062" s="1930" t="s">
        <v>138</v>
      </c>
    </row>
    <row r="3063" spans="1:12" ht="13.5" x14ac:dyDescent="0.25">
      <c r="A3063" s="1930" t="s">
        <v>4646</v>
      </c>
      <c r="B3063" s="1930" t="s">
        <v>4647</v>
      </c>
      <c r="C3063" s="1930" t="s">
        <v>4648</v>
      </c>
      <c r="D3063" s="1930" t="s">
        <v>4649</v>
      </c>
      <c r="E3063" s="1931" t="s">
        <v>33</v>
      </c>
      <c r="F3063" s="1930" t="s">
        <v>33</v>
      </c>
      <c r="G3063" s="1932">
        <v>91792</v>
      </c>
      <c r="H3063" s="1930" t="s">
        <v>2284</v>
      </c>
      <c r="I3063" s="1930" t="s">
        <v>136</v>
      </c>
      <c r="J3063" s="1930" t="s">
        <v>137</v>
      </c>
      <c r="K3063" s="1933">
        <v>42.67</v>
      </c>
      <c r="L3063" s="1930" t="s">
        <v>138</v>
      </c>
    </row>
    <row r="3064" spans="1:12" ht="13.5" x14ac:dyDescent="0.25">
      <c r="A3064" s="1930" t="s">
        <v>4646</v>
      </c>
      <c r="B3064" s="1930" t="s">
        <v>4647</v>
      </c>
      <c r="C3064" s="1930" t="s">
        <v>4648</v>
      </c>
      <c r="D3064" s="1930" t="s">
        <v>4649</v>
      </c>
      <c r="E3064" s="1931" t="s">
        <v>33</v>
      </c>
      <c r="F3064" s="1930" t="s">
        <v>33</v>
      </c>
      <c r="G3064" s="1932">
        <v>91793</v>
      </c>
      <c r="H3064" s="1930" t="s">
        <v>2285</v>
      </c>
      <c r="I3064" s="1930" t="s">
        <v>136</v>
      </c>
      <c r="J3064" s="1930" t="s">
        <v>137</v>
      </c>
      <c r="K3064" s="1933">
        <v>62.43</v>
      </c>
      <c r="L3064" s="1930" t="s">
        <v>138</v>
      </c>
    </row>
    <row r="3065" spans="1:12" ht="13.5" x14ac:dyDescent="0.25">
      <c r="A3065" s="1930" t="s">
        <v>4646</v>
      </c>
      <c r="B3065" s="1930" t="s">
        <v>4647</v>
      </c>
      <c r="C3065" s="1930" t="s">
        <v>4648</v>
      </c>
      <c r="D3065" s="1930" t="s">
        <v>4649</v>
      </c>
      <c r="E3065" s="1931" t="s">
        <v>33</v>
      </c>
      <c r="F3065" s="1930" t="s">
        <v>33</v>
      </c>
      <c r="G3065" s="1932">
        <v>91794</v>
      </c>
      <c r="H3065" s="1930" t="s">
        <v>2286</v>
      </c>
      <c r="I3065" s="1930" t="s">
        <v>136</v>
      </c>
      <c r="J3065" s="1930" t="s">
        <v>137</v>
      </c>
      <c r="K3065" s="1933">
        <v>28.44</v>
      </c>
      <c r="L3065" s="1930" t="s">
        <v>138</v>
      </c>
    </row>
    <row r="3066" spans="1:12" ht="13.5" x14ac:dyDescent="0.25">
      <c r="A3066" s="1930" t="s">
        <v>4646</v>
      </c>
      <c r="B3066" s="1930" t="s">
        <v>4647</v>
      </c>
      <c r="C3066" s="1930" t="s">
        <v>4648</v>
      </c>
      <c r="D3066" s="1930" t="s">
        <v>4649</v>
      </c>
      <c r="E3066" s="1931" t="s">
        <v>33</v>
      </c>
      <c r="F3066" s="1930" t="s">
        <v>33</v>
      </c>
      <c r="G3066" s="1932">
        <v>91795</v>
      </c>
      <c r="H3066" s="1930" t="s">
        <v>2287</v>
      </c>
      <c r="I3066" s="1930" t="s">
        <v>136</v>
      </c>
      <c r="J3066" s="1930" t="s">
        <v>137</v>
      </c>
      <c r="K3066" s="1933">
        <v>48.28</v>
      </c>
      <c r="L3066" s="1930" t="s">
        <v>138</v>
      </c>
    </row>
    <row r="3067" spans="1:12" ht="13.5" x14ac:dyDescent="0.25">
      <c r="A3067" s="1930" t="s">
        <v>4646</v>
      </c>
      <c r="B3067" s="1930" t="s">
        <v>4647</v>
      </c>
      <c r="C3067" s="1930" t="s">
        <v>4648</v>
      </c>
      <c r="D3067" s="1930" t="s">
        <v>4649</v>
      </c>
      <c r="E3067" s="1931" t="s">
        <v>33</v>
      </c>
      <c r="F3067" s="1930" t="s">
        <v>33</v>
      </c>
      <c r="G3067" s="1932">
        <v>91796</v>
      </c>
      <c r="H3067" s="1930" t="s">
        <v>2288</v>
      </c>
      <c r="I3067" s="1930" t="s">
        <v>136</v>
      </c>
      <c r="J3067" s="1930" t="s">
        <v>320</v>
      </c>
      <c r="K3067" s="1933">
        <v>51.68</v>
      </c>
      <c r="L3067" s="1930" t="s">
        <v>138</v>
      </c>
    </row>
    <row r="3068" spans="1:12" ht="13.5" x14ac:dyDescent="0.25">
      <c r="A3068" s="1930" t="s">
        <v>4646</v>
      </c>
      <c r="B3068" s="1930" t="s">
        <v>4647</v>
      </c>
      <c r="C3068" s="1930" t="s">
        <v>4648</v>
      </c>
      <c r="D3068" s="1930" t="s">
        <v>4649</v>
      </c>
      <c r="E3068" s="1931" t="s">
        <v>33</v>
      </c>
      <c r="F3068" s="1930" t="s">
        <v>33</v>
      </c>
      <c r="G3068" s="1932">
        <v>92275</v>
      </c>
      <c r="H3068" s="1930" t="s">
        <v>6405</v>
      </c>
      <c r="I3068" s="1930" t="s">
        <v>136</v>
      </c>
      <c r="J3068" s="1930" t="s">
        <v>137</v>
      </c>
      <c r="K3068" s="1933">
        <v>35.700000000000003</v>
      </c>
      <c r="L3068" s="1930" t="s">
        <v>138</v>
      </c>
    </row>
    <row r="3069" spans="1:12" ht="13.5" x14ac:dyDescent="0.25">
      <c r="A3069" s="1930" t="s">
        <v>4646</v>
      </c>
      <c r="B3069" s="1930" t="s">
        <v>4647</v>
      </c>
      <c r="C3069" s="1930" t="s">
        <v>4648</v>
      </c>
      <c r="D3069" s="1930" t="s">
        <v>4649</v>
      </c>
      <c r="E3069" s="1931" t="s">
        <v>33</v>
      </c>
      <c r="F3069" s="1930" t="s">
        <v>33</v>
      </c>
      <c r="G3069" s="1932">
        <v>92276</v>
      </c>
      <c r="H3069" s="1930" t="s">
        <v>6406</v>
      </c>
      <c r="I3069" s="1930" t="s">
        <v>136</v>
      </c>
      <c r="J3069" s="1930" t="s">
        <v>137</v>
      </c>
      <c r="K3069" s="1933">
        <v>45.19</v>
      </c>
      <c r="L3069" s="1930" t="s">
        <v>138</v>
      </c>
    </row>
    <row r="3070" spans="1:12" ht="13.5" x14ac:dyDescent="0.25">
      <c r="A3070" s="1930" t="s">
        <v>4646</v>
      </c>
      <c r="B3070" s="1930" t="s">
        <v>4647</v>
      </c>
      <c r="C3070" s="1930" t="s">
        <v>4648</v>
      </c>
      <c r="D3070" s="1930" t="s">
        <v>4649</v>
      </c>
      <c r="E3070" s="1931" t="s">
        <v>33</v>
      </c>
      <c r="F3070" s="1930" t="s">
        <v>33</v>
      </c>
      <c r="G3070" s="1932">
        <v>92277</v>
      </c>
      <c r="H3070" s="1930" t="s">
        <v>6407</v>
      </c>
      <c r="I3070" s="1930" t="s">
        <v>136</v>
      </c>
      <c r="J3070" s="1930" t="s">
        <v>137</v>
      </c>
      <c r="K3070" s="1933">
        <v>65.08</v>
      </c>
      <c r="L3070" s="1930" t="s">
        <v>138</v>
      </c>
    </row>
    <row r="3071" spans="1:12" ht="13.5" x14ac:dyDescent="0.25">
      <c r="A3071" s="1930" t="s">
        <v>4646</v>
      </c>
      <c r="B3071" s="1930" t="s">
        <v>4647</v>
      </c>
      <c r="C3071" s="1930" t="s">
        <v>4648</v>
      </c>
      <c r="D3071" s="1930" t="s">
        <v>4649</v>
      </c>
      <c r="E3071" s="1931" t="s">
        <v>33</v>
      </c>
      <c r="F3071" s="1930" t="s">
        <v>33</v>
      </c>
      <c r="G3071" s="1932">
        <v>92278</v>
      </c>
      <c r="H3071" s="1930" t="s">
        <v>6408</v>
      </c>
      <c r="I3071" s="1930" t="s">
        <v>136</v>
      </c>
      <c r="J3071" s="1930" t="s">
        <v>137</v>
      </c>
      <c r="K3071" s="1933">
        <v>87.43</v>
      </c>
      <c r="L3071" s="1930" t="s">
        <v>138</v>
      </c>
    </row>
    <row r="3072" spans="1:12" ht="13.5" x14ac:dyDescent="0.25">
      <c r="A3072" s="1930" t="s">
        <v>4646</v>
      </c>
      <c r="B3072" s="1930" t="s">
        <v>4647</v>
      </c>
      <c r="C3072" s="1930" t="s">
        <v>4648</v>
      </c>
      <c r="D3072" s="1930" t="s">
        <v>4649</v>
      </c>
      <c r="E3072" s="1931" t="s">
        <v>33</v>
      </c>
      <c r="F3072" s="1930" t="s">
        <v>33</v>
      </c>
      <c r="G3072" s="1932">
        <v>92279</v>
      </c>
      <c r="H3072" s="1930" t="s">
        <v>6409</v>
      </c>
      <c r="I3072" s="1930" t="s">
        <v>136</v>
      </c>
      <c r="J3072" s="1930" t="s">
        <v>137</v>
      </c>
      <c r="K3072" s="1933">
        <v>126.24</v>
      </c>
      <c r="L3072" s="1930" t="s">
        <v>138</v>
      </c>
    </row>
    <row r="3073" spans="1:12" ht="13.5" x14ac:dyDescent="0.25">
      <c r="A3073" s="1930" t="s">
        <v>4646</v>
      </c>
      <c r="B3073" s="1930" t="s">
        <v>4647</v>
      </c>
      <c r="C3073" s="1930" t="s">
        <v>4648</v>
      </c>
      <c r="D3073" s="1930" t="s">
        <v>4649</v>
      </c>
      <c r="E3073" s="1931" t="s">
        <v>33</v>
      </c>
      <c r="F3073" s="1930" t="s">
        <v>33</v>
      </c>
      <c r="G3073" s="1932">
        <v>92280</v>
      </c>
      <c r="H3073" s="1930" t="s">
        <v>6410</v>
      </c>
      <c r="I3073" s="1930" t="s">
        <v>136</v>
      </c>
      <c r="J3073" s="1930" t="s">
        <v>137</v>
      </c>
      <c r="K3073" s="1933">
        <v>177.08</v>
      </c>
      <c r="L3073" s="1930" t="s">
        <v>138</v>
      </c>
    </row>
    <row r="3074" spans="1:12" ht="13.5" x14ac:dyDescent="0.25">
      <c r="A3074" s="1930" t="s">
        <v>4646</v>
      </c>
      <c r="B3074" s="1930" t="s">
        <v>4647</v>
      </c>
      <c r="C3074" s="1930" t="s">
        <v>4648</v>
      </c>
      <c r="D3074" s="1930" t="s">
        <v>4649</v>
      </c>
      <c r="E3074" s="1931" t="s">
        <v>33</v>
      </c>
      <c r="F3074" s="1930" t="s">
        <v>33</v>
      </c>
      <c r="G3074" s="1932">
        <v>92281</v>
      </c>
      <c r="H3074" s="1930" t="s">
        <v>6411</v>
      </c>
      <c r="I3074" s="1930" t="s">
        <v>136</v>
      </c>
      <c r="J3074" s="1930" t="s">
        <v>137</v>
      </c>
      <c r="K3074" s="1933">
        <v>96.31</v>
      </c>
      <c r="L3074" s="1930" t="s">
        <v>138</v>
      </c>
    </row>
    <row r="3075" spans="1:12" ht="13.5" x14ac:dyDescent="0.25">
      <c r="A3075" s="1930" t="s">
        <v>4646</v>
      </c>
      <c r="B3075" s="1930" t="s">
        <v>4647</v>
      </c>
      <c r="C3075" s="1930" t="s">
        <v>4648</v>
      </c>
      <c r="D3075" s="1930" t="s">
        <v>4649</v>
      </c>
      <c r="E3075" s="1931" t="s">
        <v>33</v>
      </c>
      <c r="F3075" s="1930" t="s">
        <v>33</v>
      </c>
      <c r="G3075" s="1932">
        <v>92282</v>
      </c>
      <c r="H3075" s="1930" t="s">
        <v>6412</v>
      </c>
      <c r="I3075" s="1930" t="s">
        <v>136</v>
      </c>
      <c r="J3075" s="1930" t="s">
        <v>137</v>
      </c>
      <c r="K3075" s="1933">
        <v>108.22</v>
      </c>
      <c r="L3075" s="1930" t="s">
        <v>138</v>
      </c>
    </row>
    <row r="3076" spans="1:12" ht="13.5" x14ac:dyDescent="0.25">
      <c r="A3076" s="1930" t="s">
        <v>4646</v>
      </c>
      <c r="B3076" s="1930" t="s">
        <v>4647</v>
      </c>
      <c r="C3076" s="1930" t="s">
        <v>4648</v>
      </c>
      <c r="D3076" s="1930" t="s">
        <v>4649</v>
      </c>
      <c r="E3076" s="1931" t="s">
        <v>33</v>
      </c>
      <c r="F3076" s="1930" t="s">
        <v>33</v>
      </c>
      <c r="G3076" s="1932">
        <v>92283</v>
      </c>
      <c r="H3076" s="1930" t="s">
        <v>6413</v>
      </c>
      <c r="I3076" s="1930" t="s">
        <v>136</v>
      </c>
      <c r="J3076" s="1930" t="s">
        <v>137</v>
      </c>
      <c r="K3076" s="1933">
        <v>144.77000000000001</v>
      </c>
      <c r="L3076" s="1930" t="s">
        <v>138</v>
      </c>
    </row>
    <row r="3077" spans="1:12" ht="13.5" x14ac:dyDescent="0.25">
      <c r="A3077" s="1930" t="s">
        <v>4646</v>
      </c>
      <c r="B3077" s="1930" t="s">
        <v>4647</v>
      </c>
      <c r="C3077" s="1930" t="s">
        <v>4648</v>
      </c>
      <c r="D3077" s="1930" t="s">
        <v>4649</v>
      </c>
      <c r="E3077" s="1931" t="s">
        <v>33</v>
      </c>
      <c r="F3077" s="1930" t="s">
        <v>33</v>
      </c>
      <c r="G3077" s="1932">
        <v>92284</v>
      </c>
      <c r="H3077" s="1930" t="s">
        <v>6414</v>
      </c>
      <c r="I3077" s="1930" t="s">
        <v>136</v>
      </c>
      <c r="J3077" s="1930" t="s">
        <v>137</v>
      </c>
      <c r="K3077" s="1933">
        <v>178.31</v>
      </c>
      <c r="L3077" s="1930" t="s">
        <v>138</v>
      </c>
    </row>
    <row r="3078" spans="1:12" ht="13.5" x14ac:dyDescent="0.25">
      <c r="A3078" s="1930" t="s">
        <v>4646</v>
      </c>
      <c r="B3078" s="1930" t="s">
        <v>4647</v>
      </c>
      <c r="C3078" s="1930" t="s">
        <v>4648</v>
      </c>
      <c r="D3078" s="1930" t="s">
        <v>4649</v>
      </c>
      <c r="E3078" s="1931" t="s">
        <v>33</v>
      </c>
      <c r="F3078" s="1930" t="s">
        <v>33</v>
      </c>
      <c r="G3078" s="1932">
        <v>92285</v>
      </c>
      <c r="H3078" s="1930" t="s">
        <v>6415</v>
      </c>
      <c r="I3078" s="1930" t="s">
        <v>136</v>
      </c>
      <c r="J3078" s="1930" t="s">
        <v>137</v>
      </c>
      <c r="K3078" s="1933">
        <v>234.79</v>
      </c>
      <c r="L3078" s="1930" t="s">
        <v>138</v>
      </c>
    </row>
    <row r="3079" spans="1:12" ht="13.5" x14ac:dyDescent="0.25">
      <c r="A3079" s="1930" t="s">
        <v>4646</v>
      </c>
      <c r="B3079" s="1930" t="s">
        <v>4647</v>
      </c>
      <c r="C3079" s="1930" t="s">
        <v>4648</v>
      </c>
      <c r="D3079" s="1930" t="s">
        <v>4649</v>
      </c>
      <c r="E3079" s="1931" t="s">
        <v>33</v>
      </c>
      <c r="F3079" s="1930" t="s">
        <v>33</v>
      </c>
      <c r="G3079" s="1932">
        <v>92286</v>
      </c>
      <c r="H3079" s="1930" t="s">
        <v>6416</v>
      </c>
      <c r="I3079" s="1930" t="s">
        <v>136</v>
      </c>
      <c r="J3079" s="1930" t="s">
        <v>137</v>
      </c>
      <c r="K3079" s="1933">
        <v>287.17</v>
      </c>
      <c r="L3079" s="1930" t="s">
        <v>138</v>
      </c>
    </row>
    <row r="3080" spans="1:12" ht="13.5" x14ac:dyDescent="0.25">
      <c r="A3080" s="1930" t="s">
        <v>4646</v>
      </c>
      <c r="B3080" s="1930" t="s">
        <v>4647</v>
      </c>
      <c r="C3080" s="1930" t="s">
        <v>4648</v>
      </c>
      <c r="D3080" s="1930" t="s">
        <v>4649</v>
      </c>
      <c r="E3080" s="1931" t="s">
        <v>33</v>
      </c>
      <c r="F3080" s="1930" t="s">
        <v>33</v>
      </c>
      <c r="G3080" s="1932">
        <v>92305</v>
      </c>
      <c r="H3080" s="1930" t="s">
        <v>6417</v>
      </c>
      <c r="I3080" s="1930" t="s">
        <v>136</v>
      </c>
      <c r="J3080" s="1930" t="s">
        <v>137</v>
      </c>
      <c r="K3080" s="1933">
        <v>24.19</v>
      </c>
      <c r="L3080" s="1930" t="s">
        <v>138</v>
      </c>
    </row>
    <row r="3081" spans="1:12" ht="13.5" x14ac:dyDescent="0.25">
      <c r="A3081" s="1930" t="s">
        <v>4646</v>
      </c>
      <c r="B3081" s="1930" t="s">
        <v>4647</v>
      </c>
      <c r="C3081" s="1930" t="s">
        <v>4648</v>
      </c>
      <c r="D3081" s="1930" t="s">
        <v>4649</v>
      </c>
      <c r="E3081" s="1931" t="s">
        <v>33</v>
      </c>
      <c r="F3081" s="1930" t="s">
        <v>33</v>
      </c>
      <c r="G3081" s="1932">
        <v>92306</v>
      </c>
      <c r="H3081" s="1930" t="s">
        <v>6418</v>
      </c>
      <c r="I3081" s="1930" t="s">
        <v>136</v>
      </c>
      <c r="J3081" s="1930" t="s">
        <v>137</v>
      </c>
      <c r="K3081" s="1933">
        <v>39.119999999999997</v>
      </c>
      <c r="L3081" s="1930" t="s">
        <v>138</v>
      </c>
    </row>
    <row r="3082" spans="1:12" ht="13.5" x14ac:dyDescent="0.25">
      <c r="A3082" s="1930" t="s">
        <v>4646</v>
      </c>
      <c r="B3082" s="1930" t="s">
        <v>4647</v>
      </c>
      <c r="C3082" s="1930" t="s">
        <v>4648</v>
      </c>
      <c r="D3082" s="1930" t="s">
        <v>4649</v>
      </c>
      <c r="E3082" s="1931" t="s">
        <v>33</v>
      </c>
      <c r="F3082" s="1930" t="s">
        <v>33</v>
      </c>
      <c r="G3082" s="1932">
        <v>92307</v>
      </c>
      <c r="H3082" s="1930" t="s">
        <v>6419</v>
      </c>
      <c r="I3082" s="1930" t="s">
        <v>136</v>
      </c>
      <c r="J3082" s="1930" t="s">
        <v>137</v>
      </c>
      <c r="K3082" s="1933">
        <v>48.85</v>
      </c>
      <c r="L3082" s="1930" t="s">
        <v>138</v>
      </c>
    </row>
    <row r="3083" spans="1:12" ht="13.5" x14ac:dyDescent="0.25">
      <c r="A3083" s="1930" t="s">
        <v>4646</v>
      </c>
      <c r="B3083" s="1930" t="s">
        <v>4647</v>
      </c>
      <c r="C3083" s="1930" t="s">
        <v>4648</v>
      </c>
      <c r="D3083" s="1930" t="s">
        <v>4649</v>
      </c>
      <c r="E3083" s="1931" t="s">
        <v>33</v>
      </c>
      <c r="F3083" s="1930" t="s">
        <v>33</v>
      </c>
      <c r="G3083" s="1932">
        <v>92308</v>
      </c>
      <c r="H3083" s="1930" t="s">
        <v>6420</v>
      </c>
      <c r="I3083" s="1930" t="s">
        <v>136</v>
      </c>
      <c r="J3083" s="1930" t="s">
        <v>137</v>
      </c>
      <c r="K3083" s="1933">
        <v>38.78</v>
      </c>
      <c r="L3083" s="1930" t="s">
        <v>138</v>
      </c>
    </row>
    <row r="3084" spans="1:12" ht="13.5" x14ac:dyDescent="0.25">
      <c r="A3084" s="1930" t="s">
        <v>4646</v>
      </c>
      <c r="B3084" s="1930" t="s">
        <v>4647</v>
      </c>
      <c r="C3084" s="1930" t="s">
        <v>4648</v>
      </c>
      <c r="D3084" s="1930" t="s">
        <v>4649</v>
      </c>
      <c r="E3084" s="1931" t="s">
        <v>33</v>
      </c>
      <c r="F3084" s="1930" t="s">
        <v>33</v>
      </c>
      <c r="G3084" s="1932">
        <v>92309</v>
      </c>
      <c r="H3084" s="1930" t="s">
        <v>6421</v>
      </c>
      <c r="I3084" s="1930" t="s">
        <v>136</v>
      </c>
      <c r="J3084" s="1930" t="s">
        <v>137</v>
      </c>
      <c r="K3084" s="1933">
        <v>101.46</v>
      </c>
      <c r="L3084" s="1930" t="s">
        <v>138</v>
      </c>
    </row>
    <row r="3085" spans="1:12" ht="13.5" x14ac:dyDescent="0.25">
      <c r="A3085" s="1930" t="s">
        <v>4646</v>
      </c>
      <c r="B3085" s="1930" t="s">
        <v>4647</v>
      </c>
      <c r="C3085" s="1930" t="s">
        <v>4648</v>
      </c>
      <c r="D3085" s="1930" t="s">
        <v>4649</v>
      </c>
      <c r="E3085" s="1931" t="s">
        <v>33</v>
      </c>
      <c r="F3085" s="1930" t="s">
        <v>33</v>
      </c>
      <c r="G3085" s="1932">
        <v>92310</v>
      </c>
      <c r="H3085" s="1930" t="s">
        <v>6422</v>
      </c>
      <c r="I3085" s="1930" t="s">
        <v>136</v>
      </c>
      <c r="J3085" s="1930" t="s">
        <v>137</v>
      </c>
      <c r="K3085" s="1933">
        <v>113.66</v>
      </c>
      <c r="L3085" s="1930" t="s">
        <v>138</v>
      </c>
    </row>
    <row r="3086" spans="1:12" ht="13.5" x14ac:dyDescent="0.25">
      <c r="A3086" s="1930" t="s">
        <v>4646</v>
      </c>
      <c r="B3086" s="1930" t="s">
        <v>4647</v>
      </c>
      <c r="C3086" s="1930" t="s">
        <v>4648</v>
      </c>
      <c r="D3086" s="1930" t="s">
        <v>4649</v>
      </c>
      <c r="E3086" s="1931" t="s">
        <v>33</v>
      </c>
      <c r="F3086" s="1930" t="s">
        <v>33</v>
      </c>
      <c r="G3086" s="1932">
        <v>92320</v>
      </c>
      <c r="H3086" s="1930" t="s">
        <v>6423</v>
      </c>
      <c r="I3086" s="1930" t="s">
        <v>136</v>
      </c>
      <c r="J3086" s="1930" t="s">
        <v>137</v>
      </c>
      <c r="K3086" s="1933">
        <v>31.7</v>
      </c>
      <c r="L3086" s="1930" t="s">
        <v>138</v>
      </c>
    </row>
    <row r="3087" spans="1:12" ht="13.5" x14ac:dyDescent="0.25">
      <c r="A3087" s="1930" t="s">
        <v>4646</v>
      </c>
      <c r="B3087" s="1930" t="s">
        <v>4647</v>
      </c>
      <c r="C3087" s="1930" t="s">
        <v>4648</v>
      </c>
      <c r="D3087" s="1930" t="s">
        <v>4649</v>
      </c>
      <c r="E3087" s="1931" t="s">
        <v>33</v>
      </c>
      <c r="F3087" s="1930" t="s">
        <v>33</v>
      </c>
      <c r="G3087" s="1932">
        <v>92321</v>
      </c>
      <c r="H3087" s="1930" t="s">
        <v>6424</v>
      </c>
      <c r="I3087" s="1930" t="s">
        <v>136</v>
      </c>
      <c r="J3087" s="1930" t="s">
        <v>137</v>
      </c>
      <c r="K3087" s="1933">
        <v>52.04</v>
      </c>
      <c r="L3087" s="1930" t="s">
        <v>138</v>
      </c>
    </row>
    <row r="3088" spans="1:12" ht="13.5" x14ac:dyDescent="0.25">
      <c r="A3088" s="1930" t="s">
        <v>4646</v>
      </c>
      <c r="B3088" s="1930" t="s">
        <v>4647</v>
      </c>
      <c r="C3088" s="1930" t="s">
        <v>4648</v>
      </c>
      <c r="D3088" s="1930" t="s">
        <v>4649</v>
      </c>
      <c r="E3088" s="1931" t="s">
        <v>33</v>
      </c>
      <c r="F3088" s="1930" t="s">
        <v>33</v>
      </c>
      <c r="G3088" s="1932">
        <v>92322</v>
      </c>
      <c r="H3088" s="1930" t="s">
        <v>6425</v>
      </c>
      <c r="I3088" s="1930" t="s">
        <v>136</v>
      </c>
      <c r="J3088" s="1930" t="s">
        <v>137</v>
      </c>
      <c r="K3088" s="1933">
        <v>66.459999999999994</v>
      </c>
      <c r="L3088" s="1930" t="s">
        <v>138</v>
      </c>
    </row>
    <row r="3089" spans="1:12" ht="13.5" x14ac:dyDescent="0.25">
      <c r="A3089" s="1930" t="s">
        <v>4646</v>
      </c>
      <c r="B3089" s="1930" t="s">
        <v>4647</v>
      </c>
      <c r="C3089" s="1930" t="s">
        <v>4648</v>
      </c>
      <c r="D3089" s="1930" t="s">
        <v>4649</v>
      </c>
      <c r="E3089" s="1931" t="s">
        <v>33</v>
      </c>
      <c r="F3089" s="1930" t="s">
        <v>33</v>
      </c>
      <c r="G3089" s="1932">
        <v>92323</v>
      </c>
      <c r="H3089" s="1930" t="s">
        <v>6426</v>
      </c>
      <c r="I3089" s="1930" t="s">
        <v>136</v>
      </c>
      <c r="J3089" s="1930" t="s">
        <v>137</v>
      </c>
      <c r="K3089" s="1933">
        <v>44.5</v>
      </c>
      <c r="L3089" s="1930" t="s">
        <v>138</v>
      </c>
    </row>
    <row r="3090" spans="1:12" ht="13.5" x14ac:dyDescent="0.25">
      <c r="A3090" s="1930" t="s">
        <v>4646</v>
      </c>
      <c r="B3090" s="1930" t="s">
        <v>4647</v>
      </c>
      <c r="C3090" s="1930" t="s">
        <v>4648</v>
      </c>
      <c r="D3090" s="1930" t="s">
        <v>4649</v>
      </c>
      <c r="E3090" s="1931" t="s">
        <v>33</v>
      </c>
      <c r="F3090" s="1930" t="s">
        <v>33</v>
      </c>
      <c r="G3090" s="1932">
        <v>92324</v>
      </c>
      <c r="H3090" s="1930" t="s">
        <v>6427</v>
      </c>
      <c r="I3090" s="1930" t="s">
        <v>136</v>
      </c>
      <c r="J3090" s="1930" t="s">
        <v>137</v>
      </c>
      <c r="K3090" s="1933">
        <v>112.57</v>
      </c>
      <c r="L3090" s="1930" t="s">
        <v>138</v>
      </c>
    </row>
    <row r="3091" spans="1:12" ht="13.5" x14ac:dyDescent="0.25">
      <c r="A3091" s="1930" t="s">
        <v>4646</v>
      </c>
      <c r="B3091" s="1930" t="s">
        <v>4647</v>
      </c>
      <c r="C3091" s="1930" t="s">
        <v>4648</v>
      </c>
      <c r="D3091" s="1930" t="s">
        <v>4649</v>
      </c>
      <c r="E3091" s="1931" t="s">
        <v>33</v>
      </c>
      <c r="F3091" s="1930" t="s">
        <v>33</v>
      </c>
      <c r="G3091" s="1932">
        <v>92325</v>
      </c>
      <c r="H3091" s="1930" t="s">
        <v>6428</v>
      </c>
      <c r="I3091" s="1930" t="s">
        <v>136</v>
      </c>
      <c r="J3091" s="1930" t="s">
        <v>137</v>
      </c>
      <c r="K3091" s="1933">
        <v>129.43</v>
      </c>
      <c r="L3091" s="1930" t="s">
        <v>138</v>
      </c>
    </row>
    <row r="3092" spans="1:12" ht="13.5" x14ac:dyDescent="0.25">
      <c r="A3092" s="1930" t="s">
        <v>4646</v>
      </c>
      <c r="B3092" s="1930" t="s">
        <v>4647</v>
      </c>
      <c r="C3092" s="1930" t="s">
        <v>4648</v>
      </c>
      <c r="D3092" s="1930" t="s">
        <v>4649</v>
      </c>
      <c r="E3092" s="1931" t="s">
        <v>33</v>
      </c>
      <c r="F3092" s="1930" t="s">
        <v>33</v>
      </c>
      <c r="G3092" s="1932">
        <v>92335</v>
      </c>
      <c r="H3092" s="1930" t="s">
        <v>2289</v>
      </c>
      <c r="I3092" s="1930" t="s">
        <v>136</v>
      </c>
      <c r="J3092" s="1930" t="s">
        <v>320</v>
      </c>
      <c r="K3092" s="1933">
        <v>62.48</v>
      </c>
      <c r="L3092" s="1930" t="s">
        <v>138</v>
      </c>
    </row>
    <row r="3093" spans="1:12" ht="13.5" x14ac:dyDescent="0.25">
      <c r="A3093" s="1930" t="s">
        <v>4646</v>
      </c>
      <c r="B3093" s="1930" t="s">
        <v>4647</v>
      </c>
      <c r="C3093" s="1930" t="s">
        <v>4648</v>
      </c>
      <c r="D3093" s="1930" t="s">
        <v>4649</v>
      </c>
      <c r="E3093" s="1931" t="s">
        <v>33</v>
      </c>
      <c r="F3093" s="1930" t="s">
        <v>33</v>
      </c>
      <c r="G3093" s="1932">
        <v>92336</v>
      </c>
      <c r="H3093" s="1930" t="s">
        <v>2290</v>
      </c>
      <c r="I3093" s="1930" t="s">
        <v>136</v>
      </c>
      <c r="J3093" s="1930" t="s">
        <v>320</v>
      </c>
      <c r="K3093" s="1933">
        <v>76.72</v>
      </c>
      <c r="L3093" s="1930" t="s">
        <v>138</v>
      </c>
    </row>
    <row r="3094" spans="1:12" ht="13.5" x14ac:dyDescent="0.25">
      <c r="A3094" s="1930" t="s">
        <v>4646</v>
      </c>
      <c r="B3094" s="1930" t="s">
        <v>4647</v>
      </c>
      <c r="C3094" s="1930" t="s">
        <v>4648</v>
      </c>
      <c r="D3094" s="1930" t="s">
        <v>4649</v>
      </c>
      <c r="E3094" s="1931" t="s">
        <v>33</v>
      </c>
      <c r="F3094" s="1930" t="s">
        <v>33</v>
      </c>
      <c r="G3094" s="1932">
        <v>92337</v>
      </c>
      <c r="H3094" s="1930" t="s">
        <v>2291</v>
      </c>
      <c r="I3094" s="1930" t="s">
        <v>136</v>
      </c>
      <c r="J3094" s="1930" t="s">
        <v>320</v>
      </c>
      <c r="K3094" s="1933">
        <v>100.94</v>
      </c>
      <c r="L3094" s="1930" t="s">
        <v>138</v>
      </c>
    </row>
    <row r="3095" spans="1:12" ht="13.5" x14ac:dyDescent="0.25">
      <c r="A3095" s="1930" t="s">
        <v>4646</v>
      </c>
      <c r="B3095" s="1930" t="s">
        <v>4647</v>
      </c>
      <c r="C3095" s="1930" t="s">
        <v>4648</v>
      </c>
      <c r="D3095" s="1930" t="s">
        <v>4649</v>
      </c>
      <c r="E3095" s="1931" t="s">
        <v>33</v>
      </c>
      <c r="F3095" s="1930" t="s">
        <v>33</v>
      </c>
      <c r="G3095" s="1932">
        <v>92338</v>
      </c>
      <c r="H3095" s="1930" t="s">
        <v>2292</v>
      </c>
      <c r="I3095" s="1930" t="s">
        <v>136</v>
      </c>
      <c r="J3095" s="1930" t="s">
        <v>137</v>
      </c>
      <c r="K3095" s="1933">
        <v>75.22</v>
      </c>
      <c r="L3095" s="1930" t="s">
        <v>138</v>
      </c>
    </row>
    <row r="3096" spans="1:12" ht="13.5" x14ac:dyDescent="0.25">
      <c r="A3096" s="1930" t="s">
        <v>4646</v>
      </c>
      <c r="B3096" s="1930" t="s">
        <v>4647</v>
      </c>
      <c r="C3096" s="1930" t="s">
        <v>4648</v>
      </c>
      <c r="D3096" s="1930" t="s">
        <v>4649</v>
      </c>
      <c r="E3096" s="1931" t="s">
        <v>33</v>
      </c>
      <c r="F3096" s="1930" t="s">
        <v>33</v>
      </c>
      <c r="G3096" s="1932">
        <v>92339</v>
      </c>
      <c r="H3096" s="1930" t="s">
        <v>2293</v>
      </c>
      <c r="I3096" s="1930" t="s">
        <v>136</v>
      </c>
      <c r="J3096" s="1930" t="s">
        <v>137</v>
      </c>
      <c r="K3096" s="1933">
        <v>111.04</v>
      </c>
      <c r="L3096" s="1930" t="s">
        <v>138</v>
      </c>
    </row>
    <row r="3097" spans="1:12" ht="13.5" x14ac:dyDescent="0.25">
      <c r="A3097" s="1930" t="s">
        <v>4646</v>
      </c>
      <c r="B3097" s="1930" t="s">
        <v>4647</v>
      </c>
      <c r="C3097" s="1930" t="s">
        <v>4648</v>
      </c>
      <c r="D3097" s="1930" t="s">
        <v>4649</v>
      </c>
      <c r="E3097" s="1931" t="s">
        <v>33</v>
      </c>
      <c r="F3097" s="1930" t="s">
        <v>33</v>
      </c>
      <c r="G3097" s="1932">
        <v>92341</v>
      </c>
      <c r="H3097" s="1930" t="s">
        <v>2294</v>
      </c>
      <c r="I3097" s="1930" t="s">
        <v>136</v>
      </c>
      <c r="J3097" s="1930" t="s">
        <v>320</v>
      </c>
      <c r="K3097" s="1933">
        <v>70</v>
      </c>
      <c r="L3097" s="1930" t="s">
        <v>138</v>
      </c>
    </row>
    <row r="3098" spans="1:12" ht="13.5" x14ac:dyDescent="0.25">
      <c r="A3098" s="1930" t="s">
        <v>4646</v>
      </c>
      <c r="B3098" s="1930" t="s">
        <v>4647</v>
      </c>
      <c r="C3098" s="1930" t="s">
        <v>4648</v>
      </c>
      <c r="D3098" s="1930" t="s">
        <v>4649</v>
      </c>
      <c r="E3098" s="1931" t="s">
        <v>33</v>
      </c>
      <c r="F3098" s="1930" t="s">
        <v>33</v>
      </c>
      <c r="G3098" s="1932">
        <v>92342</v>
      </c>
      <c r="H3098" s="1930" t="s">
        <v>2295</v>
      </c>
      <c r="I3098" s="1930" t="s">
        <v>136</v>
      </c>
      <c r="J3098" s="1930" t="s">
        <v>320</v>
      </c>
      <c r="K3098" s="1933">
        <v>84.27</v>
      </c>
      <c r="L3098" s="1930" t="s">
        <v>138</v>
      </c>
    </row>
    <row r="3099" spans="1:12" ht="13.5" x14ac:dyDescent="0.25">
      <c r="A3099" s="1930" t="s">
        <v>4646</v>
      </c>
      <c r="B3099" s="1930" t="s">
        <v>4647</v>
      </c>
      <c r="C3099" s="1930" t="s">
        <v>4648</v>
      </c>
      <c r="D3099" s="1930" t="s">
        <v>4649</v>
      </c>
      <c r="E3099" s="1931" t="s">
        <v>33</v>
      </c>
      <c r="F3099" s="1930" t="s">
        <v>33</v>
      </c>
      <c r="G3099" s="1932">
        <v>92343</v>
      </c>
      <c r="H3099" s="1930" t="s">
        <v>2296</v>
      </c>
      <c r="I3099" s="1930" t="s">
        <v>136</v>
      </c>
      <c r="J3099" s="1930" t="s">
        <v>320</v>
      </c>
      <c r="K3099" s="1933">
        <v>108.55</v>
      </c>
      <c r="L3099" s="1930" t="s">
        <v>138</v>
      </c>
    </row>
    <row r="3100" spans="1:12" ht="13.5" x14ac:dyDescent="0.25">
      <c r="A3100" s="1930" t="s">
        <v>4646</v>
      </c>
      <c r="B3100" s="1930" t="s">
        <v>4647</v>
      </c>
      <c r="C3100" s="1930" t="s">
        <v>4648</v>
      </c>
      <c r="D3100" s="1930" t="s">
        <v>4649</v>
      </c>
      <c r="E3100" s="1931" t="s">
        <v>33</v>
      </c>
      <c r="F3100" s="1930" t="s">
        <v>33</v>
      </c>
      <c r="G3100" s="1932">
        <v>92361</v>
      </c>
      <c r="H3100" s="1930" t="s">
        <v>2297</v>
      </c>
      <c r="I3100" s="1930" t="s">
        <v>136</v>
      </c>
      <c r="J3100" s="1930" t="s">
        <v>137</v>
      </c>
      <c r="K3100" s="1933">
        <v>59.64</v>
      </c>
      <c r="L3100" s="1930" t="s">
        <v>138</v>
      </c>
    </row>
    <row r="3101" spans="1:12" ht="13.5" x14ac:dyDescent="0.25">
      <c r="A3101" s="1930" t="s">
        <v>4646</v>
      </c>
      <c r="B3101" s="1930" t="s">
        <v>4647</v>
      </c>
      <c r="C3101" s="1930" t="s">
        <v>4648</v>
      </c>
      <c r="D3101" s="1930" t="s">
        <v>4649</v>
      </c>
      <c r="E3101" s="1931" t="s">
        <v>33</v>
      </c>
      <c r="F3101" s="1930" t="s">
        <v>33</v>
      </c>
      <c r="G3101" s="1932">
        <v>92362</v>
      </c>
      <c r="H3101" s="1930" t="s">
        <v>2298</v>
      </c>
      <c r="I3101" s="1930" t="s">
        <v>136</v>
      </c>
      <c r="J3101" s="1930" t="s">
        <v>137</v>
      </c>
      <c r="K3101" s="1933">
        <v>94.84</v>
      </c>
      <c r="L3101" s="1930" t="s">
        <v>138</v>
      </c>
    </row>
    <row r="3102" spans="1:12" ht="13.5" x14ac:dyDescent="0.25">
      <c r="A3102" s="1930" t="s">
        <v>4646</v>
      </c>
      <c r="B3102" s="1930" t="s">
        <v>4647</v>
      </c>
      <c r="C3102" s="1930" t="s">
        <v>4648</v>
      </c>
      <c r="D3102" s="1930" t="s">
        <v>4649</v>
      </c>
      <c r="E3102" s="1931" t="s">
        <v>33</v>
      </c>
      <c r="F3102" s="1930" t="s">
        <v>33</v>
      </c>
      <c r="G3102" s="1932">
        <v>92364</v>
      </c>
      <c r="H3102" s="1930" t="s">
        <v>2299</v>
      </c>
      <c r="I3102" s="1930" t="s">
        <v>136</v>
      </c>
      <c r="J3102" s="1930" t="s">
        <v>320</v>
      </c>
      <c r="K3102" s="1933">
        <v>37.99</v>
      </c>
      <c r="L3102" s="1930" t="s">
        <v>138</v>
      </c>
    </row>
    <row r="3103" spans="1:12" ht="13.5" x14ac:dyDescent="0.25">
      <c r="A3103" s="1930" t="s">
        <v>4646</v>
      </c>
      <c r="B3103" s="1930" t="s">
        <v>4647</v>
      </c>
      <c r="C3103" s="1930" t="s">
        <v>4648</v>
      </c>
      <c r="D3103" s="1930" t="s">
        <v>4649</v>
      </c>
      <c r="E3103" s="1931" t="s">
        <v>33</v>
      </c>
      <c r="F3103" s="1930" t="s">
        <v>33</v>
      </c>
      <c r="G3103" s="1932">
        <v>92365</v>
      </c>
      <c r="H3103" s="1930" t="s">
        <v>2300</v>
      </c>
      <c r="I3103" s="1930" t="s">
        <v>136</v>
      </c>
      <c r="J3103" s="1930" t="s">
        <v>320</v>
      </c>
      <c r="K3103" s="1933">
        <v>43.68</v>
      </c>
      <c r="L3103" s="1930" t="s">
        <v>138</v>
      </c>
    </row>
    <row r="3104" spans="1:12" ht="13.5" x14ac:dyDescent="0.25">
      <c r="A3104" s="1930" t="s">
        <v>4646</v>
      </c>
      <c r="B3104" s="1930" t="s">
        <v>4647</v>
      </c>
      <c r="C3104" s="1930" t="s">
        <v>4648</v>
      </c>
      <c r="D3104" s="1930" t="s">
        <v>4649</v>
      </c>
      <c r="E3104" s="1931" t="s">
        <v>33</v>
      </c>
      <c r="F3104" s="1930" t="s">
        <v>33</v>
      </c>
      <c r="G3104" s="1932">
        <v>92366</v>
      </c>
      <c r="H3104" s="1930" t="s">
        <v>2301</v>
      </c>
      <c r="I3104" s="1930" t="s">
        <v>136</v>
      </c>
      <c r="J3104" s="1930" t="s">
        <v>320</v>
      </c>
      <c r="K3104" s="1933">
        <v>60.72</v>
      </c>
      <c r="L3104" s="1930" t="s">
        <v>138</v>
      </c>
    </row>
    <row r="3105" spans="1:12" ht="13.5" x14ac:dyDescent="0.25">
      <c r="A3105" s="1930" t="s">
        <v>4646</v>
      </c>
      <c r="B3105" s="1930" t="s">
        <v>4647</v>
      </c>
      <c r="C3105" s="1930" t="s">
        <v>4648</v>
      </c>
      <c r="D3105" s="1930" t="s">
        <v>4649</v>
      </c>
      <c r="E3105" s="1931" t="s">
        <v>33</v>
      </c>
      <c r="F3105" s="1930" t="s">
        <v>33</v>
      </c>
      <c r="G3105" s="1932">
        <v>92367</v>
      </c>
      <c r="H3105" s="1930" t="s">
        <v>2302</v>
      </c>
      <c r="I3105" s="1930" t="s">
        <v>136</v>
      </c>
      <c r="J3105" s="1930" t="s">
        <v>320</v>
      </c>
      <c r="K3105" s="1933">
        <v>74.569999999999993</v>
      </c>
      <c r="L3105" s="1930" t="s">
        <v>138</v>
      </c>
    </row>
    <row r="3106" spans="1:12" ht="13.5" x14ac:dyDescent="0.25">
      <c r="A3106" s="1930" t="s">
        <v>4646</v>
      </c>
      <c r="B3106" s="1930" t="s">
        <v>4647</v>
      </c>
      <c r="C3106" s="1930" t="s">
        <v>4648</v>
      </c>
      <c r="D3106" s="1930" t="s">
        <v>4649</v>
      </c>
      <c r="E3106" s="1931" t="s">
        <v>33</v>
      </c>
      <c r="F3106" s="1930" t="s">
        <v>33</v>
      </c>
      <c r="G3106" s="1932">
        <v>92368</v>
      </c>
      <c r="H3106" s="1930" t="s">
        <v>2303</v>
      </c>
      <c r="I3106" s="1930" t="s">
        <v>136</v>
      </c>
      <c r="J3106" s="1930" t="s">
        <v>320</v>
      </c>
      <c r="K3106" s="1933">
        <v>98.47</v>
      </c>
      <c r="L3106" s="1930" t="s">
        <v>138</v>
      </c>
    </row>
    <row r="3107" spans="1:12" ht="13.5" x14ac:dyDescent="0.25">
      <c r="A3107" s="1930" t="s">
        <v>4646</v>
      </c>
      <c r="B3107" s="1930" t="s">
        <v>4647</v>
      </c>
      <c r="C3107" s="1930" t="s">
        <v>4648</v>
      </c>
      <c r="D3107" s="1930" t="s">
        <v>4649</v>
      </c>
      <c r="E3107" s="1931" t="s">
        <v>33</v>
      </c>
      <c r="F3107" s="1930" t="s">
        <v>33</v>
      </c>
      <c r="G3107" s="1932">
        <v>92648</v>
      </c>
      <c r="H3107" s="1930" t="s">
        <v>2304</v>
      </c>
      <c r="I3107" s="1930" t="s">
        <v>136</v>
      </c>
      <c r="J3107" s="1930" t="s">
        <v>137</v>
      </c>
      <c r="K3107" s="1933">
        <v>51.32</v>
      </c>
      <c r="L3107" s="1930" t="s">
        <v>138</v>
      </c>
    </row>
    <row r="3108" spans="1:12" ht="13.5" x14ac:dyDescent="0.25">
      <c r="A3108" s="1930" t="s">
        <v>4646</v>
      </c>
      <c r="B3108" s="1930" t="s">
        <v>4647</v>
      </c>
      <c r="C3108" s="1930" t="s">
        <v>4648</v>
      </c>
      <c r="D3108" s="1930" t="s">
        <v>4649</v>
      </c>
      <c r="E3108" s="1931" t="s">
        <v>33</v>
      </c>
      <c r="F3108" s="1930" t="s">
        <v>33</v>
      </c>
      <c r="G3108" s="1932">
        <v>92649</v>
      </c>
      <c r="H3108" s="1930" t="s">
        <v>2305</v>
      </c>
      <c r="I3108" s="1930" t="s">
        <v>136</v>
      </c>
      <c r="J3108" s="1930" t="s">
        <v>137</v>
      </c>
      <c r="K3108" s="1933">
        <v>62.44</v>
      </c>
      <c r="L3108" s="1930" t="s">
        <v>138</v>
      </c>
    </row>
    <row r="3109" spans="1:12" ht="13.5" x14ac:dyDescent="0.25">
      <c r="A3109" s="1930" t="s">
        <v>4646</v>
      </c>
      <c r="B3109" s="1930" t="s">
        <v>4647</v>
      </c>
      <c r="C3109" s="1930" t="s">
        <v>4648</v>
      </c>
      <c r="D3109" s="1930" t="s">
        <v>4649</v>
      </c>
      <c r="E3109" s="1931" t="s">
        <v>33</v>
      </c>
      <c r="F3109" s="1930" t="s">
        <v>33</v>
      </c>
      <c r="G3109" s="1932">
        <v>92650</v>
      </c>
      <c r="H3109" s="1930" t="s">
        <v>2306</v>
      </c>
      <c r="I3109" s="1930" t="s">
        <v>136</v>
      </c>
      <c r="J3109" s="1930" t="s">
        <v>137</v>
      </c>
      <c r="K3109" s="1933">
        <v>97.64</v>
      </c>
      <c r="L3109" s="1930" t="s">
        <v>138</v>
      </c>
    </row>
    <row r="3110" spans="1:12" ht="13.5" x14ac:dyDescent="0.25">
      <c r="A3110" s="1930" t="s">
        <v>4646</v>
      </c>
      <c r="B3110" s="1930" t="s">
        <v>4647</v>
      </c>
      <c r="C3110" s="1930" t="s">
        <v>4648</v>
      </c>
      <c r="D3110" s="1930" t="s">
        <v>4649</v>
      </c>
      <c r="E3110" s="1931" t="s">
        <v>33</v>
      </c>
      <c r="F3110" s="1930" t="s">
        <v>33</v>
      </c>
      <c r="G3110" s="1932">
        <v>92652</v>
      </c>
      <c r="H3110" s="1930" t="s">
        <v>2307</v>
      </c>
      <c r="I3110" s="1930" t="s">
        <v>136</v>
      </c>
      <c r="J3110" s="1930" t="s">
        <v>320</v>
      </c>
      <c r="K3110" s="1933">
        <v>41.41</v>
      </c>
      <c r="L3110" s="1930" t="s">
        <v>138</v>
      </c>
    </row>
    <row r="3111" spans="1:12" ht="13.5" x14ac:dyDescent="0.25">
      <c r="A3111" s="1930" t="s">
        <v>4646</v>
      </c>
      <c r="B3111" s="1930" t="s">
        <v>4647</v>
      </c>
      <c r="C3111" s="1930" t="s">
        <v>4648</v>
      </c>
      <c r="D3111" s="1930" t="s">
        <v>4649</v>
      </c>
      <c r="E3111" s="1931" t="s">
        <v>33</v>
      </c>
      <c r="F3111" s="1930" t="s">
        <v>33</v>
      </c>
      <c r="G3111" s="1932">
        <v>92653</v>
      </c>
      <c r="H3111" s="1930" t="s">
        <v>2308</v>
      </c>
      <c r="I3111" s="1930" t="s">
        <v>136</v>
      </c>
      <c r="J3111" s="1930" t="s">
        <v>320</v>
      </c>
      <c r="K3111" s="1933">
        <v>47.15</v>
      </c>
      <c r="L3111" s="1930" t="s">
        <v>138</v>
      </c>
    </row>
    <row r="3112" spans="1:12" ht="13.5" x14ac:dyDescent="0.25">
      <c r="A3112" s="1930" t="s">
        <v>4646</v>
      </c>
      <c r="B3112" s="1930" t="s">
        <v>4647</v>
      </c>
      <c r="C3112" s="1930" t="s">
        <v>4648</v>
      </c>
      <c r="D3112" s="1930" t="s">
        <v>4649</v>
      </c>
      <c r="E3112" s="1931" t="s">
        <v>33</v>
      </c>
      <c r="F3112" s="1930" t="s">
        <v>33</v>
      </c>
      <c r="G3112" s="1932">
        <v>92654</v>
      </c>
      <c r="H3112" s="1930" t="s">
        <v>2309</v>
      </c>
      <c r="I3112" s="1930" t="s">
        <v>136</v>
      </c>
      <c r="J3112" s="1930" t="s">
        <v>320</v>
      </c>
      <c r="K3112" s="1933">
        <v>64.17</v>
      </c>
      <c r="L3112" s="1930" t="s">
        <v>138</v>
      </c>
    </row>
    <row r="3113" spans="1:12" ht="13.5" x14ac:dyDescent="0.25">
      <c r="A3113" s="1930" t="s">
        <v>4646</v>
      </c>
      <c r="B3113" s="1930" t="s">
        <v>4647</v>
      </c>
      <c r="C3113" s="1930" t="s">
        <v>4648</v>
      </c>
      <c r="D3113" s="1930" t="s">
        <v>4649</v>
      </c>
      <c r="E3113" s="1931" t="s">
        <v>33</v>
      </c>
      <c r="F3113" s="1930" t="s">
        <v>33</v>
      </c>
      <c r="G3113" s="1932">
        <v>92655</v>
      </c>
      <c r="H3113" s="1930" t="s">
        <v>2310</v>
      </c>
      <c r="I3113" s="1930" t="s">
        <v>136</v>
      </c>
      <c r="J3113" s="1930" t="s">
        <v>320</v>
      </c>
      <c r="K3113" s="1933">
        <v>78.099999999999994</v>
      </c>
      <c r="L3113" s="1930" t="s">
        <v>138</v>
      </c>
    </row>
    <row r="3114" spans="1:12" ht="13.5" x14ac:dyDescent="0.25">
      <c r="A3114" s="1930" t="s">
        <v>4646</v>
      </c>
      <c r="B3114" s="1930" t="s">
        <v>4647</v>
      </c>
      <c r="C3114" s="1930" t="s">
        <v>4648</v>
      </c>
      <c r="D3114" s="1930" t="s">
        <v>4649</v>
      </c>
      <c r="E3114" s="1931" t="s">
        <v>33</v>
      </c>
      <c r="F3114" s="1930" t="s">
        <v>33</v>
      </c>
      <c r="G3114" s="1932">
        <v>92656</v>
      </c>
      <c r="H3114" s="1930" t="s">
        <v>2311</v>
      </c>
      <c r="I3114" s="1930" t="s">
        <v>136</v>
      </c>
      <c r="J3114" s="1930" t="s">
        <v>320</v>
      </c>
      <c r="K3114" s="1933">
        <v>101.99</v>
      </c>
      <c r="L3114" s="1930" t="s">
        <v>138</v>
      </c>
    </row>
    <row r="3115" spans="1:12" ht="13.5" x14ac:dyDescent="0.25">
      <c r="A3115" s="1930" t="s">
        <v>4646</v>
      </c>
      <c r="B3115" s="1930" t="s">
        <v>4647</v>
      </c>
      <c r="C3115" s="1930" t="s">
        <v>4648</v>
      </c>
      <c r="D3115" s="1930" t="s">
        <v>4649</v>
      </c>
      <c r="E3115" s="1931" t="s">
        <v>33</v>
      </c>
      <c r="F3115" s="1930" t="s">
        <v>33</v>
      </c>
      <c r="G3115" s="1932">
        <v>92687</v>
      </c>
      <c r="H3115" s="1930" t="s">
        <v>2312</v>
      </c>
      <c r="I3115" s="1930" t="s">
        <v>136</v>
      </c>
      <c r="J3115" s="1930" t="s">
        <v>320</v>
      </c>
      <c r="K3115" s="1933">
        <v>19.5</v>
      </c>
      <c r="L3115" s="1930" t="s">
        <v>138</v>
      </c>
    </row>
    <row r="3116" spans="1:12" ht="13.5" x14ac:dyDescent="0.25">
      <c r="A3116" s="1930" t="s">
        <v>4646</v>
      </c>
      <c r="B3116" s="1930" t="s">
        <v>4647</v>
      </c>
      <c r="C3116" s="1930" t="s">
        <v>4648</v>
      </c>
      <c r="D3116" s="1930" t="s">
        <v>4649</v>
      </c>
      <c r="E3116" s="1931" t="s">
        <v>33</v>
      </c>
      <c r="F3116" s="1930" t="s">
        <v>33</v>
      </c>
      <c r="G3116" s="1932">
        <v>92688</v>
      </c>
      <c r="H3116" s="1930" t="s">
        <v>2313</v>
      </c>
      <c r="I3116" s="1930" t="s">
        <v>136</v>
      </c>
      <c r="J3116" s="1930" t="s">
        <v>320</v>
      </c>
      <c r="K3116" s="1933">
        <v>27.4</v>
      </c>
      <c r="L3116" s="1930" t="s">
        <v>138</v>
      </c>
    </row>
    <row r="3117" spans="1:12" ht="13.5" x14ac:dyDescent="0.25">
      <c r="A3117" s="1930" t="s">
        <v>4646</v>
      </c>
      <c r="B3117" s="1930" t="s">
        <v>4647</v>
      </c>
      <c r="C3117" s="1930" t="s">
        <v>4648</v>
      </c>
      <c r="D3117" s="1930" t="s">
        <v>4649</v>
      </c>
      <c r="E3117" s="1931" t="s">
        <v>33</v>
      </c>
      <c r="F3117" s="1930" t="s">
        <v>33</v>
      </c>
      <c r="G3117" s="1932">
        <v>92689</v>
      </c>
      <c r="H3117" s="1930" t="s">
        <v>2314</v>
      </c>
      <c r="I3117" s="1930" t="s">
        <v>136</v>
      </c>
      <c r="J3117" s="1930" t="s">
        <v>137</v>
      </c>
      <c r="K3117" s="1933">
        <v>26.01</v>
      </c>
      <c r="L3117" s="1930" t="s">
        <v>138</v>
      </c>
    </row>
    <row r="3118" spans="1:12" ht="13.5" x14ac:dyDescent="0.25">
      <c r="A3118" s="1930" t="s">
        <v>4646</v>
      </c>
      <c r="B3118" s="1930" t="s">
        <v>4647</v>
      </c>
      <c r="C3118" s="1930" t="s">
        <v>4648</v>
      </c>
      <c r="D3118" s="1930" t="s">
        <v>4649</v>
      </c>
      <c r="E3118" s="1931" t="s">
        <v>33</v>
      </c>
      <c r="F3118" s="1930" t="s">
        <v>33</v>
      </c>
      <c r="G3118" s="1932">
        <v>92690</v>
      </c>
      <c r="H3118" s="1930" t="s">
        <v>2315</v>
      </c>
      <c r="I3118" s="1930" t="s">
        <v>136</v>
      </c>
      <c r="J3118" s="1930" t="s">
        <v>137</v>
      </c>
      <c r="K3118" s="1933">
        <v>37.76</v>
      </c>
      <c r="L3118" s="1930" t="s">
        <v>138</v>
      </c>
    </row>
    <row r="3119" spans="1:12" ht="13.5" x14ac:dyDescent="0.25">
      <c r="A3119" s="1930" t="s">
        <v>4646</v>
      </c>
      <c r="B3119" s="1930" t="s">
        <v>4647</v>
      </c>
      <c r="C3119" s="1930" t="s">
        <v>4648</v>
      </c>
      <c r="D3119" s="1930" t="s">
        <v>4649</v>
      </c>
      <c r="E3119" s="1931" t="s">
        <v>33</v>
      </c>
      <c r="F3119" s="1930" t="s">
        <v>33</v>
      </c>
      <c r="G3119" s="1932">
        <v>94462</v>
      </c>
      <c r="H3119" s="1930" t="s">
        <v>2316</v>
      </c>
      <c r="I3119" s="1930" t="s">
        <v>136</v>
      </c>
      <c r="J3119" s="1930" t="s">
        <v>320</v>
      </c>
      <c r="K3119" s="1933">
        <v>69.45</v>
      </c>
      <c r="L3119" s="1930" t="s">
        <v>138</v>
      </c>
    </row>
    <row r="3120" spans="1:12" ht="13.5" x14ac:dyDescent="0.25">
      <c r="A3120" s="1930" t="s">
        <v>4646</v>
      </c>
      <c r="B3120" s="1930" t="s">
        <v>4647</v>
      </c>
      <c r="C3120" s="1930" t="s">
        <v>4648</v>
      </c>
      <c r="D3120" s="1930" t="s">
        <v>4649</v>
      </c>
      <c r="E3120" s="1931" t="s">
        <v>33</v>
      </c>
      <c r="F3120" s="1930" t="s">
        <v>33</v>
      </c>
      <c r="G3120" s="1932">
        <v>94463</v>
      </c>
      <c r="H3120" s="1930" t="s">
        <v>2317</v>
      </c>
      <c r="I3120" s="1930" t="s">
        <v>136</v>
      </c>
      <c r="J3120" s="1930" t="s">
        <v>320</v>
      </c>
      <c r="K3120" s="1933">
        <v>81.25</v>
      </c>
      <c r="L3120" s="1930" t="s">
        <v>138</v>
      </c>
    </row>
    <row r="3121" spans="1:12" ht="13.5" x14ac:dyDescent="0.25">
      <c r="A3121" s="1930" t="s">
        <v>4646</v>
      </c>
      <c r="B3121" s="1930" t="s">
        <v>4647</v>
      </c>
      <c r="C3121" s="1930" t="s">
        <v>4648</v>
      </c>
      <c r="D3121" s="1930" t="s">
        <v>4649</v>
      </c>
      <c r="E3121" s="1931" t="s">
        <v>33</v>
      </c>
      <c r="F3121" s="1930" t="s">
        <v>33</v>
      </c>
      <c r="G3121" s="1932">
        <v>94464</v>
      </c>
      <c r="H3121" s="1930" t="s">
        <v>2318</v>
      </c>
      <c r="I3121" s="1930" t="s">
        <v>136</v>
      </c>
      <c r="J3121" s="1930" t="s">
        <v>320</v>
      </c>
      <c r="K3121" s="1933">
        <v>114.31</v>
      </c>
      <c r="L3121" s="1930" t="s">
        <v>138</v>
      </c>
    </row>
    <row r="3122" spans="1:12" ht="13.5" x14ac:dyDescent="0.25">
      <c r="A3122" s="1930" t="s">
        <v>4646</v>
      </c>
      <c r="B3122" s="1930" t="s">
        <v>4647</v>
      </c>
      <c r="C3122" s="1930" t="s">
        <v>4648</v>
      </c>
      <c r="D3122" s="1930" t="s">
        <v>4649</v>
      </c>
      <c r="E3122" s="1931" t="s">
        <v>33</v>
      </c>
      <c r="F3122" s="1930" t="s">
        <v>33</v>
      </c>
      <c r="G3122" s="1932">
        <v>94602</v>
      </c>
      <c r="H3122" s="1930" t="s">
        <v>6429</v>
      </c>
      <c r="I3122" s="1930" t="s">
        <v>136</v>
      </c>
      <c r="J3122" s="1930" t="s">
        <v>137</v>
      </c>
      <c r="K3122" s="1933">
        <v>138.66</v>
      </c>
      <c r="L3122" s="1930" t="s">
        <v>138</v>
      </c>
    </row>
    <row r="3123" spans="1:12" ht="13.5" x14ac:dyDescent="0.25">
      <c r="A3123" s="1930" t="s">
        <v>4646</v>
      </c>
      <c r="B3123" s="1930" t="s">
        <v>4647</v>
      </c>
      <c r="C3123" s="1930" t="s">
        <v>4648</v>
      </c>
      <c r="D3123" s="1930" t="s">
        <v>4649</v>
      </c>
      <c r="E3123" s="1931" t="s">
        <v>33</v>
      </c>
      <c r="F3123" s="1930" t="s">
        <v>33</v>
      </c>
      <c r="G3123" s="1932">
        <v>94603</v>
      </c>
      <c r="H3123" s="1930" t="s">
        <v>6430</v>
      </c>
      <c r="I3123" s="1930" t="s">
        <v>136</v>
      </c>
      <c r="J3123" s="1930" t="s">
        <v>137</v>
      </c>
      <c r="K3123" s="1933">
        <v>185.5</v>
      </c>
      <c r="L3123" s="1930" t="s">
        <v>138</v>
      </c>
    </row>
    <row r="3124" spans="1:12" ht="13.5" x14ac:dyDescent="0.25">
      <c r="A3124" s="1930" t="s">
        <v>4646</v>
      </c>
      <c r="B3124" s="1930" t="s">
        <v>4647</v>
      </c>
      <c r="C3124" s="1930" t="s">
        <v>4648</v>
      </c>
      <c r="D3124" s="1930" t="s">
        <v>4649</v>
      </c>
      <c r="E3124" s="1931" t="s">
        <v>33</v>
      </c>
      <c r="F3124" s="1930" t="s">
        <v>33</v>
      </c>
      <c r="G3124" s="1932">
        <v>94604</v>
      </c>
      <c r="H3124" s="1930" t="s">
        <v>6431</v>
      </c>
      <c r="I3124" s="1930" t="s">
        <v>136</v>
      </c>
      <c r="J3124" s="1930" t="s">
        <v>137</v>
      </c>
      <c r="K3124" s="1933">
        <v>252.81</v>
      </c>
      <c r="L3124" s="1930" t="s">
        <v>138</v>
      </c>
    </row>
    <row r="3125" spans="1:12" ht="13.5" x14ac:dyDescent="0.25">
      <c r="A3125" s="1930" t="s">
        <v>4646</v>
      </c>
      <c r="B3125" s="1930" t="s">
        <v>4647</v>
      </c>
      <c r="C3125" s="1930" t="s">
        <v>4648</v>
      </c>
      <c r="D3125" s="1930" t="s">
        <v>4649</v>
      </c>
      <c r="E3125" s="1931" t="s">
        <v>33</v>
      </c>
      <c r="F3125" s="1930" t="s">
        <v>33</v>
      </c>
      <c r="G3125" s="1932">
        <v>94605</v>
      </c>
      <c r="H3125" s="1930" t="s">
        <v>6432</v>
      </c>
      <c r="I3125" s="1930" t="s">
        <v>136</v>
      </c>
      <c r="J3125" s="1930" t="s">
        <v>137</v>
      </c>
      <c r="K3125" s="1933">
        <v>360.35</v>
      </c>
      <c r="L3125" s="1930" t="s">
        <v>138</v>
      </c>
    </row>
    <row r="3126" spans="1:12" ht="13.5" x14ac:dyDescent="0.25">
      <c r="A3126" s="1930" t="s">
        <v>4646</v>
      </c>
      <c r="B3126" s="1930" t="s">
        <v>4647</v>
      </c>
      <c r="C3126" s="1930" t="s">
        <v>4648</v>
      </c>
      <c r="D3126" s="1930" t="s">
        <v>4649</v>
      </c>
      <c r="E3126" s="1931" t="s">
        <v>33</v>
      </c>
      <c r="F3126" s="1930" t="s">
        <v>33</v>
      </c>
      <c r="G3126" s="1932">
        <v>94648</v>
      </c>
      <c r="H3126" s="1930" t="s">
        <v>2319</v>
      </c>
      <c r="I3126" s="1930" t="s">
        <v>136</v>
      </c>
      <c r="J3126" s="1930" t="s">
        <v>320</v>
      </c>
      <c r="K3126" s="1933">
        <v>7.58</v>
      </c>
      <c r="L3126" s="1930" t="s">
        <v>138</v>
      </c>
    </row>
    <row r="3127" spans="1:12" ht="13.5" x14ac:dyDescent="0.25">
      <c r="A3127" s="1930" t="s">
        <v>4646</v>
      </c>
      <c r="B3127" s="1930" t="s">
        <v>4647</v>
      </c>
      <c r="C3127" s="1930" t="s">
        <v>4648</v>
      </c>
      <c r="D3127" s="1930" t="s">
        <v>4649</v>
      </c>
      <c r="E3127" s="1931" t="s">
        <v>33</v>
      </c>
      <c r="F3127" s="1930" t="s">
        <v>33</v>
      </c>
      <c r="G3127" s="1932">
        <v>94649</v>
      </c>
      <c r="H3127" s="1930" t="s">
        <v>2320</v>
      </c>
      <c r="I3127" s="1930" t="s">
        <v>136</v>
      </c>
      <c r="J3127" s="1930" t="s">
        <v>320</v>
      </c>
      <c r="K3127" s="1933">
        <v>11.2</v>
      </c>
      <c r="L3127" s="1930" t="s">
        <v>138</v>
      </c>
    </row>
    <row r="3128" spans="1:12" ht="13.5" x14ac:dyDescent="0.25">
      <c r="A3128" s="1930" t="s">
        <v>4646</v>
      </c>
      <c r="B3128" s="1930" t="s">
        <v>4647</v>
      </c>
      <c r="C3128" s="1930" t="s">
        <v>4648</v>
      </c>
      <c r="D3128" s="1930" t="s">
        <v>4649</v>
      </c>
      <c r="E3128" s="1931" t="s">
        <v>33</v>
      </c>
      <c r="F3128" s="1930" t="s">
        <v>33</v>
      </c>
      <c r="G3128" s="1932">
        <v>94650</v>
      </c>
      <c r="H3128" s="1930" t="s">
        <v>2321</v>
      </c>
      <c r="I3128" s="1930" t="s">
        <v>136</v>
      </c>
      <c r="J3128" s="1930" t="s">
        <v>320</v>
      </c>
      <c r="K3128" s="1933">
        <v>16.02</v>
      </c>
      <c r="L3128" s="1930" t="s">
        <v>138</v>
      </c>
    </row>
    <row r="3129" spans="1:12" ht="13.5" x14ac:dyDescent="0.25">
      <c r="A3129" s="1930" t="s">
        <v>4646</v>
      </c>
      <c r="B3129" s="1930" t="s">
        <v>4647</v>
      </c>
      <c r="C3129" s="1930" t="s">
        <v>4648</v>
      </c>
      <c r="D3129" s="1930" t="s">
        <v>4649</v>
      </c>
      <c r="E3129" s="1931" t="s">
        <v>33</v>
      </c>
      <c r="F3129" s="1930" t="s">
        <v>33</v>
      </c>
      <c r="G3129" s="1932">
        <v>94651</v>
      </c>
      <c r="H3129" s="1930" t="s">
        <v>2322</v>
      </c>
      <c r="I3129" s="1930" t="s">
        <v>136</v>
      </c>
      <c r="J3129" s="1930" t="s">
        <v>320</v>
      </c>
      <c r="K3129" s="1933">
        <v>17.39</v>
      </c>
      <c r="L3129" s="1930" t="s">
        <v>138</v>
      </c>
    </row>
    <row r="3130" spans="1:12" ht="13.5" x14ac:dyDescent="0.25">
      <c r="A3130" s="1930" t="s">
        <v>4646</v>
      </c>
      <c r="B3130" s="1930" t="s">
        <v>4647</v>
      </c>
      <c r="C3130" s="1930" t="s">
        <v>4648</v>
      </c>
      <c r="D3130" s="1930" t="s">
        <v>4649</v>
      </c>
      <c r="E3130" s="1931" t="s">
        <v>33</v>
      </c>
      <c r="F3130" s="1930" t="s">
        <v>33</v>
      </c>
      <c r="G3130" s="1932">
        <v>94652</v>
      </c>
      <c r="H3130" s="1930" t="s">
        <v>2323</v>
      </c>
      <c r="I3130" s="1930" t="s">
        <v>136</v>
      </c>
      <c r="J3130" s="1930" t="s">
        <v>320</v>
      </c>
      <c r="K3130" s="1933">
        <v>28.3</v>
      </c>
      <c r="L3130" s="1930" t="s">
        <v>138</v>
      </c>
    </row>
    <row r="3131" spans="1:12" ht="13.5" x14ac:dyDescent="0.25">
      <c r="A3131" s="1930" t="s">
        <v>4646</v>
      </c>
      <c r="B3131" s="1930" t="s">
        <v>4647</v>
      </c>
      <c r="C3131" s="1930" t="s">
        <v>4648</v>
      </c>
      <c r="D3131" s="1930" t="s">
        <v>4649</v>
      </c>
      <c r="E3131" s="1931" t="s">
        <v>33</v>
      </c>
      <c r="F3131" s="1930" t="s">
        <v>33</v>
      </c>
      <c r="G3131" s="1932">
        <v>94653</v>
      </c>
      <c r="H3131" s="1930" t="s">
        <v>2324</v>
      </c>
      <c r="I3131" s="1930" t="s">
        <v>136</v>
      </c>
      <c r="J3131" s="1930" t="s">
        <v>320</v>
      </c>
      <c r="K3131" s="1933">
        <v>40.1</v>
      </c>
      <c r="L3131" s="1930" t="s">
        <v>138</v>
      </c>
    </row>
    <row r="3132" spans="1:12" ht="13.5" x14ac:dyDescent="0.25">
      <c r="A3132" s="1930" t="s">
        <v>4646</v>
      </c>
      <c r="B3132" s="1930" t="s">
        <v>4647</v>
      </c>
      <c r="C3132" s="1930" t="s">
        <v>4648</v>
      </c>
      <c r="D3132" s="1930" t="s">
        <v>4649</v>
      </c>
      <c r="E3132" s="1931" t="s">
        <v>33</v>
      </c>
      <c r="F3132" s="1930" t="s">
        <v>33</v>
      </c>
      <c r="G3132" s="1932">
        <v>94654</v>
      </c>
      <c r="H3132" s="1930" t="s">
        <v>2325</v>
      </c>
      <c r="I3132" s="1930" t="s">
        <v>136</v>
      </c>
      <c r="J3132" s="1930" t="s">
        <v>320</v>
      </c>
      <c r="K3132" s="1933">
        <v>53.77</v>
      </c>
      <c r="L3132" s="1930" t="s">
        <v>138</v>
      </c>
    </row>
    <row r="3133" spans="1:12" ht="13.5" x14ac:dyDescent="0.25">
      <c r="A3133" s="1930" t="s">
        <v>4646</v>
      </c>
      <c r="B3133" s="1930" t="s">
        <v>4647</v>
      </c>
      <c r="C3133" s="1930" t="s">
        <v>4648</v>
      </c>
      <c r="D3133" s="1930" t="s">
        <v>4649</v>
      </c>
      <c r="E3133" s="1931" t="s">
        <v>33</v>
      </c>
      <c r="F3133" s="1930" t="s">
        <v>33</v>
      </c>
      <c r="G3133" s="1932">
        <v>94655</v>
      </c>
      <c r="H3133" s="1930" t="s">
        <v>2326</v>
      </c>
      <c r="I3133" s="1930" t="s">
        <v>136</v>
      </c>
      <c r="J3133" s="1930" t="s">
        <v>320</v>
      </c>
      <c r="K3133" s="1933">
        <v>74.77</v>
      </c>
      <c r="L3133" s="1930" t="s">
        <v>138</v>
      </c>
    </row>
    <row r="3134" spans="1:12" ht="13.5" x14ac:dyDescent="0.25">
      <c r="A3134" s="1930" t="s">
        <v>4646</v>
      </c>
      <c r="B3134" s="1930" t="s">
        <v>4647</v>
      </c>
      <c r="C3134" s="1930" t="s">
        <v>4648</v>
      </c>
      <c r="D3134" s="1930" t="s">
        <v>4649</v>
      </c>
      <c r="E3134" s="1931" t="s">
        <v>33</v>
      </c>
      <c r="F3134" s="1930" t="s">
        <v>33</v>
      </c>
      <c r="G3134" s="1932">
        <v>94716</v>
      </c>
      <c r="H3134" s="1930" t="s">
        <v>2327</v>
      </c>
      <c r="I3134" s="1930" t="s">
        <v>136</v>
      </c>
      <c r="J3134" s="1930" t="s">
        <v>320</v>
      </c>
      <c r="K3134" s="1933">
        <v>15.46</v>
      </c>
      <c r="L3134" s="1930" t="s">
        <v>138</v>
      </c>
    </row>
    <row r="3135" spans="1:12" ht="13.5" x14ac:dyDescent="0.25">
      <c r="A3135" s="1930" t="s">
        <v>4646</v>
      </c>
      <c r="B3135" s="1930" t="s">
        <v>4647</v>
      </c>
      <c r="C3135" s="1930" t="s">
        <v>4648</v>
      </c>
      <c r="D3135" s="1930" t="s">
        <v>4649</v>
      </c>
      <c r="E3135" s="1931" t="s">
        <v>33</v>
      </c>
      <c r="F3135" s="1930" t="s">
        <v>33</v>
      </c>
      <c r="G3135" s="1932">
        <v>94717</v>
      </c>
      <c r="H3135" s="1930" t="s">
        <v>2328</v>
      </c>
      <c r="I3135" s="1930" t="s">
        <v>136</v>
      </c>
      <c r="J3135" s="1930" t="s">
        <v>320</v>
      </c>
      <c r="K3135" s="1933">
        <v>22.18</v>
      </c>
      <c r="L3135" s="1930" t="s">
        <v>138</v>
      </c>
    </row>
    <row r="3136" spans="1:12" ht="13.5" x14ac:dyDescent="0.25">
      <c r="A3136" s="1930" t="s">
        <v>4646</v>
      </c>
      <c r="B3136" s="1930" t="s">
        <v>4647</v>
      </c>
      <c r="C3136" s="1930" t="s">
        <v>4648</v>
      </c>
      <c r="D3136" s="1930" t="s">
        <v>4649</v>
      </c>
      <c r="E3136" s="1931" t="s">
        <v>33</v>
      </c>
      <c r="F3136" s="1930" t="s">
        <v>33</v>
      </c>
      <c r="G3136" s="1932">
        <v>94718</v>
      </c>
      <c r="H3136" s="1930" t="s">
        <v>2329</v>
      </c>
      <c r="I3136" s="1930" t="s">
        <v>136</v>
      </c>
      <c r="J3136" s="1930" t="s">
        <v>320</v>
      </c>
      <c r="K3136" s="1933">
        <v>27.54</v>
      </c>
      <c r="L3136" s="1930" t="s">
        <v>138</v>
      </c>
    </row>
    <row r="3137" spans="1:12" ht="13.5" x14ac:dyDescent="0.25">
      <c r="A3137" s="1930" t="s">
        <v>4646</v>
      </c>
      <c r="B3137" s="1930" t="s">
        <v>4647</v>
      </c>
      <c r="C3137" s="1930" t="s">
        <v>4648</v>
      </c>
      <c r="D3137" s="1930" t="s">
        <v>4649</v>
      </c>
      <c r="E3137" s="1931" t="s">
        <v>33</v>
      </c>
      <c r="F3137" s="1930" t="s">
        <v>33</v>
      </c>
      <c r="G3137" s="1932">
        <v>94719</v>
      </c>
      <c r="H3137" s="1930" t="s">
        <v>2330</v>
      </c>
      <c r="I3137" s="1930" t="s">
        <v>136</v>
      </c>
      <c r="J3137" s="1930" t="s">
        <v>320</v>
      </c>
      <c r="K3137" s="1933">
        <v>35.61</v>
      </c>
      <c r="L3137" s="1930" t="s">
        <v>138</v>
      </c>
    </row>
    <row r="3138" spans="1:12" ht="13.5" x14ac:dyDescent="0.25">
      <c r="A3138" s="1930" t="s">
        <v>4646</v>
      </c>
      <c r="B3138" s="1930" t="s">
        <v>4647</v>
      </c>
      <c r="C3138" s="1930" t="s">
        <v>4648</v>
      </c>
      <c r="D3138" s="1930" t="s">
        <v>4649</v>
      </c>
      <c r="E3138" s="1931" t="s">
        <v>33</v>
      </c>
      <c r="F3138" s="1930" t="s">
        <v>33</v>
      </c>
      <c r="G3138" s="1932">
        <v>94720</v>
      </c>
      <c r="H3138" s="1930" t="s">
        <v>2331</v>
      </c>
      <c r="I3138" s="1930" t="s">
        <v>136</v>
      </c>
      <c r="J3138" s="1930" t="s">
        <v>320</v>
      </c>
      <c r="K3138" s="1933">
        <v>54.1</v>
      </c>
      <c r="L3138" s="1930" t="s">
        <v>138</v>
      </c>
    </row>
    <row r="3139" spans="1:12" ht="13.5" x14ac:dyDescent="0.25">
      <c r="A3139" s="1930" t="s">
        <v>4646</v>
      </c>
      <c r="B3139" s="1930" t="s">
        <v>4647</v>
      </c>
      <c r="C3139" s="1930" t="s">
        <v>4648</v>
      </c>
      <c r="D3139" s="1930" t="s">
        <v>4649</v>
      </c>
      <c r="E3139" s="1931" t="s">
        <v>33</v>
      </c>
      <c r="F3139" s="1930" t="s">
        <v>33</v>
      </c>
      <c r="G3139" s="1932">
        <v>94721</v>
      </c>
      <c r="H3139" s="1930" t="s">
        <v>2332</v>
      </c>
      <c r="I3139" s="1930" t="s">
        <v>136</v>
      </c>
      <c r="J3139" s="1930" t="s">
        <v>320</v>
      </c>
      <c r="K3139" s="1933">
        <v>77.73</v>
      </c>
      <c r="L3139" s="1930" t="s">
        <v>138</v>
      </c>
    </row>
    <row r="3140" spans="1:12" ht="13.5" x14ac:dyDescent="0.25">
      <c r="A3140" s="1930" t="s">
        <v>4646</v>
      </c>
      <c r="B3140" s="1930" t="s">
        <v>4647</v>
      </c>
      <c r="C3140" s="1930" t="s">
        <v>4648</v>
      </c>
      <c r="D3140" s="1930" t="s">
        <v>4649</v>
      </c>
      <c r="E3140" s="1931" t="s">
        <v>33</v>
      </c>
      <c r="F3140" s="1930" t="s">
        <v>33</v>
      </c>
      <c r="G3140" s="1932">
        <v>94722</v>
      </c>
      <c r="H3140" s="1930" t="s">
        <v>2333</v>
      </c>
      <c r="I3140" s="1930" t="s">
        <v>136</v>
      </c>
      <c r="J3140" s="1930" t="s">
        <v>320</v>
      </c>
      <c r="K3140" s="1933">
        <v>136.24</v>
      </c>
      <c r="L3140" s="1930" t="s">
        <v>138</v>
      </c>
    </row>
    <row r="3141" spans="1:12" ht="13.5" x14ac:dyDescent="0.25">
      <c r="A3141" s="1930" t="s">
        <v>4646</v>
      </c>
      <c r="B3141" s="1930" t="s">
        <v>4647</v>
      </c>
      <c r="C3141" s="1930" t="s">
        <v>4648</v>
      </c>
      <c r="D3141" s="1930" t="s">
        <v>4649</v>
      </c>
      <c r="E3141" s="1931" t="s">
        <v>33</v>
      </c>
      <c r="F3141" s="1930" t="s">
        <v>33</v>
      </c>
      <c r="G3141" s="1932">
        <v>95697</v>
      </c>
      <c r="H3141" s="1930" t="s">
        <v>5467</v>
      </c>
      <c r="I3141" s="1930" t="s">
        <v>136</v>
      </c>
      <c r="J3141" s="1930" t="s">
        <v>137</v>
      </c>
      <c r="K3141" s="1933">
        <v>48.51</v>
      </c>
      <c r="L3141" s="1930" t="s">
        <v>138</v>
      </c>
    </row>
    <row r="3142" spans="1:12" ht="13.5" x14ac:dyDescent="0.25">
      <c r="A3142" s="1930" t="s">
        <v>4646</v>
      </c>
      <c r="B3142" s="1930" t="s">
        <v>4647</v>
      </c>
      <c r="C3142" s="1930" t="s">
        <v>4648</v>
      </c>
      <c r="D3142" s="1930" t="s">
        <v>4649</v>
      </c>
      <c r="E3142" s="1931" t="s">
        <v>33</v>
      </c>
      <c r="F3142" s="1930" t="s">
        <v>33</v>
      </c>
      <c r="G3142" s="1932">
        <v>96635</v>
      </c>
      <c r="H3142" s="1930" t="s">
        <v>2334</v>
      </c>
      <c r="I3142" s="1930" t="s">
        <v>136</v>
      </c>
      <c r="J3142" s="1930" t="s">
        <v>137</v>
      </c>
      <c r="K3142" s="1933">
        <v>21.97</v>
      </c>
      <c r="L3142" s="1930" t="s">
        <v>138</v>
      </c>
    </row>
    <row r="3143" spans="1:12" ht="13.5" x14ac:dyDescent="0.25">
      <c r="A3143" s="1930" t="s">
        <v>4646</v>
      </c>
      <c r="B3143" s="1930" t="s">
        <v>4647</v>
      </c>
      <c r="C3143" s="1930" t="s">
        <v>4648</v>
      </c>
      <c r="D3143" s="1930" t="s">
        <v>4649</v>
      </c>
      <c r="E3143" s="1931" t="s">
        <v>33</v>
      </c>
      <c r="F3143" s="1930" t="s">
        <v>33</v>
      </c>
      <c r="G3143" s="1932">
        <v>96636</v>
      </c>
      <c r="H3143" s="1930" t="s">
        <v>2335</v>
      </c>
      <c r="I3143" s="1930" t="s">
        <v>136</v>
      </c>
      <c r="J3143" s="1930" t="s">
        <v>137</v>
      </c>
      <c r="K3143" s="1933">
        <v>23.24</v>
      </c>
      <c r="L3143" s="1930" t="s">
        <v>138</v>
      </c>
    </row>
    <row r="3144" spans="1:12" ht="13.5" x14ac:dyDescent="0.25">
      <c r="A3144" s="1930" t="s">
        <v>4646</v>
      </c>
      <c r="B3144" s="1930" t="s">
        <v>4647</v>
      </c>
      <c r="C3144" s="1930" t="s">
        <v>4648</v>
      </c>
      <c r="D3144" s="1930" t="s">
        <v>4649</v>
      </c>
      <c r="E3144" s="1931" t="s">
        <v>33</v>
      </c>
      <c r="F3144" s="1930" t="s">
        <v>33</v>
      </c>
      <c r="G3144" s="1932">
        <v>96644</v>
      </c>
      <c r="H3144" s="1930" t="s">
        <v>2336</v>
      </c>
      <c r="I3144" s="1930" t="s">
        <v>136</v>
      </c>
      <c r="J3144" s="1930" t="s">
        <v>137</v>
      </c>
      <c r="K3144" s="1933">
        <v>14.17</v>
      </c>
      <c r="L3144" s="1930" t="s">
        <v>138</v>
      </c>
    </row>
    <row r="3145" spans="1:12" ht="13.5" x14ac:dyDescent="0.25">
      <c r="A3145" s="1930" t="s">
        <v>4646</v>
      </c>
      <c r="B3145" s="1930" t="s">
        <v>4647</v>
      </c>
      <c r="C3145" s="1930" t="s">
        <v>4648</v>
      </c>
      <c r="D3145" s="1930" t="s">
        <v>4649</v>
      </c>
      <c r="E3145" s="1931" t="s">
        <v>33</v>
      </c>
      <c r="F3145" s="1930" t="s">
        <v>33</v>
      </c>
      <c r="G3145" s="1932">
        <v>96645</v>
      </c>
      <c r="H3145" s="1930" t="s">
        <v>2337</v>
      </c>
      <c r="I3145" s="1930" t="s">
        <v>136</v>
      </c>
      <c r="J3145" s="1930" t="s">
        <v>137</v>
      </c>
      <c r="K3145" s="1933">
        <v>18.37</v>
      </c>
      <c r="L3145" s="1930" t="s">
        <v>138</v>
      </c>
    </row>
    <row r="3146" spans="1:12" ht="13.5" x14ac:dyDescent="0.25">
      <c r="A3146" s="1930" t="s">
        <v>4646</v>
      </c>
      <c r="B3146" s="1930" t="s">
        <v>4647</v>
      </c>
      <c r="C3146" s="1930" t="s">
        <v>4648</v>
      </c>
      <c r="D3146" s="1930" t="s">
        <v>4649</v>
      </c>
      <c r="E3146" s="1931" t="s">
        <v>33</v>
      </c>
      <c r="F3146" s="1930" t="s">
        <v>33</v>
      </c>
      <c r="G3146" s="1932">
        <v>96646</v>
      </c>
      <c r="H3146" s="1930" t="s">
        <v>2338</v>
      </c>
      <c r="I3146" s="1930" t="s">
        <v>136</v>
      </c>
      <c r="J3146" s="1930" t="s">
        <v>137</v>
      </c>
      <c r="K3146" s="1933">
        <v>28.5</v>
      </c>
      <c r="L3146" s="1930" t="s">
        <v>138</v>
      </c>
    </row>
    <row r="3147" spans="1:12" ht="13.5" x14ac:dyDescent="0.25">
      <c r="A3147" s="1930" t="s">
        <v>4646</v>
      </c>
      <c r="B3147" s="1930" t="s">
        <v>4647</v>
      </c>
      <c r="C3147" s="1930" t="s">
        <v>4648</v>
      </c>
      <c r="D3147" s="1930" t="s">
        <v>4649</v>
      </c>
      <c r="E3147" s="1931" t="s">
        <v>33</v>
      </c>
      <c r="F3147" s="1930" t="s">
        <v>33</v>
      </c>
      <c r="G3147" s="1932">
        <v>96647</v>
      </c>
      <c r="H3147" s="1930" t="s">
        <v>2339</v>
      </c>
      <c r="I3147" s="1930" t="s">
        <v>136</v>
      </c>
      <c r="J3147" s="1930" t="s">
        <v>137</v>
      </c>
      <c r="K3147" s="1933">
        <v>12.76</v>
      </c>
      <c r="L3147" s="1930" t="s">
        <v>138</v>
      </c>
    </row>
    <row r="3148" spans="1:12" ht="13.5" x14ac:dyDescent="0.25">
      <c r="A3148" s="1930" t="s">
        <v>4646</v>
      </c>
      <c r="B3148" s="1930" t="s">
        <v>4647</v>
      </c>
      <c r="C3148" s="1930" t="s">
        <v>4648</v>
      </c>
      <c r="D3148" s="1930" t="s">
        <v>4649</v>
      </c>
      <c r="E3148" s="1931" t="s">
        <v>33</v>
      </c>
      <c r="F3148" s="1930" t="s">
        <v>33</v>
      </c>
      <c r="G3148" s="1932">
        <v>96648</v>
      </c>
      <c r="H3148" s="1930" t="s">
        <v>2340</v>
      </c>
      <c r="I3148" s="1930" t="s">
        <v>136</v>
      </c>
      <c r="J3148" s="1930" t="s">
        <v>137</v>
      </c>
      <c r="K3148" s="1933">
        <v>23.3</v>
      </c>
      <c r="L3148" s="1930" t="s">
        <v>138</v>
      </c>
    </row>
    <row r="3149" spans="1:12" ht="13.5" x14ac:dyDescent="0.25">
      <c r="A3149" s="1930" t="s">
        <v>4646</v>
      </c>
      <c r="B3149" s="1930" t="s">
        <v>4647</v>
      </c>
      <c r="C3149" s="1930" t="s">
        <v>4648</v>
      </c>
      <c r="D3149" s="1930" t="s">
        <v>4649</v>
      </c>
      <c r="E3149" s="1931" t="s">
        <v>33</v>
      </c>
      <c r="F3149" s="1930" t="s">
        <v>33</v>
      </c>
      <c r="G3149" s="1932">
        <v>96649</v>
      </c>
      <c r="H3149" s="1930" t="s">
        <v>2341</v>
      </c>
      <c r="I3149" s="1930" t="s">
        <v>136</v>
      </c>
      <c r="J3149" s="1930" t="s">
        <v>137</v>
      </c>
      <c r="K3149" s="1933">
        <v>34.4</v>
      </c>
      <c r="L3149" s="1930" t="s">
        <v>138</v>
      </c>
    </row>
    <row r="3150" spans="1:12" ht="13.5" x14ac:dyDescent="0.25">
      <c r="A3150" s="1930" t="s">
        <v>4646</v>
      </c>
      <c r="B3150" s="1930" t="s">
        <v>4647</v>
      </c>
      <c r="C3150" s="1930" t="s">
        <v>4648</v>
      </c>
      <c r="D3150" s="1930" t="s">
        <v>4649</v>
      </c>
      <c r="E3150" s="1931" t="s">
        <v>33</v>
      </c>
      <c r="F3150" s="1930" t="s">
        <v>33</v>
      </c>
      <c r="G3150" s="1932">
        <v>96668</v>
      </c>
      <c r="H3150" s="1930" t="s">
        <v>2342</v>
      </c>
      <c r="I3150" s="1930" t="s">
        <v>136</v>
      </c>
      <c r="J3150" s="1930" t="s">
        <v>137</v>
      </c>
      <c r="K3150" s="1933">
        <v>8.74</v>
      </c>
      <c r="L3150" s="1930" t="s">
        <v>138</v>
      </c>
    </row>
    <row r="3151" spans="1:12" ht="13.5" x14ac:dyDescent="0.25">
      <c r="A3151" s="1930" t="s">
        <v>4646</v>
      </c>
      <c r="B3151" s="1930" t="s">
        <v>4647</v>
      </c>
      <c r="C3151" s="1930" t="s">
        <v>4648</v>
      </c>
      <c r="D3151" s="1930" t="s">
        <v>4649</v>
      </c>
      <c r="E3151" s="1931" t="s">
        <v>33</v>
      </c>
      <c r="F3151" s="1930" t="s">
        <v>33</v>
      </c>
      <c r="G3151" s="1932">
        <v>96669</v>
      </c>
      <c r="H3151" s="1930" t="s">
        <v>2343</v>
      </c>
      <c r="I3151" s="1930" t="s">
        <v>136</v>
      </c>
      <c r="J3151" s="1930" t="s">
        <v>137</v>
      </c>
      <c r="K3151" s="1933">
        <v>10.85</v>
      </c>
      <c r="L3151" s="1930" t="s">
        <v>138</v>
      </c>
    </row>
    <row r="3152" spans="1:12" ht="13.5" x14ac:dyDescent="0.25">
      <c r="A3152" s="1930" t="s">
        <v>4646</v>
      </c>
      <c r="B3152" s="1930" t="s">
        <v>4647</v>
      </c>
      <c r="C3152" s="1930" t="s">
        <v>4648</v>
      </c>
      <c r="D3152" s="1930" t="s">
        <v>4649</v>
      </c>
      <c r="E3152" s="1931" t="s">
        <v>33</v>
      </c>
      <c r="F3152" s="1930" t="s">
        <v>33</v>
      </c>
      <c r="G3152" s="1932">
        <v>96670</v>
      </c>
      <c r="H3152" s="1930" t="s">
        <v>2344</v>
      </c>
      <c r="I3152" s="1930" t="s">
        <v>136</v>
      </c>
      <c r="J3152" s="1930" t="s">
        <v>137</v>
      </c>
      <c r="K3152" s="1933">
        <v>16.47</v>
      </c>
      <c r="L3152" s="1930" t="s">
        <v>138</v>
      </c>
    </row>
    <row r="3153" spans="1:12" ht="13.5" x14ac:dyDescent="0.25">
      <c r="A3153" s="1930" t="s">
        <v>4646</v>
      </c>
      <c r="B3153" s="1930" t="s">
        <v>4647</v>
      </c>
      <c r="C3153" s="1930" t="s">
        <v>4648</v>
      </c>
      <c r="D3153" s="1930" t="s">
        <v>4649</v>
      </c>
      <c r="E3153" s="1931" t="s">
        <v>33</v>
      </c>
      <c r="F3153" s="1930" t="s">
        <v>33</v>
      </c>
      <c r="G3153" s="1932">
        <v>96671</v>
      </c>
      <c r="H3153" s="1930" t="s">
        <v>2345</v>
      </c>
      <c r="I3153" s="1930" t="s">
        <v>136</v>
      </c>
      <c r="J3153" s="1930" t="s">
        <v>137</v>
      </c>
      <c r="K3153" s="1933">
        <v>22.08</v>
      </c>
      <c r="L3153" s="1930" t="s">
        <v>138</v>
      </c>
    </row>
    <row r="3154" spans="1:12" ht="13.5" x14ac:dyDescent="0.25">
      <c r="A3154" s="1930" t="s">
        <v>4646</v>
      </c>
      <c r="B3154" s="1930" t="s">
        <v>4647</v>
      </c>
      <c r="C3154" s="1930" t="s">
        <v>4648</v>
      </c>
      <c r="D3154" s="1930" t="s">
        <v>4649</v>
      </c>
      <c r="E3154" s="1931" t="s">
        <v>33</v>
      </c>
      <c r="F3154" s="1930" t="s">
        <v>33</v>
      </c>
      <c r="G3154" s="1932">
        <v>96672</v>
      </c>
      <c r="H3154" s="1930" t="s">
        <v>2346</v>
      </c>
      <c r="I3154" s="1930" t="s">
        <v>136</v>
      </c>
      <c r="J3154" s="1930" t="s">
        <v>137</v>
      </c>
      <c r="K3154" s="1933">
        <v>32.42</v>
      </c>
      <c r="L3154" s="1930" t="s">
        <v>138</v>
      </c>
    </row>
    <row r="3155" spans="1:12" ht="13.5" x14ac:dyDescent="0.25">
      <c r="A3155" s="1930" t="s">
        <v>4646</v>
      </c>
      <c r="B3155" s="1930" t="s">
        <v>4647</v>
      </c>
      <c r="C3155" s="1930" t="s">
        <v>4648</v>
      </c>
      <c r="D3155" s="1930" t="s">
        <v>4649</v>
      </c>
      <c r="E3155" s="1931" t="s">
        <v>33</v>
      </c>
      <c r="F3155" s="1930" t="s">
        <v>33</v>
      </c>
      <c r="G3155" s="1932">
        <v>96673</v>
      </c>
      <c r="H3155" s="1930" t="s">
        <v>2347</v>
      </c>
      <c r="I3155" s="1930" t="s">
        <v>136</v>
      </c>
      <c r="J3155" s="1930" t="s">
        <v>137</v>
      </c>
      <c r="K3155" s="1933">
        <v>52.87</v>
      </c>
      <c r="L3155" s="1930" t="s">
        <v>138</v>
      </c>
    </row>
    <row r="3156" spans="1:12" ht="13.5" x14ac:dyDescent="0.25">
      <c r="A3156" s="1930" t="s">
        <v>4646</v>
      </c>
      <c r="B3156" s="1930" t="s">
        <v>4647</v>
      </c>
      <c r="C3156" s="1930" t="s">
        <v>4648</v>
      </c>
      <c r="D3156" s="1930" t="s">
        <v>4649</v>
      </c>
      <c r="E3156" s="1931" t="s">
        <v>33</v>
      </c>
      <c r="F3156" s="1930" t="s">
        <v>33</v>
      </c>
      <c r="G3156" s="1932">
        <v>96674</v>
      </c>
      <c r="H3156" s="1930" t="s">
        <v>2348</v>
      </c>
      <c r="I3156" s="1930" t="s">
        <v>136</v>
      </c>
      <c r="J3156" s="1930" t="s">
        <v>137</v>
      </c>
      <c r="K3156" s="1933">
        <v>74.3</v>
      </c>
      <c r="L3156" s="1930" t="s">
        <v>138</v>
      </c>
    </row>
    <row r="3157" spans="1:12" ht="13.5" x14ac:dyDescent="0.25">
      <c r="A3157" s="1930" t="s">
        <v>4646</v>
      </c>
      <c r="B3157" s="1930" t="s">
        <v>4647</v>
      </c>
      <c r="C3157" s="1930" t="s">
        <v>4648</v>
      </c>
      <c r="D3157" s="1930" t="s">
        <v>4649</v>
      </c>
      <c r="E3157" s="1931" t="s">
        <v>33</v>
      </c>
      <c r="F3157" s="1930" t="s">
        <v>33</v>
      </c>
      <c r="G3157" s="1932">
        <v>96675</v>
      </c>
      <c r="H3157" s="1930" t="s">
        <v>2349</v>
      </c>
      <c r="I3157" s="1930" t="s">
        <v>136</v>
      </c>
      <c r="J3157" s="1930" t="s">
        <v>137</v>
      </c>
      <c r="K3157" s="1933">
        <v>128.93</v>
      </c>
      <c r="L3157" s="1930" t="s">
        <v>138</v>
      </c>
    </row>
    <row r="3158" spans="1:12" ht="13.5" x14ac:dyDescent="0.25">
      <c r="A3158" s="1930" t="s">
        <v>4646</v>
      </c>
      <c r="B3158" s="1930" t="s">
        <v>4647</v>
      </c>
      <c r="C3158" s="1930" t="s">
        <v>4648</v>
      </c>
      <c r="D3158" s="1930" t="s">
        <v>4649</v>
      </c>
      <c r="E3158" s="1931" t="s">
        <v>33</v>
      </c>
      <c r="F3158" s="1930" t="s">
        <v>33</v>
      </c>
      <c r="G3158" s="1932">
        <v>96676</v>
      </c>
      <c r="H3158" s="1930" t="s">
        <v>2350</v>
      </c>
      <c r="I3158" s="1930" t="s">
        <v>136</v>
      </c>
      <c r="J3158" s="1930" t="s">
        <v>137</v>
      </c>
      <c r="K3158" s="1933">
        <v>8.6999999999999993</v>
      </c>
      <c r="L3158" s="1930" t="s">
        <v>138</v>
      </c>
    </row>
    <row r="3159" spans="1:12" ht="13.5" x14ac:dyDescent="0.25">
      <c r="A3159" s="1930" t="s">
        <v>4646</v>
      </c>
      <c r="B3159" s="1930" t="s">
        <v>4647</v>
      </c>
      <c r="C3159" s="1930" t="s">
        <v>4648</v>
      </c>
      <c r="D3159" s="1930" t="s">
        <v>4649</v>
      </c>
      <c r="E3159" s="1931" t="s">
        <v>33</v>
      </c>
      <c r="F3159" s="1930" t="s">
        <v>33</v>
      </c>
      <c r="G3159" s="1932">
        <v>96677</v>
      </c>
      <c r="H3159" s="1930" t="s">
        <v>2351</v>
      </c>
      <c r="I3159" s="1930" t="s">
        <v>136</v>
      </c>
      <c r="J3159" s="1930" t="s">
        <v>137</v>
      </c>
      <c r="K3159" s="1933">
        <v>14.34</v>
      </c>
      <c r="L3159" s="1930" t="s">
        <v>138</v>
      </c>
    </row>
    <row r="3160" spans="1:12" ht="13.5" x14ac:dyDescent="0.25">
      <c r="A3160" s="1930" t="s">
        <v>4646</v>
      </c>
      <c r="B3160" s="1930" t="s">
        <v>4647</v>
      </c>
      <c r="C3160" s="1930" t="s">
        <v>4648</v>
      </c>
      <c r="D3160" s="1930" t="s">
        <v>4649</v>
      </c>
      <c r="E3160" s="1931" t="s">
        <v>33</v>
      </c>
      <c r="F3160" s="1930" t="s">
        <v>33</v>
      </c>
      <c r="G3160" s="1932">
        <v>96678</v>
      </c>
      <c r="H3160" s="1930" t="s">
        <v>2352</v>
      </c>
      <c r="I3160" s="1930" t="s">
        <v>136</v>
      </c>
      <c r="J3160" s="1930" t="s">
        <v>137</v>
      </c>
      <c r="K3160" s="1933">
        <v>19.93</v>
      </c>
      <c r="L3160" s="1930" t="s">
        <v>138</v>
      </c>
    </row>
    <row r="3161" spans="1:12" ht="13.5" x14ac:dyDescent="0.25">
      <c r="A3161" s="1930" t="s">
        <v>4646</v>
      </c>
      <c r="B3161" s="1930" t="s">
        <v>4647</v>
      </c>
      <c r="C3161" s="1930" t="s">
        <v>4648</v>
      </c>
      <c r="D3161" s="1930" t="s">
        <v>4649</v>
      </c>
      <c r="E3161" s="1931" t="s">
        <v>33</v>
      </c>
      <c r="F3161" s="1930" t="s">
        <v>33</v>
      </c>
      <c r="G3161" s="1932">
        <v>96679</v>
      </c>
      <c r="H3161" s="1930" t="s">
        <v>2353</v>
      </c>
      <c r="I3161" s="1930" t="s">
        <v>136</v>
      </c>
      <c r="J3161" s="1930" t="s">
        <v>137</v>
      </c>
      <c r="K3161" s="1933">
        <v>29.1</v>
      </c>
      <c r="L3161" s="1930" t="s">
        <v>138</v>
      </c>
    </row>
    <row r="3162" spans="1:12" ht="13.5" x14ac:dyDescent="0.25">
      <c r="A3162" s="1930" t="s">
        <v>4646</v>
      </c>
      <c r="B3162" s="1930" t="s">
        <v>4647</v>
      </c>
      <c r="C3162" s="1930" t="s">
        <v>4648</v>
      </c>
      <c r="D3162" s="1930" t="s">
        <v>4649</v>
      </c>
      <c r="E3162" s="1931" t="s">
        <v>33</v>
      </c>
      <c r="F3162" s="1930" t="s">
        <v>33</v>
      </c>
      <c r="G3162" s="1932">
        <v>96680</v>
      </c>
      <c r="H3162" s="1930" t="s">
        <v>2354</v>
      </c>
      <c r="I3162" s="1930" t="s">
        <v>136</v>
      </c>
      <c r="J3162" s="1930" t="s">
        <v>137</v>
      </c>
      <c r="K3162" s="1933">
        <v>39.26</v>
      </c>
      <c r="L3162" s="1930" t="s">
        <v>138</v>
      </c>
    </row>
    <row r="3163" spans="1:12" ht="13.5" x14ac:dyDescent="0.25">
      <c r="A3163" s="1930" t="s">
        <v>4646</v>
      </c>
      <c r="B3163" s="1930" t="s">
        <v>4647</v>
      </c>
      <c r="C3163" s="1930" t="s">
        <v>4648</v>
      </c>
      <c r="D3163" s="1930" t="s">
        <v>4649</v>
      </c>
      <c r="E3163" s="1931" t="s">
        <v>33</v>
      </c>
      <c r="F3163" s="1930" t="s">
        <v>33</v>
      </c>
      <c r="G3163" s="1932">
        <v>96681</v>
      </c>
      <c r="H3163" s="1930" t="s">
        <v>2355</v>
      </c>
      <c r="I3163" s="1930" t="s">
        <v>136</v>
      </c>
      <c r="J3163" s="1930" t="s">
        <v>137</v>
      </c>
      <c r="K3163" s="1933">
        <v>73.03</v>
      </c>
      <c r="L3163" s="1930" t="s">
        <v>138</v>
      </c>
    </row>
    <row r="3164" spans="1:12" ht="13.5" x14ac:dyDescent="0.25">
      <c r="A3164" s="1930" t="s">
        <v>4646</v>
      </c>
      <c r="B3164" s="1930" t="s">
        <v>4647</v>
      </c>
      <c r="C3164" s="1930" t="s">
        <v>4648</v>
      </c>
      <c r="D3164" s="1930" t="s">
        <v>4649</v>
      </c>
      <c r="E3164" s="1931" t="s">
        <v>33</v>
      </c>
      <c r="F3164" s="1930" t="s">
        <v>33</v>
      </c>
      <c r="G3164" s="1932">
        <v>96682</v>
      </c>
      <c r="H3164" s="1930" t="s">
        <v>2356</v>
      </c>
      <c r="I3164" s="1930" t="s">
        <v>136</v>
      </c>
      <c r="J3164" s="1930" t="s">
        <v>137</v>
      </c>
      <c r="K3164" s="1933">
        <v>107.68</v>
      </c>
      <c r="L3164" s="1930" t="s">
        <v>138</v>
      </c>
    </row>
    <row r="3165" spans="1:12" ht="13.5" x14ac:dyDescent="0.25">
      <c r="A3165" s="1930" t="s">
        <v>4646</v>
      </c>
      <c r="B3165" s="1930" t="s">
        <v>4647</v>
      </c>
      <c r="C3165" s="1930" t="s">
        <v>4648</v>
      </c>
      <c r="D3165" s="1930" t="s">
        <v>4649</v>
      </c>
      <c r="E3165" s="1931" t="s">
        <v>33</v>
      </c>
      <c r="F3165" s="1930" t="s">
        <v>33</v>
      </c>
      <c r="G3165" s="1932">
        <v>96683</v>
      </c>
      <c r="H3165" s="1930" t="s">
        <v>2357</v>
      </c>
      <c r="I3165" s="1930" t="s">
        <v>136</v>
      </c>
      <c r="J3165" s="1930" t="s">
        <v>137</v>
      </c>
      <c r="K3165" s="1933">
        <v>147.52000000000001</v>
      </c>
      <c r="L3165" s="1930" t="s">
        <v>138</v>
      </c>
    </row>
    <row r="3166" spans="1:12" ht="13.5" x14ac:dyDescent="0.25">
      <c r="A3166" s="1930" t="s">
        <v>4646</v>
      </c>
      <c r="B3166" s="1930" t="s">
        <v>4647</v>
      </c>
      <c r="C3166" s="1930" t="s">
        <v>4648</v>
      </c>
      <c r="D3166" s="1930" t="s">
        <v>4649</v>
      </c>
      <c r="E3166" s="1931" t="s">
        <v>33</v>
      </c>
      <c r="F3166" s="1930" t="s">
        <v>33</v>
      </c>
      <c r="G3166" s="1932">
        <v>96718</v>
      </c>
      <c r="H3166" s="1930" t="s">
        <v>2358</v>
      </c>
      <c r="I3166" s="1930" t="s">
        <v>136</v>
      </c>
      <c r="J3166" s="1930" t="s">
        <v>137</v>
      </c>
      <c r="K3166" s="1933">
        <v>5.67</v>
      </c>
      <c r="L3166" s="1930" t="s">
        <v>138</v>
      </c>
    </row>
    <row r="3167" spans="1:12" ht="13.5" x14ac:dyDescent="0.25">
      <c r="A3167" s="1930" t="s">
        <v>4646</v>
      </c>
      <c r="B3167" s="1930" t="s">
        <v>4647</v>
      </c>
      <c r="C3167" s="1930" t="s">
        <v>4648</v>
      </c>
      <c r="D3167" s="1930" t="s">
        <v>4649</v>
      </c>
      <c r="E3167" s="1931" t="s">
        <v>33</v>
      </c>
      <c r="F3167" s="1930" t="s">
        <v>33</v>
      </c>
      <c r="G3167" s="1932">
        <v>96719</v>
      </c>
      <c r="H3167" s="1930" t="s">
        <v>2359</v>
      </c>
      <c r="I3167" s="1930" t="s">
        <v>136</v>
      </c>
      <c r="J3167" s="1930" t="s">
        <v>137</v>
      </c>
      <c r="K3167" s="1933">
        <v>12</v>
      </c>
      <c r="L3167" s="1930" t="s">
        <v>138</v>
      </c>
    </row>
    <row r="3168" spans="1:12" ht="13.5" x14ac:dyDescent="0.25">
      <c r="A3168" s="1930" t="s">
        <v>4646</v>
      </c>
      <c r="B3168" s="1930" t="s">
        <v>4647</v>
      </c>
      <c r="C3168" s="1930" t="s">
        <v>4648</v>
      </c>
      <c r="D3168" s="1930" t="s">
        <v>4649</v>
      </c>
      <c r="E3168" s="1931" t="s">
        <v>33</v>
      </c>
      <c r="F3168" s="1930" t="s">
        <v>33</v>
      </c>
      <c r="G3168" s="1932">
        <v>96720</v>
      </c>
      <c r="H3168" s="1930" t="s">
        <v>2360</v>
      </c>
      <c r="I3168" s="1930" t="s">
        <v>136</v>
      </c>
      <c r="J3168" s="1930" t="s">
        <v>137</v>
      </c>
      <c r="K3168" s="1933">
        <v>14.55</v>
      </c>
      <c r="L3168" s="1930" t="s">
        <v>138</v>
      </c>
    </row>
    <row r="3169" spans="1:12" ht="13.5" x14ac:dyDescent="0.25">
      <c r="A3169" s="1930" t="s">
        <v>4646</v>
      </c>
      <c r="B3169" s="1930" t="s">
        <v>4647</v>
      </c>
      <c r="C3169" s="1930" t="s">
        <v>4648</v>
      </c>
      <c r="D3169" s="1930" t="s">
        <v>4649</v>
      </c>
      <c r="E3169" s="1931" t="s">
        <v>33</v>
      </c>
      <c r="F3169" s="1930" t="s">
        <v>33</v>
      </c>
      <c r="G3169" s="1932">
        <v>96721</v>
      </c>
      <c r="H3169" s="1930" t="s">
        <v>2361</v>
      </c>
      <c r="I3169" s="1930" t="s">
        <v>136</v>
      </c>
      <c r="J3169" s="1930" t="s">
        <v>137</v>
      </c>
      <c r="K3169" s="1933">
        <v>19.34</v>
      </c>
      <c r="L3169" s="1930" t="s">
        <v>138</v>
      </c>
    </row>
    <row r="3170" spans="1:12" ht="13.5" x14ac:dyDescent="0.25">
      <c r="A3170" s="1930" t="s">
        <v>4646</v>
      </c>
      <c r="B3170" s="1930" t="s">
        <v>4647</v>
      </c>
      <c r="C3170" s="1930" t="s">
        <v>4648</v>
      </c>
      <c r="D3170" s="1930" t="s">
        <v>4649</v>
      </c>
      <c r="E3170" s="1931" t="s">
        <v>33</v>
      </c>
      <c r="F3170" s="1930" t="s">
        <v>33</v>
      </c>
      <c r="G3170" s="1932">
        <v>96722</v>
      </c>
      <c r="H3170" s="1930" t="s">
        <v>2362</v>
      </c>
      <c r="I3170" s="1930" t="s">
        <v>136</v>
      </c>
      <c r="J3170" s="1930" t="s">
        <v>137</v>
      </c>
      <c r="K3170" s="1933">
        <v>26.53</v>
      </c>
      <c r="L3170" s="1930" t="s">
        <v>138</v>
      </c>
    </row>
    <row r="3171" spans="1:12" ht="13.5" x14ac:dyDescent="0.25">
      <c r="A3171" s="1930" t="s">
        <v>4646</v>
      </c>
      <c r="B3171" s="1930" t="s">
        <v>4647</v>
      </c>
      <c r="C3171" s="1930" t="s">
        <v>4648</v>
      </c>
      <c r="D3171" s="1930" t="s">
        <v>4649</v>
      </c>
      <c r="E3171" s="1931" t="s">
        <v>33</v>
      </c>
      <c r="F3171" s="1930" t="s">
        <v>33</v>
      </c>
      <c r="G3171" s="1932">
        <v>96723</v>
      </c>
      <c r="H3171" s="1930" t="s">
        <v>2363</v>
      </c>
      <c r="I3171" s="1930" t="s">
        <v>136</v>
      </c>
      <c r="J3171" s="1930" t="s">
        <v>137</v>
      </c>
      <c r="K3171" s="1933">
        <v>34.92</v>
      </c>
      <c r="L3171" s="1930" t="s">
        <v>138</v>
      </c>
    </row>
    <row r="3172" spans="1:12" ht="13.5" x14ac:dyDescent="0.25">
      <c r="A3172" s="1930" t="s">
        <v>4646</v>
      </c>
      <c r="B3172" s="1930" t="s">
        <v>4647</v>
      </c>
      <c r="C3172" s="1930" t="s">
        <v>4648</v>
      </c>
      <c r="D3172" s="1930" t="s">
        <v>4649</v>
      </c>
      <c r="E3172" s="1931" t="s">
        <v>33</v>
      </c>
      <c r="F3172" s="1930" t="s">
        <v>33</v>
      </c>
      <c r="G3172" s="1932">
        <v>96724</v>
      </c>
      <c r="H3172" s="1930" t="s">
        <v>2364</v>
      </c>
      <c r="I3172" s="1930" t="s">
        <v>136</v>
      </c>
      <c r="J3172" s="1930" t="s">
        <v>137</v>
      </c>
      <c r="K3172" s="1933">
        <v>57.05</v>
      </c>
      <c r="L3172" s="1930" t="s">
        <v>138</v>
      </c>
    </row>
    <row r="3173" spans="1:12" ht="13.5" x14ac:dyDescent="0.25">
      <c r="A3173" s="1930" t="s">
        <v>4646</v>
      </c>
      <c r="B3173" s="1930" t="s">
        <v>4647</v>
      </c>
      <c r="C3173" s="1930" t="s">
        <v>4648</v>
      </c>
      <c r="D3173" s="1930" t="s">
        <v>4649</v>
      </c>
      <c r="E3173" s="1931" t="s">
        <v>33</v>
      </c>
      <c r="F3173" s="1930" t="s">
        <v>33</v>
      </c>
      <c r="G3173" s="1932">
        <v>96725</v>
      </c>
      <c r="H3173" s="1930" t="s">
        <v>2365</v>
      </c>
      <c r="I3173" s="1930" t="s">
        <v>136</v>
      </c>
      <c r="J3173" s="1930" t="s">
        <v>137</v>
      </c>
      <c r="K3173" s="1933">
        <v>74.56</v>
      </c>
      <c r="L3173" s="1930" t="s">
        <v>138</v>
      </c>
    </row>
    <row r="3174" spans="1:12" ht="13.5" x14ac:dyDescent="0.25">
      <c r="A3174" s="1930" t="s">
        <v>4646</v>
      </c>
      <c r="B3174" s="1930" t="s">
        <v>4647</v>
      </c>
      <c r="C3174" s="1930" t="s">
        <v>4648</v>
      </c>
      <c r="D3174" s="1930" t="s">
        <v>4649</v>
      </c>
      <c r="E3174" s="1931" t="s">
        <v>33</v>
      </c>
      <c r="F3174" s="1930" t="s">
        <v>33</v>
      </c>
      <c r="G3174" s="1932">
        <v>96726</v>
      </c>
      <c r="H3174" s="1930" t="s">
        <v>2366</v>
      </c>
      <c r="I3174" s="1930" t="s">
        <v>136</v>
      </c>
      <c r="J3174" s="1930" t="s">
        <v>137</v>
      </c>
      <c r="K3174" s="1933">
        <v>121.47</v>
      </c>
      <c r="L3174" s="1930" t="s">
        <v>138</v>
      </c>
    </row>
    <row r="3175" spans="1:12" ht="13.5" x14ac:dyDescent="0.25">
      <c r="A3175" s="1930" t="s">
        <v>4646</v>
      </c>
      <c r="B3175" s="1930" t="s">
        <v>4647</v>
      </c>
      <c r="C3175" s="1930" t="s">
        <v>4648</v>
      </c>
      <c r="D3175" s="1930" t="s">
        <v>4649</v>
      </c>
      <c r="E3175" s="1931" t="s">
        <v>33</v>
      </c>
      <c r="F3175" s="1930" t="s">
        <v>33</v>
      </c>
      <c r="G3175" s="1932">
        <v>96727</v>
      </c>
      <c r="H3175" s="1930" t="s">
        <v>2367</v>
      </c>
      <c r="I3175" s="1930" t="s">
        <v>136</v>
      </c>
      <c r="J3175" s="1930" t="s">
        <v>137</v>
      </c>
      <c r="K3175" s="1933">
        <v>10.48</v>
      </c>
      <c r="L3175" s="1930" t="s">
        <v>138</v>
      </c>
    </row>
    <row r="3176" spans="1:12" ht="13.5" x14ac:dyDescent="0.25">
      <c r="A3176" s="1930" t="s">
        <v>4646</v>
      </c>
      <c r="B3176" s="1930" t="s">
        <v>4647</v>
      </c>
      <c r="C3176" s="1930" t="s">
        <v>4648</v>
      </c>
      <c r="D3176" s="1930" t="s">
        <v>4649</v>
      </c>
      <c r="E3176" s="1931" t="s">
        <v>33</v>
      </c>
      <c r="F3176" s="1930" t="s">
        <v>33</v>
      </c>
      <c r="G3176" s="1932">
        <v>96728</v>
      </c>
      <c r="H3176" s="1930" t="s">
        <v>2368</v>
      </c>
      <c r="I3176" s="1930" t="s">
        <v>136</v>
      </c>
      <c r="J3176" s="1930" t="s">
        <v>137</v>
      </c>
      <c r="K3176" s="1933">
        <v>12.43</v>
      </c>
      <c r="L3176" s="1930" t="s">
        <v>138</v>
      </c>
    </row>
    <row r="3177" spans="1:12" ht="13.5" x14ac:dyDescent="0.25">
      <c r="A3177" s="1930" t="s">
        <v>4646</v>
      </c>
      <c r="B3177" s="1930" t="s">
        <v>4647</v>
      </c>
      <c r="C3177" s="1930" t="s">
        <v>4648</v>
      </c>
      <c r="D3177" s="1930" t="s">
        <v>4649</v>
      </c>
      <c r="E3177" s="1931" t="s">
        <v>33</v>
      </c>
      <c r="F3177" s="1930" t="s">
        <v>33</v>
      </c>
      <c r="G3177" s="1932">
        <v>96729</v>
      </c>
      <c r="H3177" s="1930" t="s">
        <v>2369</v>
      </c>
      <c r="I3177" s="1930" t="s">
        <v>136</v>
      </c>
      <c r="J3177" s="1930" t="s">
        <v>137</v>
      </c>
      <c r="K3177" s="1933">
        <v>18.68</v>
      </c>
      <c r="L3177" s="1930" t="s">
        <v>138</v>
      </c>
    </row>
    <row r="3178" spans="1:12" ht="13.5" x14ac:dyDescent="0.25">
      <c r="A3178" s="1930" t="s">
        <v>4646</v>
      </c>
      <c r="B3178" s="1930" t="s">
        <v>4647</v>
      </c>
      <c r="C3178" s="1930" t="s">
        <v>4648</v>
      </c>
      <c r="D3178" s="1930" t="s">
        <v>4649</v>
      </c>
      <c r="E3178" s="1931" t="s">
        <v>33</v>
      </c>
      <c r="F3178" s="1930" t="s">
        <v>33</v>
      </c>
      <c r="G3178" s="1932">
        <v>96730</v>
      </c>
      <c r="H3178" s="1930" t="s">
        <v>2370</v>
      </c>
      <c r="I3178" s="1930" t="s">
        <v>136</v>
      </c>
      <c r="J3178" s="1930" t="s">
        <v>137</v>
      </c>
      <c r="K3178" s="1933">
        <v>23.38</v>
      </c>
      <c r="L3178" s="1930" t="s">
        <v>138</v>
      </c>
    </row>
    <row r="3179" spans="1:12" ht="13.5" x14ac:dyDescent="0.25">
      <c r="A3179" s="1930" t="s">
        <v>4646</v>
      </c>
      <c r="B3179" s="1930" t="s">
        <v>4647</v>
      </c>
      <c r="C3179" s="1930" t="s">
        <v>4648</v>
      </c>
      <c r="D3179" s="1930" t="s">
        <v>4649</v>
      </c>
      <c r="E3179" s="1931" t="s">
        <v>33</v>
      </c>
      <c r="F3179" s="1930" t="s">
        <v>33</v>
      </c>
      <c r="G3179" s="1932">
        <v>96731</v>
      </c>
      <c r="H3179" s="1930" t="s">
        <v>2371</v>
      </c>
      <c r="I3179" s="1930" t="s">
        <v>136</v>
      </c>
      <c r="J3179" s="1930" t="s">
        <v>137</v>
      </c>
      <c r="K3179" s="1933">
        <v>34.26</v>
      </c>
      <c r="L3179" s="1930" t="s">
        <v>138</v>
      </c>
    </row>
    <row r="3180" spans="1:12" ht="13.5" x14ac:dyDescent="0.25">
      <c r="A3180" s="1930" t="s">
        <v>4646</v>
      </c>
      <c r="B3180" s="1930" t="s">
        <v>4647</v>
      </c>
      <c r="C3180" s="1930" t="s">
        <v>4648</v>
      </c>
      <c r="D3180" s="1930" t="s">
        <v>4649</v>
      </c>
      <c r="E3180" s="1931" t="s">
        <v>33</v>
      </c>
      <c r="F3180" s="1930" t="s">
        <v>33</v>
      </c>
      <c r="G3180" s="1932">
        <v>96732</v>
      </c>
      <c r="H3180" s="1930" t="s">
        <v>2372</v>
      </c>
      <c r="I3180" s="1930" t="s">
        <v>136</v>
      </c>
      <c r="J3180" s="1930" t="s">
        <v>137</v>
      </c>
      <c r="K3180" s="1933">
        <v>42.22</v>
      </c>
      <c r="L3180" s="1930" t="s">
        <v>138</v>
      </c>
    </row>
    <row r="3181" spans="1:12" ht="13.5" x14ac:dyDescent="0.25">
      <c r="A3181" s="1930" t="s">
        <v>4646</v>
      </c>
      <c r="B3181" s="1930" t="s">
        <v>4647</v>
      </c>
      <c r="C3181" s="1930" t="s">
        <v>4648</v>
      </c>
      <c r="D3181" s="1930" t="s">
        <v>4649</v>
      </c>
      <c r="E3181" s="1931" t="s">
        <v>33</v>
      </c>
      <c r="F3181" s="1930" t="s">
        <v>33</v>
      </c>
      <c r="G3181" s="1932">
        <v>96733</v>
      </c>
      <c r="H3181" s="1930" t="s">
        <v>2373</v>
      </c>
      <c r="I3181" s="1930" t="s">
        <v>136</v>
      </c>
      <c r="J3181" s="1930" t="s">
        <v>137</v>
      </c>
      <c r="K3181" s="1933">
        <v>77.31</v>
      </c>
      <c r="L3181" s="1930" t="s">
        <v>138</v>
      </c>
    </row>
    <row r="3182" spans="1:12" ht="13.5" x14ac:dyDescent="0.25">
      <c r="A3182" s="1930" t="s">
        <v>4646</v>
      </c>
      <c r="B3182" s="1930" t="s">
        <v>4647</v>
      </c>
      <c r="C3182" s="1930" t="s">
        <v>4648</v>
      </c>
      <c r="D3182" s="1930" t="s">
        <v>4649</v>
      </c>
      <c r="E3182" s="1931" t="s">
        <v>33</v>
      </c>
      <c r="F3182" s="1930" t="s">
        <v>33</v>
      </c>
      <c r="G3182" s="1932">
        <v>96734</v>
      </c>
      <c r="H3182" s="1930" t="s">
        <v>2374</v>
      </c>
      <c r="I3182" s="1930" t="s">
        <v>136</v>
      </c>
      <c r="J3182" s="1930" t="s">
        <v>137</v>
      </c>
      <c r="K3182" s="1933">
        <v>106.64</v>
      </c>
      <c r="L3182" s="1930" t="s">
        <v>138</v>
      </c>
    </row>
    <row r="3183" spans="1:12" ht="13.5" x14ac:dyDescent="0.25">
      <c r="A3183" s="1930" t="s">
        <v>4646</v>
      </c>
      <c r="B3183" s="1930" t="s">
        <v>4647</v>
      </c>
      <c r="C3183" s="1930" t="s">
        <v>4648</v>
      </c>
      <c r="D3183" s="1930" t="s">
        <v>4649</v>
      </c>
      <c r="E3183" s="1931" t="s">
        <v>33</v>
      </c>
      <c r="F3183" s="1930" t="s">
        <v>33</v>
      </c>
      <c r="G3183" s="1932">
        <v>96735</v>
      </c>
      <c r="H3183" s="1930" t="s">
        <v>2375</v>
      </c>
      <c r="I3183" s="1930" t="s">
        <v>136</v>
      </c>
      <c r="J3183" s="1930" t="s">
        <v>137</v>
      </c>
      <c r="K3183" s="1933">
        <v>139.58000000000001</v>
      </c>
      <c r="L3183" s="1930" t="s">
        <v>138</v>
      </c>
    </row>
    <row r="3184" spans="1:12" ht="13.5" x14ac:dyDescent="0.25">
      <c r="A3184" s="1930" t="s">
        <v>4646</v>
      </c>
      <c r="B3184" s="1930" t="s">
        <v>4647</v>
      </c>
      <c r="C3184" s="1930" t="s">
        <v>4648</v>
      </c>
      <c r="D3184" s="1930" t="s">
        <v>4649</v>
      </c>
      <c r="E3184" s="1931" t="s">
        <v>33</v>
      </c>
      <c r="F3184" s="1930" t="s">
        <v>33</v>
      </c>
      <c r="G3184" s="1932">
        <v>96794</v>
      </c>
      <c r="H3184" s="1930" t="s">
        <v>2376</v>
      </c>
      <c r="I3184" s="1930" t="s">
        <v>136</v>
      </c>
      <c r="J3184" s="1930" t="s">
        <v>137</v>
      </c>
      <c r="K3184" s="1933">
        <v>6.29</v>
      </c>
      <c r="L3184" s="1930" t="s">
        <v>138</v>
      </c>
    </row>
    <row r="3185" spans="1:12" ht="13.5" x14ac:dyDescent="0.25">
      <c r="A3185" s="1930" t="s">
        <v>4646</v>
      </c>
      <c r="B3185" s="1930" t="s">
        <v>4647</v>
      </c>
      <c r="C3185" s="1930" t="s">
        <v>4648</v>
      </c>
      <c r="D3185" s="1930" t="s">
        <v>4649</v>
      </c>
      <c r="E3185" s="1931" t="s">
        <v>33</v>
      </c>
      <c r="F3185" s="1930" t="s">
        <v>33</v>
      </c>
      <c r="G3185" s="1932">
        <v>96795</v>
      </c>
      <c r="H3185" s="1930" t="s">
        <v>2377</v>
      </c>
      <c r="I3185" s="1930" t="s">
        <v>136</v>
      </c>
      <c r="J3185" s="1930" t="s">
        <v>137</v>
      </c>
      <c r="K3185" s="1933">
        <v>7.97</v>
      </c>
      <c r="L3185" s="1930" t="s">
        <v>138</v>
      </c>
    </row>
    <row r="3186" spans="1:12" ht="13.5" x14ac:dyDescent="0.25">
      <c r="A3186" s="1930" t="s">
        <v>4646</v>
      </c>
      <c r="B3186" s="1930" t="s">
        <v>4647</v>
      </c>
      <c r="C3186" s="1930" t="s">
        <v>4648</v>
      </c>
      <c r="D3186" s="1930" t="s">
        <v>4649</v>
      </c>
      <c r="E3186" s="1931" t="s">
        <v>33</v>
      </c>
      <c r="F3186" s="1930" t="s">
        <v>33</v>
      </c>
      <c r="G3186" s="1932">
        <v>96796</v>
      </c>
      <c r="H3186" s="1930" t="s">
        <v>2378</v>
      </c>
      <c r="I3186" s="1930" t="s">
        <v>136</v>
      </c>
      <c r="J3186" s="1930" t="s">
        <v>137</v>
      </c>
      <c r="K3186" s="1933">
        <v>11.1</v>
      </c>
      <c r="L3186" s="1930" t="s">
        <v>138</v>
      </c>
    </row>
    <row r="3187" spans="1:12" ht="13.5" x14ac:dyDescent="0.25">
      <c r="A3187" s="1930" t="s">
        <v>4646</v>
      </c>
      <c r="B3187" s="1930" t="s">
        <v>4647</v>
      </c>
      <c r="C3187" s="1930" t="s">
        <v>4648</v>
      </c>
      <c r="D3187" s="1930" t="s">
        <v>4649</v>
      </c>
      <c r="E3187" s="1931" t="s">
        <v>33</v>
      </c>
      <c r="F3187" s="1930" t="s">
        <v>33</v>
      </c>
      <c r="G3187" s="1932">
        <v>96797</v>
      </c>
      <c r="H3187" s="1930" t="s">
        <v>2379</v>
      </c>
      <c r="I3187" s="1930" t="s">
        <v>136</v>
      </c>
      <c r="J3187" s="1930" t="s">
        <v>137</v>
      </c>
      <c r="K3187" s="1933">
        <v>16.63</v>
      </c>
      <c r="L3187" s="1930" t="s">
        <v>138</v>
      </c>
    </row>
    <row r="3188" spans="1:12" ht="13.5" x14ac:dyDescent="0.25">
      <c r="A3188" s="1930" t="s">
        <v>4646</v>
      </c>
      <c r="B3188" s="1930" t="s">
        <v>4647</v>
      </c>
      <c r="C3188" s="1930" t="s">
        <v>4648</v>
      </c>
      <c r="D3188" s="1930" t="s">
        <v>4649</v>
      </c>
      <c r="E3188" s="1931" t="s">
        <v>33</v>
      </c>
      <c r="F3188" s="1930" t="s">
        <v>33</v>
      </c>
      <c r="G3188" s="1932">
        <v>96798</v>
      </c>
      <c r="H3188" s="1930" t="s">
        <v>2380</v>
      </c>
      <c r="I3188" s="1930" t="s">
        <v>136</v>
      </c>
      <c r="J3188" s="1930" t="s">
        <v>137</v>
      </c>
      <c r="K3188" s="1933">
        <v>6.4</v>
      </c>
      <c r="L3188" s="1930" t="s">
        <v>138</v>
      </c>
    </row>
    <row r="3189" spans="1:12" ht="13.5" x14ac:dyDescent="0.25">
      <c r="A3189" s="1930" t="s">
        <v>4646</v>
      </c>
      <c r="B3189" s="1930" t="s">
        <v>4647</v>
      </c>
      <c r="C3189" s="1930" t="s">
        <v>4648</v>
      </c>
      <c r="D3189" s="1930" t="s">
        <v>4649</v>
      </c>
      <c r="E3189" s="1931" t="s">
        <v>33</v>
      </c>
      <c r="F3189" s="1930" t="s">
        <v>33</v>
      </c>
      <c r="G3189" s="1932">
        <v>96799</v>
      </c>
      <c r="H3189" s="1930" t="s">
        <v>2381</v>
      </c>
      <c r="I3189" s="1930" t="s">
        <v>136</v>
      </c>
      <c r="J3189" s="1930" t="s">
        <v>137</v>
      </c>
      <c r="K3189" s="1933">
        <v>8.58</v>
      </c>
      <c r="L3189" s="1930" t="s">
        <v>138</v>
      </c>
    </row>
    <row r="3190" spans="1:12" ht="13.5" x14ac:dyDescent="0.25">
      <c r="A3190" s="1930" t="s">
        <v>4646</v>
      </c>
      <c r="B3190" s="1930" t="s">
        <v>4647</v>
      </c>
      <c r="C3190" s="1930" t="s">
        <v>4648</v>
      </c>
      <c r="D3190" s="1930" t="s">
        <v>4649</v>
      </c>
      <c r="E3190" s="1931" t="s">
        <v>33</v>
      </c>
      <c r="F3190" s="1930" t="s">
        <v>33</v>
      </c>
      <c r="G3190" s="1932">
        <v>96800</v>
      </c>
      <c r="H3190" s="1930" t="s">
        <v>2382</v>
      </c>
      <c r="I3190" s="1930" t="s">
        <v>136</v>
      </c>
      <c r="J3190" s="1930" t="s">
        <v>137</v>
      </c>
      <c r="K3190" s="1933">
        <v>12.37</v>
      </c>
      <c r="L3190" s="1930" t="s">
        <v>138</v>
      </c>
    </row>
    <row r="3191" spans="1:12" ht="13.5" x14ac:dyDescent="0.25">
      <c r="A3191" s="1930" t="s">
        <v>4646</v>
      </c>
      <c r="B3191" s="1930" t="s">
        <v>4647</v>
      </c>
      <c r="C3191" s="1930" t="s">
        <v>4648</v>
      </c>
      <c r="D3191" s="1930" t="s">
        <v>4649</v>
      </c>
      <c r="E3191" s="1931" t="s">
        <v>33</v>
      </c>
      <c r="F3191" s="1930" t="s">
        <v>33</v>
      </c>
      <c r="G3191" s="1932">
        <v>96801</v>
      </c>
      <c r="H3191" s="1930" t="s">
        <v>2383</v>
      </c>
      <c r="I3191" s="1930" t="s">
        <v>136</v>
      </c>
      <c r="J3191" s="1930" t="s">
        <v>137</v>
      </c>
      <c r="K3191" s="1933">
        <v>18.82</v>
      </c>
      <c r="L3191" s="1930" t="s">
        <v>138</v>
      </c>
    </row>
    <row r="3192" spans="1:12" ht="13.5" x14ac:dyDescent="0.25">
      <c r="A3192" s="1930" t="s">
        <v>4646</v>
      </c>
      <c r="B3192" s="1930" t="s">
        <v>4647</v>
      </c>
      <c r="C3192" s="1930" t="s">
        <v>4648</v>
      </c>
      <c r="D3192" s="1930" t="s">
        <v>4649</v>
      </c>
      <c r="E3192" s="1931" t="s">
        <v>33</v>
      </c>
      <c r="F3192" s="1930" t="s">
        <v>33</v>
      </c>
      <c r="G3192" s="1932">
        <v>97327</v>
      </c>
      <c r="H3192" s="1930" t="s">
        <v>6433</v>
      </c>
      <c r="I3192" s="1930" t="s">
        <v>136</v>
      </c>
      <c r="J3192" s="1930" t="s">
        <v>137</v>
      </c>
      <c r="K3192" s="1933">
        <v>18.690000000000001</v>
      </c>
      <c r="L3192" s="1930" t="s">
        <v>138</v>
      </c>
    </row>
    <row r="3193" spans="1:12" ht="13.5" x14ac:dyDescent="0.25">
      <c r="A3193" s="1930" t="s">
        <v>4646</v>
      </c>
      <c r="B3193" s="1930" t="s">
        <v>4647</v>
      </c>
      <c r="C3193" s="1930" t="s">
        <v>4648</v>
      </c>
      <c r="D3193" s="1930" t="s">
        <v>4649</v>
      </c>
      <c r="E3193" s="1931" t="s">
        <v>33</v>
      </c>
      <c r="F3193" s="1930" t="s">
        <v>33</v>
      </c>
      <c r="G3193" s="1932">
        <v>97328</v>
      </c>
      <c r="H3193" s="1930" t="s">
        <v>6434</v>
      </c>
      <c r="I3193" s="1930" t="s">
        <v>136</v>
      </c>
      <c r="J3193" s="1930" t="s">
        <v>137</v>
      </c>
      <c r="K3193" s="1933">
        <v>32.24</v>
      </c>
      <c r="L3193" s="1930" t="s">
        <v>138</v>
      </c>
    </row>
    <row r="3194" spans="1:12" ht="13.5" x14ac:dyDescent="0.25">
      <c r="A3194" s="1930" t="s">
        <v>4646</v>
      </c>
      <c r="B3194" s="1930" t="s">
        <v>4647</v>
      </c>
      <c r="C3194" s="1930" t="s">
        <v>4648</v>
      </c>
      <c r="D3194" s="1930" t="s">
        <v>4649</v>
      </c>
      <c r="E3194" s="1931" t="s">
        <v>33</v>
      </c>
      <c r="F3194" s="1930" t="s">
        <v>33</v>
      </c>
      <c r="G3194" s="1932">
        <v>97329</v>
      </c>
      <c r="H3194" s="1930" t="s">
        <v>6435</v>
      </c>
      <c r="I3194" s="1930" t="s">
        <v>136</v>
      </c>
      <c r="J3194" s="1930" t="s">
        <v>137</v>
      </c>
      <c r="K3194" s="1933">
        <v>40.33</v>
      </c>
      <c r="L3194" s="1930" t="s">
        <v>138</v>
      </c>
    </row>
    <row r="3195" spans="1:12" ht="13.5" x14ac:dyDescent="0.25">
      <c r="A3195" s="1930" t="s">
        <v>4646</v>
      </c>
      <c r="B3195" s="1930" t="s">
        <v>4647</v>
      </c>
      <c r="C3195" s="1930" t="s">
        <v>4648</v>
      </c>
      <c r="D3195" s="1930" t="s">
        <v>4649</v>
      </c>
      <c r="E3195" s="1931" t="s">
        <v>33</v>
      </c>
      <c r="F3195" s="1930" t="s">
        <v>33</v>
      </c>
      <c r="G3195" s="1932">
        <v>97330</v>
      </c>
      <c r="H3195" s="1930" t="s">
        <v>6436</v>
      </c>
      <c r="I3195" s="1930" t="s">
        <v>136</v>
      </c>
      <c r="J3195" s="1930" t="s">
        <v>137</v>
      </c>
      <c r="K3195" s="1933">
        <v>49.16</v>
      </c>
      <c r="L3195" s="1930" t="s">
        <v>138</v>
      </c>
    </row>
    <row r="3196" spans="1:12" ht="13.5" x14ac:dyDescent="0.25">
      <c r="A3196" s="1930" t="s">
        <v>4646</v>
      </c>
      <c r="B3196" s="1930" t="s">
        <v>4647</v>
      </c>
      <c r="C3196" s="1930" t="s">
        <v>4648</v>
      </c>
      <c r="D3196" s="1930" t="s">
        <v>4649</v>
      </c>
      <c r="E3196" s="1931" t="s">
        <v>33</v>
      </c>
      <c r="F3196" s="1930" t="s">
        <v>33</v>
      </c>
      <c r="G3196" s="1932">
        <v>97331</v>
      </c>
      <c r="H3196" s="1930" t="s">
        <v>6437</v>
      </c>
      <c r="I3196" s="1930" t="s">
        <v>136</v>
      </c>
      <c r="J3196" s="1930" t="s">
        <v>137</v>
      </c>
      <c r="K3196" s="1933">
        <v>18.940000000000001</v>
      </c>
      <c r="L3196" s="1930" t="s">
        <v>138</v>
      </c>
    </row>
    <row r="3197" spans="1:12" ht="13.5" x14ac:dyDescent="0.25">
      <c r="A3197" s="1930" t="s">
        <v>4646</v>
      </c>
      <c r="B3197" s="1930" t="s">
        <v>4647</v>
      </c>
      <c r="C3197" s="1930" t="s">
        <v>4648</v>
      </c>
      <c r="D3197" s="1930" t="s">
        <v>4649</v>
      </c>
      <c r="E3197" s="1931" t="s">
        <v>33</v>
      </c>
      <c r="F3197" s="1930" t="s">
        <v>33</v>
      </c>
      <c r="G3197" s="1932">
        <v>97332</v>
      </c>
      <c r="H3197" s="1930" t="s">
        <v>6438</v>
      </c>
      <c r="I3197" s="1930" t="s">
        <v>136</v>
      </c>
      <c r="J3197" s="1930" t="s">
        <v>137</v>
      </c>
      <c r="K3197" s="1933">
        <v>32.53</v>
      </c>
      <c r="L3197" s="1930" t="s">
        <v>138</v>
      </c>
    </row>
    <row r="3198" spans="1:12" ht="13.5" x14ac:dyDescent="0.25">
      <c r="A3198" s="1930" t="s">
        <v>4646</v>
      </c>
      <c r="B3198" s="1930" t="s">
        <v>4647</v>
      </c>
      <c r="C3198" s="1930" t="s">
        <v>4648</v>
      </c>
      <c r="D3198" s="1930" t="s">
        <v>4649</v>
      </c>
      <c r="E3198" s="1931" t="s">
        <v>33</v>
      </c>
      <c r="F3198" s="1930" t="s">
        <v>33</v>
      </c>
      <c r="G3198" s="1932">
        <v>97333</v>
      </c>
      <c r="H3198" s="1930" t="s">
        <v>6439</v>
      </c>
      <c r="I3198" s="1930" t="s">
        <v>136</v>
      </c>
      <c r="J3198" s="1930" t="s">
        <v>137</v>
      </c>
      <c r="K3198" s="1933">
        <v>40.69</v>
      </c>
      <c r="L3198" s="1930" t="s">
        <v>138</v>
      </c>
    </row>
    <row r="3199" spans="1:12" ht="13.5" x14ac:dyDescent="0.25">
      <c r="A3199" s="1930" t="s">
        <v>4646</v>
      </c>
      <c r="B3199" s="1930" t="s">
        <v>4647</v>
      </c>
      <c r="C3199" s="1930" t="s">
        <v>4648</v>
      </c>
      <c r="D3199" s="1930" t="s">
        <v>4649</v>
      </c>
      <c r="E3199" s="1931" t="s">
        <v>33</v>
      </c>
      <c r="F3199" s="1930" t="s">
        <v>33</v>
      </c>
      <c r="G3199" s="1932">
        <v>97334</v>
      </c>
      <c r="H3199" s="1930" t="s">
        <v>6440</v>
      </c>
      <c r="I3199" s="1930" t="s">
        <v>136</v>
      </c>
      <c r="J3199" s="1930" t="s">
        <v>137</v>
      </c>
      <c r="K3199" s="1933">
        <v>49.54</v>
      </c>
      <c r="L3199" s="1930" t="s">
        <v>138</v>
      </c>
    </row>
    <row r="3200" spans="1:12" ht="13.5" x14ac:dyDescent="0.25">
      <c r="A3200" s="1930" t="s">
        <v>4646</v>
      </c>
      <c r="B3200" s="1930" t="s">
        <v>4647</v>
      </c>
      <c r="C3200" s="1930" t="s">
        <v>4648</v>
      </c>
      <c r="D3200" s="1930" t="s">
        <v>4649</v>
      </c>
      <c r="E3200" s="1931" t="s">
        <v>33</v>
      </c>
      <c r="F3200" s="1930" t="s">
        <v>33</v>
      </c>
      <c r="G3200" s="1932">
        <v>97335</v>
      </c>
      <c r="H3200" s="1930" t="s">
        <v>6441</v>
      </c>
      <c r="I3200" s="1930" t="s">
        <v>136</v>
      </c>
      <c r="J3200" s="1930" t="s">
        <v>137</v>
      </c>
      <c r="K3200" s="1933">
        <v>51.24</v>
      </c>
      <c r="L3200" s="1930" t="s">
        <v>138</v>
      </c>
    </row>
    <row r="3201" spans="1:12" ht="13.5" x14ac:dyDescent="0.25">
      <c r="A3201" s="1930" t="s">
        <v>4646</v>
      </c>
      <c r="B3201" s="1930" t="s">
        <v>4647</v>
      </c>
      <c r="C3201" s="1930" t="s">
        <v>4648</v>
      </c>
      <c r="D3201" s="1930" t="s">
        <v>4649</v>
      </c>
      <c r="E3201" s="1931" t="s">
        <v>33</v>
      </c>
      <c r="F3201" s="1930" t="s">
        <v>33</v>
      </c>
      <c r="G3201" s="1932">
        <v>97336</v>
      </c>
      <c r="H3201" s="1930" t="s">
        <v>6442</v>
      </c>
      <c r="I3201" s="1930" t="s">
        <v>136</v>
      </c>
      <c r="J3201" s="1930" t="s">
        <v>137</v>
      </c>
      <c r="K3201" s="1933">
        <v>65.06</v>
      </c>
      <c r="L3201" s="1930" t="s">
        <v>138</v>
      </c>
    </row>
    <row r="3202" spans="1:12" ht="13.5" x14ac:dyDescent="0.25">
      <c r="A3202" s="1930" t="s">
        <v>4646</v>
      </c>
      <c r="B3202" s="1930" t="s">
        <v>4647</v>
      </c>
      <c r="C3202" s="1930" t="s">
        <v>4648</v>
      </c>
      <c r="D3202" s="1930" t="s">
        <v>4649</v>
      </c>
      <c r="E3202" s="1931" t="s">
        <v>33</v>
      </c>
      <c r="F3202" s="1930" t="s">
        <v>33</v>
      </c>
      <c r="G3202" s="1932">
        <v>97337</v>
      </c>
      <c r="H3202" s="1930" t="s">
        <v>6443</v>
      </c>
      <c r="I3202" s="1930" t="s">
        <v>136</v>
      </c>
      <c r="J3202" s="1930" t="s">
        <v>137</v>
      </c>
      <c r="K3202" s="1933">
        <v>97.61</v>
      </c>
      <c r="L3202" s="1930" t="s">
        <v>138</v>
      </c>
    </row>
    <row r="3203" spans="1:12" ht="13.5" x14ac:dyDescent="0.25">
      <c r="A3203" s="1930" t="s">
        <v>4646</v>
      </c>
      <c r="B3203" s="1930" t="s">
        <v>4647</v>
      </c>
      <c r="C3203" s="1930" t="s">
        <v>4648</v>
      </c>
      <c r="D3203" s="1930" t="s">
        <v>4649</v>
      </c>
      <c r="E3203" s="1931" t="s">
        <v>33</v>
      </c>
      <c r="F3203" s="1930" t="s">
        <v>33</v>
      </c>
      <c r="G3203" s="1932">
        <v>97338</v>
      </c>
      <c r="H3203" s="1930" t="s">
        <v>6444</v>
      </c>
      <c r="I3203" s="1930" t="s">
        <v>136</v>
      </c>
      <c r="J3203" s="1930" t="s">
        <v>137</v>
      </c>
      <c r="K3203" s="1933">
        <v>117.32</v>
      </c>
      <c r="L3203" s="1930" t="s">
        <v>138</v>
      </c>
    </row>
    <row r="3204" spans="1:12" ht="13.5" x14ac:dyDescent="0.25">
      <c r="A3204" s="1930" t="s">
        <v>4646</v>
      </c>
      <c r="B3204" s="1930" t="s">
        <v>4647</v>
      </c>
      <c r="C3204" s="1930" t="s">
        <v>4648</v>
      </c>
      <c r="D3204" s="1930" t="s">
        <v>4649</v>
      </c>
      <c r="E3204" s="1931" t="s">
        <v>33</v>
      </c>
      <c r="F3204" s="1930" t="s">
        <v>33</v>
      </c>
      <c r="G3204" s="1932">
        <v>97339</v>
      </c>
      <c r="H3204" s="1930" t="s">
        <v>6445</v>
      </c>
      <c r="I3204" s="1930" t="s">
        <v>136</v>
      </c>
      <c r="J3204" s="1930" t="s">
        <v>137</v>
      </c>
      <c r="K3204" s="1933">
        <v>126.24</v>
      </c>
      <c r="L3204" s="1930" t="s">
        <v>138</v>
      </c>
    </row>
    <row r="3205" spans="1:12" ht="13.5" x14ac:dyDescent="0.25">
      <c r="A3205" s="1930" t="s">
        <v>4646</v>
      </c>
      <c r="B3205" s="1930" t="s">
        <v>4647</v>
      </c>
      <c r="C3205" s="1930" t="s">
        <v>4648</v>
      </c>
      <c r="D3205" s="1930" t="s">
        <v>4649</v>
      </c>
      <c r="E3205" s="1931" t="s">
        <v>33</v>
      </c>
      <c r="F3205" s="1930" t="s">
        <v>33</v>
      </c>
      <c r="G3205" s="1932">
        <v>97340</v>
      </c>
      <c r="H3205" s="1930" t="s">
        <v>6446</v>
      </c>
      <c r="I3205" s="1930" t="s">
        <v>136</v>
      </c>
      <c r="J3205" s="1930" t="s">
        <v>137</v>
      </c>
      <c r="K3205" s="1933">
        <v>126.84</v>
      </c>
      <c r="L3205" s="1930" t="s">
        <v>138</v>
      </c>
    </row>
    <row r="3206" spans="1:12" ht="13.5" x14ac:dyDescent="0.25">
      <c r="A3206" s="1930" t="s">
        <v>4646</v>
      </c>
      <c r="B3206" s="1930" t="s">
        <v>4647</v>
      </c>
      <c r="C3206" s="1930" t="s">
        <v>4648</v>
      </c>
      <c r="D3206" s="1930" t="s">
        <v>4649</v>
      </c>
      <c r="E3206" s="1931" t="s">
        <v>33</v>
      </c>
      <c r="F3206" s="1930" t="s">
        <v>33</v>
      </c>
      <c r="G3206" s="1932">
        <v>97341</v>
      </c>
      <c r="H3206" s="1930" t="s">
        <v>6447</v>
      </c>
      <c r="I3206" s="1930" t="s">
        <v>136</v>
      </c>
      <c r="J3206" s="1930" t="s">
        <v>137</v>
      </c>
      <c r="K3206" s="1933">
        <v>35.049999999999997</v>
      </c>
      <c r="L3206" s="1930" t="s">
        <v>138</v>
      </c>
    </row>
    <row r="3207" spans="1:12" ht="13.5" x14ac:dyDescent="0.25">
      <c r="A3207" s="1930" t="s">
        <v>4646</v>
      </c>
      <c r="B3207" s="1930" t="s">
        <v>4647</v>
      </c>
      <c r="C3207" s="1930" t="s">
        <v>4648</v>
      </c>
      <c r="D3207" s="1930" t="s">
        <v>4649</v>
      </c>
      <c r="E3207" s="1931" t="s">
        <v>33</v>
      </c>
      <c r="F3207" s="1930" t="s">
        <v>33</v>
      </c>
      <c r="G3207" s="1932">
        <v>97342</v>
      </c>
      <c r="H3207" s="1930" t="s">
        <v>6448</v>
      </c>
      <c r="I3207" s="1930" t="s">
        <v>136</v>
      </c>
      <c r="J3207" s="1930" t="s">
        <v>137</v>
      </c>
      <c r="K3207" s="1933">
        <v>54.66</v>
      </c>
      <c r="L3207" s="1930" t="s">
        <v>138</v>
      </c>
    </row>
    <row r="3208" spans="1:12" ht="13.5" x14ac:dyDescent="0.25">
      <c r="A3208" s="1930" t="s">
        <v>4646</v>
      </c>
      <c r="B3208" s="1930" t="s">
        <v>4647</v>
      </c>
      <c r="C3208" s="1930" t="s">
        <v>4648</v>
      </c>
      <c r="D3208" s="1930" t="s">
        <v>4649</v>
      </c>
      <c r="E3208" s="1931" t="s">
        <v>33</v>
      </c>
      <c r="F3208" s="1930" t="s">
        <v>33</v>
      </c>
      <c r="G3208" s="1932">
        <v>97343</v>
      </c>
      <c r="H3208" s="1930" t="s">
        <v>6449</v>
      </c>
      <c r="I3208" s="1930" t="s">
        <v>136</v>
      </c>
      <c r="J3208" s="1930" t="s">
        <v>137</v>
      </c>
      <c r="K3208" s="1933">
        <v>68.72</v>
      </c>
      <c r="L3208" s="1930" t="s">
        <v>138</v>
      </c>
    </row>
    <row r="3209" spans="1:12" ht="13.5" x14ac:dyDescent="0.25">
      <c r="A3209" s="1930" t="s">
        <v>4646</v>
      </c>
      <c r="B3209" s="1930" t="s">
        <v>4647</v>
      </c>
      <c r="C3209" s="1930" t="s">
        <v>4648</v>
      </c>
      <c r="D3209" s="1930" t="s">
        <v>4649</v>
      </c>
      <c r="E3209" s="1931" t="s">
        <v>33</v>
      </c>
      <c r="F3209" s="1930" t="s">
        <v>33</v>
      </c>
      <c r="G3209" s="1932">
        <v>97344</v>
      </c>
      <c r="H3209" s="1930" t="s">
        <v>6450</v>
      </c>
      <c r="I3209" s="1930" t="s">
        <v>136</v>
      </c>
      <c r="J3209" s="1930" t="s">
        <v>137</v>
      </c>
      <c r="K3209" s="1933">
        <v>42.56</v>
      </c>
      <c r="L3209" s="1930" t="s">
        <v>138</v>
      </c>
    </row>
    <row r="3210" spans="1:12" ht="13.5" x14ac:dyDescent="0.25">
      <c r="A3210" s="1930" t="s">
        <v>4646</v>
      </c>
      <c r="B3210" s="1930" t="s">
        <v>4647</v>
      </c>
      <c r="C3210" s="1930" t="s">
        <v>4648</v>
      </c>
      <c r="D3210" s="1930" t="s">
        <v>4649</v>
      </c>
      <c r="E3210" s="1931" t="s">
        <v>33</v>
      </c>
      <c r="F3210" s="1930" t="s">
        <v>33</v>
      </c>
      <c r="G3210" s="1932">
        <v>97345</v>
      </c>
      <c r="H3210" s="1930" t="s">
        <v>6451</v>
      </c>
      <c r="I3210" s="1930" t="s">
        <v>136</v>
      </c>
      <c r="J3210" s="1930" t="s">
        <v>137</v>
      </c>
      <c r="K3210" s="1933">
        <v>67.58</v>
      </c>
      <c r="L3210" s="1930" t="s">
        <v>138</v>
      </c>
    </row>
    <row r="3211" spans="1:12" ht="13.5" x14ac:dyDescent="0.25">
      <c r="A3211" s="1930" t="s">
        <v>4646</v>
      </c>
      <c r="B3211" s="1930" t="s">
        <v>4647</v>
      </c>
      <c r="C3211" s="1930" t="s">
        <v>4648</v>
      </c>
      <c r="D3211" s="1930" t="s">
        <v>4649</v>
      </c>
      <c r="E3211" s="1931" t="s">
        <v>33</v>
      </c>
      <c r="F3211" s="1930" t="s">
        <v>33</v>
      </c>
      <c r="G3211" s="1932">
        <v>97346</v>
      </c>
      <c r="H3211" s="1930" t="s">
        <v>6452</v>
      </c>
      <c r="I3211" s="1930" t="s">
        <v>136</v>
      </c>
      <c r="J3211" s="1930" t="s">
        <v>137</v>
      </c>
      <c r="K3211" s="1933">
        <v>86.33</v>
      </c>
      <c r="L3211" s="1930" t="s">
        <v>138</v>
      </c>
    </row>
    <row r="3212" spans="1:12" ht="13.5" x14ac:dyDescent="0.25">
      <c r="A3212" s="1930" t="s">
        <v>4646</v>
      </c>
      <c r="B3212" s="1930" t="s">
        <v>4647</v>
      </c>
      <c r="C3212" s="1930" t="s">
        <v>4648</v>
      </c>
      <c r="D3212" s="1930" t="s">
        <v>4649</v>
      </c>
      <c r="E3212" s="1931" t="s">
        <v>33</v>
      </c>
      <c r="F3212" s="1930" t="s">
        <v>33</v>
      </c>
      <c r="G3212" s="1932">
        <v>97347</v>
      </c>
      <c r="H3212" s="1930" t="s">
        <v>6453</v>
      </c>
      <c r="I3212" s="1930" t="s">
        <v>136</v>
      </c>
      <c r="J3212" s="1930" t="s">
        <v>137</v>
      </c>
      <c r="K3212" s="1933">
        <v>61.67</v>
      </c>
      <c r="L3212" s="1930" t="s">
        <v>138</v>
      </c>
    </row>
    <row r="3213" spans="1:12" ht="13.5" x14ac:dyDescent="0.25">
      <c r="A3213" s="1930" t="s">
        <v>4646</v>
      </c>
      <c r="B3213" s="1930" t="s">
        <v>4647</v>
      </c>
      <c r="C3213" s="1930" t="s">
        <v>4648</v>
      </c>
      <c r="D3213" s="1930" t="s">
        <v>4649</v>
      </c>
      <c r="E3213" s="1931" t="s">
        <v>33</v>
      </c>
      <c r="F3213" s="1930" t="s">
        <v>33</v>
      </c>
      <c r="G3213" s="1932">
        <v>97348</v>
      </c>
      <c r="H3213" s="1930" t="s">
        <v>6454</v>
      </c>
      <c r="I3213" s="1930" t="s">
        <v>136</v>
      </c>
      <c r="J3213" s="1930" t="s">
        <v>137</v>
      </c>
      <c r="K3213" s="1933">
        <v>85.11</v>
      </c>
      <c r="L3213" s="1930" t="s">
        <v>138</v>
      </c>
    </row>
    <row r="3214" spans="1:12" ht="13.5" x14ac:dyDescent="0.25">
      <c r="A3214" s="1930" t="s">
        <v>4646</v>
      </c>
      <c r="B3214" s="1930" t="s">
        <v>4647</v>
      </c>
      <c r="C3214" s="1930" t="s">
        <v>4648</v>
      </c>
      <c r="D3214" s="1930" t="s">
        <v>4649</v>
      </c>
      <c r="E3214" s="1931" t="s">
        <v>33</v>
      </c>
      <c r="F3214" s="1930" t="s">
        <v>33</v>
      </c>
      <c r="G3214" s="1932">
        <v>97349</v>
      </c>
      <c r="H3214" s="1930" t="s">
        <v>6455</v>
      </c>
      <c r="I3214" s="1930" t="s">
        <v>136</v>
      </c>
      <c r="J3214" s="1930" t="s">
        <v>137</v>
      </c>
      <c r="K3214" s="1933">
        <v>122.58</v>
      </c>
      <c r="L3214" s="1930" t="s">
        <v>138</v>
      </c>
    </row>
    <row r="3215" spans="1:12" ht="13.5" x14ac:dyDescent="0.25">
      <c r="A3215" s="1930" t="s">
        <v>4646</v>
      </c>
      <c r="B3215" s="1930" t="s">
        <v>4647</v>
      </c>
      <c r="C3215" s="1930" t="s">
        <v>4648</v>
      </c>
      <c r="D3215" s="1930" t="s">
        <v>4649</v>
      </c>
      <c r="E3215" s="1931" t="s">
        <v>33</v>
      </c>
      <c r="F3215" s="1930" t="s">
        <v>33</v>
      </c>
      <c r="G3215" s="1932">
        <v>97350</v>
      </c>
      <c r="H3215" s="1930" t="s">
        <v>6456</v>
      </c>
      <c r="I3215" s="1930" t="s">
        <v>136</v>
      </c>
      <c r="J3215" s="1930" t="s">
        <v>137</v>
      </c>
      <c r="K3215" s="1933">
        <v>148.82</v>
      </c>
      <c r="L3215" s="1930" t="s">
        <v>138</v>
      </c>
    </row>
    <row r="3216" spans="1:12" ht="13.5" x14ac:dyDescent="0.25">
      <c r="A3216" s="1930" t="s">
        <v>4646</v>
      </c>
      <c r="B3216" s="1930" t="s">
        <v>4647</v>
      </c>
      <c r="C3216" s="1930" t="s">
        <v>4648</v>
      </c>
      <c r="D3216" s="1930" t="s">
        <v>4649</v>
      </c>
      <c r="E3216" s="1931" t="s">
        <v>33</v>
      </c>
      <c r="F3216" s="1930" t="s">
        <v>33</v>
      </c>
      <c r="G3216" s="1932">
        <v>97351</v>
      </c>
      <c r="H3216" s="1930" t="s">
        <v>6457</v>
      </c>
      <c r="I3216" s="1930" t="s">
        <v>136</v>
      </c>
      <c r="J3216" s="1930" t="s">
        <v>137</v>
      </c>
      <c r="K3216" s="1933">
        <v>205.69</v>
      </c>
      <c r="L3216" s="1930" t="s">
        <v>138</v>
      </c>
    </row>
    <row r="3217" spans="1:12" ht="13.5" x14ac:dyDescent="0.25">
      <c r="A3217" s="1930" t="s">
        <v>4646</v>
      </c>
      <c r="B3217" s="1930" t="s">
        <v>4647</v>
      </c>
      <c r="C3217" s="1930" t="s">
        <v>4648</v>
      </c>
      <c r="D3217" s="1930" t="s">
        <v>4649</v>
      </c>
      <c r="E3217" s="1931" t="s">
        <v>33</v>
      </c>
      <c r="F3217" s="1930" t="s">
        <v>33</v>
      </c>
      <c r="G3217" s="1932">
        <v>97352</v>
      </c>
      <c r="H3217" s="1930" t="s">
        <v>6458</v>
      </c>
      <c r="I3217" s="1930" t="s">
        <v>136</v>
      </c>
      <c r="J3217" s="1930" t="s">
        <v>137</v>
      </c>
      <c r="K3217" s="1933">
        <v>266.49</v>
      </c>
      <c r="L3217" s="1930" t="s">
        <v>138</v>
      </c>
    </row>
    <row r="3218" spans="1:12" ht="13.5" x14ac:dyDescent="0.25">
      <c r="A3218" s="1930" t="s">
        <v>4646</v>
      </c>
      <c r="B3218" s="1930" t="s">
        <v>4647</v>
      </c>
      <c r="C3218" s="1930" t="s">
        <v>4648</v>
      </c>
      <c r="D3218" s="1930" t="s">
        <v>4649</v>
      </c>
      <c r="E3218" s="1931" t="s">
        <v>33</v>
      </c>
      <c r="F3218" s="1930" t="s">
        <v>33</v>
      </c>
      <c r="G3218" s="1932">
        <v>97353</v>
      </c>
      <c r="H3218" s="1930" t="s">
        <v>6459</v>
      </c>
      <c r="I3218" s="1930" t="s">
        <v>136</v>
      </c>
      <c r="J3218" s="1930" t="s">
        <v>137</v>
      </c>
      <c r="K3218" s="1933">
        <v>41.22</v>
      </c>
      <c r="L3218" s="1930" t="s">
        <v>138</v>
      </c>
    </row>
    <row r="3219" spans="1:12" ht="13.5" x14ac:dyDescent="0.25">
      <c r="A3219" s="1930" t="s">
        <v>4646</v>
      </c>
      <c r="B3219" s="1930" t="s">
        <v>4647</v>
      </c>
      <c r="C3219" s="1930" t="s">
        <v>4648</v>
      </c>
      <c r="D3219" s="1930" t="s">
        <v>4649</v>
      </c>
      <c r="E3219" s="1931" t="s">
        <v>33</v>
      </c>
      <c r="F3219" s="1930" t="s">
        <v>33</v>
      </c>
      <c r="G3219" s="1932">
        <v>97354</v>
      </c>
      <c r="H3219" s="1930" t="s">
        <v>6460</v>
      </c>
      <c r="I3219" s="1930" t="s">
        <v>136</v>
      </c>
      <c r="J3219" s="1930" t="s">
        <v>137</v>
      </c>
      <c r="K3219" s="1933">
        <v>65.09</v>
      </c>
      <c r="L3219" s="1930" t="s">
        <v>138</v>
      </c>
    </row>
    <row r="3220" spans="1:12" ht="13.5" x14ac:dyDescent="0.25">
      <c r="A3220" s="1930" t="s">
        <v>4646</v>
      </c>
      <c r="B3220" s="1930" t="s">
        <v>4647</v>
      </c>
      <c r="C3220" s="1930" t="s">
        <v>4648</v>
      </c>
      <c r="D3220" s="1930" t="s">
        <v>4649</v>
      </c>
      <c r="E3220" s="1931" t="s">
        <v>33</v>
      </c>
      <c r="F3220" s="1930" t="s">
        <v>33</v>
      </c>
      <c r="G3220" s="1932">
        <v>97355</v>
      </c>
      <c r="H3220" s="1930" t="s">
        <v>6461</v>
      </c>
      <c r="I3220" s="1930" t="s">
        <v>136</v>
      </c>
      <c r="J3220" s="1930" t="s">
        <v>137</v>
      </c>
      <c r="K3220" s="1933">
        <v>88.77</v>
      </c>
      <c r="L3220" s="1930" t="s">
        <v>138</v>
      </c>
    </row>
    <row r="3221" spans="1:12" ht="13.5" x14ac:dyDescent="0.25">
      <c r="A3221" s="1930" t="s">
        <v>4646</v>
      </c>
      <c r="B3221" s="1930" t="s">
        <v>4647</v>
      </c>
      <c r="C3221" s="1930" t="s">
        <v>4648</v>
      </c>
      <c r="D3221" s="1930" t="s">
        <v>4649</v>
      </c>
      <c r="E3221" s="1931" t="s">
        <v>33</v>
      </c>
      <c r="F3221" s="1930" t="s">
        <v>33</v>
      </c>
      <c r="G3221" s="1932">
        <v>97356</v>
      </c>
      <c r="H3221" s="1930" t="s">
        <v>6462</v>
      </c>
      <c r="I3221" s="1930" t="s">
        <v>136</v>
      </c>
      <c r="J3221" s="1930" t="s">
        <v>137</v>
      </c>
      <c r="K3221" s="1933">
        <v>48.73</v>
      </c>
      <c r="L3221" s="1930" t="s">
        <v>138</v>
      </c>
    </row>
    <row r="3222" spans="1:12" ht="13.5" x14ac:dyDescent="0.25">
      <c r="A3222" s="1930" t="s">
        <v>4646</v>
      </c>
      <c r="B3222" s="1930" t="s">
        <v>4647</v>
      </c>
      <c r="C3222" s="1930" t="s">
        <v>4648</v>
      </c>
      <c r="D3222" s="1930" t="s">
        <v>4649</v>
      </c>
      <c r="E3222" s="1931" t="s">
        <v>33</v>
      </c>
      <c r="F3222" s="1930" t="s">
        <v>33</v>
      </c>
      <c r="G3222" s="1932">
        <v>97357</v>
      </c>
      <c r="H3222" s="1930" t="s">
        <v>6463</v>
      </c>
      <c r="I3222" s="1930" t="s">
        <v>136</v>
      </c>
      <c r="J3222" s="1930" t="s">
        <v>137</v>
      </c>
      <c r="K3222" s="1933">
        <v>78.010000000000005</v>
      </c>
      <c r="L3222" s="1930" t="s">
        <v>138</v>
      </c>
    </row>
    <row r="3223" spans="1:12" ht="13.5" x14ac:dyDescent="0.25">
      <c r="A3223" s="1930" t="s">
        <v>4646</v>
      </c>
      <c r="B3223" s="1930" t="s">
        <v>4647</v>
      </c>
      <c r="C3223" s="1930" t="s">
        <v>4648</v>
      </c>
      <c r="D3223" s="1930" t="s">
        <v>4649</v>
      </c>
      <c r="E3223" s="1931" t="s">
        <v>33</v>
      </c>
      <c r="F3223" s="1930" t="s">
        <v>33</v>
      </c>
      <c r="G3223" s="1932">
        <v>97358</v>
      </c>
      <c r="H3223" s="1930" t="s">
        <v>6464</v>
      </c>
      <c r="I3223" s="1930" t="s">
        <v>136</v>
      </c>
      <c r="J3223" s="1930" t="s">
        <v>137</v>
      </c>
      <c r="K3223" s="1933">
        <v>106.38</v>
      </c>
      <c r="L3223" s="1930" t="s">
        <v>138</v>
      </c>
    </row>
    <row r="3224" spans="1:12" ht="13.5" x14ac:dyDescent="0.25">
      <c r="A3224" s="1930" t="s">
        <v>4646</v>
      </c>
      <c r="B3224" s="1930" t="s">
        <v>4647</v>
      </c>
      <c r="C3224" s="1930" t="s">
        <v>4648</v>
      </c>
      <c r="D3224" s="1930" t="s">
        <v>4649</v>
      </c>
      <c r="E3224" s="1931" t="s">
        <v>33</v>
      </c>
      <c r="F3224" s="1930" t="s">
        <v>33</v>
      </c>
      <c r="G3224" s="1932">
        <v>97498</v>
      </c>
      <c r="H3224" s="1930" t="s">
        <v>5468</v>
      </c>
      <c r="I3224" s="1930" t="s">
        <v>136</v>
      </c>
      <c r="J3224" s="1930" t="s">
        <v>320</v>
      </c>
      <c r="K3224" s="1933">
        <v>30.89</v>
      </c>
      <c r="L3224" s="1930" t="s">
        <v>138</v>
      </c>
    </row>
    <row r="3225" spans="1:12" ht="13.5" x14ac:dyDescent="0.25">
      <c r="A3225" s="1930" t="s">
        <v>4646</v>
      </c>
      <c r="B3225" s="1930" t="s">
        <v>4647</v>
      </c>
      <c r="C3225" s="1930" t="s">
        <v>4648</v>
      </c>
      <c r="D3225" s="1930" t="s">
        <v>4649</v>
      </c>
      <c r="E3225" s="1931" t="s">
        <v>33</v>
      </c>
      <c r="F3225" s="1930" t="s">
        <v>33</v>
      </c>
      <c r="G3225" s="1932">
        <v>97535</v>
      </c>
      <c r="H3225" s="1930" t="s">
        <v>5469</v>
      </c>
      <c r="I3225" s="1930" t="s">
        <v>136</v>
      </c>
      <c r="J3225" s="1930" t="s">
        <v>320</v>
      </c>
      <c r="K3225" s="1933">
        <v>34.31</v>
      </c>
      <c r="L3225" s="1930" t="s">
        <v>138</v>
      </c>
    </row>
    <row r="3226" spans="1:12" ht="13.5" x14ac:dyDescent="0.25">
      <c r="A3226" s="1930" t="s">
        <v>4646</v>
      </c>
      <c r="B3226" s="1930" t="s">
        <v>4647</v>
      </c>
      <c r="C3226" s="1930" t="s">
        <v>4648</v>
      </c>
      <c r="D3226" s="1930" t="s">
        <v>4649</v>
      </c>
      <c r="E3226" s="1931" t="s">
        <v>33</v>
      </c>
      <c r="F3226" s="1930" t="s">
        <v>33</v>
      </c>
      <c r="G3226" s="1932">
        <v>97536</v>
      </c>
      <c r="H3226" s="1930" t="s">
        <v>5470</v>
      </c>
      <c r="I3226" s="1930" t="s">
        <v>136</v>
      </c>
      <c r="J3226" s="1930" t="s">
        <v>320</v>
      </c>
      <c r="K3226" s="1933">
        <v>42.18</v>
      </c>
      <c r="L3226" s="1930" t="s">
        <v>138</v>
      </c>
    </row>
    <row r="3227" spans="1:12" ht="13.5" x14ac:dyDescent="0.25">
      <c r="A3227" s="1930" t="s">
        <v>4646</v>
      </c>
      <c r="B3227" s="1930" t="s">
        <v>4647</v>
      </c>
      <c r="C3227" s="1930" t="s">
        <v>4648</v>
      </c>
      <c r="D3227" s="1930" t="s">
        <v>4649</v>
      </c>
      <c r="E3227" s="1931" t="s">
        <v>33</v>
      </c>
      <c r="F3227" s="1930" t="s">
        <v>33</v>
      </c>
      <c r="G3227" s="1932">
        <v>100788</v>
      </c>
      <c r="H3227" s="1930" t="s">
        <v>9162</v>
      </c>
      <c r="I3227" s="1930" t="s">
        <v>168</v>
      </c>
      <c r="J3227" s="1930" t="s">
        <v>320</v>
      </c>
      <c r="K3227" s="1933">
        <v>513.27</v>
      </c>
      <c r="L3227" s="1930" t="s">
        <v>138</v>
      </c>
    </row>
    <row r="3228" spans="1:12" ht="13.5" x14ac:dyDescent="0.25">
      <c r="A3228" s="1930" t="s">
        <v>4646</v>
      </c>
      <c r="B3228" s="1930" t="s">
        <v>4647</v>
      </c>
      <c r="C3228" s="1930" t="s">
        <v>4648</v>
      </c>
      <c r="D3228" s="1930" t="s">
        <v>4649</v>
      </c>
      <c r="E3228" s="1931" t="s">
        <v>33</v>
      </c>
      <c r="F3228" s="1930" t="s">
        <v>33</v>
      </c>
      <c r="G3228" s="1932">
        <v>100791</v>
      </c>
      <c r="H3228" s="1930" t="s">
        <v>9163</v>
      </c>
      <c r="I3228" s="1930" t="s">
        <v>136</v>
      </c>
      <c r="J3228" s="1930" t="s">
        <v>137</v>
      </c>
      <c r="K3228" s="1933">
        <v>13.27</v>
      </c>
      <c r="L3228" s="1930" t="s">
        <v>138</v>
      </c>
    </row>
    <row r="3229" spans="1:12" ht="13.5" x14ac:dyDescent="0.25">
      <c r="A3229" s="1930" t="s">
        <v>4646</v>
      </c>
      <c r="B3229" s="1930" t="s">
        <v>4647</v>
      </c>
      <c r="C3229" s="1930" t="s">
        <v>4648</v>
      </c>
      <c r="D3229" s="1930" t="s">
        <v>4649</v>
      </c>
      <c r="E3229" s="1931" t="s">
        <v>33</v>
      </c>
      <c r="F3229" s="1930" t="s">
        <v>33</v>
      </c>
      <c r="G3229" s="1932">
        <v>100792</v>
      </c>
      <c r="H3229" s="1930" t="s">
        <v>9164</v>
      </c>
      <c r="I3229" s="1930" t="s">
        <v>136</v>
      </c>
      <c r="J3229" s="1930" t="s">
        <v>137</v>
      </c>
      <c r="K3229" s="1933">
        <v>19.21</v>
      </c>
      <c r="L3229" s="1930" t="s">
        <v>138</v>
      </c>
    </row>
    <row r="3230" spans="1:12" ht="13.5" x14ac:dyDescent="0.25">
      <c r="A3230" s="1930" t="s">
        <v>4646</v>
      </c>
      <c r="B3230" s="1930" t="s">
        <v>4647</v>
      </c>
      <c r="C3230" s="1930" t="s">
        <v>4648</v>
      </c>
      <c r="D3230" s="1930" t="s">
        <v>4649</v>
      </c>
      <c r="E3230" s="1931" t="s">
        <v>33</v>
      </c>
      <c r="F3230" s="1930" t="s">
        <v>33</v>
      </c>
      <c r="G3230" s="1932">
        <v>100793</v>
      </c>
      <c r="H3230" s="1930" t="s">
        <v>9165</v>
      </c>
      <c r="I3230" s="1930" t="s">
        <v>136</v>
      </c>
      <c r="J3230" s="1930" t="s">
        <v>137</v>
      </c>
      <c r="K3230" s="1933">
        <v>25.37</v>
      </c>
      <c r="L3230" s="1930" t="s">
        <v>138</v>
      </c>
    </row>
    <row r="3231" spans="1:12" ht="13.5" x14ac:dyDescent="0.25">
      <c r="A3231" s="1930" t="s">
        <v>4646</v>
      </c>
      <c r="B3231" s="1930" t="s">
        <v>4647</v>
      </c>
      <c r="C3231" s="1930" t="s">
        <v>4648</v>
      </c>
      <c r="D3231" s="1930" t="s">
        <v>4649</v>
      </c>
      <c r="E3231" s="1931" t="s">
        <v>33</v>
      </c>
      <c r="F3231" s="1930" t="s">
        <v>33</v>
      </c>
      <c r="G3231" s="1932">
        <v>100794</v>
      </c>
      <c r="H3231" s="1930" t="s">
        <v>9166</v>
      </c>
      <c r="I3231" s="1930" t="s">
        <v>136</v>
      </c>
      <c r="J3231" s="1930" t="s">
        <v>137</v>
      </c>
      <c r="K3231" s="1933">
        <v>34.090000000000003</v>
      </c>
      <c r="L3231" s="1930" t="s">
        <v>138</v>
      </c>
    </row>
    <row r="3232" spans="1:12" ht="13.5" x14ac:dyDescent="0.25">
      <c r="A3232" s="1930" t="s">
        <v>4646</v>
      </c>
      <c r="B3232" s="1930" t="s">
        <v>4647</v>
      </c>
      <c r="C3232" s="1930" t="s">
        <v>4648</v>
      </c>
      <c r="D3232" s="1930" t="s">
        <v>4649</v>
      </c>
      <c r="E3232" s="1931" t="s">
        <v>33</v>
      </c>
      <c r="F3232" s="1930" t="s">
        <v>33</v>
      </c>
      <c r="G3232" s="1932">
        <v>100803</v>
      </c>
      <c r="H3232" s="1930" t="s">
        <v>9167</v>
      </c>
      <c r="I3232" s="1930" t="s">
        <v>136</v>
      </c>
      <c r="J3232" s="1930" t="s">
        <v>137</v>
      </c>
      <c r="K3232" s="1933">
        <v>12.54</v>
      </c>
      <c r="L3232" s="1930" t="s">
        <v>138</v>
      </c>
    </row>
    <row r="3233" spans="1:12" ht="13.5" x14ac:dyDescent="0.25">
      <c r="A3233" s="1930" t="s">
        <v>4646</v>
      </c>
      <c r="B3233" s="1930" t="s">
        <v>4647</v>
      </c>
      <c r="C3233" s="1930" t="s">
        <v>4648</v>
      </c>
      <c r="D3233" s="1930" t="s">
        <v>4649</v>
      </c>
      <c r="E3233" s="1931" t="s">
        <v>33</v>
      </c>
      <c r="F3233" s="1930" t="s">
        <v>33</v>
      </c>
      <c r="G3233" s="1932">
        <v>100804</v>
      </c>
      <c r="H3233" s="1930" t="s">
        <v>9168</v>
      </c>
      <c r="I3233" s="1930" t="s">
        <v>136</v>
      </c>
      <c r="J3233" s="1930" t="s">
        <v>137</v>
      </c>
      <c r="K3233" s="1933">
        <v>18.350000000000001</v>
      </c>
      <c r="L3233" s="1930" t="s">
        <v>138</v>
      </c>
    </row>
    <row r="3234" spans="1:12" ht="13.5" x14ac:dyDescent="0.25">
      <c r="A3234" s="1930" t="s">
        <v>4646</v>
      </c>
      <c r="B3234" s="1930" t="s">
        <v>4647</v>
      </c>
      <c r="C3234" s="1930" t="s">
        <v>4648</v>
      </c>
      <c r="D3234" s="1930" t="s">
        <v>4649</v>
      </c>
      <c r="E3234" s="1931" t="s">
        <v>33</v>
      </c>
      <c r="F3234" s="1930" t="s">
        <v>33</v>
      </c>
      <c r="G3234" s="1932">
        <v>100805</v>
      </c>
      <c r="H3234" s="1930" t="s">
        <v>9169</v>
      </c>
      <c r="I3234" s="1930" t="s">
        <v>136</v>
      </c>
      <c r="J3234" s="1930" t="s">
        <v>137</v>
      </c>
      <c r="K3234" s="1933">
        <v>24.34</v>
      </c>
      <c r="L3234" s="1930" t="s">
        <v>138</v>
      </c>
    </row>
    <row r="3235" spans="1:12" ht="13.5" x14ac:dyDescent="0.25">
      <c r="A3235" s="1930" t="s">
        <v>4646</v>
      </c>
      <c r="B3235" s="1930" t="s">
        <v>4647</v>
      </c>
      <c r="C3235" s="1930" t="s">
        <v>4648</v>
      </c>
      <c r="D3235" s="1930" t="s">
        <v>4649</v>
      </c>
      <c r="E3235" s="1931" t="s">
        <v>33</v>
      </c>
      <c r="F3235" s="1930" t="s">
        <v>33</v>
      </c>
      <c r="G3235" s="1932">
        <v>100806</v>
      </c>
      <c r="H3235" s="1930" t="s">
        <v>9170</v>
      </c>
      <c r="I3235" s="1930" t="s">
        <v>136</v>
      </c>
      <c r="J3235" s="1930" t="s">
        <v>137</v>
      </c>
      <c r="K3235" s="1933">
        <v>32.82</v>
      </c>
      <c r="L3235" s="1930" t="s">
        <v>138</v>
      </c>
    </row>
    <row r="3236" spans="1:12" ht="13.5" x14ac:dyDescent="0.25">
      <c r="A3236" s="1930" t="s">
        <v>4646</v>
      </c>
      <c r="B3236" s="1930" t="s">
        <v>4647</v>
      </c>
      <c r="C3236" s="1930" t="s">
        <v>4594</v>
      </c>
      <c r="D3236" s="1930" t="s">
        <v>4650</v>
      </c>
      <c r="E3236" s="1931" t="s">
        <v>33</v>
      </c>
      <c r="F3236" s="1930" t="s">
        <v>33</v>
      </c>
      <c r="G3236" s="1932">
        <v>72306</v>
      </c>
      <c r="H3236" s="1930" t="s">
        <v>2384</v>
      </c>
      <c r="I3236" s="1930" t="s">
        <v>168</v>
      </c>
      <c r="J3236" s="1930" t="s">
        <v>320</v>
      </c>
      <c r="K3236" s="1933">
        <v>168.41</v>
      </c>
      <c r="L3236" s="1930" t="s">
        <v>138</v>
      </c>
    </row>
    <row r="3237" spans="1:12" ht="13.5" x14ac:dyDescent="0.25">
      <c r="A3237" s="1930" t="s">
        <v>4646</v>
      </c>
      <c r="B3237" s="1930" t="s">
        <v>4647</v>
      </c>
      <c r="C3237" s="1930" t="s">
        <v>4594</v>
      </c>
      <c r="D3237" s="1930" t="s">
        <v>4650</v>
      </c>
      <c r="E3237" s="1931" t="s">
        <v>33</v>
      </c>
      <c r="F3237" s="1930" t="s">
        <v>33</v>
      </c>
      <c r="G3237" s="1932">
        <v>72307</v>
      </c>
      <c r="H3237" s="1930" t="s">
        <v>2385</v>
      </c>
      <c r="I3237" s="1930" t="s">
        <v>168</v>
      </c>
      <c r="J3237" s="1930" t="s">
        <v>320</v>
      </c>
      <c r="K3237" s="1933">
        <v>235.77</v>
      </c>
      <c r="L3237" s="1930" t="s">
        <v>138</v>
      </c>
    </row>
    <row r="3238" spans="1:12" ht="13.5" x14ac:dyDescent="0.25">
      <c r="A3238" s="1930" t="s">
        <v>4646</v>
      </c>
      <c r="B3238" s="1930" t="s">
        <v>4647</v>
      </c>
      <c r="C3238" s="1930" t="s">
        <v>4594</v>
      </c>
      <c r="D3238" s="1930" t="s">
        <v>4650</v>
      </c>
      <c r="E3238" s="1931" t="s">
        <v>33</v>
      </c>
      <c r="F3238" s="1930" t="s">
        <v>33</v>
      </c>
      <c r="G3238" s="1932">
        <v>72313</v>
      </c>
      <c r="H3238" s="1930" t="s">
        <v>2386</v>
      </c>
      <c r="I3238" s="1930" t="s">
        <v>168</v>
      </c>
      <c r="J3238" s="1930" t="s">
        <v>320</v>
      </c>
      <c r="K3238" s="1933">
        <v>548.29</v>
      </c>
      <c r="L3238" s="1930" t="s">
        <v>138</v>
      </c>
    </row>
    <row r="3239" spans="1:12" ht="13.5" x14ac:dyDescent="0.25">
      <c r="A3239" s="1930" t="s">
        <v>4646</v>
      </c>
      <c r="B3239" s="1930" t="s">
        <v>4647</v>
      </c>
      <c r="C3239" s="1930" t="s">
        <v>4594</v>
      </c>
      <c r="D3239" s="1930" t="s">
        <v>4650</v>
      </c>
      <c r="E3239" s="1931" t="s">
        <v>33</v>
      </c>
      <c r="F3239" s="1930" t="s">
        <v>33</v>
      </c>
      <c r="G3239" s="1932">
        <v>72482</v>
      </c>
      <c r="H3239" s="1930" t="s">
        <v>2387</v>
      </c>
      <c r="I3239" s="1930" t="s">
        <v>168</v>
      </c>
      <c r="J3239" s="1930" t="s">
        <v>320</v>
      </c>
      <c r="K3239" s="1933">
        <v>235.91</v>
      </c>
      <c r="L3239" s="1930" t="s">
        <v>138</v>
      </c>
    </row>
    <row r="3240" spans="1:12" ht="13.5" x14ac:dyDescent="0.25">
      <c r="A3240" s="1930" t="s">
        <v>4646</v>
      </c>
      <c r="B3240" s="1930" t="s">
        <v>4647</v>
      </c>
      <c r="C3240" s="1930" t="s">
        <v>4594</v>
      </c>
      <c r="D3240" s="1930" t="s">
        <v>4650</v>
      </c>
      <c r="E3240" s="1931" t="s">
        <v>33</v>
      </c>
      <c r="F3240" s="1930" t="s">
        <v>33</v>
      </c>
      <c r="G3240" s="1932">
        <v>72619</v>
      </c>
      <c r="H3240" s="1930" t="s">
        <v>2388</v>
      </c>
      <c r="I3240" s="1930" t="s">
        <v>168</v>
      </c>
      <c r="J3240" s="1930" t="s">
        <v>320</v>
      </c>
      <c r="K3240" s="1933">
        <v>98.62</v>
      </c>
      <c r="L3240" s="1930" t="s">
        <v>138</v>
      </c>
    </row>
    <row r="3241" spans="1:12" ht="13.5" x14ac:dyDescent="0.25">
      <c r="A3241" s="1930" t="s">
        <v>4646</v>
      </c>
      <c r="B3241" s="1930" t="s">
        <v>4647</v>
      </c>
      <c r="C3241" s="1930" t="s">
        <v>4594</v>
      </c>
      <c r="D3241" s="1930" t="s">
        <v>4650</v>
      </c>
      <c r="E3241" s="1931" t="s">
        <v>33</v>
      </c>
      <c r="F3241" s="1930" t="s">
        <v>33</v>
      </c>
      <c r="G3241" s="1932">
        <v>72620</v>
      </c>
      <c r="H3241" s="1930" t="s">
        <v>2389</v>
      </c>
      <c r="I3241" s="1930" t="s">
        <v>168</v>
      </c>
      <c r="J3241" s="1930" t="s">
        <v>320</v>
      </c>
      <c r="K3241" s="1933">
        <v>171.71</v>
      </c>
      <c r="L3241" s="1930" t="s">
        <v>138</v>
      </c>
    </row>
    <row r="3242" spans="1:12" ht="13.5" x14ac:dyDescent="0.25">
      <c r="A3242" s="1930" t="s">
        <v>4646</v>
      </c>
      <c r="B3242" s="1930" t="s">
        <v>4647</v>
      </c>
      <c r="C3242" s="1930" t="s">
        <v>4594</v>
      </c>
      <c r="D3242" s="1930" t="s">
        <v>4650</v>
      </c>
      <c r="E3242" s="1931" t="s">
        <v>33</v>
      </c>
      <c r="F3242" s="1930" t="s">
        <v>33</v>
      </c>
      <c r="G3242" s="1932">
        <v>72621</v>
      </c>
      <c r="H3242" s="1930" t="s">
        <v>2390</v>
      </c>
      <c r="I3242" s="1930" t="s">
        <v>168</v>
      </c>
      <c r="J3242" s="1930" t="s">
        <v>320</v>
      </c>
      <c r="K3242" s="1933">
        <v>275.39</v>
      </c>
      <c r="L3242" s="1930" t="s">
        <v>138</v>
      </c>
    </row>
    <row r="3243" spans="1:12" ht="13.5" x14ac:dyDescent="0.25">
      <c r="A3243" s="1930" t="s">
        <v>4646</v>
      </c>
      <c r="B3243" s="1930" t="s">
        <v>4647</v>
      </c>
      <c r="C3243" s="1930" t="s">
        <v>4594</v>
      </c>
      <c r="D3243" s="1930" t="s">
        <v>4650</v>
      </c>
      <c r="E3243" s="1931" t="s">
        <v>33</v>
      </c>
      <c r="F3243" s="1930" t="s">
        <v>33</v>
      </c>
      <c r="G3243" s="1932">
        <v>72667</v>
      </c>
      <c r="H3243" s="1930" t="s">
        <v>2391</v>
      </c>
      <c r="I3243" s="1930" t="s">
        <v>168</v>
      </c>
      <c r="J3243" s="1930" t="s">
        <v>320</v>
      </c>
      <c r="K3243" s="1933">
        <v>136.13</v>
      </c>
      <c r="L3243" s="1930" t="s">
        <v>138</v>
      </c>
    </row>
    <row r="3244" spans="1:12" ht="13.5" x14ac:dyDescent="0.25">
      <c r="A3244" s="1930" t="s">
        <v>4646</v>
      </c>
      <c r="B3244" s="1930" t="s">
        <v>4647</v>
      </c>
      <c r="C3244" s="1930" t="s">
        <v>4594</v>
      </c>
      <c r="D3244" s="1930" t="s">
        <v>4650</v>
      </c>
      <c r="E3244" s="1931" t="s">
        <v>33</v>
      </c>
      <c r="F3244" s="1930" t="s">
        <v>33</v>
      </c>
      <c r="G3244" s="1932">
        <v>72668</v>
      </c>
      <c r="H3244" s="1930" t="s">
        <v>2392</v>
      </c>
      <c r="I3244" s="1930" t="s">
        <v>168</v>
      </c>
      <c r="J3244" s="1930" t="s">
        <v>320</v>
      </c>
      <c r="K3244" s="1933">
        <v>135.38</v>
      </c>
      <c r="L3244" s="1930" t="s">
        <v>138</v>
      </c>
    </row>
    <row r="3245" spans="1:12" ht="13.5" x14ac:dyDescent="0.25">
      <c r="A3245" s="1930" t="s">
        <v>4646</v>
      </c>
      <c r="B3245" s="1930" t="s">
        <v>4647</v>
      </c>
      <c r="C3245" s="1930" t="s">
        <v>4594</v>
      </c>
      <c r="D3245" s="1930" t="s">
        <v>4650</v>
      </c>
      <c r="E3245" s="1931" t="s">
        <v>33</v>
      </c>
      <c r="F3245" s="1930" t="s">
        <v>33</v>
      </c>
      <c r="G3245" s="1932">
        <v>72669</v>
      </c>
      <c r="H3245" s="1930" t="s">
        <v>2393</v>
      </c>
      <c r="I3245" s="1930" t="s">
        <v>168</v>
      </c>
      <c r="J3245" s="1930" t="s">
        <v>320</v>
      </c>
      <c r="K3245" s="1933">
        <v>139.66</v>
      </c>
      <c r="L3245" s="1930" t="s">
        <v>138</v>
      </c>
    </row>
    <row r="3246" spans="1:12" ht="13.5" x14ac:dyDescent="0.25">
      <c r="A3246" s="1930" t="s">
        <v>4646</v>
      </c>
      <c r="B3246" s="1930" t="s">
        <v>4647</v>
      </c>
      <c r="C3246" s="1930" t="s">
        <v>4594</v>
      </c>
      <c r="D3246" s="1930" t="s">
        <v>4650</v>
      </c>
      <c r="E3246" s="1931" t="s">
        <v>33</v>
      </c>
      <c r="F3246" s="1930" t="s">
        <v>33</v>
      </c>
      <c r="G3246" s="1932">
        <v>72681</v>
      </c>
      <c r="H3246" s="1930" t="s">
        <v>2394</v>
      </c>
      <c r="I3246" s="1930" t="s">
        <v>168</v>
      </c>
      <c r="J3246" s="1930" t="s">
        <v>320</v>
      </c>
      <c r="K3246" s="1933">
        <v>95.69</v>
      </c>
      <c r="L3246" s="1930" t="s">
        <v>138</v>
      </c>
    </row>
    <row r="3247" spans="1:12" ht="13.5" x14ac:dyDescent="0.25">
      <c r="A3247" s="1930" t="s">
        <v>4646</v>
      </c>
      <c r="B3247" s="1930" t="s">
        <v>4647</v>
      </c>
      <c r="C3247" s="1930" t="s">
        <v>4594</v>
      </c>
      <c r="D3247" s="1930" t="s">
        <v>4650</v>
      </c>
      <c r="E3247" s="1931" t="s">
        <v>33</v>
      </c>
      <c r="F3247" s="1930" t="s">
        <v>33</v>
      </c>
      <c r="G3247" s="1932">
        <v>72682</v>
      </c>
      <c r="H3247" s="1930" t="s">
        <v>2395</v>
      </c>
      <c r="I3247" s="1930" t="s">
        <v>168</v>
      </c>
      <c r="J3247" s="1930" t="s">
        <v>320</v>
      </c>
      <c r="K3247" s="1933">
        <v>191.97</v>
      </c>
      <c r="L3247" s="1930" t="s">
        <v>138</v>
      </c>
    </row>
    <row r="3248" spans="1:12" ht="13.5" x14ac:dyDescent="0.25">
      <c r="A3248" s="1930" t="s">
        <v>4646</v>
      </c>
      <c r="B3248" s="1930" t="s">
        <v>4647</v>
      </c>
      <c r="C3248" s="1930" t="s">
        <v>4594</v>
      </c>
      <c r="D3248" s="1930" t="s">
        <v>4650</v>
      </c>
      <c r="E3248" s="1931" t="s">
        <v>33</v>
      </c>
      <c r="F3248" s="1930" t="s">
        <v>33</v>
      </c>
      <c r="G3248" s="1932">
        <v>72683</v>
      </c>
      <c r="H3248" s="1930" t="s">
        <v>2396</v>
      </c>
      <c r="I3248" s="1930" t="s">
        <v>168</v>
      </c>
      <c r="J3248" s="1930" t="s">
        <v>320</v>
      </c>
      <c r="K3248" s="1933">
        <v>308.02999999999997</v>
      </c>
      <c r="L3248" s="1930" t="s">
        <v>138</v>
      </c>
    </row>
    <row r="3249" spans="1:12" ht="13.5" x14ac:dyDescent="0.25">
      <c r="A3249" s="1930" t="s">
        <v>4646</v>
      </c>
      <c r="B3249" s="1930" t="s">
        <v>4647</v>
      </c>
      <c r="C3249" s="1930" t="s">
        <v>4594</v>
      </c>
      <c r="D3249" s="1930" t="s">
        <v>4650</v>
      </c>
      <c r="E3249" s="1931" t="s">
        <v>33</v>
      </c>
      <c r="F3249" s="1930" t="s">
        <v>33</v>
      </c>
      <c r="G3249" s="1932">
        <v>72719</v>
      </c>
      <c r="H3249" s="1930" t="s">
        <v>2397</v>
      </c>
      <c r="I3249" s="1930" t="s">
        <v>168</v>
      </c>
      <c r="J3249" s="1930" t="s">
        <v>320</v>
      </c>
      <c r="K3249" s="1933">
        <v>211.11</v>
      </c>
      <c r="L3249" s="1930" t="s">
        <v>138</v>
      </c>
    </row>
    <row r="3250" spans="1:12" ht="13.5" x14ac:dyDescent="0.25">
      <c r="A3250" s="1930" t="s">
        <v>4646</v>
      </c>
      <c r="B3250" s="1930" t="s">
        <v>4647</v>
      </c>
      <c r="C3250" s="1930" t="s">
        <v>4594</v>
      </c>
      <c r="D3250" s="1930" t="s">
        <v>4650</v>
      </c>
      <c r="E3250" s="1931" t="s">
        <v>33</v>
      </c>
      <c r="F3250" s="1930" t="s">
        <v>33</v>
      </c>
      <c r="G3250" s="1932">
        <v>72720</v>
      </c>
      <c r="H3250" s="1930" t="s">
        <v>2398</v>
      </c>
      <c r="I3250" s="1930" t="s">
        <v>168</v>
      </c>
      <c r="J3250" s="1930" t="s">
        <v>320</v>
      </c>
      <c r="K3250" s="1933">
        <v>290.39</v>
      </c>
      <c r="L3250" s="1930" t="s">
        <v>138</v>
      </c>
    </row>
    <row r="3251" spans="1:12" ht="13.5" x14ac:dyDescent="0.25">
      <c r="A3251" s="1930" t="s">
        <v>4646</v>
      </c>
      <c r="B3251" s="1930" t="s">
        <v>4647</v>
      </c>
      <c r="C3251" s="1930" t="s">
        <v>4594</v>
      </c>
      <c r="D3251" s="1930" t="s">
        <v>4650</v>
      </c>
      <c r="E3251" s="1931" t="s">
        <v>33</v>
      </c>
      <c r="F3251" s="1930" t="s">
        <v>33</v>
      </c>
      <c r="G3251" s="1932">
        <v>72721</v>
      </c>
      <c r="H3251" s="1930" t="s">
        <v>2399</v>
      </c>
      <c r="I3251" s="1930" t="s">
        <v>168</v>
      </c>
      <c r="J3251" s="1930" t="s">
        <v>320</v>
      </c>
      <c r="K3251" s="1933">
        <v>627.4</v>
      </c>
      <c r="L3251" s="1930" t="s">
        <v>138</v>
      </c>
    </row>
    <row r="3252" spans="1:12" ht="13.5" x14ac:dyDescent="0.25">
      <c r="A3252" s="1930" t="s">
        <v>4646</v>
      </c>
      <c r="B3252" s="1930" t="s">
        <v>4647</v>
      </c>
      <c r="C3252" s="1930" t="s">
        <v>4594</v>
      </c>
      <c r="D3252" s="1930" t="s">
        <v>4650</v>
      </c>
      <c r="E3252" s="1931" t="s">
        <v>33</v>
      </c>
      <c r="F3252" s="1930" t="s">
        <v>33</v>
      </c>
      <c r="G3252" s="1932">
        <v>89358</v>
      </c>
      <c r="H3252" s="1930" t="s">
        <v>2400</v>
      </c>
      <c r="I3252" s="1930" t="s">
        <v>168</v>
      </c>
      <c r="J3252" s="1930" t="s">
        <v>320</v>
      </c>
      <c r="K3252" s="1933">
        <v>5.64</v>
      </c>
      <c r="L3252" s="1930" t="s">
        <v>138</v>
      </c>
    </row>
    <row r="3253" spans="1:12" ht="13.5" x14ac:dyDescent="0.25">
      <c r="A3253" s="1930" t="s">
        <v>4646</v>
      </c>
      <c r="B3253" s="1930" t="s">
        <v>4647</v>
      </c>
      <c r="C3253" s="1930" t="s">
        <v>4594</v>
      </c>
      <c r="D3253" s="1930" t="s">
        <v>4650</v>
      </c>
      <c r="E3253" s="1931" t="s">
        <v>33</v>
      </c>
      <c r="F3253" s="1930" t="s">
        <v>33</v>
      </c>
      <c r="G3253" s="1932">
        <v>89359</v>
      </c>
      <c r="H3253" s="1930" t="s">
        <v>2401</v>
      </c>
      <c r="I3253" s="1930" t="s">
        <v>168</v>
      </c>
      <c r="J3253" s="1930" t="s">
        <v>320</v>
      </c>
      <c r="K3253" s="1933">
        <v>5.9</v>
      </c>
      <c r="L3253" s="1930" t="s">
        <v>138</v>
      </c>
    </row>
    <row r="3254" spans="1:12" ht="13.5" x14ac:dyDescent="0.25">
      <c r="A3254" s="1930" t="s">
        <v>4646</v>
      </c>
      <c r="B3254" s="1930" t="s">
        <v>4647</v>
      </c>
      <c r="C3254" s="1930" t="s">
        <v>4594</v>
      </c>
      <c r="D3254" s="1930" t="s">
        <v>4650</v>
      </c>
      <c r="E3254" s="1931" t="s">
        <v>33</v>
      </c>
      <c r="F3254" s="1930" t="s">
        <v>33</v>
      </c>
      <c r="G3254" s="1932">
        <v>89360</v>
      </c>
      <c r="H3254" s="1930" t="s">
        <v>2402</v>
      </c>
      <c r="I3254" s="1930" t="s">
        <v>168</v>
      </c>
      <c r="J3254" s="1930" t="s">
        <v>320</v>
      </c>
      <c r="K3254" s="1933">
        <v>7.03</v>
      </c>
      <c r="L3254" s="1930" t="s">
        <v>138</v>
      </c>
    </row>
    <row r="3255" spans="1:12" ht="13.5" x14ac:dyDescent="0.25">
      <c r="A3255" s="1930" t="s">
        <v>4646</v>
      </c>
      <c r="B3255" s="1930" t="s">
        <v>4647</v>
      </c>
      <c r="C3255" s="1930" t="s">
        <v>4594</v>
      </c>
      <c r="D3255" s="1930" t="s">
        <v>4650</v>
      </c>
      <c r="E3255" s="1931" t="s">
        <v>33</v>
      </c>
      <c r="F3255" s="1930" t="s">
        <v>33</v>
      </c>
      <c r="G3255" s="1932">
        <v>89361</v>
      </c>
      <c r="H3255" s="1930" t="s">
        <v>2403</v>
      </c>
      <c r="I3255" s="1930" t="s">
        <v>168</v>
      </c>
      <c r="J3255" s="1930" t="s">
        <v>320</v>
      </c>
      <c r="K3255" s="1933">
        <v>6.59</v>
      </c>
      <c r="L3255" s="1930" t="s">
        <v>138</v>
      </c>
    </row>
    <row r="3256" spans="1:12" ht="13.5" x14ac:dyDescent="0.25">
      <c r="A3256" s="1930" t="s">
        <v>4646</v>
      </c>
      <c r="B3256" s="1930" t="s">
        <v>4647</v>
      </c>
      <c r="C3256" s="1930" t="s">
        <v>4594</v>
      </c>
      <c r="D3256" s="1930" t="s">
        <v>4650</v>
      </c>
      <c r="E3256" s="1931" t="s">
        <v>33</v>
      </c>
      <c r="F3256" s="1930" t="s">
        <v>33</v>
      </c>
      <c r="G3256" s="1932">
        <v>89362</v>
      </c>
      <c r="H3256" s="1930" t="s">
        <v>2404</v>
      </c>
      <c r="I3256" s="1930" t="s">
        <v>168</v>
      </c>
      <c r="J3256" s="1930" t="s">
        <v>320</v>
      </c>
      <c r="K3256" s="1933">
        <v>6.69</v>
      </c>
      <c r="L3256" s="1930" t="s">
        <v>138</v>
      </c>
    </row>
    <row r="3257" spans="1:12" ht="13.5" x14ac:dyDescent="0.25">
      <c r="A3257" s="1930" t="s">
        <v>4646</v>
      </c>
      <c r="B3257" s="1930" t="s">
        <v>4647</v>
      </c>
      <c r="C3257" s="1930" t="s">
        <v>4594</v>
      </c>
      <c r="D3257" s="1930" t="s">
        <v>4650</v>
      </c>
      <c r="E3257" s="1931" t="s">
        <v>33</v>
      </c>
      <c r="F3257" s="1930" t="s">
        <v>33</v>
      </c>
      <c r="G3257" s="1932">
        <v>89363</v>
      </c>
      <c r="H3257" s="1930" t="s">
        <v>2405</v>
      </c>
      <c r="I3257" s="1930" t="s">
        <v>168</v>
      </c>
      <c r="J3257" s="1930" t="s">
        <v>320</v>
      </c>
      <c r="K3257" s="1933">
        <v>7.26</v>
      </c>
      <c r="L3257" s="1930" t="s">
        <v>138</v>
      </c>
    </row>
    <row r="3258" spans="1:12" ht="13.5" x14ac:dyDescent="0.25">
      <c r="A3258" s="1930" t="s">
        <v>4646</v>
      </c>
      <c r="B3258" s="1930" t="s">
        <v>4647</v>
      </c>
      <c r="C3258" s="1930" t="s">
        <v>4594</v>
      </c>
      <c r="D3258" s="1930" t="s">
        <v>4650</v>
      </c>
      <c r="E3258" s="1931" t="s">
        <v>33</v>
      </c>
      <c r="F3258" s="1930" t="s">
        <v>33</v>
      </c>
      <c r="G3258" s="1932">
        <v>89364</v>
      </c>
      <c r="H3258" s="1930" t="s">
        <v>2406</v>
      </c>
      <c r="I3258" s="1930" t="s">
        <v>168</v>
      </c>
      <c r="J3258" s="1930" t="s">
        <v>320</v>
      </c>
      <c r="K3258" s="1933">
        <v>8.4499999999999993</v>
      </c>
      <c r="L3258" s="1930" t="s">
        <v>138</v>
      </c>
    </row>
    <row r="3259" spans="1:12" ht="13.5" x14ac:dyDescent="0.25">
      <c r="A3259" s="1930" t="s">
        <v>4646</v>
      </c>
      <c r="B3259" s="1930" t="s">
        <v>4647</v>
      </c>
      <c r="C3259" s="1930" t="s">
        <v>4594</v>
      </c>
      <c r="D3259" s="1930" t="s">
        <v>4650</v>
      </c>
      <c r="E3259" s="1931" t="s">
        <v>33</v>
      </c>
      <c r="F3259" s="1930" t="s">
        <v>33</v>
      </c>
      <c r="G3259" s="1932">
        <v>89365</v>
      </c>
      <c r="H3259" s="1930" t="s">
        <v>2407</v>
      </c>
      <c r="I3259" s="1930" t="s">
        <v>168</v>
      </c>
      <c r="J3259" s="1930" t="s">
        <v>320</v>
      </c>
      <c r="K3259" s="1933">
        <v>7.92</v>
      </c>
      <c r="L3259" s="1930" t="s">
        <v>138</v>
      </c>
    </row>
    <row r="3260" spans="1:12" ht="13.5" x14ac:dyDescent="0.25">
      <c r="A3260" s="1930" t="s">
        <v>4646</v>
      </c>
      <c r="B3260" s="1930" t="s">
        <v>4647</v>
      </c>
      <c r="C3260" s="1930" t="s">
        <v>4594</v>
      </c>
      <c r="D3260" s="1930" t="s">
        <v>4650</v>
      </c>
      <c r="E3260" s="1931" t="s">
        <v>33</v>
      </c>
      <c r="F3260" s="1930" t="s">
        <v>33</v>
      </c>
      <c r="G3260" s="1932">
        <v>89366</v>
      </c>
      <c r="H3260" s="1930" t="s">
        <v>2408</v>
      </c>
      <c r="I3260" s="1930" t="s">
        <v>168</v>
      </c>
      <c r="J3260" s="1930" t="s">
        <v>320</v>
      </c>
      <c r="K3260" s="1933">
        <v>11.58</v>
      </c>
      <c r="L3260" s="1930" t="s">
        <v>138</v>
      </c>
    </row>
    <row r="3261" spans="1:12" ht="13.5" x14ac:dyDescent="0.25">
      <c r="A3261" s="1930" t="s">
        <v>4646</v>
      </c>
      <c r="B3261" s="1930" t="s">
        <v>4647</v>
      </c>
      <c r="C3261" s="1930" t="s">
        <v>4594</v>
      </c>
      <c r="D3261" s="1930" t="s">
        <v>4650</v>
      </c>
      <c r="E3261" s="1931" t="s">
        <v>33</v>
      </c>
      <c r="F3261" s="1930" t="s">
        <v>33</v>
      </c>
      <c r="G3261" s="1932">
        <v>89367</v>
      </c>
      <c r="H3261" s="1930" t="s">
        <v>2409</v>
      </c>
      <c r="I3261" s="1930" t="s">
        <v>168</v>
      </c>
      <c r="J3261" s="1930" t="s">
        <v>320</v>
      </c>
      <c r="K3261" s="1933">
        <v>9.1</v>
      </c>
      <c r="L3261" s="1930" t="s">
        <v>138</v>
      </c>
    </row>
    <row r="3262" spans="1:12" ht="13.5" x14ac:dyDescent="0.25">
      <c r="A3262" s="1930" t="s">
        <v>4646</v>
      </c>
      <c r="B3262" s="1930" t="s">
        <v>4647</v>
      </c>
      <c r="C3262" s="1930" t="s">
        <v>4594</v>
      </c>
      <c r="D3262" s="1930" t="s">
        <v>4650</v>
      </c>
      <c r="E3262" s="1931" t="s">
        <v>33</v>
      </c>
      <c r="F3262" s="1930" t="s">
        <v>33</v>
      </c>
      <c r="G3262" s="1932">
        <v>89368</v>
      </c>
      <c r="H3262" s="1930" t="s">
        <v>2410</v>
      </c>
      <c r="I3262" s="1930" t="s">
        <v>168</v>
      </c>
      <c r="J3262" s="1930" t="s">
        <v>320</v>
      </c>
      <c r="K3262" s="1933">
        <v>10.71</v>
      </c>
      <c r="L3262" s="1930" t="s">
        <v>138</v>
      </c>
    </row>
    <row r="3263" spans="1:12" ht="13.5" x14ac:dyDescent="0.25">
      <c r="A3263" s="1930" t="s">
        <v>4646</v>
      </c>
      <c r="B3263" s="1930" t="s">
        <v>4647</v>
      </c>
      <c r="C3263" s="1930" t="s">
        <v>4594</v>
      </c>
      <c r="D3263" s="1930" t="s">
        <v>4650</v>
      </c>
      <c r="E3263" s="1931" t="s">
        <v>33</v>
      </c>
      <c r="F3263" s="1930" t="s">
        <v>33</v>
      </c>
      <c r="G3263" s="1932">
        <v>89369</v>
      </c>
      <c r="H3263" s="1930" t="s">
        <v>2411</v>
      </c>
      <c r="I3263" s="1930" t="s">
        <v>168</v>
      </c>
      <c r="J3263" s="1930" t="s">
        <v>320</v>
      </c>
      <c r="K3263" s="1933">
        <v>12.71</v>
      </c>
      <c r="L3263" s="1930" t="s">
        <v>138</v>
      </c>
    </row>
    <row r="3264" spans="1:12" ht="13.5" x14ac:dyDescent="0.25">
      <c r="A3264" s="1930" t="s">
        <v>4646</v>
      </c>
      <c r="B3264" s="1930" t="s">
        <v>4647</v>
      </c>
      <c r="C3264" s="1930" t="s">
        <v>4594</v>
      </c>
      <c r="D3264" s="1930" t="s">
        <v>4650</v>
      </c>
      <c r="E3264" s="1931" t="s">
        <v>33</v>
      </c>
      <c r="F3264" s="1930" t="s">
        <v>33</v>
      </c>
      <c r="G3264" s="1932">
        <v>89370</v>
      </c>
      <c r="H3264" s="1930" t="s">
        <v>2412</v>
      </c>
      <c r="I3264" s="1930" t="s">
        <v>168</v>
      </c>
      <c r="J3264" s="1930" t="s">
        <v>320</v>
      </c>
      <c r="K3264" s="1933">
        <v>10.37</v>
      </c>
      <c r="L3264" s="1930" t="s">
        <v>138</v>
      </c>
    </row>
    <row r="3265" spans="1:12" ht="13.5" x14ac:dyDescent="0.25">
      <c r="A3265" s="1930" t="s">
        <v>4646</v>
      </c>
      <c r="B3265" s="1930" t="s">
        <v>4647</v>
      </c>
      <c r="C3265" s="1930" t="s">
        <v>4594</v>
      </c>
      <c r="D3265" s="1930" t="s">
        <v>4650</v>
      </c>
      <c r="E3265" s="1931" t="s">
        <v>33</v>
      </c>
      <c r="F3265" s="1930" t="s">
        <v>33</v>
      </c>
      <c r="G3265" s="1932">
        <v>89371</v>
      </c>
      <c r="H3265" s="1930" t="s">
        <v>2413</v>
      </c>
      <c r="I3265" s="1930" t="s">
        <v>168</v>
      </c>
      <c r="J3265" s="1930" t="s">
        <v>320</v>
      </c>
      <c r="K3265" s="1933">
        <v>4.2</v>
      </c>
      <c r="L3265" s="1930" t="s">
        <v>138</v>
      </c>
    </row>
    <row r="3266" spans="1:12" ht="13.5" x14ac:dyDescent="0.25">
      <c r="A3266" s="1930" t="s">
        <v>4646</v>
      </c>
      <c r="B3266" s="1930" t="s">
        <v>4647</v>
      </c>
      <c r="C3266" s="1930" t="s">
        <v>4594</v>
      </c>
      <c r="D3266" s="1930" t="s">
        <v>4650</v>
      </c>
      <c r="E3266" s="1931" t="s">
        <v>33</v>
      </c>
      <c r="F3266" s="1930" t="s">
        <v>33</v>
      </c>
      <c r="G3266" s="1932">
        <v>89372</v>
      </c>
      <c r="H3266" s="1930" t="s">
        <v>2414</v>
      </c>
      <c r="I3266" s="1930" t="s">
        <v>168</v>
      </c>
      <c r="J3266" s="1930" t="s">
        <v>320</v>
      </c>
      <c r="K3266" s="1933">
        <v>9.51</v>
      </c>
      <c r="L3266" s="1930" t="s">
        <v>138</v>
      </c>
    </row>
    <row r="3267" spans="1:12" ht="13.5" x14ac:dyDescent="0.25">
      <c r="A3267" s="1930" t="s">
        <v>4646</v>
      </c>
      <c r="B3267" s="1930" t="s">
        <v>4647</v>
      </c>
      <c r="C3267" s="1930" t="s">
        <v>4594</v>
      </c>
      <c r="D3267" s="1930" t="s">
        <v>4650</v>
      </c>
      <c r="E3267" s="1931" t="s">
        <v>33</v>
      </c>
      <c r="F3267" s="1930" t="s">
        <v>33</v>
      </c>
      <c r="G3267" s="1932">
        <v>89373</v>
      </c>
      <c r="H3267" s="1930" t="s">
        <v>2415</v>
      </c>
      <c r="I3267" s="1930" t="s">
        <v>168</v>
      </c>
      <c r="J3267" s="1930" t="s">
        <v>320</v>
      </c>
      <c r="K3267" s="1933">
        <v>4.68</v>
      </c>
      <c r="L3267" s="1930" t="s">
        <v>138</v>
      </c>
    </row>
    <row r="3268" spans="1:12" ht="13.5" x14ac:dyDescent="0.25">
      <c r="A3268" s="1930" t="s">
        <v>4646</v>
      </c>
      <c r="B3268" s="1930" t="s">
        <v>4647</v>
      </c>
      <c r="C3268" s="1930" t="s">
        <v>4594</v>
      </c>
      <c r="D3268" s="1930" t="s">
        <v>4650</v>
      </c>
      <c r="E3268" s="1931" t="s">
        <v>33</v>
      </c>
      <c r="F3268" s="1930" t="s">
        <v>33</v>
      </c>
      <c r="G3268" s="1932">
        <v>89374</v>
      </c>
      <c r="H3268" s="1930" t="s">
        <v>2416</v>
      </c>
      <c r="I3268" s="1930" t="s">
        <v>168</v>
      </c>
      <c r="J3268" s="1930" t="s">
        <v>320</v>
      </c>
      <c r="K3268" s="1933">
        <v>7.56</v>
      </c>
      <c r="L3268" s="1930" t="s">
        <v>138</v>
      </c>
    </row>
    <row r="3269" spans="1:12" ht="13.5" x14ac:dyDescent="0.25">
      <c r="A3269" s="1930" t="s">
        <v>4646</v>
      </c>
      <c r="B3269" s="1930" t="s">
        <v>4647</v>
      </c>
      <c r="C3269" s="1930" t="s">
        <v>4594</v>
      </c>
      <c r="D3269" s="1930" t="s">
        <v>4650</v>
      </c>
      <c r="E3269" s="1931" t="s">
        <v>33</v>
      </c>
      <c r="F3269" s="1930" t="s">
        <v>33</v>
      </c>
      <c r="G3269" s="1932">
        <v>89375</v>
      </c>
      <c r="H3269" s="1930" t="s">
        <v>2417</v>
      </c>
      <c r="I3269" s="1930" t="s">
        <v>168</v>
      </c>
      <c r="J3269" s="1930" t="s">
        <v>320</v>
      </c>
      <c r="K3269" s="1933">
        <v>9.3000000000000007</v>
      </c>
      <c r="L3269" s="1930" t="s">
        <v>138</v>
      </c>
    </row>
    <row r="3270" spans="1:12" ht="13.5" x14ac:dyDescent="0.25">
      <c r="A3270" s="1930" t="s">
        <v>4646</v>
      </c>
      <c r="B3270" s="1930" t="s">
        <v>4647</v>
      </c>
      <c r="C3270" s="1930" t="s">
        <v>4594</v>
      </c>
      <c r="D3270" s="1930" t="s">
        <v>4650</v>
      </c>
      <c r="E3270" s="1931" t="s">
        <v>33</v>
      </c>
      <c r="F3270" s="1930" t="s">
        <v>33</v>
      </c>
      <c r="G3270" s="1932">
        <v>89376</v>
      </c>
      <c r="H3270" s="1930" t="s">
        <v>2418</v>
      </c>
      <c r="I3270" s="1930" t="s">
        <v>168</v>
      </c>
      <c r="J3270" s="1930" t="s">
        <v>320</v>
      </c>
      <c r="K3270" s="1933">
        <v>4.25</v>
      </c>
      <c r="L3270" s="1930" t="s">
        <v>138</v>
      </c>
    </row>
    <row r="3271" spans="1:12" ht="13.5" x14ac:dyDescent="0.25">
      <c r="A3271" s="1930" t="s">
        <v>4646</v>
      </c>
      <c r="B3271" s="1930" t="s">
        <v>4647</v>
      </c>
      <c r="C3271" s="1930" t="s">
        <v>4594</v>
      </c>
      <c r="D3271" s="1930" t="s">
        <v>4650</v>
      </c>
      <c r="E3271" s="1931" t="s">
        <v>33</v>
      </c>
      <c r="F3271" s="1930" t="s">
        <v>33</v>
      </c>
      <c r="G3271" s="1932">
        <v>89377</v>
      </c>
      <c r="H3271" s="1930" t="s">
        <v>2419</v>
      </c>
      <c r="I3271" s="1930" t="s">
        <v>168</v>
      </c>
      <c r="J3271" s="1930" t="s">
        <v>320</v>
      </c>
      <c r="K3271" s="1933">
        <v>6.82</v>
      </c>
      <c r="L3271" s="1930" t="s">
        <v>138</v>
      </c>
    </row>
    <row r="3272" spans="1:12" ht="13.5" x14ac:dyDescent="0.25">
      <c r="A3272" s="1930" t="s">
        <v>4646</v>
      </c>
      <c r="B3272" s="1930" t="s">
        <v>4647</v>
      </c>
      <c r="C3272" s="1930" t="s">
        <v>4594</v>
      </c>
      <c r="D3272" s="1930" t="s">
        <v>4650</v>
      </c>
      <c r="E3272" s="1931" t="s">
        <v>33</v>
      </c>
      <c r="F3272" s="1930" t="s">
        <v>33</v>
      </c>
      <c r="G3272" s="1932">
        <v>89378</v>
      </c>
      <c r="H3272" s="1930" t="s">
        <v>2420</v>
      </c>
      <c r="I3272" s="1930" t="s">
        <v>168</v>
      </c>
      <c r="J3272" s="1930" t="s">
        <v>320</v>
      </c>
      <c r="K3272" s="1933">
        <v>4.97</v>
      </c>
      <c r="L3272" s="1930" t="s">
        <v>138</v>
      </c>
    </row>
    <row r="3273" spans="1:12" ht="13.5" x14ac:dyDescent="0.25">
      <c r="A3273" s="1930" t="s">
        <v>4646</v>
      </c>
      <c r="B3273" s="1930" t="s">
        <v>4647</v>
      </c>
      <c r="C3273" s="1930" t="s">
        <v>4594</v>
      </c>
      <c r="D3273" s="1930" t="s">
        <v>4650</v>
      </c>
      <c r="E3273" s="1931" t="s">
        <v>33</v>
      </c>
      <c r="F3273" s="1930" t="s">
        <v>33</v>
      </c>
      <c r="G3273" s="1932">
        <v>89379</v>
      </c>
      <c r="H3273" s="1930" t="s">
        <v>2421</v>
      </c>
      <c r="I3273" s="1930" t="s">
        <v>168</v>
      </c>
      <c r="J3273" s="1930" t="s">
        <v>320</v>
      </c>
      <c r="K3273" s="1933">
        <v>12.05</v>
      </c>
      <c r="L3273" s="1930" t="s">
        <v>138</v>
      </c>
    </row>
    <row r="3274" spans="1:12" ht="13.5" x14ac:dyDescent="0.25">
      <c r="A3274" s="1930" t="s">
        <v>4646</v>
      </c>
      <c r="B3274" s="1930" t="s">
        <v>4647</v>
      </c>
      <c r="C3274" s="1930" t="s">
        <v>4594</v>
      </c>
      <c r="D3274" s="1930" t="s">
        <v>4650</v>
      </c>
      <c r="E3274" s="1931" t="s">
        <v>33</v>
      </c>
      <c r="F3274" s="1930" t="s">
        <v>33</v>
      </c>
      <c r="G3274" s="1932">
        <v>89380</v>
      </c>
      <c r="H3274" s="1930" t="s">
        <v>2422</v>
      </c>
      <c r="I3274" s="1930" t="s">
        <v>168</v>
      </c>
      <c r="J3274" s="1930" t="s">
        <v>320</v>
      </c>
      <c r="K3274" s="1933">
        <v>7.14</v>
      </c>
      <c r="L3274" s="1930" t="s">
        <v>138</v>
      </c>
    </row>
    <row r="3275" spans="1:12" ht="13.5" x14ac:dyDescent="0.25">
      <c r="A3275" s="1930" t="s">
        <v>4646</v>
      </c>
      <c r="B3275" s="1930" t="s">
        <v>4647</v>
      </c>
      <c r="C3275" s="1930" t="s">
        <v>4594</v>
      </c>
      <c r="D3275" s="1930" t="s">
        <v>4650</v>
      </c>
      <c r="E3275" s="1931" t="s">
        <v>33</v>
      </c>
      <c r="F3275" s="1930" t="s">
        <v>33</v>
      </c>
      <c r="G3275" s="1932">
        <v>89381</v>
      </c>
      <c r="H3275" s="1930" t="s">
        <v>2423</v>
      </c>
      <c r="I3275" s="1930" t="s">
        <v>168</v>
      </c>
      <c r="J3275" s="1930" t="s">
        <v>320</v>
      </c>
      <c r="K3275" s="1933">
        <v>9.4499999999999993</v>
      </c>
      <c r="L3275" s="1930" t="s">
        <v>138</v>
      </c>
    </row>
    <row r="3276" spans="1:12" ht="13.5" x14ac:dyDescent="0.25">
      <c r="A3276" s="1930" t="s">
        <v>4646</v>
      </c>
      <c r="B3276" s="1930" t="s">
        <v>4647</v>
      </c>
      <c r="C3276" s="1930" t="s">
        <v>4594</v>
      </c>
      <c r="D3276" s="1930" t="s">
        <v>4650</v>
      </c>
      <c r="E3276" s="1931" t="s">
        <v>33</v>
      </c>
      <c r="F3276" s="1930" t="s">
        <v>33</v>
      </c>
      <c r="G3276" s="1932">
        <v>89382</v>
      </c>
      <c r="H3276" s="1930" t="s">
        <v>2424</v>
      </c>
      <c r="I3276" s="1930" t="s">
        <v>168</v>
      </c>
      <c r="J3276" s="1930" t="s">
        <v>320</v>
      </c>
      <c r="K3276" s="1933">
        <v>11.07</v>
      </c>
      <c r="L3276" s="1930" t="s">
        <v>138</v>
      </c>
    </row>
    <row r="3277" spans="1:12" ht="13.5" x14ac:dyDescent="0.25">
      <c r="A3277" s="1930" t="s">
        <v>4646</v>
      </c>
      <c r="B3277" s="1930" t="s">
        <v>4647</v>
      </c>
      <c r="C3277" s="1930" t="s">
        <v>4594</v>
      </c>
      <c r="D3277" s="1930" t="s">
        <v>4650</v>
      </c>
      <c r="E3277" s="1931" t="s">
        <v>33</v>
      </c>
      <c r="F3277" s="1930" t="s">
        <v>33</v>
      </c>
      <c r="G3277" s="1932">
        <v>89383</v>
      </c>
      <c r="H3277" s="1930" t="s">
        <v>2425</v>
      </c>
      <c r="I3277" s="1930" t="s">
        <v>168</v>
      </c>
      <c r="J3277" s="1930" t="s">
        <v>320</v>
      </c>
      <c r="K3277" s="1933">
        <v>5.04</v>
      </c>
      <c r="L3277" s="1930" t="s">
        <v>138</v>
      </c>
    </row>
    <row r="3278" spans="1:12" ht="13.5" x14ac:dyDescent="0.25">
      <c r="A3278" s="1930" t="s">
        <v>4646</v>
      </c>
      <c r="B3278" s="1930" t="s">
        <v>4647</v>
      </c>
      <c r="C3278" s="1930" t="s">
        <v>4594</v>
      </c>
      <c r="D3278" s="1930" t="s">
        <v>4650</v>
      </c>
      <c r="E3278" s="1931" t="s">
        <v>33</v>
      </c>
      <c r="F3278" s="1930" t="s">
        <v>33</v>
      </c>
      <c r="G3278" s="1932">
        <v>89384</v>
      </c>
      <c r="H3278" s="1930" t="s">
        <v>2426</v>
      </c>
      <c r="I3278" s="1930" t="s">
        <v>168</v>
      </c>
      <c r="J3278" s="1930" t="s">
        <v>320</v>
      </c>
      <c r="K3278" s="1933">
        <v>9.56</v>
      </c>
      <c r="L3278" s="1930" t="s">
        <v>138</v>
      </c>
    </row>
    <row r="3279" spans="1:12" ht="13.5" x14ac:dyDescent="0.25">
      <c r="A3279" s="1930" t="s">
        <v>4646</v>
      </c>
      <c r="B3279" s="1930" t="s">
        <v>4647</v>
      </c>
      <c r="C3279" s="1930" t="s">
        <v>4594</v>
      </c>
      <c r="D3279" s="1930" t="s">
        <v>4650</v>
      </c>
      <c r="E3279" s="1931" t="s">
        <v>33</v>
      </c>
      <c r="F3279" s="1930" t="s">
        <v>33</v>
      </c>
      <c r="G3279" s="1932">
        <v>89385</v>
      </c>
      <c r="H3279" s="1930" t="s">
        <v>2427</v>
      </c>
      <c r="I3279" s="1930" t="s">
        <v>168</v>
      </c>
      <c r="J3279" s="1930" t="s">
        <v>320</v>
      </c>
      <c r="K3279" s="1933">
        <v>5.6</v>
      </c>
      <c r="L3279" s="1930" t="s">
        <v>138</v>
      </c>
    </row>
    <row r="3280" spans="1:12" ht="13.5" x14ac:dyDescent="0.25">
      <c r="A3280" s="1930" t="s">
        <v>4646</v>
      </c>
      <c r="B3280" s="1930" t="s">
        <v>4647</v>
      </c>
      <c r="C3280" s="1930" t="s">
        <v>4594</v>
      </c>
      <c r="D3280" s="1930" t="s">
        <v>4650</v>
      </c>
      <c r="E3280" s="1931" t="s">
        <v>33</v>
      </c>
      <c r="F3280" s="1930" t="s">
        <v>33</v>
      </c>
      <c r="G3280" s="1932">
        <v>89386</v>
      </c>
      <c r="H3280" s="1930" t="s">
        <v>2428</v>
      </c>
      <c r="I3280" s="1930" t="s">
        <v>168</v>
      </c>
      <c r="J3280" s="1930" t="s">
        <v>320</v>
      </c>
      <c r="K3280" s="1933">
        <v>6.78</v>
      </c>
      <c r="L3280" s="1930" t="s">
        <v>138</v>
      </c>
    </row>
    <row r="3281" spans="1:12" ht="13.5" x14ac:dyDescent="0.25">
      <c r="A3281" s="1930" t="s">
        <v>4646</v>
      </c>
      <c r="B3281" s="1930" t="s">
        <v>4647</v>
      </c>
      <c r="C3281" s="1930" t="s">
        <v>4594</v>
      </c>
      <c r="D3281" s="1930" t="s">
        <v>4650</v>
      </c>
      <c r="E3281" s="1931" t="s">
        <v>33</v>
      </c>
      <c r="F3281" s="1930" t="s">
        <v>33</v>
      </c>
      <c r="G3281" s="1932">
        <v>89387</v>
      </c>
      <c r="H3281" s="1930" t="s">
        <v>2429</v>
      </c>
      <c r="I3281" s="1930" t="s">
        <v>168</v>
      </c>
      <c r="J3281" s="1930" t="s">
        <v>320</v>
      </c>
      <c r="K3281" s="1933">
        <v>23.69</v>
      </c>
      <c r="L3281" s="1930" t="s">
        <v>138</v>
      </c>
    </row>
    <row r="3282" spans="1:12" ht="13.5" x14ac:dyDescent="0.25">
      <c r="A3282" s="1930" t="s">
        <v>4646</v>
      </c>
      <c r="B3282" s="1930" t="s">
        <v>4647</v>
      </c>
      <c r="C3282" s="1930" t="s">
        <v>4594</v>
      </c>
      <c r="D3282" s="1930" t="s">
        <v>4650</v>
      </c>
      <c r="E3282" s="1931" t="s">
        <v>33</v>
      </c>
      <c r="F3282" s="1930" t="s">
        <v>33</v>
      </c>
      <c r="G3282" s="1932">
        <v>89388</v>
      </c>
      <c r="H3282" s="1930" t="s">
        <v>2430</v>
      </c>
      <c r="I3282" s="1930" t="s">
        <v>168</v>
      </c>
      <c r="J3282" s="1930" t="s">
        <v>320</v>
      </c>
      <c r="K3282" s="1933">
        <v>8.6999999999999993</v>
      </c>
      <c r="L3282" s="1930" t="s">
        <v>138</v>
      </c>
    </row>
    <row r="3283" spans="1:12" ht="13.5" x14ac:dyDescent="0.25">
      <c r="A3283" s="1930" t="s">
        <v>4646</v>
      </c>
      <c r="B3283" s="1930" t="s">
        <v>4647</v>
      </c>
      <c r="C3283" s="1930" t="s">
        <v>4594</v>
      </c>
      <c r="D3283" s="1930" t="s">
        <v>4650</v>
      </c>
      <c r="E3283" s="1931" t="s">
        <v>33</v>
      </c>
      <c r="F3283" s="1930" t="s">
        <v>33</v>
      </c>
      <c r="G3283" s="1932">
        <v>89389</v>
      </c>
      <c r="H3283" s="1930" t="s">
        <v>2431</v>
      </c>
      <c r="I3283" s="1930" t="s">
        <v>168</v>
      </c>
      <c r="J3283" s="1930" t="s">
        <v>320</v>
      </c>
      <c r="K3283" s="1933">
        <v>9.35</v>
      </c>
      <c r="L3283" s="1930" t="s">
        <v>138</v>
      </c>
    </row>
    <row r="3284" spans="1:12" ht="13.5" x14ac:dyDescent="0.25">
      <c r="A3284" s="1930" t="s">
        <v>4646</v>
      </c>
      <c r="B3284" s="1930" t="s">
        <v>4647</v>
      </c>
      <c r="C3284" s="1930" t="s">
        <v>4594</v>
      </c>
      <c r="D3284" s="1930" t="s">
        <v>4650</v>
      </c>
      <c r="E3284" s="1931" t="s">
        <v>33</v>
      </c>
      <c r="F3284" s="1930" t="s">
        <v>33</v>
      </c>
      <c r="G3284" s="1932">
        <v>89390</v>
      </c>
      <c r="H3284" s="1930" t="s">
        <v>2432</v>
      </c>
      <c r="I3284" s="1930" t="s">
        <v>168</v>
      </c>
      <c r="J3284" s="1930" t="s">
        <v>320</v>
      </c>
      <c r="K3284" s="1933">
        <v>16.32</v>
      </c>
      <c r="L3284" s="1930" t="s">
        <v>138</v>
      </c>
    </row>
    <row r="3285" spans="1:12" ht="13.5" x14ac:dyDescent="0.25">
      <c r="A3285" s="1930" t="s">
        <v>4646</v>
      </c>
      <c r="B3285" s="1930" t="s">
        <v>4647</v>
      </c>
      <c r="C3285" s="1930" t="s">
        <v>4594</v>
      </c>
      <c r="D3285" s="1930" t="s">
        <v>4650</v>
      </c>
      <c r="E3285" s="1931" t="s">
        <v>33</v>
      </c>
      <c r="F3285" s="1930" t="s">
        <v>33</v>
      </c>
      <c r="G3285" s="1932">
        <v>89391</v>
      </c>
      <c r="H3285" s="1930" t="s">
        <v>2433</v>
      </c>
      <c r="I3285" s="1930" t="s">
        <v>168</v>
      </c>
      <c r="J3285" s="1930" t="s">
        <v>320</v>
      </c>
      <c r="K3285" s="1933">
        <v>6.71</v>
      </c>
      <c r="L3285" s="1930" t="s">
        <v>138</v>
      </c>
    </row>
    <row r="3286" spans="1:12" ht="13.5" x14ac:dyDescent="0.25">
      <c r="A3286" s="1930" t="s">
        <v>4646</v>
      </c>
      <c r="B3286" s="1930" t="s">
        <v>4647</v>
      </c>
      <c r="C3286" s="1930" t="s">
        <v>4594</v>
      </c>
      <c r="D3286" s="1930" t="s">
        <v>4650</v>
      </c>
      <c r="E3286" s="1931" t="s">
        <v>33</v>
      </c>
      <c r="F3286" s="1930" t="s">
        <v>33</v>
      </c>
      <c r="G3286" s="1932">
        <v>89392</v>
      </c>
      <c r="H3286" s="1930" t="s">
        <v>2434</v>
      </c>
      <c r="I3286" s="1930" t="s">
        <v>168</v>
      </c>
      <c r="J3286" s="1930" t="s">
        <v>320</v>
      </c>
      <c r="K3286" s="1933">
        <v>19.23</v>
      </c>
      <c r="L3286" s="1930" t="s">
        <v>138</v>
      </c>
    </row>
    <row r="3287" spans="1:12" ht="13.5" x14ac:dyDescent="0.25">
      <c r="A3287" s="1930" t="s">
        <v>4646</v>
      </c>
      <c r="B3287" s="1930" t="s">
        <v>4647</v>
      </c>
      <c r="C3287" s="1930" t="s">
        <v>4594</v>
      </c>
      <c r="D3287" s="1930" t="s">
        <v>4650</v>
      </c>
      <c r="E3287" s="1931" t="s">
        <v>33</v>
      </c>
      <c r="F3287" s="1930" t="s">
        <v>33</v>
      </c>
      <c r="G3287" s="1932">
        <v>89393</v>
      </c>
      <c r="H3287" s="1930" t="s">
        <v>2435</v>
      </c>
      <c r="I3287" s="1930" t="s">
        <v>168</v>
      </c>
      <c r="J3287" s="1930" t="s">
        <v>320</v>
      </c>
      <c r="K3287" s="1933">
        <v>7.82</v>
      </c>
      <c r="L3287" s="1930" t="s">
        <v>138</v>
      </c>
    </row>
    <row r="3288" spans="1:12" ht="13.5" x14ac:dyDescent="0.25">
      <c r="A3288" s="1930" t="s">
        <v>4646</v>
      </c>
      <c r="B3288" s="1930" t="s">
        <v>4647</v>
      </c>
      <c r="C3288" s="1930" t="s">
        <v>4594</v>
      </c>
      <c r="D3288" s="1930" t="s">
        <v>4650</v>
      </c>
      <c r="E3288" s="1931" t="s">
        <v>33</v>
      </c>
      <c r="F3288" s="1930" t="s">
        <v>33</v>
      </c>
      <c r="G3288" s="1932">
        <v>89394</v>
      </c>
      <c r="H3288" s="1930" t="s">
        <v>2436</v>
      </c>
      <c r="I3288" s="1930" t="s">
        <v>168</v>
      </c>
      <c r="J3288" s="1930" t="s">
        <v>320</v>
      </c>
      <c r="K3288" s="1933">
        <v>14.45</v>
      </c>
      <c r="L3288" s="1930" t="s">
        <v>138</v>
      </c>
    </row>
    <row r="3289" spans="1:12" ht="13.5" x14ac:dyDescent="0.25">
      <c r="A3289" s="1930" t="s">
        <v>4646</v>
      </c>
      <c r="B3289" s="1930" t="s">
        <v>4647</v>
      </c>
      <c r="C3289" s="1930" t="s">
        <v>4594</v>
      </c>
      <c r="D3289" s="1930" t="s">
        <v>4650</v>
      </c>
      <c r="E3289" s="1931" t="s">
        <v>33</v>
      </c>
      <c r="F3289" s="1930" t="s">
        <v>33</v>
      </c>
      <c r="G3289" s="1932">
        <v>89395</v>
      </c>
      <c r="H3289" s="1930" t="s">
        <v>2437</v>
      </c>
      <c r="I3289" s="1930" t="s">
        <v>168</v>
      </c>
      <c r="J3289" s="1930" t="s">
        <v>320</v>
      </c>
      <c r="K3289" s="1933">
        <v>9.31</v>
      </c>
      <c r="L3289" s="1930" t="s">
        <v>138</v>
      </c>
    </row>
    <row r="3290" spans="1:12" ht="13.5" x14ac:dyDescent="0.25">
      <c r="A3290" s="1930" t="s">
        <v>4646</v>
      </c>
      <c r="B3290" s="1930" t="s">
        <v>4647</v>
      </c>
      <c r="C3290" s="1930" t="s">
        <v>4594</v>
      </c>
      <c r="D3290" s="1930" t="s">
        <v>4650</v>
      </c>
      <c r="E3290" s="1931" t="s">
        <v>33</v>
      </c>
      <c r="F3290" s="1930" t="s">
        <v>33</v>
      </c>
      <c r="G3290" s="1932">
        <v>89396</v>
      </c>
      <c r="H3290" s="1930" t="s">
        <v>2438</v>
      </c>
      <c r="I3290" s="1930" t="s">
        <v>168</v>
      </c>
      <c r="J3290" s="1930" t="s">
        <v>320</v>
      </c>
      <c r="K3290" s="1933">
        <v>14.99</v>
      </c>
      <c r="L3290" s="1930" t="s">
        <v>138</v>
      </c>
    </row>
    <row r="3291" spans="1:12" ht="13.5" x14ac:dyDescent="0.25">
      <c r="A3291" s="1930" t="s">
        <v>4646</v>
      </c>
      <c r="B3291" s="1930" t="s">
        <v>4647</v>
      </c>
      <c r="C3291" s="1930" t="s">
        <v>4594</v>
      </c>
      <c r="D3291" s="1930" t="s">
        <v>4650</v>
      </c>
      <c r="E3291" s="1931" t="s">
        <v>33</v>
      </c>
      <c r="F3291" s="1930" t="s">
        <v>33</v>
      </c>
      <c r="G3291" s="1932">
        <v>89397</v>
      </c>
      <c r="H3291" s="1930" t="s">
        <v>2439</v>
      </c>
      <c r="I3291" s="1930" t="s">
        <v>168</v>
      </c>
      <c r="J3291" s="1930" t="s">
        <v>320</v>
      </c>
      <c r="K3291" s="1933">
        <v>10.83</v>
      </c>
      <c r="L3291" s="1930" t="s">
        <v>138</v>
      </c>
    </row>
    <row r="3292" spans="1:12" ht="13.5" x14ac:dyDescent="0.25">
      <c r="A3292" s="1930" t="s">
        <v>4646</v>
      </c>
      <c r="B3292" s="1930" t="s">
        <v>4647</v>
      </c>
      <c r="C3292" s="1930" t="s">
        <v>4594</v>
      </c>
      <c r="D3292" s="1930" t="s">
        <v>4650</v>
      </c>
      <c r="E3292" s="1931" t="s">
        <v>33</v>
      </c>
      <c r="F3292" s="1930" t="s">
        <v>33</v>
      </c>
      <c r="G3292" s="1932">
        <v>89398</v>
      </c>
      <c r="H3292" s="1930" t="s">
        <v>2440</v>
      </c>
      <c r="I3292" s="1930" t="s">
        <v>168</v>
      </c>
      <c r="J3292" s="1930" t="s">
        <v>320</v>
      </c>
      <c r="K3292" s="1933">
        <v>13.26</v>
      </c>
      <c r="L3292" s="1930" t="s">
        <v>138</v>
      </c>
    </row>
    <row r="3293" spans="1:12" ht="13.5" x14ac:dyDescent="0.25">
      <c r="A3293" s="1930" t="s">
        <v>4646</v>
      </c>
      <c r="B3293" s="1930" t="s">
        <v>4647</v>
      </c>
      <c r="C3293" s="1930" t="s">
        <v>4594</v>
      </c>
      <c r="D3293" s="1930" t="s">
        <v>4650</v>
      </c>
      <c r="E3293" s="1931" t="s">
        <v>33</v>
      </c>
      <c r="F3293" s="1930" t="s">
        <v>33</v>
      </c>
      <c r="G3293" s="1932">
        <v>89399</v>
      </c>
      <c r="H3293" s="1930" t="s">
        <v>2441</v>
      </c>
      <c r="I3293" s="1930" t="s">
        <v>168</v>
      </c>
      <c r="J3293" s="1930" t="s">
        <v>320</v>
      </c>
      <c r="K3293" s="1933">
        <v>22.89</v>
      </c>
      <c r="L3293" s="1930" t="s">
        <v>138</v>
      </c>
    </row>
    <row r="3294" spans="1:12" ht="13.5" x14ac:dyDescent="0.25">
      <c r="A3294" s="1930" t="s">
        <v>4646</v>
      </c>
      <c r="B3294" s="1930" t="s">
        <v>4647</v>
      </c>
      <c r="C3294" s="1930" t="s">
        <v>4594</v>
      </c>
      <c r="D3294" s="1930" t="s">
        <v>4650</v>
      </c>
      <c r="E3294" s="1931" t="s">
        <v>33</v>
      </c>
      <c r="F3294" s="1930" t="s">
        <v>33</v>
      </c>
      <c r="G3294" s="1932">
        <v>89400</v>
      </c>
      <c r="H3294" s="1930" t="s">
        <v>2442</v>
      </c>
      <c r="I3294" s="1930" t="s">
        <v>168</v>
      </c>
      <c r="J3294" s="1930" t="s">
        <v>320</v>
      </c>
      <c r="K3294" s="1933">
        <v>14.76</v>
      </c>
      <c r="L3294" s="1930" t="s">
        <v>138</v>
      </c>
    </row>
    <row r="3295" spans="1:12" ht="13.5" x14ac:dyDescent="0.25">
      <c r="A3295" s="1930" t="s">
        <v>4646</v>
      </c>
      <c r="B3295" s="1930" t="s">
        <v>4647</v>
      </c>
      <c r="C3295" s="1930" t="s">
        <v>4594</v>
      </c>
      <c r="D3295" s="1930" t="s">
        <v>4650</v>
      </c>
      <c r="E3295" s="1931" t="s">
        <v>33</v>
      </c>
      <c r="F3295" s="1930" t="s">
        <v>33</v>
      </c>
      <c r="G3295" s="1932">
        <v>89404</v>
      </c>
      <c r="H3295" s="1930" t="s">
        <v>2443</v>
      </c>
      <c r="I3295" s="1930" t="s">
        <v>168</v>
      </c>
      <c r="J3295" s="1930" t="s">
        <v>320</v>
      </c>
      <c r="K3295" s="1933">
        <v>3.77</v>
      </c>
      <c r="L3295" s="1930" t="s">
        <v>138</v>
      </c>
    </row>
    <row r="3296" spans="1:12" ht="13.5" x14ac:dyDescent="0.25">
      <c r="A3296" s="1930" t="s">
        <v>4646</v>
      </c>
      <c r="B3296" s="1930" t="s">
        <v>4647</v>
      </c>
      <c r="C3296" s="1930" t="s">
        <v>4594</v>
      </c>
      <c r="D3296" s="1930" t="s">
        <v>4650</v>
      </c>
      <c r="E3296" s="1931" t="s">
        <v>33</v>
      </c>
      <c r="F3296" s="1930" t="s">
        <v>33</v>
      </c>
      <c r="G3296" s="1932">
        <v>89405</v>
      </c>
      <c r="H3296" s="1930" t="s">
        <v>2444</v>
      </c>
      <c r="I3296" s="1930" t="s">
        <v>168</v>
      </c>
      <c r="J3296" s="1930" t="s">
        <v>320</v>
      </c>
      <c r="K3296" s="1933">
        <v>4.03</v>
      </c>
      <c r="L3296" s="1930" t="s">
        <v>138</v>
      </c>
    </row>
    <row r="3297" spans="1:12" ht="13.5" x14ac:dyDescent="0.25">
      <c r="A3297" s="1930" t="s">
        <v>4646</v>
      </c>
      <c r="B3297" s="1930" t="s">
        <v>4647</v>
      </c>
      <c r="C3297" s="1930" t="s">
        <v>4594</v>
      </c>
      <c r="D3297" s="1930" t="s">
        <v>4650</v>
      </c>
      <c r="E3297" s="1931" t="s">
        <v>33</v>
      </c>
      <c r="F3297" s="1930" t="s">
        <v>33</v>
      </c>
      <c r="G3297" s="1932">
        <v>89406</v>
      </c>
      <c r="H3297" s="1930" t="s">
        <v>2445</v>
      </c>
      <c r="I3297" s="1930" t="s">
        <v>168</v>
      </c>
      <c r="J3297" s="1930" t="s">
        <v>320</v>
      </c>
      <c r="K3297" s="1933">
        <v>5.16</v>
      </c>
      <c r="L3297" s="1930" t="s">
        <v>138</v>
      </c>
    </row>
    <row r="3298" spans="1:12" ht="13.5" x14ac:dyDescent="0.25">
      <c r="A3298" s="1930" t="s">
        <v>4646</v>
      </c>
      <c r="B3298" s="1930" t="s">
        <v>4647</v>
      </c>
      <c r="C3298" s="1930" t="s">
        <v>4594</v>
      </c>
      <c r="D3298" s="1930" t="s">
        <v>4650</v>
      </c>
      <c r="E3298" s="1931" t="s">
        <v>33</v>
      </c>
      <c r="F3298" s="1930" t="s">
        <v>33</v>
      </c>
      <c r="G3298" s="1932">
        <v>89407</v>
      </c>
      <c r="H3298" s="1930" t="s">
        <v>2446</v>
      </c>
      <c r="I3298" s="1930" t="s">
        <v>168</v>
      </c>
      <c r="J3298" s="1930" t="s">
        <v>320</v>
      </c>
      <c r="K3298" s="1933">
        <v>4.72</v>
      </c>
      <c r="L3298" s="1930" t="s">
        <v>138</v>
      </c>
    </row>
    <row r="3299" spans="1:12" ht="13.5" x14ac:dyDescent="0.25">
      <c r="A3299" s="1930" t="s">
        <v>4646</v>
      </c>
      <c r="B3299" s="1930" t="s">
        <v>4647</v>
      </c>
      <c r="C3299" s="1930" t="s">
        <v>4594</v>
      </c>
      <c r="D3299" s="1930" t="s">
        <v>4650</v>
      </c>
      <c r="E3299" s="1931" t="s">
        <v>33</v>
      </c>
      <c r="F3299" s="1930" t="s">
        <v>33</v>
      </c>
      <c r="G3299" s="1932">
        <v>89408</v>
      </c>
      <c r="H3299" s="1930" t="s">
        <v>2447</v>
      </c>
      <c r="I3299" s="1930" t="s">
        <v>168</v>
      </c>
      <c r="J3299" s="1930" t="s">
        <v>320</v>
      </c>
      <c r="K3299" s="1933">
        <v>4.54</v>
      </c>
      <c r="L3299" s="1930" t="s">
        <v>138</v>
      </c>
    </row>
    <row r="3300" spans="1:12" ht="13.5" x14ac:dyDescent="0.25">
      <c r="A3300" s="1930" t="s">
        <v>4646</v>
      </c>
      <c r="B3300" s="1930" t="s">
        <v>4647</v>
      </c>
      <c r="C3300" s="1930" t="s">
        <v>4594</v>
      </c>
      <c r="D3300" s="1930" t="s">
        <v>4650</v>
      </c>
      <c r="E3300" s="1931" t="s">
        <v>33</v>
      </c>
      <c r="F3300" s="1930" t="s">
        <v>33</v>
      </c>
      <c r="G3300" s="1932">
        <v>89409</v>
      </c>
      <c r="H3300" s="1930" t="s">
        <v>2448</v>
      </c>
      <c r="I3300" s="1930" t="s">
        <v>168</v>
      </c>
      <c r="J3300" s="1930" t="s">
        <v>320</v>
      </c>
      <c r="K3300" s="1933">
        <v>5.1100000000000003</v>
      </c>
      <c r="L3300" s="1930" t="s">
        <v>138</v>
      </c>
    </row>
    <row r="3301" spans="1:12" ht="13.5" x14ac:dyDescent="0.25">
      <c r="A3301" s="1930" t="s">
        <v>4646</v>
      </c>
      <c r="B3301" s="1930" t="s">
        <v>4647</v>
      </c>
      <c r="C3301" s="1930" t="s">
        <v>4594</v>
      </c>
      <c r="D3301" s="1930" t="s">
        <v>4650</v>
      </c>
      <c r="E3301" s="1931" t="s">
        <v>33</v>
      </c>
      <c r="F3301" s="1930" t="s">
        <v>33</v>
      </c>
      <c r="G3301" s="1932">
        <v>89410</v>
      </c>
      <c r="H3301" s="1930" t="s">
        <v>2449</v>
      </c>
      <c r="I3301" s="1930" t="s">
        <v>168</v>
      </c>
      <c r="J3301" s="1930" t="s">
        <v>320</v>
      </c>
      <c r="K3301" s="1933">
        <v>6.3</v>
      </c>
      <c r="L3301" s="1930" t="s">
        <v>138</v>
      </c>
    </row>
    <row r="3302" spans="1:12" ht="13.5" x14ac:dyDescent="0.25">
      <c r="A3302" s="1930" t="s">
        <v>4646</v>
      </c>
      <c r="B3302" s="1930" t="s">
        <v>4647</v>
      </c>
      <c r="C3302" s="1930" t="s">
        <v>4594</v>
      </c>
      <c r="D3302" s="1930" t="s">
        <v>4650</v>
      </c>
      <c r="E3302" s="1931" t="s">
        <v>33</v>
      </c>
      <c r="F3302" s="1930" t="s">
        <v>33</v>
      </c>
      <c r="G3302" s="1932">
        <v>89411</v>
      </c>
      <c r="H3302" s="1930" t="s">
        <v>2450</v>
      </c>
      <c r="I3302" s="1930" t="s">
        <v>168</v>
      </c>
      <c r="J3302" s="1930" t="s">
        <v>320</v>
      </c>
      <c r="K3302" s="1933">
        <v>5.77</v>
      </c>
      <c r="L3302" s="1930" t="s">
        <v>138</v>
      </c>
    </row>
    <row r="3303" spans="1:12" ht="13.5" x14ac:dyDescent="0.25">
      <c r="A3303" s="1930" t="s">
        <v>4646</v>
      </c>
      <c r="B3303" s="1930" t="s">
        <v>4647</v>
      </c>
      <c r="C3303" s="1930" t="s">
        <v>4594</v>
      </c>
      <c r="D3303" s="1930" t="s">
        <v>4650</v>
      </c>
      <c r="E3303" s="1931" t="s">
        <v>33</v>
      </c>
      <c r="F3303" s="1930" t="s">
        <v>33</v>
      </c>
      <c r="G3303" s="1932">
        <v>89412</v>
      </c>
      <c r="H3303" s="1930" t="s">
        <v>2451</v>
      </c>
      <c r="I3303" s="1930" t="s">
        <v>168</v>
      </c>
      <c r="J3303" s="1930" t="s">
        <v>320</v>
      </c>
      <c r="K3303" s="1933">
        <v>6.49</v>
      </c>
      <c r="L3303" s="1930" t="s">
        <v>138</v>
      </c>
    </row>
    <row r="3304" spans="1:12" ht="13.5" x14ac:dyDescent="0.25">
      <c r="A3304" s="1930" t="s">
        <v>4646</v>
      </c>
      <c r="B3304" s="1930" t="s">
        <v>4647</v>
      </c>
      <c r="C3304" s="1930" t="s">
        <v>4594</v>
      </c>
      <c r="D3304" s="1930" t="s">
        <v>4650</v>
      </c>
      <c r="E3304" s="1931" t="s">
        <v>33</v>
      </c>
      <c r="F3304" s="1930" t="s">
        <v>33</v>
      </c>
      <c r="G3304" s="1932">
        <v>89413</v>
      </c>
      <c r="H3304" s="1930" t="s">
        <v>2452</v>
      </c>
      <c r="I3304" s="1930" t="s">
        <v>168</v>
      </c>
      <c r="J3304" s="1930" t="s">
        <v>320</v>
      </c>
      <c r="K3304" s="1933">
        <v>6.52</v>
      </c>
      <c r="L3304" s="1930" t="s">
        <v>138</v>
      </c>
    </row>
    <row r="3305" spans="1:12" ht="13.5" x14ac:dyDescent="0.25">
      <c r="A3305" s="1930" t="s">
        <v>4646</v>
      </c>
      <c r="B3305" s="1930" t="s">
        <v>4647</v>
      </c>
      <c r="C3305" s="1930" t="s">
        <v>4594</v>
      </c>
      <c r="D3305" s="1930" t="s">
        <v>4650</v>
      </c>
      <c r="E3305" s="1931" t="s">
        <v>33</v>
      </c>
      <c r="F3305" s="1930" t="s">
        <v>33</v>
      </c>
      <c r="G3305" s="1932">
        <v>89414</v>
      </c>
      <c r="H3305" s="1930" t="s">
        <v>2453</v>
      </c>
      <c r="I3305" s="1930" t="s">
        <v>168</v>
      </c>
      <c r="J3305" s="1930" t="s">
        <v>320</v>
      </c>
      <c r="K3305" s="1933">
        <v>8.1300000000000008</v>
      </c>
      <c r="L3305" s="1930" t="s">
        <v>138</v>
      </c>
    </row>
    <row r="3306" spans="1:12" ht="13.5" x14ac:dyDescent="0.25">
      <c r="A3306" s="1930" t="s">
        <v>4646</v>
      </c>
      <c r="B3306" s="1930" t="s">
        <v>4647</v>
      </c>
      <c r="C3306" s="1930" t="s">
        <v>4594</v>
      </c>
      <c r="D3306" s="1930" t="s">
        <v>4650</v>
      </c>
      <c r="E3306" s="1931" t="s">
        <v>33</v>
      </c>
      <c r="F3306" s="1930" t="s">
        <v>33</v>
      </c>
      <c r="G3306" s="1932">
        <v>89415</v>
      </c>
      <c r="H3306" s="1930" t="s">
        <v>2454</v>
      </c>
      <c r="I3306" s="1930" t="s">
        <v>168</v>
      </c>
      <c r="J3306" s="1930" t="s">
        <v>320</v>
      </c>
      <c r="K3306" s="1933">
        <v>10.130000000000001</v>
      </c>
      <c r="L3306" s="1930" t="s">
        <v>138</v>
      </c>
    </row>
    <row r="3307" spans="1:12" ht="13.5" x14ac:dyDescent="0.25">
      <c r="A3307" s="1930" t="s">
        <v>4646</v>
      </c>
      <c r="B3307" s="1930" t="s">
        <v>4647</v>
      </c>
      <c r="C3307" s="1930" t="s">
        <v>4594</v>
      </c>
      <c r="D3307" s="1930" t="s">
        <v>4650</v>
      </c>
      <c r="E3307" s="1931" t="s">
        <v>33</v>
      </c>
      <c r="F3307" s="1930" t="s">
        <v>33</v>
      </c>
      <c r="G3307" s="1932">
        <v>89416</v>
      </c>
      <c r="H3307" s="1930" t="s">
        <v>2455</v>
      </c>
      <c r="I3307" s="1930" t="s">
        <v>168</v>
      </c>
      <c r="J3307" s="1930" t="s">
        <v>320</v>
      </c>
      <c r="K3307" s="1933">
        <v>7.79</v>
      </c>
      <c r="L3307" s="1930" t="s">
        <v>138</v>
      </c>
    </row>
    <row r="3308" spans="1:12" ht="13.5" x14ac:dyDescent="0.25">
      <c r="A3308" s="1930" t="s">
        <v>4646</v>
      </c>
      <c r="B3308" s="1930" t="s">
        <v>4647</v>
      </c>
      <c r="C3308" s="1930" t="s">
        <v>4594</v>
      </c>
      <c r="D3308" s="1930" t="s">
        <v>4650</v>
      </c>
      <c r="E3308" s="1931" t="s">
        <v>33</v>
      </c>
      <c r="F3308" s="1930" t="s">
        <v>33</v>
      </c>
      <c r="G3308" s="1932">
        <v>89417</v>
      </c>
      <c r="H3308" s="1930" t="s">
        <v>2456</v>
      </c>
      <c r="I3308" s="1930" t="s">
        <v>168</v>
      </c>
      <c r="J3308" s="1930" t="s">
        <v>320</v>
      </c>
      <c r="K3308" s="1933">
        <v>2.97</v>
      </c>
      <c r="L3308" s="1930" t="s">
        <v>138</v>
      </c>
    </row>
    <row r="3309" spans="1:12" ht="13.5" x14ac:dyDescent="0.25">
      <c r="A3309" s="1930" t="s">
        <v>4646</v>
      </c>
      <c r="B3309" s="1930" t="s">
        <v>4647</v>
      </c>
      <c r="C3309" s="1930" t="s">
        <v>4594</v>
      </c>
      <c r="D3309" s="1930" t="s">
        <v>4650</v>
      </c>
      <c r="E3309" s="1931" t="s">
        <v>33</v>
      </c>
      <c r="F3309" s="1930" t="s">
        <v>33</v>
      </c>
      <c r="G3309" s="1932">
        <v>89418</v>
      </c>
      <c r="H3309" s="1930" t="s">
        <v>2457</v>
      </c>
      <c r="I3309" s="1930" t="s">
        <v>168</v>
      </c>
      <c r="J3309" s="1930" t="s">
        <v>320</v>
      </c>
      <c r="K3309" s="1933">
        <v>8.2799999999999994</v>
      </c>
      <c r="L3309" s="1930" t="s">
        <v>138</v>
      </c>
    </row>
    <row r="3310" spans="1:12" ht="13.5" x14ac:dyDescent="0.25">
      <c r="A3310" s="1930" t="s">
        <v>4646</v>
      </c>
      <c r="B3310" s="1930" t="s">
        <v>4647</v>
      </c>
      <c r="C3310" s="1930" t="s">
        <v>4594</v>
      </c>
      <c r="D3310" s="1930" t="s">
        <v>4650</v>
      </c>
      <c r="E3310" s="1931" t="s">
        <v>33</v>
      </c>
      <c r="F3310" s="1930" t="s">
        <v>33</v>
      </c>
      <c r="G3310" s="1932">
        <v>89419</v>
      </c>
      <c r="H3310" s="1930" t="s">
        <v>2458</v>
      </c>
      <c r="I3310" s="1930" t="s">
        <v>168</v>
      </c>
      <c r="J3310" s="1930" t="s">
        <v>320</v>
      </c>
      <c r="K3310" s="1933">
        <v>3.45</v>
      </c>
      <c r="L3310" s="1930" t="s">
        <v>138</v>
      </c>
    </row>
    <row r="3311" spans="1:12" ht="13.5" x14ac:dyDescent="0.25">
      <c r="A3311" s="1930" t="s">
        <v>4646</v>
      </c>
      <c r="B3311" s="1930" t="s">
        <v>4647</v>
      </c>
      <c r="C3311" s="1930" t="s">
        <v>4594</v>
      </c>
      <c r="D3311" s="1930" t="s">
        <v>4650</v>
      </c>
      <c r="E3311" s="1931" t="s">
        <v>33</v>
      </c>
      <c r="F3311" s="1930" t="s">
        <v>33</v>
      </c>
      <c r="G3311" s="1932">
        <v>89420</v>
      </c>
      <c r="H3311" s="1930" t="s">
        <v>2459</v>
      </c>
      <c r="I3311" s="1930" t="s">
        <v>168</v>
      </c>
      <c r="J3311" s="1930" t="s">
        <v>320</v>
      </c>
      <c r="K3311" s="1933">
        <v>6.33</v>
      </c>
      <c r="L3311" s="1930" t="s">
        <v>138</v>
      </c>
    </row>
    <row r="3312" spans="1:12" ht="13.5" x14ac:dyDescent="0.25">
      <c r="A3312" s="1930" t="s">
        <v>4646</v>
      </c>
      <c r="B3312" s="1930" t="s">
        <v>4647</v>
      </c>
      <c r="C3312" s="1930" t="s">
        <v>4594</v>
      </c>
      <c r="D3312" s="1930" t="s">
        <v>4650</v>
      </c>
      <c r="E3312" s="1931" t="s">
        <v>33</v>
      </c>
      <c r="F3312" s="1930" t="s">
        <v>33</v>
      </c>
      <c r="G3312" s="1932">
        <v>89421</v>
      </c>
      <c r="H3312" s="1930" t="s">
        <v>2460</v>
      </c>
      <c r="I3312" s="1930" t="s">
        <v>168</v>
      </c>
      <c r="J3312" s="1930" t="s">
        <v>320</v>
      </c>
      <c r="K3312" s="1933">
        <v>8.07</v>
      </c>
      <c r="L3312" s="1930" t="s">
        <v>138</v>
      </c>
    </row>
    <row r="3313" spans="1:12" ht="13.5" x14ac:dyDescent="0.25">
      <c r="A3313" s="1930" t="s">
        <v>4646</v>
      </c>
      <c r="B3313" s="1930" t="s">
        <v>4647</v>
      </c>
      <c r="C3313" s="1930" t="s">
        <v>4594</v>
      </c>
      <c r="D3313" s="1930" t="s">
        <v>4650</v>
      </c>
      <c r="E3313" s="1931" t="s">
        <v>33</v>
      </c>
      <c r="F3313" s="1930" t="s">
        <v>33</v>
      </c>
      <c r="G3313" s="1932">
        <v>89422</v>
      </c>
      <c r="H3313" s="1930" t="s">
        <v>2461</v>
      </c>
      <c r="I3313" s="1930" t="s">
        <v>168</v>
      </c>
      <c r="J3313" s="1930" t="s">
        <v>320</v>
      </c>
      <c r="K3313" s="1933">
        <v>3.02</v>
      </c>
      <c r="L3313" s="1930" t="s">
        <v>138</v>
      </c>
    </row>
    <row r="3314" spans="1:12" ht="13.5" x14ac:dyDescent="0.25">
      <c r="A3314" s="1930" t="s">
        <v>4646</v>
      </c>
      <c r="B3314" s="1930" t="s">
        <v>4647</v>
      </c>
      <c r="C3314" s="1930" t="s">
        <v>4594</v>
      </c>
      <c r="D3314" s="1930" t="s">
        <v>4650</v>
      </c>
      <c r="E3314" s="1931" t="s">
        <v>33</v>
      </c>
      <c r="F3314" s="1930" t="s">
        <v>33</v>
      </c>
      <c r="G3314" s="1932">
        <v>89423</v>
      </c>
      <c r="H3314" s="1930" t="s">
        <v>2462</v>
      </c>
      <c r="I3314" s="1930" t="s">
        <v>168</v>
      </c>
      <c r="J3314" s="1930" t="s">
        <v>320</v>
      </c>
      <c r="K3314" s="1933">
        <v>5.98</v>
      </c>
      <c r="L3314" s="1930" t="s">
        <v>138</v>
      </c>
    </row>
    <row r="3315" spans="1:12" ht="13.5" x14ac:dyDescent="0.25">
      <c r="A3315" s="1930" t="s">
        <v>4646</v>
      </c>
      <c r="B3315" s="1930" t="s">
        <v>4647</v>
      </c>
      <c r="C3315" s="1930" t="s">
        <v>4594</v>
      </c>
      <c r="D3315" s="1930" t="s">
        <v>4650</v>
      </c>
      <c r="E3315" s="1931" t="s">
        <v>33</v>
      </c>
      <c r="F3315" s="1930" t="s">
        <v>33</v>
      </c>
      <c r="G3315" s="1932">
        <v>89424</v>
      </c>
      <c r="H3315" s="1930" t="s">
        <v>2463</v>
      </c>
      <c r="I3315" s="1930" t="s">
        <v>168</v>
      </c>
      <c r="J3315" s="1930" t="s">
        <v>320</v>
      </c>
      <c r="K3315" s="1933">
        <v>3.53</v>
      </c>
      <c r="L3315" s="1930" t="s">
        <v>138</v>
      </c>
    </row>
    <row r="3316" spans="1:12" ht="13.5" x14ac:dyDescent="0.25">
      <c r="A3316" s="1930" t="s">
        <v>4646</v>
      </c>
      <c r="B3316" s="1930" t="s">
        <v>4647</v>
      </c>
      <c r="C3316" s="1930" t="s">
        <v>4594</v>
      </c>
      <c r="D3316" s="1930" t="s">
        <v>4650</v>
      </c>
      <c r="E3316" s="1931" t="s">
        <v>33</v>
      </c>
      <c r="F3316" s="1930" t="s">
        <v>33</v>
      </c>
      <c r="G3316" s="1932">
        <v>89425</v>
      </c>
      <c r="H3316" s="1930" t="s">
        <v>2464</v>
      </c>
      <c r="I3316" s="1930" t="s">
        <v>168</v>
      </c>
      <c r="J3316" s="1930" t="s">
        <v>320</v>
      </c>
      <c r="K3316" s="1933">
        <v>10.61</v>
      </c>
      <c r="L3316" s="1930" t="s">
        <v>138</v>
      </c>
    </row>
    <row r="3317" spans="1:12" ht="13.5" x14ac:dyDescent="0.25">
      <c r="A3317" s="1930" t="s">
        <v>4646</v>
      </c>
      <c r="B3317" s="1930" t="s">
        <v>4647</v>
      </c>
      <c r="C3317" s="1930" t="s">
        <v>4594</v>
      </c>
      <c r="D3317" s="1930" t="s">
        <v>4650</v>
      </c>
      <c r="E3317" s="1931" t="s">
        <v>33</v>
      </c>
      <c r="F3317" s="1930" t="s">
        <v>33</v>
      </c>
      <c r="G3317" s="1932">
        <v>89426</v>
      </c>
      <c r="H3317" s="1930" t="s">
        <v>2465</v>
      </c>
      <c r="I3317" s="1930" t="s">
        <v>168</v>
      </c>
      <c r="J3317" s="1930" t="s">
        <v>320</v>
      </c>
      <c r="K3317" s="1933">
        <v>5.7</v>
      </c>
      <c r="L3317" s="1930" t="s">
        <v>138</v>
      </c>
    </row>
    <row r="3318" spans="1:12" ht="13.5" x14ac:dyDescent="0.25">
      <c r="A3318" s="1930" t="s">
        <v>4646</v>
      </c>
      <c r="B3318" s="1930" t="s">
        <v>4647</v>
      </c>
      <c r="C3318" s="1930" t="s">
        <v>4594</v>
      </c>
      <c r="D3318" s="1930" t="s">
        <v>4650</v>
      </c>
      <c r="E3318" s="1931" t="s">
        <v>33</v>
      </c>
      <c r="F3318" s="1930" t="s">
        <v>33</v>
      </c>
      <c r="G3318" s="1932">
        <v>89427</v>
      </c>
      <c r="H3318" s="1930" t="s">
        <v>2466</v>
      </c>
      <c r="I3318" s="1930" t="s">
        <v>168</v>
      </c>
      <c r="J3318" s="1930" t="s">
        <v>320</v>
      </c>
      <c r="K3318" s="1933">
        <v>8.01</v>
      </c>
      <c r="L3318" s="1930" t="s">
        <v>138</v>
      </c>
    </row>
    <row r="3319" spans="1:12" ht="13.5" x14ac:dyDescent="0.25">
      <c r="A3319" s="1930" t="s">
        <v>4646</v>
      </c>
      <c r="B3319" s="1930" t="s">
        <v>4647</v>
      </c>
      <c r="C3319" s="1930" t="s">
        <v>4594</v>
      </c>
      <c r="D3319" s="1930" t="s">
        <v>4650</v>
      </c>
      <c r="E3319" s="1931" t="s">
        <v>33</v>
      </c>
      <c r="F3319" s="1930" t="s">
        <v>33</v>
      </c>
      <c r="G3319" s="1932">
        <v>89428</v>
      </c>
      <c r="H3319" s="1930" t="s">
        <v>2467</v>
      </c>
      <c r="I3319" s="1930" t="s">
        <v>168</v>
      </c>
      <c r="J3319" s="1930" t="s">
        <v>320</v>
      </c>
      <c r="K3319" s="1933">
        <v>9.6300000000000008</v>
      </c>
      <c r="L3319" s="1930" t="s">
        <v>138</v>
      </c>
    </row>
    <row r="3320" spans="1:12" ht="13.5" x14ac:dyDescent="0.25">
      <c r="A3320" s="1930" t="s">
        <v>4646</v>
      </c>
      <c r="B3320" s="1930" t="s">
        <v>4647</v>
      </c>
      <c r="C3320" s="1930" t="s">
        <v>4594</v>
      </c>
      <c r="D3320" s="1930" t="s">
        <v>4650</v>
      </c>
      <c r="E3320" s="1931" t="s">
        <v>33</v>
      </c>
      <c r="F3320" s="1930" t="s">
        <v>33</v>
      </c>
      <c r="G3320" s="1932">
        <v>89429</v>
      </c>
      <c r="H3320" s="1930" t="s">
        <v>2468</v>
      </c>
      <c r="I3320" s="1930" t="s">
        <v>168</v>
      </c>
      <c r="J3320" s="1930" t="s">
        <v>320</v>
      </c>
      <c r="K3320" s="1933">
        <v>3.6</v>
      </c>
      <c r="L3320" s="1930" t="s">
        <v>138</v>
      </c>
    </row>
    <row r="3321" spans="1:12" ht="13.5" x14ac:dyDescent="0.25">
      <c r="A3321" s="1930" t="s">
        <v>4646</v>
      </c>
      <c r="B3321" s="1930" t="s">
        <v>4647</v>
      </c>
      <c r="C3321" s="1930" t="s">
        <v>4594</v>
      </c>
      <c r="D3321" s="1930" t="s">
        <v>4650</v>
      </c>
      <c r="E3321" s="1931" t="s">
        <v>33</v>
      </c>
      <c r="F3321" s="1930" t="s">
        <v>33</v>
      </c>
      <c r="G3321" s="1932">
        <v>89430</v>
      </c>
      <c r="H3321" s="1930" t="s">
        <v>2469</v>
      </c>
      <c r="I3321" s="1930" t="s">
        <v>168</v>
      </c>
      <c r="J3321" s="1930" t="s">
        <v>320</v>
      </c>
      <c r="K3321" s="1933">
        <v>8.1199999999999992</v>
      </c>
      <c r="L3321" s="1930" t="s">
        <v>138</v>
      </c>
    </row>
    <row r="3322" spans="1:12" ht="13.5" x14ac:dyDescent="0.25">
      <c r="A3322" s="1930" t="s">
        <v>4646</v>
      </c>
      <c r="B3322" s="1930" t="s">
        <v>4647</v>
      </c>
      <c r="C3322" s="1930" t="s">
        <v>4594</v>
      </c>
      <c r="D3322" s="1930" t="s">
        <v>4650</v>
      </c>
      <c r="E3322" s="1931" t="s">
        <v>33</v>
      </c>
      <c r="F3322" s="1930" t="s">
        <v>33</v>
      </c>
      <c r="G3322" s="1932">
        <v>89431</v>
      </c>
      <c r="H3322" s="1930" t="s">
        <v>2470</v>
      </c>
      <c r="I3322" s="1930" t="s">
        <v>168</v>
      </c>
      <c r="J3322" s="1930" t="s">
        <v>320</v>
      </c>
      <c r="K3322" s="1933">
        <v>5.05</v>
      </c>
      <c r="L3322" s="1930" t="s">
        <v>138</v>
      </c>
    </row>
    <row r="3323" spans="1:12" ht="13.5" x14ac:dyDescent="0.25">
      <c r="A3323" s="1930" t="s">
        <v>4646</v>
      </c>
      <c r="B3323" s="1930" t="s">
        <v>4647</v>
      </c>
      <c r="C3323" s="1930" t="s">
        <v>4594</v>
      </c>
      <c r="D3323" s="1930" t="s">
        <v>4650</v>
      </c>
      <c r="E3323" s="1931" t="s">
        <v>33</v>
      </c>
      <c r="F3323" s="1930" t="s">
        <v>33</v>
      </c>
      <c r="G3323" s="1932">
        <v>89432</v>
      </c>
      <c r="H3323" s="1930" t="s">
        <v>2471</v>
      </c>
      <c r="I3323" s="1930" t="s">
        <v>168</v>
      </c>
      <c r="J3323" s="1930" t="s">
        <v>320</v>
      </c>
      <c r="K3323" s="1933">
        <v>21.96</v>
      </c>
      <c r="L3323" s="1930" t="s">
        <v>138</v>
      </c>
    </row>
    <row r="3324" spans="1:12" ht="13.5" x14ac:dyDescent="0.25">
      <c r="A3324" s="1930" t="s">
        <v>4646</v>
      </c>
      <c r="B3324" s="1930" t="s">
        <v>4647</v>
      </c>
      <c r="C3324" s="1930" t="s">
        <v>4594</v>
      </c>
      <c r="D3324" s="1930" t="s">
        <v>4650</v>
      </c>
      <c r="E3324" s="1931" t="s">
        <v>33</v>
      </c>
      <c r="F3324" s="1930" t="s">
        <v>33</v>
      </c>
      <c r="G3324" s="1932">
        <v>89433</v>
      </c>
      <c r="H3324" s="1930" t="s">
        <v>2472</v>
      </c>
      <c r="I3324" s="1930" t="s">
        <v>168</v>
      </c>
      <c r="J3324" s="1930" t="s">
        <v>320</v>
      </c>
      <c r="K3324" s="1933">
        <v>6.97</v>
      </c>
      <c r="L3324" s="1930" t="s">
        <v>138</v>
      </c>
    </row>
    <row r="3325" spans="1:12" ht="13.5" x14ac:dyDescent="0.25">
      <c r="A3325" s="1930" t="s">
        <v>4646</v>
      </c>
      <c r="B3325" s="1930" t="s">
        <v>4647</v>
      </c>
      <c r="C3325" s="1930" t="s">
        <v>4594</v>
      </c>
      <c r="D3325" s="1930" t="s">
        <v>4650</v>
      </c>
      <c r="E3325" s="1931" t="s">
        <v>33</v>
      </c>
      <c r="F3325" s="1930" t="s">
        <v>33</v>
      </c>
      <c r="G3325" s="1932">
        <v>89434</v>
      </c>
      <c r="H3325" s="1930" t="s">
        <v>2473</v>
      </c>
      <c r="I3325" s="1930" t="s">
        <v>168</v>
      </c>
      <c r="J3325" s="1930" t="s">
        <v>320</v>
      </c>
      <c r="K3325" s="1933">
        <v>7.62</v>
      </c>
      <c r="L3325" s="1930" t="s">
        <v>138</v>
      </c>
    </row>
    <row r="3326" spans="1:12" ht="13.5" x14ac:dyDescent="0.25">
      <c r="A3326" s="1930" t="s">
        <v>4646</v>
      </c>
      <c r="B3326" s="1930" t="s">
        <v>4647</v>
      </c>
      <c r="C3326" s="1930" t="s">
        <v>4594</v>
      </c>
      <c r="D3326" s="1930" t="s">
        <v>4650</v>
      </c>
      <c r="E3326" s="1931" t="s">
        <v>33</v>
      </c>
      <c r="F3326" s="1930" t="s">
        <v>33</v>
      </c>
      <c r="G3326" s="1932">
        <v>89435</v>
      </c>
      <c r="H3326" s="1930" t="s">
        <v>2474</v>
      </c>
      <c r="I3326" s="1930" t="s">
        <v>168</v>
      </c>
      <c r="J3326" s="1930" t="s">
        <v>320</v>
      </c>
      <c r="K3326" s="1933">
        <v>14.59</v>
      </c>
      <c r="L3326" s="1930" t="s">
        <v>138</v>
      </c>
    </row>
    <row r="3327" spans="1:12" ht="13.5" x14ac:dyDescent="0.25">
      <c r="A3327" s="1930" t="s">
        <v>4646</v>
      </c>
      <c r="B3327" s="1930" t="s">
        <v>4647</v>
      </c>
      <c r="C3327" s="1930" t="s">
        <v>4594</v>
      </c>
      <c r="D3327" s="1930" t="s">
        <v>4650</v>
      </c>
      <c r="E3327" s="1931" t="s">
        <v>33</v>
      </c>
      <c r="F3327" s="1930" t="s">
        <v>33</v>
      </c>
      <c r="G3327" s="1932">
        <v>89436</v>
      </c>
      <c r="H3327" s="1930" t="s">
        <v>2475</v>
      </c>
      <c r="I3327" s="1930" t="s">
        <v>168</v>
      </c>
      <c r="J3327" s="1930" t="s">
        <v>320</v>
      </c>
      <c r="K3327" s="1933">
        <v>4.9800000000000004</v>
      </c>
      <c r="L3327" s="1930" t="s">
        <v>138</v>
      </c>
    </row>
    <row r="3328" spans="1:12" ht="13.5" x14ac:dyDescent="0.25">
      <c r="A3328" s="1930" t="s">
        <v>4646</v>
      </c>
      <c r="B3328" s="1930" t="s">
        <v>4647</v>
      </c>
      <c r="C3328" s="1930" t="s">
        <v>4594</v>
      </c>
      <c r="D3328" s="1930" t="s">
        <v>4650</v>
      </c>
      <c r="E3328" s="1931" t="s">
        <v>33</v>
      </c>
      <c r="F3328" s="1930" t="s">
        <v>33</v>
      </c>
      <c r="G3328" s="1932">
        <v>89437</v>
      </c>
      <c r="H3328" s="1930" t="s">
        <v>2476</v>
      </c>
      <c r="I3328" s="1930" t="s">
        <v>168</v>
      </c>
      <c r="J3328" s="1930" t="s">
        <v>320</v>
      </c>
      <c r="K3328" s="1933">
        <v>17.5</v>
      </c>
      <c r="L3328" s="1930" t="s">
        <v>138</v>
      </c>
    </row>
    <row r="3329" spans="1:12" ht="13.5" x14ac:dyDescent="0.25">
      <c r="A3329" s="1930" t="s">
        <v>4646</v>
      </c>
      <c r="B3329" s="1930" t="s">
        <v>4647</v>
      </c>
      <c r="C3329" s="1930" t="s">
        <v>4594</v>
      </c>
      <c r="D3329" s="1930" t="s">
        <v>4650</v>
      </c>
      <c r="E3329" s="1931" t="s">
        <v>33</v>
      </c>
      <c r="F3329" s="1930" t="s">
        <v>33</v>
      </c>
      <c r="G3329" s="1932">
        <v>89438</v>
      </c>
      <c r="H3329" s="1930" t="s">
        <v>2477</v>
      </c>
      <c r="I3329" s="1930" t="s">
        <v>168</v>
      </c>
      <c r="J3329" s="1930" t="s">
        <v>320</v>
      </c>
      <c r="K3329" s="1933">
        <v>5.35</v>
      </c>
      <c r="L3329" s="1930" t="s">
        <v>138</v>
      </c>
    </row>
    <row r="3330" spans="1:12" ht="13.5" x14ac:dyDescent="0.25">
      <c r="A3330" s="1930" t="s">
        <v>4646</v>
      </c>
      <c r="B3330" s="1930" t="s">
        <v>4647</v>
      </c>
      <c r="C3330" s="1930" t="s">
        <v>4594</v>
      </c>
      <c r="D3330" s="1930" t="s">
        <v>4650</v>
      </c>
      <c r="E3330" s="1931" t="s">
        <v>33</v>
      </c>
      <c r="F3330" s="1930" t="s">
        <v>33</v>
      </c>
      <c r="G3330" s="1932">
        <v>89439</v>
      </c>
      <c r="H3330" s="1930" t="s">
        <v>2478</v>
      </c>
      <c r="I3330" s="1930" t="s">
        <v>168</v>
      </c>
      <c r="J3330" s="1930" t="s">
        <v>320</v>
      </c>
      <c r="K3330" s="1933">
        <v>6.87</v>
      </c>
      <c r="L3330" s="1930" t="s">
        <v>138</v>
      </c>
    </row>
    <row r="3331" spans="1:12" ht="13.5" x14ac:dyDescent="0.25">
      <c r="A3331" s="1930" t="s">
        <v>4646</v>
      </c>
      <c r="B3331" s="1930" t="s">
        <v>4647</v>
      </c>
      <c r="C3331" s="1930" t="s">
        <v>4594</v>
      </c>
      <c r="D3331" s="1930" t="s">
        <v>4650</v>
      </c>
      <c r="E3331" s="1931" t="s">
        <v>33</v>
      </c>
      <c r="F3331" s="1930" t="s">
        <v>33</v>
      </c>
      <c r="G3331" s="1932">
        <v>89440</v>
      </c>
      <c r="H3331" s="1930" t="s">
        <v>2479</v>
      </c>
      <c r="I3331" s="1930" t="s">
        <v>168</v>
      </c>
      <c r="J3331" s="1930" t="s">
        <v>320</v>
      </c>
      <c r="K3331" s="1933">
        <v>6.43</v>
      </c>
      <c r="L3331" s="1930" t="s">
        <v>138</v>
      </c>
    </row>
    <row r="3332" spans="1:12" ht="13.5" x14ac:dyDescent="0.25">
      <c r="A3332" s="1930" t="s">
        <v>4646</v>
      </c>
      <c r="B3332" s="1930" t="s">
        <v>4647</v>
      </c>
      <c r="C3332" s="1930" t="s">
        <v>4594</v>
      </c>
      <c r="D3332" s="1930" t="s">
        <v>4650</v>
      </c>
      <c r="E3332" s="1931" t="s">
        <v>33</v>
      </c>
      <c r="F3332" s="1930" t="s">
        <v>33</v>
      </c>
      <c r="G3332" s="1932">
        <v>89441</v>
      </c>
      <c r="H3332" s="1930" t="s">
        <v>2480</v>
      </c>
      <c r="I3332" s="1930" t="s">
        <v>168</v>
      </c>
      <c r="J3332" s="1930" t="s">
        <v>320</v>
      </c>
      <c r="K3332" s="1933">
        <v>12.11</v>
      </c>
      <c r="L3332" s="1930" t="s">
        <v>138</v>
      </c>
    </row>
    <row r="3333" spans="1:12" ht="13.5" x14ac:dyDescent="0.25">
      <c r="A3333" s="1930" t="s">
        <v>4646</v>
      </c>
      <c r="B3333" s="1930" t="s">
        <v>4647</v>
      </c>
      <c r="C3333" s="1930" t="s">
        <v>4594</v>
      </c>
      <c r="D3333" s="1930" t="s">
        <v>4650</v>
      </c>
      <c r="E3333" s="1931" t="s">
        <v>33</v>
      </c>
      <c r="F3333" s="1930" t="s">
        <v>33</v>
      </c>
      <c r="G3333" s="1932">
        <v>89442</v>
      </c>
      <c r="H3333" s="1930" t="s">
        <v>2481</v>
      </c>
      <c r="I3333" s="1930" t="s">
        <v>168</v>
      </c>
      <c r="J3333" s="1930" t="s">
        <v>320</v>
      </c>
      <c r="K3333" s="1933">
        <v>7.95</v>
      </c>
      <c r="L3333" s="1930" t="s">
        <v>138</v>
      </c>
    </row>
    <row r="3334" spans="1:12" ht="13.5" x14ac:dyDescent="0.25">
      <c r="A3334" s="1930" t="s">
        <v>4646</v>
      </c>
      <c r="B3334" s="1930" t="s">
        <v>4647</v>
      </c>
      <c r="C3334" s="1930" t="s">
        <v>4594</v>
      </c>
      <c r="D3334" s="1930" t="s">
        <v>4650</v>
      </c>
      <c r="E3334" s="1931" t="s">
        <v>33</v>
      </c>
      <c r="F3334" s="1930" t="s">
        <v>33</v>
      </c>
      <c r="G3334" s="1932">
        <v>89443</v>
      </c>
      <c r="H3334" s="1930" t="s">
        <v>2482</v>
      </c>
      <c r="I3334" s="1930" t="s">
        <v>168</v>
      </c>
      <c r="J3334" s="1930" t="s">
        <v>320</v>
      </c>
      <c r="K3334" s="1933">
        <v>9.84</v>
      </c>
      <c r="L3334" s="1930" t="s">
        <v>138</v>
      </c>
    </row>
    <row r="3335" spans="1:12" ht="13.5" x14ac:dyDescent="0.25">
      <c r="A3335" s="1930" t="s">
        <v>4646</v>
      </c>
      <c r="B3335" s="1930" t="s">
        <v>4647</v>
      </c>
      <c r="C3335" s="1930" t="s">
        <v>4594</v>
      </c>
      <c r="D3335" s="1930" t="s">
        <v>4650</v>
      </c>
      <c r="E3335" s="1931" t="s">
        <v>33</v>
      </c>
      <c r="F3335" s="1930" t="s">
        <v>33</v>
      </c>
      <c r="G3335" s="1932">
        <v>89444</v>
      </c>
      <c r="H3335" s="1930" t="s">
        <v>2483</v>
      </c>
      <c r="I3335" s="1930" t="s">
        <v>168</v>
      </c>
      <c r="J3335" s="1930" t="s">
        <v>320</v>
      </c>
      <c r="K3335" s="1933">
        <v>19.47</v>
      </c>
      <c r="L3335" s="1930" t="s">
        <v>138</v>
      </c>
    </row>
    <row r="3336" spans="1:12" ht="13.5" x14ac:dyDescent="0.25">
      <c r="A3336" s="1930" t="s">
        <v>4646</v>
      </c>
      <c r="B3336" s="1930" t="s">
        <v>4647</v>
      </c>
      <c r="C3336" s="1930" t="s">
        <v>4594</v>
      </c>
      <c r="D3336" s="1930" t="s">
        <v>4650</v>
      </c>
      <c r="E3336" s="1931" t="s">
        <v>33</v>
      </c>
      <c r="F3336" s="1930" t="s">
        <v>33</v>
      </c>
      <c r="G3336" s="1932">
        <v>89445</v>
      </c>
      <c r="H3336" s="1930" t="s">
        <v>2484</v>
      </c>
      <c r="I3336" s="1930" t="s">
        <v>168</v>
      </c>
      <c r="J3336" s="1930" t="s">
        <v>320</v>
      </c>
      <c r="K3336" s="1933">
        <v>11.34</v>
      </c>
      <c r="L3336" s="1930" t="s">
        <v>138</v>
      </c>
    </row>
    <row r="3337" spans="1:12" ht="13.5" x14ac:dyDescent="0.25">
      <c r="A3337" s="1930" t="s">
        <v>4646</v>
      </c>
      <c r="B3337" s="1930" t="s">
        <v>4647</v>
      </c>
      <c r="C3337" s="1930" t="s">
        <v>4594</v>
      </c>
      <c r="D3337" s="1930" t="s">
        <v>4650</v>
      </c>
      <c r="E3337" s="1931" t="s">
        <v>33</v>
      </c>
      <c r="F3337" s="1930" t="s">
        <v>33</v>
      </c>
      <c r="G3337" s="1932">
        <v>89481</v>
      </c>
      <c r="H3337" s="1930" t="s">
        <v>2485</v>
      </c>
      <c r="I3337" s="1930" t="s">
        <v>168</v>
      </c>
      <c r="J3337" s="1930" t="s">
        <v>320</v>
      </c>
      <c r="K3337" s="1933">
        <v>3.46</v>
      </c>
      <c r="L3337" s="1930" t="s">
        <v>138</v>
      </c>
    </row>
    <row r="3338" spans="1:12" ht="13.5" x14ac:dyDescent="0.25">
      <c r="A3338" s="1930" t="s">
        <v>4646</v>
      </c>
      <c r="B3338" s="1930" t="s">
        <v>4647</v>
      </c>
      <c r="C3338" s="1930" t="s">
        <v>4594</v>
      </c>
      <c r="D3338" s="1930" t="s">
        <v>4650</v>
      </c>
      <c r="E3338" s="1931" t="s">
        <v>33</v>
      </c>
      <c r="F3338" s="1930" t="s">
        <v>33</v>
      </c>
      <c r="G3338" s="1932">
        <v>89485</v>
      </c>
      <c r="H3338" s="1930" t="s">
        <v>2486</v>
      </c>
      <c r="I3338" s="1930" t="s">
        <v>168</v>
      </c>
      <c r="J3338" s="1930" t="s">
        <v>320</v>
      </c>
      <c r="K3338" s="1933">
        <v>4.03</v>
      </c>
      <c r="L3338" s="1930" t="s">
        <v>138</v>
      </c>
    </row>
    <row r="3339" spans="1:12" ht="13.5" x14ac:dyDescent="0.25">
      <c r="A3339" s="1930" t="s">
        <v>4646</v>
      </c>
      <c r="B3339" s="1930" t="s">
        <v>4647</v>
      </c>
      <c r="C3339" s="1930" t="s">
        <v>4594</v>
      </c>
      <c r="D3339" s="1930" t="s">
        <v>4650</v>
      </c>
      <c r="E3339" s="1931" t="s">
        <v>33</v>
      </c>
      <c r="F3339" s="1930" t="s">
        <v>33</v>
      </c>
      <c r="G3339" s="1932">
        <v>89489</v>
      </c>
      <c r="H3339" s="1930" t="s">
        <v>2487</v>
      </c>
      <c r="I3339" s="1930" t="s">
        <v>168</v>
      </c>
      <c r="J3339" s="1930" t="s">
        <v>320</v>
      </c>
      <c r="K3339" s="1933">
        <v>5.22</v>
      </c>
      <c r="L3339" s="1930" t="s">
        <v>138</v>
      </c>
    </row>
    <row r="3340" spans="1:12" ht="13.5" x14ac:dyDescent="0.25">
      <c r="A3340" s="1930" t="s">
        <v>4646</v>
      </c>
      <c r="B3340" s="1930" t="s">
        <v>4647</v>
      </c>
      <c r="C3340" s="1930" t="s">
        <v>4594</v>
      </c>
      <c r="D3340" s="1930" t="s">
        <v>4650</v>
      </c>
      <c r="E3340" s="1931" t="s">
        <v>33</v>
      </c>
      <c r="F3340" s="1930" t="s">
        <v>33</v>
      </c>
      <c r="G3340" s="1932">
        <v>89490</v>
      </c>
      <c r="H3340" s="1930" t="s">
        <v>2488</v>
      </c>
      <c r="I3340" s="1930" t="s">
        <v>168</v>
      </c>
      <c r="J3340" s="1930" t="s">
        <v>320</v>
      </c>
      <c r="K3340" s="1933">
        <v>4.6900000000000004</v>
      </c>
      <c r="L3340" s="1930" t="s">
        <v>138</v>
      </c>
    </row>
    <row r="3341" spans="1:12" ht="13.5" x14ac:dyDescent="0.25">
      <c r="A3341" s="1930" t="s">
        <v>4646</v>
      </c>
      <c r="B3341" s="1930" t="s">
        <v>4647</v>
      </c>
      <c r="C3341" s="1930" t="s">
        <v>4594</v>
      </c>
      <c r="D3341" s="1930" t="s">
        <v>4650</v>
      </c>
      <c r="E3341" s="1931" t="s">
        <v>33</v>
      </c>
      <c r="F3341" s="1930" t="s">
        <v>33</v>
      </c>
      <c r="G3341" s="1932">
        <v>89492</v>
      </c>
      <c r="H3341" s="1930" t="s">
        <v>2489</v>
      </c>
      <c r="I3341" s="1930" t="s">
        <v>168</v>
      </c>
      <c r="J3341" s="1930" t="s">
        <v>320</v>
      </c>
      <c r="K3341" s="1933">
        <v>5.28</v>
      </c>
      <c r="L3341" s="1930" t="s">
        <v>138</v>
      </c>
    </row>
    <row r="3342" spans="1:12" ht="13.5" x14ac:dyDescent="0.25">
      <c r="A3342" s="1930" t="s">
        <v>4646</v>
      </c>
      <c r="B3342" s="1930" t="s">
        <v>4647</v>
      </c>
      <c r="C3342" s="1930" t="s">
        <v>4594</v>
      </c>
      <c r="D3342" s="1930" t="s">
        <v>4650</v>
      </c>
      <c r="E3342" s="1931" t="s">
        <v>33</v>
      </c>
      <c r="F3342" s="1930" t="s">
        <v>33</v>
      </c>
      <c r="G3342" s="1932">
        <v>89493</v>
      </c>
      <c r="H3342" s="1930" t="s">
        <v>2490</v>
      </c>
      <c r="I3342" s="1930" t="s">
        <v>168</v>
      </c>
      <c r="J3342" s="1930" t="s">
        <v>320</v>
      </c>
      <c r="K3342" s="1933">
        <v>6.89</v>
      </c>
      <c r="L3342" s="1930" t="s">
        <v>138</v>
      </c>
    </row>
    <row r="3343" spans="1:12" ht="13.5" x14ac:dyDescent="0.25">
      <c r="A3343" s="1930" t="s">
        <v>4646</v>
      </c>
      <c r="B3343" s="1930" t="s">
        <v>4647</v>
      </c>
      <c r="C3343" s="1930" t="s">
        <v>4594</v>
      </c>
      <c r="D3343" s="1930" t="s">
        <v>4650</v>
      </c>
      <c r="E3343" s="1931" t="s">
        <v>33</v>
      </c>
      <c r="F3343" s="1930" t="s">
        <v>33</v>
      </c>
      <c r="G3343" s="1932">
        <v>89494</v>
      </c>
      <c r="H3343" s="1930" t="s">
        <v>2491</v>
      </c>
      <c r="I3343" s="1930" t="s">
        <v>168</v>
      </c>
      <c r="J3343" s="1930" t="s">
        <v>320</v>
      </c>
      <c r="K3343" s="1933">
        <v>8.89</v>
      </c>
      <c r="L3343" s="1930" t="s">
        <v>138</v>
      </c>
    </row>
    <row r="3344" spans="1:12" ht="13.5" x14ac:dyDescent="0.25">
      <c r="A3344" s="1930" t="s">
        <v>4646</v>
      </c>
      <c r="B3344" s="1930" t="s">
        <v>4647</v>
      </c>
      <c r="C3344" s="1930" t="s">
        <v>4594</v>
      </c>
      <c r="D3344" s="1930" t="s">
        <v>4650</v>
      </c>
      <c r="E3344" s="1931" t="s">
        <v>33</v>
      </c>
      <c r="F3344" s="1930" t="s">
        <v>33</v>
      </c>
      <c r="G3344" s="1932">
        <v>89496</v>
      </c>
      <c r="H3344" s="1930" t="s">
        <v>2492</v>
      </c>
      <c r="I3344" s="1930" t="s">
        <v>168</v>
      </c>
      <c r="J3344" s="1930" t="s">
        <v>320</v>
      </c>
      <c r="K3344" s="1933">
        <v>6.55</v>
      </c>
      <c r="L3344" s="1930" t="s">
        <v>138</v>
      </c>
    </row>
    <row r="3345" spans="1:12" ht="13.5" x14ac:dyDescent="0.25">
      <c r="A3345" s="1930" t="s">
        <v>4646</v>
      </c>
      <c r="B3345" s="1930" t="s">
        <v>4647</v>
      </c>
      <c r="C3345" s="1930" t="s">
        <v>4594</v>
      </c>
      <c r="D3345" s="1930" t="s">
        <v>4650</v>
      </c>
      <c r="E3345" s="1931" t="s">
        <v>33</v>
      </c>
      <c r="F3345" s="1930" t="s">
        <v>33</v>
      </c>
      <c r="G3345" s="1932">
        <v>89497</v>
      </c>
      <c r="H3345" s="1930" t="s">
        <v>2493</v>
      </c>
      <c r="I3345" s="1930" t="s">
        <v>168</v>
      </c>
      <c r="J3345" s="1930" t="s">
        <v>320</v>
      </c>
      <c r="K3345" s="1933">
        <v>8.42</v>
      </c>
      <c r="L3345" s="1930" t="s">
        <v>138</v>
      </c>
    </row>
    <row r="3346" spans="1:12" ht="13.5" x14ac:dyDescent="0.25">
      <c r="A3346" s="1930" t="s">
        <v>4646</v>
      </c>
      <c r="B3346" s="1930" t="s">
        <v>4647</v>
      </c>
      <c r="C3346" s="1930" t="s">
        <v>4594</v>
      </c>
      <c r="D3346" s="1930" t="s">
        <v>4650</v>
      </c>
      <c r="E3346" s="1931" t="s">
        <v>33</v>
      </c>
      <c r="F3346" s="1930" t="s">
        <v>33</v>
      </c>
      <c r="G3346" s="1932">
        <v>89498</v>
      </c>
      <c r="H3346" s="1930" t="s">
        <v>2494</v>
      </c>
      <c r="I3346" s="1930" t="s">
        <v>168</v>
      </c>
      <c r="J3346" s="1930" t="s">
        <v>320</v>
      </c>
      <c r="K3346" s="1933">
        <v>9.16</v>
      </c>
      <c r="L3346" s="1930" t="s">
        <v>138</v>
      </c>
    </row>
    <row r="3347" spans="1:12" ht="13.5" x14ac:dyDescent="0.25">
      <c r="A3347" s="1930" t="s">
        <v>4646</v>
      </c>
      <c r="B3347" s="1930" t="s">
        <v>4647</v>
      </c>
      <c r="C3347" s="1930" t="s">
        <v>4594</v>
      </c>
      <c r="D3347" s="1930" t="s">
        <v>4650</v>
      </c>
      <c r="E3347" s="1931" t="s">
        <v>33</v>
      </c>
      <c r="F3347" s="1930" t="s">
        <v>33</v>
      </c>
      <c r="G3347" s="1932">
        <v>89499</v>
      </c>
      <c r="H3347" s="1930" t="s">
        <v>2495</v>
      </c>
      <c r="I3347" s="1930" t="s">
        <v>168</v>
      </c>
      <c r="J3347" s="1930" t="s">
        <v>320</v>
      </c>
      <c r="K3347" s="1933">
        <v>13.85</v>
      </c>
      <c r="L3347" s="1930" t="s">
        <v>138</v>
      </c>
    </row>
    <row r="3348" spans="1:12" ht="13.5" x14ac:dyDescent="0.25">
      <c r="A3348" s="1930" t="s">
        <v>4646</v>
      </c>
      <c r="B3348" s="1930" t="s">
        <v>4647</v>
      </c>
      <c r="C3348" s="1930" t="s">
        <v>4594</v>
      </c>
      <c r="D3348" s="1930" t="s">
        <v>4650</v>
      </c>
      <c r="E3348" s="1931" t="s">
        <v>33</v>
      </c>
      <c r="F3348" s="1930" t="s">
        <v>33</v>
      </c>
      <c r="G3348" s="1932">
        <v>89500</v>
      </c>
      <c r="H3348" s="1930" t="s">
        <v>2496</v>
      </c>
      <c r="I3348" s="1930" t="s">
        <v>168</v>
      </c>
      <c r="J3348" s="1930" t="s">
        <v>320</v>
      </c>
      <c r="K3348" s="1933">
        <v>9.3000000000000007</v>
      </c>
      <c r="L3348" s="1930" t="s">
        <v>138</v>
      </c>
    </row>
    <row r="3349" spans="1:12" ht="13.5" x14ac:dyDescent="0.25">
      <c r="A3349" s="1930" t="s">
        <v>4646</v>
      </c>
      <c r="B3349" s="1930" t="s">
        <v>4647</v>
      </c>
      <c r="C3349" s="1930" t="s">
        <v>4594</v>
      </c>
      <c r="D3349" s="1930" t="s">
        <v>4650</v>
      </c>
      <c r="E3349" s="1931" t="s">
        <v>33</v>
      </c>
      <c r="F3349" s="1930" t="s">
        <v>33</v>
      </c>
      <c r="G3349" s="1932">
        <v>89501</v>
      </c>
      <c r="H3349" s="1930" t="s">
        <v>2497</v>
      </c>
      <c r="I3349" s="1930" t="s">
        <v>168</v>
      </c>
      <c r="J3349" s="1930" t="s">
        <v>320</v>
      </c>
      <c r="K3349" s="1933">
        <v>10.15</v>
      </c>
      <c r="L3349" s="1930" t="s">
        <v>138</v>
      </c>
    </row>
    <row r="3350" spans="1:12" ht="13.5" x14ac:dyDescent="0.25">
      <c r="A3350" s="1930" t="s">
        <v>4646</v>
      </c>
      <c r="B3350" s="1930" t="s">
        <v>4647</v>
      </c>
      <c r="C3350" s="1930" t="s">
        <v>4594</v>
      </c>
      <c r="D3350" s="1930" t="s">
        <v>4650</v>
      </c>
      <c r="E3350" s="1931" t="s">
        <v>33</v>
      </c>
      <c r="F3350" s="1930" t="s">
        <v>33</v>
      </c>
      <c r="G3350" s="1932">
        <v>89502</v>
      </c>
      <c r="H3350" s="1930" t="s">
        <v>2498</v>
      </c>
      <c r="I3350" s="1930" t="s">
        <v>168</v>
      </c>
      <c r="J3350" s="1930" t="s">
        <v>320</v>
      </c>
      <c r="K3350" s="1933">
        <v>11.48</v>
      </c>
      <c r="L3350" s="1930" t="s">
        <v>138</v>
      </c>
    </row>
    <row r="3351" spans="1:12" ht="13.5" x14ac:dyDescent="0.25">
      <c r="A3351" s="1930" t="s">
        <v>4646</v>
      </c>
      <c r="B3351" s="1930" t="s">
        <v>4647</v>
      </c>
      <c r="C3351" s="1930" t="s">
        <v>4594</v>
      </c>
      <c r="D3351" s="1930" t="s">
        <v>4650</v>
      </c>
      <c r="E3351" s="1931" t="s">
        <v>33</v>
      </c>
      <c r="F3351" s="1930" t="s">
        <v>33</v>
      </c>
      <c r="G3351" s="1932">
        <v>89503</v>
      </c>
      <c r="H3351" s="1930" t="s">
        <v>2499</v>
      </c>
      <c r="I3351" s="1930" t="s">
        <v>168</v>
      </c>
      <c r="J3351" s="1930" t="s">
        <v>320</v>
      </c>
      <c r="K3351" s="1933">
        <v>17.3</v>
      </c>
      <c r="L3351" s="1930" t="s">
        <v>138</v>
      </c>
    </row>
    <row r="3352" spans="1:12" ht="13.5" x14ac:dyDescent="0.25">
      <c r="A3352" s="1930" t="s">
        <v>4646</v>
      </c>
      <c r="B3352" s="1930" t="s">
        <v>4647</v>
      </c>
      <c r="C3352" s="1930" t="s">
        <v>4594</v>
      </c>
      <c r="D3352" s="1930" t="s">
        <v>4650</v>
      </c>
      <c r="E3352" s="1931" t="s">
        <v>33</v>
      </c>
      <c r="F3352" s="1930" t="s">
        <v>33</v>
      </c>
      <c r="G3352" s="1932">
        <v>89504</v>
      </c>
      <c r="H3352" s="1930" t="s">
        <v>2500</v>
      </c>
      <c r="I3352" s="1930" t="s">
        <v>168</v>
      </c>
      <c r="J3352" s="1930" t="s">
        <v>320</v>
      </c>
      <c r="K3352" s="1933">
        <v>15.19</v>
      </c>
      <c r="L3352" s="1930" t="s">
        <v>138</v>
      </c>
    </row>
    <row r="3353" spans="1:12" ht="13.5" x14ac:dyDescent="0.25">
      <c r="A3353" s="1930" t="s">
        <v>4646</v>
      </c>
      <c r="B3353" s="1930" t="s">
        <v>4647</v>
      </c>
      <c r="C3353" s="1930" t="s">
        <v>4594</v>
      </c>
      <c r="D3353" s="1930" t="s">
        <v>4650</v>
      </c>
      <c r="E3353" s="1931" t="s">
        <v>33</v>
      </c>
      <c r="F3353" s="1930" t="s">
        <v>33</v>
      </c>
      <c r="G3353" s="1932">
        <v>89505</v>
      </c>
      <c r="H3353" s="1930" t="s">
        <v>2501</v>
      </c>
      <c r="I3353" s="1930" t="s">
        <v>168</v>
      </c>
      <c r="J3353" s="1930" t="s">
        <v>320</v>
      </c>
      <c r="K3353" s="1933">
        <v>25.69</v>
      </c>
      <c r="L3353" s="1930" t="s">
        <v>138</v>
      </c>
    </row>
    <row r="3354" spans="1:12" ht="13.5" x14ac:dyDescent="0.25">
      <c r="A3354" s="1930" t="s">
        <v>4646</v>
      </c>
      <c r="B3354" s="1930" t="s">
        <v>4647</v>
      </c>
      <c r="C3354" s="1930" t="s">
        <v>4594</v>
      </c>
      <c r="D3354" s="1930" t="s">
        <v>4650</v>
      </c>
      <c r="E3354" s="1931" t="s">
        <v>33</v>
      </c>
      <c r="F3354" s="1930" t="s">
        <v>33</v>
      </c>
      <c r="G3354" s="1932">
        <v>89506</v>
      </c>
      <c r="H3354" s="1930" t="s">
        <v>2502</v>
      </c>
      <c r="I3354" s="1930" t="s">
        <v>168</v>
      </c>
      <c r="J3354" s="1930" t="s">
        <v>320</v>
      </c>
      <c r="K3354" s="1933">
        <v>28.86</v>
      </c>
      <c r="L3354" s="1930" t="s">
        <v>138</v>
      </c>
    </row>
    <row r="3355" spans="1:12" ht="13.5" x14ac:dyDescent="0.25">
      <c r="A3355" s="1930" t="s">
        <v>4646</v>
      </c>
      <c r="B3355" s="1930" t="s">
        <v>4647</v>
      </c>
      <c r="C3355" s="1930" t="s">
        <v>4594</v>
      </c>
      <c r="D3355" s="1930" t="s">
        <v>4650</v>
      </c>
      <c r="E3355" s="1931" t="s">
        <v>33</v>
      </c>
      <c r="F3355" s="1930" t="s">
        <v>33</v>
      </c>
      <c r="G3355" s="1932">
        <v>89507</v>
      </c>
      <c r="H3355" s="1930" t="s">
        <v>2503</v>
      </c>
      <c r="I3355" s="1930" t="s">
        <v>168</v>
      </c>
      <c r="J3355" s="1930" t="s">
        <v>320</v>
      </c>
      <c r="K3355" s="1933">
        <v>35.479999999999997</v>
      </c>
      <c r="L3355" s="1930" t="s">
        <v>138</v>
      </c>
    </row>
    <row r="3356" spans="1:12" ht="13.5" x14ac:dyDescent="0.25">
      <c r="A3356" s="1930" t="s">
        <v>4646</v>
      </c>
      <c r="B3356" s="1930" t="s">
        <v>4647</v>
      </c>
      <c r="C3356" s="1930" t="s">
        <v>4594</v>
      </c>
      <c r="D3356" s="1930" t="s">
        <v>4650</v>
      </c>
      <c r="E3356" s="1931" t="s">
        <v>33</v>
      </c>
      <c r="F3356" s="1930" t="s">
        <v>33</v>
      </c>
      <c r="G3356" s="1932">
        <v>89510</v>
      </c>
      <c r="H3356" s="1930" t="s">
        <v>2504</v>
      </c>
      <c r="I3356" s="1930" t="s">
        <v>168</v>
      </c>
      <c r="J3356" s="1930" t="s">
        <v>320</v>
      </c>
      <c r="K3356" s="1933">
        <v>23.34</v>
      </c>
      <c r="L3356" s="1930" t="s">
        <v>138</v>
      </c>
    </row>
    <row r="3357" spans="1:12" ht="13.5" x14ac:dyDescent="0.25">
      <c r="A3357" s="1930" t="s">
        <v>4646</v>
      </c>
      <c r="B3357" s="1930" t="s">
        <v>4647</v>
      </c>
      <c r="C3357" s="1930" t="s">
        <v>4594</v>
      </c>
      <c r="D3357" s="1930" t="s">
        <v>4650</v>
      </c>
      <c r="E3357" s="1931" t="s">
        <v>33</v>
      </c>
      <c r="F3357" s="1930" t="s">
        <v>33</v>
      </c>
      <c r="G3357" s="1932">
        <v>89513</v>
      </c>
      <c r="H3357" s="1930" t="s">
        <v>2505</v>
      </c>
      <c r="I3357" s="1930" t="s">
        <v>168</v>
      </c>
      <c r="J3357" s="1930" t="s">
        <v>320</v>
      </c>
      <c r="K3357" s="1933">
        <v>79.099999999999994</v>
      </c>
      <c r="L3357" s="1930" t="s">
        <v>138</v>
      </c>
    </row>
    <row r="3358" spans="1:12" ht="13.5" x14ac:dyDescent="0.25">
      <c r="A3358" s="1930" t="s">
        <v>4646</v>
      </c>
      <c r="B3358" s="1930" t="s">
        <v>4647</v>
      </c>
      <c r="C3358" s="1930" t="s">
        <v>4594</v>
      </c>
      <c r="D3358" s="1930" t="s">
        <v>4650</v>
      </c>
      <c r="E3358" s="1931" t="s">
        <v>33</v>
      </c>
      <c r="F3358" s="1930" t="s">
        <v>33</v>
      </c>
      <c r="G3358" s="1932">
        <v>89514</v>
      </c>
      <c r="H3358" s="1930" t="s">
        <v>2506</v>
      </c>
      <c r="I3358" s="1930" t="s">
        <v>168</v>
      </c>
      <c r="J3358" s="1930" t="s">
        <v>320</v>
      </c>
      <c r="K3358" s="1933">
        <v>6.94</v>
      </c>
      <c r="L3358" s="1930" t="s">
        <v>138</v>
      </c>
    </row>
    <row r="3359" spans="1:12" ht="13.5" x14ac:dyDescent="0.25">
      <c r="A3359" s="1930" t="s">
        <v>4646</v>
      </c>
      <c r="B3359" s="1930" t="s">
        <v>4647</v>
      </c>
      <c r="C3359" s="1930" t="s">
        <v>4594</v>
      </c>
      <c r="D3359" s="1930" t="s">
        <v>4650</v>
      </c>
      <c r="E3359" s="1931" t="s">
        <v>33</v>
      </c>
      <c r="F3359" s="1930" t="s">
        <v>33</v>
      </c>
      <c r="G3359" s="1932">
        <v>89515</v>
      </c>
      <c r="H3359" s="1930" t="s">
        <v>2507</v>
      </c>
      <c r="I3359" s="1930" t="s">
        <v>168</v>
      </c>
      <c r="J3359" s="1930" t="s">
        <v>320</v>
      </c>
      <c r="K3359" s="1933">
        <v>59.75</v>
      </c>
      <c r="L3359" s="1930" t="s">
        <v>138</v>
      </c>
    </row>
    <row r="3360" spans="1:12" ht="13.5" x14ac:dyDescent="0.25">
      <c r="A3360" s="1930" t="s">
        <v>4646</v>
      </c>
      <c r="B3360" s="1930" t="s">
        <v>4647</v>
      </c>
      <c r="C3360" s="1930" t="s">
        <v>4594</v>
      </c>
      <c r="D3360" s="1930" t="s">
        <v>4650</v>
      </c>
      <c r="E3360" s="1931" t="s">
        <v>33</v>
      </c>
      <c r="F3360" s="1930" t="s">
        <v>33</v>
      </c>
      <c r="G3360" s="1932">
        <v>89516</v>
      </c>
      <c r="H3360" s="1930" t="s">
        <v>2508</v>
      </c>
      <c r="I3360" s="1930" t="s">
        <v>168</v>
      </c>
      <c r="J3360" s="1930" t="s">
        <v>320</v>
      </c>
      <c r="K3360" s="1933">
        <v>6.09</v>
      </c>
      <c r="L3360" s="1930" t="s">
        <v>138</v>
      </c>
    </row>
    <row r="3361" spans="1:12" ht="13.5" x14ac:dyDescent="0.25">
      <c r="A3361" s="1930" t="s">
        <v>4646</v>
      </c>
      <c r="B3361" s="1930" t="s">
        <v>4647</v>
      </c>
      <c r="C3361" s="1930" t="s">
        <v>4594</v>
      </c>
      <c r="D3361" s="1930" t="s">
        <v>4650</v>
      </c>
      <c r="E3361" s="1931" t="s">
        <v>33</v>
      </c>
      <c r="F3361" s="1930" t="s">
        <v>33</v>
      </c>
      <c r="G3361" s="1932">
        <v>89517</v>
      </c>
      <c r="H3361" s="1930" t="s">
        <v>2509</v>
      </c>
      <c r="I3361" s="1930" t="s">
        <v>168</v>
      </c>
      <c r="J3361" s="1930" t="s">
        <v>320</v>
      </c>
      <c r="K3361" s="1933">
        <v>50.34</v>
      </c>
      <c r="L3361" s="1930" t="s">
        <v>138</v>
      </c>
    </row>
    <row r="3362" spans="1:12" ht="13.5" x14ac:dyDescent="0.25">
      <c r="A3362" s="1930" t="s">
        <v>4646</v>
      </c>
      <c r="B3362" s="1930" t="s">
        <v>4647</v>
      </c>
      <c r="C3362" s="1930" t="s">
        <v>4594</v>
      </c>
      <c r="D3362" s="1930" t="s">
        <v>4650</v>
      </c>
      <c r="E3362" s="1931" t="s">
        <v>33</v>
      </c>
      <c r="F3362" s="1930" t="s">
        <v>33</v>
      </c>
      <c r="G3362" s="1932">
        <v>89518</v>
      </c>
      <c r="H3362" s="1930" t="s">
        <v>2510</v>
      </c>
      <c r="I3362" s="1930" t="s">
        <v>168</v>
      </c>
      <c r="J3362" s="1930" t="s">
        <v>320</v>
      </c>
      <c r="K3362" s="1933">
        <v>9.58</v>
      </c>
      <c r="L3362" s="1930" t="s">
        <v>138</v>
      </c>
    </row>
    <row r="3363" spans="1:12" ht="13.5" x14ac:dyDescent="0.25">
      <c r="A3363" s="1930" t="s">
        <v>4646</v>
      </c>
      <c r="B3363" s="1930" t="s">
        <v>4647</v>
      </c>
      <c r="C3363" s="1930" t="s">
        <v>4594</v>
      </c>
      <c r="D3363" s="1930" t="s">
        <v>4650</v>
      </c>
      <c r="E3363" s="1931" t="s">
        <v>33</v>
      </c>
      <c r="F3363" s="1930" t="s">
        <v>33</v>
      </c>
      <c r="G3363" s="1932">
        <v>89519</v>
      </c>
      <c r="H3363" s="1930" t="s">
        <v>2511</v>
      </c>
      <c r="I3363" s="1930" t="s">
        <v>168</v>
      </c>
      <c r="J3363" s="1930" t="s">
        <v>320</v>
      </c>
      <c r="K3363" s="1933">
        <v>34.1</v>
      </c>
      <c r="L3363" s="1930" t="s">
        <v>138</v>
      </c>
    </row>
    <row r="3364" spans="1:12" ht="13.5" x14ac:dyDescent="0.25">
      <c r="A3364" s="1930" t="s">
        <v>4646</v>
      </c>
      <c r="B3364" s="1930" t="s">
        <v>4647</v>
      </c>
      <c r="C3364" s="1930" t="s">
        <v>4594</v>
      </c>
      <c r="D3364" s="1930" t="s">
        <v>4650</v>
      </c>
      <c r="E3364" s="1931" t="s">
        <v>33</v>
      </c>
      <c r="F3364" s="1930" t="s">
        <v>33</v>
      </c>
      <c r="G3364" s="1932">
        <v>89520</v>
      </c>
      <c r="H3364" s="1930" t="s">
        <v>2512</v>
      </c>
      <c r="I3364" s="1930" t="s">
        <v>168</v>
      </c>
      <c r="J3364" s="1930" t="s">
        <v>320</v>
      </c>
      <c r="K3364" s="1933">
        <v>8.4499999999999993</v>
      </c>
      <c r="L3364" s="1930" t="s">
        <v>138</v>
      </c>
    </row>
    <row r="3365" spans="1:12" ht="13.5" x14ac:dyDescent="0.25">
      <c r="A3365" s="1930" t="s">
        <v>4646</v>
      </c>
      <c r="B3365" s="1930" t="s">
        <v>4647</v>
      </c>
      <c r="C3365" s="1930" t="s">
        <v>4594</v>
      </c>
      <c r="D3365" s="1930" t="s">
        <v>4650</v>
      </c>
      <c r="E3365" s="1931" t="s">
        <v>33</v>
      </c>
      <c r="F3365" s="1930" t="s">
        <v>33</v>
      </c>
      <c r="G3365" s="1932">
        <v>89521</v>
      </c>
      <c r="H3365" s="1930" t="s">
        <v>2513</v>
      </c>
      <c r="I3365" s="1930" t="s">
        <v>168</v>
      </c>
      <c r="J3365" s="1930" t="s">
        <v>320</v>
      </c>
      <c r="K3365" s="1933">
        <v>93.21</v>
      </c>
      <c r="L3365" s="1930" t="s">
        <v>138</v>
      </c>
    </row>
    <row r="3366" spans="1:12" ht="13.5" x14ac:dyDescent="0.25">
      <c r="A3366" s="1930" t="s">
        <v>4646</v>
      </c>
      <c r="B3366" s="1930" t="s">
        <v>4647</v>
      </c>
      <c r="C3366" s="1930" t="s">
        <v>4594</v>
      </c>
      <c r="D3366" s="1930" t="s">
        <v>4650</v>
      </c>
      <c r="E3366" s="1931" t="s">
        <v>33</v>
      </c>
      <c r="F3366" s="1930" t="s">
        <v>33</v>
      </c>
      <c r="G3366" s="1932">
        <v>89522</v>
      </c>
      <c r="H3366" s="1930" t="s">
        <v>2514</v>
      </c>
      <c r="I3366" s="1930" t="s">
        <v>168</v>
      </c>
      <c r="J3366" s="1930" t="s">
        <v>320</v>
      </c>
      <c r="K3366" s="1933">
        <v>19.149999999999999</v>
      </c>
      <c r="L3366" s="1930" t="s">
        <v>138</v>
      </c>
    </row>
    <row r="3367" spans="1:12" ht="13.5" x14ac:dyDescent="0.25">
      <c r="A3367" s="1930" t="s">
        <v>4646</v>
      </c>
      <c r="B3367" s="1930" t="s">
        <v>4647</v>
      </c>
      <c r="C3367" s="1930" t="s">
        <v>4594</v>
      </c>
      <c r="D3367" s="1930" t="s">
        <v>4650</v>
      </c>
      <c r="E3367" s="1931" t="s">
        <v>33</v>
      </c>
      <c r="F3367" s="1930" t="s">
        <v>33</v>
      </c>
      <c r="G3367" s="1932">
        <v>89523</v>
      </c>
      <c r="H3367" s="1930" t="s">
        <v>2515</v>
      </c>
      <c r="I3367" s="1930" t="s">
        <v>168</v>
      </c>
      <c r="J3367" s="1930" t="s">
        <v>320</v>
      </c>
      <c r="K3367" s="1933">
        <v>70.430000000000007</v>
      </c>
      <c r="L3367" s="1930" t="s">
        <v>138</v>
      </c>
    </row>
    <row r="3368" spans="1:12" ht="13.5" x14ac:dyDescent="0.25">
      <c r="A3368" s="1930" t="s">
        <v>4646</v>
      </c>
      <c r="B3368" s="1930" t="s">
        <v>4647</v>
      </c>
      <c r="C3368" s="1930" t="s">
        <v>4594</v>
      </c>
      <c r="D3368" s="1930" t="s">
        <v>4650</v>
      </c>
      <c r="E3368" s="1931" t="s">
        <v>33</v>
      </c>
      <c r="F3368" s="1930" t="s">
        <v>33</v>
      </c>
      <c r="G3368" s="1932">
        <v>89524</v>
      </c>
      <c r="H3368" s="1930" t="s">
        <v>2516</v>
      </c>
      <c r="I3368" s="1930" t="s">
        <v>168</v>
      </c>
      <c r="J3368" s="1930" t="s">
        <v>320</v>
      </c>
      <c r="K3368" s="1933">
        <v>16.98</v>
      </c>
      <c r="L3368" s="1930" t="s">
        <v>138</v>
      </c>
    </row>
    <row r="3369" spans="1:12" ht="13.5" x14ac:dyDescent="0.25">
      <c r="A3369" s="1930" t="s">
        <v>4646</v>
      </c>
      <c r="B3369" s="1930" t="s">
        <v>4647</v>
      </c>
      <c r="C3369" s="1930" t="s">
        <v>4594</v>
      </c>
      <c r="D3369" s="1930" t="s">
        <v>4650</v>
      </c>
      <c r="E3369" s="1931" t="s">
        <v>33</v>
      </c>
      <c r="F3369" s="1930" t="s">
        <v>33</v>
      </c>
      <c r="G3369" s="1932">
        <v>89525</v>
      </c>
      <c r="H3369" s="1930" t="s">
        <v>2517</v>
      </c>
      <c r="I3369" s="1930" t="s">
        <v>168</v>
      </c>
      <c r="J3369" s="1930" t="s">
        <v>320</v>
      </c>
      <c r="K3369" s="1933">
        <v>69.28</v>
      </c>
      <c r="L3369" s="1930" t="s">
        <v>138</v>
      </c>
    </row>
    <row r="3370" spans="1:12" ht="13.5" x14ac:dyDescent="0.25">
      <c r="A3370" s="1930" t="s">
        <v>4646</v>
      </c>
      <c r="B3370" s="1930" t="s">
        <v>4647</v>
      </c>
      <c r="C3370" s="1930" t="s">
        <v>4594</v>
      </c>
      <c r="D3370" s="1930" t="s">
        <v>4650</v>
      </c>
      <c r="E3370" s="1931" t="s">
        <v>33</v>
      </c>
      <c r="F3370" s="1930" t="s">
        <v>33</v>
      </c>
      <c r="G3370" s="1932">
        <v>89526</v>
      </c>
      <c r="H3370" s="1930" t="s">
        <v>2518</v>
      </c>
      <c r="I3370" s="1930" t="s">
        <v>168</v>
      </c>
      <c r="J3370" s="1930" t="s">
        <v>320</v>
      </c>
      <c r="K3370" s="1933">
        <v>24.87</v>
      </c>
      <c r="L3370" s="1930" t="s">
        <v>138</v>
      </c>
    </row>
    <row r="3371" spans="1:12" ht="13.5" x14ac:dyDescent="0.25">
      <c r="A3371" s="1930" t="s">
        <v>4646</v>
      </c>
      <c r="B3371" s="1930" t="s">
        <v>4647</v>
      </c>
      <c r="C3371" s="1930" t="s">
        <v>4594</v>
      </c>
      <c r="D3371" s="1930" t="s">
        <v>4650</v>
      </c>
      <c r="E3371" s="1931" t="s">
        <v>33</v>
      </c>
      <c r="F3371" s="1930" t="s">
        <v>33</v>
      </c>
      <c r="G3371" s="1932">
        <v>89527</v>
      </c>
      <c r="H3371" s="1930" t="s">
        <v>2519</v>
      </c>
      <c r="I3371" s="1930" t="s">
        <v>168</v>
      </c>
      <c r="J3371" s="1930" t="s">
        <v>320</v>
      </c>
      <c r="K3371" s="1933">
        <v>53.29</v>
      </c>
      <c r="L3371" s="1930" t="s">
        <v>138</v>
      </c>
    </row>
    <row r="3372" spans="1:12" ht="13.5" x14ac:dyDescent="0.25">
      <c r="A3372" s="1930" t="s">
        <v>4646</v>
      </c>
      <c r="B3372" s="1930" t="s">
        <v>4647</v>
      </c>
      <c r="C3372" s="1930" t="s">
        <v>4594</v>
      </c>
      <c r="D3372" s="1930" t="s">
        <v>4650</v>
      </c>
      <c r="E3372" s="1931" t="s">
        <v>33</v>
      </c>
      <c r="F3372" s="1930" t="s">
        <v>33</v>
      </c>
      <c r="G3372" s="1932">
        <v>89528</v>
      </c>
      <c r="H3372" s="1930" t="s">
        <v>2520</v>
      </c>
      <c r="I3372" s="1930" t="s">
        <v>168</v>
      </c>
      <c r="J3372" s="1930" t="s">
        <v>320</v>
      </c>
      <c r="K3372" s="1933">
        <v>2.79</v>
      </c>
      <c r="L3372" s="1930" t="s">
        <v>138</v>
      </c>
    </row>
    <row r="3373" spans="1:12" ht="13.5" x14ac:dyDescent="0.25">
      <c r="A3373" s="1930" t="s">
        <v>4646</v>
      </c>
      <c r="B3373" s="1930" t="s">
        <v>4647</v>
      </c>
      <c r="C3373" s="1930" t="s">
        <v>4594</v>
      </c>
      <c r="D3373" s="1930" t="s">
        <v>4650</v>
      </c>
      <c r="E3373" s="1931" t="s">
        <v>33</v>
      </c>
      <c r="F3373" s="1930" t="s">
        <v>33</v>
      </c>
      <c r="G3373" s="1932">
        <v>89529</v>
      </c>
      <c r="H3373" s="1930" t="s">
        <v>2521</v>
      </c>
      <c r="I3373" s="1930" t="s">
        <v>168</v>
      </c>
      <c r="J3373" s="1930" t="s">
        <v>320</v>
      </c>
      <c r="K3373" s="1933">
        <v>28.43</v>
      </c>
      <c r="L3373" s="1930" t="s">
        <v>138</v>
      </c>
    </row>
    <row r="3374" spans="1:12" ht="13.5" x14ac:dyDescent="0.25">
      <c r="A3374" s="1930" t="s">
        <v>4646</v>
      </c>
      <c r="B3374" s="1930" t="s">
        <v>4647</v>
      </c>
      <c r="C3374" s="1930" t="s">
        <v>4594</v>
      </c>
      <c r="D3374" s="1930" t="s">
        <v>4650</v>
      </c>
      <c r="E3374" s="1931" t="s">
        <v>33</v>
      </c>
      <c r="F3374" s="1930" t="s">
        <v>33</v>
      </c>
      <c r="G3374" s="1932">
        <v>89530</v>
      </c>
      <c r="H3374" s="1930" t="s">
        <v>2522</v>
      </c>
      <c r="I3374" s="1930" t="s">
        <v>168</v>
      </c>
      <c r="J3374" s="1930" t="s">
        <v>320</v>
      </c>
      <c r="K3374" s="1933">
        <v>9.8699999999999992</v>
      </c>
      <c r="L3374" s="1930" t="s">
        <v>138</v>
      </c>
    </row>
    <row r="3375" spans="1:12" ht="13.5" x14ac:dyDescent="0.25">
      <c r="A3375" s="1930" t="s">
        <v>4646</v>
      </c>
      <c r="B3375" s="1930" t="s">
        <v>4647</v>
      </c>
      <c r="C3375" s="1930" t="s">
        <v>4594</v>
      </c>
      <c r="D3375" s="1930" t="s">
        <v>4650</v>
      </c>
      <c r="E3375" s="1931" t="s">
        <v>33</v>
      </c>
      <c r="F3375" s="1930" t="s">
        <v>33</v>
      </c>
      <c r="G3375" s="1932">
        <v>89531</v>
      </c>
      <c r="H3375" s="1930" t="s">
        <v>2523</v>
      </c>
      <c r="I3375" s="1930" t="s">
        <v>168</v>
      </c>
      <c r="J3375" s="1930" t="s">
        <v>320</v>
      </c>
      <c r="K3375" s="1933">
        <v>23.17</v>
      </c>
      <c r="L3375" s="1930" t="s">
        <v>138</v>
      </c>
    </row>
    <row r="3376" spans="1:12" ht="13.5" x14ac:dyDescent="0.25">
      <c r="A3376" s="1930" t="s">
        <v>4646</v>
      </c>
      <c r="B3376" s="1930" t="s">
        <v>4647</v>
      </c>
      <c r="C3376" s="1930" t="s">
        <v>4594</v>
      </c>
      <c r="D3376" s="1930" t="s">
        <v>4650</v>
      </c>
      <c r="E3376" s="1931" t="s">
        <v>33</v>
      </c>
      <c r="F3376" s="1930" t="s">
        <v>33</v>
      </c>
      <c r="G3376" s="1932">
        <v>89532</v>
      </c>
      <c r="H3376" s="1930" t="s">
        <v>2524</v>
      </c>
      <c r="I3376" s="1930" t="s">
        <v>168</v>
      </c>
      <c r="J3376" s="1930" t="s">
        <v>320</v>
      </c>
      <c r="K3376" s="1933">
        <v>4.96</v>
      </c>
      <c r="L3376" s="1930" t="s">
        <v>138</v>
      </c>
    </row>
    <row r="3377" spans="1:12" ht="13.5" x14ac:dyDescent="0.25">
      <c r="A3377" s="1930" t="s">
        <v>4646</v>
      </c>
      <c r="B3377" s="1930" t="s">
        <v>4647</v>
      </c>
      <c r="C3377" s="1930" t="s">
        <v>4594</v>
      </c>
      <c r="D3377" s="1930" t="s">
        <v>4650</v>
      </c>
      <c r="E3377" s="1931" t="s">
        <v>33</v>
      </c>
      <c r="F3377" s="1930" t="s">
        <v>33</v>
      </c>
      <c r="G3377" s="1932">
        <v>89533</v>
      </c>
      <c r="H3377" s="1930" t="s">
        <v>2525</v>
      </c>
      <c r="I3377" s="1930" t="s">
        <v>168</v>
      </c>
      <c r="J3377" s="1930" t="s">
        <v>320</v>
      </c>
      <c r="K3377" s="1933">
        <v>23.17</v>
      </c>
      <c r="L3377" s="1930" t="s">
        <v>138</v>
      </c>
    </row>
    <row r="3378" spans="1:12" ht="13.5" x14ac:dyDescent="0.25">
      <c r="A3378" s="1930" t="s">
        <v>4646</v>
      </c>
      <c r="B3378" s="1930" t="s">
        <v>4647</v>
      </c>
      <c r="C3378" s="1930" t="s">
        <v>4594</v>
      </c>
      <c r="D3378" s="1930" t="s">
        <v>4650</v>
      </c>
      <c r="E3378" s="1931" t="s">
        <v>33</v>
      </c>
      <c r="F3378" s="1930" t="s">
        <v>33</v>
      </c>
      <c r="G3378" s="1932">
        <v>89534</v>
      </c>
      <c r="H3378" s="1930" t="s">
        <v>2526</v>
      </c>
      <c r="I3378" s="1930" t="s">
        <v>168</v>
      </c>
      <c r="J3378" s="1930" t="s">
        <v>320</v>
      </c>
      <c r="K3378" s="1933">
        <v>3.42</v>
      </c>
      <c r="L3378" s="1930" t="s">
        <v>138</v>
      </c>
    </row>
    <row r="3379" spans="1:12" ht="13.5" x14ac:dyDescent="0.25">
      <c r="A3379" s="1930" t="s">
        <v>4646</v>
      </c>
      <c r="B3379" s="1930" t="s">
        <v>4647</v>
      </c>
      <c r="C3379" s="1930" t="s">
        <v>4594</v>
      </c>
      <c r="D3379" s="1930" t="s">
        <v>4650</v>
      </c>
      <c r="E3379" s="1931" t="s">
        <v>33</v>
      </c>
      <c r="F3379" s="1930" t="s">
        <v>33</v>
      </c>
      <c r="G3379" s="1932">
        <v>89535</v>
      </c>
      <c r="H3379" s="1930" t="s">
        <v>2527</v>
      </c>
      <c r="I3379" s="1930" t="s">
        <v>168</v>
      </c>
      <c r="J3379" s="1930" t="s">
        <v>320</v>
      </c>
      <c r="K3379" s="1933">
        <v>36.69</v>
      </c>
      <c r="L3379" s="1930" t="s">
        <v>138</v>
      </c>
    </row>
    <row r="3380" spans="1:12" ht="13.5" x14ac:dyDescent="0.25">
      <c r="A3380" s="1930" t="s">
        <v>4646</v>
      </c>
      <c r="B3380" s="1930" t="s">
        <v>4647</v>
      </c>
      <c r="C3380" s="1930" t="s">
        <v>4594</v>
      </c>
      <c r="D3380" s="1930" t="s">
        <v>4650</v>
      </c>
      <c r="E3380" s="1931" t="s">
        <v>33</v>
      </c>
      <c r="F3380" s="1930" t="s">
        <v>33</v>
      </c>
      <c r="G3380" s="1932">
        <v>89536</v>
      </c>
      <c r="H3380" s="1930" t="s">
        <v>2528</v>
      </c>
      <c r="I3380" s="1930" t="s">
        <v>168</v>
      </c>
      <c r="J3380" s="1930" t="s">
        <v>320</v>
      </c>
      <c r="K3380" s="1933">
        <v>8.89</v>
      </c>
      <c r="L3380" s="1930" t="s">
        <v>138</v>
      </c>
    </row>
    <row r="3381" spans="1:12" ht="13.5" x14ac:dyDescent="0.25">
      <c r="A3381" s="1930" t="s">
        <v>4646</v>
      </c>
      <c r="B3381" s="1930" t="s">
        <v>4647</v>
      </c>
      <c r="C3381" s="1930" t="s">
        <v>4594</v>
      </c>
      <c r="D3381" s="1930" t="s">
        <v>4650</v>
      </c>
      <c r="E3381" s="1931" t="s">
        <v>33</v>
      </c>
      <c r="F3381" s="1930" t="s">
        <v>33</v>
      </c>
      <c r="G3381" s="1932">
        <v>89538</v>
      </c>
      <c r="H3381" s="1930" t="s">
        <v>2529</v>
      </c>
      <c r="I3381" s="1930" t="s">
        <v>168</v>
      </c>
      <c r="J3381" s="1930" t="s">
        <v>320</v>
      </c>
      <c r="K3381" s="1933">
        <v>2.86</v>
      </c>
      <c r="L3381" s="1930" t="s">
        <v>138</v>
      </c>
    </row>
    <row r="3382" spans="1:12" ht="13.5" x14ac:dyDescent="0.25">
      <c r="A3382" s="1930" t="s">
        <v>4646</v>
      </c>
      <c r="B3382" s="1930" t="s">
        <v>4647</v>
      </c>
      <c r="C3382" s="1930" t="s">
        <v>4594</v>
      </c>
      <c r="D3382" s="1930" t="s">
        <v>4650</v>
      </c>
      <c r="E3382" s="1931" t="s">
        <v>33</v>
      </c>
      <c r="F3382" s="1930" t="s">
        <v>33</v>
      </c>
      <c r="G3382" s="1932">
        <v>89540</v>
      </c>
      <c r="H3382" s="1930" t="s">
        <v>2530</v>
      </c>
      <c r="I3382" s="1930" t="s">
        <v>168</v>
      </c>
      <c r="J3382" s="1930" t="s">
        <v>320</v>
      </c>
      <c r="K3382" s="1933">
        <v>7.38</v>
      </c>
      <c r="L3382" s="1930" t="s">
        <v>138</v>
      </c>
    </row>
    <row r="3383" spans="1:12" ht="13.5" x14ac:dyDescent="0.25">
      <c r="A3383" s="1930" t="s">
        <v>4646</v>
      </c>
      <c r="B3383" s="1930" t="s">
        <v>4647</v>
      </c>
      <c r="C3383" s="1930" t="s">
        <v>4594</v>
      </c>
      <c r="D3383" s="1930" t="s">
        <v>4650</v>
      </c>
      <c r="E3383" s="1931" t="s">
        <v>33</v>
      </c>
      <c r="F3383" s="1930" t="s">
        <v>33</v>
      </c>
      <c r="G3383" s="1932">
        <v>89541</v>
      </c>
      <c r="H3383" s="1930" t="s">
        <v>2531</v>
      </c>
      <c r="I3383" s="1930" t="s">
        <v>168</v>
      </c>
      <c r="J3383" s="1930" t="s">
        <v>320</v>
      </c>
      <c r="K3383" s="1933">
        <v>4.2300000000000004</v>
      </c>
      <c r="L3383" s="1930" t="s">
        <v>138</v>
      </c>
    </row>
    <row r="3384" spans="1:12" ht="13.5" x14ac:dyDescent="0.25">
      <c r="A3384" s="1930" t="s">
        <v>4646</v>
      </c>
      <c r="B3384" s="1930" t="s">
        <v>4647</v>
      </c>
      <c r="C3384" s="1930" t="s">
        <v>4594</v>
      </c>
      <c r="D3384" s="1930" t="s">
        <v>4650</v>
      </c>
      <c r="E3384" s="1931" t="s">
        <v>33</v>
      </c>
      <c r="F3384" s="1930" t="s">
        <v>33</v>
      </c>
      <c r="G3384" s="1932">
        <v>89542</v>
      </c>
      <c r="H3384" s="1930" t="s">
        <v>2532</v>
      </c>
      <c r="I3384" s="1930" t="s">
        <v>168</v>
      </c>
      <c r="J3384" s="1930" t="s">
        <v>320</v>
      </c>
      <c r="K3384" s="1933">
        <v>21.14</v>
      </c>
      <c r="L3384" s="1930" t="s">
        <v>138</v>
      </c>
    </row>
    <row r="3385" spans="1:12" ht="13.5" x14ac:dyDescent="0.25">
      <c r="A3385" s="1930" t="s">
        <v>4646</v>
      </c>
      <c r="B3385" s="1930" t="s">
        <v>4647</v>
      </c>
      <c r="C3385" s="1930" t="s">
        <v>4594</v>
      </c>
      <c r="D3385" s="1930" t="s">
        <v>4650</v>
      </c>
      <c r="E3385" s="1931" t="s">
        <v>33</v>
      </c>
      <c r="F3385" s="1930" t="s">
        <v>33</v>
      </c>
      <c r="G3385" s="1932">
        <v>89544</v>
      </c>
      <c r="H3385" s="1930" t="s">
        <v>2533</v>
      </c>
      <c r="I3385" s="1930" t="s">
        <v>168</v>
      </c>
      <c r="J3385" s="1930" t="s">
        <v>320</v>
      </c>
      <c r="K3385" s="1933">
        <v>6.09</v>
      </c>
      <c r="L3385" s="1930" t="s">
        <v>138</v>
      </c>
    </row>
    <row r="3386" spans="1:12" ht="13.5" x14ac:dyDescent="0.25">
      <c r="A3386" s="1930" t="s">
        <v>4646</v>
      </c>
      <c r="B3386" s="1930" t="s">
        <v>4647</v>
      </c>
      <c r="C3386" s="1930" t="s">
        <v>4594</v>
      </c>
      <c r="D3386" s="1930" t="s">
        <v>4650</v>
      </c>
      <c r="E3386" s="1931" t="s">
        <v>33</v>
      </c>
      <c r="F3386" s="1930" t="s">
        <v>33</v>
      </c>
      <c r="G3386" s="1932">
        <v>89545</v>
      </c>
      <c r="H3386" s="1930" t="s">
        <v>2534</v>
      </c>
      <c r="I3386" s="1930" t="s">
        <v>168</v>
      </c>
      <c r="J3386" s="1930" t="s">
        <v>320</v>
      </c>
      <c r="K3386" s="1933">
        <v>8.61</v>
      </c>
      <c r="L3386" s="1930" t="s">
        <v>138</v>
      </c>
    </row>
    <row r="3387" spans="1:12" ht="13.5" x14ac:dyDescent="0.25">
      <c r="A3387" s="1930" t="s">
        <v>4646</v>
      </c>
      <c r="B3387" s="1930" t="s">
        <v>4647</v>
      </c>
      <c r="C3387" s="1930" t="s">
        <v>4594</v>
      </c>
      <c r="D3387" s="1930" t="s">
        <v>4650</v>
      </c>
      <c r="E3387" s="1931" t="s">
        <v>33</v>
      </c>
      <c r="F3387" s="1930" t="s">
        <v>33</v>
      </c>
      <c r="G3387" s="1932">
        <v>89546</v>
      </c>
      <c r="H3387" s="1930" t="s">
        <v>2535</v>
      </c>
      <c r="I3387" s="1930" t="s">
        <v>168</v>
      </c>
      <c r="J3387" s="1930" t="s">
        <v>320</v>
      </c>
      <c r="K3387" s="1933">
        <v>7.47</v>
      </c>
      <c r="L3387" s="1930" t="s">
        <v>138</v>
      </c>
    </row>
    <row r="3388" spans="1:12" ht="13.5" x14ac:dyDescent="0.25">
      <c r="A3388" s="1930" t="s">
        <v>4646</v>
      </c>
      <c r="B3388" s="1930" t="s">
        <v>4647</v>
      </c>
      <c r="C3388" s="1930" t="s">
        <v>4594</v>
      </c>
      <c r="D3388" s="1930" t="s">
        <v>4650</v>
      </c>
      <c r="E3388" s="1931" t="s">
        <v>33</v>
      </c>
      <c r="F3388" s="1930" t="s">
        <v>33</v>
      </c>
      <c r="G3388" s="1932">
        <v>89547</v>
      </c>
      <c r="H3388" s="1930" t="s">
        <v>2536</v>
      </c>
      <c r="I3388" s="1930" t="s">
        <v>168</v>
      </c>
      <c r="J3388" s="1930" t="s">
        <v>320</v>
      </c>
      <c r="K3388" s="1933">
        <v>12.92</v>
      </c>
      <c r="L3388" s="1930" t="s">
        <v>138</v>
      </c>
    </row>
    <row r="3389" spans="1:12" ht="13.5" x14ac:dyDescent="0.25">
      <c r="A3389" s="1930" t="s">
        <v>4646</v>
      </c>
      <c r="B3389" s="1930" t="s">
        <v>4647</v>
      </c>
      <c r="C3389" s="1930" t="s">
        <v>4594</v>
      </c>
      <c r="D3389" s="1930" t="s">
        <v>4650</v>
      </c>
      <c r="E3389" s="1931" t="s">
        <v>33</v>
      </c>
      <c r="F3389" s="1930" t="s">
        <v>33</v>
      </c>
      <c r="G3389" s="1932">
        <v>89548</v>
      </c>
      <c r="H3389" s="1930" t="s">
        <v>2537</v>
      </c>
      <c r="I3389" s="1930" t="s">
        <v>168</v>
      </c>
      <c r="J3389" s="1930" t="s">
        <v>320</v>
      </c>
      <c r="K3389" s="1933">
        <v>14</v>
      </c>
      <c r="L3389" s="1930" t="s">
        <v>138</v>
      </c>
    </row>
    <row r="3390" spans="1:12" ht="13.5" x14ac:dyDescent="0.25">
      <c r="A3390" s="1930" t="s">
        <v>4646</v>
      </c>
      <c r="B3390" s="1930" t="s">
        <v>4647</v>
      </c>
      <c r="C3390" s="1930" t="s">
        <v>4594</v>
      </c>
      <c r="D3390" s="1930" t="s">
        <v>4650</v>
      </c>
      <c r="E3390" s="1931" t="s">
        <v>33</v>
      </c>
      <c r="F3390" s="1930" t="s">
        <v>33</v>
      </c>
      <c r="G3390" s="1932">
        <v>89549</v>
      </c>
      <c r="H3390" s="1930" t="s">
        <v>2538</v>
      </c>
      <c r="I3390" s="1930" t="s">
        <v>168</v>
      </c>
      <c r="J3390" s="1930" t="s">
        <v>320</v>
      </c>
      <c r="K3390" s="1933">
        <v>10.039999999999999</v>
      </c>
      <c r="L3390" s="1930" t="s">
        <v>138</v>
      </c>
    </row>
    <row r="3391" spans="1:12" ht="13.5" x14ac:dyDescent="0.25">
      <c r="A3391" s="1930" t="s">
        <v>4646</v>
      </c>
      <c r="B3391" s="1930" t="s">
        <v>4647</v>
      </c>
      <c r="C3391" s="1930" t="s">
        <v>4594</v>
      </c>
      <c r="D3391" s="1930" t="s">
        <v>4650</v>
      </c>
      <c r="E3391" s="1931" t="s">
        <v>33</v>
      </c>
      <c r="F3391" s="1930" t="s">
        <v>33</v>
      </c>
      <c r="G3391" s="1932">
        <v>89550</v>
      </c>
      <c r="H3391" s="1930" t="s">
        <v>2539</v>
      </c>
      <c r="I3391" s="1930" t="s">
        <v>168</v>
      </c>
      <c r="J3391" s="1930" t="s">
        <v>320</v>
      </c>
      <c r="K3391" s="1933">
        <v>24.74</v>
      </c>
      <c r="L3391" s="1930" t="s">
        <v>138</v>
      </c>
    </row>
    <row r="3392" spans="1:12" ht="13.5" x14ac:dyDescent="0.25">
      <c r="A3392" s="1930" t="s">
        <v>4646</v>
      </c>
      <c r="B3392" s="1930" t="s">
        <v>4647</v>
      </c>
      <c r="C3392" s="1930" t="s">
        <v>4594</v>
      </c>
      <c r="D3392" s="1930" t="s">
        <v>4650</v>
      </c>
      <c r="E3392" s="1931" t="s">
        <v>33</v>
      </c>
      <c r="F3392" s="1930" t="s">
        <v>33</v>
      </c>
      <c r="G3392" s="1932">
        <v>89551</v>
      </c>
      <c r="H3392" s="1930" t="s">
        <v>2540</v>
      </c>
      <c r="I3392" s="1930" t="s">
        <v>168</v>
      </c>
      <c r="J3392" s="1930" t="s">
        <v>320</v>
      </c>
      <c r="K3392" s="1933">
        <v>6.8</v>
      </c>
      <c r="L3392" s="1930" t="s">
        <v>138</v>
      </c>
    </row>
    <row r="3393" spans="1:12" ht="13.5" x14ac:dyDescent="0.25">
      <c r="A3393" s="1930" t="s">
        <v>4646</v>
      </c>
      <c r="B3393" s="1930" t="s">
        <v>4647</v>
      </c>
      <c r="C3393" s="1930" t="s">
        <v>4594</v>
      </c>
      <c r="D3393" s="1930" t="s">
        <v>4650</v>
      </c>
      <c r="E3393" s="1931" t="s">
        <v>33</v>
      </c>
      <c r="F3393" s="1930" t="s">
        <v>33</v>
      </c>
      <c r="G3393" s="1932">
        <v>89552</v>
      </c>
      <c r="H3393" s="1930" t="s">
        <v>2541</v>
      </c>
      <c r="I3393" s="1930" t="s">
        <v>168</v>
      </c>
      <c r="J3393" s="1930" t="s">
        <v>320</v>
      </c>
      <c r="K3393" s="1933">
        <v>13.77</v>
      </c>
      <c r="L3393" s="1930" t="s">
        <v>138</v>
      </c>
    </row>
    <row r="3394" spans="1:12" ht="13.5" x14ac:dyDescent="0.25">
      <c r="A3394" s="1930" t="s">
        <v>4646</v>
      </c>
      <c r="B3394" s="1930" t="s">
        <v>4647</v>
      </c>
      <c r="C3394" s="1930" t="s">
        <v>4594</v>
      </c>
      <c r="D3394" s="1930" t="s">
        <v>4650</v>
      </c>
      <c r="E3394" s="1931" t="s">
        <v>33</v>
      </c>
      <c r="F3394" s="1930" t="s">
        <v>33</v>
      </c>
      <c r="G3394" s="1932">
        <v>89553</v>
      </c>
      <c r="H3394" s="1930" t="s">
        <v>2542</v>
      </c>
      <c r="I3394" s="1930" t="s">
        <v>168</v>
      </c>
      <c r="J3394" s="1930" t="s">
        <v>320</v>
      </c>
      <c r="K3394" s="1933">
        <v>4.16</v>
      </c>
      <c r="L3394" s="1930" t="s">
        <v>138</v>
      </c>
    </row>
    <row r="3395" spans="1:12" ht="13.5" x14ac:dyDescent="0.25">
      <c r="A3395" s="1930" t="s">
        <v>4646</v>
      </c>
      <c r="B3395" s="1930" t="s">
        <v>4647</v>
      </c>
      <c r="C3395" s="1930" t="s">
        <v>4594</v>
      </c>
      <c r="D3395" s="1930" t="s">
        <v>4650</v>
      </c>
      <c r="E3395" s="1931" t="s">
        <v>33</v>
      </c>
      <c r="F3395" s="1930" t="s">
        <v>33</v>
      </c>
      <c r="G3395" s="1932">
        <v>89554</v>
      </c>
      <c r="H3395" s="1930" t="s">
        <v>2543</v>
      </c>
      <c r="I3395" s="1930" t="s">
        <v>168</v>
      </c>
      <c r="J3395" s="1930" t="s">
        <v>320</v>
      </c>
      <c r="K3395" s="1933">
        <v>15.99</v>
      </c>
      <c r="L3395" s="1930" t="s">
        <v>138</v>
      </c>
    </row>
    <row r="3396" spans="1:12" ht="13.5" x14ac:dyDescent="0.25">
      <c r="A3396" s="1930" t="s">
        <v>4646</v>
      </c>
      <c r="B3396" s="1930" t="s">
        <v>4647</v>
      </c>
      <c r="C3396" s="1930" t="s">
        <v>4594</v>
      </c>
      <c r="D3396" s="1930" t="s">
        <v>4650</v>
      </c>
      <c r="E3396" s="1931" t="s">
        <v>33</v>
      </c>
      <c r="F3396" s="1930" t="s">
        <v>33</v>
      </c>
      <c r="G3396" s="1932">
        <v>89555</v>
      </c>
      <c r="H3396" s="1930" t="s">
        <v>2544</v>
      </c>
      <c r="I3396" s="1930" t="s">
        <v>168</v>
      </c>
      <c r="J3396" s="1930" t="s">
        <v>320</v>
      </c>
      <c r="K3396" s="1933">
        <v>16.68</v>
      </c>
      <c r="L3396" s="1930" t="s">
        <v>138</v>
      </c>
    </row>
    <row r="3397" spans="1:12" ht="13.5" x14ac:dyDescent="0.25">
      <c r="A3397" s="1930" t="s">
        <v>4646</v>
      </c>
      <c r="B3397" s="1930" t="s">
        <v>4647</v>
      </c>
      <c r="C3397" s="1930" t="s">
        <v>4594</v>
      </c>
      <c r="D3397" s="1930" t="s">
        <v>4650</v>
      </c>
      <c r="E3397" s="1931" t="s">
        <v>33</v>
      </c>
      <c r="F3397" s="1930" t="s">
        <v>33</v>
      </c>
      <c r="G3397" s="1932">
        <v>89556</v>
      </c>
      <c r="H3397" s="1930" t="s">
        <v>2545</v>
      </c>
      <c r="I3397" s="1930" t="s">
        <v>168</v>
      </c>
      <c r="J3397" s="1930" t="s">
        <v>320</v>
      </c>
      <c r="K3397" s="1933">
        <v>23.36</v>
      </c>
      <c r="L3397" s="1930" t="s">
        <v>138</v>
      </c>
    </row>
    <row r="3398" spans="1:12" ht="13.5" x14ac:dyDescent="0.25">
      <c r="A3398" s="1930" t="s">
        <v>4646</v>
      </c>
      <c r="B3398" s="1930" t="s">
        <v>4647</v>
      </c>
      <c r="C3398" s="1930" t="s">
        <v>4594</v>
      </c>
      <c r="D3398" s="1930" t="s">
        <v>4650</v>
      </c>
      <c r="E3398" s="1931" t="s">
        <v>33</v>
      </c>
      <c r="F3398" s="1930" t="s">
        <v>33</v>
      </c>
      <c r="G3398" s="1932">
        <v>89557</v>
      </c>
      <c r="H3398" s="1930" t="s">
        <v>2546</v>
      </c>
      <c r="I3398" s="1930" t="s">
        <v>168</v>
      </c>
      <c r="J3398" s="1930" t="s">
        <v>320</v>
      </c>
      <c r="K3398" s="1933">
        <v>18.52</v>
      </c>
      <c r="L3398" s="1930" t="s">
        <v>138</v>
      </c>
    </row>
    <row r="3399" spans="1:12" ht="13.5" x14ac:dyDescent="0.25">
      <c r="A3399" s="1930" t="s">
        <v>4646</v>
      </c>
      <c r="B3399" s="1930" t="s">
        <v>4647</v>
      </c>
      <c r="C3399" s="1930" t="s">
        <v>4594</v>
      </c>
      <c r="D3399" s="1930" t="s">
        <v>4650</v>
      </c>
      <c r="E3399" s="1931" t="s">
        <v>33</v>
      </c>
      <c r="F3399" s="1930" t="s">
        <v>33</v>
      </c>
      <c r="G3399" s="1932">
        <v>89558</v>
      </c>
      <c r="H3399" s="1930" t="s">
        <v>2547</v>
      </c>
      <c r="I3399" s="1930" t="s">
        <v>168</v>
      </c>
      <c r="J3399" s="1930" t="s">
        <v>320</v>
      </c>
      <c r="K3399" s="1933">
        <v>6.41</v>
      </c>
      <c r="L3399" s="1930" t="s">
        <v>138</v>
      </c>
    </row>
    <row r="3400" spans="1:12" ht="13.5" x14ac:dyDescent="0.25">
      <c r="A3400" s="1930" t="s">
        <v>4646</v>
      </c>
      <c r="B3400" s="1930" t="s">
        <v>4647</v>
      </c>
      <c r="C3400" s="1930" t="s">
        <v>4594</v>
      </c>
      <c r="D3400" s="1930" t="s">
        <v>4650</v>
      </c>
      <c r="E3400" s="1931" t="s">
        <v>33</v>
      </c>
      <c r="F3400" s="1930" t="s">
        <v>33</v>
      </c>
      <c r="G3400" s="1932">
        <v>89559</v>
      </c>
      <c r="H3400" s="1930" t="s">
        <v>2548</v>
      </c>
      <c r="I3400" s="1930" t="s">
        <v>168</v>
      </c>
      <c r="J3400" s="1930" t="s">
        <v>320</v>
      </c>
      <c r="K3400" s="1933">
        <v>40.909999999999997</v>
      </c>
      <c r="L3400" s="1930" t="s">
        <v>138</v>
      </c>
    </row>
    <row r="3401" spans="1:12" ht="13.5" x14ac:dyDescent="0.25">
      <c r="A3401" s="1930" t="s">
        <v>4646</v>
      </c>
      <c r="B3401" s="1930" t="s">
        <v>4647</v>
      </c>
      <c r="C3401" s="1930" t="s">
        <v>4594</v>
      </c>
      <c r="D3401" s="1930" t="s">
        <v>4650</v>
      </c>
      <c r="E3401" s="1931" t="s">
        <v>33</v>
      </c>
      <c r="F3401" s="1930" t="s">
        <v>33</v>
      </c>
      <c r="G3401" s="1932">
        <v>89561</v>
      </c>
      <c r="H3401" s="1930" t="s">
        <v>2549</v>
      </c>
      <c r="I3401" s="1930" t="s">
        <v>168</v>
      </c>
      <c r="J3401" s="1930" t="s">
        <v>320</v>
      </c>
      <c r="K3401" s="1933">
        <v>9.0299999999999994</v>
      </c>
      <c r="L3401" s="1930" t="s">
        <v>138</v>
      </c>
    </row>
    <row r="3402" spans="1:12" ht="13.5" x14ac:dyDescent="0.25">
      <c r="A3402" s="1930" t="s">
        <v>4646</v>
      </c>
      <c r="B3402" s="1930" t="s">
        <v>4647</v>
      </c>
      <c r="C3402" s="1930" t="s">
        <v>4594</v>
      </c>
      <c r="D3402" s="1930" t="s">
        <v>4650</v>
      </c>
      <c r="E3402" s="1931" t="s">
        <v>33</v>
      </c>
      <c r="F3402" s="1930" t="s">
        <v>33</v>
      </c>
      <c r="G3402" s="1932">
        <v>89562</v>
      </c>
      <c r="H3402" s="1930" t="s">
        <v>2550</v>
      </c>
      <c r="I3402" s="1930" t="s">
        <v>168</v>
      </c>
      <c r="J3402" s="1930" t="s">
        <v>320</v>
      </c>
      <c r="K3402" s="1933">
        <v>6.83</v>
      </c>
      <c r="L3402" s="1930" t="s">
        <v>138</v>
      </c>
    </row>
    <row r="3403" spans="1:12" ht="13.5" x14ac:dyDescent="0.25">
      <c r="A3403" s="1930" t="s">
        <v>4646</v>
      </c>
      <c r="B3403" s="1930" t="s">
        <v>4647</v>
      </c>
      <c r="C3403" s="1930" t="s">
        <v>4594</v>
      </c>
      <c r="D3403" s="1930" t="s">
        <v>4650</v>
      </c>
      <c r="E3403" s="1931" t="s">
        <v>33</v>
      </c>
      <c r="F3403" s="1930" t="s">
        <v>33</v>
      </c>
      <c r="G3403" s="1932">
        <v>89563</v>
      </c>
      <c r="H3403" s="1930" t="s">
        <v>2551</v>
      </c>
      <c r="I3403" s="1930" t="s">
        <v>168</v>
      </c>
      <c r="J3403" s="1930" t="s">
        <v>320</v>
      </c>
      <c r="K3403" s="1933">
        <v>14.21</v>
      </c>
      <c r="L3403" s="1930" t="s">
        <v>138</v>
      </c>
    </row>
    <row r="3404" spans="1:12" ht="13.5" x14ac:dyDescent="0.25">
      <c r="A3404" s="1930" t="s">
        <v>4646</v>
      </c>
      <c r="B3404" s="1930" t="s">
        <v>4647</v>
      </c>
      <c r="C3404" s="1930" t="s">
        <v>4594</v>
      </c>
      <c r="D3404" s="1930" t="s">
        <v>4650</v>
      </c>
      <c r="E3404" s="1931" t="s">
        <v>33</v>
      </c>
      <c r="F3404" s="1930" t="s">
        <v>33</v>
      </c>
      <c r="G3404" s="1932">
        <v>89564</v>
      </c>
      <c r="H3404" s="1930" t="s">
        <v>2552</v>
      </c>
      <c r="I3404" s="1930" t="s">
        <v>168</v>
      </c>
      <c r="J3404" s="1930" t="s">
        <v>320</v>
      </c>
      <c r="K3404" s="1933">
        <v>12.34</v>
      </c>
      <c r="L3404" s="1930" t="s">
        <v>138</v>
      </c>
    </row>
    <row r="3405" spans="1:12" ht="13.5" x14ac:dyDescent="0.25">
      <c r="A3405" s="1930" t="s">
        <v>4646</v>
      </c>
      <c r="B3405" s="1930" t="s">
        <v>4647</v>
      </c>
      <c r="C3405" s="1930" t="s">
        <v>4594</v>
      </c>
      <c r="D3405" s="1930" t="s">
        <v>4650</v>
      </c>
      <c r="E3405" s="1931" t="s">
        <v>33</v>
      </c>
      <c r="F3405" s="1930" t="s">
        <v>33</v>
      </c>
      <c r="G3405" s="1932">
        <v>89565</v>
      </c>
      <c r="H3405" s="1930" t="s">
        <v>2553</v>
      </c>
      <c r="I3405" s="1930" t="s">
        <v>168</v>
      </c>
      <c r="J3405" s="1930" t="s">
        <v>320</v>
      </c>
      <c r="K3405" s="1933">
        <v>34.53</v>
      </c>
      <c r="L3405" s="1930" t="s">
        <v>138</v>
      </c>
    </row>
    <row r="3406" spans="1:12" ht="13.5" x14ac:dyDescent="0.25">
      <c r="A3406" s="1930" t="s">
        <v>4646</v>
      </c>
      <c r="B3406" s="1930" t="s">
        <v>4647</v>
      </c>
      <c r="C3406" s="1930" t="s">
        <v>4594</v>
      </c>
      <c r="D3406" s="1930" t="s">
        <v>4650</v>
      </c>
      <c r="E3406" s="1931" t="s">
        <v>33</v>
      </c>
      <c r="F3406" s="1930" t="s">
        <v>33</v>
      </c>
      <c r="G3406" s="1932">
        <v>89566</v>
      </c>
      <c r="H3406" s="1930" t="s">
        <v>2554</v>
      </c>
      <c r="I3406" s="1930" t="s">
        <v>168</v>
      </c>
      <c r="J3406" s="1930" t="s">
        <v>320</v>
      </c>
      <c r="K3406" s="1933">
        <v>29.86</v>
      </c>
      <c r="L3406" s="1930" t="s">
        <v>138</v>
      </c>
    </row>
    <row r="3407" spans="1:12" ht="13.5" x14ac:dyDescent="0.25">
      <c r="A3407" s="1930" t="s">
        <v>4646</v>
      </c>
      <c r="B3407" s="1930" t="s">
        <v>4647</v>
      </c>
      <c r="C3407" s="1930" t="s">
        <v>4594</v>
      </c>
      <c r="D3407" s="1930" t="s">
        <v>4650</v>
      </c>
      <c r="E3407" s="1931" t="s">
        <v>33</v>
      </c>
      <c r="F3407" s="1930" t="s">
        <v>33</v>
      </c>
      <c r="G3407" s="1932">
        <v>89567</v>
      </c>
      <c r="H3407" s="1930" t="s">
        <v>2555</v>
      </c>
      <c r="I3407" s="1930" t="s">
        <v>168</v>
      </c>
      <c r="J3407" s="1930" t="s">
        <v>320</v>
      </c>
      <c r="K3407" s="1933">
        <v>51.18</v>
      </c>
      <c r="L3407" s="1930" t="s">
        <v>138</v>
      </c>
    </row>
    <row r="3408" spans="1:12" ht="13.5" x14ac:dyDescent="0.25">
      <c r="A3408" s="1930" t="s">
        <v>4646</v>
      </c>
      <c r="B3408" s="1930" t="s">
        <v>4647</v>
      </c>
      <c r="C3408" s="1930" t="s">
        <v>4594</v>
      </c>
      <c r="D3408" s="1930" t="s">
        <v>4650</v>
      </c>
      <c r="E3408" s="1931" t="s">
        <v>33</v>
      </c>
      <c r="F3408" s="1930" t="s">
        <v>33</v>
      </c>
      <c r="G3408" s="1932">
        <v>89568</v>
      </c>
      <c r="H3408" s="1930" t="s">
        <v>2556</v>
      </c>
      <c r="I3408" s="1930" t="s">
        <v>168</v>
      </c>
      <c r="J3408" s="1930" t="s">
        <v>320</v>
      </c>
      <c r="K3408" s="1933">
        <v>24.86</v>
      </c>
      <c r="L3408" s="1930" t="s">
        <v>138</v>
      </c>
    </row>
    <row r="3409" spans="1:12" ht="13.5" x14ac:dyDescent="0.25">
      <c r="A3409" s="1930" t="s">
        <v>4646</v>
      </c>
      <c r="B3409" s="1930" t="s">
        <v>4647</v>
      </c>
      <c r="C3409" s="1930" t="s">
        <v>4594</v>
      </c>
      <c r="D3409" s="1930" t="s">
        <v>4650</v>
      </c>
      <c r="E3409" s="1931" t="s">
        <v>33</v>
      </c>
      <c r="F3409" s="1930" t="s">
        <v>33</v>
      </c>
      <c r="G3409" s="1932">
        <v>89569</v>
      </c>
      <c r="H3409" s="1930" t="s">
        <v>2557</v>
      </c>
      <c r="I3409" s="1930" t="s">
        <v>168</v>
      </c>
      <c r="J3409" s="1930" t="s">
        <v>320</v>
      </c>
      <c r="K3409" s="1933">
        <v>48.46</v>
      </c>
      <c r="L3409" s="1930" t="s">
        <v>138</v>
      </c>
    </row>
    <row r="3410" spans="1:12" ht="13.5" x14ac:dyDescent="0.25">
      <c r="A3410" s="1930" t="s">
        <v>4646</v>
      </c>
      <c r="B3410" s="1930" t="s">
        <v>4647</v>
      </c>
      <c r="C3410" s="1930" t="s">
        <v>4594</v>
      </c>
      <c r="D3410" s="1930" t="s">
        <v>4650</v>
      </c>
      <c r="E3410" s="1931" t="s">
        <v>33</v>
      </c>
      <c r="F3410" s="1930" t="s">
        <v>33</v>
      </c>
      <c r="G3410" s="1932">
        <v>89570</v>
      </c>
      <c r="H3410" s="1930" t="s">
        <v>2558</v>
      </c>
      <c r="I3410" s="1930" t="s">
        <v>168</v>
      </c>
      <c r="J3410" s="1930" t="s">
        <v>320</v>
      </c>
      <c r="K3410" s="1933">
        <v>8.76</v>
      </c>
      <c r="L3410" s="1930" t="s">
        <v>138</v>
      </c>
    </row>
    <row r="3411" spans="1:12" ht="13.5" x14ac:dyDescent="0.25">
      <c r="A3411" s="1930" t="s">
        <v>4646</v>
      </c>
      <c r="B3411" s="1930" t="s">
        <v>4647</v>
      </c>
      <c r="C3411" s="1930" t="s">
        <v>4594</v>
      </c>
      <c r="D3411" s="1930" t="s">
        <v>4650</v>
      </c>
      <c r="E3411" s="1931" t="s">
        <v>33</v>
      </c>
      <c r="F3411" s="1930" t="s">
        <v>33</v>
      </c>
      <c r="G3411" s="1932">
        <v>89571</v>
      </c>
      <c r="H3411" s="1930" t="s">
        <v>2559</v>
      </c>
      <c r="I3411" s="1930" t="s">
        <v>168</v>
      </c>
      <c r="J3411" s="1930" t="s">
        <v>320</v>
      </c>
      <c r="K3411" s="1933">
        <v>47.09</v>
      </c>
      <c r="L3411" s="1930" t="s">
        <v>138</v>
      </c>
    </row>
    <row r="3412" spans="1:12" ht="13.5" x14ac:dyDescent="0.25">
      <c r="A3412" s="1930" t="s">
        <v>4646</v>
      </c>
      <c r="B3412" s="1930" t="s">
        <v>4647</v>
      </c>
      <c r="C3412" s="1930" t="s">
        <v>4594</v>
      </c>
      <c r="D3412" s="1930" t="s">
        <v>4650</v>
      </c>
      <c r="E3412" s="1931" t="s">
        <v>33</v>
      </c>
      <c r="F3412" s="1930" t="s">
        <v>33</v>
      </c>
      <c r="G3412" s="1932">
        <v>89572</v>
      </c>
      <c r="H3412" s="1930" t="s">
        <v>2560</v>
      </c>
      <c r="I3412" s="1930" t="s">
        <v>168</v>
      </c>
      <c r="J3412" s="1930" t="s">
        <v>320</v>
      </c>
      <c r="K3412" s="1933">
        <v>6.07</v>
      </c>
      <c r="L3412" s="1930" t="s">
        <v>138</v>
      </c>
    </row>
    <row r="3413" spans="1:12" ht="13.5" x14ac:dyDescent="0.25">
      <c r="A3413" s="1930" t="s">
        <v>4646</v>
      </c>
      <c r="B3413" s="1930" t="s">
        <v>4647</v>
      </c>
      <c r="C3413" s="1930" t="s">
        <v>4594</v>
      </c>
      <c r="D3413" s="1930" t="s">
        <v>4650</v>
      </c>
      <c r="E3413" s="1931" t="s">
        <v>33</v>
      </c>
      <c r="F3413" s="1930" t="s">
        <v>33</v>
      </c>
      <c r="G3413" s="1932">
        <v>89573</v>
      </c>
      <c r="H3413" s="1930" t="s">
        <v>2561</v>
      </c>
      <c r="I3413" s="1930" t="s">
        <v>168</v>
      </c>
      <c r="J3413" s="1930" t="s">
        <v>320</v>
      </c>
      <c r="K3413" s="1933">
        <v>42.92</v>
      </c>
      <c r="L3413" s="1930" t="s">
        <v>138</v>
      </c>
    </row>
    <row r="3414" spans="1:12" ht="13.5" x14ac:dyDescent="0.25">
      <c r="A3414" s="1930" t="s">
        <v>4646</v>
      </c>
      <c r="B3414" s="1930" t="s">
        <v>4647</v>
      </c>
      <c r="C3414" s="1930" t="s">
        <v>4594</v>
      </c>
      <c r="D3414" s="1930" t="s">
        <v>4650</v>
      </c>
      <c r="E3414" s="1931" t="s">
        <v>33</v>
      </c>
      <c r="F3414" s="1930" t="s">
        <v>33</v>
      </c>
      <c r="G3414" s="1932">
        <v>89574</v>
      </c>
      <c r="H3414" s="1930" t="s">
        <v>2562</v>
      </c>
      <c r="I3414" s="1930" t="s">
        <v>168</v>
      </c>
      <c r="J3414" s="1930" t="s">
        <v>320</v>
      </c>
      <c r="K3414" s="1933">
        <v>83.56</v>
      </c>
      <c r="L3414" s="1930" t="s">
        <v>138</v>
      </c>
    </row>
    <row r="3415" spans="1:12" ht="13.5" x14ac:dyDescent="0.25">
      <c r="A3415" s="1930" t="s">
        <v>4646</v>
      </c>
      <c r="B3415" s="1930" t="s">
        <v>4647</v>
      </c>
      <c r="C3415" s="1930" t="s">
        <v>4594</v>
      </c>
      <c r="D3415" s="1930" t="s">
        <v>4650</v>
      </c>
      <c r="E3415" s="1931" t="s">
        <v>33</v>
      </c>
      <c r="F3415" s="1930" t="s">
        <v>33</v>
      </c>
      <c r="G3415" s="1932">
        <v>89575</v>
      </c>
      <c r="H3415" s="1930" t="s">
        <v>2563</v>
      </c>
      <c r="I3415" s="1930" t="s">
        <v>168</v>
      </c>
      <c r="J3415" s="1930" t="s">
        <v>320</v>
      </c>
      <c r="K3415" s="1933">
        <v>8.1199999999999992</v>
      </c>
      <c r="L3415" s="1930" t="s">
        <v>138</v>
      </c>
    </row>
    <row r="3416" spans="1:12" ht="13.5" x14ac:dyDescent="0.25">
      <c r="A3416" s="1930" t="s">
        <v>4646</v>
      </c>
      <c r="B3416" s="1930" t="s">
        <v>4647</v>
      </c>
      <c r="C3416" s="1930" t="s">
        <v>4594</v>
      </c>
      <c r="D3416" s="1930" t="s">
        <v>4650</v>
      </c>
      <c r="E3416" s="1931" t="s">
        <v>33</v>
      </c>
      <c r="F3416" s="1930" t="s">
        <v>33</v>
      </c>
      <c r="G3416" s="1932">
        <v>89577</v>
      </c>
      <c r="H3416" s="1930" t="s">
        <v>2564</v>
      </c>
      <c r="I3416" s="1930" t="s">
        <v>168</v>
      </c>
      <c r="J3416" s="1930" t="s">
        <v>320</v>
      </c>
      <c r="K3416" s="1933">
        <v>25.5</v>
      </c>
      <c r="L3416" s="1930" t="s">
        <v>138</v>
      </c>
    </row>
    <row r="3417" spans="1:12" ht="13.5" x14ac:dyDescent="0.25">
      <c r="A3417" s="1930" t="s">
        <v>4646</v>
      </c>
      <c r="B3417" s="1930" t="s">
        <v>4647</v>
      </c>
      <c r="C3417" s="1930" t="s">
        <v>4594</v>
      </c>
      <c r="D3417" s="1930" t="s">
        <v>4650</v>
      </c>
      <c r="E3417" s="1931" t="s">
        <v>33</v>
      </c>
      <c r="F3417" s="1930" t="s">
        <v>33</v>
      </c>
      <c r="G3417" s="1932">
        <v>89579</v>
      </c>
      <c r="H3417" s="1930" t="s">
        <v>2565</v>
      </c>
      <c r="I3417" s="1930" t="s">
        <v>168</v>
      </c>
      <c r="J3417" s="1930" t="s">
        <v>320</v>
      </c>
      <c r="K3417" s="1933">
        <v>8.32</v>
      </c>
      <c r="L3417" s="1930" t="s">
        <v>138</v>
      </c>
    </row>
    <row r="3418" spans="1:12" ht="13.5" x14ac:dyDescent="0.25">
      <c r="A3418" s="1930" t="s">
        <v>4646</v>
      </c>
      <c r="B3418" s="1930" t="s">
        <v>4647</v>
      </c>
      <c r="C3418" s="1930" t="s">
        <v>4594</v>
      </c>
      <c r="D3418" s="1930" t="s">
        <v>4650</v>
      </c>
      <c r="E3418" s="1931" t="s">
        <v>33</v>
      </c>
      <c r="F3418" s="1930" t="s">
        <v>33</v>
      </c>
      <c r="G3418" s="1932">
        <v>89581</v>
      </c>
      <c r="H3418" s="1930" t="s">
        <v>2566</v>
      </c>
      <c r="I3418" s="1930" t="s">
        <v>168</v>
      </c>
      <c r="J3418" s="1930" t="s">
        <v>320</v>
      </c>
      <c r="K3418" s="1933">
        <v>17.739999999999998</v>
      </c>
      <c r="L3418" s="1930" t="s">
        <v>138</v>
      </c>
    </row>
    <row r="3419" spans="1:12" ht="13.5" x14ac:dyDescent="0.25">
      <c r="A3419" s="1930" t="s">
        <v>4646</v>
      </c>
      <c r="B3419" s="1930" t="s">
        <v>4647</v>
      </c>
      <c r="C3419" s="1930" t="s">
        <v>4594</v>
      </c>
      <c r="D3419" s="1930" t="s">
        <v>4650</v>
      </c>
      <c r="E3419" s="1931" t="s">
        <v>33</v>
      </c>
      <c r="F3419" s="1930" t="s">
        <v>33</v>
      </c>
      <c r="G3419" s="1932">
        <v>89582</v>
      </c>
      <c r="H3419" s="1930" t="s">
        <v>2567</v>
      </c>
      <c r="I3419" s="1930" t="s">
        <v>168</v>
      </c>
      <c r="J3419" s="1930" t="s">
        <v>320</v>
      </c>
      <c r="K3419" s="1933">
        <v>15.57</v>
      </c>
      <c r="L3419" s="1930" t="s">
        <v>138</v>
      </c>
    </row>
    <row r="3420" spans="1:12" ht="13.5" x14ac:dyDescent="0.25">
      <c r="A3420" s="1930" t="s">
        <v>4646</v>
      </c>
      <c r="B3420" s="1930" t="s">
        <v>4647</v>
      </c>
      <c r="C3420" s="1930" t="s">
        <v>4594</v>
      </c>
      <c r="D3420" s="1930" t="s">
        <v>4650</v>
      </c>
      <c r="E3420" s="1931" t="s">
        <v>33</v>
      </c>
      <c r="F3420" s="1930" t="s">
        <v>33</v>
      </c>
      <c r="G3420" s="1932">
        <v>89583</v>
      </c>
      <c r="H3420" s="1930" t="s">
        <v>2568</v>
      </c>
      <c r="I3420" s="1930" t="s">
        <v>168</v>
      </c>
      <c r="J3420" s="1930" t="s">
        <v>320</v>
      </c>
      <c r="K3420" s="1933">
        <v>23.46</v>
      </c>
      <c r="L3420" s="1930" t="s">
        <v>138</v>
      </c>
    </row>
    <row r="3421" spans="1:12" ht="13.5" x14ac:dyDescent="0.25">
      <c r="A3421" s="1930" t="s">
        <v>4646</v>
      </c>
      <c r="B3421" s="1930" t="s">
        <v>4647</v>
      </c>
      <c r="C3421" s="1930" t="s">
        <v>4594</v>
      </c>
      <c r="D3421" s="1930" t="s">
        <v>4650</v>
      </c>
      <c r="E3421" s="1931" t="s">
        <v>33</v>
      </c>
      <c r="F3421" s="1930" t="s">
        <v>33</v>
      </c>
      <c r="G3421" s="1932">
        <v>89584</v>
      </c>
      <c r="H3421" s="1930" t="s">
        <v>2569</v>
      </c>
      <c r="I3421" s="1930" t="s">
        <v>168</v>
      </c>
      <c r="J3421" s="1930" t="s">
        <v>320</v>
      </c>
      <c r="K3421" s="1933">
        <v>27.02</v>
      </c>
      <c r="L3421" s="1930" t="s">
        <v>138</v>
      </c>
    </row>
    <row r="3422" spans="1:12" ht="13.5" x14ac:dyDescent="0.25">
      <c r="A3422" s="1930" t="s">
        <v>4646</v>
      </c>
      <c r="B3422" s="1930" t="s">
        <v>4647</v>
      </c>
      <c r="C3422" s="1930" t="s">
        <v>4594</v>
      </c>
      <c r="D3422" s="1930" t="s">
        <v>4650</v>
      </c>
      <c r="E3422" s="1931" t="s">
        <v>33</v>
      </c>
      <c r="F3422" s="1930" t="s">
        <v>33</v>
      </c>
      <c r="G3422" s="1932">
        <v>89585</v>
      </c>
      <c r="H3422" s="1930" t="s">
        <v>2570</v>
      </c>
      <c r="I3422" s="1930" t="s">
        <v>168</v>
      </c>
      <c r="J3422" s="1930" t="s">
        <v>320</v>
      </c>
      <c r="K3422" s="1933">
        <v>21.76</v>
      </c>
      <c r="L3422" s="1930" t="s">
        <v>138</v>
      </c>
    </row>
    <row r="3423" spans="1:12" ht="13.5" x14ac:dyDescent="0.25">
      <c r="A3423" s="1930" t="s">
        <v>4646</v>
      </c>
      <c r="B3423" s="1930" t="s">
        <v>4647</v>
      </c>
      <c r="C3423" s="1930" t="s">
        <v>4594</v>
      </c>
      <c r="D3423" s="1930" t="s">
        <v>4650</v>
      </c>
      <c r="E3423" s="1931" t="s">
        <v>33</v>
      </c>
      <c r="F3423" s="1930" t="s">
        <v>33</v>
      </c>
      <c r="G3423" s="1932">
        <v>89586</v>
      </c>
      <c r="H3423" s="1930" t="s">
        <v>2571</v>
      </c>
      <c r="I3423" s="1930" t="s">
        <v>168</v>
      </c>
      <c r="J3423" s="1930" t="s">
        <v>320</v>
      </c>
      <c r="K3423" s="1933">
        <v>21.76</v>
      </c>
      <c r="L3423" s="1930" t="s">
        <v>138</v>
      </c>
    </row>
    <row r="3424" spans="1:12" ht="13.5" x14ac:dyDescent="0.25">
      <c r="A3424" s="1930" t="s">
        <v>4646</v>
      </c>
      <c r="B3424" s="1930" t="s">
        <v>4647</v>
      </c>
      <c r="C3424" s="1930" t="s">
        <v>4594</v>
      </c>
      <c r="D3424" s="1930" t="s">
        <v>4650</v>
      </c>
      <c r="E3424" s="1931" t="s">
        <v>33</v>
      </c>
      <c r="F3424" s="1930" t="s">
        <v>33</v>
      </c>
      <c r="G3424" s="1932">
        <v>89587</v>
      </c>
      <c r="H3424" s="1930" t="s">
        <v>2572</v>
      </c>
      <c r="I3424" s="1930" t="s">
        <v>168</v>
      </c>
      <c r="J3424" s="1930" t="s">
        <v>320</v>
      </c>
      <c r="K3424" s="1933">
        <v>35.28</v>
      </c>
      <c r="L3424" s="1930" t="s">
        <v>138</v>
      </c>
    </row>
    <row r="3425" spans="1:12" ht="13.5" x14ac:dyDescent="0.25">
      <c r="A3425" s="1930" t="s">
        <v>4646</v>
      </c>
      <c r="B3425" s="1930" t="s">
        <v>4647</v>
      </c>
      <c r="C3425" s="1930" t="s">
        <v>4594</v>
      </c>
      <c r="D3425" s="1930" t="s">
        <v>4650</v>
      </c>
      <c r="E3425" s="1931" t="s">
        <v>33</v>
      </c>
      <c r="F3425" s="1930" t="s">
        <v>33</v>
      </c>
      <c r="G3425" s="1932">
        <v>89590</v>
      </c>
      <c r="H3425" s="1930" t="s">
        <v>2573</v>
      </c>
      <c r="I3425" s="1930" t="s">
        <v>168</v>
      </c>
      <c r="J3425" s="1930" t="s">
        <v>320</v>
      </c>
      <c r="K3425" s="1933">
        <v>84.31</v>
      </c>
      <c r="L3425" s="1930" t="s">
        <v>138</v>
      </c>
    </row>
    <row r="3426" spans="1:12" ht="13.5" x14ac:dyDescent="0.25">
      <c r="A3426" s="1930" t="s">
        <v>4646</v>
      </c>
      <c r="B3426" s="1930" t="s">
        <v>4647</v>
      </c>
      <c r="C3426" s="1930" t="s">
        <v>4594</v>
      </c>
      <c r="D3426" s="1930" t="s">
        <v>4650</v>
      </c>
      <c r="E3426" s="1931" t="s">
        <v>33</v>
      </c>
      <c r="F3426" s="1930" t="s">
        <v>33</v>
      </c>
      <c r="G3426" s="1932">
        <v>89591</v>
      </c>
      <c r="H3426" s="1930" t="s">
        <v>2574</v>
      </c>
      <c r="I3426" s="1930" t="s">
        <v>168</v>
      </c>
      <c r="J3426" s="1930" t="s">
        <v>320</v>
      </c>
      <c r="K3426" s="1933">
        <v>69.19</v>
      </c>
      <c r="L3426" s="1930" t="s">
        <v>138</v>
      </c>
    </row>
    <row r="3427" spans="1:12" ht="13.5" x14ac:dyDescent="0.25">
      <c r="A3427" s="1930" t="s">
        <v>4646</v>
      </c>
      <c r="B3427" s="1930" t="s">
        <v>4647</v>
      </c>
      <c r="C3427" s="1930" t="s">
        <v>4594</v>
      </c>
      <c r="D3427" s="1930" t="s">
        <v>4650</v>
      </c>
      <c r="E3427" s="1931" t="s">
        <v>33</v>
      </c>
      <c r="F3427" s="1930" t="s">
        <v>33</v>
      </c>
      <c r="G3427" s="1932">
        <v>89592</v>
      </c>
      <c r="H3427" s="1930" t="s">
        <v>2575</v>
      </c>
      <c r="I3427" s="1930" t="s">
        <v>168</v>
      </c>
      <c r="J3427" s="1930" t="s">
        <v>320</v>
      </c>
      <c r="K3427" s="1933">
        <v>113.16</v>
      </c>
      <c r="L3427" s="1930" t="s">
        <v>138</v>
      </c>
    </row>
    <row r="3428" spans="1:12" ht="13.5" x14ac:dyDescent="0.25">
      <c r="A3428" s="1930" t="s">
        <v>4646</v>
      </c>
      <c r="B3428" s="1930" t="s">
        <v>4647</v>
      </c>
      <c r="C3428" s="1930" t="s">
        <v>4594</v>
      </c>
      <c r="D3428" s="1930" t="s">
        <v>4650</v>
      </c>
      <c r="E3428" s="1931" t="s">
        <v>33</v>
      </c>
      <c r="F3428" s="1930" t="s">
        <v>33</v>
      </c>
      <c r="G3428" s="1932">
        <v>89593</v>
      </c>
      <c r="H3428" s="1930" t="s">
        <v>2576</v>
      </c>
      <c r="I3428" s="1930" t="s">
        <v>168</v>
      </c>
      <c r="J3428" s="1930" t="s">
        <v>320</v>
      </c>
      <c r="K3428" s="1933">
        <v>23.1</v>
      </c>
      <c r="L3428" s="1930" t="s">
        <v>138</v>
      </c>
    </row>
    <row r="3429" spans="1:12" ht="13.5" x14ac:dyDescent="0.25">
      <c r="A3429" s="1930" t="s">
        <v>4646</v>
      </c>
      <c r="B3429" s="1930" t="s">
        <v>4647</v>
      </c>
      <c r="C3429" s="1930" t="s">
        <v>4594</v>
      </c>
      <c r="D3429" s="1930" t="s">
        <v>4650</v>
      </c>
      <c r="E3429" s="1931" t="s">
        <v>33</v>
      </c>
      <c r="F3429" s="1930" t="s">
        <v>33</v>
      </c>
      <c r="G3429" s="1932">
        <v>89594</v>
      </c>
      <c r="H3429" s="1930" t="s">
        <v>2577</v>
      </c>
      <c r="I3429" s="1930" t="s">
        <v>168</v>
      </c>
      <c r="J3429" s="1930" t="s">
        <v>320</v>
      </c>
      <c r="K3429" s="1933">
        <v>27.83</v>
      </c>
      <c r="L3429" s="1930" t="s">
        <v>138</v>
      </c>
    </row>
    <row r="3430" spans="1:12" ht="13.5" x14ac:dyDescent="0.25">
      <c r="A3430" s="1930" t="s">
        <v>4646</v>
      </c>
      <c r="B3430" s="1930" t="s">
        <v>4647</v>
      </c>
      <c r="C3430" s="1930" t="s">
        <v>4594</v>
      </c>
      <c r="D3430" s="1930" t="s">
        <v>4650</v>
      </c>
      <c r="E3430" s="1931" t="s">
        <v>33</v>
      </c>
      <c r="F3430" s="1930" t="s">
        <v>33</v>
      </c>
      <c r="G3430" s="1932">
        <v>89595</v>
      </c>
      <c r="H3430" s="1930" t="s">
        <v>2578</v>
      </c>
      <c r="I3430" s="1930" t="s">
        <v>168</v>
      </c>
      <c r="J3430" s="1930" t="s">
        <v>320</v>
      </c>
      <c r="K3430" s="1933">
        <v>10.77</v>
      </c>
      <c r="L3430" s="1930" t="s">
        <v>138</v>
      </c>
    </row>
    <row r="3431" spans="1:12" ht="13.5" x14ac:dyDescent="0.25">
      <c r="A3431" s="1930" t="s">
        <v>4646</v>
      </c>
      <c r="B3431" s="1930" t="s">
        <v>4647</v>
      </c>
      <c r="C3431" s="1930" t="s">
        <v>4594</v>
      </c>
      <c r="D3431" s="1930" t="s">
        <v>4650</v>
      </c>
      <c r="E3431" s="1931" t="s">
        <v>33</v>
      </c>
      <c r="F3431" s="1930" t="s">
        <v>33</v>
      </c>
      <c r="G3431" s="1932">
        <v>89596</v>
      </c>
      <c r="H3431" s="1930" t="s">
        <v>2579</v>
      </c>
      <c r="I3431" s="1930" t="s">
        <v>168</v>
      </c>
      <c r="J3431" s="1930" t="s">
        <v>320</v>
      </c>
      <c r="K3431" s="1933">
        <v>7.99</v>
      </c>
      <c r="L3431" s="1930" t="s">
        <v>138</v>
      </c>
    </row>
    <row r="3432" spans="1:12" ht="13.5" x14ac:dyDescent="0.25">
      <c r="A3432" s="1930" t="s">
        <v>4646</v>
      </c>
      <c r="B3432" s="1930" t="s">
        <v>4647</v>
      </c>
      <c r="C3432" s="1930" t="s">
        <v>4594</v>
      </c>
      <c r="D3432" s="1930" t="s">
        <v>4650</v>
      </c>
      <c r="E3432" s="1931" t="s">
        <v>33</v>
      </c>
      <c r="F3432" s="1930" t="s">
        <v>33</v>
      </c>
      <c r="G3432" s="1932">
        <v>89597</v>
      </c>
      <c r="H3432" s="1930" t="s">
        <v>2580</v>
      </c>
      <c r="I3432" s="1930" t="s">
        <v>168</v>
      </c>
      <c r="J3432" s="1930" t="s">
        <v>320</v>
      </c>
      <c r="K3432" s="1933">
        <v>14.87</v>
      </c>
      <c r="L3432" s="1930" t="s">
        <v>138</v>
      </c>
    </row>
    <row r="3433" spans="1:12" ht="13.5" x14ac:dyDescent="0.25">
      <c r="A3433" s="1930" t="s">
        <v>4646</v>
      </c>
      <c r="B3433" s="1930" t="s">
        <v>4647</v>
      </c>
      <c r="C3433" s="1930" t="s">
        <v>4594</v>
      </c>
      <c r="D3433" s="1930" t="s">
        <v>4650</v>
      </c>
      <c r="E3433" s="1931" t="s">
        <v>33</v>
      </c>
      <c r="F3433" s="1930" t="s">
        <v>33</v>
      </c>
      <c r="G3433" s="1932">
        <v>89598</v>
      </c>
      <c r="H3433" s="1930" t="s">
        <v>2581</v>
      </c>
      <c r="I3433" s="1930" t="s">
        <v>168</v>
      </c>
      <c r="J3433" s="1930" t="s">
        <v>320</v>
      </c>
      <c r="K3433" s="1933">
        <v>38.4</v>
      </c>
      <c r="L3433" s="1930" t="s">
        <v>138</v>
      </c>
    </row>
    <row r="3434" spans="1:12" ht="13.5" x14ac:dyDescent="0.25">
      <c r="A3434" s="1930" t="s">
        <v>4646</v>
      </c>
      <c r="B3434" s="1930" t="s">
        <v>4647</v>
      </c>
      <c r="C3434" s="1930" t="s">
        <v>4594</v>
      </c>
      <c r="D3434" s="1930" t="s">
        <v>4650</v>
      </c>
      <c r="E3434" s="1931" t="s">
        <v>33</v>
      </c>
      <c r="F3434" s="1930" t="s">
        <v>33</v>
      </c>
      <c r="G3434" s="1932">
        <v>89599</v>
      </c>
      <c r="H3434" s="1930" t="s">
        <v>2582</v>
      </c>
      <c r="I3434" s="1930" t="s">
        <v>168</v>
      </c>
      <c r="J3434" s="1930" t="s">
        <v>320</v>
      </c>
      <c r="K3434" s="1933">
        <v>11.86</v>
      </c>
      <c r="L3434" s="1930" t="s">
        <v>138</v>
      </c>
    </row>
    <row r="3435" spans="1:12" ht="13.5" x14ac:dyDescent="0.25">
      <c r="A3435" s="1930" t="s">
        <v>4646</v>
      </c>
      <c r="B3435" s="1930" t="s">
        <v>4647</v>
      </c>
      <c r="C3435" s="1930" t="s">
        <v>4594</v>
      </c>
      <c r="D3435" s="1930" t="s">
        <v>4650</v>
      </c>
      <c r="E3435" s="1931" t="s">
        <v>33</v>
      </c>
      <c r="F3435" s="1930" t="s">
        <v>33</v>
      </c>
      <c r="G3435" s="1932">
        <v>89600</v>
      </c>
      <c r="H3435" s="1930" t="s">
        <v>2583</v>
      </c>
      <c r="I3435" s="1930" t="s">
        <v>168</v>
      </c>
      <c r="J3435" s="1930" t="s">
        <v>320</v>
      </c>
      <c r="K3435" s="1933">
        <v>12.94</v>
      </c>
      <c r="L3435" s="1930" t="s">
        <v>138</v>
      </c>
    </row>
    <row r="3436" spans="1:12" ht="13.5" x14ac:dyDescent="0.25">
      <c r="A3436" s="1930" t="s">
        <v>4646</v>
      </c>
      <c r="B3436" s="1930" t="s">
        <v>4647</v>
      </c>
      <c r="C3436" s="1930" t="s">
        <v>4594</v>
      </c>
      <c r="D3436" s="1930" t="s">
        <v>4650</v>
      </c>
      <c r="E3436" s="1931" t="s">
        <v>33</v>
      </c>
      <c r="F3436" s="1930" t="s">
        <v>33</v>
      </c>
      <c r="G3436" s="1932">
        <v>89605</v>
      </c>
      <c r="H3436" s="1930" t="s">
        <v>2584</v>
      </c>
      <c r="I3436" s="1930" t="s">
        <v>168</v>
      </c>
      <c r="J3436" s="1930" t="s">
        <v>320</v>
      </c>
      <c r="K3436" s="1933">
        <v>14.52</v>
      </c>
      <c r="L3436" s="1930" t="s">
        <v>138</v>
      </c>
    </row>
    <row r="3437" spans="1:12" ht="13.5" x14ac:dyDescent="0.25">
      <c r="A3437" s="1930" t="s">
        <v>4646</v>
      </c>
      <c r="B3437" s="1930" t="s">
        <v>4647</v>
      </c>
      <c r="C3437" s="1930" t="s">
        <v>4594</v>
      </c>
      <c r="D3437" s="1930" t="s">
        <v>4650</v>
      </c>
      <c r="E3437" s="1931" t="s">
        <v>33</v>
      </c>
      <c r="F3437" s="1930" t="s">
        <v>33</v>
      </c>
      <c r="G3437" s="1932">
        <v>89609</v>
      </c>
      <c r="H3437" s="1930" t="s">
        <v>2585</v>
      </c>
      <c r="I3437" s="1930" t="s">
        <v>168</v>
      </c>
      <c r="J3437" s="1930" t="s">
        <v>320</v>
      </c>
      <c r="K3437" s="1933">
        <v>64.16</v>
      </c>
      <c r="L3437" s="1930" t="s">
        <v>138</v>
      </c>
    </row>
    <row r="3438" spans="1:12" ht="13.5" x14ac:dyDescent="0.25">
      <c r="A3438" s="1930" t="s">
        <v>4646</v>
      </c>
      <c r="B3438" s="1930" t="s">
        <v>4647</v>
      </c>
      <c r="C3438" s="1930" t="s">
        <v>4594</v>
      </c>
      <c r="D3438" s="1930" t="s">
        <v>4650</v>
      </c>
      <c r="E3438" s="1931" t="s">
        <v>33</v>
      </c>
      <c r="F3438" s="1930" t="s">
        <v>33</v>
      </c>
      <c r="G3438" s="1932">
        <v>89610</v>
      </c>
      <c r="H3438" s="1930" t="s">
        <v>2586</v>
      </c>
      <c r="I3438" s="1930" t="s">
        <v>168</v>
      </c>
      <c r="J3438" s="1930" t="s">
        <v>320</v>
      </c>
      <c r="K3438" s="1933">
        <v>14.88</v>
      </c>
      <c r="L3438" s="1930" t="s">
        <v>138</v>
      </c>
    </row>
    <row r="3439" spans="1:12" ht="13.5" x14ac:dyDescent="0.25">
      <c r="A3439" s="1930" t="s">
        <v>4646</v>
      </c>
      <c r="B3439" s="1930" t="s">
        <v>4647</v>
      </c>
      <c r="C3439" s="1930" t="s">
        <v>4594</v>
      </c>
      <c r="D3439" s="1930" t="s">
        <v>4650</v>
      </c>
      <c r="E3439" s="1931" t="s">
        <v>33</v>
      </c>
      <c r="F3439" s="1930" t="s">
        <v>33</v>
      </c>
      <c r="G3439" s="1932">
        <v>89611</v>
      </c>
      <c r="H3439" s="1930" t="s">
        <v>2587</v>
      </c>
      <c r="I3439" s="1930" t="s">
        <v>168</v>
      </c>
      <c r="J3439" s="1930" t="s">
        <v>320</v>
      </c>
      <c r="K3439" s="1933">
        <v>24.19</v>
      </c>
      <c r="L3439" s="1930" t="s">
        <v>138</v>
      </c>
    </row>
    <row r="3440" spans="1:12" ht="13.5" x14ac:dyDescent="0.25">
      <c r="A3440" s="1930" t="s">
        <v>4646</v>
      </c>
      <c r="B3440" s="1930" t="s">
        <v>4647</v>
      </c>
      <c r="C3440" s="1930" t="s">
        <v>4594</v>
      </c>
      <c r="D3440" s="1930" t="s">
        <v>4650</v>
      </c>
      <c r="E3440" s="1931" t="s">
        <v>33</v>
      </c>
      <c r="F3440" s="1930" t="s">
        <v>33</v>
      </c>
      <c r="G3440" s="1932">
        <v>89612</v>
      </c>
      <c r="H3440" s="1930" t="s">
        <v>2588</v>
      </c>
      <c r="I3440" s="1930" t="s">
        <v>168</v>
      </c>
      <c r="J3440" s="1930" t="s">
        <v>320</v>
      </c>
      <c r="K3440" s="1933">
        <v>126.17</v>
      </c>
      <c r="L3440" s="1930" t="s">
        <v>138</v>
      </c>
    </row>
    <row r="3441" spans="1:12" ht="13.5" x14ac:dyDescent="0.25">
      <c r="A3441" s="1930" t="s">
        <v>4646</v>
      </c>
      <c r="B3441" s="1930" t="s">
        <v>4647</v>
      </c>
      <c r="C3441" s="1930" t="s">
        <v>4594</v>
      </c>
      <c r="D3441" s="1930" t="s">
        <v>4650</v>
      </c>
      <c r="E3441" s="1931" t="s">
        <v>33</v>
      </c>
      <c r="F3441" s="1930" t="s">
        <v>33</v>
      </c>
      <c r="G3441" s="1932">
        <v>89613</v>
      </c>
      <c r="H3441" s="1930" t="s">
        <v>2589</v>
      </c>
      <c r="I3441" s="1930" t="s">
        <v>168</v>
      </c>
      <c r="J3441" s="1930" t="s">
        <v>320</v>
      </c>
      <c r="K3441" s="1933">
        <v>21.64</v>
      </c>
      <c r="L3441" s="1930" t="s">
        <v>138</v>
      </c>
    </row>
    <row r="3442" spans="1:12" ht="13.5" x14ac:dyDescent="0.25">
      <c r="A3442" s="1930" t="s">
        <v>4646</v>
      </c>
      <c r="B3442" s="1930" t="s">
        <v>4647</v>
      </c>
      <c r="C3442" s="1930" t="s">
        <v>4594</v>
      </c>
      <c r="D3442" s="1930" t="s">
        <v>4650</v>
      </c>
      <c r="E3442" s="1931" t="s">
        <v>33</v>
      </c>
      <c r="F3442" s="1930" t="s">
        <v>33</v>
      </c>
      <c r="G3442" s="1932">
        <v>89614</v>
      </c>
      <c r="H3442" s="1930" t="s">
        <v>2590</v>
      </c>
      <c r="I3442" s="1930" t="s">
        <v>168</v>
      </c>
      <c r="J3442" s="1930" t="s">
        <v>320</v>
      </c>
      <c r="K3442" s="1933">
        <v>45.62</v>
      </c>
      <c r="L3442" s="1930" t="s">
        <v>138</v>
      </c>
    </row>
    <row r="3443" spans="1:12" ht="13.5" x14ac:dyDescent="0.25">
      <c r="A3443" s="1930" t="s">
        <v>4646</v>
      </c>
      <c r="B3443" s="1930" t="s">
        <v>4647</v>
      </c>
      <c r="C3443" s="1930" t="s">
        <v>4594</v>
      </c>
      <c r="D3443" s="1930" t="s">
        <v>4650</v>
      </c>
      <c r="E3443" s="1931" t="s">
        <v>33</v>
      </c>
      <c r="F3443" s="1930" t="s">
        <v>33</v>
      </c>
      <c r="G3443" s="1932">
        <v>89615</v>
      </c>
      <c r="H3443" s="1930" t="s">
        <v>2591</v>
      </c>
      <c r="I3443" s="1930" t="s">
        <v>168</v>
      </c>
      <c r="J3443" s="1930" t="s">
        <v>320</v>
      </c>
      <c r="K3443" s="1933">
        <v>190.66</v>
      </c>
      <c r="L3443" s="1930" t="s">
        <v>138</v>
      </c>
    </row>
    <row r="3444" spans="1:12" ht="13.5" x14ac:dyDescent="0.25">
      <c r="A3444" s="1930" t="s">
        <v>4646</v>
      </c>
      <c r="B3444" s="1930" t="s">
        <v>4647</v>
      </c>
      <c r="C3444" s="1930" t="s">
        <v>4594</v>
      </c>
      <c r="D3444" s="1930" t="s">
        <v>4650</v>
      </c>
      <c r="E3444" s="1931" t="s">
        <v>33</v>
      </c>
      <c r="F3444" s="1930" t="s">
        <v>33</v>
      </c>
      <c r="G3444" s="1932">
        <v>89616</v>
      </c>
      <c r="H3444" s="1930" t="s">
        <v>2592</v>
      </c>
      <c r="I3444" s="1930" t="s">
        <v>168</v>
      </c>
      <c r="J3444" s="1930" t="s">
        <v>320</v>
      </c>
      <c r="K3444" s="1933">
        <v>31.31</v>
      </c>
      <c r="L3444" s="1930" t="s">
        <v>138</v>
      </c>
    </row>
    <row r="3445" spans="1:12" ht="13.5" x14ac:dyDescent="0.25">
      <c r="A3445" s="1930" t="s">
        <v>4646</v>
      </c>
      <c r="B3445" s="1930" t="s">
        <v>4647</v>
      </c>
      <c r="C3445" s="1930" t="s">
        <v>4594</v>
      </c>
      <c r="D3445" s="1930" t="s">
        <v>4650</v>
      </c>
      <c r="E3445" s="1931" t="s">
        <v>33</v>
      </c>
      <c r="F3445" s="1930" t="s">
        <v>33</v>
      </c>
      <c r="G3445" s="1932">
        <v>89617</v>
      </c>
      <c r="H3445" s="1930" t="s">
        <v>2593</v>
      </c>
      <c r="I3445" s="1930" t="s">
        <v>168</v>
      </c>
      <c r="J3445" s="1930" t="s">
        <v>320</v>
      </c>
      <c r="K3445" s="1933">
        <v>4.9800000000000004</v>
      </c>
      <c r="L3445" s="1930" t="s">
        <v>138</v>
      </c>
    </row>
    <row r="3446" spans="1:12" ht="13.5" x14ac:dyDescent="0.25">
      <c r="A3446" s="1930" t="s">
        <v>4646</v>
      </c>
      <c r="B3446" s="1930" t="s">
        <v>4647</v>
      </c>
      <c r="C3446" s="1930" t="s">
        <v>4594</v>
      </c>
      <c r="D3446" s="1930" t="s">
        <v>4650</v>
      </c>
      <c r="E3446" s="1931" t="s">
        <v>33</v>
      </c>
      <c r="F3446" s="1930" t="s">
        <v>33</v>
      </c>
      <c r="G3446" s="1932">
        <v>89618</v>
      </c>
      <c r="H3446" s="1930" t="s">
        <v>2594</v>
      </c>
      <c r="I3446" s="1930" t="s">
        <v>168</v>
      </c>
      <c r="J3446" s="1930" t="s">
        <v>320</v>
      </c>
      <c r="K3446" s="1933">
        <v>10.66</v>
      </c>
      <c r="L3446" s="1930" t="s">
        <v>138</v>
      </c>
    </row>
    <row r="3447" spans="1:12" ht="13.5" x14ac:dyDescent="0.25">
      <c r="A3447" s="1930" t="s">
        <v>4646</v>
      </c>
      <c r="B3447" s="1930" t="s">
        <v>4647</v>
      </c>
      <c r="C3447" s="1930" t="s">
        <v>4594</v>
      </c>
      <c r="D3447" s="1930" t="s">
        <v>4650</v>
      </c>
      <c r="E3447" s="1931" t="s">
        <v>33</v>
      </c>
      <c r="F3447" s="1930" t="s">
        <v>33</v>
      </c>
      <c r="G3447" s="1932">
        <v>89619</v>
      </c>
      <c r="H3447" s="1930" t="s">
        <v>2595</v>
      </c>
      <c r="I3447" s="1930" t="s">
        <v>168</v>
      </c>
      <c r="J3447" s="1930" t="s">
        <v>320</v>
      </c>
      <c r="K3447" s="1933">
        <v>6.5</v>
      </c>
      <c r="L3447" s="1930" t="s">
        <v>138</v>
      </c>
    </row>
    <row r="3448" spans="1:12" ht="13.5" x14ac:dyDescent="0.25">
      <c r="A3448" s="1930" t="s">
        <v>4646</v>
      </c>
      <c r="B3448" s="1930" t="s">
        <v>4647</v>
      </c>
      <c r="C3448" s="1930" t="s">
        <v>4594</v>
      </c>
      <c r="D3448" s="1930" t="s">
        <v>4650</v>
      </c>
      <c r="E3448" s="1931" t="s">
        <v>33</v>
      </c>
      <c r="F3448" s="1930" t="s">
        <v>33</v>
      </c>
      <c r="G3448" s="1932">
        <v>89620</v>
      </c>
      <c r="H3448" s="1930" t="s">
        <v>2596</v>
      </c>
      <c r="I3448" s="1930" t="s">
        <v>168</v>
      </c>
      <c r="J3448" s="1930" t="s">
        <v>320</v>
      </c>
      <c r="K3448" s="1933">
        <v>8.2100000000000009</v>
      </c>
      <c r="L3448" s="1930" t="s">
        <v>138</v>
      </c>
    </row>
    <row r="3449" spans="1:12" ht="13.5" x14ac:dyDescent="0.25">
      <c r="A3449" s="1930" t="s">
        <v>4646</v>
      </c>
      <c r="B3449" s="1930" t="s">
        <v>4647</v>
      </c>
      <c r="C3449" s="1930" t="s">
        <v>4594</v>
      </c>
      <c r="D3449" s="1930" t="s">
        <v>4650</v>
      </c>
      <c r="E3449" s="1931" t="s">
        <v>33</v>
      </c>
      <c r="F3449" s="1930" t="s">
        <v>33</v>
      </c>
      <c r="G3449" s="1932">
        <v>89621</v>
      </c>
      <c r="H3449" s="1930" t="s">
        <v>2597</v>
      </c>
      <c r="I3449" s="1930" t="s">
        <v>168</v>
      </c>
      <c r="J3449" s="1930" t="s">
        <v>320</v>
      </c>
      <c r="K3449" s="1933">
        <v>17.84</v>
      </c>
      <c r="L3449" s="1930" t="s">
        <v>138</v>
      </c>
    </row>
    <row r="3450" spans="1:12" ht="13.5" x14ac:dyDescent="0.25">
      <c r="A3450" s="1930" t="s">
        <v>4646</v>
      </c>
      <c r="B3450" s="1930" t="s">
        <v>4647</v>
      </c>
      <c r="C3450" s="1930" t="s">
        <v>4594</v>
      </c>
      <c r="D3450" s="1930" t="s">
        <v>4650</v>
      </c>
      <c r="E3450" s="1931" t="s">
        <v>33</v>
      </c>
      <c r="F3450" s="1930" t="s">
        <v>33</v>
      </c>
      <c r="G3450" s="1932">
        <v>89622</v>
      </c>
      <c r="H3450" s="1930" t="s">
        <v>2598</v>
      </c>
      <c r="I3450" s="1930" t="s">
        <v>168</v>
      </c>
      <c r="J3450" s="1930" t="s">
        <v>320</v>
      </c>
      <c r="K3450" s="1933">
        <v>9.7100000000000009</v>
      </c>
      <c r="L3450" s="1930" t="s">
        <v>138</v>
      </c>
    </row>
    <row r="3451" spans="1:12" ht="13.5" x14ac:dyDescent="0.25">
      <c r="A3451" s="1930" t="s">
        <v>4646</v>
      </c>
      <c r="B3451" s="1930" t="s">
        <v>4647</v>
      </c>
      <c r="C3451" s="1930" t="s">
        <v>4594</v>
      </c>
      <c r="D3451" s="1930" t="s">
        <v>4650</v>
      </c>
      <c r="E3451" s="1931" t="s">
        <v>33</v>
      </c>
      <c r="F3451" s="1930" t="s">
        <v>33</v>
      </c>
      <c r="G3451" s="1932">
        <v>89623</v>
      </c>
      <c r="H3451" s="1930" t="s">
        <v>2599</v>
      </c>
      <c r="I3451" s="1930" t="s">
        <v>168</v>
      </c>
      <c r="J3451" s="1930" t="s">
        <v>320</v>
      </c>
      <c r="K3451" s="1933">
        <v>13.08</v>
      </c>
      <c r="L3451" s="1930" t="s">
        <v>138</v>
      </c>
    </row>
    <row r="3452" spans="1:12" ht="13.5" x14ac:dyDescent="0.25">
      <c r="A3452" s="1930" t="s">
        <v>4646</v>
      </c>
      <c r="B3452" s="1930" t="s">
        <v>4647</v>
      </c>
      <c r="C3452" s="1930" t="s">
        <v>4594</v>
      </c>
      <c r="D3452" s="1930" t="s">
        <v>4650</v>
      </c>
      <c r="E3452" s="1931" t="s">
        <v>33</v>
      </c>
      <c r="F3452" s="1930" t="s">
        <v>33</v>
      </c>
      <c r="G3452" s="1932">
        <v>89624</v>
      </c>
      <c r="H3452" s="1930" t="s">
        <v>2600</v>
      </c>
      <c r="I3452" s="1930" t="s">
        <v>168</v>
      </c>
      <c r="J3452" s="1930" t="s">
        <v>320</v>
      </c>
      <c r="K3452" s="1933">
        <v>13.84</v>
      </c>
      <c r="L3452" s="1930" t="s">
        <v>138</v>
      </c>
    </row>
    <row r="3453" spans="1:12" ht="13.5" x14ac:dyDescent="0.25">
      <c r="A3453" s="1930" t="s">
        <v>4646</v>
      </c>
      <c r="B3453" s="1930" t="s">
        <v>4647</v>
      </c>
      <c r="C3453" s="1930" t="s">
        <v>4594</v>
      </c>
      <c r="D3453" s="1930" t="s">
        <v>4650</v>
      </c>
      <c r="E3453" s="1931" t="s">
        <v>33</v>
      </c>
      <c r="F3453" s="1930" t="s">
        <v>33</v>
      </c>
      <c r="G3453" s="1932">
        <v>89625</v>
      </c>
      <c r="H3453" s="1930" t="s">
        <v>2601</v>
      </c>
      <c r="I3453" s="1930" t="s">
        <v>168</v>
      </c>
      <c r="J3453" s="1930" t="s">
        <v>320</v>
      </c>
      <c r="K3453" s="1933">
        <v>15.81</v>
      </c>
      <c r="L3453" s="1930" t="s">
        <v>138</v>
      </c>
    </row>
    <row r="3454" spans="1:12" ht="13.5" x14ac:dyDescent="0.25">
      <c r="A3454" s="1930" t="s">
        <v>4646</v>
      </c>
      <c r="B3454" s="1930" t="s">
        <v>4647</v>
      </c>
      <c r="C3454" s="1930" t="s">
        <v>4594</v>
      </c>
      <c r="D3454" s="1930" t="s">
        <v>4650</v>
      </c>
      <c r="E3454" s="1931" t="s">
        <v>33</v>
      </c>
      <c r="F3454" s="1930" t="s">
        <v>33</v>
      </c>
      <c r="G3454" s="1932">
        <v>89626</v>
      </c>
      <c r="H3454" s="1930" t="s">
        <v>2602</v>
      </c>
      <c r="I3454" s="1930" t="s">
        <v>168</v>
      </c>
      <c r="J3454" s="1930" t="s">
        <v>320</v>
      </c>
      <c r="K3454" s="1933">
        <v>21.65</v>
      </c>
      <c r="L3454" s="1930" t="s">
        <v>138</v>
      </c>
    </row>
    <row r="3455" spans="1:12" ht="13.5" x14ac:dyDescent="0.25">
      <c r="A3455" s="1930" t="s">
        <v>4646</v>
      </c>
      <c r="B3455" s="1930" t="s">
        <v>4647</v>
      </c>
      <c r="C3455" s="1930" t="s">
        <v>4594</v>
      </c>
      <c r="D3455" s="1930" t="s">
        <v>4650</v>
      </c>
      <c r="E3455" s="1931" t="s">
        <v>33</v>
      </c>
      <c r="F3455" s="1930" t="s">
        <v>33</v>
      </c>
      <c r="G3455" s="1932">
        <v>89627</v>
      </c>
      <c r="H3455" s="1930" t="s">
        <v>2603</v>
      </c>
      <c r="I3455" s="1930" t="s">
        <v>168</v>
      </c>
      <c r="J3455" s="1930" t="s">
        <v>320</v>
      </c>
      <c r="K3455" s="1933">
        <v>14.93</v>
      </c>
      <c r="L3455" s="1930" t="s">
        <v>138</v>
      </c>
    </row>
    <row r="3456" spans="1:12" ht="13.5" x14ac:dyDescent="0.25">
      <c r="A3456" s="1930" t="s">
        <v>4646</v>
      </c>
      <c r="B3456" s="1930" t="s">
        <v>4647</v>
      </c>
      <c r="C3456" s="1930" t="s">
        <v>4594</v>
      </c>
      <c r="D3456" s="1930" t="s">
        <v>4650</v>
      </c>
      <c r="E3456" s="1931" t="s">
        <v>33</v>
      </c>
      <c r="F3456" s="1930" t="s">
        <v>33</v>
      </c>
      <c r="G3456" s="1932">
        <v>89628</v>
      </c>
      <c r="H3456" s="1930" t="s">
        <v>2604</v>
      </c>
      <c r="I3456" s="1930" t="s">
        <v>168</v>
      </c>
      <c r="J3456" s="1930" t="s">
        <v>320</v>
      </c>
      <c r="K3456" s="1933">
        <v>32.880000000000003</v>
      </c>
      <c r="L3456" s="1930" t="s">
        <v>138</v>
      </c>
    </row>
    <row r="3457" spans="1:12" ht="13.5" x14ac:dyDescent="0.25">
      <c r="A3457" s="1930" t="s">
        <v>4646</v>
      </c>
      <c r="B3457" s="1930" t="s">
        <v>4647</v>
      </c>
      <c r="C3457" s="1930" t="s">
        <v>4594</v>
      </c>
      <c r="D3457" s="1930" t="s">
        <v>4650</v>
      </c>
      <c r="E3457" s="1931" t="s">
        <v>33</v>
      </c>
      <c r="F3457" s="1930" t="s">
        <v>33</v>
      </c>
      <c r="G3457" s="1932">
        <v>89629</v>
      </c>
      <c r="H3457" s="1930" t="s">
        <v>2605</v>
      </c>
      <c r="I3457" s="1930" t="s">
        <v>168</v>
      </c>
      <c r="J3457" s="1930" t="s">
        <v>320</v>
      </c>
      <c r="K3457" s="1933">
        <v>59.93</v>
      </c>
      <c r="L3457" s="1930" t="s">
        <v>138</v>
      </c>
    </row>
    <row r="3458" spans="1:12" ht="13.5" x14ac:dyDescent="0.25">
      <c r="A3458" s="1930" t="s">
        <v>4646</v>
      </c>
      <c r="B3458" s="1930" t="s">
        <v>4647</v>
      </c>
      <c r="C3458" s="1930" t="s">
        <v>4594</v>
      </c>
      <c r="D3458" s="1930" t="s">
        <v>4650</v>
      </c>
      <c r="E3458" s="1931" t="s">
        <v>33</v>
      </c>
      <c r="F3458" s="1930" t="s">
        <v>33</v>
      </c>
      <c r="G3458" s="1932">
        <v>89630</v>
      </c>
      <c r="H3458" s="1930" t="s">
        <v>2606</v>
      </c>
      <c r="I3458" s="1930" t="s">
        <v>168</v>
      </c>
      <c r="J3458" s="1930" t="s">
        <v>320</v>
      </c>
      <c r="K3458" s="1933">
        <v>51.97</v>
      </c>
      <c r="L3458" s="1930" t="s">
        <v>138</v>
      </c>
    </row>
    <row r="3459" spans="1:12" ht="13.5" x14ac:dyDescent="0.25">
      <c r="A3459" s="1930" t="s">
        <v>4646</v>
      </c>
      <c r="B3459" s="1930" t="s">
        <v>4647</v>
      </c>
      <c r="C3459" s="1930" t="s">
        <v>4594</v>
      </c>
      <c r="D3459" s="1930" t="s">
        <v>4650</v>
      </c>
      <c r="E3459" s="1931" t="s">
        <v>33</v>
      </c>
      <c r="F3459" s="1930" t="s">
        <v>33</v>
      </c>
      <c r="G3459" s="1932">
        <v>89631</v>
      </c>
      <c r="H3459" s="1930" t="s">
        <v>2607</v>
      </c>
      <c r="I3459" s="1930" t="s">
        <v>168</v>
      </c>
      <c r="J3459" s="1930" t="s">
        <v>320</v>
      </c>
      <c r="K3459" s="1933">
        <v>91.05</v>
      </c>
      <c r="L3459" s="1930" t="s">
        <v>138</v>
      </c>
    </row>
    <row r="3460" spans="1:12" ht="13.5" x14ac:dyDescent="0.25">
      <c r="A3460" s="1930" t="s">
        <v>4646</v>
      </c>
      <c r="B3460" s="1930" t="s">
        <v>4647</v>
      </c>
      <c r="C3460" s="1930" t="s">
        <v>4594</v>
      </c>
      <c r="D3460" s="1930" t="s">
        <v>4650</v>
      </c>
      <c r="E3460" s="1931" t="s">
        <v>33</v>
      </c>
      <c r="F3460" s="1930" t="s">
        <v>33</v>
      </c>
      <c r="G3460" s="1932">
        <v>89632</v>
      </c>
      <c r="H3460" s="1930" t="s">
        <v>2608</v>
      </c>
      <c r="I3460" s="1930" t="s">
        <v>168</v>
      </c>
      <c r="J3460" s="1930" t="s">
        <v>320</v>
      </c>
      <c r="K3460" s="1933">
        <v>74.77</v>
      </c>
      <c r="L3460" s="1930" t="s">
        <v>138</v>
      </c>
    </row>
    <row r="3461" spans="1:12" ht="13.5" x14ac:dyDescent="0.25">
      <c r="A3461" s="1930" t="s">
        <v>4646</v>
      </c>
      <c r="B3461" s="1930" t="s">
        <v>4647</v>
      </c>
      <c r="C3461" s="1930" t="s">
        <v>4594</v>
      </c>
      <c r="D3461" s="1930" t="s">
        <v>4650</v>
      </c>
      <c r="E3461" s="1931" t="s">
        <v>33</v>
      </c>
      <c r="F3461" s="1930" t="s">
        <v>33</v>
      </c>
      <c r="G3461" s="1932">
        <v>89637</v>
      </c>
      <c r="H3461" s="1930" t="s">
        <v>2609</v>
      </c>
      <c r="I3461" s="1930" t="s">
        <v>168</v>
      </c>
      <c r="J3461" s="1930" t="s">
        <v>320</v>
      </c>
      <c r="K3461" s="1933">
        <v>6.16</v>
      </c>
      <c r="L3461" s="1930" t="s">
        <v>138</v>
      </c>
    </row>
    <row r="3462" spans="1:12" ht="13.5" x14ac:dyDescent="0.25">
      <c r="A3462" s="1930" t="s">
        <v>4646</v>
      </c>
      <c r="B3462" s="1930" t="s">
        <v>4647</v>
      </c>
      <c r="C3462" s="1930" t="s">
        <v>4594</v>
      </c>
      <c r="D3462" s="1930" t="s">
        <v>4650</v>
      </c>
      <c r="E3462" s="1931" t="s">
        <v>33</v>
      </c>
      <c r="F3462" s="1930" t="s">
        <v>33</v>
      </c>
      <c r="G3462" s="1932">
        <v>89638</v>
      </c>
      <c r="H3462" s="1930" t="s">
        <v>2610</v>
      </c>
      <c r="I3462" s="1930" t="s">
        <v>168</v>
      </c>
      <c r="J3462" s="1930" t="s">
        <v>320</v>
      </c>
      <c r="K3462" s="1933">
        <v>6.63</v>
      </c>
      <c r="L3462" s="1930" t="s">
        <v>138</v>
      </c>
    </row>
    <row r="3463" spans="1:12" ht="13.5" x14ac:dyDescent="0.25">
      <c r="A3463" s="1930" t="s">
        <v>4646</v>
      </c>
      <c r="B3463" s="1930" t="s">
        <v>4647</v>
      </c>
      <c r="C3463" s="1930" t="s">
        <v>4594</v>
      </c>
      <c r="D3463" s="1930" t="s">
        <v>4650</v>
      </c>
      <c r="E3463" s="1931" t="s">
        <v>33</v>
      </c>
      <c r="F3463" s="1930" t="s">
        <v>33</v>
      </c>
      <c r="G3463" s="1932">
        <v>89639</v>
      </c>
      <c r="H3463" s="1930" t="s">
        <v>2611</v>
      </c>
      <c r="I3463" s="1930" t="s">
        <v>168</v>
      </c>
      <c r="J3463" s="1930" t="s">
        <v>320</v>
      </c>
      <c r="K3463" s="1933">
        <v>6.82</v>
      </c>
      <c r="L3463" s="1930" t="s">
        <v>138</v>
      </c>
    </row>
    <row r="3464" spans="1:12" ht="13.5" x14ac:dyDescent="0.25">
      <c r="A3464" s="1930" t="s">
        <v>4646</v>
      </c>
      <c r="B3464" s="1930" t="s">
        <v>4647</v>
      </c>
      <c r="C3464" s="1930" t="s">
        <v>4594</v>
      </c>
      <c r="D3464" s="1930" t="s">
        <v>4650</v>
      </c>
      <c r="E3464" s="1931" t="s">
        <v>33</v>
      </c>
      <c r="F3464" s="1930" t="s">
        <v>33</v>
      </c>
      <c r="G3464" s="1932">
        <v>89640</v>
      </c>
      <c r="H3464" s="1930" t="s">
        <v>8103</v>
      </c>
      <c r="I3464" s="1930" t="s">
        <v>168</v>
      </c>
      <c r="J3464" s="1930" t="s">
        <v>320</v>
      </c>
      <c r="K3464" s="1933">
        <v>9.68</v>
      </c>
      <c r="L3464" s="1930" t="s">
        <v>138</v>
      </c>
    </row>
    <row r="3465" spans="1:12" ht="13.5" x14ac:dyDescent="0.25">
      <c r="A3465" s="1930" t="s">
        <v>4646</v>
      </c>
      <c r="B3465" s="1930" t="s">
        <v>4647</v>
      </c>
      <c r="C3465" s="1930" t="s">
        <v>4594</v>
      </c>
      <c r="D3465" s="1930" t="s">
        <v>4650</v>
      </c>
      <c r="E3465" s="1931" t="s">
        <v>33</v>
      </c>
      <c r="F3465" s="1930" t="s">
        <v>33</v>
      </c>
      <c r="G3465" s="1932">
        <v>89641</v>
      </c>
      <c r="H3465" s="1930" t="s">
        <v>2612</v>
      </c>
      <c r="I3465" s="1930" t="s">
        <v>168</v>
      </c>
      <c r="J3465" s="1930" t="s">
        <v>320</v>
      </c>
      <c r="K3465" s="1933">
        <v>8.4700000000000006</v>
      </c>
      <c r="L3465" s="1930" t="s">
        <v>138</v>
      </c>
    </row>
    <row r="3466" spans="1:12" ht="13.5" x14ac:dyDescent="0.25">
      <c r="A3466" s="1930" t="s">
        <v>4646</v>
      </c>
      <c r="B3466" s="1930" t="s">
        <v>4647</v>
      </c>
      <c r="C3466" s="1930" t="s">
        <v>4594</v>
      </c>
      <c r="D3466" s="1930" t="s">
        <v>4650</v>
      </c>
      <c r="E3466" s="1931" t="s">
        <v>33</v>
      </c>
      <c r="F3466" s="1930" t="s">
        <v>33</v>
      </c>
      <c r="G3466" s="1932">
        <v>89642</v>
      </c>
      <c r="H3466" s="1930" t="s">
        <v>2613</v>
      </c>
      <c r="I3466" s="1930" t="s">
        <v>168</v>
      </c>
      <c r="J3466" s="1930" t="s">
        <v>320</v>
      </c>
      <c r="K3466" s="1933">
        <v>9.39</v>
      </c>
      <c r="L3466" s="1930" t="s">
        <v>138</v>
      </c>
    </row>
    <row r="3467" spans="1:12" ht="13.5" x14ac:dyDescent="0.25">
      <c r="A3467" s="1930" t="s">
        <v>4646</v>
      </c>
      <c r="B3467" s="1930" t="s">
        <v>4647</v>
      </c>
      <c r="C3467" s="1930" t="s">
        <v>4594</v>
      </c>
      <c r="D3467" s="1930" t="s">
        <v>4650</v>
      </c>
      <c r="E3467" s="1931" t="s">
        <v>33</v>
      </c>
      <c r="F3467" s="1930" t="s">
        <v>33</v>
      </c>
      <c r="G3467" s="1932">
        <v>89643</v>
      </c>
      <c r="H3467" s="1930" t="s">
        <v>2614</v>
      </c>
      <c r="I3467" s="1930" t="s">
        <v>168</v>
      </c>
      <c r="J3467" s="1930" t="s">
        <v>320</v>
      </c>
      <c r="K3467" s="1933">
        <v>9.6999999999999993</v>
      </c>
      <c r="L3467" s="1930" t="s">
        <v>138</v>
      </c>
    </row>
    <row r="3468" spans="1:12" ht="13.5" x14ac:dyDescent="0.25">
      <c r="A3468" s="1930" t="s">
        <v>4646</v>
      </c>
      <c r="B3468" s="1930" t="s">
        <v>4647</v>
      </c>
      <c r="C3468" s="1930" t="s">
        <v>4594</v>
      </c>
      <c r="D3468" s="1930" t="s">
        <v>4650</v>
      </c>
      <c r="E3468" s="1931" t="s">
        <v>33</v>
      </c>
      <c r="F3468" s="1930" t="s">
        <v>33</v>
      </c>
      <c r="G3468" s="1932">
        <v>89644</v>
      </c>
      <c r="H3468" s="1930" t="s">
        <v>8104</v>
      </c>
      <c r="I3468" s="1930" t="s">
        <v>168</v>
      </c>
      <c r="J3468" s="1930" t="s">
        <v>320</v>
      </c>
      <c r="K3468" s="1933">
        <v>14.05</v>
      </c>
      <c r="L3468" s="1930" t="s">
        <v>138</v>
      </c>
    </row>
    <row r="3469" spans="1:12" ht="13.5" x14ac:dyDescent="0.25">
      <c r="A3469" s="1930" t="s">
        <v>4646</v>
      </c>
      <c r="B3469" s="1930" t="s">
        <v>4647</v>
      </c>
      <c r="C3469" s="1930" t="s">
        <v>4594</v>
      </c>
      <c r="D3469" s="1930" t="s">
        <v>4650</v>
      </c>
      <c r="E3469" s="1931" t="s">
        <v>33</v>
      </c>
      <c r="F3469" s="1930" t="s">
        <v>33</v>
      </c>
      <c r="G3469" s="1932">
        <v>89645</v>
      </c>
      <c r="H3469" s="1930" t="s">
        <v>2615</v>
      </c>
      <c r="I3469" s="1930" t="s">
        <v>168</v>
      </c>
      <c r="J3469" s="1930" t="s">
        <v>320</v>
      </c>
      <c r="K3469" s="1933">
        <v>14.79</v>
      </c>
      <c r="L3469" s="1930" t="s">
        <v>138</v>
      </c>
    </row>
    <row r="3470" spans="1:12" ht="13.5" x14ac:dyDescent="0.25">
      <c r="A3470" s="1930" t="s">
        <v>4646</v>
      </c>
      <c r="B3470" s="1930" t="s">
        <v>4647</v>
      </c>
      <c r="C3470" s="1930" t="s">
        <v>4594</v>
      </c>
      <c r="D3470" s="1930" t="s">
        <v>4650</v>
      </c>
      <c r="E3470" s="1931" t="s">
        <v>33</v>
      </c>
      <c r="F3470" s="1930" t="s">
        <v>33</v>
      </c>
      <c r="G3470" s="1932">
        <v>89646</v>
      </c>
      <c r="H3470" s="1930" t="s">
        <v>2616</v>
      </c>
      <c r="I3470" s="1930" t="s">
        <v>168</v>
      </c>
      <c r="J3470" s="1930" t="s">
        <v>320</v>
      </c>
      <c r="K3470" s="1933">
        <v>12.34</v>
      </c>
      <c r="L3470" s="1930" t="s">
        <v>138</v>
      </c>
    </row>
    <row r="3471" spans="1:12" ht="13.5" x14ac:dyDescent="0.25">
      <c r="A3471" s="1930" t="s">
        <v>4646</v>
      </c>
      <c r="B3471" s="1930" t="s">
        <v>4647</v>
      </c>
      <c r="C3471" s="1930" t="s">
        <v>4594</v>
      </c>
      <c r="D3471" s="1930" t="s">
        <v>4650</v>
      </c>
      <c r="E3471" s="1931" t="s">
        <v>33</v>
      </c>
      <c r="F3471" s="1930" t="s">
        <v>33</v>
      </c>
      <c r="G3471" s="1932">
        <v>89647</v>
      </c>
      <c r="H3471" s="1930" t="s">
        <v>2617</v>
      </c>
      <c r="I3471" s="1930" t="s">
        <v>168</v>
      </c>
      <c r="J3471" s="1930" t="s">
        <v>320</v>
      </c>
      <c r="K3471" s="1933">
        <v>12.13</v>
      </c>
      <c r="L3471" s="1930" t="s">
        <v>138</v>
      </c>
    </row>
    <row r="3472" spans="1:12" ht="13.5" x14ac:dyDescent="0.25">
      <c r="A3472" s="1930" t="s">
        <v>4646</v>
      </c>
      <c r="B3472" s="1930" t="s">
        <v>4647</v>
      </c>
      <c r="C3472" s="1930" t="s">
        <v>4594</v>
      </c>
      <c r="D3472" s="1930" t="s">
        <v>4650</v>
      </c>
      <c r="E3472" s="1931" t="s">
        <v>33</v>
      </c>
      <c r="F3472" s="1930" t="s">
        <v>33</v>
      </c>
      <c r="G3472" s="1932">
        <v>89648</v>
      </c>
      <c r="H3472" s="1930" t="s">
        <v>2618</v>
      </c>
      <c r="I3472" s="1930" t="s">
        <v>168</v>
      </c>
      <c r="J3472" s="1930" t="s">
        <v>320</v>
      </c>
      <c r="K3472" s="1933">
        <v>13.12</v>
      </c>
      <c r="L3472" s="1930" t="s">
        <v>138</v>
      </c>
    </row>
    <row r="3473" spans="1:12" ht="13.5" x14ac:dyDescent="0.25">
      <c r="A3473" s="1930" t="s">
        <v>4646</v>
      </c>
      <c r="B3473" s="1930" t="s">
        <v>4647</v>
      </c>
      <c r="C3473" s="1930" t="s">
        <v>4594</v>
      </c>
      <c r="D3473" s="1930" t="s">
        <v>4650</v>
      </c>
      <c r="E3473" s="1931" t="s">
        <v>33</v>
      </c>
      <c r="F3473" s="1930" t="s">
        <v>33</v>
      </c>
      <c r="G3473" s="1932">
        <v>89649</v>
      </c>
      <c r="H3473" s="1930" t="s">
        <v>2619</v>
      </c>
      <c r="I3473" s="1930" t="s">
        <v>168</v>
      </c>
      <c r="J3473" s="1930" t="s">
        <v>320</v>
      </c>
      <c r="K3473" s="1933">
        <v>17.420000000000002</v>
      </c>
      <c r="L3473" s="1930" t="s">
        <v>138</v>
      </c>
    </row>
    <row r="3474" spans="1:12" ht="13.5" x14ac:dyDescent="0.25">
      <c r="A3474" s="1930" t="s">
        <v>4646</v>
      </c>
      <c r="B3474" s="1930" t="s">
        <v>4647</v>
      </c>
      <c r="C3474" s="1930" t="s">
        <v>4594</v>
      </c>
      <c r="D3474" s="1930" t="s">
        <v>4650</v>
      </c>
      <c r="E3474" s="1931" t="s">
        <v>33</v>
      </c>
      <c r="F3474" s="1930" t="s">
        <v>33</v>
      </c>
      <c r="G3474" s="1932">
        <v>89650</v>
      </c>
      <c r="H3474" s="1930" t="s">
        <v>2620</v>
      </c>
      <c r="I3474" s="1930" t="s">
        <v>168</v>
      </c>
      <c r="J3474" s="1930" t="s">
        <v>320</v>
      </c>
      <c r="K3474" s="1933">
        <v>17.420000000000002</v>
      </c>
      <c r="L3474" s="1930" t="s">
        <v>138</v>
      </c>
    </row>
    <row r="3475" spans="1:12" ht="13.5" x14ac:dyDescent="0.25">
      <c r="A3475" s="1930" t="s">
        <v>4646</v>
      </c>
      <c r="B3475" s="1930" t="s">
        <v>4647</v>
      </c>
      <c r="C3475" s="1930" t="s">
        <v>4594</v>
      </c>
      <c r="D3475" s="1930" t="s">
        <v>4650</v>
      </c>
      <c r="E3475" s="1931" t="s">
        <v>33</v>
      </c>
      <c r="F3475" s="1930" t="s">
        <v>33</v>
      </c>
      <c r="G3475" s="1932">
        <v>89651</v>
      </c>
      <c r="H3475" s="1930" t="s">
        <v>2621</v>
      </c>
      <c r="I3475" s="1930" t="s">
        <v>168</v>
      </c>
      <c r="J3475" s="1930" t="s">
        <v>320</v>
      </c>
      <c r="K3475" s="1933">
        <v>4.29</v>
      </c>
      <c r="L3475" s="1930" t="s">
        <v>138</v>
      </c>
    </row>
    <row r="3476" spans="1:12" ht="13.5" x14ac:dyDescent="0.25">
      <c r="A3476" s="1930" t="s">
        <v>4646</v>
      </c>
      <c r="B3476" s="1930" t="s">
        <v>4647</v>
      </c>
      <c r="C3476" s="1930" t="s">
        <v>4594</v>
      </c>
      <c r="D3476" s="1930" t="s">
        <v>4650</v>
      </c>
      <c r="E3476" s="1931" t="s">
        <v>33</v>
      </c>
      <c r="F3476" s="1930" t="s">
        <v>33</v>
      </c>
      <c r="G3476" s="1932">
        <v>89652</v>
      </c>
      <c r="H3476" s="1930" t="s">
        <v>2622</v>
      </c>
      <c r="I3476" s="1930" t="s">
        <v>168</v>
      </c>
      <c r="J3476" s="1930" t="s">
        <v>320</v>
      </c>
      <c r="K3476" s="1933">
        <v>6.39</v>
      </c>
      <c r="L3476" s="1930" t="s">
        <v>138</v>
      </c>
    </row>
    <row r="3477" spans="1:12" ht="13.5" x14ac:dyDescent="0.25">
      <c r="A3477" s="1930" t="s">
        <v>4646</v>
      </c>
      <c r="B3477" s="1930" t="s">
        <v>4647</v>
      </c>
      <c r="C3477" s="1930" t="s">
        <v>4594</v>
      </c>
      <c r="D3477" s="1930" t="s">
        <v>4650</v>
      </c>
      <c r="E3477" s="1931" t="s">
        <v>33</v>
      </c>
      <c r="F3477" s="1930" t="s">
        <v>33</v>
      </c>
      <c r="G3477" s="1932">
        <v>89653</v>
      </c>
      <c r="H3477" s="1930" t="s">
        <v>2623</v>
      </c>
      <c r="I3477" s="1930" t="s">
        <v>168</v>
      </c>
      <c r="J3477" s="1930" t="s">
        <v>320</v>
      </c>
      <c r="K3477" s="1933">
        <v>9.6300000000000008</v>
      </c>
      <c r="L3477" s="1930" t="s">
        <v>138</v>
      </c>
    </row>
    <row r="3478" spans="1:12" ht="13.5" x14ac:dyDescent="0.25">
      <c r="A3478" s="1930" t="s">
        <v>4646</v>
      </c>
      <c r="B3478" s="1930" t="s">
        <v>4647</v>
      </c>
      <c r="C3478" s="1930" t="s">
        <v>4594</v>
      </c>
      <c r="D3478" s="1930" t="s">
        <v>4650</v>
      </c>
      <c r="E3478" s="1931" t="s">
        <v>33</v>
      </c>
      <c r="F3478" s="1930" t="s">
        <v>33</v>
      </c>
      <c r="G3478" s="1932">
        <v>89654</v>
      </c>
      <c r="H3478" s="1930" t="s">
        <v>2624</v>
      </c>
      <c r="I3478" s="1930" t="s">
        <v>168</v>
      </c>
      <c r="J3478" s="1930" t="s">
        <v>320</v>
      </c>
      <c r="K3478" s="1933">
        <v>9.42</v>
      </c>
      <c r="L3478" s="1930" t="s">
        <v>138</v>
      </c>
    </row>
    <row r="3479" spans="1:12" ht="13.5" x14ac:dyDescent="0.25">
      <c r="A3479" s="1930" t="s">
        <v>4646</v>
      </c>
      <c r="B3479" s="1930" t="s">
        <v>4647</v>
      </c>
      <c r="C3479" s="1930" t="s">
        <v>4594</v>
      </c>
      <c r="D3479" s="1930" t="s">
        <v>4650</v>
      </c>
      <c r="E3479" s="1931" t="s">
        <v>33</v>
      </c>
      <c r="F3479" s="1930" t="s">
        <v>33</v>
      </c>
      <c r="G3479" s="1932">
        <v>89655</v>
      </c>
      <c r="H3479" s="1930" t="s">
        <v>2625</v>
      </c>
      <c r="I3479" s="1930" t="s">
        <v>168</v>
      </c>
      <c r="J3479" s="1930" t="s">
        <v>320</v>
      </c>
      <c r="K3479" s="1933">
        <v>13.38</v>
      </c>
      <c r="L3479" s="1930" t="s">
        <v>138</v>
      </c>
    </row>
    <row r="3480" spans="1:12" ht="13.5" x14ac:dyDescent="0.25">
      <c r="A3480" s="1930" t="s">
        <v>4646</v>
      </c>
      <c r="B3480" s="1930" t="s">
        <v>4647</v>
      </c>
      <c r="C3480" s="1930" t="s">
        <v>4594</v>
      </c>
      <c r="D3480" s="1930" t="s">
        <v>4650</v>
      </c>
      <c r="E3480" s="1931" t="s">
        <v>33</v>
      </c>
      <c r="F3480" s="1930" t="s">
        <v>33</v>
      </c>
      <c r="G3480" s="1932">
        <v>89656</v>
      </c>
      <c r="H3480" s="1930" t="s">
        <v>2626</v>
      </c>
      <c r="I3480" s="1930" t="s">
        <v>168</v>
      </c>
      <c r="J3480" s="1930" t="s">
        <v>320</v>
      </c>
      <c r="K3480" s="1933">
        <v>6.72</v>
      </c>
      <c r="L3480" s="1930" t="s">
        <v>138</v>
      </c>
    </row>
    <row r="3481" spans="1:12" ht="13.5" x14ac:dyDescent="0.25">
      <c r="A3481" s="1930" t="s">
        <v>4646</v>
      </c>
      <c r="B3481" s="1930" t="s">
        <v>4647</v>
      </c>
      <c r="C3481" s="1930" t="s">
        <v>4594</v>
      </c>
      <c r="D3481" s="1930" t="s">
        <v>4650</v>
      </c>
      <c r="E3481" s="1931" t="s">
        <v>33</v>
      </c>
      <c r="F3481" s="1930" t="s">
        <v>33</v>
      </c>
      <c r="G3481" s="1932">
        <v>89657</v>
      </c>
      <c r="H3481" s="1930" t="s">
        <v>2627</v>
      </c>
      <c r="I3481" s="1930" t="s">
        <v>168</v>
      </c>
      <c r="J3481" s="1930" t="s">
        <v>320</v>
      </c>
      <c r="K3481" s="1933">
        <v>6.83</v>
      </c>
      <c r="L3481" s="1930" t="s">
        <v>138</v>
      </c>
    </row>
    <row r="3482" spans="1:12" ht="13.5" x14ac:dyDescent="0.25">
      <c r="A3482" s="1930" t="s">
        <v>4646</v>
      </c>
      <c r="B3482" s="1930" t="s">
        <v>4647</v>
      </c>
      <c r="C3482" s="1930" t="s">
        <v>4594</v>
      </c>
      <c r="D3482" s="1930" t="s">
        <v>4650</v>
      </c>
      <c r="E3482" s="1931" t="s">
        <v>33</v>
      </c>
      <c r="F3482" s="1930" t="s">
        <v>33</v>
      </c>
      <c r="G3482" s="1932">
        <v>89658</v>
      </c>
      <c r="H3482" s="1930" t="s">
        <v>2628</v>
      </c>
      <c r="I3482" s="1930" t="s">
        <v>168</v>
      </c>
      <c r="J3482" s="1930" t="s">
        <v>320</v>
      </c>
      <c r="K3482" s="1933">
        <v>5.81</v>
      </c>
      <c r="L3482" s="1930" t="s">
        <v>138</v>
      </c>
    </row>
    <row r="3483" spans="1:12" ht="13.5" x14ac:dyDescent="0.25">
      <c r="A3483" s="1930" t="s">
        <v>4646</v>
      </c>
      <c r="B3483" s="1930" t="s">
        <v>4647</v>
      </c>
      <c r="C3483" s="1930" t="s">
        <v>4594</v>
      </c>
      <c r="D3483" s="1930" t="s">
        <v>4650</v>
      </c>
      <c r="E3483" s="1931" t="s">
        <v>33</v>
      </c>
      <c r="F3483" s="1930" t="s">
        <v>33</v>
      </c>
      <c r="G3483" s="1932">
        <v>89659</v>
      </c>
      <c r="H3483" s="1930" t="s">
        <v>2629</v>
      </c>
      <c r="I3483" s="1930" t="s">
        <v>168</v>
      </c>
      <c r="J3483" s="1930" t="s">
        <v>320</v>
      </c>
      <c r="K3483" s="1933">
        <v>9.0399999999999991</v>
      </c>
      <c r="L3483" s="1930" t="s">
        <v>138</v>
      </c>
    </row>
    <row r="3484" spans="1:12" ht="13.5" x14ac:dyDescent="0.25">
      <c r="A3484" s="1930" t="s">
        <v>4646</v>
      </c>
      <c r="B3484" s="1930" t="s">
        <v>4647</v>
      </c>
      <c r="C3484" s="1930" t="s">
        <v>4594</v>
      </c>
      <c r="D3484" s="1930" t="s">
        <v>4650</v>
      </c>
      <c r="E3484" s="1931" t="s">
        <v>33</v>
      </c>
      <c r="F3484" s="1930" t="s">
        <v>33</v>
      </c>
      <c r="G3484" s="1932">
        <v>89660</v>
      </c>
      <c r="H3484" s="1930" t="s">
        <v>2630</v>
      </c>
      <c r="I3484" s="1930" t="s">
        <v>168</v>
      </c>
      <c r="J3484" s="1930" t="s">
        <v>320</v>
      </c>
      <c r="K3484" s="1933">
        <v>5.53</v>
      </c>
      <c r="L3484" s="1930" t="s">
        <v>138</v>
      </c>
    </row>
    <row r="3485" spans="1:12" ht="13.5" x14ac:dyDescent="0.25">
      <c r="A3485" s="1930" t="s">
        <v>4646</v>
      </c>
      <c r="B3485" s="1930" t="s">
        <v>4647</v>
      </c>
      <c r="C3485" s="1930" t="s">
        <v>4594</v>
      </c>
      <c r="D3485" s="1930" t="s">
        <v>4650</v>
      </c>
      <c r="E3485" s="1931" t="s">
        <v>33</v>
      </c>
      <c r="F3485" s="1930" t="s">
        <v>33</v>
      </c>
      <c r="G3485" s="1932">
        <v>89661</v>
      </c>
      <c r="H3485" s="1930" t="s">
        <v>2631</v>
      </c>
      <c r="I3485" s="1930" t="s">
        <v>168</v>
      </c>
      <c r="J3485" s="1930" t="s">
        <v>320</v>
      </c>
      <c r="K3485" s="1933">
        <v>11.49</v>
      </c>
      <c r="L3485" s="1930" t="s">
        <v>138</v>
      </c>
    </row>
    <row r="3486" spans="1:12" ht="13.5" x14ac:dyDescent="0.25">
      <c r="A3486" s="1930" t="s">
        <v>4646</v>
      </c>
      <c r="B3486" s="1930" t="s">
        <v>4647</v>
      </c>
      <c r="C3486" s="1930" t="s">
        <v>4594</v>
      </c>
      <c r="D3486" s="1930" t="s">
        <v>4650</v>
      </c>
      <c r="E3486" s="1931" t="s">
        <v>33</v>
      </c>
      <c r="F3486" s="1930" t="s">
        <v>33</v>
      </c>
      <c r="G3486" s="1932">
        <v>89662</v>
      </c>
      <c r="H3486" s="1930" t="s">
        <v>2632</v>
      </c>
      <c r="I3486" s="1930" t="s">
        <v>168</v>
      </c>
      <c r="J3486" s="1930" t="s">
        <v>320</v>
      </c>
      <c r="K3486" s="1933">
        <v>16.75</v>
      </c>
      <c r="L3486" s="1930" t="s">
        <v>138</v>
      </c>
    </row>
    <row r="3487" spans="1:12" ht="13.5" x14ac:dyDescent="0.25">
      <c r="A3487" s="1930" t="s">
        <v>4646</v>
      </c>
      <c r="B3487" s="1930" t="s">
        <v>4647</v>
      </c>
      <c r="C3487" s="1930" t="s">
        <v>4594</v>
      </c>
      <c r="D3487" s="1930" t="s">
        <v>4650</v>
      </c>
      <c r="E3487" s="1931" t="s">
        <v>33</v>
      </c>
      <c r="F3487" s="1930" t="s">
        <v>33</v>
      </c>
      <c r="G3487" s="1932">
        <v>89663</v>
      </c>
      <c r="H3487" s="1930" t="s">
        <v>2633</v>
      </c>
      <c r="I3487" s="1930" t="s">
        <v>168</v>
      </c>
      <c r="J3487" s="1930" t="s">
        <v>320</v>
      </c>
      <c r="K3487" s="1933">
        <v>7.94</v>
      </c>
      <c r="L3487" s="1930" t="s">
        <v>138</v>
      </c>
    </row>
    <row r="3488" spans="1:12" ht="13.5" x14ac:dyDescent="0.25">
      <c r="A3488" s="1930" t="s">
        <v>4646</v>
      </c>
      <c r="B3488" s="1930" t="s">
        <v>4647</v>
      </c>
      <c r="C3488" s="1930" t="s">
        <v>4594</v>
      </c>
      <c r="D3488" s="1930" t="s">
        <v>4650</v>
      </c>
      <c r="E3488" s="1931" t="s">
        <v>33</v>
      </c>
      <c r="F3488" s="1930" t="s">
        <v>33</v>
      </c>
      <c r="G3488" s="1932">
        <v>89664</v>
      </c>
      <c r="H3488" s="1930" t="s">
        <v>2634</v>
      </c>
      <c r="I3488" s="1930" t="s">
        <v>168</v>
      </c>
      <c r="J3488" s="1930" t="s">
        <v>320</v>
      </c>
      <c r="K3488" s="1933">
        <v>9.0399999999999991</v>
      </c>
      <c r="L3488" s="1930" t="s">
        <v>138</v>
      </c>
    </row>
    <row r="3489" spans="1:12" ht="13.5" x14ac:dyDescent="0.25">
      <c r="A3489" s="1930" t="s">
        <v>4646</v>
      </c>
      <c r="B3489" s="1930" t="s">
        <v>4647</v>
      </c>
      <c r="C3489" s="1930" t="s">
        <v>4594</v>
      </c>
      <c r="D3489" s="1930" t="s">
        <v>4650</v>
      </c>
      <c r="E3489" s="1931" t="s">
        <v>33</v>
      </c>
      <c r="F3489" s="1930" t="s">
        <v>33</v>
      </c>
      <c r="G3489" s="1932">
        <v>89665</v>
      </c>
      <c r="H3489" s="1930" t="s">
        <v>2635</v>
      </c>
      <c r="I3489" s="1930" t="s">
        <v>168</v>
      </c>
      <c r="J3489" s="1930" t="s">
        <v>320</v>
      </c>
      <c r="K3489" s="1933">
        <v>8.98</v>
      </c>
      <c r="L3489" s="1930" t="s">
        <v>138</v>
      </c>
    </row>
    <row r="3490" spans="1:12" ht="13.5" x14ac:dyDescent="0.25">
      <c r="A3490" s="1930" t="s">
        <v>4646</v>
      </c>
      <c r="B3490" s="1930" t="s">
        <v>4647</v>
      </c>
      <c r="C3490" s="1930" t="s">
        <v>4594</v>
      </c>
      <c r="D3490" s="1930" t="s">
        <v>4650</v>
      </c>
      <c r="E3490" s="1931" t="s">
        <v>33</v>
      </c>
      <c r="F3490" s="1930" t="s">
        <v>33</v>
      </c>
      <c r="G3490" s="1932">
        <v>89666</v>
      </c>
      <c r="H3490" s="1930" t="s">
        <v>2636</v>
      </c>
      <c r="I3490" s="1930" t="s">
        <v>168</v>
      </c>
      <c r="J3490" s="1930" t="s">
        <v>320</v>
      </c>
      <c r="K3490" s="1933">
        <v>5.05</v>
      </c>
      <c r="L3490" s="1930" t="s">
        <v>138</v>
      </c>
    </row>
    <row r="3491" spans="1:12" ht="13.5" x14ac:dyDescent="0.25">
      <c r="A3491" s="1930" t="s">
        <v>4646</v>
      </c>
      <c r="B3491" s="1930" t="s">
        <v>4647</v>
      </c>
      <c r="C3491" s="1930" t="s">
        <v>4594</v>
      </c>
      <c r="D3491" s="1930" t="s">
        <v>4650</v>
      </c>
      <c r="E3491" s="1931" t="s">
        <v>33</v>
      </c>
      <c r="F3491" s="1930" t="s">
        <v>33</v>
      </c>
      <c r="G3491" s="1932">
        <v>89667</v>
      </c>
      <c r="H3491" s="1930" t="s">
        <v>2637</v>
      </c>
      <c r="I3491" s="1930" t="s">
        <v>168</v>
      </c>
      <c r="J3491" s="1930" t="s">
        <v>320</v>
      </c>
      <c r="K3491" s="1933">
        <v>23.68</v>
      </c>
      <c r="L3491" s="1930" t="s">
        <v>138</v>
      </c>
    </row>
    <row r="3492" spans="1:12" ht="13.5" x14ac:dyDescent="0.25">
      <c r="A3492" s="1930" t="s">
        <v>4646</v>
      </c>
      <c r="B3492" s="1930" t="s">
        <v>4647</v>
      </c>
      <c r="C3492" s="1930" t="s">
        <v>4594</v>
      </c>
      <c r="D3492" s="1930" t="s">
        <v>4650</v>
      </c>
      <c r="E3492" s="1931" t="s">
        <v>33</v>
      </c>
      <c r="F3492" s="1930" t="s">
        <v>33</v>
      </c>
      <c r="G3492" s="1932">
        <v>89668</v>
      </c>
      <c r="H3492" s="1930" t="s">
        <v>2638</v>
      </c>
      <c r="I3492" s="1930" t="s">
        <v>168</v>
      </c>
      <c r="J3492" s="1930" t="s">
        <v>320</v>
      </c>
      <c r="K3492" s="1933">
        <v>15.97</v>
      </c>
      <c r="L3492" s="1930" t="s">
        <v>138</v>
      </c>
    </row>
    <row r="3493" spans="1:12" ht="13.5" x14ac:dyDescent="0.25">
      <c r="A3493" s="1930" t="s">
        <v>4646</v>
      </c>
      <c r="B3493" s="1930" t="s">
        <v>4647</v>
      </c>
      <c r="C3493" s="1930" t="s">
        <v>4594</v>
      </c>
      <c r="D3493" s="1930" t="s">
        <v>4650</v>
      </c>
      <c r="E3493" s="1931" t="s">
        <v>33</v>
      </c>
      <c r="F3493" s="1930" t="s">
        <v>33</v>
      </c>
      <c r="G3493" s="1932">
        <v>89669</v>
      </c>
      <c r="H3493" s="1930" t="s">
        <v>2639</v>
      </c>
      <c r="I3493" s="1930" t="s">
        <v>168</v>
      </c>
      <c r="J3493" s="1930" t="s">
        <v>320</v>
      </c>
      <c r="K3493" s="1933">
        <v>15.11</v>
      </c>
      <c r="L3493" s="1930" t="s">
        <v>138</v>
      </c>
    </row>
    <row r="3494" spans="1:12" ht="13.5" x14ac:dyDescent="0.25">
      <c r="A3494" s="1930" t="s">
        <v>4646</v>
      </c>
      <c r="B3494" s="1930" t="s">
        <v>4647</v>
      </c>
      <c r="C3494" s="1930" t="s">
        <v>4594</v>
      </c>
      <c r="D3494" s="1930" t="s">
        <v>4650</v>
      </c>
      <c r="E3494" s="1931" t="s">
        <v>33</v>
      </c>
      <c r="F3494" s="1930" t="s">
        <v>33</v>
      </c>
      <c r="G3494" s="1932">
        <v>89670</v>
      </c>
      <c r="H3494" s="1930" t="s">
        <v>2640</v>
      </c>
      <c r="I3494" s="1930" t="s">
        <v>168</v>
      </c>
      <c r="J3494" s="1930" t="s">
        <v>320</v>
      </c>
      <c r="K3494" s="1933">
        <v>8.15</v>
      </c>
      <c r="L3494" s="1930" t="s">
        <v>138</v>
      </c>
    </row>
    <row r="3495" spans="1:12" ht="13.5" x14ac:dyDescent="0.25">
      <c r="A3495" s="1930" t="s">
        <v>4646</v>
      </c>
      <c r="B3495" s="1930" t="s">
        <v>4647</v>
      </c>
      <c r="C3495" s="1930" t="s">
        <v>4594</v>
      </c>
      <c r="D3495" s="1930" t="s">
        <v>4650</v>
      </c>
      <c r="E3495" s="1931" t="s">
        <v>33</v>
      </c>
      <c r="F3495" s="1930" t="s">
        <v>33</v>
      </c>
      <c r="G3495" s="1932">
        <v>89671</v>
      </c>
      <c r="H3495" s="1930" t="s">
        <v>2641</v>
      </c>
      <c r="I3495" s="1930" t="s">
        <v>168</v>
      </c>
      <c r="J3495" s="1930" t="s">
        <v>320</v>
      </c>
      <c r="K3495" s="1933">
        <v>22.48</v>
      </c>
      <c r="L3495" s="1930" t="s">
        <v>138</v>
      </c>
    </row>
    <row r="3496" spans="1:12" ht="13.5" x14ac:dyDescent="0.25">
      <c r="A3496" s="1930" t="s">
        <v>4646</v>
      </c>
      <c r="B3496" s="1930" t="s">
        <v>4647</v>
      </c>
      <c r="C3496" s="1930" t="s">
        <v>4594</v>
      </c>
      <c r="D3496" s="1930" t="s">
        <v>4650</v>
      </c>
      <c r="E3496" s="1931" t="s">
        <v>33</v>
      </c>
      <c r="F3496" s="1930" t="s">
        <v>33</v>
      </c>
      <c r="G3496" s="1932">
        <v>89672</v>
      </c>
      <c r="H3496" s="1930" t="s">
        <v>2642</v>
      </c>
      <c r="I3496" s="1930" t="s">
        <v>168</v>
      </c>
      <c r="J3496" s="1930" t="s">
        <v>320</v>
      </c>
      <c r="K3496" s="1933">
        <v>11.84</v>
      </c>
      <c r="L3496" s="1930" t="s">
        <v>138</v>
      </c>
    </row>
    <row r="3497" spans="1:12" ht="13.5" x14ac:dyDescent="0.25">
      <c r="A3497" s="1930" t="s">
        <v>4646</v>
      </c>
      <c r="B3497" s="1930" t="s">
        <v>4647</v>
      </c>
      <c r="C3497" s="1930" t="s">
        <v>4594</v>
      </c>
      <c r="D3497" s="1930" t="s">
        <v>4650</v>
      </c>
      <c r="E3497" s="1931" t="s">
        <v>33</v>
      </c>
      <c r="F3497" s="1930" t="s">
        <v>33</v>
      </c>
      <c r="G3497" s="1932">
        <v>89673</v>
      </c>
      <c r="H3497" s="1930" t="s">
        <v>2643</v>
      </c>
      <c r="I3497" s="1930" t="s">
        <v>168</v>
      </c>
      <c r="J3497" s="1930" t="s">
        <v>320</v>
      </c>
      <c r="K3497" s="1933">
        <v>17.64</v>
      </c>
      <c r="L3497" s="1930" t="s">
        <v>138</v>
      </c>
    </row>
    <row r="3498" spans="1:12" ht="13.5" x14ac:dyDescent="0.25">
      <c r="A3498" s="1930" t="s">
        <v>4646</v>
      </c>
      <c r="B3498" s="1930" t="s">
        <v>4647</v>
      </c>
      <c r="C3498" s="1930" t="s">
        <v>4594</v>
      </c>
      <c r="D3498" s="1930" t="s">
        <v>4650</v>
      </c>
      <c r="E3498" s="1931" t="s">
        <v>33</v>
      </c>
      <c r="F3498" s="1930" t="s">
        <v>33</v>
      </c>
      <c r="G3498" s="1932">
        <v>89674</v>
      </c>
      <c r="H3498" s="1930" t="s">
        <v>2644</v>
      </c>
      <c r="I3498" s="1930" t="s">
        <v>168</v>
      </c>
      <c r="J3498" s="1930" t="s">
        <v>320</v>
      </c>
      <c r="K3498" s="1933">
        <v>16.55</v>
      </c>
      <c r="L3498" s="1930" t="s">
        <v>138</v>
      </c>
    </row>
    <row r="3499" spans="1:12" ht="13.5" x14ac:dyDescent="0.25">
      <c r="A3499" s="1930" t="s">
        <v>4646</v>
      </c>
      <c r="B3499" s="1930" t="s">
        <v>4647</v>
      </c>
      <c r="C3499" s="1930" t="s">
        <v>4594</v>
      </c>
      <c r="D3499" s="1930" t="s">
        <v>4650</v>
      </c>
      <c r="E3499" s="1931" t="s">
        <v>33</v>
      </c>
      <c r="F3499" s="1930" t="s">
        <v>33</v>
      </c>
      <c r="G3499" s="1932">
        <v>89675</v>
      </c>
      <c r="H3499" s="1930" t="s">
        <v>2645</v>
      </c>
      <c r="I3499" s="1930" t="s">
        <v>168</v>
      </c>
      <c r="J3499" s="1930" t="s">
        <v>320</v>
      </c>
      <c r="K3499" s="1933">
        <v>40.03</v>
      </c>
      <c r="L3499" s="1930" t="s">
        <v>138</v>
      </c>
    </row>
    <row r="3500" spans="1:12" ht="13.5" x14ac:dyDescent="0.25">
      <c r="A3500" s="1930" t="s">
        <v>4646</v>
      </c>
      <c r="B3500" s="1930" t="s">
        <v>4647</v>
      </c>
      <c r="C3500" s="1930" t="s">
        <v>4594</v>
      </c>
      <c r="D3500" s="1930" t="s">
        <v>4650</v>
      </c>
      <c r="E3500" s="1931" t="s">
        <v>33</v>
      </c>
      <c r="F3500" s="1930" t="s">
        <v>33</v>
      </c>
      <c r="G3500" s="1932">
        <v>89676</v>
      </c>
      <c r="H3500" s="1930" t="s">
        <v>2646</v>
      </c>
      <c r="I3500" s="1930" t="s">
        <v>168</v>
      </c>
      <c r="J3500" s="1930" t="s">
        <v>320</v>
      </c>
      <c r="K3500" s="1933">
        <v>24.23</v>
      </c>
      <c r="L3500" s="1930" t="s">
        <v>138</v>
      </c>
    </row>
    <row r="3501" spans="1:12" ht="13.5" x14ac:dyDescent="0.25">
      <c r="A3501" s="1930" t="s">
        <v>4646</v>
      </c>
      <c r="B3501" s="1930" t="s">
        <v>4647</v>
      </c>
      <c r="C3501" s="1930" t="s">
        <v>4594</v>
      </c>
      <c r="D3501" s="1930" t="s">
        <v>4650</v>
      </c>
      <c r="E3501" s="1931" t="s">
        <v>33</v>
      </c>
      <c r="F3501" s="1930" t="s">
        <v>33</v>
      </c>
      <c r="G3501" s="1932">
        <v>89677</v>
      </c>
      <c r="H3501" s="1930" t="s">
        <v>2647</v>
      </c>
      <c r="I3501" s="1930" t="s">
        <v>168</v>
      </c>
      <c r="J3501" s="1930" t="s">
        <v>320</v>
      </c>
      <c r="K3501" s="1933">
        <v>42.8</v>
      </c>
      <c r="L3501" s="1930" t="s">
        <v>138</v>
      </c>
    </row>
    <row r="3502" spans="1:12" ht="13.5" x14ac:dyDescent="0.25">
      <c r="A3502" s="1930" t="s">
        <v>4646</v>
      </c>
      <c r="B3502" s="1930" t="s">
        <v>4647</v>
      </c>
      <c r="C3502" s="1930" t="s">
        <v>4594</v>
      </c>
      <c r="D3502" s="1930" t="s">
        <v>4650</v>
      </c>
      <c r="E3502" s="1931" t="s">
        <v>33</v>
      </c>
      <c r="F3502" s="1930" t="s">
        <v>33</v>
      </c>
      <c r="G3502" s="1932">
        <v>89678</v>
      </c>
      <c r="H3502" s="1930" t="s">
        <v>2648</v>
      </c>
      <c r="I3502" s="1930" t="s">
        <v>168</v>
      </c>
      <c r="J3502" s="1930" t="s">
        <v>320</v>
      </c>
      <c r="K3502" s="1933">
        <v>6.51</v>
      </c>
      <c r="L3502" s="1930" t="s">
        <v>138</v>
      </c>
    </row>
    <row r="3503" spans="1:12" ht="13.5" x14ac:dyDescent="0.25">
      <c r="A3503" s="1930" t="s">
        <v>4646</v>
      </c>
      <c r="B3503" s="1930" t="s">
        <v>4647</v>
      </c>
      <c r="C3503" s="1930" t="s">
        <v>4594</v>
      </c>
      <c r="D3503" s="1930" t="s">
        <v>4650</v>
      </c>
      <c r="E3503" s="1931" t="s">
        <v>33</v>
      </c>
      <c r="F3503" s="1930" t="s">
        <v>33</v>
      </c>
      <c r="G3503" s="1932">
        <v>89679</v>
      </c>
      <c r="H3503" s="1930" t="s">
        <v>2649</v>
      </c>
      <c r="I3503" s="1930" t="s">
        <v>168</v>
      </c>
      <c r="J3503" s="1930" t="s">
        <v>320</v>
      </c>
      <c r="K3503" s="1933">
        <v>69.09</v>
      </c>
      <c r="L3503" s="1930" t="s">
        <v>138</v>
      </c>
    </row>
    <row r="3504" spans="1:12" ht="13.5" x14ac:dyDescent="0.25">
      <c r="A3504" s="1930" t="s">
        <v>4646</v>
      </c>
      <c r="B3504" s="1930" t="s">
        <v>4647</v>
      </c>
      <c r="C3504" s="1930" t="s">
        <v>4594</v>
      </c>
      <c r="D3504" s="1930" t="s">
        <v>4650</v>
      </c>
      <c r="E3504" s="1931" t="s">
        <v>33</v>
      </c>
      <c r="F3504" s="1930" t="s">
        <v>33</v>
      </c>
      <c r="G3504" s="1932">
        <v>89680</v>
      </c>
      <c r="H3504" s="1930" t="s">
        <v>2650</v>
      </c>
      <c r="I3504" s="1930" t="s">
        <v>168</v>
      </c>
      <c r="J3504" s="1930" t="s">
        <v>320</v>
      </c>
      <c r="K3504" s="1933">
        <v>12.03</v>
      </c>
      <c r="L3504" s="1930" t="s">
        <v>138</v>
      </c>
    </row>
    <row r="3505" spans="1:12" ht="13.5" x14ac:dyDescent="0.25">
      <c r="A3505" s="1930" t="s">
        <v>4646</v>
      </c>
      <c r="B3505" s="1930" t="s">
        <v>4647</v>
      </c>
      <c r="C3505" s="1930" t="s">
        <v>4594</v>
      </c>
      <c r="D3505" s="1930" t="s">
        <v>4650</v>
      </c>
      <c r="E3505" s="1931" t="s">
        <v>33</v>
      </c>
      <c r="F3505" s="1930" t="s">
        <v>33</v>
      </c>
      <c r="G3505" s="1932">
        <v>89681</v>
      </c>
      <c r="H3505" s="1930" t="s">
        <v>2651</v>
      </c>
      <c r="I3505" s="1930" t="s">
        <v>168</v>
      </c>
      <c r="J3505" s="1930" t="s">
        <v>320</v>
      </c>
      <c r="K3505" s="1933">
        <v>47.45</v>
      </c>
      <c r="L3505" s="1930" t="s">
        <v>138</v>
      </c>
    </row>
    <row r="3506" spans="1:12" ht="13.5" x14ac:dyDescent="0.25">
      <c r="A3506" s="1930" t="s">
        <v>4646</v>
      </c>
      <c r="B3506" s="1930" t="s">
        <v>4647</v>
      </c>
      <c r="C3506" s="1930" t="s">
        <v>4594</v>
      </c>
      <c r="D3506" s="1930" t="s">
        <v>4650</v>
      </c>
      <c r="E3506" s="1931" t="s">
        <v>33</v>
      </c>
      <c r="F3506" s="1930" t="s">
        <v>33</v>
      </c>
      <c r="G3506" s="1932">
        <v>89682</v>
      </c>
      <c r="H3506" s="1930" t="s">
        <v>2652</v>
      </c>
      <c r="I3506" s="1930" t="s">
        <v>168</v>
      </c>
      <c r="J3506" s="1930" t="s">
        <v>320</v>
      </c>
      <c r="K3506" s="1933">
        <v>17.54</v>
      </c>
      <c r="L3506" s="1930" t="s">
        <v>138</v>
      </c>
    </row>
    <row r="3507" spans="1:12" ht="13.5" x14ac:dyDescent="0.25">
      <c r="A3507" s="1930" t="s">
        <v>4646</v>
      </c>
      <c r="B3507" s="1930" t="s">
        <v>4647</v>
      </c>
      <c r="C3507" s="1930" t="s">
        <v>4594</v>
      </c>
      <c r="D3507" s="1930" t="s">
        <v>4650</v>
      </c>
      <c r="E3507" s="1931" t="s">
        <v>33</v>
      </c>
      <c r="F3507" s="1930" t="s">
        <v>33</v>
      </c>
      <c r="G3507" s="1932">
        <v>89684</v>
      </c>
      <c r="H3507" s="1930" t="s">
        <v>2653</v>
      </c>
      <c r="I3507" s="1930" t="s">
        <v>168</v>
      </c>
      <c r="J3507" s="1930" t="s">
        <v>320</v>
      </c>
      <c r="K3507" s="1933">
        <v>23.46</v>
      </c>
      <c r="L3507" s="1930" t="s">
        <v>138</v>
      </c>
    </row>
    <row r="3508" spans="1:12" ht="13.5" x14ac:dyDescent="0.25">
      <c r="A3508" s="1930" t="s">
        <v>4646</v>
      </c>
      <c r="B3508" s="1930" t="s">
        <v>4647</v>
      </c>
      <c r="C3508" s="1930" t="s">
        <v>4594</v>
      </c>
      <c r="D3508" s="1930" t="s">
        <v>4650</v>
      </c>
      <c r="E3508" s="1931" t="s">
        <v>33</v>
      </c>
      <c r="F3508" s="1930" t="s">
        <v>33</v>
      </c>
      <c r="G3508" s="1932">
        <v>89685</v>
      </c>
      <c r="H3508" s="1930" t="s">
        <v>2654</v>
      </c>
      <c r="I3508" s="1930" t="s">
        <v>168</v>
      </c>
      <c r="J3508" s="1930" t="s">
        <v>320</v>
      </c>
      <c r="K3508" s="1933">
        <v>32.590000000000003</v>
      </c>
      <c r="L3508" s="1930" t="s">
        <v>138</v>
      </c>
    </row>
    <row r="3509" spans="1:12" ht="13.5" x14ac:dyDescent="0.25">
      <c r="A3509" s="1930" t="s">
        <v>4646</v>
      </c>
      <c r="B3509" s="1930" t="s">
        <v>4647</v>
      </c>
      <c r="C3509" s="1930" t="s">
        <v>4594</v>
      </c>
      <c r="D3509" s="1930" t="s">
        <v>4650</v>
      </c>
      <c r="E3509" s="1931" t="s">
        <v>33</v>
      </c>
      <c r="F3509" s="1930" t="s">
        <v>33</v>
      </c>
      <c r="G3509" s="1932">
        <v>89686</v>
      </c>
      <c r="H3509" s="1930" t="s">
        <v>2655</v>
      </c>
      <c r="I3509" s="1930" t="s">
        <v>168</v>
      </c>
      <c r="J3509" s="1930" t="s">
        <v>320</v>
      </c>
      <c r="K3509" s="1933">
        <v>82.03</v>
      </c>
      <c r="L3509" s="1930" t="s">
        <v>138</v>
      </c>
    </row>
    <row r="3510" spans="1:12" ht="13.5" x14ac:dyDescent="0.25">
      <c r="A3510" s="1930" t="s">
        <v>4646</v>
      </c>
      <c r="B3510" s="1930" t="s">
        <v>4647</v>
      </c>
      <c r="C3510" s="1930" t="s">
        <v>4594</v>
      </c>
      <c r="D3510" s="1930" t="s">
        <v>4650</v>
      </c>
      <c r="E3510" s="1931" t="s">
        <v>33</v>
      </c>
      <c r="F3510" s="1930" t="s">
        <v>33</v>
      </c>
      <c r="G3510" s="1932">
        <v>89687</v>
      </c>
      <c r="H3510" s="1930" t="s">
        <v>2656</v>
      </c>
      <c r="I3510" s="1930" t="s">
        <v>168</v>
      </c>
      <c r="J3510" s="1930" t="s">
        <v>320</v>
      </c>
      <c r="K3510" s="1933">
        <v>27.92</v>
      </c>
      <c r="L3510" s="1930" t="s">
        <v>138</v>
      </c>
    </row>
    <row r="3511" spans="1:12" ht="13.5" x14ac:dyDescent="0.25">
      <c r="A3511" s="1930" t="s">
        <v>4646</v>
      </c>
      <c r="B3511" s="1930" t="s">
        <v>4647</v>
      </c>
      <c r="C3511" s="1930" t="s">
        <v>4594</v>
      </c>
      <c r="D3511" s="1930" t="s">
        <v>4650</v>
      </c>
      <c r="E3511" s="1931" t="s">
        <v>33</v>
      </c>
      <c r="F3511" s="1930" t="s">
        <v>33</v>
      </c>
      <c r="G3511" s="1932">
        <v>89689</v>
      </c>
      <c r="H3511" s="1930" t="s">
        <v>2657</v>
      </c>
      <c r="I3511" s="1930" t="s">
        <v>168</v>
      </c>
      <c r="J3511" s="1930" t="s">
        <v>320</v>
      </c>
      <c r="K3511" s="1933">
        <v>18.73</v>
      </c>
      <c r="L3511" s="1930" t="s">
        <v>138</v>
      </c>
    </row>
    <row r="3512" spans="1:12" ht="13.5" x14ac:dyDescent="0.25">
      <c r="A3512" s="1930" t="s">
        <v>4646</v>
      </c>
      <c r="B3512" s="1930" t="s">
        <v>4647</v>
      </c>
      <c r="C3512" s="1930" t="s">
        <v>4594</v>
      </c>
      <c r="D3512" s="1930" t="s">
        <v>4650</v>
      </c>
      <c r="E3512" s="1931" t="s">
        <v>33</v>
      </c>
      <c r="F3512" s="1930" t="s">
        <v>33</v>
      </c>
      <c r="G3512" s="1932">
        <v>89690</v>
      </c>
      <c r="H3512" s="1930" t="s">
        <v>2658</v>
      </c>
      <c r="I3512" s="1930" t="s">
        <v>168</v>
      </c>
      <c r="J3512" s="1930" t="s">
        <v>320</v>
      </c>
      <c r="K3512" s="1933">
        <v>49.24</v>
      </c>
      <c r="L3512" s="1930" t="s">
        <v>138</v>
      </c>
    </row>
    <row r="3513" spans="1:12" ht="13.5" x14ac:dyDescent="0.25">
      <c r="A3513" s="1930" t="s">
        <v>4646</v>
      </c>
      <c r="B3513" s="1930" t="s">
        <v>4647</v>
      </c>
      <c r="C3513" s="1930" t="s">
        <v>4594</v>
      </c>
      <c r="D3513" s="1930" t="s">
        <v>4650</v>
      </c>
      <c r="E3513" s="1931" t="s">
        <v>33</v>
      </c>
      <c r="F3513" s="1930" t="s">
        <v>33</v>
      </c>
      <c r="G3513" s="1932">
        <v>89691</v>
      </c>
      <c r="H3513" s="1930" t="s">
        <v>2659</v>
      </c>
      <c r="I3513" s="1930" t="s">
        <v>168</v>
      </c>
      <c r="J3513" s="1930" t="s">
        <v>320</v>
      </c>
      <c r="K3513" s="1933">
        <v>8.0500000000000007</v>
      </c>
      <c r="L3513" s="1930" t="s">
        <v>138</v>
      </c>
    </row>
    <row r="3514" spans="1:12" ht="13.5" x14ac:dyDescent="0.25">
      <c r="A3514" s="1930" t="s">
        <v>4646</v>
      </c>
      <c r="B3514" s="1930" t="s">
        <v>4647</v>
      </c>
      <c r="C3514" s="1930" t="s">
        <v>4594</v>
      </c>
      <c r="D3514" s="1930" t="s">
        <v>4650</v>
      </c>
      <c r="E3514" s="1931" t="s">
        <v>33</v>
      </c>
      <c r="F3514" s="1930" t="s">
        <v>33</v>
      </c>
      <c r="G3514" s="1932">
        <v>89692</v>
      </c>
      <c r="H3514" s="1930" t="s">
        <v>2660</v>
      </c>
      <c r="I3514" s="1930" t="s">
        <v>168</v>
      </c>
      <c r="J3514" s="1930" t="s">
        <v>320</v>
      </c>
      <c r="K3514" s="1933">
        <v>46.52</v>
      </c>
      <c r="L3514" s="1930" t="s">
        <v>138</v>
      </c>
    </row>
    <row r="3515" spans="1:12" ht="13.5" x14ac:dyDescent="0.25">
      <c r="A3515" s="1930" t="s">
        <v>4646</v>
      </c>
      <c r="B3515" s="1930" t="s">
        <v>4647</v>
      </c>
      <c r="C3515" s="1930" t="s">
        <v>4594</v>
      </c>
      <c r="D3515" s="1930" t="s">
        <v>4650</v>
      </c>
      <c r="E3515" s="1931" t="s">
        <v>33</v>
      </c>
      <c r="F3515" s="1930" t="s">
        <v>33</v>
      </c>
      <c r="G3515" s="1932">
        <v>89693</v>
      </c>
      <c r="H3515" s="1930" t="s">
        <v>2661</v>
      </c>
      <c r="I3515" s="1930" t="s">
        <v>168</v>
      </c>
      <c r="J3515" s="1930" t="s">
        <v>320</v>
      </c>
      <c r="K3515" s="1933">
        <v>45.15</v>
      </c>
      <c r="L3515" s="1930" t="s">
        <v>138</v>
      </c>
    </row>
    <row r="3516" spans="1:12" ht="13.5" x14ac:dyDescent="0.25">
      <c r="A3516" s="1930" t="s">
        <v>4646</v>
      </c>
      <c r="B3516" s="1930" t="s">
        <v>4647</v>
      </c>
      <c r="C3516" s="1930" t="s">
        <v>4594</v>
      </c>
      <c r="D3516" s="1930" t="s">
        <v>4650</v>
      </c>
      <c r="E3516" s="1931" t="s">
        <v>33</v>
      </c>
      <c r="F3516" s="1930" t="s">
        <v>33</v>
      </c>
      <c r="G3516" s="1932">
        <v>89694</v>
      </c>
      <c r="H3516" s="1930" t="s">
        <v>2662</v>
      </c>
      <c r="I3516" s="1930" t="s">
        <v>168</v>
      </c>
      <c r="J3516" s="1930" t="s">
        <v>320</v>
      </c>
      <c r="K3516" s="1933">
        <v>11.67</v>
      </c>
      <c r="L3516" s="1930" t="s">
        <v>138</v>
      </c>
    </row>
    <row r="3517" spans="1:12" ht="13.5" x14ac:dyDescent="0.25">
      <c r="A3517" s="1930" t="s">
        <v>4646</v>
      </c>
      <c r="B3517" s="1930" t="s">
        <v>4647</v>
      </c>
      <c r="C3517" s="1930" t="s">
        <v>4594</v>
      </c>
      <c r="D3517" s="1930" t="s">
        <v>4650</v>
      </c>
      <c r="E3517" s="1931" t="s">
        <v>33</v>
      </c>
      <c r="F3517" s="1930" t="s">
        <v>33</v>
      </c>
      <c r="G3517" s="1932">
        <v>89695</v>
      </c>
      <c r="H3517" s="1930" t="s">
        <v>2663</v>
      </c>
      <c r="I3517" s="1930" t="s">
        <v>168</v>
      </c>
      <c r="J3517" s="1930" t="s">
        <v>320</v>
      </c>
      <c r="K3517" s="1933">
        <v>10.99</v>
      </c>
      <c r="L3517" s="1930" t="s">
        <v>138</v>
      </c>
    </row>
    <row r="3518" spans="1:12" ht="13.5" x14ac:dyDescent="0.25">
      <c r="A3518" s="1930" t="s">
        <v>4646</v>
      </c>
      <c r="B3518" s="1930" t="s">
        <v>4647</v>
      </c>
      <c r="C3518" s="1930" t="s">
        <v>4594</v>
      </c>
      <c r="D3518" s="1930" t="s">
        <v>4650</v>
      </c>
      <c r="E3518" s="1931" t="s">
        <v>33</v>
      </c>
      <c r="F3518" s="1930" t="s">
        <v>33</v>
      </c>
      <c r="G3518" s="1932">
        <v>89696</v>
      </c>
      <c r="H3518" s="1930" t="s">
        <v>2664</v>
      </c>
      <c r="I3518" s="1930" t="s">
        <v>168</v>
      </c>
      <c r="J3518" s="1930" t="s">
        <v>320</v>
      </c>
      <c r="K3518" s="1933">
        <v>40.98</v>
      </c>
      <c r="L3518" s="1930" t="s">
        <v>138</v>
      </c>
    </row>
    <row r="3519" spans="1:12" ht="13.5" x14ac:dyDescent="0.25">
      <c r="A3519" s="1930" t="s">
        <v>4646</v>
      </c>
      <c r="B3519" s="1930" t="s">
        <v>4647</v>
      </c>
      <c r="C3519" s="1930" t="s">
        <v>4594</v>
      </c>
      <c r="D3519" s="1930" t="s">
        <v>4650</v>
      </c>
      <c r="E3519" s="1931" t="s">
        <v>33</v>
      </c>
      <c r="F3519" s="1930" t="s">
        <v>33</v>
      </c>
      <c r="G3519" s="1932">
        <v>89697</v>
      </c>
      <c r="H3519" s="1930" t="s">
        <v>2665</v>
      </c>
      <c r="I3519" s="1930" t="s">
        <v>168</v>
      </c>
      <c r="J3519" s="1930" t="s">
        <v>320</v>
      </c>
      <c r="K3519" s="1933">
        <v>9.3800000000000008</v>
      </c>
      <c r="L3519" s="1930" t="s">
        <v>138</v>
      </c>
    </row>
    <row r="3520" spans="1:12" ht="13.5" x14ac:dyDescent="0.25">
      <c r="A3520" s="1930" t="s">
        <v>4646</v>
      </c>
      <c r="B3520" s="1930" t="s">
        <v>4647</v>
      </c>
      <c r="C3520" s="1930" t="s">
        <v>4594</v>
      </c>
      <c r="D3520" s="1930" t="s">
        <v>4650</v>
      </c>
      <c r="E3520" s="1931" t="s">
        <v>33</v>
      </c>
      <c r="F3520" s="1930" t="s">
        <v>33</v>
      </c>
      <c r="G3520" s="1932">
        <v>89698</v>
      </c>
      <c r="H3520" s="1930" t="s">
        <v>2666</v>
      </c>
      <c r="I3520" s="1930" t="s">
        <v>168</v>
      </c>
      <c r="J3520" s="1930" t="s">
        <v>320</v>
      </c>
      <c r="K3520" s="1933">
        <v>144.13999999999999</v>
      </c>
      <c r="L3520" s="1930" t="s">
        <v>138</v>
      </c>
    </row>
    <row r="3521" spans="1:12" ht="13.5" x14ac:dyDescent="0.25">
      <c r="A3521" s="1930" t="s">
        <v>4646</v>
      </c>
      <c r="B3521" s="1930" t="s">
        <v>4647</v>
      </c>
      <c r="C3521" s="1930" t="s">
        <v>4594</v>
      </c>
      <c r="D3521" s="1930" t="s">
        <v>4650</v>
      </c>
      <c r="E3521" s="1931" t="s">
        <v>33</v>
      </c>
      <c r="F3521" s="1930" t="s">
        <v>33</v>
      </c>
      <c r="G3521" s="1932">
        <v>89699</v>
      </c>
      <c r="H3521" s="1930" t="s">
        <v>2667</v>
      </c>
      <c r="I3521" s="1930" t="s">
        <v>168</v>
      </c>
      <c r="J3521" s="1930" t="s">
        <v>320</v>
      </c>
      <c r="K3521" s="1933">
        <v>124.1</v>
      </c>
      <c r="L3521" s="1930" t="s">
        <v>138</v>
      </c>
    </row>
    <row r="3522" spans="1:12" ht="13.5" x14ac:dyDescent="0.25">
      <c r="A3522" s="1930" t="s">
        <v>4646</v>
      </c>
      <c r="B3522" s="1930" t="s">
        <v>4647</v>
      </c>
      <c r="C3522" s="1930" t="s">
        <v>4594</v>
      </c>
      <c r="D3522" s="1930" t="s">
        <v>4650</v>
      </c>
      <c r="E3522" s="1931" t="s">
        <v>33</v>
      </c>
      <c r="F3522" s="1930" t="s">
        <v>33</v>
      </c>
      <c r="G3522" s="1932">
        <v>89700</v>
      </c>
      <c r="H3522" s="1930" t="s">
        <v>2668</v>
      </c>
      <c r="I3522" s="1930" t="s">
        <v>168</v>
      </c>
      <c r="J3522" s="1930" t="s">
        <v>320</v>
      </c>
      <c r="K3522" s="1933">
        <v>12.47</v>
      </c>
      <c r="L3522" s="1930" t="s">
        <v>138</v>
      </c>
    </row>
    <row r="3523" spans="1:12" ht="13.5" x14ac:dyDescent="0.25">
      <c r="A3523" s="1930" t="s">
        <v>4646</v>
      </c>
      <c r="B3523" s="1930" t="s">
        <v>4647</v>
      </c>
      <c r="C3523" s="1930" t="s">
        <v>4594</v>
      </c>
      <c r="D3523" s="1930" t="s">
        <v>4650</v>
      </c>
      <c r="E3523" s="1931" t="s">
        <v>33</v>
      </c>
      <c r="F3523" s="1930" t="s">
        <v>33</v>
      </c>
      <c r="G3523" s="1932">
        <v>89701</v>
      </c>
      <c r="H3523" s="1930" t="s">
        <v>2669</v>
      </c>
      <c r="I3523" s="1930" t="s">
        <v>168</v>
      </c>
      <c r="J3523" s="1930" t="s">
        <v>320</v>
      </c>
      <c r="K3523" s="1933">
        <v>112.06</v>
      </c>
      <c r="L3523" s="1930" t="s">
        <v>138</v>
      </c>
    </row>
    <row r="3524" spans="1:12" ht="13.5" x14ac:dyDescent="0.25">
      <c r="A3524" s="1930" t="s">
        <v>4646</v>
      </c>
      <c r="B3524" s="1930" t="s">
        <v>4647</v>
      </c>
      <c r="C3524" s="1930" t="s">
        <v>4594</v>
      </c>
      <c r="D3524" s="1930" t="s">
        <v>4650</v>
      </c>
      <c r="E3524" s="1931" t="s">
        <v>33</v>
      </c>
      <c r="F3524" s="1930" t="s">
        <v>33</v>
      </c>
      <c r="G3524" s="1932">
        <v>89702</v>
      </c>
      <c r="H3524" s="1930" t="s">
        <v>2670</v>
      </c>
      <c r="I3524" s="1930" t="s">
        <v>168</v>
      </c>
      <c r="J3524" s="1930" t="s">
        <v>320</v>
      </c>
      <c r="K3524" s="1933">
        <v>12.47</v>
      </c>
      <c r="L3524" s="1930" t="s">
        <v>138</v>
      </c>
    </row>
    <row r="3525" spans="1:12" ht="13.5" x14ac:dyDescent="0.25">
      <c r="A3525" s="1930" t="s">
        <v>4646</v>
      </c>
      <c r="B3525" s="1930" t="s">
        <v>4647</v>
      </c>
      <c r="C3525" s="1930" t="s">
        <v>4594</v>
      </c>
      <c r="D3525" s="1930" t="s">
        <v>4650</v>
      </c>
      <c r="E3525" s="1931" t="s">
        <v>33</v>
      </c>
      <c r="F3525" s="1930" t="s">
        <v>33</v>
      </c>
      <c r="G3525" s="1932">
        <v>89703</v>
      </c>
      <c r="H3525" s="1930" t="s">
        <v>2671</v>
      </c>
      <c r="I3525" s="1930" t="s">
        <v>168</v>
      </c>
      <c r="J3525" s="1930" t="s">
        <v>320</v>
      </c>
      <c r="K3525" s="1933">
        <v>25.03</v>
      </c>
      <c r="L3525" s="1930" t="s">
        <v>138</v>
      </c>
    </row>
    <row r="3526" spans="1:12" ht="13.5" x14ac:dyDescent="0.25">
      <c r="A3526" s="1930" t="s">
        <v>4646</v>
      </c>
      <c r="B3526" s="1930" t="s">
        <v>4647</v>
      </c>
      <c r="C3526" s="1930" t="s">
        <v>4594</v>
      </c>
      <c r="D3526" s="1930" t="s">
        <v>4650</v>
      </c>
      <c r="E3526" s="1931" t="s">
        <v>33</v>
      </c>
      <c r="F3526" s="1930" t="s">
        <v>33</v>
      </c>
      <c r="G3526" s="1932">
        <v>89704</v>
      </c>
      <c r="H3526" s="1930" t="s">
        <v>2672</v>
      </c>
      <c r="I3526" s="1930" t="s">
        <v>168</v>
      </c>
      <c r="J3526" s="1930" t="s">
        <v>320</v>
      </c>
      <c r="K3526" s="1933">
        <v>78.099999999999994</v>
      </c>
      <c r="L3526" s="1930" t="s">
        <v>138</v>
      </c>
    </row>
    <row r="3527" spans="1:12" ht="13.5" x14ac:dyDescent="0.25">
      <c r="A3527" s="1930" t="s">
        <v>4646</v>
      </c>
      <c r="B3527" s="1930" t="s">
        <v>4647</v>
      </c>
      <c r="C3527" s="1930" t="s">
        <v>4594</v>
      </c>
      <c r="D3527" s="1930" t="s">
        <v>4650</v>
      </c>
      <c r="E3527" s="1931" t="s">
        <v>33</v>
      </c>
      <c r="F3527" s="1930" t="s">
        <v>33</v>
      </c>
      <c r="G3527" s="1932">
        <v>89705</v>
      </c>
      <c r="H3527" s="1930" t="s">
        <v>2673</v>
      </c>
      <c r="I3527" s="1930" t="s">
        <v>168</v>
      </c>
      <c r="J3527" s="1930" t="s">
        <v>320</v>
      </c>
      <c r="K3527" s="1933">
        <v>15.22</v>
      </c>
      <c r="L3527" s="1930" t="s">
        <v>138</v>
      </c>
    </row>
    <row r="3528" spans="1:12" ht="13.5" x14ac:dyDescent="0.25">
      <c r="A3528" s="1930" t="s">
        <v>4646</v>
      </c>
      <c r="B3528" s="1930" t="s">
        <v>4647</v>
      </c>
      <c r="C3528" s="1930" t="s">
        <v>4594</v>
      </c>
      <c r="D3528" s="1930" t="s">
        <v>4650</v>
      </c>
      <c r="E3528" s="1931" t="s">
        <v>33</v>
      </c>
      <c r="F3528" s="1930" t="s">
        <v>33</v>
      </c>
      <c r="G3528" s="1932">
        <v>89706</v>
      </c>
      <c r="H3528" s="1930" t="s">
        <v>2674</v>
      </c>
      <c r="I3528" s="1930" t="s">
        <v>168</v>
      </c>
      <c r="J3528" s="1930" t="s">
        <v>320</v>
      </c>
      <c r="K3528" s="1933">
        <v>29.47</v>
      </c>
      <c r="L3528" s="1930" t="s">
        <v>138</v>
      </c>
    </row>
    <row r="3529" spans="1:12" ht="13.5" x14ac:dyDescent="0.25">
      <c r="A3529" s="1930" t="s">
        <v>4646</v>
      </c>
      <c r="B3529" s="1930" t="s">
        <v>4647</v>
      </c>
      <c r="C3529" s="1930" t="s">
        <v>4594</v>
      </c>
      <c r="D3529" s="1930" t="s">
        <v>4650</v>
      </c>
      <c r="E3529" s="1931" t="s">
        <v>33</v>
      </c>
      <c r="F3529" s="1930" t="s">
        <v>33</v>
      </c>
      <c r="G3529" s="1932">
        <v>89718</v>
      </c>
      <c r="H3529" s="1930" t="s">
        <v>2675</v>
      </c>
      <c r="I3529" s="1930" t="s">
        <v>136</v>
      </c>
      <c r="J3529" s="1930" t="s">
        <v>320</v>
      </c>
      <c r="K3529" s="1933">
        <v>27.87</v>
      </c>
      <c r="L3529" s="1930" t="s">
        <v>138</v>
      </c>
    </row>
    <row r="3530" spans="1:12" ht="13.5" x14ac:dyDescent="0.25">
      <c r="A3530" s="1930" t="s">
        <v>4646</v>
      </c>
      <c r="B3530" s="1930" t="s">
        <v>4647</v>
      </c>
      <c r="C3530" s="1930" t="s">
        <v>4594</v>
      </c>
      <c r="D3530" s="1930" t="s">
        <v>4650</v>
      </c>
      <c r="E3530" s="1931" t="s">
        <v>33</v>
      </c>
      <c r="F3530" s="1930" t="s">
        <v>33</v>
      </c>
      <c r="G3530" s="1932">
        <v>89719</v>
      </c>
      <c r="H3530" s="1930" t="s">
        <v>2676</v>
      </c>
      <c r="I3530" s="1930" t="s">
        <v>168</v>
      </c>
      <c r="J3530" s="1930" t="s">
        <v>320</v>
      </c>
      <c r="K3530" s="1933">
        <v>6.49</v>
      </c>
      <c r="L3530" s="1930" t="s">
        <v>138</v>
      </c>
    </row>
    <row r="3531" spans="1:12" ht="13.5" x14ac:dyDescent="0.25">
      <c r="A3531" s="1930" t="s">
        <v>4646</v>
      </c>
      <c r="B3531" s="1930" t="s">
        <v>4647</v>
      </c>
      <c r="C3531" s="1930" t="s">
        <v>4594</v>
      </c>
      <c r="D3531" s="1930" t="s">
        <v>4650</v>
      </c>
      <c r="E3531" s="1931" t="s">
        <v>33</v>
      </c>
      <c r="F3531" s="1930" t="s">
        <v>33</v>
      </c>
      <c r="G3531" s="1932">
        <v>89720</v>
      </c>
      <c r="H3531" s="1930" t="s">
        <v>2677</v>
      </c>
      <c r="I3531" s="1930" t="s">
        <v>168</v>
      </c>
      <c r="J3531" s="1930" t="s">
        <v>320</v>
      </c>
      <c r="K3531" s="1933">
        <v>7.41</v>
      </c>
      <c r="L3531" s="1930" t="s">
        <v>138</v>
      </c>
    </row>
    <row r="3532" spans="1:12" ht="13.5" x14ac:dyDescent="0.25">
      <c r="A3532" s="1930" t="s">
        <v>4646</v>
      </c>
      <c r="B3532" s="1930" t="s">
        <v>4647</v>
      </c>
      <c r="C3532" s="1930" t="s">
        <v>4594</v>
      </c>
      <c r="D3532" s="1930" t="s">
        <v>4650</v>
      </c>
      <c r="E3532" s="1931" t="s">
        <v>33</v>
      </c>
      <c r="F3532" s="1930" t="s">
        <v>33</v>
      </c>
      <c r="G3532" s="1932">
        <v>89721</v>
      </c>
      <c r="H3532" s="1930" t="s">
        <v>2678</v>
      </c>
      <c r="I3532" s="1930" t="s">
        <v>168</v>
      </c>
      <c r="J3532" s="1930" t="s">
        <v>320</v>
      </c>
      <c r="K3532" s="1933">
        <v>7.72</v>
      </c>
      <c r="L3532" s="1930" t="s">
        <v>138</v>
      </c>
    </row>
    <row r="3533" spans="1:12" ht="13.5" x14ac:dyDescent="0.25">
      <c r="A3533" s="1930" t="s">
        <v>4646</v>
      </c>
      <c r="B3533" s="1930" t="s">
        <v>4647</v>
      </c>
      <c r="C3533" s="1930" t="s">
        <v>4594</v>
      </c>
      <c r="D3533" s="1930" t="s">
        <v>4650</v>
      </c>
      <c r="E3533" s="1931" t="s">
        <v>33</v>
      </c>
      <c r="F3533" s="1930" t="s">
        <v>33</v>
      </c>
      <c r="G3533" s="1932">
        <v>89722</v>
      </c>
      <c r="H3533" s="1930" t="s">
        <v>8105</v>
      </c>
      <c r="I3533" s="1930" t="s">
        <v>168</v>
      </c>
      <c r="J3533" s="1930" t="s">
        <v>320</v>
      </c>
      <c r="K3533" s="1933">
        <v>12.07</v>
      </c>
      <c r="L3533" s="1930" t="s">
        <v>138</v>
      </c>
    </row>
    <row r="3534" spans="1:12" ht="13.5" x14ac:dyDescent="0.25">
      <c r="A3534" s="1930" t="s">
        <v>4646</v>
      </c>
      <c r="B3534" s="1930" t="s">
        <v>4647</v>
      </c>
      <c r="C3534" s="1930" t="s">
        <v>4594</v>
      </c>
      <c r="D3534" s="1930" t="s">
        <v>4650</v>
      </c>
      <c r="E3534" s="1931" t="s">
        <v>33</v>
      </c>
      <c r="F3534" s="1930" t="s">
        <v>33</v>
      </c>
      <c r="G3534" s="1932">
        <v>89723</v>
      </c>
      <c r="H3534" s="1930" t="s">
        <v>2679</v>
      </c>
      <c r="I3534" s="1930" t="s">
        <v>168</v>
      </c>
      <c r="J3534" s="1930" t="s">
        <v>320</v>
      </c>
      <c r="K3534" s="1933">
        <v>10.050000000000001</v>
      </c>
      <c r="L3534" s="1930" t="s">
        <v>138</v>
      </c>
    </row>
    <row r="3535" spans="1:12" ht="13.5" x14ac:dyDescent="0.25">
      <c r="A3535" s="1930" t="s">
        <v>4646</v>
      </c>
      <c r="B3535" s="1930" t="s">
        <v>4647</v>
      </c>
      <c r="C3535" s="1930" t="s">
        <v>4594</v>
      </c>
      <c r="D3535" s="1930" t="s">
        <v>4650</v>
      </c>
      <c r="E3535" s="1931" t="s">
        <v>33</v>
      </c>
      <c r="F3535" s="1930" t="s">
        <v>33</v>
      </c>
      <c r="G3535" s="1932">
        <v>89724</v>
      </c>
      <c r="H3535" s="1930" t="s">
        <v>2680</v>
      </c>
      <c r="I3535" s="1930" t="s">
        <v>168</v>
      </c>
      <c r="J3535" s="1930" t="s">
        <v>320</v>
      </c>
      <c r="K3535" s="1933">
        <v>7.24</v>
      </c>
      <c r="L3535" s="1930" t="s">
        <v>138</v>
      </c>
    </row>
    <row r="3536" spans="1:12" ht="13.5" x14ac:dyDescent="0.25">
      <c r="A3536" s="1930" t="s">
        <v>4646</v>
      </c>
      <c r="B3536" s="1930" t="s">
        <v>4647</v>
      </c>
      <c r="C3536" s="1930" t="s">
        <v>4594</v>
      </c>
      <c r="D3536" s="1930" t="s">
        <v>4650</v>
      </c>
      <c r="E3536" s="1931" t="s">
        <v>33</v>
      </c>
      <c r="F3536" s="1930" t="s">
        <v>33</v>
      </c>
      <c r="G3536" s="1932">
        <v>89725</v>
      </c>
      <c r="H3536" s="1930" t="s">
        <v>2681</v>
      </c>
      <c r="I3536" s="1930" t="s">
        <v>168</v>
      </c>
      <c r="J3536" s="1930" t="s">
        <v>320</v>
      </c>
      <c r="K3536" s="1933">
        <v>9.84</v>
      </c>
      <c r="L3536" s="1930" t="s">
        <v>138</v>
      </c>
    </row>
    <row r="3537" spans="1:12" ht="13.5" x14ac:dyDescent="0.25">
      <c r="A3537" s="1930" t="s">
        <v>4646</v>
      </c>
      <c r="B3537" s="1930" t="s">
        <v>4647</v>
      </c>
      <c r="C3537" s="1930" t="s">
        <v>4594</v>
      </c>
      <c r="D3537" s="1930" t="s">
        <v>4650</v>
      </c>
      <c r="E3537" s="1931" t="s">
        <v>33</v>
      </c>
      <c r="F3537" s="1930" t="s">
        <v>33</v>
      </c>
      <c r="G3537" s="1932">
        <v>89726</v>
      </c>
      <c r="H3537" s="1930" t="s">
        <v>2682</v>
      </c>
      <c r="I3537" s="1930" t="s">
        <v>168</v>
      </c>
      <c r="J3537" s="1930" t="s">
        <v>320</v>
      </c>
      <c r="K3537" s="1933">
        <v>5.53</v>
      </c>
      <c r="L3537" s="1930" t="s">
        <v>138</v>
      </c>
    </row>
    <row r="3538" spans="1:12" ht="13.5" x14ac:dyDescent="0.25">
      <c r="A3538" s="1930" t="s">
        <v>4646</v>
      </c>
      <c r="B3538" s="1930" t="s">
        <v>4647</v>
      </c>
      <c r="C3538" s="1930" t="s">
        <v>4594</v>
      </c>
      <c r="D3538" s="1930" t="s">
        <v>4650</v>
      </c>
      <c r="E3538" s="1931" t="s">
        <v>33</v>
      </c>
      <c r="F3538" s="1930" t="s">
        <v>33</v>
      </c>
      <c r="G3538" s="1932">
        <v>89727</v>
      </c>
      <c r="H3538" s="1930" t="s">
        <v>2683</v>
      </c>
      <c r="I3538" s="1930" t="s">
        <v>168</v>
      </c>
      <c r="J3538" s="1930" t="s">
        <v>320</v>
      </c>
      <c r="K3538" s="1933">
        <v>10.83</v>
      </c>
      <c r="L3538" s="1930" t="s">
        <v>138</v>
      </c>
    </row>
    <row r="3539" spans="1:12" ht="13.5" x14ac:dyDescent="0.25">
      <c r="A3539" s="1930" t="s">
        <v>4646</v>
      </c>
      <c r="B3539" s="1930" t="s">
        <v>4647</v>
      </c>
      <c r="C3539" s="1930" t="s">
        <v>4594</v>
      </c>
      <c r="D3539" s="1930" t="s">
        <v>4650</v>
      </c>
      <c r="E3539" s="1931" t="s">
        <v>33</v>
      </c>
      <c r="F3539" s="1930" t="s">
        <v>33</v>
      </c>
      <c r="G3539" s="1932">
        <v>89728</v>
      </c>
      <c r="H3539" s="1930" t="s">
        <v>2684</v>
      </c>
      <c r="I3539" s="1930" t="s">
        <v>168</v>
      </c>
      <c r="J3539" s="1930" t="s">
        <v>320</v>
      </c>
      <c r="K3539" s="1933">
        <v>7.66</v>
      </c>
      <c r="L3539" s="1930" t="s">
        <v>138</v>
      </c>
    </row>
    <row r="3540" spans="1:12" ht="13.5" x14ac:dyDescent="0.25">
      <c r="A3540" s="1930" t="s">
        <v>4646</v>
      </c>
      <c r="B3540" s="1930" t="s">
        <v>4647</v>
      </c>
      <c r="C3540" s="1930" t="s">
        <v>4594</v>
      </c>
      <c r="D3540" s="1930" t="s">
        <v>4650</v>
      </c>
      <c r="E3540" s="1931" t="s">
        <v>33</v>
      </c>
      <c r="F3540" s="1930" t="s">
        <v>33</v>
      </c>
      <c r="G3540" s="1932">
        <v>89729</v>
      </c>
      <c r="H3540" s="1930" t="s">
        <v>2685</v>
      </c>
      <c r="I3540" s="1930" t="s">
        <v>168</v>
      </c>
      <c r="J3540" s="1930" t="s">
        <v>320</v>
      </c>
      <c r="K3540" s="1933">
        <v>14.7</v>
      </c>
      <c r="L3540" s="1930" t="s">
        <v>138</v>
      </c>
    </row>
    <row r="3541" spans="1:12" ht="13.5" x14ac:dyDescent="0.25">
      <c r="A3541" s="1930" t="s">
        <v>4646</v>
      </c>
      <c r="B3541" s="1930" t="s">
        <v>4647</v>
      </c>
      <c r="C3541" s="1930" t="s">
        <v>4594</v>
      </c>
      <c r="D3541" s="1930" t="s">
        <v>4650</v>
      </c>
      <c r="E3541" s="1931" t="s">
        <v>33</v>
      </c>
      <c r="F3541" s="1930" t="s">
        <v>33</v>
      </c>
      <c r="G3541" s="1932">
        <v>89730</v>
      </c>
      <c r="H3541" s="1930" t="s">
        <v>2686</v>
      </c>
      <c r="I3541" s="1930" t="s">
        <v>168</v>
      </c>
      <c r="J3541" s="1930" t="s">
        <v>320</v>
      </c>
      <c r="K3541" s="1933">
        <v>8.2200000000000006</v>
      </c>
      <c r="L3541" s="1930" t="s">
        <v>138</v>
      </c>
    </row>
    <row r="3542" spans="1:12" ht="13.5" x14ac:dyDescent="0.25">
      <c r="A3542" s="1930" t="s">
        <v>4646</v>
      </c>
      <c r="B3542" s="1930" t="s">
        <v>4647</v>
      </c>
      <c r="C3542" s="1930" t="s">
        <v>4594</v>
      </c>
      <c r="D3542" s="1930" t="s">
        <v>4650</v>
      </c>
      <c r="E3542" s="1931" t="s">
        <v>33</v>
      </c>
      <c r="F3542" s="1930" t="s">
        <v>33</v>
      </c>
      <c r="G3542" s="1932">
        <v>89731</v>
      </c>
      <c r="H3542" s="1930" t="s">
        <v>2687</v>
      </c>
      <c r="I3542" s="1930" t="s">
        <v>168</v>
      </c>
      <c r="J3542" s="1930" t="s">
        <v>320</v>
      </c>
      <c r="K3542" s="1933">
        <v>7.88</v>
      </c>
      <c r="L3542" s="1930" t="s">
        <v>138</v>
      </c>
    </row>
    <row r="3543" spans="1:12" ht="13.5" x14ac:dyDescent="0.25">
      <c r="A3543" s="1930" t="s">
        <v>4646</v>
      </c>
      <c r="B3543" s="1930" t="s">
        <v>4647</v>
      </c>
      <c r="C3543" s="1930" t="s">
        <v>4594</v>
      </c>
      <c r="D3543" s="1930" t="s">
        <v>4650</v>
      </c>
      <c r="E3543" s="1931" t="s">
        <v>33</v>
      </c>
      <c r="F3543" s="1930" t="s">
        <v>33</v>
      </c>
      <c r="G3543" s="1932">
        <v>89732</v>
      </c>
      <c r="H3543" s="1930" t="s">
        <v>2688</v>
      </c>
      <c r="I3543" s="1930" t="s">
        <v>168</v>
      </c>
      <c r="J3543" s="1930" t="s">
        <v>320</v>
      </c>
      <c r="K3543" s="1933">
        <v>8.2899999999999991</v>
      </c>
      <c r="L3543" s="1930" t="s">
        <v>138</v>
      </c>
    </row>
    <row r="3544" spans="1:12" ht="13.5" x14ac:dyDescent="0.25">
      <c r="A3544" s="1930" t="s">
        <v>4646</v>
      </c>
      <c r="B3544" s="1930" t="s">
        <v>4647</v>
      </c>
      <c r="C3544" s="1930" t="s">
        <v>4594</v>
      </c>
      <c r="D3544" s="1930" t="s">
        <v>4650</v>
      </c>
      <c r="E3544" s="1931" t="s">
        <v>33</v>
      </c>
      <c r="F3544" s="1930" t="s">
        <v>33</v>
      </c>
      <c r="G3544" s="1932">
        <v>89733</v>
      </c>
      <c r="H3544" s="1930" t="s">
        <v>2689</v>
      </c>
      <c r="I3544" s="1930" t="s">
        <v>168</v>
      </c>
      <c r="J3544" s="1930" t="s">
        <v>320</v>
      </c>
      <c r="K3544" s="1933">
        <v>12.63</v>
      </c>
      <c r="L3544" s="1930" t="s">
        <v>138</v>
      </c>
    </row>
    <row r="3545" spans="1:12" ht="13.5" x14ac:dyDescent="0.25">
      <c r="A3545" s="1930" t="s">
        <v>4646</v>
      </c>
      <c r="B3545" s="1930" t="s">
        <v>4647</v>
      </c>
      <c r="C3545" s="1930" t="s">
        <v>4594</v>
      </c>
      <c r="D3545" s="1930" t="s">
        <v>4650</v>
      </c>
      <c r="E3545" s="1931" t="s">
        <v>33</v>
      </c>
      <c r="F3545" s="1930" t="s">
        <v>33</v>
      </c>
      <c r="G3545" s="1932">
        <v>89734</v>
      </c>
      <c r="H3545" s="1930" t="s">
        <v>2690</v>
      </c>
      <c r="I3545" s="1930" t="s">
        <v>168</v>
      </c>
      <c r="J3545" s="1930" t="s">
        <v>320</v>
      </c>
      <c r="K3545" s="1933">
        <v>14.7</v>
      </c>
      <c r="L3545" s="1930" t="s">
        <v>138</v>
      </c>
    </row>
    <row r="3546" spans="1:12" ht="13.5" x14ac:dyDescent="0.25">
      <c r="A3546" s="1930" t="s">
        <v>4646</v>
      </c>
      <c r="B3546" s="1930" t="s">
        <v>4647</v>
      </c>
      <c r="C3546" s="1930" t="s">
        <v>4594</v>
      </c>
      <c r="D3546" s="1930" t="s">
        <v>4650</v>
      </c>
      <c r="E3546" s="1931" t="s">
        <v>33</v>
      </c>
      <c r="F3546" s="1930" t="s">
        <v>33</v>
      </c>
      <c r="G3546" s="1932">
        <v>89735</v>
      </c>
      <c r="H3546" s="1930" t="s">
        <v>2691</v>
      </c>
      <c r="I3546" s="1930" t="s">
        <v>168</v>
      </c>
      <c r="J3546" s="1930" t="s">
        <v>320</v>
      </c>
      <c r="K3546" s="1933">
        <v>13.3</v>
      </c>
      <c r="L3546" s="1930" t="s">
        <v>138</v>
      </c>
    </row>
    <row r="3547" spans="1:12" ht="13.5" x14ac:dyDescent="0.25">
      <c r="A3547" s="1930" t="s">
        <v>4646</v>
      </c>
      <c r="B3547" s="1930" t="s">
        <v>4647</v>
      </c>
      <c r="C3547" s="1930" t="s">
        <v>4594</v>
      </c>
      <c r="D3547" s="1930" t="s">
        <v>4650</v>
      </c>
      <c r="E3547" s="1931" t="s">
        <v>33</v>
      </c>
      <c r="F3547" s="1930" t="s">
        <v>33</v>
      </c>
      <c r="G3547" s="1932">
        <v>89736</v>
      </c>
      <c r="H3547" s="1930" t="s">
        <v>2692</v>
      </c>
      <c r="I3547" s="1930" t="s">
        <v>168</v>
      </c>
      <c r="J3547" s="1930" t="s">
        <v>320</v>
      </c>
      <c r="K3547" s="1933">
        <v>4.5</v>
      </c>
      <c r="L3547" s="1930" t="s">
        <v>138</v>
      </c>
    </row>
    <row r="3548" spans="1:12" ht="13.5" x14ac:dyDescent="0.25">
      <c r="A3548" s="1930" t="s">
        <v>4646</v>
      </c>
      <c r="B3548" s="1930" t="s">
        <v>4647</v>
      </c>
      <c r="C3548" s="1930" t="s">
        <v>4594</v>
      </c>
      <c r="D3548" s="1930" t="s">
        <v>4650</v>
      </c>
      <c r="E3548" s="1931" t="s">
        <v>33</v>
      </c>
      <c r="F3548" s="1930" t="s">
        <v>33</v>
      </c>
      <c r="G3548" s="1932">
        <v>89737</v>
      </c>
      <c r="H3548" s="1930" t="s">
        <v>2693</v>
      </c>
      <c r="I3548" s="1930" t="s">
        <v>168</v>
      </c>
      <c r="J3548" s="1930" t="s">
        <v>320</v>
      </c>
      <c r="K3548" s="1933">
        <v>13.34</v>
      </c>
      <c r="L3548" s="1930" t="s">
        <v>138</v>
      </c>
    </row>
    <row r="3549" spans="1:12" ht="13.5" x14ac:dyDescent="0.25">
      <c r="A3549" s="1930" t="s">
        <v>4646</v>
      </c>
      <c r="B3549" s="1930" t="s">
        <v>4647</v>
      </c>
      <c r="C3549" s="1930" t="s">
        <v>4594</v>
      </c>
      <c r="D3549" s="1930" t="s">
        <v>4650</v>
      </c>
      <c r="E3549" s="1931" t="s">
        <v>33</v>
      </c>
      <c r="F3549" s="1930" t="s">
        <v>33</v>
      </c>
      <c r="G3549" s="1932">
        <v>89738</v>
      </c>
      <c r="H3549" s="1930" t="s">
        <v>2694</v>
      </c>
      <c r="I3549" s="1930" t="s">
        <v>168</v>
      </c>
      <c r="J3549" s="1930" t="s">
        <v>320</v>
      </c>
      <c r="K3549" s="1933">
        <v>7.73</v>
      </c>
      <c r="L3549" s="1930" t="s">
        <v>138</v>
      </c>
    </row>
    <row r="3550" spans="1:12" ht="13.5" x14ac:dyDescent="0.25">
      <c r="A3550" s="1930" t="s">
        <v>4646</v>
      </c>
      <c r="B3550" s="1930" t="s">
        <v>4647</v>
      </c>
      <c r="C3550" s="1930" t="s">
        <v>4594</v>
      </c>
      <c r="D3550" s="1930" t="s">
        <v>4650</v>
      </c>
      <c r="E3550" s="1931" t="s">
        <v>33</v>
      </c>
      <c r="F3550" s="1930" t="s">
        <v>33</v>
      </c>
      <c r="G3550" s="1932">
        <v>89739</v>
      </c>
      <c r="H3550" s="1930" t="s">
        <v>2695</v>
      </c>
      <c r="I3550" s="1930" t="s">
        <v>168</v>
      </c>
      <c r="J3550" s="1930" t="s">
        <v>320</v>
      </c>
      <c r="K3550" s="1933">
        <v>13.92</v>
      </c>
      <c r="L3550" s="1930" t="s">
        <v>138</v>
      </c>
    </row>
    <row r="3551" spans="1:12" ht="13.5" x14ac:dyDescent="0.25">
      <c r="A3551" s="1930" t="s">
        <v>4646</v>
      </c>
      <c r="B3551" s="1930" t="s">
        <v>4647</v>
      </c>
      <c r="C3551" s="1930" t="s">
        <v>4594</v>
      </c>
      <c r="D3551" s="1930" t="s">
        <v>4650</v>
      </c>
      <c r="E3551" s="1931" t="s">
        <v>33</v>
      </c>
      <c r="F3551" s="1930" t="s">
        <v>33</v>
      </c>
      <c r="G3551" s="1932">
        <v>89740</v>
      </c>
      <c r="H3551" s="1930" t="s">
        <v>2696</v>
      </c>
      <c r="I3551" s="1930" t="s">
        <v>168</v>
      </c>
      <c r="J3551" s="1930" t="s">
        <v>320</v>
      </c>
      <c r="K3551" s="1933">
        <v>4.22</v>
      </c>
      <c r="L3551" s="1930" t="s">
        <v>138</v>
      </c>
    </row>
    <row r="3552" spans="1:12" ht="13.5" x14ac:dyDescent="0.25">
      <c r="A3552" s="1930" t="s">
        <v>4646</v>
      </c>
      <c r="B3552" s="1930" t="s">
        <v>4647</v>
      </c>
      <c r="C3552" s="1930" t="s">
        <v>4594</v>
      </c>
      <c r="D3552" s="1930" t="s">
        <v>4650</v>
      </c>
      <c r="E3552" s="1931" t="s">
        <v>33</v>
      </c>
      <c r="F3552" s="1930" t="s">
        <v>33</v>
      </c>
      <c r="G3552" s="1932">
        <v>89741</v>
      </c>
      <c r="H3552" s="1930" t="s">
        <v>2697</v>
      </c>
      <c r="I3552" s="1930" t="s">
        <v>168</v>
      </c>
      <c r="J3552" s="1930" t="s">
        <v>320</v>
      </c>
      <c r="K3552" s="1933">
        <v>10.18</v>
      </c>
      <c r="L3552" s="1930" t="s">
        <v>138</v>
      </c>
    </row>
    <row r="3553" spans="1:12" ht="13.5" x14ac:dyDescent="0.25">
      <c r="A3553" s="1930" t="s">
        <v>4646</v>
      </c>
      <c r="B3553" s="1930" t="s">
        <v>4647</v>
      </c>
      <c r="C3553" s="1930" t="s">
        <v>4594</v>
      </c>
      <c r="D3553" s="1930" t="s">
        <v>4650</v>
      </c>
      <c r="E3553" s="1931" t="s">
        <v>33</v>
      </c>
      <c r="F3553" s="1930" t="s">
        <v>33</v>
      </c>
      <c r="G3553" s="1932">
        <v>89742</v>
      </c>
      <c r="H3553" s="1930" t="s">
        <v>2698</v>
      </c>
      <c r="I3553" s="1930" t="s">
        <v>168</v>
      </c>
      <c r="J3553" s="1930" t="s">
        <v>320</v>
      </c>
      <c r="K3553" s="1933">
        <v>21.57</v>
      </c>
      <c r="L3553" s="1930" t="s">
        <v>138</v>
      </c>
    </row>
    <row r="3554" spans="1:12" ht="13.5" x14ac:dyDescent="0.25">
      <c r="A3554" s="1930" t="s">
        <v>4646</v>
      </c>
      <c r="B3554" s="1930" t="s">
        <v>4647</v>
      </c>
      <c r="C3554" s="1930" t="s">
        <v>4594</v>
      </c>
      <c r="D3554" s="1930" t="s">
        <v>4650</v>
      </c>
      <c r="E3554" s="1931" t="s">
        <v>33</v>
      </c>
      <c r="F3554" s="1930" t="s">
        <v>33</v>
      </c>
      <c r="G3554" s="1932">
        <v>89743</v>
      </c>
      <c r="H3554" s="1930" t="s">
        <v>2699</v>
      </c>
      <c r="I3554" s="1930" t="s">
        <v>168</v>
      </c>
      <c r="J3554" s="1930" t="s">
        <v>320</v>
      </c>
      <c r="K3554" s="1933">
        <v>29.83</v>
      </c>
      <c r="L3554" s="1930" t="s">
        <v>138</v>
      </c>
    </row>
    <row r="3555" spans="1:12" ht="13.5" x14ac:dyDescent="0.25">
      <c r="A3555" s="1930" t="s">
        <v>4646</v>
      </c>
      <c r="B3555" s="1930" t="s">
        <v>4647</v>
      </c>
      <c r="C3555" s="1930" t="s">
        <v>4594</v>
      </c>
      <c r="D3555" s="1930" t="s">
        <v>4650</v>
      </c>
      <c r="E3555" s="1931" t="s">
        <v>33</v>
      </c>
      <c r="F3555" s="1930" t="s">
        <v>33</v>
      </c>
      <c r="G3555" s="1932">
        <v>89744</v>
      </c>
      <c r="H3555" s="1930" t="s">
        <v>2700</v>
      </c>
      <c r="I3555" s="1930" t="s">
        <v>168</v>
      </c>
      <c r="J3555" s="1930" t="s">
        <v>320</v>
      </c>
      <c r="K3555" s="1933">
        <v>17.399999999999999</v>
      </c>
      <c r="L3555" s="1930" t="s">
        <v>138</v>
      </c>
    </row>
    <row r="3556" spans="1:12" ht="13.5" x14ac:dyDescent="0.25">
      <c r="A3556" s="1930" t="s">
        <v>4646</v>
      </c>
      <c r="B3556" s="1930" t="s">
        <v>4647</v>
      </c>
      <c r="C3556" s="1930" t="s">
        <v>4594</v>
      </c>
      <c r="D3556" s="1930" t="s">
        <v>4650</v>
      </c>
      <c r="E3556" s="1931" t="s">
        <v>33</v>
      </c>
      <c r="F3556" s="1930" t="s">
        <v>33</v>
      </c>
      <c r="G3556" s="1932">
        <v>89745</v>
      </c>
      <c r="H3556" s="1930" t="s">
        <v>2701</v>
      </c>
      <c r="I3556" s="1930" t="s">
        <v>168</v>
      </c>
      <c r="J3556" s="1930" t="s">
        <v>320</v>
      </c>
      <c r="K3556" s="1933">
        <v>15.44</v>
      </c>
      <c r="L3556" s="1930" t="s">
        <v>138</v>
      </c>
    </row>
    <row r="3557" spans="1:12" ht="13.5" x14ac:dyDescent="0.25">
      <c r="A3557" s="1930" t="s">
        <v>4646</v>
      </c>
      <c r="B3557" s="1930" t="s">
        <v>4647</v>
      </c>
      <c r="C3557" s="1930" t="s">
        <v>4594</v>
      </c>
      <c r="D3557" s="1930" t="s">
        <v>4650</v>
      </c>
      <c r="E3557" s="1931" t="s">
        <v>33</v>
      </c>
      <c r="F3557" s="1930" t="s">
        <v>33</v>
      </c>
      <c r="G3557" s="1932">
        <v>89746</v>
      </c>
      <c r="H3557" s="1930" t="s">
        <v>2702</v>
      </c>
      <c r="I3557" s="1930" t="s">
        <v>168</v>
      </c>
      <c r="J3557" s="1930" t="s">
        <v>320</v>
      </c>
      <c r="K3557" s="1933">
        <v>17.37</v>
      </c>
      <c r="L3557" s="1930" t="s">
        <v>138</v>
      </c>
    </row>
    <row r="3558" spans="1:12" ht="13.5" x14ac:dyDescent="0.25">
      <c r="A3558" s="1930" t="s">
        <v>4646</v>
      </c>
      <c r="B3558" s="1930" t="s">
        <v>4647</v>
      </c>
      <c r="C3558" s="1930" t="s">
        <v>4594</v>
      </c>
      <c r="D3558" s="1930" t="s">
        <v>4650</v>
      </c>
      <c r="E3558" s="1931" t="s">
        <v>33</v>
      </c>
      <c r="F3558" s="1930" t="s">
        <v>33</v>
      </c>
      <c r="G3558" s="1932">
        <v>89747</v>
      </c>
      <c r="H3558" s="1930" t="s">
        <v>2703</v>
      </c>
      <c r="I3558" s="1930" t="s">
        <v>168</v>
      </c>
      <c r="J3558" s="1930" t="s">
        <v>320</v>
      </c>
      <c r="K3558" s="1933">
        <v>6.63</v>
      </c>
      <c r="L3558" s="1930" t="s">
        <v>138</v>
      </c>
    </row>
    <row r="3559" spans="1:12" ht="13.5" x14ac:dyDescent="0.25">
      <c r="A3559" s="1930" t="s">
        <v>4646</v>
      </c>
      <c r="B3559" s="1930" t="s">
        <v>4647</v>
      </c>
      <c r="C3559" s="1930" t="s">
        <v>4594</v>
      </c>
      <c r="D3559" s="1930" t="s">
        <v>4650</v>
      </c>
      <c r="E3559" s="1931" t="s">
        <v>33</v>
      </c>
      <c r="F3559" s="1930" t="s">
        <v>33</v>
      </c>
      <c r="G3559" s="1932">
        <v>89748</v>
      </c>
      <c r="H3559" s="1930" t="s">
        <v>2704</v>
      </c>
      <c r="I3559" s="1930" t="s">
        <v>168</v>
      </c>
      <c r="J3559" s="1930" t="s">
        <v>320</v>
      </c>
      <c r="K3559" s="1933">
        <v>26.36</v>
      </c>
      <c r="L3559" s="1930" t="s">
        <v>138</v>
      </c>
    </row>
    <row r="3560" spans="1:12" ht="13.5" x14ac:dyDescent="0.25">
      <c r="A3560" s="1930" t="s">
        <v>4646</v>
      </c>
      <c r="B3560" s="1930" t="s">
        <v>4647</v>
      </c>
      <c r="C3560" s="1930" t="s">
        <v>4594</v>
      </c>
      <c r="D3560" s="1930" t="s">
        <v>4650</v>
      </c>
      <c r="E3560" s="1931" t="s">
        <v>33</v>
      </c>
      <c r="F3560" s="1930" t="s">
        <v>33</v>
      </c>
      <c r="G3560" s="1932">
        <v>89749</v>
      </c>
      <c r="H3560" s="1930" t="s">
        <v>2705</v>
      </c>
      <c r="I3560" s="1930" t="s">
        <v>168</v>
      </c>
      <c r="J3560" s="1930" t="s">
        <v>320</v>
      </c>
      <c r="K3560" s="1933">
        <v>7.73</v>
      </c>
      <c r="L3560" s="1930" t="s">
        <v>138</v>
      </c>
    </row>
    <row r="3561" spans="1:12" ht="13.5" x14ac:dyDescent="0.25">
      <c r="A3561" s="1930" t="s">
        <v>4646</v>
      </c>
      <c r="B3561" s="1930" t="s">
        <v>4647</v>
      </c>
      <c r="C3561" s="1930" t="s">
        <v>4594</v>
      </c>
      <c r="D3561" s="1930" t="s">
        <v>4650</v>
      </c>
      <c r="E3561" s="1931" t="s">
        <v>33</v>
      </c>
      <c r="F3561" s="1930" t="s">
        <v>33</v>
      </c>
      <c r="G3561" s="1932">
        <v>89750</v>
      </c>
      <c r="H3561" s="1930" t="s">
        <v>2706</v>
      </c>
      <c r="I3561" s="1930" t="s">
        <v>168</v>
      </c>
      <c r="J3561" s="1930" t="s">
        <v>320</v>
      </c>
      <c r="K3561" s="1933">
        <v>42.24</v>
      </c>
      <c r="L3561" s="1930" t="s">
        <v>138</v>
      </c>
    </row>
    <row r="3562" spans="1:12" ht="13.5" x14ac:dyDescent="0.25">
      <c r="A3562" s="1930" t="s">
        <v>4646</v>
      </c>
      <c r="B3562" s="1930" t="s">
        <v>4647</v>
      </c>
      <c r="C3562" s="1930" t="s">
        <v>4594</v>
      </c>
      <c r="D3562" s="1930" t="s">
        <v>4650</v>
      </c>
      <c r="E3562" s="1931" t="s">
        <v>33</v>
      </c>
      <c r="F3562" s="1930" t="s">
        <v>33</v>
      </c>
      <c r="G3562" s="1932">
        <v>89751</v>
      </c>
      <c r="H3562" s="1930" t="s">
        <v>2707</v>
      </c>
      <c r="I3562" s="1930" t="s">
        <v>168</v>
      </c>
      <c r="J3562" s="1930" t="s">
        <v>320</v>
      </c>
      <c r="K3562" s="1933">
        <v>3.74</v>
      </c>
      <c r="L3562" s="1930" t="s">
        <v>138</v>
      </c>
    </row>
    <row r="3563" spans="1:12" ht="13.5" x14ac:dyDescent="0.25">
      <c r="A3563" s="1930" t="s">
        <v>4646</v>
      </c>
      <c r="B3563" s="1930" t="s">
        <v>4647</v>
      </c>
      <c r="C3563" s="1930" t="s">
        <v>4594</v>
      </c>
      <c r="D3563" s="1930" t="s">
        <v>4650</v>
      </c>
      <c r="E3563" s="1931" t="s">
        <v>33</v>
      </c>
      <c r="F3563" s="1930" t="s">
        <v>33</v>
      </c>
      <c r="G3563" s="1932">
        <v>89752</v>
      </c>
      <c r="H3563" s="1930" t="s">
        <v>2708</v>
      </c>
      <c r="I3563" s="1930" t="s">
        <v>168</v>
      </c>
      <c r="J3563" s="1930" t="s">
        <v>320</v>
      </c>
      <c r="K3563" s="1933">
        <v>4.63</v>
      </c>
      <c r="L3563" s="1930" t="s">
        <v>138</v>
      </c>
    </row>
    <row r="3564" spans="1:12" ht="13.5" x14ac:dyDescent="0.25">
      <c r="A3564" s="1930" t="s">
        <v>4646</v>
      </c>
      <c r="B3564" s="1930" t="s">
        <v>4647</v>
      </c>
      <c r="C3564" s="1930" t="s">
        <v>4594</v>
      </c>
      <c r="D3564" s="1930" t="s">
        <v>4650</v>
      </c>
      <c r="E3564" s="1931" t="s">
        <v>33</v>
      </c>
      <c r="F3564" s="1930" t="s">
        <v>33</v>
      </c>
      <c r="G3564" s="1932">
        <v>89753</v>
      </c>
      <c r="H3564" s="1930" t="s">
        <v>2709</v>
      </c>
      <c r="I3564" s="1930" t="s">
        <v>168</v>
      </c>
      <c r="J3564" s="1930" t="s">
        <v>320</v>
      </c>
      <c r="K3564" s="1933">
        <v>6.36</v>
      </c>
      <c r="L3564" s="1930" t="s">
        <v>138</v>
      </c>
    </row>
    <row r="3565" spans="1:12" ht="13.5" x14ac:dyDescent="0.25">
      <c r="A3565" s="1930" t="s">
        <v>4646</v>
      </c>
      <c r="B3565" s="1930" t="s">
        <v>4647</v>
      </c>
      <c r="C3565" s="1930" t="s">
        <v>4594</v>
      </c>
      <c r="D3565" s="1930" t="s">
        <v>4650</v>
      </c>
      <c r="E3565" s="1931" t="s">
        <v>33</v>
      </c>
      <c r="F3565" s="1930" t="s">
        <v>33</v>
      </c>
      <c r="G3565" s="1932">
        <v>89754</v>
      </c>
      <c r="H3565" s="1930" t="s">
        <v>2710</v>
      </c>
      <c r="I3565" s="1930" t="s">
        <v>168</v>
      </c>
      <c r="J3565" s="1930" t="s">
        <v>320</v>
      </c>
      <c r="K3565" s="1933">
        <v>11.18</v>
      </c>
      <c r="L3565" s="1930" t="s">
        <v>138</v>
      </c>
    </row>
    <row r="3566" spans="1:12" ht="13.5" x14ac:dyDescent="0.25">
      <c r="A3566" s="1930" t="s">
        <v>4646</v>
      </c>
      <c r="B3566" s="1930" t="s">
        <v>4647</v>
      </c>
      <c r="C3566" s="1930" t="s">
        <v>4594</v>
      </c>
      <c r="D3566" s="1930" t="s">
        <v>4650</v>
      </c>
      <c r="E3566" s="1931" t="s">
        <v>33</v>
      </c>
      <c r="F3566" s="1930" t="s">
        <v>33</v>
      </c>
      <c r="G3566" s="1932">
        <v>89755</v>
      </c>
      <c r="H3566" s="1930" t="s">
        <v>2711</v>
      </c>
      <c r="I3566" s="1930" t="s">
        <v>168</v>
      </c>
      <c r="J3566" s="1930" t="s">
        <v>320</v>
      </c>
      <c r="K3566" s="1933">
        <v>6.64</v>
      </c>
      <c r="L3566" s="1930" t="s">
        <v>138</v>
      </c>
    </row>
    <row r="3567" spans="1:12" ht="13.5" x14ac:dyDescent="0.25">
      <c r="A3567" s="1930" t="s">
        <v>4646</v>
      </c>
      <c r="B3567" s="1930" t="s">
        <v>4647</v>
      </c>
      <c r="C3567" s="1930" t="s">
        <v>4594</v>
      </c>
      <c r="D3567" s="1930" t="s">
        <v>4650</v>
      </c>
      <c r="E3567" s="1931" t="s">
        <v>33</v>
      </c>
      <c r="F3567" s="1930" t="s">
        <v>33</v>
      </c>
      <c r="G3567" s="1932">
        <v>89756</v>
      </c>
      <c r="H3567" s="1930" t="s">
        <v>2712</v>
      </c>
      <c r="I3567" s="1930" t="s">
        <v>168</v>
      </c>
      <c r="J3567" s="1930" t="s">
        <v>320</v>
      </c>
      <c r="K3567" s="1933">
        <v>10.33</v>
      </c>
      <c r="L3567" s="1930" t="s">
        <v>138</v>
      </c>
    </row>
    <row r="3568" spans="1:12" ht="13.5" x14ac:dyDescent="0.25">
      <c r="A3568" s="1930" t="s">
        <v>4646</v>
      </c>
      <c r="B3568" s="1930" t="s">
        <v>4647</v>
      </c>
      <c r="C3568" s="1930" t="s">
        <v>4594</v>
      </c>
      <c r="D3568" s="1930" t="s">
        <v>4650</v>
      </c>
      <c r="E3568" s="1931" t="s">
        <v>33</v>
      </c>
      <c r="F3568" s="1930" t="s">
        <v>33</v>
      </c>
      <c r="G3568" s="1932">
        <v>89757</v>
      </c>
      <c r="H3568" s="1930" t="s">
        <v>2713</v>
      </c>
      <c r="I3568" s="1930" t="s">
        <v>168</v>
      </c>
      <c r="J3568" s="1930" t="s">
        <v>320</v>
      </c>
      <c r="K3568" s="1933">
        <v>15.04</v>
      </c>
      <c r="L3568" s="1930" t="s">
        <v>138</v>
      </c>
    </row>
    <row r="3569" spans="1:12" ht="13.5" x14ac:dyDescent="0.25">
      <c r="A3569" s="1930" t="s">
        <v>4646</v>
      </c>
      <c r="B3569" s="1930" t="s">
        <v>4647</v>
      </c>
      <c r="C3569" s="1930" t="s">
        <v>4594</v>
      </c>
      <c r="D3569" s="1930" t="s">
        <v>4650</v>
      </c>
      <c r="E3569" s="1931" t="s">
        <v>33</v>
      </c>
      <c r="F3569" s="1930" t="s">
        <v>33</v>
      </c>
      <c r="G3569" s="1932">
        <v>89758</v>
      </c>
      <c r="H3569" s="1930" t="s">
        <v>2714</v>
      </c>
      <c r="I3569" s="1930" t="s">
        <v>168</v>
      </c>
      <c r="J3569" s="1930" t="s">
        <v>320</v>
      </c>
      <c r="K3569" s="1933">
        <v>22.72</v>
      </c>
      <c r="L3569" s="1930" t="s">
        <v>138</v>
      </c>
    </row>
    <row r="3570" spans="1:12" ht="13.5" x14ac:dyDescent="0.25">
      <c r="A3570" s="1930" t="s">
        <v>4646</v>
      </c>
      <c r="B3570" s="1930" t="s">
        <v>4647</v>
      </c>
      <c r="C3570" s="1930" t="s">
        <v>4594</v>
      </c>
      <c r="D3570" s="1930" t="s">
        <v>4650</v>
      </c>
      <c r="E3570" s="1931" t="s">
        <v>33</v>
      </c>
      <c r="F3570" s="1930" t="s">
        <v>33</v>
      </c>
      <c r="G3570" s="1932">
        <v>89759</v>
      </c>
      <c r="H3570" s="1930" t="s">
        <v>2715</v>
      </c>
      <c r="I3570" s="1930" t="s">
        <v>168</v>
      </c>
      <c r="J3570" s="1930" t="s">
        <v>320</v>
      </c>
      <c r="K3570" s="1933">
        <v>5</v>
      </c>
      <c r="L3570" s="1930" t="s">
        <v>138</v>
      </c>
    </row>
    <row r="3571" spans="1:12" ht="13.5" x14ac:dyDescent="0.25">
      <c r="A3571" s="1930" t="s">
        <v>4646</v>
      </c>
      <c r="B3571" s="1930" t="s">
        <v>4647</v>
      </c>
      <c r="C3571" s="1930" t="s">
        <v>4594</v>
      </c>
      <c r="D3571" s="1930" t="s">
        <v>4650</v>
      </c>
      <c r="E3571" s="1931" t="s">
        <v>33</v>
      </c>
      <c r="F3571" s="1930" t="s">
        <v>33</v>
      </c>
      <c r="G3571" s="1932">
        <v>89760</v>
      </c>
      <c r="H3571" s="1930" t="s">
        <v>2716</v>
      </c>
      <c r="I3571" s="1930" t="s">
        <v>168</v>
      </c>
      <c r="J3571" s="1930" t="s">
        <v>320</v>
      </c>
      <c r="K3571" s="1933">
        <v>10.23</v>
      </c>
      <c r="L3571" s="1930" t="s">
        <v>138</v>
      </c>
    </row>
    <row r="3572" spans="1:12" ht="13.5" x14ac:dyDescent="0.25">
      <c r="A3572" s="1930" t="s">
        <v>4646</v>
      </c>
      <c r="B3572" s="1930" t="s">
        <v>4647</v>
      </c>
      <c r="C3572" s="1930" t="s">
        <v>4594</v>
      </c>
      <c r="D3572" s="1930" t="s">
        <v>4650</v>
      </c>
      <c r="E3572" s="1931" t="s">
        <v>33</v>
      </c>
      <c r="F3572" s="1930" t="s">
        <v>33</v>
      </c>
      <c r="G3572" s="1932">
        <v>89761</v>
      </c>
      <c r="H3572" s="1930" t="s">
        <v>2717</v>
      </c>
      <c r="I3572" s="1930" t="s">
        <v>168</v>
      </c>
      <c r="J3572" s="1930" t="s">
        <v>320</v>
      </c>
      <c r="K3572" s="1933">
        <v>15.74</v>
      </c>
      <c r="L3572" s="1930" t="s">
        <v>138</v>
      </c>
    </row>
    <row r="3573" spans="1:12" ht="13.5" x14ac:dyDescent="0.25">
      <c r="A3573" s="1930" t="s">
        <v>4646</v>
      </c>
      <c r="B3573" s="1930" t="s">
        <v>4647</v>
      </c>
      <c r="C3573" s="1930" t="s">
        <v>4594</v>
      </c>
      <c r="D3573" s="1930" t="s">
        <v>4650</v>
      </c>
      <c r="E3573" s="1931" t="s">
        <v>33</v>
      </c>
      <c r="F3573" s="1930" t="s">
        <v>33</v>
      </c>
      <c r="G3573" s="1932">
        <v>89762</v>
      </c>
      <c r="H3573" s="1930" t="s">
        <v>2718</v>
      </c>
      <c r="I3573" s="1930" t="s">
        <v>168</v>
      </c>
      <c r="J3573" s="1930" t="s">
        <v>320</v>
      </c>
      <c r="K3573" s="1933">
        <v>21.66</v>
      </c>
      <c r="L3573" s="1930" t="s">
        <v>138</v>
      </c>
    </row>
    <row r="3574" spans="1:12" ht="13.5" x14ac:dyDescent="0.25">
      <c r="A3574" s="1930" t="s">
        <v>4646</v>
      </c>
      <c r="B3574" s="1930" t="s">
        <v>4647</v>
      </c>
      <c r="C3574" s="1930" t="s">
        <v>4594</v>
      </c>
      <c r="D3574" s="1930" t="s">
        <v>4650</v>
      </c>
      <c r="E3574" s="1931" t="s">
        <v>33</v>
      </c>
      <c r="F3574" s="1930" t="s">
        <v>33</v>
      </c>
      <c r="G3574" s="1932">
        <v>89763</v>
      </c>
      <c r="H3574" s="1930" t="s">
        <v>2719</v>
      </c>
      <c r="I3574" s="1930" t="s">
        <v>168</v>
      </c>
      <c r="J3574" s="1930" t="s">
        <v>320</v>
      </c>
      <c r="K3574" s="1933">
        <v>80.23</v>
      </c>
      <c r="L3574" s="1930" t="s">
        <v>138</v>
      </c>
    </row>
    <row r="3575" spans="1:12" ht="13.5" x14ac:dyDescent="0.25">
      <c r="A3575" s="1930" t="s">
        <v>4646</v>
      </c>
      <c r="B3575" s="1930" t="s">
        <v>4647</v>
      </c>
      <c r="C3575" s="1930" t="s">
        <v>4594</v>
      </c>
      <c r="D3575" s="1930" t="s">
        <v>4650</v>
      </c>
      <c r="E3575" s="1931" t="s">
        <v>33</v>
      </c>
      <c r="F3575" s="1930" t="s">
        <v>33</v>
      </c>
      <c r="G3575" s="1932">
        <v>89764</v>
      </c>
      <c r="H3575" s="1930" t="s">
        <v>2720</v>
      </c>
      <c r="I3575" s="1930" t="s">
        <v>168</v>
      </c>
      <c r="J3575" s="1930" t="s">
        <v>320</v>
      </c>
      <c r="K3575" s="1933">
        <v>16.93</v>
      </c>
      <c r="L3575" s="1930" t="s">
        <v>138</v>
      </c>
    </row>
    <row r="3576" spans="1:12" ht="13.5" x14ac:dyDescent="0.25">
      <c r="A3576" s="1930" t="s">
        <v>4646</v>
      </c>
      <c r="B3576" s="1930" t="s">
        <v>4647</v>
      </c>
      <c r="C3576" s="1930" t="s">
        <v>4594</v>
      </c>
      <c r="D3576" s="1930" t="s">
        <v>4650</v>
      </c>
      <c r="E3576" s="1931" t="s">
        <v>33</v>
      </c>
      <c r="F3576" s="1930" t="s">
        <v>33</v>
      </c>
      <c r="G3576" s="1932">
        <v>89765</v>
      </c>
      <c r="H3576" s="1930" t="s">
        <v>2721</v>
      </c>
      <c r="I3576" s="1930" t="s">
        <v>168</v>
      </c>
      <c r="J3576" s="1930" t="s">
        <v>320</v>
      </c>
      <c r="K3576" s="1933">
        <v>8.5299999999999994</v>
      </c>
      <c r="L3576" s="1930" t="s">
        <v>138</v>
      </c>
    </row>
    <row r="3577" spans="1:12" ht="13.5" x14ac:dyDescent="0.25">
      <c r="A3577" s="1930" t="s">
        <v>4646</v>
      </c>
      <c r="B3577" s="1930" t="s">
        <v>4647</v>
      </c>
      <c r="C3577" s="1930" t="s">
        <v>4594</v>
      </c>
      <c r="D3577" s="1930" t="s">
        <v>4650</v>
      </c>
      <c r="E3577" s="1931" t="s">
        <v>33</v>
      </c>
      <c r="F3577" s="1930" t="s">
        <v>33</v>
      </c>
      <c r="G3577" s="1932">
        <v>89766</v>
      </c>
      <c r="H3577" s="1930" t="s">
        <v>2722</v>
      </c>
      <c r="I3577" s="1930" t="s">
        <v>168</v>
      </c>
      <c r="J3577" s="1930" t="s">
        <v>320</v>
      </c>
      <c r="K3577" s="1933">
        <v>11.62</v>
      </c>
      <c r="L3577" s="1930" t="s">
        <v>138</v>
      </c>
    </row>
    <row r="3578" spans="1:12" ht="13.5" x14ac:dyDescent="0.25">
      <c r="A3578" s="1930" t="s">
        <v>4646</v>
      </c>
      <c r="B3578" s="1930" t="s">
        <v>4647</v>
      </c>
      <c r="C3578" s="1930" t="s">
        <v>4594</v>
      </c>
      <c r="D3578" s="1930" t="s">
        <v>4650</v>
      </c>
      <c r="E3578" s="1931" t="s">
        <v>33</v>
      </c>
      <c r="F3578" s="1930" t="s">
        <v>33</v>
      </c>
      <c r="G3578" s="1932">
        <v>89767</v>
      </c>
      <c r="H3578" s="1930" t="s">
        <v>2723</v>
      </c>
      <c r="I3578" s="1930" t="s">
        <v>168</v>
      </c>
      <c r="J3578" s="1930" t="s">
        <v>320</v>
      </c>
      <c r="K3578" s="1933">
        <v>11.62</v>
      </c>
      <c r="L3578" s="1930" t="s">
        <v>138</v>
      </c>
    </row>
    <row r="3579" spans="1:12" ht="13.5" x14ac:dyDescent="0.25">
      <c r="A3579" s="1930" t="s">
        <v>4646</v>
      </c>
      <c r="B3579" s="1930" t="s">
        <v>4647</v>
      </c>
      <c r="C3579" s="1930" t="s">
        <v>4594</v>
      </c>
      <c r="D3579" s="1930" t="s">
        <v>4650</v>
      </c>
      <c r="E3579" s="1931" t="s">
        <v>33</v>
      </c>
      <c r="F3579" s="1930" t="s">
        <v>33</v>
      </c>
      <c r="G3579" s="1932">
        <v>89768</v>
      </c>
      <c r="H3579" s="1930" t="s">
        <v>2724</v>
      </c>
      <c r="I3579" s="1930" t="s">
        <v>168</v>
      </c>
      <c r="J3579" s="1930" t="s">
        <v>320</v>
      </c>
      <c r="K3579" s="1933">
        <v>12.15</v>
      </c>
      <c r="L3579" s="1930" t="s">
        <v>138</v>
      </c>
    </row>
    <row r="3580" spans="1:12" ht="13.5" x14ac:dyDescent="0.25">
      <c r="A3580" s="1930" t="s">
        <v>4646</v>
      </c>
      <c r="B3580" s="1930" t="s">
        <v>4647</v>
      </c>
      <c r="C3580" s="1930" t="s">
        <v>4594</v>
      </c>
      <c r="D3580" s="1930" t="s">
        <v>4650</v>
      </c>
      <c r="E3580" s="1931" t="s">
        <v>33</v>
      </c>
      <c r="F3580" s="1930" t="s">
        <v>33</v>
      </c>
      <c r="G3580" s="1932">
        <v>89769</v>
      </c>
      <c r="H3580" s="1930" t="s">
        <v>2725</v>
      </c>
      <c r="I3580" s="1930" t="s">
        <v>168</v>
      </c>
      <c r="J3580" s="1930" t="s">
        <v>320</v>
      </c>
      <c r="K3580" s="1933">
        <v>25.83</v>
      </c>
      <c r="L3580" s="1930" t="s">
        <v>138</v>
      </c>
    </row>
    <row r="3581" spans="1:12" ht="13.5" x14ac:dyDescent="0.25">
      <c r="A3581" s="1930" t="s">
        <v>4646</v>
      </c>
      <c r="B3581" s="1930" t="s">
        <v>4647</v>
      </c>
      <c r="C3581" s="1930" t="s">
        <v>4594</v>
      </c>
      <c r="D3581" s="1930" t="s">
        <v>4650</v>
      </c>
      <c r="E3581" s="1931" t="s">
        <v>33</v>
      </c>
      <c r="F3581" s="1930" t="s">
        <v>33</v>
      </c>
      <c r="G3581" s="1932">
        <v>89772</v>
      </c>
      <c r="H3581" s="1930" t="s">
        <v>2726</v>
      </c>
      <c r="I3581" s="1930" t="s">
        <v>136</v>
      </c>
      <c r="J3581" s="1930" t="s">
        <v>320</v>
      </c>
      <c r="K3581" s="1933">
        <v>48.72</v>
      </c>
      <c r="L3581" s="1930" t="s">
        <v>138</v>
      </c>
    </row>
    <row r="3582" spans="1:12" ht="13.5" x14ac:dyDescent="0.25">
      <c r="A3582" s="1930" t="s">
        <v>4646</v>
      </c>
      <c r="B3582" s="1930" t="s">
        <v>4647</v>
      </c>
      <c r="C3582" s="1930" t="s">
        <v>4594</v>
      </c>
      <c r="D3582" s="1930" t="s">
        <v>4650</v>
      </c>
      <c r="E3582" s="1931" t="s">
        <v>33</v>
      </c>
      <c r="F3582" s="1930" t="s">
        <v>33</v>
      </c>
      <c r="G3582" s="1932">
        <v>89774</v>
      </c>
      <c r="H3582" s="1930" t="s">
        <v>2727</v>
      </c>
      <c r="I3582" s="1930" t="s">
        <v>168</v>
      </c>
      <c r="J3582" s="1930" t="s">
        <v>320</v>
      </c>
      <c r="K3582" s="1933">
        <v>10.53</v>
      </c>
      <c r="L3582" s="1930" t="s">
        <v>138</v>
      </c>
    </row>
    <row r="3583" spans="1:12" ht="13.5" x14ac:dyDescent="0.25">
      <c r="A3583" s="1930" t="s">
        <v>4646</v>
      </c>
      <c r="B3583" s="1930" t="s">
        <v>4647</v>
      </c>
      <c r="C3583" s="1930" t="s">
        <v>4594</v>
      </c>
      <c r="D3583" s="1930" t="s">
        <v>4650</v>
      </c>
      <c r="E3583" s="1931" t="s">
        <v>33</v>
      </c>
      <c r="F3583" s="1930" t="s">
        <v>33</v>
      </c>
      <c r="G3583" s="1932">
        <v>89776</v>
      </c>
      <c r="H3583" s="1930" t="s">
        <v>2728</v>
      </c>
      <c r="I3583" s="1930" t="s">
        <v>168</v>
      </c>
      <c r="J3583" s="1930" t="s">
        <v>320</v>
      </c>
      <c r="K3583" s="1933">
        <v>14.26</v>
      </c>
      <c r="L3583" s="1930" t="s">
        <v>138</v>
      </c>
    </row>
    <row r="3584" spans="1:12" ht="13.5" x14ac:dyDescent="0.25">
      <c r="A3584" s="1930" t="s">
        <v>4646</v>
      </c>
      <c r="B3584" s="1930" t="s">
        <v>4647</v>
      </c>
      <c r="C3584" s="1930" t="s">
        <v>4594</v>
      </c>
      <c r="D3584" s="1930" t="s">
        <v>4650</v>
      </c>
      <c r="E3584" s="1931" t="s">
        <v>33</v>
      </c>
      <c r="F3584" s="1930" t="s">
        <v>33</v>
      </c>
      <c r="G3584" s="1932">
        <v>89777</v>
      </c>
      <c r="H3584" s="1930" t="s">
        <v>2729</v>
      </c>
      <c r="I3584" s="1930" t="s">
        <v>168</v>
      </c>
      <c r="J3584" s="1930" t="s">
        <v>320</v>
      </c>
      <c r="K3584" s="1933">
        <v>13.46</v>
      </c>
      <c r="L3584" s="1930" t="s">
        <v>138</v>
      </c>
    </row>
    <row r="3585" spans="1:12" ht="13.5" x14ac:dyDescent="0.25">
      <c r="A3585" s="1930" t="s">
        <v>4646</v>
      </c>
      <c r="B3585" s="1930" t="s">
        <v>4647</v>
      </c>
      <c r="C3585" s="1930" t="s">
        <v>4594</v>
      </c>
      <c r="D3585" s="1930" t="s">
        <v>4650</v>
      </c>
      <c r="E3585" s="1931" t="s">
        <v>33</v>
      </c>
      <c r="F3585" s="1930" t="s">
        <v>33</v>
      </c>
      <c r="G3585" s="1932">
        <v>89778</v>
      </c>
      <c r="H3585" s="1930" t="s">
        <v>2730</v>
      </c>
      <c r="I3585" s="1930" t="s">
        <v>168</v>
      </c>
      <c r="J3585" s="1930" t="s">
        <v>320</v>
      </c>
      <c r="K3585" s="1933">
        <v>13.29</v>
      </c>
      <c r="L3585" s="1930" t="s">
        <v>138</v>
      </c>
    </row>
    <row r="3586" spans="1:12" ht="13.5" x14ac:dyDescent="0.25">
      <c r="A3586" s="1930" t="s">
        <v>4646</v>
      </c>
      <c r="B3586" s="1930" t="s">
        <v>4647</v>
      </c>
      <c r="C3586" s="1930" t="s">
        <v>4594</v>
      </c>
      <c r="D3586" s="1930" t="s">
        <v>4650</v>
      </c>
      <c r="E3586" s="1931" t="s">
        <v>33</v>
      </c>
      <c r="F3586" s="1930" t="s">
        <v>33</v>
      </c>
      <c r="G3586" s="1932">
        <v>89779</v>
      </c>
      <c r="H3586" s="1930" t="s">
        <v>2731</v>
      </c>
      <c r="I3586" s="1930" t="s">
        <v>168</v>
      </c>
      <c r="J3586" s="1930" t="s">
        <v>320</v>
      </c>
      <c r="K3586" s="1933">
        <v>20.2</v>
      </c>
      <c r="L3586" s="1930" t="s">
        <v>138</v>
      </c>
    </row>
    <row r="3587" spans="1:12" ht="13.5" x14ac:dyDescent="0.25">
      <c r="A3587" s="1930" t="s">
        <v>4646</v>
      </c>
      <c r="B3587" s="1930" t="s">
        <v>4647</v>
      </c>
      <c r="C3587" s="1930" t="s">
        <v>4594</v>
      </c>
      <c r="D3587" s="1930" t="s">
        <v>4650</v>
      </c>
      <c r="E3587" s="1931" t="s">
        <v>33</v>
      </c>
      <c r="F3587" s="1930" t="s">
        <v>33</v>
      </c>
      <c r="G3587" s="1932">
        <v>89780</v>
      </c>
      <c r="H3587" s="1930" t="s">
        <v>2732</v>
      </c>
      <c r="I3587" s="1930" t="s">
        <v>168</v>
      </c>
      <c r="J3587" s="1930" t="s">
        <v>320</v>
      </c>
      <c r="K3587" s="1933">
        <v>13.46</v>
      </c>
      <c r="L3587" s="1930" t="s">
        <v>138</v>
      </c>
    </row>
    <row r="3588" spans="1:12" ht="13.5" x14ac:dyDescent="0.25">
      <c r="A3588" s="1930" t="s">
        <v>4646</v>
      </c>
      <c r="B3588" s="1930" t="s">
        <v>4647</v>
      </c>
      <c r="C3588" s="1930" t="s">
        <v>4594</v>
      </c>
      <c r="D3588" s="1930" t="s">
        <v>4650</v>
      </c>
      <c r="E3588" s="1931" t="s">
        <v>33</v>
      </c>
      <c r="F3588" s="1930" t="s">
        <v>33</v>
      </c>
      <c r="G3588" s="1932">
        <v>89781</v>
      </c>
      <c r="H3588" s="1930" t="s">
        <v>2733</v>
      </c>
      <c r="I3588" s="1930" t="s">
        <v>168</v>
      </c>
      <c r="J3588" s="1930" t="s">
        <v>320</v>
      </c>
      <c r="K3588" s="1933">
        <v>19.559999999999999</v>
      </c>
      <c r="L3588" s="1930" t="s">
        <v>138</v>
      </c>
    </row>
    <row r="3589" spans="1:12" ht="13.5" x14ac:dyDescent="0.25">
      <c r="A3589" s="1930" t="s">
        <v>4646</v>
      </c>
      <c r="B3589" s="1930" t="s">
        <v>4647</v>
      </c>
      <c r="C3589" s="1930" t="s">
        <v>4594</v>
      </c>
      <c r="D3589" s="1930" t="s">
        <v>4650</v>
      </c>
      <c r="E3589" s="1931" t="s">
        <v>33</v>
      </c>
      <c r="F3589" s="1930" t="s">
        <v>33</v>
      </c>
      <c r="G3589" s="1932">
        <v>89782</v>
      </c>
      <c r="H3589" s="1930" t="s">
        <v>2734</v>
      </c>
      <c r="I3589" s="1930" t="s">
        <v>168</v>
      </c>
      <c r="J3589" s="1930" t="s">
        <v>320</v>
      </c>
      <c r="K3589" s="1933">
        <v>8.8000000000000007</v>
      </c>
      <c r="L3589" s="1930" t="s">
        <v>138</v>
      </c>
    </row>
    <row r="3590" spans="1:12" ht="13.5" x14ac:dyDescent="0.25">
      <c r="A3590" s="1930" t="s">
        <v>4646</v>
      </c>
      <c r="B3590" s="1930" t="s">
        <v>4647</v>
      </c>
      <c r="C3590" s="1930" t="s">
        <v>4594</v>
      </c>
      <c r="D3590" s="1930" t="s">
        <v>4650</v>
      </c>
      <c r="E3590" s="1931" t="s">
        <v>33</v>
      </c>
      <c r="F3590" s="1930" t="s">
        <v>33</v>
      </c>
      <c r="G3590" s="1932">
        <v>89783</v>
      </c>
      <c r="H3590" s="1930" t="s">
        <v>2735</v>
      </c>
      <c r="I3590" s="1930" t="s">
        <v>168</v>
      </c>
      <c r="J3590" s="1930" t="s">
        <v>320</v>
      </c>
      <c r="K3590" s="1933">
        <v>8.98</v>
      </c>
      <c r="L3590" s="1930" t="s">
        <v>138</v>
      </c>
    </row>
    <row r="3591" spans="1:12" ht="13.5" x14ac:dyDescent="0.25">
      <c r="A3591" s="1930" t="s">
        <v>4646</v>
      </c>
      <c r="B3591" s="1930" t="s">
        <v>4647</v>
      </c>
      <c r="C3591" s="1930" t="s">
        <v>4594</v>
      </c>
      <c r="D3591" s="1930" t="s">
        <v>4650</v>
      </c>
      <c r="E3591" s="1931" t="s">
        <v>33</v>
      </c>
      <c r="F3591" s="1930" t="s">
        <v>33</v>
      </c>
      <c r="G3591" s="1932">
        <v>89784</v>
      </c>
      <c r="H3591" s="1930" t="s">
        <v>2736</v>
      </c>
      <c r="I3591" s="1930" t="s">
        <v>168</v>
      </c>
      <c r="J3591" s="1930" t="s">
        <v>320</v>
      </c>
      <c r="K3591" s="1933">
        <v>13.95</v>
      </c>
      <c r="L3591" s="1930" t="s">
        <v>138</v>
      </c>
    </row>
    <row r="3592" spans="1:12" ht="13.5" x14ac:dyDescent="0.25">
      <c r="A3592" s="1930" t="s">
        <v>4646</v>
      </c>
      <c r="B3592" s="1930" t="s">
        <v>4647</v>
      </c>
      <c r="C3592" s="1930" t="s">
        <v>4594</v>
      </c>
      <c r="D3592" s="1930" t="s">
        <v>4650</v>
      </c>
      <c r="E3592" s="1931" t="s">
        <v>33</v>
      </c>
      <c r="F3592" s="1930" t="s">
        <v>33</v>
      </c>
      <c r="G3592" s="1932">
        <v>89785</v>
      </c>
      <c r="H3592" s="1930" t="s">
        <v>2737</v>
      </c>
      <c r="I3592" s="1930" t="s">
        <v>168</v>
      </c>
      <c r="J3592" s="1930" t="s">
        <v>320</v>
      </c>
      <c r="K3592" s="1933">
        <v>15.1</v>
      </c>
      <c r="L3592" s="1930" t="s">
        <v>138</v>
      </c>
    </row>
    <row r="3593" spans="1:12" ht="13.5" x14ac:dyDescent="0.25">
      <c r="A3593" s="1930" t="s">
        <v>4646</v>
      </c>
      <c r="B3593" s="1930" t="s">
        <v>4647</v>
      </c>
      <c r="C3593" s="1930" t="s">
        <v>4594</v>
      </c>
      <c r="D3593" s="1930" t="s">
        <v>4650</v>
      </c>
      <c r="E3593" s="1931" t="s">
        <v>33</v>
      </c>
      <c r="F3593" s="1930" t="s">
        <v>33</v>
      </c>
      <c r="G3593" s="1932">
        <v>89786</v>
      </c>
      <c r="H3593" s="1930" t="s">
        <v>2738</v>
      </c>
      <c r="I3593" s="1930" t="s">
        <v>168</v>
      </c>
      <c r="J3593" s="1930" t="s">
        <v>320</v>
      </c>
      <c r="K3593" s="1933">
        <v>22.83</v>
      </c>
      <c r="L3593" s="1930" t="s">
        <v>138</v>
      </c>
    </row>
    <row r="3594" spans="1:12" ht="13.5" x14ac:dyDescent="0.25">
      <c r="A3594" s="1930" t="s">
        <v>4646</v>
      </c>
      <c r="B3594" s="1930" t="s">
        <v>4647</v>
      </c>
      <c r="C3594" s="1930" t="s">
        <v>4594</v>
      </c>
      <c r="D3594" s="1930" t="s">
        <v>4650</v>
      </c>
      <c r="E3594" s="1931" t="s">
        <v>33</v>
      </c>
      <c r="F3594" s="1930" t="s">
        <v>33</v>
      </c>
      <c r="G3594" s="1932">
        <v>89787</v>
      </c>
      <c r="H3594" s="1930" t="s">
        <v>2739</v>
      </c>
      <c r="I3594" s="1930" t="s">
        <v>168</v>
      </c>
      <c r="J3594" s="1930" t="s">
        <v>320</v>
      </c>
      <c r="K3594" s="1933">
        <v>19.559999999999999</v>
      </c>
      <c r="L3594" s="1930" t="s">
        <v>138</v>
      </c>
    </row>
    <row r="3595" spans="1:12" ht="13.5" x14ac:dyDescent="0.25">
      <c r="A3595" s="1930" t="s">
        <v>4646</v>
      </c>
      <c r="B3595" s="1930" t="s">
        <v>4647</v>
      </c>
      <c r="C3595" s="1930" t="s">
        <v>4594</v>
      </c>
      <c r="D3595" s="1930" t="s">
        <v>4650</v>
      </c>
      <c r="E3595" s="1931" t="s">
        <v>33</v>
      </c>
      <c r="F3595" s="1930" t="s">
        <v>33</v>
      </c>
      <c r="G3595" s="1932">
        <v>89788</v>
      </c>
      <c r="H3595" s="1930" t="s">
        <v>2740</v>
      </c>
      <c r="I3595" s="1930" t="s">
        <v>168</v>
      </c>
      <c r="J3595" s="1930" t="s">
        <v>320</v>
      </c>
      <c r="K3595" s="1933">
        <v>36.86</v>
      </c>
      <c r="L3595" s="1930" t="s">
        <v>138</v>
      </c>
    </row>
    <row r="3596" spans="1:12" ht="13.5" x14ac:dyDescent="0.25">
      <c r="A3596" s="1930" t="s">
        <v>4646</v>
      </c>
      <c r="B3596" s="1930" t="s">
        <v>4647</v>
      </c>
      <c r="C3596" s="1930" t="s">
        <v>4594</v>
      </c>
      <c r="D3596" s="1930" t="s">
        <v>4650</v>
      </c>
      <c r="E3596" s="1931" t="s">
        <v>33</v>
      </c>
      <c r="F3596" s="1930" t="s">
        <v>33</v>
      </c>
      <c r="G3596" s="1932">
        <v>89789</v>
      </c>
      <c r="H3596" s="1930" t="s">
        <v>2741</v>
      </c>
      <c r="I3596" s="1930" t="s">
        <v>168</v>
      </c>
      <c r="J3596" s="1930" t="s">
        <v>320</v>
      </c>
      <c r="K3596" s="1933">
        <v>37.4</v>
      </c>
      <c r="L3596" s="1930" t="s">
        <v>138</v>
      </c>
    </row>
    <row r="3597" spans="1:12" ht="13.5" x14ac:dyDescent="0.25">
      <c r="A3597" s="1930" t="s">
        <v>4646</v>
      </c>
      <c r="B3597" s="1930" t="s">
        <v>4647</v>
      </c>
      <c r="C3597" s="1930" t="s">
        <v>4594</v>
      </c>
      <c r="D3597" s="1930" t="s">
        <v>4650</v>
      </c>
      <c r="E3597" s="1931" t="s">
        <v>33</v>
      </c>
      <c r="F3597" s="1930" t="s">
        <v>33</v>
      </c>
      <c r="G3597" s="1932">
        <v>89790</v>
      </c>
      <c r="H3597" s="1930" t="s">
        <v>2742</v>
      </c>
      <c r="I3597" s="1930" t="s">
        <v>168</v>
      </c>
      <c r="J3597" s="1930" t="s">
        <v>320</v>
      </c>
      <c r="K3597" s="1933">
        <v>88.58</v>
      </c>
      <c r="L3597" s="1930" t="s">
        <v>138</v>
      </c>
    </row>
    <row r="3598" spans="1:12" ht="13.5" x14ac:dyDescent="0.25">
      <c r="A3598" s="1930" t="s">
        <v>4646</v>
      </c>
      <c r="B3598" s="1930" t="s">
        <v>4647</v>
      </c>
      <c r="C3598" s="1930" t="s">
        <v>4594</v>
      </c>
      <c r="D3598" s="1930" t="s">
        <v>4650</v>
      </c>
      <c r="E3598" s="1931" t="s">
        <v>33</v>
      </c>
      <c r="F3598" s="1930" t="s">
        <v>33</v>
      </c>
      <c r="G3598" s="1932">
        <v>89791</v>
      </c>
      <c r="H3598" s="1930" t="s">
        <v>2743</v>
      </c>
      <c r="I3598" s="1930" t="s">
        <v>168</v>
      </c>
      <c r="J3598" s="1930" t="s">
        <v>320</v>
      </c>
      <c r="K3598" s="1933">
        <v>90.58</v>
      </c>
      <c r="L3598" s="1930" t="s">
        <v>138</v>
      </c>
    </row>
    <row r="3599" spans="1:12" ht="13.5" x14ac:dyDescent="0.25">
      <c r="A3599" s="1930" t="s">
        <v>4646</v>
      </c>
      <c r="B3599" s="1930" t="s">
        <v>4647</v>
      </c>
      <c r="C3599" s="1930" t="s">
        <v>4594</v>
      </c>
      <c r="D3599" s="1930" t="s">
        <v>4650</v>
      </c>
      <c r="E3599" s="1931" t="s">
        <v>33</v>
      </c>
      <c r="F3599" s="1930" t="s">
        <v>33</v>
      </c>
      <c r="G3599" s="1932">
        <v>89792</v>
      </c>
      <c r="H3599" s="1930" t="s">
        <v>2744</v>
      </c>
      <c r="I3599" s="1930" t="s">
        <v>168</v>
      </c>
      <c r="J3599" s="1930" t="s">
        <v>320</v>
      </c>
      <c r="K3599" s="1933">
        <v>104.54</v>
      </c>
      <c r="L3599" s="1930" t="s">
        <v>138</v>
      </c>
    </row>
    <row r="3600" spans="1:12" ht="13.5" x14ac:dyDescent="0.25">
      <c r="A3600" s="1930" t="s">
        <v>4646</v>
      </c>
      <c r="B3600" s="1930" t="s">
        <v>4647</v>
      </c>
      <c r="C3600" s="1930" t="s">
        <v>4594</v>
      </c>
      <c r="D3600" s="1930" t="s">
        <v>4650</v>
      </c>
      <c r="E3600" s="1931" t="s">
        <v>33</v>
      </c>
      <c r="F3600" s="1930" t="s">
        <v>33</v>
      </c>
      <c r="G3600" s="1932">
        <v>89793</v>
      </c>
      <c r="H3600" s="1930" t="s">
        <v>2745</v>
      </c>
      <c r="I3600" s="1930" t="s">
        <v>168</v>
      </c>
      <c r="J3600" s="1930" t="s">
        <v>320</v>
      </c>
      <c r="K3600" s="1933">
        <v>107.23</v>
      </c>
      <c r="L3600" s="1930" t="s">
        <v>138</v>
      </c>
    </row>
    <row r="3601" spans="1:12" ht="13.5" x14ac:dyDescent="0.25">
      <c r="A3601" s="1930" t="s">
        <v>4646</v>
      </c>
      <c r="B3601" s="1930" t="s">
        <v>4647</v>
      </c>
      <c r="C3601" s="1930" t="s">
        <v>4594</v>
      </c>
      <c r="D3601" s="1930" t="s">
        <v>4650</v>
      </c>
      <c r="E3601" s="1931" t="s">
        <v>33</v>
      </c>
      <c r="F3601" s="1930" t="s">
        <v>33</v>
      </c>
      <c r="G3601" s="1932">
        <v>89794</v>
      </c>
      <c r="H3601" s="1930" t="s">
        <v>2746</v>
      </c>
      <c r="I3601" s="1930" t="s">
        <v>168</v>
      </c>
      <c r="J3601" s="1930" t="s">
        <v>320</v>
      </c>
      <c r="K3601" s="1933">
        <v>9.42</v>
      </c>
      <c r="L3601" s="1930" t="s">
        <v>138</v>
      </c>
    </row>
    <row r="3602" spans="1:12" ht="13.5" x14ac:dyDescent="0.25">
      <c r="A3602" s="1930" t="s">
        <v>4646</v>
      </c>
      <c r="B3602" s="1930" t="s">
        <v>4647</v>
      </c>
      <c r="C3602" s="1930" t="s">
        <v>4594</v>
      </c>
      <c r="D3602" s="1930" t="s">
        <v>4650</v>
      </c>
      <c r="E3602" s="1931" t="s">
        <v>33</v>
      </c>
      <c r="F3602" s="1930" t="s">
        <v>33</v>
      </c>
      <c r="G3602" s="1932">
        <v>89795</v>
      </c>
      <c r="H3602" s="1930" t="s">
        <v>2747</v>
      </c>
      <c r="I3602" s="1930" t="s">
        <v>168</v>
      </c>
      <c r="J3602" s="1930" t="s">
        <v>320</v>
      </c>
      <c r="K3602" s="1933">
        <v>24.4</v>
      </c>
      <c r="L3602" s="1930" t="s">
        <v>138</v>
      </c>
    </row>
    <row r="3603" spans="1:12" ht="13.5" x14ac:dyDescent="0.25">
      <c r="A3603" s="1930" t="s">
        <v>4646</v>
      </c>
      <c r="B3603" s="1930" t="s">
        <v>4647</v>
      </c>
      <c r="C3603" s="1930" t="s">
        <v>4594</v>
      </c>
      <c r="D3603" s="1930" t="s">
        <v>4650</v>
      </c>
      <c r="E3603" s="1931" t="s">
        <v>33</v>
      </c>
      <c r="F3603" s="1930" t="s">
        <v>33</v>
      </c>
      <c r="G3603" s="1932">
        <v>89796</v>
      </c>
      <c r="H3603" s="1930" t="s">
        <v>2748</v>
      </c>
      <c r="I3603" s="1930" t="s">
        <v>168</v>
      </c>
      <c r="J3603" s="1930" t="s">
        <v>320</v>
      </c>
      <c r="K3603" s="1933">
        <v>28.41</v>
      </c>
      <c r="L3603" s="1930" t="s">
        <v>138</v>
      </c>
    </row>
    <row r="3604" spans="1:12" ht="13.5" x14ac:dyDescent="0.25">
      <c r="A3604" s="1930" t="s">
        <v>4646</v>
      </c>
      <c r="B3604" s="1930" t="s">
        <v>4647</v>
      </c>
      <c r="C3604" s="1930" t="s">
        <v>4594</v>
      </c>
      <c r="D3604" s="1930" t="s">
        <v>4650</v>
      </c>
      <c r="E3604" s="1931" t="s">
        <v>33</v>
      </c>
      <c r="F3604" s="1930" t="s">
        <v>33</v>
      </c>
      <c r="G3604" s="1932">
        <v>89797</v>
      </c>
      <c r="H3604" s="1930" t="s">
        <v>2749</v>
      </c>
      <c r="I3604" s="1930" t="s">
        <v>168</v>
      </c>
      <c r="J3604" s="1930" t="s">
        <v>320</v>
      </c>
      <c r="K3604" s="1933">
        <v>32.11</v>
      </c>
      <c r="L3604" s="1930" t="s">
        <v>138</v>
      </c>
    </row>
    <row r="3605" spans="1:12" ht="13.5" x14ac:dyDescent="0.25">
      <c r="A3605" s="1930" t="s">
        <v>4646</v>
      </c>
      <c r="B3605" s="1930" t="s">
        <v>4647</v>
      </c>
      <c r="C3605" s="1930" t="s">
        <v>4594</v>
      </c>
      <c r="D3605" s="1930" t="s">
        <v>4650</v>
      </c>
      <c r="E3605" s="1931" t="s">
        <v>33</v>
      </c>
      <c r="F3605" s="1930" t="s">
        <v>33</v>
      </c>
      <c r="G3605" s="1932">
        <v>89801</v>
      </c>
      <c r="H3605" s="1930" t="s">
        <v>2750</v>
      </c>
      <c r="I3605" s="1930" t="s">
        <v>168</v>
      </c>
      <c r="J3605" s="1930" t="s">
        <v>320</v>
      </c>
      <c r="K3605" s="1933">
        <v>4.7</v>
      </c>
      <c r="L3605" s="1930" t="s">
        <v>138</v>
      </c>
    </row>
    <row r="3606" spans="1:12" ht="13.5" x14ac:dyDescent="0.25">
      <c r="A3606" s="1930" t="s">
        <v>4646</v>
      </c>
      <c r="B3606" s="1930" t="s">
        <v>4647</v>
      </c>
      <c r="C3606" s="1930" t="s">
        <v>4594</v>
      </c>
      <c r="D3606" s="1930" t="s">
        <v>4650</v>
      </c>
      <c r="E3606" s="1931" t="s">
        <v>33</v>
      </c>
      <c r="F3606" s="1930" t="s">
        <v>33</v>
      </c>
      <c r="G3606" s="1932">
        <v>89802</v>
      </c>
      <c r="H3606" s="1930" t="s">
        <v>2751</v>
      </c>
      <c r="I3606" s="1930" t="s">
        <v>168</v>
      </c>
      <c r="J3606" s="1930" t="s">
        <v>320</v>
      </c>
      <c r="K3606" s="1933">
        <v>5.1100000000000003</v>
      </c>
      <c r="L3606" s="1930" t="s">
        <v>138</v>
      </c>
    </row>
    <row r="3607" spans="1:12" ht="13.5" x14ac:dyDescent="0.25">
      <c r="A3607" s="1930" t="s">
        <v>4646</v>
      </c>
      <c r="B3607" s="1930" t="s">
        <v>4647</v>
      </c>
      <c r="C3607" s="1930" t="s">
        <v>4594</v>
      </c>
      <c r="D3607" s="1930" t="s">
        <v>4650</v>
      </c>
      <c r="E3607" s="1931" t="s">
        <v>33</v>
      </c>
      <c r="F3607" s="1930" t="s">
        <v>33</v>
      </c>
      <c r="G3607" s="1932">
        <v>89803</v>
      </c>
      <c r="H3607" s="1930" t="s">
        <v>2752</v>
      </c>
      <c r="I3607" s="1930" t="s">
        <v>168</v>
      </c>
      <c r="J3607" s="1930" t="s">
        <v>320</v>
      </c>
      <c r="K3607" s="1933">
        <v>9.4499999999999993</v>
      </c>
      <c r="L3607" s="1930" t="s">
        <v>138</v>
      </c>
    </row>
    <row r="3608" spans="1:12" ht="13.5" x14ac:dyDescent="0.25">
      <c r="A3608" s="1930" t="s">
        <v>4646</v>
      </c>
      <c r="B3608" s="1930" t="s">
        <v>4647</v>
      </c>
      <c r="C3608" s="1930" t="s">
        <v>4594</v>
      </c>
      <c r="D3608" s="1930" t="s">
        <v>4650</v>
      </c>
      <c r="E3608" s="1931" t="s">
        <v>33</v>
      </c>
      <c r="F3608" s="1930" t="s">
        <v>33</v>
      </c>
      <c r="G3608" s="1932">
        <v>89804</v>
      </c>
      <c r="H3608" s="1930" t="s">
        <v>2753</v>
      </c>
      <c r="I3608" s="1930" t="s">
        <v>168</v>
      </c>
      <c r="J3608" s="1930" t="s">
        <v>320</v>
      </c>
      <c r="K3608" s="1933">
        <v>10.119999999999999</v>
      </c>
      <c r="L3608" s="1930" t="s">
        <v>138</v>
      </c>
    </row>
    <row r="3609" spans="1:12" ht="13.5" x14ac:dyDescent="0.25">
      <c r="A3609" s="1930" t="s">
        <v>4646</v>
      </c>
      <c r="B3609" s="1930" t="s">
        <v>4647</v>
      </c>
      <c r="C3609" s="1930" t="s">
        <v>4594</v>
      </c>
      <c r="D3609" s="1930" t="s">
        <v>4650</v>
      </c>
      <c r="E3609" s="1931" t="s">
        <v>33</v>
      </c>
      <c r="F3609" s="1930" t="s">
        <v>33</v>
      </c>
      <c r="G3609" s="1932">
        <v>89805</v>
      </c>
      <c r="H3609" s="1930" t="s">
        <v>2754</v>
      </c>
      <c r="I3609" s="1930" t="s">
        <v>168</v>
      </c>
      <c r="J3609" s="1930" t="s">
        <v>320</v>
      </c>
      <c r="K3609" s="1933">
        <v>9.4600000000000009</v>
      </c>
      <c r="L3609" s="1930" t="s">
        <v>138</v>
      </c>
    </row>
    <row r="3610" spans="1:12" ht="13.5" x14ac:dyDescent="0.25">
      <c r="A3610" s="1930" t="s">
        <v>4646</v>
      </c>
      <c r="B3610" s="1930" t="s">
        <v>4647</v>
      </c>
      <c r="C3610" s="1930" t="s">
        <v>4594</v>
      </c>
      <c r="D3610" s="1930" t="s">
        <v>4650</v>
      </c>
      <c r="E3610" s="1931" t="s">
        <v>33</v>
      </c>
      <c r="F3610" s="1930" t="s">
        <v>33</v>
      </c>
      <c r="G3610" s="1932">
        <v>89806</v>
      </c>
      <c r="H3610" s="1930" t="s">
        <v>2755</v>
      </c>
      <c r="I3610" s="1930" t="s">
        <v>168</v>
      </c>
      <c r="J3610" s="1930" t="s">
        <v>320</v>
      </c>
      <c r="K3610" s="1933">
        <v>10.039999999999999</v>
      </c>
      <c r="L3610" s="1930" t="s">
        <v>138</v>
      </c>
    </row>
    <row r="3611" spans="1:12" ht="13.5" x14ac:dyDescent="0.25">
      <c r="A3611" s="1930" t="s">
        <v>4646</v>
      </c>
      <c r="B3611" s="1930" t="s">
        <v>4647</v>
      </c>
      <c r="C3611" s="1930" t="s">
        <v>4594</v>
      </c>
      <c r="D3611" s="1930" t="s">
        <v>4650</v>
      </c>
      <c r="E3611" s="1931" t="s">
        <v>33</v>
      </c>
      <c r="F3611" s="1930" t="s">
        <v>33</v>
      </c>
      <c r="G3611" s="1932">
        <v>89807</v>
      </c>
      <c r="H3611" s="1930" t="s">
        <v>2756</v>
      </c>
      <c r="I3611" s="1930" t="s">
        <v>168</v>
      </c>
      <c r="J3611" s="1930" t="s">
        <v>320</v>
      </c>
      <c r="K3611" s="1933">
        <v>17.690000000000001</v>
      </c>
      <c r="L3611" s="1930" t="s">
        <v>138</v>
      </c>
    </row>
    <row r="3612" spans="1:12" ht="13.5" x14ac:dyDescent="0.25">
      <c r="A3612" s="1930" t="s">
        <v>4646</v>
      </c>
      <c r="B3612" s="1930" t="s">
        <v>4647</v>
      </c>
      <c r="C3612" s="1930" t="s">
        <v>4594</v>
      </c>
      <c r="D3612" s="1930" t="s">
        <v>4650</v>
      </c>
      <c r="E3612" s="1931" t="s">
        <v>33</v>
      </c>
      <c r="F3612" s="1930" t="s">
        <v>33</v>
      </c>
      <c r="G3612" s="1932">
        <v>89808</v>
      </c>
      <c r="H3612" s="1930" t="s">
        <v>2757</v>
      </c>
      <c r="I3612" s="1930" t="s">
        <v>168</v>
      </c>
      <c r="J3612" s="1930" t="s">
        <v>320</v>
      </c>
      <c r="K3612" s="1933">
        <v>25.95</v>
      </c>
      <c r="L3612" s="1930" t="s">
        <v>138</v>
      </c>
    </row>
    <row r="3613" spans="1:12" ht="13.5" x14ac:dyDescent="0.25">
      <c r="A3613" s="1930" t="s">
        <v>4646</v>
      </c>
      <c r="B3613" s="1930" t="s">
        <v>4647</v>
      </c>
      <c r="C3613" s="1930" t="s">
        <v>4594</v>
      </c>
      <c r="D3613" s="1930" t="s">
        <v>4650</v>
      </c>
      <c r="E3613" s="1931" t="s">
        <v>33</v>
      </c>
      <c r="F3613" s="1930" t="s">
        <v>33</v>
      </c>
      <c r="G3613" s="1932">
        <v>89809</v>
      </c>
      <c r="H3613" s="1930" t="s">
        <v>2758</v>
      </c>
      <c r="I3613" s="1930" t="s">
        <v>168</v>
      </c>
      <c r="J3613" s="1930" t="s">
        <v>320</v>
      </c>
      <c r="K3613" s="1933">
        <v>12.81</v>
      </c>
      <c r="L3613" s="1930" t="s">
        <v>138</v>
      </c>
    </row>
    <row r="3614" spans="1:12" ht="13.5" x14ac:dyDescent="0.25">
      <c r="A3614" s="1930" t="s">
        <v>4646</v>
      </c>
      <c r="B3614" s="1930" t="s">
        <v>4647</v>
      </c>
      <c r="C3614" s="1930" t="s">
        <v>4594</v>
      </c>
      <c r="D3614" s="1930" t="s">
        <v>4650</v>
      </c>
      <c r="E3614" s="1931" t="s">
        <v>33</v>
      </c>
      <c r="F3614" s="1930" t="s">
        <v>33</v>
      </c>
      <c r="G3614" s="1932">
        <v>89810</v>
      </c>
      <c r="H3614" s="1930" t="s">
        <v>2759</v>
      </c>
      <c r="I3614" s="1930" t="s">
        <v>168</v>
      </c>
      <c r="J3614" s="1930" t="s">
        <v>320</v>
      </c>
      <c r="K3614" s="1933">
        <v>12.78</v>
      </c>
      <c r="L3614" s="1930" t="s">
        <v>138</v>
      </c>
    </row>
    <row r="3615" spans="1:12" ht="13.5" x14ac:dyDescent="0.25">
      <c r="A3615" s="1930" t="s">
        <v>4646</v>
      </c>
      <c r="B3615" s="1930" t="s">
        <v>4647</v>
      </c>
      <c r="C3615" s="1930" t="s">
        <v>4594</v>
      </c>
      <c r="D3615" s="1930" t="s">
        <v>4650</v>
      </c>
      <c r="E3615" s="1931" t="s">
        <v>33</v>
      </c>
      <c r="F3615" s="1930" t="s">
        <v>33</v>
      </c>
      <c r="G3615" s="1932">
        <v>89811</v>
      </c>
      <c r="H3615" s="1930" t="s">
        <v>2760</v>
      </c>
      <c r="I3615" s="1930" t="s">
        <v>168</v>
      </c>
      <c r="J3615" s="1930" t="s">
        <v>320</v>
      </c>
      <c r="K3615" s="1933">
        <v>21.77</v>
      </c>
      <c r="L3615" s="1930" t="s">
        <v>138</v>
      </c>
    </row>
    <row r="3616" spans="1:12" ht="13.5" x14ac:dyDescent="0.25">
      <c r="A3616" s="1930" t="s">
        <v>4646</v>
      </c>
      <c r="B3616" s="1930" t="s">
        <v>4647</v>
      </c>
      <c r="C3616" s="1930" t="s">
        <v>4594</v>
      </c>
      <c r="D3616" s="1930" t="s">
        <v>4650</v>
      </c>
      <c r="E3616" s="1931" t="s">
        <v>33</v>
      </c>
      <c r="F3616" s="1930" t="s">
        <v>33</v>
      </c>
      <c r="G3616" s="1932">
        <v>89812</v>
      </c>
      <c r="H3616" s="1930" t="s">
        <v>2761</v>
      </c>
      <c r="I3616" s="1930" t="s">
        <v>168</v>
      </c>
      <c r="J3616" s="1930" t="s">
        <v>320</v>
      </c>
      <c r="K3616" s="1933">
        <v>37.65</v>
      </c>
      <c r="L3616" s="1930" t="s">
        <v>138</v>
      </c>
    </row>
    <row r="3617" spans="1:12" ht="13.5" x14ac:dyDescent="0.25">
      <c r="A3617" s="1930" t="s">
        <v>4646</v>
      </c>
      <c r="B3617" s="1930" t="s">
        <v>4647</v>
      </c>
      <c r="C3617" s="1930" t="s">
        <v>4594</v>
      </c>
      <c r="D3617" s="1930" t="s">
        <v>4650</v>
      </c>
      <c r="E3617" s="1931" t="s">
        <v>33</v>
      </c>
      <c r="F3617" s="1930" t="s">
        <v>33</v>
      </c>
      <c r="G3617" s="1932">
        <v>89813</v>
      </c>
      <c r="H3617" s="1930" t="s">
        <v>2762</v>
      </c>
      <c r="I3617" s="1930" t="s">
        <v>168</v>
      </c>
      <c r="J3617" s="1930" t="s">
        <v>320</v>
      </c>
      <c r="K3617" s="1933">
        <v>4.5999999999999996</v>
      </c>
      <c r="L3617" s="1930" t="s">
        <v>138</v>
      </c>
    </row>
    <row r="3618" spans="1:12" ht="13.5" x14ac:dyDescent="0.25">
      <c r="A3618" s="1930" t="s">
        <v>4646</v>
      </c>
      <c r="B3618" s="1930" t="s">
        <v>4647</v>
      </c>
      <c r="C3618" s="1930" t="s">
        <v>4594</v>
      </c>
      <c r="D3618" s="1930" t="s">
        <v>4650</v>
      </c>
      <c r="E3618" s="1931" t="s">
        <v>33</v>
      </c>
      <c r="F3618" s="1930" t="s">
        <v>33</v>
      </c>
      <c r="G3618" s="1932">
        <v>89814</v>
      </c>
      <c r="H3618" s="1930" t="s">
        <v>2763</v>
      </c>
      <c r="I3618" s="1930" t="s">
        <v>168</v>
      </c>
      <c r="J3618" s="1930" t="s">
        <v>320</v>
      </c>
      <c r="K3618" s="1933">
        <v>9.42</v>
      </c>
      <c r="L3618" s="1930" t="s">
        <v>138</v>
      </c>
    </row>
    <row r="3619" spans="1:12" ht="13.5" x14ac:dyDescent="0.25">
      <c r="A3619" s="1930" t="s">
        <v>4646</v>
      </c>
      <c r="B3619" s="1930" t="s">
        <v>4647</v>
      </c>
      <c r="C3619" s="1930" t="s">
        <v>4594</v>
      </c>
      <c r="D3619" s="1930" t="s">
        <v>4650</v>
      </c>
      <c r="E3619" s="1931" t="s">
        <v>33</v>
      </c>
      <c r="F3619" s="1930" t="s">
        <v>33</v>
      </c>
      <c r="G3619" s="1932">
        <v>89815</v>
      </c>
      <c r="H3619" s="1930" t="s">
        <v>2764</v>
      </c>
      <c r="I3619" s="1930" t="s">
        <v>168</v>
      </c>
      <c r="J3619" s="1930" t="s">
        <v>320</v>
      </c>
      <c r="K3619" s="1933">
        <v>14.93</v>
      </c>
      <c r="L3619" s="1930" t="s">
        <v>138</v>
      </c>
    </row>
    <row r="3620" spans="1:12" ht="13.5" x14ac:dyDescent="0.25">
      <c r="A3620" s="1930" t="s">
        <v>4646</v>
      </c>
      <c r="B3620" s="1930" t="s">
        <v>4647</v>
      </c>
      <c r="C3620" s="1930" t="s">
        <v>4594</v>
      </c>
      <c r="D3620" s="1930" t="s">
        <v>4650</v>
      </c>
      <c r="E3620" s="1931" t="s">
        <v>33</v>
      </c>
      <c r="F3620" s="1930" t="s">
        <v>33</v>
      </c>
      <c r="G3620" s="1932">
        <v>89816</v>
      </c>
      <c r="H3620" s="1930" t="s">
        <v>2765</v>
      </c>
      <c r="I3620" s="1930" t="s">
        <v>168</v>
      </c>
      <c r="J3620" s="1930" t="s">
        <v>320</v>
      </c>
      <c r="K3620" s="1933">
        <v>20.85</v>
      </c>
      <c r="L3620" s="1930" t="s">
        <v>138</v>
      </c>
    </row>
    <row r="3621" spans="1:12" ht="13.5" x14ac:dyDescent="0.25">
      <c r="A3621" s="1930" t="s">
        <v>4646</v>
      </c>
      <c r="B3621" s="1930" t="s">
        <v>4647</v>
      </c>
      <c r="C3621" s="1930" t="s">
        <v>4594</v>
      </c>
      <c r="D3621" s="1930" t="s">
        <v>4650</v>
      </c>
      <c r="E3621" s="1931" t="s">
        <v>33</v>
      </c>
      <c r="F3621" s="1930" t="s">
        <v>33</v>
      </c>
      <c r="G3621" s="1932">
        <v>89817</v>
      </c>
      <c r="H3621" s="1930" t="s">
        <v>2766</v>
      </c>
      <c r="I3621" s="1930" t="s">
        <v>168</v>
      </c>
      <c r="J3621" s="1930" t="s">
        <v>320</v>
      </c>
      <c r="K3621" s="1933">
        <v>8.06</v>
      </c>
      <c r="L3621" s="1930" t="s">
        <v>138</v>
      </c>
    </row>
    <row r="3622" spans="1:12" ht="13.5" x14ac:dyDescent="0.25">
      <c r="A3622" s="1930" t="s">
        <v>4646</v>
      </c>
      <c r="B3622" s="1930" t="s">
        <v>4647</v>
      </c>
      <c r="C3622" s="1930" t="s">
        <v>4594</v>
      </c>
      <c r="D3622" s="1930" t="s">
        <v>4650</v>
      </c>
      <c r="E3622" s="1931" t="s">
        <v>33</v>
      </c>
      <c r="F3622" s="1930" t="s">
        <v>33</v>
      </c>
      <c r="G3622" s="1932">
        <v>89818</v>
      </c>
      <c r="H3622" s="1930" t="s">
        <v>2767</v>
      </c>
      <c r="I3622" s="1930" t="s">
        <v>168</v>
      </c>
      <c r="J3622" s="1930" t="s">
        <v>320</v>
      </c>
      <c r="K3622" s="1933">
        <v>79.42</v>
      </c>
      <c r="L3622" s="1930" t="s">
        <v>138</v>
      </c>
    </row>
    <row r="3623" spans="1:12" ht="13.5" x14ac:dyDescent="0.25">
      <c r="A3623" s="1930" t="s">
        <v>4646</v>
      </c>
      <c r="B3623" s="1930" t="s">
        <v>4647</v>
      </c>
      <c r="C3623" s="1930" t="s">
        <v>4594</v>
      </c>
      <c r="D3623" s="1930" t="s">
        <v>4650</v>
      </c>
      <c r="E3623" s="1931" t="s">
        <v>33</v>
      </c>
      <c r="F3623" s="1930" t="s">
        <v>33</v>
      </c>
      <c r="G3623" s="1932">
        <v>89819</v>
      </c>
      <c r="H3623" s="1930" t="s">
        <v>2768</v>
      </c>
      <c r="I3623" s="1930" t="s">
        <v>168</v>
      </c>
      <c r="J3623" s="1930" t="s">
        <v>320</v>
      </c>
      <c r="K3623" s="1933">
        <v>11.79</v>
      </c>
      <c r="L3623" s="1930" t="s">
        <v>138</v>
      </c>
    </row>
    <row r="3624" spans="1:12" ht="13.5" x14ac:dyDescent="0.25">
      <c r="A3624" s="1930" t="s">
        <v>4646</v>
      </c>
      <c r="B3624" s="1930" t="s">
        <v>4647</v>
      </c>
      <c r="C3624" s="1930" t="s">
        <v>4594</v>
      </c>
      <c r="D3624" s="1930" t="s">
        <v>4650</v>
      </c>
      <c r="E3624" s="1931" t="s">
        <v>33</v>
      </c>
      <c r="F3624" s="1930" t="s">
        <v>33</v>
      </c>
      <c r="G3624" s="1932">
        <v>89820</v>
      </c>
      <c r="H3624" s="1930" t="s">
        <v>2769</v>
      </c>
      <c r="I3624" s="1930" t="s">
        <v>168</v>
      </c>
      <c r="J3624" s="1930" t="s">
        <v>320</v>
      </c>
      <c r="K3624" s="1933">
        <v>16.12</v>
      </c>
      <c r="L3624" s="1930" t="s">
        <v>138</v>
      </c>
    </row>
    <row r="3625" spans="1:12" ht="13.5" x14ac:dyDescent="0.25">
      <c r="A3625" s="1930" t="s">
        <v>4646</v>
      </c>
      <c r="B3625" s="1930" t="s">
        <v>4647</v>
      </c>
      <c r="C3625" s="1930" t="s">
        <v>4594</v>
      </c>
      <c r="D3625" s="1930" t="s">
        <v>4650</v>
      </c>
      <c r="E3625" s="1931" t="s">
        <v>33</v>
      </c>
      <c r="F3625" s="1930" t="s">
        <v>33</v>
      </c>
      <c r="G3625" s="1932">
        <v>89821</v>
      </c>
      <c r="H3625" s="1930" t="s">
        <v>2770</v>
      </c>
      <c r="I3625" s="1930" t="s">
        <v>168</v>
      </c>
      <c r="J3625" s="1930" t="s">
        <v>320</v>
      </c>
      <c r="K3625" s="1933">
        <v>10.11</v>
      </c>
      <c r="L3625" s="1930" t="s">
        <v>138</v>
      </c>
    </row>
    <row r="3626" spans="1:12" ht="13.5" x14ac:dyDescent="0.25">
      <c r="A3626" s="1930" t="s">
        <v>4646</v>
      </c>
      <c r="B3626" s="1930" t="s">
        <v>4647</v>
      </c>
      <c r="C3626" s="1930" t="s">
        <v>4594</v>
      </c>
      <c r="D3626" s="1930" t="s">
        <v>4650</v>
      </c>
      <c r="E3626" s="1931" t="s">
        <v>33</v>
      </c>
      <c r="F3626" s="1930" t="s">
        <v>33</v>
      </c>
      <c r="G3626" s="1932">
        <v>89822</v>
      </c>
      <c r="H3626" s="1930" t="s">
        <v>2771</v>
      </c>
      <c r="I3626" s="1930" t="s">
        <v>168</v>
      </c>
      <c r="J3626" s="1930" t="s">
        <v>320</v>
      </c>
      <c r="K3626" s="1933">
        <v>12.21</v>
      </c>
      <c r="L3626" s="1930" t="s">
        <v>138</v>
      </c>
    </row>
    <row r="3627" spans="1:12" ht="13.5" x14ac:dyDescent="0.25">
      <c r="A3627" s="1930" t="s">
        <v>4646</v>
      </c>
      <c r="B3627" s="1930" t="s">
        <v>4647</v>
      </c>
      <c r="C3627" s="1930" t="s">
        <v>4594</v>
      </c>
      <c r="D3627" s="1930" t="s">
        <v>4650</v>
      </c>
      <c r="E3627" s="1931" t="s">
        <v>33</v>
      </c>
      <c r="F3627" s="1930" t="s">
        <v>33</v>
      </c>
      <c r="G3627" s="1932">
        <v>89823</v>
      </c>
      <c r="H3627" s="1930" t="s">
        <v>2772</v>
      </c>
      <c r="I3627" s="1930" t="s">
        <v>168</v>
      </c>
      <c r="J3627" s="1930" t="s">
        <v>320</v>
      </c>
      <c r="K3627" s="1933">
        <v>17.02</v>
      </c>
      <c r="L3627" s="1930" t="s">
        <v>138</v>
      </c>
    </row>
    <row r="3628" spans="1:12" ht="13.5" x14ac:dyDescent="0.25">
      <c r="A3628" s="1930" t="s">
        <v>4646</v>
      </c>
      <c r="B3628" s="1930" t="s">
        <v>4647</v>
      </c>
      <c r="C3628" s="1930" t="s">
        <v>4594</v>
      </c>
      <c r="D3628" s="1930" t="s">
        <v>4650</v>
      </c>
      <c r="E3628" s="1931" t="s">
        <v>33</v>
      </c>
      <c r="F3628" s="1930" t="s">
        <v>33</v>
      </c>
      <c r="G3628" s="1932">
        <v>89824</v>
      </c>
      <c r="H3628" s="1930" t="s">
        <v>2773</v>
      </c>
      <c r="I3628" s="1930" t="s">
        <v>168</v>
      </c>
      <c r="J3628" s="1930" t="s">
        <v>320</v>
      </c>
      <c r="K3628" s="1933">
        <v>20.07</v>
      </c>
      <c r="L3628" s="1930" t="s">
        <v>138</v>
      </c>
    </row>
    <row r="3629" spans="1:12" ht="13.5" x14ac:dyDescent="0.25">
      <c r="A3629" s="1930" t="s">
        <v>4646</v>
      </c>
      <c r="B3629" s="1930" t="s">
        <v>4647</v>
      </c>
      <c r="C3629" s="1930" t="s">
        <v>4594</v>
      </c>
      <c r="D3629" s="1930" t="s">
        <v>4650</v>
      </c>
      <c r="E3629" s="1931" t="s">
        <v>33</v>
      </c>
      <c r="F3629" s="1930" t="s">
        <v>33</v>
      </c>
      <c r="G3629" s="1932">
        <v>89825</v>
      </c>
      <c r="H3629" s="1930" t="s">
        <v>2774</v>
      </c>
      <c r="I3629" s="1930" t="s">
        <v>168</v>
      </c>
      <c r="J3629" s="1930" t="s">
        <v>320</v>
      </c>
      <c r="K3629" s="1933">
        <v>10.07</v>
      </c>
      <c r="L3629" s="1930" t="s">
        <v>138</v>
      </c>
    </row>
    <row r="3630" spans="1:12" ht="13.5" x14ac:dyDescent="0.25">
      <c r="A3630" s="1930" t="s">
        <v>4646</v>
      </c>
      <c r="B3630" s="1930" t="s">
        <v>4647</v>
      </c>
      <c r="C3630" s="1930" t="s">
        <v>4594</v>
      </c>
      <c r="D3630" s="1930" t="s">
        <v>4650</v>
      </c>
      <c r="E3630" s="1931" t="s">
        <v>33</v>
      </c>
      <c r="F3630" s="1930" t="s">
        <v>33</v>
      </c>
      <c r="G3630" s="1932">
        <v>89826</v>
      </c>
      <c r="H3630" s="1930" t="s">
        <v>2775</v>
      </c>
      <c r="I3630" s="1930" t="s">
        <v>168</v>
      </c>
      <c r="J3630" s="1930" t="s">
        <v>320</v>
      </c>
      <c r="K3630" s="1933">
        <v>81.31</v>
      </c>
      <c r="L3630" s="1930" t="s">
        <v>138</v>
      </c>
    </row>
    <row r="3631" spans="1:12" ht="13.5" x14ac:dyDescent="0.25">
      <c r="A3631" s="1930" t="s">
        <v>4646</v>
      </c>
      <c r="B3631" s="1930" t="s">
        <v>4647</v>
      </c>
      <c r="C3631" s="1930" t="s">
        <v>4594</v>
      </c>
      <c r="D3631" s="1930" t="s">
        <v>4650</v>
      </c>
      <c r="E3631" s="1931" t="s">
        <v>33</v>
      </c>
      <c r="F3631" s="1930" t="s">
        <v>33</v>
      </c>
      <c r="G3631" s="1932">
        <v>89827</v>
      </c>
      <c r="H3631" s="1930" t="s">
        <v>2776</v>
      </c>
      <c r="I3631" s="1930" t="s">
        <v>168</v>
      </c>
      <c r="J3631" s="1930" t="s">
        <v>320</v>
      </c>
      <c r="K3631" s="1933">
        <v>11.22</v>
      </c>
      <c r="L3631" s="1930" t="s">
        <v>138</v>
      </c>
    </row>
    <row r="3632" spans="1:12" ht="13.5" x14ac:dyDescent="0.25">
      <c r="A3632" s="1930" t="s">
        <v>4646</v>
      </c>
      <c r="B3632" s="1930" t="s">
        <v>4647</v>
      </c>
      <c r="C3632" s="1930" t="s">
        <v>4594</v>
      </c>
      <c r="D3632" s="1930" t="s">
        <v>4650</v>
      </c>
      <c r="E3632" s="1931" t="s">
        <v>33</v>
      </c>
      <c r="F3632" s="1930" t="s">
        <v>33</v>
      </c>
      <c r="G3632" s="1932">
        <v>89828</v>
      </c>
      <c r="H3632" s="1930" t="s">
        <v>2777</v>
      </c>
      <c r="I3632" s="1930" t="s">
        <v>168</v>
      </c>
      <c r="J3632" s="1930" t="s">
        <v>320</v>
      </c>
      <c r="K3632" s="1933">
        <v>29.78</v>
      </c>
      <c r="L3632" s="1930" t="s">
        <v>138</v>
      </c>
    </row>
    <row r="3633" spans="1:12" ht="13.5" x14ac:dyDescent="0.25">
      <c r="A3633" s="1930" t="s">
        <v>4646</v>
      </c>
      <c r="B3633" s="1930" t="s">
        <v>4647</v>
      </c>
      <c r="C3633" s="1930" t="s">
        <v>4594</v>
      </c>
      <c r="D3633" s="1930" t="s">
        <v>4650</v>
      </c>
      <c r="E3633" s="1931" t="s">
        <v>33</v>
      </c>
      <c r="F3633" s="1930" t="s">
        <v>33</v>
      </c>
      <c r="G3633" s="1932">
        <v>89829</v>
      </c>
      <c r="H3633" s="1930" t="s">
        <v>2778</v>
      </c>
      <c r="I3633" s="1930" t="s">
        <v>168</v>
      </c>
      <c r="J3633" s="1930" t="s">
        <v>320</v>
      </c>
      <c r="K3633" s="1933">
        <v>17.899999999999999</v>
      </c>
      <c r="L3633" s="1930" t="s">
        <v>138</v>
      </c>
    </row>
    <row r="3634" spans="1:12" ht="13.5" x14ac:dyDescent="0.25">
      <c r="A3634" s="1930" t="s">
        <v>4646</v>
      </c>
      <c r="B3634" s="1930" t="s">
        <v>4647</v>
      </c>
      <c r="C3634" s="1930" t="s">
        <v>4594</v>
      </c>
      <c r="D3634" s="1930" t="s">
        <v>4650</v>
      </c>
      <c r="E3634" s="1931" t="s">
        <v>33</v>
      </c>
      <c r="F3634" s="1930" t="s">
        <v>33</v>
      </c>
      <c r="G3634" s="1932">
        <v>89830</v>
      </c>
      <c r="H3634" s="1930" t="s">
        <v>2779</v>
      </c>
      <c r="I3634" s="1930" t="s">
        <v>168</v>
      </c>
      <c r="J3634" s="1930" t="s">
        <v>320</v>
      </c>
      <c r="K3634" s="1933">
        <v>19.47</v>
      </c>
      <c r="L3634" s="1930" t="s">
        <v>138</v>
      </c>
    </row>
    <row r="3635" spans="1:12" ht="13.5" x14ac:dyDescent="0.25">
      <c r="A3635" s="1930" t="s">
        <v>4646</v>
      </c>
      <c r="B3635" s="1930" t="s">
        <v>4647</v>
      </c>
      <c r="C3635" s="1930" t="s">
        <v>4594</v>
      </c>
      <c r="D3635" s="1930" t="s">
        <v>4650</v>
      </c>
      <c r="E3635" s="1931" t="s">
        <v>33</v>
      </c>
      <c r="F3635" s="1930" t="s">
        <v>33</v>
      </c>
      <c r="G3635" s="1932">
        <v>89831</v>
      </c>
      <c r="H3635" s="1930" t="s">
        <v>2780</v>
      </c>
      <c r="I3635" s="1930" t="s">
        <v>168</v>
      </c>
      <c r="J3635" s="1930" t="s">
        <v>320</v>
      </c>
      <c r="K3635" s="1933">
        <v>96.93</v>
      </c>
      <c r="L3635" s="1930" t="s">
        <v>138</v>
      </c>
    </row>
    <row r="3636" spans="1:12" ht="13.5" x14ac:dyDescent="0.25">
      <c r="A3636" s="1930" t="s">
        <v>4646</v>
      </c>
      <c r="B3636" s="1930" t="s">
        <v>4647</v>
      </c>
      <c r="C3636" s="1930" t="s">
        <v>4594</v>
      </c>
      <c r="D3636" s="1930" t="s">
        <v>4650</v>
      </c>
      <c r="E3636" s="1931" t="s">
        <v>33</v>
      </c>
      <c r="F3636" s="1930" t="s">
        <v>33</v>
      </c>
      <c r="G3636" s="1932">
        <v>89832</v>
      </c>
      <c r="H3636" s="1930" t="s">
        <v>2781</v>
      </c>
      <c r="I3636" s="1930" t="s">
        <v>168</v>
      </c>
      <c r="J3636" s="1930" t="s">
        <v>320</v>
      </c>
      <c r="K3636" s="1933">
        <v>20.97</v>
      </c>
      <c r="L3636" s="1930" t="s">
        <v>138</v>
      </c>
    </row>
    <row r="3637" spans="1:12" ht="13.5" x14ac:dyDescent="0.25">
      <c r="A3637" s="1930" t="s">
        <v>4646</v>
      </c>
      <c r="B3637" s="1930" t="s">
        <v>4647</v>
      </c>
      <c r="C3637" s="1930" t="s">
        <v>4594</v>
      </c>
      <c r="D3637" s="1930" t="s">
        <v>4650</v>
      </c>
      <c r="E3637" s="1931" t="s">
        <v>33</v>
      </c>
      <c r="F3637" s="1930" t="s">
        <v>33</v>
      </c>
      <c r="G3637" s="1932">
        <v>89833</v>
      </c>
      <c r="H3637" s="1930" t="s">
        <v>2782</v>
      </c>
      <c r="I3637" s="1930" t="s">
        <v>168</v>
      </c>
      <c r="J3637" s="1930" t="s">
        <v>320</v>
      </c>
      <c r="K3637" s="1933">
        <v>22.4</v>
      </c>
      <c r="L3637" s="1930" t="s">
        <v>138</v>
      </c>
    </row>
    <row r="3638" spans="1:12" ht="13.5" x14ac:dyDescent="0.25">
      <c r="A3638" s="1930" t="s">
        <v>4646</v>
      </c>
      <c r="B3638" s="1930" t="s">
        <v>4647</v>
      </c>
      <c r="C3638" s="1930" t="s">
        <v>4594</v>
      </c>
      <c r="D3638" s="1930" t="s">
        <v>4650</v>
      </c>
      <c r="E3638" s="1931" t="s">
        <v>33</v>
      </c>
      <c r="F3638" s="1930" t="s">
        <v>33</v>
      </c>
      <c r="G3638" s="1932">
        <v>89834</v>
      </c>
      <c r="H3638" s="1930" t="s">
        <v>2783</v>
      </c>
      <c r="I3638" s="1930" t="s">
        <v>168</v>
      </c>
      <c r="J3638" s="1930" t="s">
        <v>320</v>
      </c>
      <c r="K3638" s="1933">
        <v>26.1</v>
      </c>
      <c r="L3638" s="1930" t="s">
        <v>138</v>
      </c>
    </row>
    <row r="3639" spans="1:12" ht="13.5" x14ac:dyDescent="0.25">
      <c r="A3639" s="1930" t="s">
        <v>4646</v>
      </c>
      <c r="B3639" s="1930" t="s">
        <v>4647</v>
      </c>
      <c r="C3639" s="1930" t="s">
        <v>4594</v>
      </c>
      <c r="D3639" s="1930" t="s">
        <v>4650</v>
      </c>
      <c r="E3639" s="1931" t="s">
        <v>33</v>
      </c>
      <c r="F3639" s="1930" t="s">
        <v>33</v>
      </c>
      <c r="G3639" s="1932">
        <v>89835</v>
      </c>
      <c r="H3639" s="1930" t="s">
        <v>2784</v>
      </c>
      <c r="I3639" s="1930" t="s">
        <v>168</v>
      </c>
      <c r="J3639" s="1930" t="s">
        <v>320</v>
      </c>
      <c r="K3639" s="1933">
        <v>21.03</v>
      </c>
      <c r="L3639" s="1930" t="s">
        <v>138</v>
      </c>
    </row>
    <row r="3640" spans="1:12" ht="13.5" x14ac:dyDescent="0.25">
      <c r="A3640" s="1930" t="s">
        <v>4646</v>
      </c>
      <c r="B3640" s="1930" t="s">
        <v>4647</v>
      </c>
      <c r="C3640" s="1930" t="s">
        <v>4594</v>
      </c>
      <c r="D3640" s="1930" t="s">
        <v>4650</v>
      </c>
      <c r="E3640" s="1931" t="s">
        <v>33</v>
      </c>
      <c r="F3640" s="1930" t="s">
        <v>33</v>
      </c>
      <c r="G3640" s="1932">
        <v>89836</v>
      </c>
      <c r="H3640" s="1930" t="s">
        <v>2785</v>
      </c>
      <c r="I3640" s="1930" t="s">
        <v>168</v>
      </c>
      <c r="J3640" s="1930" t="s">
        <v>320</v>
      </c>
      <c r="K3640" s="1933">
        <v>130.79</v>
      </c>
      <c r="L3640" s="1930" t="s">
        <v>138</v>
      </c>
    </row>
    <row r="3641" spans="1:12" ht="13.5" x14ac:dyDescent="0.25">
      <c r="A3641" s="1930" t="s">
        <v>4646</v>
      </c>
      <c r="B3641" s="1930" t="s">
        <v>4647</v>
      </c>
      <c r="C3641" s="1930" t="s">
        <v>4594</v>
      </c>
      <c r="D3641" s="1930" t="s">
        <v>4650</v>
      </c>
      <c r="E3641" s="1931" t="s">
        <v>33</v>
      </c>
      <c r="F3641" s="1930" t="s">
        <v>33</v>
      </c>
      <c r="G3641" s="1932">
        <v>89837</v>
      </c>
      <c r="H3641" s="1930" t="s">
        <v>2786</v>
      </c>
      <c r="I3641" s="1930" t="s">
        <v>168</v>
      </c>
      <c r="J3641" s="1930" t="s">
        <v>320</v>
      </c>
      <c r="K3641" s="1933">
        <v>66.08</v>
      </c>
      <c r="L3641" s="1930" t="s">
        <v>138</v>
      </c>
    </row>
    <row r="3642" spans="1:12" ht="13.5" x14ac:dyDescent="0.25">
      <c r="A3642" s="1930" t="s">
        <v>4646</v>
      </c>
      <c r="B3642" s="1930" t="s">
        <v>4647</v>
      </c>
      <c r="C3642" s="1930" t="s">
        <v>4594</v>
      </c>
      <c r="D3642" s="1930" t="s">
        <v>4650</v>
      </c>
      <c r="E3642" s="1931" t="s">
        <v>33</v>
      </c>
      <c r="F3642" s="1930" t="s">
        <v>33</v>
      </c>
      <c r="G3642" s="1932">
        <v>89838</v>
      </c>
      <c r="H3642" s="1930" t="s">
        <v>2787</v>
      </c>
      <c r="I3642" s="1930" t="s">
        <v>168</v>
      </c>
      <c r="J3642" s="1930" t="s">
        <v>320</v>
      </c>
      <c r="K3642" s="1933">
        <v>72.53</v>
      </c>
      <c r="L3642" s="1930" t="s">
        <v>138</v>
      </c>
    </row>
    <row r="3643" spans="1:12" ht="13.5" x14ac:dyDescent="0.25">
      <c r="A3643" s="1930" t="s">
        <v>4646</v>
      </c>
      <c r="B3643" s="1930" t="s">
        <v>4647</v>
      </c>
      <c r="C3643" s="1930" t="s">
        <v>4594</v>
      </c>
      <c r="D3643" s="1930" t="s">
        <v>4650</v>
      </c>
      <c r="E3643" s="1931" t="s">
        <v>33</v>
      </c>
      <c r="F3643" s="1930" t="s">
        <v>33</v>
      </c>
      <c r="G3643" s="1932">
        <v>89839</v>
      </c>
      <c r="H3643" s="1930" t="s">
        <v>2788</v>
      </c>
      <c r="I3643" s="1930" t="s">
        <v>168</v>
      </c>
      <c r="J3643" s="1930" t="s">
        <v>320</v>
      </c>
      <c r="K3643" s="1933">
        <v>95.63</v>
      </c>
      <c r="L3643" s="1930" t="s">
        <v>138</v>
      </c>
    </row>
    <row r="3644" spans="1:12" ht="13.5" x14ac:dyDescent="0.25">
      <c r="A3644" s="1930" t="s">
        <v>4646</v>
      </c>
      <c r="B3644" s="1930" t="s">
        <v>4647</v>
      </c>
      <c r="C3644" s="1930" t="s">
        <v>4594</v>
      </c>
      <c r="D3644" s="1930" t="s">
        <v>4650</v>
      </c>
      <c r="E3644" s="1931" t="s">
        <v>33</v>
      </c>
      <c r="F3644" s="1930" t="s">
        <v>33</v>
      </c>
      <c r="G3644" s="1932">
        <v>89840</v>
      </c>
      <c r="H3644" s="1930" t="s">
        <v>2789</v>
      </c>
      <c r="I3644" s="1930" t="s">
        <v>168</v>
      </c>
      <c r="J3644" s="1930" t="s">
        <v>320</v>
      </c>
      <c r="K3644" s="1933">
        <v>84.31</v>
      </c>
      <c r="L3644" s="1930" t="s">
        <v>138</v>
      </c>
    </row>
    <row r="3645" spans="1:12" ht="13.5" x14ac:dyDescent="0.25">
      <c r="A3645" s="1930" t="s">
        <v>4646</v>
      </c>
      <c r="B3645" s="1930" t="s">
        <v>4647</v>
      </c>
      <c r="C3645" s="1930" t="s">
        <v>4594</v>
      </c>
      <c r="D3645" s="1930" t="s">
        <v>4650</v>
      </c>
      <c r="E3645" s="1931" t="s">
        <v>33</v>
      </c>
      <c r="F3645" s="1930" t="s">
        <v>33</v>
      </c>
      <c r="G3645" s="1932">
        <v>89841</v>
      </c>
      <c r="H3645" s="1930" t="s">
        <v>2790</v>
      </c>
      <c r="I3645" s="1930" t="s">
        <v>168</v>
      </c>
      <c r="J3645" s="1930" t="s">
        <v>320</v>
      </c>
      <c r="K3645" s="1933">
        <v>139.94999999999999</v>
      </c>
      <c r="L3645" s="1930" t="s">
        <v>138</v>
      </c>
    </row>
    <row r="3646" spans="1:12" ht="13.5" x14ac:dyDescent="0.25">
      <c r="A3646" s="1930" t="s">
        <v>4646</v>
      </c>
      <c r="B3646" s="1930" t="s">
        <v>4647</v>
      </c>
      <c r="C3646" s="1930" t="s">
        <v>4594</v>
      </c>
      <c r="D3646" s="1930" t="s">
        <v>4650</v>
      </c>
      <c r="E3646" s="1931" t="s">
        <v>33</v>
      </c>
      <c r="F3646" s="1930" t="s">
        <v>33</v>
      </c>
      <c r="G3646" s="1932">
        <v>89842</v>
      </c>
      <c r="H3646" s="1930" t="s">
        <v>2791</v>
      </c>
      <c r="I3646" s="1930" t="s">
        <v>168</v>
      </c>
      <c r="J3646" s="1930" t="s">
        <v>320</v>
      </c>
      <c r="K3646" s="1933">
        <v>24.21</v>
      </c>
      <c r="L3646" s="1930" t="s">
        <v>138</v>
      </c>
    </row>
    <row r="3647" spans="1:12" ht="13.5" x14ac:dyDescent="0.25">
      <c r="A3647" s="1930" t="s">
        <v>4646</v>
      </c>
      <c r="B3647" s="1930" t="s">
        <v>4647</v>
      </c>
      <c r="C3647" s="1930" t="s">
        <v>4594</v>
      </c>
      <c r="D3647" s="1930" t="s">
        <v>4650</v>
      </c>
      <c r="E3647" s="1931" t="s">
        <v>33</v>
      </c>
      <c r="F3647" s="1930" t="s">
        <v>33</v>
      </c>
      <c r="G3647" s="1932">
        <v>89844</v>
      </c>
      <c r="H3647" s="1930" t="s">
        <v>2792</v>
      </c>
      <c r="I3647" s="1930" t="s">
        <v>168</v>
      </c>
      <c r="J3647" s="1930" t="s">
        <v>320</v>
      </c>
      <c r="K3647" s="1933">
        <v>30.64</v>
      </c>
      <c r="L3647" s="1930" t="s">
        <v>138</v>
      </c>
    </row>
    <row r="3648" spans="1:12" ht="13.5" x14ac:dyDescent="0.25">
      <c r="A3648" s="1930" t="s">
        <v>4646</v>
      </c>
      <c r="B3648" s="1930" t="s">
        <v>4647</v>
      </c>
      <c r="C3648" s="1930" t="s">
        <v>4594</v>
      </c>
      <c r="D3648" s="1930" t="s">
        <v>4650</v>
      </c>
      <c r="E3648" s="1931" t="s">
        <v>33</v>
      </c>
      <c r="F3648" s="1930" t="s">
        <v>33</v>
      </c>
      <c r="G3648" s="1932">
        <v>89845</v>
      </c>
      <c r="H3648" s="1930" t="s">
        <v>2793</v>
      </c>
      <c r="I3648" s="1930" t="s">
        <v>168</v>
      </c>
      <c r="J3648" s="1930" t="s">
        <v>320</v>
      </c>
      <c r="K3648" s="1933">
        <v>46.79</v>
      </c>
      <c r="L3648" s="1930" t="s">
        <v>138</v>
      </c>
    </row>
    <row r="3649" spans="1:12" ht="13.5" x14ac:dyDescent="0.25">
      <c r="A3649" s="1930" t="s">
        <v>4646</v>
      </c>
      <c r="B3649" s="1930" t="s">
        <v>4647</v>
      </c>
      <c r="C3649" s="1930" t="s">
        <v>4594</v>
      </c>
      <c r="D3649" s="1930" t="s">
        <v>4650</v>
      </c>
      <c r="E3649" s="1931" t="s">
        <v>33</v>
      </c>
      <c r="F3649" s="1930" t="s">
        <v>33</v>
      </c>
      <c r="G3649" s="1932">
        <v>89846</v>
      </c>
      <c r="H3649" s="1930" t="s">
        <v>2794</v>
      </c>
      <c r="I3649" s="1930" t="s">
        <v>168</v>
      </c>
      <c r="J3649" s="1930" t="s">
        <v>320</v>
      </c>
      <c r="K3649" s="1933">
        <v>102.47</v>
      </c>
      <c r="L3649" s="1930" t="s">
        <v>138</v>
      </c>
    </row>
    <row r="3650" spans="1:12" ht="13.5" x14ac:dyDescent="0.25">
      <c r="A3650" s="1930" t="s">
        <v>4646</v>
      </c>
      <c r="B3650" s="1930" t="s">
        <v>4647</v>
      </c>
      <c r="C3650" s="1930" t="s">
        <v>4594</v>
      </c>
      <c r="D3650" s="1930" t="s">
        <v>4650</v>
      </c>
      <c r="E3650" s="1931" t="s">
        <v>33</v>
      </c>
      <c r="F3650" s="1930" t="s">
        <v>33</v>
      </c>
      <c r="G3650" s="1932">
        <v>89847</v>
      </c>
      <c r="H3650" s="1930" t="s">
        <v>2795</v>
      </c>
      <c r="I3650" s="1930" t="s">
        <v>168</v>
      </c>
      <c r="J3650" s="1930" t="s">
        <v>320</v>
      </c>
      <c r="K3650" s="1933">
        <v>126.24</v>
      </c>
      <c r="L3650" s="1930" t="s">
        <v>138</v>
      </c>
    </row>
    <row r="3651" spans="1:12" ht="13.5" x14ac:dyDescent="0.25">
      <c r="A3651" s="1930" t="s">
        <v>4646</v>
      </c>
      <c r="B3651" s="1930" t="s">
        <v>4647</v>
      </c>
      <c r="C3651" s="1930" t="s">
        <v>4594</v>
      </c>
      <c r="D3651" s="1930" t="s">
        <v>4650</v>
      </c>
      <c r="E3651" s="1931" t="s">
        <v>33</v>
      </c>
      <c r="F3651" s="1930" t="s">
        <v>33</v>
      </c>
      <c r="G3651" s="1932">
        <v>89850</v>
      </c>
      <c r="H3651" s="1930" t="s">
        <v>2796</v>
      </c>
      <c r="I3651" s="1930" t="s">
        <v>168</v>
      </c>
      <c r="J3651" s="1930" t="s">
        <v>320</v>
      </c>
      <c r="K3651" s="1933">
        <v>17.05</v>
      </c>
      <c r="L3651" s="1930" t="s">
        <v>138</v>
      </c>
    </row>
    <row r="3652" spans="1:12" ht="13.5" x14ac:dyDescent="0.25">
      <c r="A3652" s="1930" t="s">
        <v>4646</v>
      </c>
      <c r="B3652" s="1930" t="s">
        <v>4647</v>
      </c>
      <c r="C3652" s="1930" t="s">
        <v>4594</v>
      </c>
      <c r="D3652" s="1930" t="s">
        <v>4650</v>
      </c>
      <c r="E3652" s="1931" t="s">
        <v>33</v>
      </c>
      <c r="F3652" s="1930" t="s">
        <v>33</v>
      </c>
      <c r="G3652" s="1932">
        <v>89851</v>
      </c>
      <c r="H3652" s="1930" t="s">
        <v>2797</v>
      </c>
      <c r="I3652" s="1930" t="s">
        <v>168</v>
      </c>
      <c r="J3652" s="1930" t="s">
        <v>320</v>
      </c>
      <c r="K3652" s="1933">
        <v>17.02</v>
      </c>
      <c r="L3652" s="1930" t="s">
        <v>138</v>
      </c>
    </row>
    <row r="3653" spans="1:12" ht="13.5" x14ac:dyDescent="0.25">
      <c r="A3653" s="1930" t="s">
        <v>4646</v>
      </c>
      <c r="B3653" s="1930" t="s">
        <v>4647</v>
      </c>
      <c r="C3653" s="1930" t="s">
        <v>4594</v>
      </c>
      <c r="D3653" s="1930" t="s">
        <v>4650</v>
      </c>
      <c r="E3653" s="1931" t="s">
        <v>33</v>
      </c>
      <c r="F3653" s="1930" t="s">
        <v>33</v>
      </c>
      <c r="G3653" s="1932">
        <v>89852</v>
      </c>
      <c r="H3653" s="1930" t="s">
        <v>2798</v>
      </c>
      <c r="I3653" s="1930" t="s">
        <v>168</v>
      </c>
      <c r="J3653" s="1930" t="s">
        <v>320</v>
      </c>
      <c r="K3653" s="1933">
        <v>26.01</v>
      </c>
      <c r="L3653" s="1930" t="s">
        <v>138</v>
      </c>
    </row>
    <row r="3654" spans="1:12" ht="13.5" x14ac:dyDescent="0.25">
      <c r="A3654" s="1930" t="s">
        <v>4646</v>
      </c>
      <c r="B3654" s="1930" t="s">
        <v>4647</v>
      </c>
      <c r="C3654" s="1930" t="s">
        <v>4594</v>
      </c>
      <c r="D3654" s="1930" t="s">
        <v>4650</v>
      </c>
      <c r="E3654" s="1931" t="s">
        <v>33</v>
      </c>
      <c r="F3654" s="1930" t="s">
        <v>33</v>
      </c>
      <c r="G3654" s="1932">
        <v>89853</v>
      </c>
      <c r="H3654" s="1930" t="s">
        <v>2799</v>
      </c>
      <c r="I3654" s="1930" t="s">
        <v>168</v>
      </c>
      <c r="J3654" s="1930" t="s">
        <v>320</v>
      </c>
      <c r="K3654" s="1933">
        <v>41.89</v>
      </c>
      <c r="L3654" s="1930" t="s">
        <v>138</v>
      </c>
    </row>
    <row r="3655" spans="1:12" ht="13.5" x14ac:dyDescent="0.25">
      <c r="A3655" s="1930" t="s">
        <v>4646</v>
      </c>
      <c r="B3655" s="1930" t="s">
        <v>4647</v>
      </c>
      <c r="C3655" s="1930" t="s">
        <v>4594</v>
      </c>
      <c r="D3655" s="1930" t="s">
        <v>4650</v>
      </c>
      <c r="E3655" s="1931" t="s">
        <v>33</v>
      </c>
      <c r="F3655" s="1930" t="s">
        <v>33</v>
      </c>
      <c r="G3655" s="1932">
        <v>89854</v>
      </c>
      <c r="H3655" s="1930" t="s">
        <v>2800</v>
      </c>
      <c r="I3655" s="1930" t="s">
        <v>168</v>
      </c>
      <c r="J3655" s="1930" t="s">
        <v>320</v>
      </c>
      <c r="K3655" s="1933">
        <v>54.42</v>
      </c>
      <c r="L3655" s="1930" t="s">
        <v>138</v>
      </c>
    </row>
    <row r="3656" spans="1:12" ht="13.5" x14ac:dyDescent="0.25">
      <c r="A3656" s="1930" t="s">
        <v>4646</v>
      </c>
      <c r="B3656" s="1930" t="s">
        <v>4647</v>
      </c>
      <c r="C3656" s="1930" t="s">
        <v>4594</v>
      </c>
      <c r="D3656" s="1930" t="s">
        <v>4650</v>
      </c>
      <c r="E3656" s="1931" t="s">
        <v>33</v>
      </c>
      <c r="F3656" s="1930" t="s">
        <v>33</v>
      </c>
      <c r="G3656" s="1932">
        <v>89855</v>
      </c>
      <c r="H3656" s="1930" t="s">
        <v>2801</v>
      </c>
      <c r="I3656" s="1930" t="s">
        <v>168</v>
      </c>
      <c r="J3656" s="1930" t="s">
        <v>320</v>
      </c>
      <c r="K3656" s="1933">
        <v>57.62</v>
      </c>
      <c r="L3656" s="1930" t="s">
        <v>138</v>
      </c>
    </row>
    <row r="3657" spans="1:12" ht="13.5" x14ac:dyDescent="0.25">
      <c r="A3657" s="1930" t="s">
        <v>4646</v>
      </c>
      <c r="B3657" s="1930" t="s">
        <v>4647</v>
      </c>
      <c r="C3657" s="1930" t="s">
        <v>4594</v>
      </c>
      <c r="D3657" s="1930" t="s">
        <v>4650</v>
      </c>
      <c r="E3657" s="1931" t="s">
        <v>33</v>
      </c>
      <c r="F3657" s="1930" t="s">
        <v>33</v>
      </c>
      <c r="G3657" s="1932">
        <v>89856</v>
      </c>
      <c r="H3657" s="1930" t="s">
        <v>2802</v>
      </c>
      <c r="I3657" s="1930" t="s">
        <v>168</v>
      </c>
      <c r="J3657" s="1930" t="s">
        <v>320</v>
      </c>
      <c r="K3657" s="1933">
        <v>12.93</v>
      </c>
      <c r="L3657" s="1930" t="s">
        <v>138</v>
      </c>
    </row>
    <row r="3658" spans="1:12" ht="13.5" x14ac:dyDescent="0.25">
      <c r="A3658" s="1930" t="s">
        <v>4646</v>
      </c>
      <c r="B3658" s="1930" t="s">
        <v>4647</v>
      </c>
      <c r="C3658" s="1930" t="s">
        <v>4594</v>
      </c>
      <c r="D3658" s="1930" t="s">
        <v>4650</v>
      </c>
      <c r="E3658" s="1931" t="s">
        <v>33</v>
      </c>
      <c r="F3658" s="1930" t="s">
        <v>33</v>
      </c>
      <c r="G3658" s="1932">
        <v>89857</v>
      </c>
      <c r="H3658" s="1930" t="s">
        <v>2803</v>
      </c>
      <c r="I3658" s="1930" t="s">
        <v>168</v>
      </c>
      <c r="J3658" s="1930" t="s">
        <v>320</v>
      </c>
      <c r="K3658" s="1933">
        <v>19.84</v>
      </c>
      <c r="L3658" s="1930" t="s">
        <v>138</v>
      </c>
    </row>
    <row r="3659" spans="1:12" ht="13.5" x14ac:dyDescent="0.25">
      <c r="A3659" s="1930" t="s">
        <v>4646</v>
      </c>
      <c r="B3659" s="1930" t="s">
        <v>4647</v>
      </c>
      <c r="C3659" s="1930" t="s">
        <v>4594</v>
      </c>
      <c r="D3659" s="1930" t="s">
        <v>4650</v>
      </c>
      <c r="E3659" s="1931" t="s">
        <v>33</v>
      </c>
      <c r="F3659" s="1930" t="s">
        <v>33</v>
      </c>
      <c r="G3659" s="1932">
        <v>89859</v>
      </c>
      <c r="H3659" s="1930" t="s">
        <v>2804</v>
      </c>
      <c r="I3659" s="1930" t="s">
        <v>168</v>
      </c>
      <c r="J3659" s="1930" t="s">
        <v>137</v>
      </c>
      <c r="K3659" s="1933">
        <v>60.13</v>
      </c>
      <c r="L3659" s="1930" t="s">
        <v>138</v>
      </c>
    </row>
    <row r="3660" spans="1:12" ht="13.5" x14ac:dyDescent="0.25">
      <c r="A3660" s="1930" t="s">
        <v>4646</v>
      </c>
      <c r="B3660" s="1930" t="s">
        <v>4647</v>
      </c>
      <c r="C3660" s="1930" t="s">
        <v>4594</v>
      </c>
      <c r="D3660" s="1930" t="s">
        <v>4650</v>
      </c>
      <c r="E3660" s="1931" t="s">
        <v>33</v>
      </c>
      <c r="F3660" s="1930" t="s">
        <v>33</v>
      </c>
      <c r="G3660" s="1932">
        <v>89860</v>
      </c>
      <c r="H3660" s="1930" t="s">
        <v>2805</v>
      </c>
      <c r="I3660" s="1930" t="s">
        <v>168</v>
      </c>
      <c r="J3660" s="1930" t="s">
        <v>320</v>
      </c>
      <c r="K3660" s="1933">
        <v>28.05</v>
      </c>
      <c r="L3660" s="1930" t="s">
        <v>138</v>
      </c>
    </row>
    <row r="3661" spans="1:12" ht="13.5" x14ac:dyDescent="0.25">
      <c r="A3661" s="1930" t="s">
        <v>4646</v>
      </c>
      <c r="B3661" s="1930" t="s">
        <v>4647</v>
      </c>
      <c r="C3661" s="1930" t="s">
        <v>4594</v>
      </c>
      <c r="D3661" s="1930" t="s">
        <v>4650</v>
      </c>
      <c r="E3661" s="1931" t="s">
        <v>33</v>
      </c>
      <c r="F3661" s="1930" t="s">
        <v>33</v>
      </c>
      <c r="G3661" s="1932">
        <v>89861</v>
      </c>
      <c r="H3661" s="1930" t="s">
        <v>2806</v>
      </c>
      <c r="I3661" s="1930" t="s">
        <v>168</v>
      </c>
      <c r="J3661" s="1930" t="s">
        <v>320</v>
      </c>
      <c r="K3661" s="1933">
        <v>31.75</v>
      </c>
      <c r="L3661" s="1930" t="s">
        <v>138</v>
      </c>
    </row>
    <row r="3662" spans="1:12" ht="13.5" x14ac:dyDescent="0.25">
      <c r="A3662" s="1930" t="s">
        <v>4646</v>
      </c>
      <c r="B3662" s="1930" t="s">
        <v>4647</v>
      </c>
      <c r="C3662" s="1930" t="s">
        <v>4594</v>
      </c>
      <c r="D3662" s="1930" t="s">
        <v>4650</v>
      </c>
      <c r="E3662" s="1931" t="s">
        <v>33</v>
      </c>
      <c r="F3662" s="1930" t="s">
        <v>33</v>
      </c>
      <c r="G3662" s="1932">
        <v>89862</v>
      </c>
      <c r="H3662" s="1930" t="s">
        <v>2807</v>
      </c>
      <c r="I3662" s="1930" t="s">
        <v>168</v>
      </c>
      <c r="J3662" s="1930" t="s">
        <v>320</v>
      </c>
      <c r="K3662" s="1933">
        <v>59.56</v>
      </c>
      <c r="L3662" s="1930" t="s">
        <v>138</v>
      </c>
    </row>
    <row r="3663" spans="1:12" ht="13.5" x14ac:dyDescent="0.25">
      <c r="A3663" s="1930" t="s">
        <v>4646</v>
      </c>
      <c r="B3663" s="1930" t="s">
        <v>4647</v>
      </c>
      <c r="C3663" s="1930" t="s">
        <v>4594</v>
      </c>
      <c r="D3663" s="1930" t="s">
        <v>4650</v>
      </c>
      <c r="E3663" s="1931" t="s">
        <v>33</v>
      </c>
      <c r="F3663" s="1930" t="s">
        <v>33</v>
      </c>
      <c r="G3663" s="1932">
        <v>89863</v>
      </c>
      <c r="H3663" s="1930" t="s">
        <v>2808</v>
      </c>
      <c r="I3663" s="1930" t="s">
        <v>168</v>
      </c>
      <c r="J3663" s="1930" t="s">
        <v>320</v>
      </c>
      <c r="K3663" s="1933">
        <v>121.4</v>
      </c>
      <c r="L3663" s="1930" t="s">
        <v>138</v>
      </c>
    </row>
    <row r="3664" spans="1:12" ht="13.5" x14ac:dyDescent="0.25">
      <c r="A3664" s="1930" t="s">
        <v>4646</v>
      </c>
      <c r="B3664" s="1930" t="s">
        <v>4647</v>
      </c>
      <c r="C3664" s="1930" t="s">
        <v>4594</v>
      </c>
      <c r="D3664" s="1930" t="s">
        <v>4650</v>
      </c>
      <c r="E3664" s="1931" t="s">
        <v>33</v>
      </c>
      <c r="F3664" s="1930" t="s">
        <v>33</v>
      </c>
      <c r="G3664" s="1932">
        <v>89866</v>
      </c>
      <c r="H3664" s="1930" t="s">
        <v>2809</v>
      </c>
      <c r="I3664" s="1930" t="s">
        <v>168</v>
      </c>
      <c r="J3664" s="1930" t="s">
        <v>320</v>
      </c>
      <c r="K3664" s="1933">
        <v>3.83</v>
      </c>
      <c r="L3664" s="1930" t="s">
        <v>138</v>
      </c>
    </row>
    <row r="3665" spans="1:12" ht="13.5" x14ac:dyDescent="0.25">
      <c r="A3665" s="1930" t="s">
        <v>4646</v>
      </c>
      <c r="B3665" s="1930" t="s">
        <v>4647</v>
      </c>
      <c r="C3665" s="1930" t="s">
        <v>4594</v>
      </c>
      <c r="D3665" s="1930" t="s">
        <v>4650</v>
      </c>
      <c r="E3665" s="1931" t="s">
        <v>33</v>
      </c>
      <c r="F3665" s="1930" t="s">
        <v>33</v>
      </c>
      <c r="G3665" s="1932">
        <v>89867</v>
      </c>
      <c r="H3665" s="1930" t="s">
        <v>2810</v>
      </c>
      <c r="I3665" s="1930" t="s">
        <v>168</v>
      </c>
      <c r="J3665" s="1930" t="s">
        <v>320</v>
      </c>
      <c r="K3665" s="1933">
        <v>4.4000000000000004</v>
      </c>
      <c r="L3665" s="1930" t="s">
        <v>138</v>
      </c>
    </row>
    <row r="3666" spans="1:12" ht="13.5" x14ac:dyDescent="0.25">
      <c r="A3666" s="1930" t="s">
        <v>4646</v>
      </c>
      <c r="B3666" s="1930" t="s">
        <v>4647</v>
      </c>
      <c r="C3666" s="1930" t="s">
        <v>4594</v>
      </c>
      <c r="D3666" s="1930" t="s">
        <v>4650</v>
      </c>
      <c r="E3666" s="1931" t="s">
        <v>33</v>
      </c>
      <c r="F3666" s="1930" t="s">
        <v>33</v>
      </c>
      <c r="G3666" s="1932">
        <v>89868</v>
      </c>
      <c r="H3666" s="1930" t="s">
        <v>2811</v>
      </c>
      <c r="I3666" s="1930" t="s">
        <v>168</v>
      </c>
      <c r="J3666" s="1930" t="s">
        <v>320</v>
      </c>
      <c r="K3666" s="1933">
        <v>2.81</v>
      </c>
      <c r="L3666" s="1930" t="s">
        <v>138</v>
      </c>
    </row>
    <row r="3667" spans="1:12" ht="13.5" x14ac:dyDescent="0.25">
      <c r="A3667" s="1930" t="s">
        <v>4646</v>
      </c>
      <c r="B3667" s="1930" t="s">
        <v>4647</v>
      </c>
      <c r="C3667" s="1930" t="s">
        <v>4594</v>
      </c>
      <c r="D3667" s="1930" t="s">
        <v>4650</v>
      </c>
      <c r="E3667" s="1931" t="s">
        <v>33</v>
      </c>
      <c r="F3667" s="1930" t="s">
        <v>33</v>
      </c>
      <c r="G3667" s="1932">
        <v>89869</v>
      </c>
      <c r="H3667" s="1930" t="s">
        <v>2812</v>
      </c>
      <c r="I3667" s="1930" t="s">
        <v>168</v>
      </c>
      <c r="J3667" s="1930" t="s">
        <v>320</v>
      </c>
      <c r="K3667" s="1933">
        <v>6.09</v>
      </c>
      <c r="L3667" s="1930" t="s">
        <v>138</v>
      </c>
    </row>
    <row r="3668" spans="1:12" ht="13.5" x14ac:dyDescent="0.25">
      <c r="A3668" s="1930" t="s">
        <v>4646</v>
      </c>
      <c r="B3668" s="1930" t="s">
        <v>4647</v>
      </c>
      <c r="C3668" s="1930" t="s">
        <v>4594</v>
      </c>
      <c r="D3668" s="1930" t="s">
        <v>4650</v>
      </c>
      <c r="E3668" s="1931" t="s">
        <v>33</v>
      </c>
      <c r="F3668" s="1930" t="s">
        <v>33</v>
      </c>
      <c r="G3668" s="1932">
        <v>89979</v>
      </c>
      <c r="H3668" s="1930" t="s">
        <v>2813</v>
      </c>
      <c r="I3668" s="1930" t="s">
        <v>168</v>
      </c>
      <c r="J3668" s="1930" t="s">
        <v>320</v>
      </c>
      <c r="K3668" s="1933">
        <v>19.13</v>
      </c>
      <c r="L3668" s="1930" t="s">
        <v>138</v>
      </c>
    </row>
    <row r="3669" spans="1:12" ht="13.5" x14ac:dyDescent="0.25">
      <c r="A3669" s="1930" t="s">
        <v>4646</v>
      </c>
      <c r="B3669" s="1930" t="s">
        <v>4647</v>
      </c>
      <c r="C3669" s="1930" t="s">
        <v>4594</v>
      </c>
      <c r="D3669" s="1930" t="s">
        <v>4650</v>
      </c>
      <c r="E3669" s="1931" t="s">
        <v>33</v>
      </c>
      <c r="F3669" s="1930" t="s">
        <v>33</v>
      </c>
      <c r="G3669" s="1932">
        <v>89980</v>
      </c>
      <c r="H3669" s="1930" t="s">
        <v>2814</v>
      </c>
      <c r="I3669" s="1930" t="s">
        <v>168</v>
      </c>
      <c r="J3669" s="1930" t="s">
        <v>320</v>
      </c>
      <c r="K3669" s="1933">
        <v>7.27</v>
      </c>
      <c r="L3669" s="1930" t="s">
        <v>138</v>
      </c>
    </row>
    <row r="3670" spans="1:12" ht="13.5" x14ac:dyDescent="0.25">
      <c r="A3670" s="1930" t="s">
        <v>4646</v>
      </c>
      <c r="B3670" s="1930" t="s">
        <v>4647</v>
      </c>
      <c r="C3670" s="1930" t="s">
        <v>4594</v>
      </c>
      <c r="D3670" s="1930" t="s">
        <v>4650</v>
      </c>
      <c r="E3670" s="1931" t="s">
        <v>33</v>
      </c>
      <c r="F3670" s="1930" t="s">
        <v>33</v>
      </c>
      <c r="G3670" s="1932">
        <v>89981</v>
      </c>
      <c r="H3670" s="1930" t="s">
        <v>2815</v>
      </c>
      <c r="I3670" s="1930" t="s">
        <v>168</v>
      </c>
      <c r="J3670" s="1930" t="s">
        <v>320</v>
      </c>
      <c r="K3670" s="1933">
        <v>16.579999999999998</v>
      </c>
      <c r="L3670" s="1930" t="s">
        <v>138</v>
      </c>
    </row>
    <row r="3671" spans="1:12" ht="13.5" x14ac:dyDescent="0.25">
      <c r="A3671" s="1930" t="s">
        <v>4646</v>
      </c>
      <c r="B3671" s="1930" t="s">
        <v>4647</v>
      </c>
      <c r="C3671" s="1930" t="s">
        <v>4594</v>
      </c>
      <c r="D3671" s="1930" t="s">
        <v>4650</v>
      </c>
      <c r="E3671" s="1931" t="s">
        <v>33</v>
      </c>
      <c r="F3671" s="1930" t="s">
        <v>33</v>
      </c>
      <c r="G3671" s="1932">
        <v>90373</v>
      </c>
      <c r="H3671" s="1930" t="s">
        <v>2816</v>
      </c>
      <c r="I3671" s="1930" t="s">
        <v>168</v>
      </c>
      <c r="J3671" s="1930" t="s">
        <v>320</v>
      </c>
      <c r="K3671" s="1933">
        <v>10.73</v>
      </c>
      <c r="L3671" s="1930" t="s">
        <v>138</v>
      </c>
    </row>
    <row r="3672" spans="1:12" ht="13.5" x14ac:dyDescent="0.25">
      <c r="A3672" s="1930" t="s">
        <v>4646</v>
      </c>
      <c r="B3672" s="1930" t="s">
        <v>4647</v>
      </c>
      <c r="C3672" s="1930" t="s">
        <v>4594</v>
      </c>
      <c r="D3672" s="1930" t="s">
        <v>4650</v>
      </c>
      <c r="E3672" s="1931" t="s">
        <v>33</v>
      </c>
      <c r="F3672" s="1930" t="s">
        <v>33</v>
      </c>
      <c r="G3672" s="1932">
        <v>90374</v>
      </c>
      <c r="H3672" s="1930" t="s">
        <v>2817</v>
      </c>
      <c r="I3672" s="1930" t="s">
        <v>168</v>
      </c>
      <c r="J3672" s="1930" t="s">
        <v>320</v>
      </c>
      <c r="K3672" s="1933">
        <v>16.64</v>
      </c>
      <c r="L3672" s="1930" t="s">
        <v>138</v>
      </c>
    </row>
    <row r="3673" spans="1:12" ht="13.5" x14ac:dyDescent="0.25">
      <c r="A3673" s="1930" t="s">
        <v>4646</v>
      </c>
      <c r="B3673" s="1930" t="s">
        <v>4647</v>
      </c>
      <c r="C3673" s="1930" t="s">
        <v>4594</v>
      </c>
      <c r="D3673" s="1930" t="s">
        <v>4650</v>
      </c>
      <c r="E3673" s="1931" t="s">
        <v>33</v>
      </c>
      <c r="F3673" s="1930" t="s">
        <v>33</v>
      </c>
      <c r="G3673" s="1932">
        <v>90375</v>
      </c>
      <c r="H3673" s="1930" t="s">
        <v>2818</v>
      </c>
      <c r="I3673" s="1930" t="s">
        <v>168</v>
      </c>
      <c r="J3673" s="1930" t="s">
        <v>320</v>
      </c>
      <c r="K3673" s="1933">
        <v>6.81</v>
      </c>
      <c r="L3673" s="1930" t="s">
        <v>138</v>
      </c>
    </row>
    <row r="3674" spans="1:12" ht="13.5" x14ac:dyDescent="0.25">
      <c r="A3674" s="1930" t="s">
        <v>4646</v>
      </c>
      <c r="B3674" s="1930" t="s">
        <v>4647</v>
      </c>
      <c r="C3674" s="1930" t="s">
        <v>4594</v>
      </c>
      <c r="D3674" s="1930" t="s">
        <v>4650</v>
      </c>
      <c r="E3674" s="1931" t="s">
        <v>33</v>
      </c>
      <c r="F3674" s="1930" t="s">
        <v>33</v>
      </c>
      <c r="G3674" s="1932">
        <v>92287</v>
      </c>
      <c r="H3674" s="1930" t="s">
        <v>6465</v>
      </c>
      <c r="I3674" s="1930" t="s">
        <v>168</v>
      </c>
      <c r="J3674" s="1930" t="s">
        <v>137</v>
      </c>
      <c r="K3674" s="1933">
        <v>11.88</v>
      </c>
      <c r="L3674" s="1930" t="s">
        <v>138</v>
      </c>
    </row>
    <row r="3675" spans="1:12" ht="13.5" x14ac:dyDescent="0.25">
      <c r="A3675" s="1930" t="s">
        <v>4646</v>
      </c>
      <c r="B3675" s="1930" t="s">
        <v>4647</v>
      </c>
      <c r="C3675" s="1930" t="s">
        <v>4594</v>
      </c>
      <c r="D3675" s="1930" t="s">
        <v>4650</v>
      </c>
      <c r="E3675" s="1931" t="s">
        <v>33</v>
      </c>
      <c r="F3675" s="1930" t="s">
        <v>33</v>
      </c>
      <c r="G3675" s="1932">
        <v>92288</v>
      </c>
      <c r="H3675" s="1930" t="s">
        <v>6466</v>
      </c>
      <c r="I3675" s="1930" t="s">
        <v>168</v>
      </c>
      <c r="J3675" s="1930" t="s">
        <v>137</v>
      </c>
      <c r="K3675" s="1933">
        <v>18.149999999999999</v>
      </c>
      <c r="L3675" s="1930" t="s">
        <v>138</v>
      </c>
    </row>
    <row r="3676" spans="1:12" ht="13.5" x14ac:dyDescent="0.25">
      <c r="A3676" s="1930" t="s">
        <v>4646</v>
      </c>
      <c r="B3676" s="1930" t="s">
        <v>4647</v>
      </c>
      <c r="C3676" s="1930" t="s">
        <v>4594</v>
      </c>
      <c r="D3676" s="1930" t="s">
        <v>4650</v>
      </c>
      <c r="E3676" s="1931" t="s">
        <v>33</v>
      </c>
      <c r="F3676" s="1930" t="s">
        <v>33</v>
      </c>
      <c r="G3676" s="1932">
        <v>92289</v>
      </c>
      <c r="H3676" s="1930" t="s">
        <v>6467</v>
      </c>
      <c r="I3676" s="1930" t="s">
        <v>168</v>
      </c>
      <c r="J3676" s="1930" t="s">
        <v>137</v>
      </c>
      <c r="K3676" s="1933">
        <v>31.53</v>
      </c>
      <c r="L3676" s="1930" t="s">
        <v>138</v>
      </c>
    </row>
    <row r="3677" spans="1:12" ht="13.5" x14ac:dyDescent="0.25">
      <c r="A3677" s="1930" t="s">
        <v>4646</v>
      </c>
      <c r="B3677" s="1930" t="s">
        <v>4647</v>
      </c>
      <c r="C3677" s="1930" t="s">
        <v>4594</v>
      </c>
      <c r="D3677" s="1930" t="s">
        <v>4650</v>
      </c>
      <c r="E3677" s="1931" t="s">
        <v>33</v>
      </c>
      <c r="F3677" s="1930" t="s">
        <v>33</v>
      </c>
      <c r="G3677" s="1932">
        <v>92290</v>
      </c>
      <c r="H3677" s="1930" t="s">
        <v>6468</v>
      </c>
      <c r="I3677" s="1930" t="s">
        <v>168</v>
      </c>
      <c r="J3677" s="1930" t="s">
        <v>137</v>
      </c>
      <c r="K3677" s="1933">
        <v>47.64</v>
      </c>
      <c r="L3677" s="1930" t="s">
        <v>138</v>
      </c>
    </row>
    <row r="3678" spans="1:12" ht="13.5" x14ac:dyDescent="0.25">
      <c r="A3678" s="1930" t="s">
        <v>4646</v>
      </c>
      <c r="B3678" s="1930" t="s">
        <v>4647</v>
      </c>
      <c r="C3678" s="1930" t="s">
        <v>4594</v>
      </c>
      <c r="D3678" s="1930" t="s">
        <v>4650</v>
      </c>
      <c r="E3678" s="1931" t="s">
        <v>33</v>
      </c>
      <c r="F3678" s="1930" t="s">
        <v>33</v>
      </c>
      <c r="G3678" s="1932">
        <v>92291</v>
      </c>
      <c r="H3678" s="1930" t="s">
        <v>6469</v>
      </c>
      <c r="I3678" s="1930" t="s">
        <v>168</v>
      </c>
      <c r="J3678" s="1930" t="s">
        <v>137</v>
      </c>
      <c r="K3678" s="1933">
        <v>72.73</v>
      </c>
      <c r="L3678" s="1930" t="s">
        <v>138</v>
      </c>
    </row>
    <row r="3679" spans="1:12" ht="13.5" x14ac:dyDescent="0.25">
      <c r="A3679" s="1930" t="s">
        <v>4646</v>
      </c>
      <c r="B3679" s="1930" t="s">
        <v>4647</v>
      </c>
      <c r="C3679" s="1930" t="s">
        <v>4594</v>
      </c>
      <c r="D3679" s="1930" t="s">
        <v>4650</v>
      </c>
      <c r="E3679" s="1931" t="s">
        <v>33</v>
      </c>
      <c r="F3679" s="1930" t="s">
        <v>33</v>
      </c>
      <c r="G3679" s="1932">
        <v>92292</v>
      </c>
      <c r="H3679" s="1930" t="s">
        <v>6470</v>
      </c>
      <c r="I3679" s="1930" t="s">
        <v>168</v>
      </c>
      <c r="J3679" s="1930" t="s">
        <v>137</v>
      </c>
      <c r="K3679" s="1933">
        <v>225.29</v>
      </c>
      <c r="L3679" s="1930" t="s">
        <v>138</v>
      </c>
    </row>
    <row r="3680" spans="1:12" ht="13.5" x14ac:dyDescent="0.25">
      <c r="A3680" s="1930" t="s">
        <v>4646</v>
      </c>
      <c r="B3680" s="1930" t="s">
        <v>4647</v>
      </c>
      <c r="C3680" s="1930" t="s">
        <v>4594</v>
      </c>
      <c r="D3680" s="1930" t="s">
        <v>4650</v>
      </c>
      <c r="E3680" s="1931" t="s">
        <v>33</v>
      </c>
      <c r="F3680" s="1930" t="s">
        <v>33</v>
      </c>
      <c r="G3680" s="1932">
        <v>92293</v>
      </c>
      <c r="H3680" s="1930" t="s">
        <v>6471</v>
      </c>
      <c r="I3680" s="1930" t="s">
        <v>168</v>
      </c>
      <c r="J3680" s="1930" t="s">
        <v>137</v>
      </c>
      <c r="K3680" s="1933">
        <v>6.88</v>
      </c>
      <c r="L3680" s="1930" t="s">
        <v>138</v>
      </c>
    </row>
    <row r="3681" spans="1:12" ht="13.5" x14ac:dyDescent="0.25">
      <c r="A3681" s="1930" t="s">
        <v>4646</v>
      </c>
      <c r="B3681" s="1930" t="s">
        <v>4647</v>
      </c>
      <c r="C3681" s="1930" t="s">
        <v>4594</v>
      </c>
      <c r="D3681" s="1930" t="s">
        <v>4650</v>
      </c>
      <c r="E3681" s="1931" t="s">
        <v>33</v>
      </c>
      <c r="F3681" s="1930" t="s">
        <v>33</v>
      </c>
      <c r="G3681" s="1932">
        <v>92294</v>
      </c>
      <c r="H3681" s="1930" t="s">
        <v>6472</v>
      </c>
      <c r="I3681" s="1930" t="s">
        <v>168</v>
      </c>
      <c r="J3681" s="1930" t="s">
        <v>137</v>
      </c>
      <c r="K3681" s="1933">
        <v>11.17</v>
      </c>
      <c r="L3681" s="1930" t="s">
        <v>138</v>
      </c>
    </row>
    <row r="3682" spans="1:12" ht="13.5" x14ac:dyDescent="0.25">
      <c r="A3682" s="1930" t="s">
        <v>4646</v>
      </c>
      <c r="B3682" s="1930" t="s">
        <v>4647</v>
      </c>
      <c r="C3682" s="1930" t="s">
        <v>4594</v>
      </c>
      <c r="D3682" s="1930" t="s">
        <v>4650</v>
      </c>
      <c r="E3682" s="1931" t="s">
        <v>33</v>
      </c>
      <c r="F3682" s="1930" t="s">
        <v>33</v>
      </c>
      <c r="G3682" s="1932">
        <v>92295</v>
      </c>
      <c r="H3682" s="1930" t="s">
        <v>6473</v>
      </c>
      <c r="I3682" s="1930" t="s">
        <v>168</v>
      </c>
      <c r="J3682" s="1930" t="s">
        <v>137</v>
      </c>
      <c r="K3682" s="1933">
        <v>20.53</v>
      </c>
      <c r="L3682" s="1930" t="s">
        <v>138</v>
      </c>
    </row>
    <row r="3683" spans="1:12" ht="13.5" x14ac:dyDescent="0.25">
      <c r="A3683" s="1930" t="s">
        <v>4646</v>
      </c>
      <c r="B3683" s="1930" t="s">
        <v>4647</v>
      </c>
      <c r="C3683" s="1930" t="s">
        <v>4594</v>
      </c>
      <c r="D3683" s="1930" t="s">
        <v>4650</v>
      </c>
      <c r="E3683" s="1931" t="s">
        <v>33</v>
      </c>
      <c r="F3683" s="1930" t="s">
        <v>33</v>
      </c>
      <c r="G3683" s="1932">
        <v>92296</v>
      </c>
      <c r="H3683" s="1930" t="s">
        <v>6474</v>
      </c>
      <c r="I3683" s="1930" t="s">
        <v>168</v>
      </c>
      <c r="J3683" s="1930" t="s">
        <v>137</v>
      </c>
      <c r="K3683" s="1933">
        <v>27.27</v>
      </c>
      <c r="L3683" s="1930" t="s">
        <v>138</v>
      </c>
    </row>
    <row r="3684" spans="1:12" ht="13.5" x14ac:dyDescent="0.25">
      <c r="A3684" s="1930" t="s">
        <v>4646</v>
      </c>
      <c r="B3684" s="1930" t="s">
        <v>4647</v>
      </c>
      <c r="C3684" s="1930" t="s">
        <v>4594</v>
      </c>
      <c r="D3684" s="1930" t="s">
        <v>4650</v>
      </c>
      <c r="E3684" s="1931" t="s">
        <v>33</v>
      </c>
      <c r="F3684" s="1930" t="s">
        <v>33</v>
      </c>
      <c r="G3684" s="1932">
        <v>92297</v>
      </c>
      <c r="H3684" s="1930" t="s">
        <v>6475</v>
      </c>
      <c r="I3684" s="1930" t="s">
        <v>168</v>
      </c>
      <c r="J3684" s="1930" t="s">
        <v>137</v>
      </c>
      <c r="K3684" s="1933">
        <v>41.98</v>
      </c>
      <c r="L3684" s="1930" t="s">
        <v>138</v>
      </c>
    </row>
    <row r="3685" spans="1:12" ht="13.5" x14ac:dyDescent="0.25">
      <c r="A3685" s="1930" t="s">
        <v>4646</v>
      </c>
      <c r="B3685" s="1930" t="s">
        <v>4647</v>
      </c>
      <c r="C3685" s="1930" t="s">
        <v>4594</v>
      </c>
      <c r="D3685" s="1930" t="s">
        <v>4650</v>
      </c>
      <c r="E3685" s="1931" t="s">
        <v>33</v>
      </c>
      <c r="F3685" s="1930" t="s">
        <v>33</v>
      </c>
      <c r="G3685" s="1932">
        <v>92298</v>
      </c>
      <c r="H3685" s="1930" t="s">
        <v>6476</v>
      </c>
      <c r="I3685" s="1930" t="s">
        <v>168</v>
      </c>
      <c r="J3685" s="1930" t="s">
        <v>137</v>
      </c>
      <c r="K3685" s="1933">
        <v>116.79</v>
      </c>
      <c r="L3685" s="1930" t="s">
        <v>138</v>
      </c>
    </row>
    <row r="3686" spans="1:12" ht="13.5" x14ac:dyDescent="0.25">
      <c r="A3686" s="1930" t="s">
        <v>4646</v>
      </c>
      <c r="B3686" s="1930" t="s">
        <v>4647</v>
      </c>
      <c r="C3686" s="1930" t="s">
        <v>4594</v>
      </c>
      <c r="D3686" s="1930" t="s">
        <v>4650</v>
      </c>
      <c r="E3686" s="1931" t="s">
        <v>33</v>
      </c>
      <c r="F3686" s="1930" t="s">
        <v>33</v>
      </c>
      <c r="G3686" s="1932">
        <v>92299</v>
      </c>
      <c r="H3686" s="1930" t="s">
        <v>6477</v>
      </c>
      <c r="I3686" s="1930" t="s">
        <v>168</v>
      </c>
      <c r="J3686" s="1930" t="s">
        <v>137</v>
      </c>
      <c r="K3686" s="1933">
        <v>15.67</v>
      </c>
      <c r="L3686" s="1930" t="s">
        <v>138</v>
      </c>
    </row>
    <row r="3687" spans="1:12" ht="13.5" x14ac:dyDescent="0.25">
      <c r="A3687" s="1930" t="s">
        <v>4646</v>
      </c>
      <c r="B3687" s="1930" t="s">
        <v>4647</v>
      </c>
      <c r="C3687" s="1930" t="s">
        <v>4594</v>
      </c>
      <c r="D3687" s="1930" t="s">
        <v>4650</v>
      </c>
      <c r="E3687" s="1931" t="s">
        <v>33</v>
      </c>
      <c r="F3687" s="1930" t="s">
        <v>33</v>
      </c>
      <c r="G3687" s="1932">
        <v>92300</v>
      </c>
      <c r="H3687" s="1930" t="s">
        <v>6478</v>
      </c>
      <c r="I3687" s="1930" t="s">
        <v>168</v>
      </c>
      <c r="J3687" s="1930" t="s">
        <v>137</v>
      </c>
      <c r="K3687" s="1933">
        <v>23.17</v>
      </c>
      <c r="L3687" s="1930" t="s">
        <v>138</v>
      </c>
    </row>
    <row r="3688" spans="1:12" ht="13.5" x14ac:dyDescent="0.25">
      <c r="A3688" s="1930" t="s">
        <v>4646</v>
      </c>
      <c r="B3688" s="1930" t="s">
        <v>4647</v>
      </c>
      <c r="C3688" s="1930" t="s">
        <v>4594</v>
      </c>
      <c r="D3688" s="1930" t="s">
        <v>4650</v>
      </c>
      <c r="E3688" s="1931" t="s">
        <v>33</v>
      </c>
      <c r="F3688" s="1930" t="s">
        <v>33</v>
      </c>
      <c r="G3688" s="1932">
        <v>92301</v>
      </c>
      <c r="H3688" s="1930" t="s">
        <v>6479</v>
      </c>
      <c r="I3688" s="1930" t="s">
        <v>168</v>
      </c>
      <c r="J3688" s="1930" t="s">
        <v>137</v>
      </c>
      <c r="K3688" s="1933">
        <v>44.8</v>
      </c>
      <c r="L3688" s="1930" t="s">
        <v>138</v>
      </c>
    </row>
    <row r="3689" spans="1:12" ht="13.5" x14ac:dyDescent="0.25">
      <c r="A3689" s="1930" t="s">
        <v>4646</v>
      </c>
      <c r="B3689" s="1930" t="s">
        <v>4647</v>
      </c>
      <c r="C3689" s="1930" t="s">
        <v>4594</v>
      </c>
      <c r="D3689" s="1930" t="s">
        <v>4650</v>
      </c>
      <c r="E3689" s="1931" t="s">
        <v>33</v>
      </c>
      <c r="F3689" s="1930" t="s">
        <v>33</v>
      </c>
      <c r="G3689" s="1932">
        <v>92302</v>
      </c>
      <c r="H3689" s="1930" t="s">
        <v>6480</v>
      </c>
      <c r="I3689" s="1930" t="s">
        <v>168</v>
      </c>
      <c r="J3689" s="1930" t="s">
        <v>137</v>
      </c>
      <c r="K3689" s="1933">
        <v>59.15</v>
      </c>
      <c r="L3689" s="1930" t="s">
        <v>138</v>
      </c>
    </row>
    <row r="3690" spans="1:12" ht="13.5" x14ac:dyDescent="0.25">
      <c r="A3690" s="1930" t="s">
        <v>4646</v>
      </c>
      <c r="B3690" s="1930" t="s">
        <v>4647</v>
      </c>
      <c r="C3690" s="1930" t="s">
        <v>4594</v>
      </c>
      <c r="D3690" s="1930" t="s">
        <v>4650</v>
      </c>
      <c r="E3690" s="1931" t="s">
        <v>33</v>
      </c>
      <c r="F3690" s="1930" t="s">
        <v>33</v>
      </c>
      <c r="G3690" s="1932">
        <v>92303</v>
      </c>
      <c r="H3690" s="1930" t="s">
        <v>6481</v>
      </c>
      <c r="I3690" s="1930" t="s">
        <v>168</v>
      </c>
      <c r="J3690" s="1930" t="s">
        <v>137</v>
      </c>
      <c r="K3690" s="1933">
        <v>107.69</v>
      </c>
      <c r="L3690" s="1930" t="s">
        <v>138</v>
      </c>
    </row>
    <row r="3691" spans="1:12" ht="13.5" x14ac:dyDescent="0.25">
      <c r="A3691" s="1930" t="s">
        <v>4646</v>
      </c>
      <c r="B3691" s="1930" t="s">
        <v>4647</v>
      </c>
      <c r="C3691" s="1930" t="s">
        <v>4594</v>
      </c>
      <c r="D3691" s="1930" t="s">
        <v>4650</v>
      </c>
      <c r="E3691" s="1931" t="s">
        <v>33</v>
      </c>
      <c r="F3691" s="1930" t="s">
        <v>33</v>
      </c>
      <c r="G3691" s="1932">
        <v>92304</v>
      </c>
      <c r="H3691" s="1930" t="s">
        <v>6482</v>
      </c>
      <c r="I3691" s="1930" t="s">
        <v>168</v>
      </c>
      <c r="J3691" s="1930" t="s">
        <v>137</v>
      </c>
      <c r="K3691" s="1933">
        <v>278.17</v>
      </c>
      <c r="L3691" s="1930" t="s">
        <v>138</v>
      </c>
    </row>
    <row r="3692" spans="1:12" ht="13.5" x14ac:dyDescent="0.25">
      <c r="A3692" s="1930" t="s">
        <v>4646</v>
      </c>
      <c r="B3692" s="1930" t="s">
        <v>4647</v>
      </c>
      <c r="C3692" s="1930" t="s">
        <v>4594</v>
      </c>
      <c r="D3692" s="1930" t="s">
        <v>4650</v>
      </c>
      <c r="E3692" s="1931" t="s">
        <v>33</v>
      </c>
      <c r="F3692" s="1930" t="s">
        <v>33</v>
      </c>
      <c r="G3692" s="1932">
        <v>92311</v>
      </c>
      <c r="H3692" s="1930" t="s">
        <v>6483</v>
      </c>
      <c r="I3692" s="1930" t="s">
        <v>168</v>
      </c>
      <c r="J3692" s="1930" t="s">
        <v>137</v>
      </c>
      <c r="K3692" s="1933">
        <v>8.7799999999999994</v>
      </c>
      <c r="L3692" s="1930" t="s">
        <v>138</v>
      </c>
    </row>
    <row r="3693" spans="1:12" ht="13.5" x14ac:dyDescent="0.25">
      <c r="A3693" s="1930" t="s">
        <v>4646</v>
      </c>
      <c r="B3693" s="1930" t="s">
        <v>4647</v>
      </c>
      <c r="C3693" s="1930" t="s">
        <v>4594</v>
      </c>
      <c r="D3693" s="1930" t="s">
        <v>4650</v>
      </c>
      <c r="E3693" s="1931" t="s">
        <v>33</v>
      </c>
      <c r="F3693" s="1930" t="s">
        <v>33</v>
      </c>
      <c r="G3693" s="1932">
        <v>92312</v>
      </c>
      <c r="H3693" s="1930" t="s">
        <v>6484</v>
      </c>
      <c r="I3693" s="1930" t="s">
        <v>168</v>
      </c>
      <c r="J3693" s="1930" t="s">
        <v>137</v>
      </c>
      <c r="K3693" s="1933">
        <v>14.07</v>
      </c>
      <c r="L3693" s="1930" t="s">
        <v>138</v>
      </c>
    </row>
    <row r="3694" spans="1:12" ht="13.5" x14ac:dyDescent="0.25">
      <c r="A3694" s="1930" t="s">
        <v>4646</v>
      </c>
      <c r="B3694" s="1930" t="s">
        <v>4647</v>
      </c>
      <c r="C3694" s="1930" t="s">
        <v>4594</v>
      </c>
      <c r="D3694" s="1930" t="s">
        <v>4650</v>
      </c>
      <c r="E3694" s="1931" t="s">
        <v>33</v>
      </c>
      <c r="F3694" s="1930" t="s">
        <v>33</v>
      </c>
      <c r="G3694" s="1932">
        <v>92313</v>
      </c>
      <c r="H3694" s="1930" t="s">
        <v>6485</v>
      </c>
      <c r="I3694" s="1930" t="s">
        <v>168</v>
      </c>
      <c r="J3694" s="1930" t="s">
        <v>137</v>
      </c>
      <c r="K3694" s="1933">
        <v>20.350000000000001</v>
      </c>
      <c r="L3694" s="1930" t="s">
        <v>138</v>
      </c>
    </row>
    <row r="3695" spans="1:12" ht="13.5" x14ac:dyDescent="0.25">
      <c r="A3695" s="1930" t="s">
        <v>4646</v>
      </c>
      <c r="B3695" s="1930" t="s">
        <v>4647</v>
      </c>
      <c r="C3695" s="1930" t="s">
        <v>4594</v>
      </c>
      <c r="D3695" s="1930" t="s">
        <v>4650</v>
      </c>
      <c r="E3695" s="1931" t="s">
        <v>33</v>
      </c>
      <c r="F3695" s="1930" t="s">
        <v>33</v>
      </c>
      <c r="G3695" s="1932">
        <v>92314</v>
      </c>
      <c r="H3695" s="1930" t="s">
        <v>6486</v>
      </c>
      <c r="I3695" s="1930" t="s">
        <v>168</v>
      </c>
      <c r="J3695" s="1930" t="s">
        <v>137</v>
      </c>
      <c r="K3695" s="1933">
        <v>5.71</v>
      </c>
      <c r="L3695" s="1930" t="s">
        <v>138</v>
      </c>
    </row>
    <row r="3696" spans="1:12" ht="13.5" x14ac:dyDescent="0.25">
      <c r="A3696" s="1930" t="s">
        <v>4646</v>
      </c>
      <c r="B3696" s="1930" t="s">
        <v>4647</v>
      </c>
      <c r="C3696" s="1930" t="s">
        <v>4594</v>
      </c>
      <c r="D3696" s="1930" t="s">
        <v>4650</v>
      </c>
      <c r="E3696" s="1931" t="s">
        <v>33</v>
      </c>
      <c r="F3696" s="1930" t="s">
        <v>33</v>
      </c>
      <c r="G3696" s="1932">
        <v>92315</v>
      </c>
      <c r="H3696" s="1930" t="s">
        <v>6487</v>
      </c>
      <c r="I3696" s="1930" t="s">
        <v>168</v>
      </c>
      <c r="J3696" s="1930" t="s">
        <v>137</v>
      </c>
      <c r="K3696" s="1933">
        <v>8.3699999999999992</v>
      </c>
      <c r="L3696" s="1930" t="s">
        <v>138</v>
      </c>
    </row>
    <row r="3697" spans="1:12" ht="13.5" x14ac:dyDescent="0.25">
      <c r="A3697" s="1930" t="s">
        <v>4646</v>
      </c>
      <c r="B3697" s="1930" t="s">
        <v>4647</v>
      </c>
      <c r="C3697" s="1930" t="s">
        <v>4594</v>
      </c>
      <c r="D3697" s="1930" t="s">
        <v>4650</v>
      </c>
      <c r="E3697" s="1931" t="s">
        <v>33</v>
      </c>
      <c r="F3697" s="1930" t="s">
        <v>33</v>
      </c>
      <c r="G3697" s="1932">
        <v>92316</v>
      </c>
      <c r="H3697" s="1930" t="s">
        <v>6488</v>
      </c>
      <c r="I3697" s="1930" t="s">
        <v>168</v>
      </c>
      <c r="J3697" s="1930" t="s">
        <v>137</v>
      </c>
      <c r="K3697" s="1933">
        <v>12.66</v>
      </c>
      <c r="L3697" s="1930" t="s">
        <v>138</v>
      </c>
    </row>
    <row r="3698" spans="1:12" ht="13.5" x14ac:dyDescent="0.25">
      <c r="A3698" s="1930" t="s">
        <v>4646</v>
      </c>
      <c r="B3698" s="1930" t="s">
        <v>4647</v>
      </c>
      <c r="C3698" s="1930" t="s">
        <v>4594</v>
      </c>
      <c r="D3698" s="1930" t="s">
        <v>4650</v>
      </c>
      <c r="E3698" s="1931" t="s">
        <v>33</v>
      </c>
      <c r="F3698" s="1930" t="s">
        <v>33</v>
      </c>
      <c r="G3698" s="1932">
        <v>92317</v>
      </c>
      <c r="H3698" s="1930" t="s">
        <v>6489</v>
      </c>
      <c r="I3698" s="1930" t="s">
        <v>168</v>
      </c>
      <c r="J3698" s="1930" t="s">
        <v>137</v>
      </c>
      <c r="K3698" s="1933">
        <v>11.93</v>
      </c>
      <c r="L3698" s="1930" t="s">
        <v>138</v>
      </c>
    </row>
    <row r="3699" spans="1:12" ht="13.5" x14ac:dyDescent="0.25">
      <c r="A3699" s="1930" t="s">
        <v>4646</v>
      </c>
      <c r="B3699" s="1930" t="s">
        <v>4647</v>
      </c>
      <c r="C3699" s="1930" t="s">
        <v>4594</v>
      </c>
      <c r="D3699" s="1930" t="s">
        <v>4650</v>
      </c>
      <c r="E3699" s="1931" t="s">
        <v>33</v>
      </c>
      <c r="F3699" s="1930" t="s">
        <v>33</v>
      </c>
      <c r="G3699" s="1932">
        <v>92318</v>
      </c>
      <c r="H3699" s="1930" t="s">
        <v>6490</v>
      </c>
      <c r="I3699" s="1930" t="s">
        <v>168</v>
      </c>
      <c r="J3699" s="1930" t="s">
        <v>137</v>
      </c>
      <c r="K3699" s="1933">
        <v>18.63</v>
      </c>
      <c r="L3699" s="1930" t="s">
        <v>138</v>
      </c>
    </row>
    <row r="3700" spans="1:12" ht="13.5" x14ac:dyDescent="0.25">
      <c r="A3700" s="1930" t="s">
        <v>4646</v>
      </c>
      <c r="B3700" s="1930" t="s">
        <v>4647</v>
      </c>
      <c r="C3700" s="1930" t="s">
        <v>4594</v>
      </c>
      <c r="D3700" s="1930" t="s">
        <v>4650</v>
      </c>
      <c r="E3700" s="1931" t="s">
        <v>33</v>
      </c>
      <c r="F3700" s="1930" t="s">
        <v>33</v>
      </c>
      <c r="G3700" s="1932">
        <v>92319</v>
      </c>
      <c r="H3700" s="1930" t="s">
        <v>6491</v>
      </c>
      <c r="I3700" s="1930" t="s">
        <v>168</v>
      </c>
      <c r="J3700" s="1930" t="s">
        <v>137</v>
      </c>
      <c r="K3700" s="1933">
        <v>26.12</v>
      </c>
      <c r="L3700" s="1930" t="s">
        <v>138</v>
      </c>
    </row>
    <row r="3701" spans="1:12" ht="13.5" x14ac:dyDescent="0.25">
      <c r="A3701" s="1930" t="s">
        <v>4646</v>
      </c>
      <c r="B3701" s="1930" t="s">
        <v>4647</v>
      </c>
      <c r="C3701" s="1930" t="s">
        <v>4594</v>
      </c>
      <c r="D3701" s="1930" t="s">
        <v>4650</v>
      </c>
      <c r="E3701" s="1931" t="s">
        <v>33</v>
      </c>
      <c r="F3701" s="1930" t="s">
        <v>33</v>
      </c>
      <c r="G3701" s="1932">
        <v>92326</v>
      </c>
      <c r="H3701" s="1930" t="s">
        <v>6492</v>
      </c>
      <c r="I3701" s="1930" t="s">
        <v>168</v>
      </c>
      <c r="J3701" s="1930" t="s">
        <v>137</v>
      </c>
      <c r="K3701" s="1933">
        <v>9.6999999999999993</v>
      </c>
      <c r="L3701" s="1930" t="s">
        <v>138</v>
      </c>
    </row>
    <row r="3702" spans="1:12" ht="13.5" x14ac:dyDescent="0.25">
      <c r="A3702" s="1930" t="s">
        <v>4646</v>
      </c>
      <c r="B3702" s="1930" t="s">
        <v>4647</v>
      </c>
      <c r="C3702" s="1930" t="s">
        <v>4594</v>
      </c>
      <c r="D3702" s="1930" t="s">
        <v>4650</v>
      </c>
      <c r="E3702" s="1931" t="s">
        <v>33</v>
      </c>
      <c r="F3702" s="1930" t="s">
        <v>33</v>
      </c>
      <c r="G3702" s="1932">
        <v>92327</v>
      </c>
      <c r="H3702" s="1930" t="s">
        <v>6493</v>
      </c>
      <c r="I3702" s="1930" t="s">
        <v>168</v>
      </c>
      <c r="J3702" s="1930" t="s">
        <v>137</v>
      </c>
      <c r="K3702" s="1933">
        <v>16.13</v>
      </c>
      <c r="L3702" s="1930" t="s">
        <v>138</v>
      </c>
    </row>
    <row r="3703" spans="1:12" ht="13.5" x14ac:dyDescent="0.25">
      <c r="A3703" s="1930" t="s">
        <v>4646</v>
      </c>
      <c r="B3703" s="1930" t="s">
        <v>4647</v>
      </c>
      <c r="C3703" s="1930" t="s">
        <v>4594</v>
      </c>
      <c r="D3703" s="1930" t="s">
        <v>4650</v>
      </c>
      <c r="E3703" s="1931" t="s">
        <v>33</v>
      </c>
      <c r="F3703" s="1930" t="s">
        <v>33</v>
      </c>
      <c r="G3703" s="1932">
        <v>92328</v>
      </c>
      <c r="H3703" s="1930" t="s">
        <v>6494</v>
      </c>
      <c r="I3703" s="1930" t="s">
        <v>168</v>
      </c>
      <c r="J3703" s="1930" t="s">
        <v>137</v>
      </c>
      <c r="K3703" s="1933">
        <v>23.97</v>
      </c>
      <c r="L3703" s="1930" t="s">
        <v>138</v>
      </c>
    </row>
    <row r="3704" spans="1:12" ht="13.5" x14ac:dyDescent="0.25">
      <c r="A3704" s="1930" t="s">
        <v>4646</v>
      </c>
      <c r="B3704" s="1930" t="s">
        <v>4647</v>
      </c>
      <c r="C3704" s="1930" t="s">
        <v>4594</v>
      </c>
      <c r="D3704" s="1930" t="s">
        <v>4650</v>
      </c>
      <c r="E3704" s="1931" t="s">
        <v>33</v>
      </c>
      <c r="F3704" s="1930" t="s">
        <v>33</v>
      </c>
      <c r="G3704" s="1932">
        <v>92329</v>
      </c>
      <c r="H3704" s="1930" t="s">
        <v>6495</v>
      </c>
      <c r="I3704" s="1930" t="s">
        <v>168</v>
      </c>
      <c r="J3704" s="1930" t="s">
        <v>137</v>
      </c>
      <c r="K3704" s="1933">
        <v>5.86</v>
      </c>
      <c r="L3704" s="1930" t="s">
        <v>138</v>
      </c>
    </row>
    <row r="3705" spans="1:12" ht="13.5" x14ac:dyDescent="0.25">
      <c r="A3705" s="1930" t="s">
        <v>4646</v>
      </c>
      <c r="B3705" s="1930" t="s">
        <v>4647</v>
      </c>
      <c r="C3705" s="1930" t="s">
        <v>4594</v>
      </c>
      <c r="D3705" s="1930" t="s">
        <v>4650</v>
      </c>
      <c r="E3705" s="1931" t="s">
        <v>33</v>
      </c>
      <c r="F3705" s="1930" t="s">
        <v>33</v>
      </c>
      <c r="G3705" s="1932">
        <v>92330</v>
      </c>
      <c r="H3705" s="1930" t="s">
        <v>6496</v>
      </c>
      <c r="I3705" s="1930" t="s">
        <v>168</v>
      </c>
      <c r="J3705" s="1930" t="s">
        <v>137</v>
      </c>
      <c r="K3705" s="1933">
        <v>9.7200000000000006</v>
      </c>
      <c r="L3705" s="1930" t="s">
        <v>138</v>
      </c>
    </row>
    <row r="3706" spans="1:12" ht="13.5" x14ac:dyDescent="0.25">
      <c r="A3706" s="1930" t="s">
        <v>4646</v>
      </c>
      <c r="B3706" s="1930" t="s">
        <v>4647</v>
      </c>
      <c r="C3706" s="1930" t="s">
        <v>4594</v>
      </c>
      <c r="D3706" s="1930" t="s">
        <v>4650</v>
      </c>
      <c r="E3706" s="1931" t="s">
        <v>33</v>
      </c>
      <c r="F3706" s="1930" t="s">
        <v>33</v>
      </c>
      <c r="G3706" s="1932">
        <v>92331</v>
      </c>
      <c r="H3706" s="1930" t="s">
        <v>6497</v>
      </c>
      <c r="I3706" s="1930" t="s">
        <v>168</v>
      </c>
      <c r="J3706" s="1930" t="s">
        <v>137</v>
      </c>
      <c r="K3706" s="1933">
        <v>15.09</v>
      </c>
      <c r="L3706" s="1930" t="s">
        <v>138</v>
      </c>
    </row>
    <row r="3707" spans="1:12" ht="13.5" x14ac:dyDescent="0.25">
      <c r="A3707" s="1930" t="s">
        <v>4646</v>
      </c>
      <c r="B3707" s="1930" t="s">
        <v>4647</v>
      </c>
      <c r="C3707" s="1930" t="s">
        <v>4594</v>
      </c>
      <c r="D3707" s="1930" t="s">
        <v>4650</v>
      </c>
      <c r="E3707" s="1931" t="s">
        <v>33</v>
      </c>
      <c r="F3707" s="1930" t="s">
        <v>33</v>
      </c>
      <c r="G3707" s="1932">
        <v>92332</v>
      </c>
      <c r="H3707" s="1930" t="s">
        <v>6498</v>
      </c>
      <c r="I3707" s="1930" t="s">
        <v>168</v>
      </c>
      <c r="J3707" s="1930" t="s">
        <v>137</v>
      </c>
      <c r="K3707" s="1933">
        <v>12.14</v>
      </c>
      <c r="L3707" s="1930" t="s">
        <v>138</v>
      </c>
    </row>
    <row r="3708" spans="1:12" ht="13.5" x14ac:dyDescent="0.25">
      <c r="A3708" s="1930" t="s">
        <v>4646</v>
      </c>
      <c r="B3708" s="1930" t="s">
        <v>4647</v>
      </c>
      <c r="C3708" s="1930" t="s">
        <v>4594</v>
      </c>
      <c r="D3708" s="1930" t="s">
        <v>4650</v>
      </c>
      <c r="E3708" s="1931" t="s">
        <v>33</v>
      </c>
      <c r="F3708" s="1930" t="s">
        <v>33</v>
      </c>
      <c r="G3708" s="1932">
        <v>92333</v>
      </c>
      <c r="H3708" s="1930" t="s">
        <v>6499</v>
      </c>
      <c r="I3708" s="1930" t="s">
        <v>168</v>
      </c>
      <c r="J3708" s="1930" t="s">
        <v>137</v>
      </c>
      <c r="K3708" s="1933">
        <v>21.32</v>
      </c>
      <c r="L3708" s="1930" t="s">
        <v>138</v>
      </c>
    </row>
    <row r="3709" spans="1:12" ht="13.5" x14ac:dyDescent="0.25">
      <c r="A3709" s="1930" t="s">
        <v>4646</v>
      </c>
      <c r="B3709" s="1930" t="s">
        <v>4647</v>
      </c>
      <c r="C3709" s="1930" t="s">
        <v>4594</v>
      </c>
      <c r="D3709" s="1930" t="s">
        <v>4650</v>
      </c>
      <c r="E3709" s="1931" t="s">
        <v>33</v>
      </c>
      <c r="F3709" s="1930" t="s">
        <v>33</v>
      </c>
      <c r="G3709" s="1932">
        <v>92334</v>
      </c>
      <c r="H3709" s="1930" t="s">
        <v>6500</v>
      </c>
      <c r="I3709" s="1930" t="s">
        <v>168</v>
      </c>
      <c r="J3709" s="1930" t="s">
        <v>137</v>
      </c>
      <c r="K3709" s="1933">
        <v>30.94</v>
      </c>
      <c r="L3709" s="1930" t="s">
        <v>138</v>
      </c>
    </row>
    <row r="3710" spans="1:12" ht="13.5" x14ac:dyDescent="0.25">
      <c r="A3710" s="1930" t="s">
        <v>4646</v>
      </c>
      <c r="B3710" s="1930" t="s">
        <v>4647</v>
      </c>
      <c r="C3710" s="1930" t="s">
        <v>4594</v>
      </c>
      <c r="D3710" s="1930" t="s">
        <v>4650</v>
      </c>
      <c r="E3710" s="1931" t="s">
        <v>33</v>
      </c>
      <c r="F3710" s="1930" t="s">
        <v>33</v>
      </c>
      <c r="G3710" s="1932">
        <v>92344</v>
      </c>
      <c r="H3710" s="1930" t="s">
        <v>2819</v>
      </c>
      <c r="I3710" s="1930" t="s">
        <v>168</v>
      </c>
      <c r="J3710" s="1930" t="s">
        <v>320</v>
      </c>
      <c r="K3710" s="1933">
        <v>42.73</v>
      </c>
      <c r="L3710" s="1930" t="s">
        <v>138</v>
      </c>
    </row>
    <row r="3711" spans="1:12" ht="13.5" x14ac:dyDescent="0.25">
      <c r="A3711" s="1930" t="s">
        <v>4646</v>
      </c>
      <c r="B3711" s="1930" t="s">
        <v>4647</v>
      </c>
      <c r="C3711" s="1930" t="s">
        <v>4594</v>
      </c>
      <c r="D3711" s="1930" t="s">
        <v>4650</v>
      </c>
      <c r="E3711" s="1931" t="s">
        <v>33</v>
      </c>
      <c r="F3711" s="1930" t="s">
        <v>33</v>
      </c>
      <c r="G3711" s="1932">
        <v>92345</v>
      </c>
      <c r="H3711" s="1930" t="s">
        <v>2820</v>
      </c>
      <c r="I3711" s="1930" t="s">
        <v>168</v>
      </c>
      <c r="J3711" s="1930" t="s">
        <v>320</v>
      </c>
      <c r="K3711" s="1933">
        <v>42.72</v>
      </c>
      <c r="L3711" s="1930" t="s">
        <v>138</v>
      </c>
    </row>
    <row r="3712" spans="1:12" ht="13.5" x14ac:dyDescent="0.25">
      <c r="A3712" s="1930" t="s">
        <v>4646</v>
      </c>
      <c r="B3712" s="1930" t="s">
        <v>4647</v>
      </c>
      <c r="C3712" s="1930" t="s">
        <v>4594</v>
      </c>
      <c r="D3712" s="1930" t="s">
        <v>4650</v>
      </c>
      <c r="E3712" s="1931" t="s">
        <v>33</v>
      </c>
      <c r="F3712" s="1930" t="s">
        <v>33</v>
      </c>
      <c r="G3712" s="1932">
        <v>92346</v>
      </c>
      <c r="H3712" s="1930" t="s">
        <v>2821</v>
      </c>
      <c r="I3712" s="1930" t="s">
        <v>168</v>
      </c>
      <c r="J3712" s="1930" t="s">
        <v>320</v>
      </c>
      <c r="K3712" s="1933">
        <v>55.22</v>
      </c>
      <c r="L3712" s="1930" t="s">
        <v>138</v>
      </c>
    </row>
    <row r="3713" spans="1:12" ht="13.5" x14ac:dyDescent="0.25">
      <c r="A3713" s="1930" t="s">
        <v>4646</v>
      </c>
      <c r="B3713" s="1930" t="s">
        <v>4647</v>
      </c>
      <c r="C3713" s="1930" t="s">
        <v>4594</v>
      </c>
      <c r="D3713" s="1930" t="s">
        <v>4650</v>
      </c>
      <c r="E3713" s="1931" t="s">
        <v>33</v>
      </c>
      <c r="F3713" s="1930" t="s">
        <v>33</v>
      </c>
      <c r="G3713" s="1932">
        <v>92347</v>
      </c>
      <c r="H3713" s="1930" t="s">
        <v>2822</v>
      </c>
      <c r="I3713" s="1930" t="s">
        <v>168</v>
      </c>
      <c r="J3713" s="1930" t="s">
        <v>320</v>
      </c>
      <c r="K3713" s="1933">
        <v>60.93</v>
      </c>
      <c r="L3713" s="1930" t="s">
        <v>138</v>
      </c>
    </row>
    <row r="3714" spans="1:12" ht="13.5" x14ac:dyDescent="0.25">
      <c r="A3714" s="1930" t="s">
        <v>4646</v>
      </c>
      <c r="B3714" s="1930" t="s">
        <v>4647</v>
      </c>
      <c r="C3714" s="1930" t="s">
        <v>4594</v>
      </c>
      <c r="D3714" s="1930" t="s">
        <v>4650</v>
      </c>
      <c r="E3714" s="1931" t="s">
        <v>33</v>
      </c>
      <c r="F3714" s="1930" t="s">
        <v>33</v>
      </c>
      <c r="G3714" s="1932">
        <v>92348</v>
      </c>
      <c r="H3714" s="1930" t="s">
        <v>2823</v>
      </c>
      <c r="I3714" s="1930" t="s">
        <v>168</v>
      </c>
      <c r="J3714" s="1930" t="s">
        <v>320</v>
      </c>
      <c r="K3714" s="1933">
        <v>76.02</v>
      </c>
      <c r="L3714" s="1930" t="s">
        <v>138</v>
      </c>
    </row>
    <row r="3715" spans="1:12" ht="13.5" x14ac:dyDescent="0.25">
      <c r="A3715" s="1930" t="s">
        <v>4646</v>
      </c>
      <c r="B3715" s="1930" t="s">
        <v>4647</v>
      </c>
      <c r="C3715" s="1930" t="s">
        <v>4594</v>
      </c>
      <c r="D3715" s="1930" t="s">
        <v>4650</v>
      </c>
      <c r="E3715" s="1931" t="s">
        <v>33</v>
      </c>
      <c r="F3715" s="1930" t="s">
        <v>33</v>
      </c>
      <c r="G3715" s="1932">
        <v>92349</v>
      </c>
      <c r="H3715" s="1930" t="s">
        <v>2824</v>
      </c>
      <c r="I3715" s="1930" t="s">
        <v>168</v>
      </c>
      <c r="J3715" s="1930" t="s">
        <v>320</v>
      </c>
      <c r="K3715" s="1933">
        <v>81.099999999999994</v>
      </c>
      <c r="L3715" s="1930" t="s">
        <v>138</v>
      </c>
    </row>
    <row r="3716" spans="1:12" ht="13.5" x14ac:dyDescent="0.25">
      <c r="A3716" s="1930" t="s">
        <v>4646</v>
      </c>
      <c r="B3716" s="1930" t="s">
        <v>4647</v>
      </c>
      <c r="C3716" s="1930" t="s">
        <v>4594</v>
      </c>
      <c r="D3716" s="1930" t="s">
        <v>4650</v>
      </c>
      <c r="E3716" s="1931" t="s">
        <v>33</v>
      </c>
      <c r="F3716" s="1930" t="s">
        <v>33</v>
      </c>
      <c r="G3716" s="1932">
        <v>92350</v>
      </c>
      <c r="H3716" s="1930" t="s">
        <v>2825</v>
      </c>
      <c r="I3716" s="1930" t="s">
        <v>168</v>
      </c>
      <c r="J3716" s="1930" t="s">
        <v>320</v>
      </c>
      <c r="K3716" s="1933">
        <v>63.55</v>
      </c>
      <c r="L3716" s="1930" t="s">
        <v>138</v>
      </c>
    </row>
    <row r="3717" spans="1:12" ht="13.5" x14ac:dyDescent="0.25">
      <c r="A3717" s="1930" t="s">
        <v>4646</v>
      </c>
      <c r="B3717" s="1930" t="s">
        <v>4647</v>
      </c>
      <c r="C3717" s="1930" t="s">
        <v>4594</v>
      </c>
      <c r="D3717" s="1930" t="s">
        <v>4650</v>
      </c>
      <c r="E3717" s="1931" t="s">
        <v>33</v>
      </c>
      <c r="F3717" s="1930" t="s">
        <v>33</v>
      </c>
      <c r="G3717" s="1932">
        <v>92351</v>
      </c>
      <c r="H3717" s="1930" t="s">
        <v>2826</v>
      </c>
      <c r="I3717" s="1930" t="s">
        <v>168</v>
      </c>
      <c r="J3717" s="1930" t="s">
        <v>320</v>
      </c>
      <c r="K3717" s="1933">
        <v>62.28</v>
      </c>
      <c r="L3717" s="1930" t="s">
        <v>138</v>
      </c>
    </row>
    <row r="3718" spans="1:12" ht="13.5" x14ac:dyDescent="0.25">
      <c r="A3718" s="1930" t="s">
        <v>4646</v>
      </c>
      <c r="B3718" s="1930" t="s">
        <v>4647</v>
      </c>
      <c r="C3718" s="1930" t="s">
        <v>4594</v>
      </c>
      <c r="D3718" s="1930" t="s">
        <v>4650</v>
      </c>
      <c r="E3718" s="1931" t="s">
        <v>33</v>
      </c>
      <c r="F3718" s="1930" t="s">
        <v>33</v>
      </c>
      <c r="G3718" s="1932">
        <v>92352</v>
      </c>
      <c r="H3718" s="1930" t="s">
        <v>2827</v>
      </c>
      <c r="I3718" s="1930" t="s">
        <v>168</v>
      </c>
      <c r="J3718" s="1930" t="s">
        <v>320</v>
      </c>
      <c r="K3718" s="1933">
        <v>93.71</v>
      </c>
      <c r="L3718" s="1930" t="s">
        <v>138</v>
      </c>
    </row>
    <row r="3719" spans="1:12" ht="13.5" x14ac:dyDescent="0.25">
      <c r="A3719" s="1930" t="s">
        <v>4646</v>
      </c>
      <c r="B3719" s="1930" t="s">
        <v>4647</v>
      </c>
      <c r="C3719" s="1930" t="s">
        <v>4594</v>
      </c>
      <c r="D3719" s="1930" t="s">
        <v>4650</v>
      </c>
      <c r="E3719" s="1931" t="s">
        <v>33</v>
      </c>
      <c r="F3719" s="1930" t="s">
        <v>33</v>
      </c>
      <c r="G3719" s="1932">
        <v>92353</v>
      </c>
      <c r="H3719" s="1930" t="s">
        <v>2828</v>
      </c>
      <c r="I3719" s="1930" t="s">
        <v>168</v>
      </c>
      <c r="J3719" s="1930" t="s">
        <v>320</v>
      </c>
      <c r="K3719" s="1933">
        <v>88.13</v>
      </c>
      <c r="L3719" s="1930" t="s">
        <v>138</v>
      </c>
    </row>
    <row r="3720" spans="1:12" ht="13.5" x14ac:dyDescent="0.25">
      <c r="A3720" s="1930" t="s">
        <v>4646</v>
      </c>
      <c r="B3720" s="1930" t="s">
        <v>4647</v>
      </c>
      <c r="C3720" s="1930" t="s">
        <v>4594</v>
      </c>
      <c r="D3720" s="1930" t="s">
        <v>4650</v>
      </c>
      <c r="E3720" s="1931" t="s">
        <v>33</v>
      </c>
      <c r="F3720" s="1930" t="s">
        <v>33</v>
      </c>
      <c r="G3720" s="1932">
        <v>92354</v>
      </c>
      <c r="H3720" s="1930" t="s">
        <v>2829</v>
      </c>
      <c r="I3720" s="1930" t="s">
        <v>168</v>
      </c>
      <c r="J3720" s="1930" t="s">
        <v>320</v>
      </c>
      <c r="K3720" s="1933">
        <v>122.71</v>
      </c>
      <c r="L3720" s="1930" t="s">
        <v>138</v>
      </c>
    </row>
    <row r="3721" spans="1:12" ht="13.5" x14ac:dyDescent="0.25">
      <c r="A3721" s="1930" t="s">
        <v>4646</v>
      </c>
      <c r="B3721" s="1930" t="s">
        <v>4647</v>
      </c>
      <c r="C3721" s="1930" t="s">
        <v>4594</v>
      </c>
      <c r="D3721" s="1930" t="s">
        <v>4650</v>
      </c>
      <c r="E3721" s="1931" t="s">
        <v>33</v>
      </c>
      <c r="F3721" s="1930" t="s">
        <v>33</v>
      </c>
      <c r="G3721" s="1932">
        <v>92355</v>
      </c>
      <c r="H3721" s="1930" t="s">
        <v>2830</v>
      </c>
      <c r="I3721" s="1930" t="s">
        <v>168</v>
      </c>
      <c r="J3721" s="1930" t="s">
        <v>320</v>
      </c>
      <c r="K3721" s="1933">
        <v>111.94</v>
      </c>
      <c r="L3721" s="1930" t="s">
        <v>138</v>
      </c>
    </row>
    <row r="3722" spans="1:12" ht="13.5" x14ac:dyDescent="0.25">
      <c r="A3722" s="1930" t="s">
        <v>4646</v>
      </c>
      <c r="B3722" s="1930" t="s">
        <v>4647</v>
      </c>
      <c r="C3722" s="1930" t="s">
        <v>4594</v>
      </c>
      <c r="D3722" s="1930" t="s">
        <v>4650</v>
      </c>
      <c r="E3722" s="1931" t="s">
        <v>33</v>
      </c>
      <c r="F3722" s="1930" t="s">
        <v>33</v>
      </c>
      <c r="G3722" s="1932">
        <v>92356</v>
      </c>
      <c r="H3722" s="1930" t="s">
        <v>2831</v>
      </c>
      <c r="I3722" s="1930" t="s">
        <v>168</v>
      </c>
      <c r="J3722" s="1930" t="s">
        <v>320</v>
      </c>
      <c r="K3722" s="1933">
        <v>83.06</v>
      </c>
      <c r="L3722" s="1930" t="s">
        <v>138</v>
      </c>
    </row>
    <row r="3723" spans="1:12" ht="13.5" x14ac:dyDescent="0.25">
      <c r="A3723" s="1930" t="s">
        <v>4646</v>
      </c>
      <c r="B3723" s="1930" t="s">
        <v>4647</v>
      </c>
      <c r="C3723" s="1930" t="s">
        <v>4594</v>
      </c>
      <c r="D3723" s="1930" t="s">
        <v>4650</v>
      </c>
      <c r="E3723" s="1931" t="s">
        <v>33</v>
      </c>
      <c r="F3723" s="1930" t="s">
        <v>33</v>
      </c>
      <c r="G3723" s="1932">
        <v>92357</v>
      </c>
      <c r="H3723" s="1930" t="s">
        <v>2832</v>
      </c>
      <c r="I3723" s="1930" t="s">
        <v>168</v>
      </c>
      <c r="J3723" s="1930" t="s">
        <v>320</v>
      </c>
      <c r="K3723" s="1933">
        <v>120.35</v>
      </c>
      <c r="L3723" s="1930" t="s">
        <v>138</v>
      </c>
    </row>
    <row r="3724" spans="1:12" ht="13.5" x14ac:dyDescent="0.25">
      <c r="A3724" s="1930" t="s">
        <v>4646</v>
      </c>
      <c r="B3724" s="1930" t="s">
        <v>4647</v>
      </c>
      <c r="C3724" s="1930" t="s">
        <v>4594</v>
      </c>
      <c r="D3724" s="1930" t="s">
        <v>4650</v>
      </c>
      <c r="E3724" s="1931" t="s">
        <v>33</v>
      </c>
      <c r="F3724" s="1930" t="s">
        <v>33</v>
      </c>
      <c r="G3724" s="1932">
        <v>92358</v>
      </c>
      <c r="H3724" s="1930" t="s">
        <v>2833</v>
      </c>
      <c r="I3724" s="1930" t="s">
        <v>168</v>
      </c>
      <c r="J3724" s="1930" t="s">
        <v>320</v>
      </c>
      <c r="K3724" s="1933">
        <v>148.24</v>
      </c>
      <c r="L3724" s="1930" t="s">
        <v>138</v>
      </c>
    </row>
    <row r="3725" spans="1:12" ht="13.5" x14ac:dyDescent="0.25">
      <c r="A3725" s="1930" t="s">
        <v>4646</v>
      </c>
      <c r="B3725" s="1930" t="s">
        <v>4647</v>
      </c>
      <c r="C3725" s="1930" t="s">
        <v>4594</v>
      </c>
      <c r="D3725" s="1930" t="s">
        <v>4650</v>
      </c>
      <c r="E3725" s="1931" t="s">
        <v>33</v>
      </c>
      <c r="F3725" s="1930" t="s">
        <v>33</v>
      </c>
      <c r="G3725" s="1932">
        <v>92369</v>
      </c>
      <c r="H3725" s="1930" t="s">
        <v>2834</v>
      </c>
      <c r="I3725" s="1930" t="s">
        <v>168</v>
      </c>
      <c r="J3725" s="1930" t="s">
        <v>320</v>
      </c>
      <c r="K3725" s="1933">
        <v>23.93</v>
      </c>
      <c r="L3725" s="1930" t="s">
        <v>138</v>
      </c>
    </row>
    <row r="3726" spans="1:12" ht="13.5" x14ac:dyDescent="0.25">
      <c r="A3726" s="1930" t="s">
        <v>4646</v>
      </c>
      <c r="B3726" s="1930" t="s">
        <v>4647</v>
      </c>
      <c r="C3726" s="1930" t="s">
        <v>4594</v>
      </c>
      <c r="D3726" s="1930" t="s">
        <v>4650</v>
      </c>
      <c r="E3726" s="1931" t="s">
        <v>33</v>
      </c>
      <c r="F3726" s="1930" t="s">
        <v>33</v>
      </c>
      <c r="G3726" s="1932">
        <v>92370</v>
      </c>
      <c r="H3726" s="1930" t="s">
        <v>2835</v>
      </c>
      <c r="I3726" s="1930" t="s">
        <v>168</v>
      </c>
      <c r="J3726" s="1930" t="s">
        <v>320</v>
      </c>
      <c r="K3726" s="1933">
        <v>24.96</v>
      </c>
      <c r="L3726" s="1930" t="s">
        <v>138</v>
      </c>
    </row>
    <row r="3727" spans="1:12" ht="13.5" x14ac:dyDescent="0.25">
      <c r="A3727" s="1930" t="s">
        <v>4646</v>
      </c>
      <c r="B3727" s="1930" t="s">
        <v>4647</v>
      </c>
      <c r="C3727" s="1930" t="s">
        <v>4594</v>
      </c>
      <c r="D3727" s="1930" t="s">
        <v>4650</v>
      </c>
      <c r="E3727" s="1931" t="s">
        <v>33</v>
      </c>
      <c r="F3727" s="1930" t="s">
        <v>33</v>
      </c>
      <c r="G3727" s="1932">
        <v>92371</v>
      </c>
      <c r="H3727" s="1930" t="s">
        <v>2836</v>
      </c>
      <c r="I3727" s="1930" t="s">
        <v>168</v>
      </c>
      <c r="J3727" s="1930" t="s">
        <v>320</v>
      </c>
      <c r="K3727" s="1933">
        <v>28.56</v>
      </c>
      <c r="L3727" s="1930" t="s">
        <v>138</v>
      </c>
    </row>
    <row r="3728" spans="1:12" ht="13.5" x14ac:dyDescent="0.25">
      <c r="A3728" s="1930" t="s">
        <v>4646</v>
      </c>
      <c r="B3728" s="1930" t="s">
        <v>4647</v>
      </c>
      <c r="C3728" s="1930" t="s">
        <v>4594</v>
      </c>
      <c r="D3728" s="1930" t="s">
        <v>4650</v>
      </c>
      <c r="E3728" s="1931" t="s">
        <v>33</v>
      </c>
      <c r="F3728" s="1930" t="s">
        <v>33</v>
      </c>
      <c r="G3728" s="1932">
        <v>92372</v>
      </c>
      <c r="H3728" s="1930" t="s">
        <v>2837</v>
      </c>
      <c r="I3728" s="1930" t="s">
        <v>168</v>
      </c>
      <c r="J3728" s="1930" t="s">
        <v>320</v>
      </c>
      <c r="K3728" s="1933">
        <v>29.52</v>
      </c>
      <c r="L3728" s="1930" t="s">
        <v>138</v>
      </c>
    </row>
    <row r="3729" spans="1:12" ht="13.5" x14ac:dyDescent="0.25">
      <c r="A3729" s="1930" t="s">
        <v>4646</v>
      </c>
      <c r="B3729" s="1930" t="s">
        <v>4647</v>
      </c>
      <c r="C3729" s="1930" t="s">
        <v>4594</v>
      </c>
      <c r="D3729" s="1930" t="s">
        <v>4650</v>
      </c>
      <c r="E3729" s="1931" t="s">
        <v>33</v>
      </c>
      <c r="F3729" s="1930" t="s">
        <v>33</v>
      </c>
      <c r="G3729" s="1932">
        <v>92373</v>
      </c>
      <c r="H3729" s="1930" t="s">
        <v>2838</v>
      </c>
      <c r="I3729" s="1930" t="s">
        <v>168</v>
      </c>
      <c r="J3729" s="1930" t="s">
        <v>320</v>
      </c>
      <c r="K3729" s="1933">
        <v>33.46</v>
      </c>
      <c r="L3729" s="1930" t="s">
        <v>138</v>
      </c>
    </row>
    <row r="3730" spans="1:12" ht="13.5" x14ac:dyDescent="0.25">
      <c r="A3730" s="1930" t="s">
        <v>4646</v>
      </c>
      <c r="B3730" s="1930" t="s">
        <v>4647</v>
      </c>
      <c r="C3730" s="1930" t="s">
        <v>4594</v>
      </c>
      <c r="D3730" s="1930" t="s">
        <v>4650</v>
      </c>
      <c r="E3730" s="1931" t="s">
        <v>33</v>
      </c>
      <c r="F3730" s="1930" t="s">
        <v>33</v>
      </c>
      <c r="G3730" s="1932">
        <v>92374</v>
      </c>
      <c r="H3730" s="1930" t="s">
        <v>2839</v>
      </c>
      <c r="I3730" s="1930" t="s">
        <v>168</v>
      </c>
      <c r="J3730" s="1930" t="s">
        <v>320</v>
      </c>
      <c r="K3730" s="1933">
        <v>33.64</v>
      </c>
      <c r="L3730" s="1930" t="s">
        <v>138</v>
      </c>
    </row>
    <row r="3731" spans="1:12" ht="13.5" x14ac:dyDescent="0.25">
      <c r="A3731" s="1930" t="s">
        <v>4646</v>
      </c>
      <c r="B3731" s="1930" t="s">
        <v>4647</v>
      </c>
      <c r="C3731" s="1930" t="s">
        <v>4594</v>
      </c>
      <c r="D3731" s="1930" t="s">
        <v>4650</v>
      </c>
      <c r="E3731" s="1931" t="s">
        <v>33</v>
      </c>
      <c r="F3731" s="1930" t="s">
        <v>33</v>
      </c>
      <c r="G3731" s="1932">
        <v>92375</v>
      </c>
      <c r="H3731" s="1930" t="s">
        <v>2840</v>
      </c>
      <c r="I3731" s="1930" t="s">
        <v>168</v>
      </c>
      <c r="J3731" s="1930" t="s">
        <v>320</v>
      </c>
      <c r="K3731" s="1933">
        <v>42.7</v>
      </c>
      <c r="L3731" s="1930" t="s">
        <v>138</v>
      </c>
    </row>
    <row r="3732" spans="1:12" ht="13.5" x14ac:dyDescent="0.25">
      <c r="A3732" s="1930" t="s">
        <v>4646</v>
      </c>
      <c r="B3732" s="1930" t="s">
        <v>4647</v>
      </c>
      <c r="C3732" s="1930" t="s">
        <v>4594</v>
      </c>
      <c r="D3732" s="1930" t="s">
        <v>4650</v>
      </c>
      <c r="E3732" s="1931" t="s">
        <v>33</v>
      </c>
      <c r="F3732" s="1930" t="s">
        <v>33</v>
      </c>
      <c r="G3732" s="1932">
        <v>92376</v>
      </c>
      <c r="H3732" s="1930" t="s">
        <v>2841</v>
      </c>
      <c r="I3732" s="1930" t="s">
        <v>168</v>
      </c>
      <c r="J3732" s="1930" t="s">
        <v>320</v>
      </c>
      <c r="K3732" s="1933">
        <v>42.69</v>
      </c>
      <c r="L3732" s="1930" t="s">
        <v>138</v>
      </c>
    </row>
    <row r="3733" spans="1:12" ht="13.5" x14ac:dyDescent="0.25">
      <c r="A3733" s="1930" t="s">
        <v>4646</v>
      </c>
      <c r="B3733" s="1930" t="s">
        <v>4647</v>
      </c>
      <c r="C3733" s="1930" t="s">
        <v>4594</v>
      </c>
      <c r="D3733" s="1930" t="s">
        <v>4650</v>
      </c>
      <c r="E3733" s="1931" t="s">
        <v>33</v>
      </c>
      <c r="F3733" s="1930" t="s">
        <v>33</v>
      </c>
      <c r="G3733" s="1932">
        <v>92377</v>
      </c>
      <c r="H3733" s="1930" t="s">
        <v>2842</v>
      </c>
      <c r="I3733" s="1930" t="s">
        <v>168</v>
      </c>
      <c r="J3733" s="1930" t="s">
        <v>320</v>
      </c>
      <c r="K3733" s="1933">
        <v>56.42</v>
      </c>
      <c r="L3733" s="1930" t="s">
        <v>138</v>
      </c>
    </row>
    <row r="3734" spans="1:12" ht="13.5" x14ac:dyDescent="0.25">
      <c r="A3734" s="1930" t="s">
        <v>4646</v>
      </c>
      <c r="B3734" s="1930" t="s">
        <v>4647</v>
      </c>
      <c r="C3734" s="1930" t="s">
        <v>4594</v>
      </c>
      <c r="D3734" s="1930" t="s">
        <v>4650</v>
      </c>
      <c r="E3734" s="1931" t="s">
        <v>33</v>
      </c>
      <c r="F3734" s="1930" t="s">
        <v>33</v>
      </c>
      <c r="G3734" s="1932">
        <v>92378</v>
      </c>
      <c r="H3734" s="1930" t="s">
        <v>2843</v>
      </c>
      <c r="I3734" s="1930" t="s">
        <v>168</v>
      </c>
      <c r="J3734" s="1930" t="s">
        <v>320</v>
      </c>
      <c r="K3734" s="1933">
        <v>62.13</v>
      </c>
      <c r="L3734" s="1930" t="s">
        <v>138</v>
      </c>
    </row>
    <row r="3735" spans="1:12" ht="13.5" x14ac:dyDescent="0.25">
      <c r="A3735" s="1930" t="s">
        <v>4646</v>
      </c>
      <c r="B3735" s="1930" t="s">
        <v>4647</v>
      </c>
      <c r="C3735" s="1930" t="s">
        <v>4594</v>
      </c>
      <c r="D3735" s="1930" t="s">
        <v>4650</v>
      </c>
      <c r="E3735" s="1931" t="s">
        <v>33</v>
      </c>
      <c r="F3735" s="1930" t="s">
        <v>33</v>
      </c>
      <c r="G3735" s="1932">
        <v>92379</v>
      </c>
      <c r="H3735" s="1930" t="s">
        <v>2844</v>
      </c>
      <c r="I3735" s="1930" t="s">
        <v>168</v>
      </c>
      <c r="J3735" s="1930" t="s">
        <v>320</v>
      </c>
      <c r="K3735" s="1933">
        <v>78.489999999999995</v>
      </c>
      <c r="L3735" s="1930" t="s">
        <v>138</v>
      </c>
    </row>
    <row r="3736" spans="1:12" ht="13.5" x14ac:dyDescent="0.25">
      <c r="A3736" s="1930" t="s">
        <v>4646</v>
      </c>
      <c r="B3736" s="1930" t="s">
        <v>4647</v>
      </c>
      <c r="C3736" s="1930" t="s">
        <v>4594</v>
      </c>
      <c r="D3736" s="1930" t="s">
        <v>4650</v>
      </c>
      <c r="E3736" s="1931" t="s">
        <v>33</v>
      </c>
      <c r="F3736" s="1930" t="s">
        <v>33</v>
      </c>
      <c r="G3736" s="1932">
        <v>92380</v>
      </c>
      <c r="H3736" s="1930" t="s">
        <v>2845</v>
      </c>
      <c r="I3736" s="1930" t="s">
        <v>168</v>
      </c>
      <c r="J3736" s="1930" t="s">
        <v>320</v>
      </c>
      <c r="K3736" s="1933">
        <v>83.57</v>
      </c>
      <c r="L3736" s="1930" t="s">
        <v>138</v>
      </c>
    </row>
    <row r="3737" spans="1:12" ht="13.5" x14ac:dyDescent="0.25">
      <c r="A3737" s="1930" t="s">
        <v>4646</v>
      </c>
      <c r="B3737" s="1930" t="s">
        <v>4647</v>
      </c>
      <c r="C3737" s="1930" t="s">
        <v>4594</v>
      </c>
      <c r="D3737" s="1930" t="s">
        <v>4650</v>
      </c>
      <c r="E3737" s="1931" t="s">
        <v>33</v>
      </c>
      <c r="F3737" s="1930" t="s">
        <v>33</v>
      </c>
      <c r="G3737" s="1932">
        <v>92381</v>
      </c>
      <c r="H3737" s="1930" t="s">
        <v>2846</v>
      </c>
      <c r="I3737" s="1930" t="s">
        <v>168</v>
      </c>
      <c r="J3737" s="1930" t="s">
        <v>320</v>
      </c>
      <c r="K3737" s="1933">
        <v>36.18</v>
      </c>
      <c r="L3737" s="1930" t="s">
        <v>138</v>
      </c>
    </row>
    <row r="3738" spans="1:12" ht="13.5" x14ac:dyDescent="0.25">
      <c r="A3738" s="1930" t="s">
        <v>4646</v>
      </c>
      <c r="B3738" s="1930" t="s">
        <v>4647</v>
      </c>
      <c r="C3738" s="1930" t="s">
        <v>4594</v>
      </c>
      <c r="D3738" s="1930" t="s">
        <v>4650</v>
      </c>
      <c r="E3738" s="1931" t="s">
        <v>33</v>
      </c>
      <c r="F3738" s="1930" t="s">
        <v>33</v>
      </c>
      <c r="G3738" s="1932">
        <v>92382</v>
      </c>
      <c r="H3738" s="1930" t="s">
        <v>2847</v>
      </c>
      <c r="I3738" s="1930" t="s">
        <v>168</v>
      </c>
      <c r="J3738" s="1930" t="s">
        <v>320</v>
      </c>
      <c r="K3738" s="1933">
        <v>34.81</v>
      </c>
      <c r="L3738" s="1930" t="s">
        <v>138</v>
      </c>
    </row>
    <row r="3739" spans="1:12" ht="13.5" x14ac:dyDescent="0.25">
      <c r="A3739" s="1930" t="s">
        <v>4646</v>
      </c>
      <c r="B3739" s="1930" t="s">
        <v>4647</v>
      </c>
      <c r="C3739" s="1930" t="s">
        <v>4594</v>
      </c>
      <c r="D3739" s="1930" t="s">
        <v>4650</v>
      </c>
      <c r="E3739" s="1931" t="s">
        <v>33</v>
      </c>
      <c r="F3739" s="1930" t="s">
        <v>33</v>
      </c>
      <c r="G3739" s="1932">
        <v>92383</v>
      </c>
      <c r="H3739" s="1930" t="s">
        <v>2848</v>
      </c>
      <c r="I3739" s="1930" t="s">
        <v>168</v>
      </c>
      <c r="J3739" s="1930" t="s">
        <v>320</v>
      </c>
      <c r="K3739" s="1933">
        <v>44.78</v>
      </c>
      <c r="L3739" s="1930" t="s">
        <v>138</v>
      </c>
    </row>
    <row r="3740" spans="1:12" ht="13.5" x14ac:dyDescent="0.25">
      <c r="A3740" s="1930" t="s">
        <v>4646</v>
      </c>
      <c r="B3740" s="1930" t="s">
        <v>4647</v>
      </c>
      <c r="C3740" s="1930" t="s">
        <v>4594</v>
      </c>
      <c r="D3740" s="1930" t="s">
        <v>4650</v>
      </c>
      <c r="E3740" s="1931" t="s">
        <v>33</v>
      </c>
      <c r="F3740" s="1930" t="s">
        <v>33</v>
      </c>
      <c r="G3740" s="1932">
        <v>92384</v>
      </c>
      <c r="H3740" s="1930" t="s">
        <v>2849</v>
      </c>
      <c r="I3740" s="1930" t="s">
        <v>168</v>
      </c>
      <c r="J3740" s="1930" t="s">
        <v>320</v>
      </c>
      <c r="K3740" s="1933">
        <v>42.06</v>
      </c>
      <c r="L3740" s="1930" t="s">
        <v>138</v>
      </c>
    </row>
    <row r="3741" spans="1:12" ht="13.5" x14ac:dyDescent="0.25">
      <c r="A3741" s="1930" t="s">
        <v>4646</v>
      </c>
      <c r="B3741" s="1930" t="s">
        <v>4647</v>
      </c>
      <c r="C3741" s="1930" t="s">
        <v>4594</v>
      </c>
      <c r="D3741" s="1930" t="s">
        <v>4650</v>
      </c>
      <c r="E3741" s="1931" t="s">
        <v>33</v>
      </c>
      <c r="F3741" s="1930" t="s">
        <v>33</v>
      </c>
      <c r="G3741" s="1932">
        <v>92385</v>
      </c>
      <c r="H3741" s="1930" t="s">
        <v>2850</v>
      </c>
      <c r="I3741" s="1930" t="s">
        <v>168</v>
      </c>
      <c r="J3741" s="1930" t="s">
        <v>320</v>
      </c>
      <c r="K3741" s="1933">
        <v>51.05</v>
      </c>
      <c r="L3741" s="1930" t="s">
        <v>138</v>
      </c>
    </row>
    <row r="3742" spans="1:12" ht="13.5" x14ac:dyDescent="0.25">
      <c r="A3742" s="1930" t="s">
        <v>4646</v>
      </c>
      <c r="B3742" s="1930" t="s">
        <v>4647</v>
      </c>
      <c r="C3742" s="1930" t="s">
        <v>4594</v>
      </c>
      <c r="D3742" s="1930" t="s">
        <v>4650</v>
      </c>
      <c r="E3742" s="1931" t="s">
        <v>33</v>
      </c>
      <c r="F3742" s="1930" t="s">
        <v>33</v>
      </c>
      <c r="G3742" s="1932">
        <v>92386</v>
      </c>
      <c r="H3742" s="1930" t="s">
        <v>2851</v>
      </c>
      <c r="I3742" s="1930" t="s">
        <v>168</v>
      </c>
      <c r="J3742" s="1930" t="s">
        <v>320</v>
      </c>
      <c r="K3742" s="1933">
        <v>49.18</v>
      </c>
      <c r="L3742" s="1930" t="s">
        <v>138</v>
      </c>
    </row>
    <row r="3743" spans="1:12" ht="13.5" x14ac:dyDescent="0.25">
      <c r="A3743" s="1930" t="s">
        <v>4646</v>
      </c>
      <c r="B3743" s="1930" t="s">
        <v>4647</v>
      </c>
      <c r="C3743" s="1930" t="s">
        <v>4594</v>
      </c>
      <c r="D3743" s="1930" t="s">
        <v>4650</v>
      </c>
      <c r="E3743" s="1931" t="s">
        <v>33</v>
      </c>
      <c r="F3743" s="1930" t="s">
        <v>33</v>
      </c>
      <c r="G3743" s="1932">
        <v>92387</v>
      </c>
      <c r="H3743" s="1930" t="s">
        <v>2852</v>
      </c>
      <c r="I3743" s="1930" t="s">
        <v>168</v>
      </c>
      <c r="J3743" s="1930" t="s">
        <v>320</v>
      </c>
      <c r="K3743" s="1933">
        <v>63.48</v>
      </c>
      <c r="L3743" s="1930" t="s">
        <v>138</v>
      </c>
    </row>
    <row r="3744" spans="1:12" ht="13.5" x14ac:dyDescent="0.25">
      <c r="A3744" s="1930" t="s">
        <v>4646</v>
      </c>
      <c r="B3744" s="1930" t="s">
        <v>4647</v>
      </c>
      <c r="C3744" s="1930" t="s">
        <v>4594</v>
      </c>
      <c r="D3744" s="1930" t="s">
        <v>4650</v>
      </c>
      <c r="E3744" s="1931" t="s">
        <v>33</v>
      </c>
      <c r="F3744" s="1930" t="s">
        <v>33</v>
      </c>
      <c r="G3744" s="1932">
        <v>92388</v>
      </c>
      <c r="H3744" s="1930" t="s">
        <v>2853</v>
      </c>
      <c r="I3744" s="1930" t="s">
        <v>168</v>
      </c>
      <c r="J3744" s="1930" t="s">
        <v>320</v>
      </c>
      <c r="K3744" s="1933">
        <v>62.21</v>
      </c>
      <c r="L3744" s="1930" t="s">
        <v>138</v>
      </c>
    </row>
    <row r="3745" spans="1:12" ht="13.5" x14ac:dyDescent="0.25">
      <c r="A3745" s="1930" t="s">
        <v>4646</v>
      </c>
      <c r="B3745" s="1930" t="s">
        <v>4647</v>
      </c>
      <c r="C3745" s="1930" t="s">
        <v>4594</v>
      </c>
      <c r="D3745" s="1930" t="s">
        <v>4650</v>
      </c>
      <c r="E3745" s="1931" t="s">
        <v>33</v>
      </c>
      <c r="F3745" s="1930" t="s">
        <v>33</v>
      </c>
      <c r="G3745" s="1932">
        <v>92389</v>
      </c>
      <c r="H3745" s="1930" t="s">
        <v>2854</v>
      </c>
      <c r="I3745" s="1930" t="s">
        <v>168</v>
      </c>
      <c r="J3745" s="1930" t="s">
        <v>320</v>
      </c>
      <c r="K3745" s="1933">
        <v>95.55</v>
      </c>
      <c r="L3745" s="1930" t="s">
        <v>138</v>
      </c>
    </row>
    <row r="3746" spans="1:12" ht="13.5" x14ac:dyDescent="0.25">
      <c r="A3746" s="1930" t="s">
        <v>4646</v>
      </c>
      <c r="B3746" s="1930" t="s">
        <v>4647</v>
      </c>
      <c r="C3746" s="1930" t="s">
        <v>4594</v>
      </c>
      <c r="D3746" s="1930" t="s">
        <v>4650</v>
      </c>
      <c r="E3746" s="1931" t="s">
        <v>33</v>
      </c>
      <c r="F3746" s="1930" t="s">
        <v>33</v>
      </c>
      <c r="G3746" s="1932">
        <v>92390</v>
      </c>
      <c r="H3746" s="1930" t="s">
        <v>2855</v>
      </c>
      <c r="I3746" s="1930" t="s">
        <v>168</v>
      </c>
      <c r="J3746" s="1930" t="s">
        <v>320</v>
      </c>
      <c r="K3746" s="1933">
        <v>89.97</v>
      </c>
      <c r="L3746" s="1930" t="s">
        <v>138</v>
      </c>
    </row>
    <row r="3747" spans="1:12" ht="13.5" x14ac:dyDescent="0.25">
      <c r="A3747" s="1930" t="s">
        <v>4646</v>
      </c>
      <c r="B3747" s="1930" t="s">
        <v>4647</v>
      </c>
      <c r="C3747" s="1930" t="s">
        <v>4594</v>
      </c>
      <c r="D3747" s="1930" t="s">
        <v>4650</v>
      </c>
      <c r="E3747" s="1931" t="s">
        <v>33</v>
      </c>
      <c r="F3747" s="1930" t="s">
        <v>33</v>
      </c>
      <c r="G3747" s="1932">
        <v>92635</v>
      </c>
      <c r="H3747" s="1930" t="s">
        <v>2856</v>
      </c>
      <c r="I3747" s="1930" t="s">
        <v>168</v>
      </c>
      <c r="J3747" s="1930" t="s">
        <v>320</v>
      </c>
      <c r="K3747" s="1933">
        <v>126.41</v>
      </c>
      <c r="L3747" s="1930" t="s">
        <v>138</v>
      </c>
    </row>
    <row r="3748" spans="1:12" ht="13.5" x14ac:dyDescent="0.25">
      <c r="A3748" s="1930" t="s">
        <v>4646</v>
      </c>
      <c r="B3748" s="1930" t="s">
        <v>4647</v>
      </c>
      <c r="C3748" s="1930" t="s">
        <v>4594</v>
      </c>
      <c r="D3748" s="1930" t="s">
        <v>4650</v>
      </c>
      <c r="E3748" s="1931" t="s">
        <v>33</v>
      </c>
      <c r="F3748" s="1930" t="s">
        <v>33</v>
      </c>
      <c r="G3748" s="1932">
        <v>92636</v>
      </c>
      <c r="H3748" s="1930" t="s">
        <v>2857</v>
      </c>
      <c r="I3748" s="1930" t="s">
        <v>168</v>
      </c>
      <c r="J3748" s="1930" t="s">
        <v>320</v>
      </c>
      <c r="K3748" s="1933">
        <v>115.64</v>
      </c>
      <c r="L3748" s="1930" t="s">
        <v>138</v>
      </c>
    </row>
    <row r="3749" spans="1:12" ht="13.5" x14ac:dyDescent="0.25">
      <c r="A3749" s="1930" t="s">
        <v>4646</v>
      </c>
      <c r="B3749" s="1930" t="s">
        <v>4647</v>
      </c>
      <c r="C3749" s="1930" t="s">
        <v>4594</v>
      </c>
      <c r="D3749" s="1930" t="s">
        <v>4650</v>
      </c>
      <c r="E3749" s="1931" t="s">
        <v>33</v>
      </c>
      <c r="F3749" s="1930" t="s">
        <v>33</v>
      </c>
      <c r="G3749" s="1932">
        <v>92637</v>
      </c>
      <c r="H3749" s="1930" t="s">
        <v>2858</v>
      </c>
      <c r="I3749" s="1930" t="s">
        <v>168</v>
      </c>
      <c r="J3749" s="1930" t="s">
        <v>320</v>
      </c>
      <c r="K3749" s="1933">
        <v>46.94</v>
      </c>
      <c r="L3749" s="1930" t="s">
        <v>138</v>
      </c>
    </row>
    <row r="3750" spans="1:12" ht="13.5" x14ac:dyDescent="0.25">
      <c r="A3750" s="1930" t="s">
        <v>4646</v>
      </c>
      <c r="B3750" s="1930" t="s">
        <v>4647</v>
      </c>
      <c r="C3750" s="1930" t="s">
        <v>4594</v>
      </c>
      <c r="D3750" s="1930" t="s">
        <v>4650</v>
      </c>
      <c r="E3750" s="1931" t="s">
        <v>33</v>
      </c>
      <c r="F3750" s="1930" t="s">
        <v>33</v>
      </c>
      <c r="G3750" s="1932">
        <v>92638</v>
      </c>
      <c r="H3750" s="1930" t="s">
        <v>2859</v>
      </c>
      <c r="I3750" s="1930" t="s">
        <v>168</v>
      </c>
      <c r="J3750" s="1930" t="s">
        <v>320</v>
      </c>
      <c r="K3750" s="1933">
        <v>56.45</v>
      </c>
      <c r="L3750" s="1930" t="s">
        <v>138</v>
      </c>
    </row>
    <row r="3751" spans="1:12" ht="13.5" x14ac:dyDescent="0.25">
      <c r="A3751" s="1930" t="s">
        <v>4646</v>
      </c>
      <c r="B3751" s="1930" t="s">
        <v>4647</v>
      </c>
      <c r="C3751" s="1930" t="s">
        <v>4594</v>
      </c>
      <c r="D3751" s="1930" t="s">
        <v>4650</v>
      </c>
      <c r="E3751" s="1931" t="s">
        <v>33</v>
      </c>
      <c r="F3751" s="1930" t="s">
        <v>33</v>
      </c>
      <c r="G3751" s="1932">
        <v>92639</v>
      </c>
      <c r="H3751" s="1930" t="s">
        <v>2860</v>
      </c>
      <c r="I3751" s="1930" t="s">
        <v>168</v>
      </c>
      <c r="J3751" s="1930" t="s">
        <v>320</v>
      </c>
      <c r="K3751" s="1933">
        <v>64.89</v>
      </c>
      <c r="L3751" s="1930" t="s">
        <v>138</v>
      </c>
    </row>
    <row r="3752" spans="1:12" ht="13.5" x14ac:dyDescent="0.25">
      <c r="A3752" s="1930" t="s">
        <v>4646</v>
      </c>
      <c r="B3752" s="1930" t="s">
        <v>4647</v>
      </c>
      <c r="C3752" s="1930" t="s">
        <v>4594</v>
      </c>
      <c r="D3752" s="1930" t="s">
        <v>4650</v>
      </c>
      <c r="E3752" s="1931" t="s">
        <v>33</v>
      </c>
      <c r="F3752" s="1930" t="s">
        <v>33</v>
      </c>
      <c r="G3752" s="1932">
        <v>92640</v>
      </c>
      <c r="H3752" s="1930" t="s">
        <v>2861</v>
      </c>
      <c r="I3752" s="1930" t="s">
        <v>168</v>
      </c>
      <c r="J3752" s="1930" t="s">
        <v>320</v>
      </c>
      <c r="K3752" s="1933">
        <v>82.96</v>
      </c>
      <c r="L3752" s="1930" t="s">
        <v>138</v>
      </c>
    </row>
    <row r="3753" spans="1:12" ht="13.5" x14ac:dyDescent="0.25">
      <c r="A3753" s="1930" t="s">
        <v>4646</v>
      </c>
      <c r="B3753" s="1930" t="s">
        <v>4647</v>
      </c>
      <c r="C3753" s="1930" t="s">
        <v>4594</v>
      </c>
      <c r="D3753" s="1930" t="s">
        <v>4650</v>
      </c>
      <c r="E3753" s="1931" t="s">
        <v>33</v>
      </c>
      <c r="F3753" s="1930" t="s">
        <v>33</v>
      </c>
      <c r="G3753" s="1932">
        <v>92642</v>
      </c>
      <c r="H3753" s="1930" t="s">
        <v>2862</v>
      </c>
      <c r="I3753" s="1930" t="s">
        <v>168</v>
      </c>
      <c r="J3753" s="1930" t="s">
        <v>320</v>
      </c>
      <c r="K3753" s="1933">
        <v>122.75</v>
      </c>
      <c r="L3753" s="1930" t="s">
        <v>138</v>
      </c>
    </row>
    <row r="3754" spans="1:12" ht="13.5" x14ac:dyDescent="0.25">
      <c r="A3754" s="1930" t="s">
        <v>4646</v>
      </c>
      <c r="B3754" s="1930" t="s">
        <v>4647</v>
      </c>
      <c r="C3754" s="1930" t="s">
        <v>4594</v>
      </c>
      <c r="D3754" s="1930" t="s">
        <v>4650</v>
      </c>
      <c r="E3754" s="1931" t="s">
        <v>33</v>
      </c>
      <c r="F3754" s="1930" t="s">
        <v>33</v>
      </c>
      <c r="G3754" s="1932">
        <v>92644</v>
      </c>
      <c r="H3754" s="1930" t="s">
        <v>2863</v>
      </c>
      <c r="I3754" s="1930" t="s">
        <v>168</v>
      </c>
      <c r="J3754" s="1930" t="s">
        <v>320</v>
      </c>
      <c r="K3754" s="1933">
        <v>153.18</v>
      </c>
      <c r="L3754" s="1930" t="s">
        <v>138</v>
      </c>
    </row>
    <row r="3755" spans="1:12" ht="13.5" x14ac:dyDescent="0.25">
      <c r="A3755" s="1930" t="s">
        <v>4646</v>
      </c>
      <c r="B3755" s="1930" t="s">
        <v>4647</v>
      </c>
      <c r="C3755" s="1930" t="s">
        <v>4594</v>
      </c>
      <c r="D3755" s="1930" t="s">
        <v>4650</v>
      </c>
      <c r="E3755" s="1931" t="s">
        <v>33</v>
      </c>
      <c r="F3755" s="1930" t="s">
        <v>33</v>
      </c>
      <c r="G3755" s="1932">
        <v>92657</v>
      </c>
      <c r="H3755" s="1930" t="s">
        <v>2864</v>
      </c>
      <c r="I3755" s="1930" t="s">
        <v>168</v>
      </c>
      <c r="J3755" s="1930" t="s">
        <v>320</v>
      </c>
      <c r="K3755" s="1933">
        <v>17.27</v>
      </c>
      <c r="L3755" s="1930" t="s">
        <v>138</v>
      </c>
    </row>
    <row r="3756" spans="1:12" ht="13.5" x14ac:dyDescent="0.25">
      <c r="A3756" s="1930" t="s">
        <v>4646</v>
      </c>
      <c r="B3756" s="1930" t="s">
        <v>4647</v>
      </c>
      <c r="C3756" s="1930" t="s">
        <v>4594</v>
      </c>
      <c r="D3756" s="1930" t="s">
        <v>4650</v>
      </c>
      <c r="E3756" s="1931" t="s">
        <v>33</v>
      </c>
      <c r="F3756" s="1930" t="s">
        <v>33</v>
      </c>
      <c r="G3756" s="1932">
        <v>92658</v>
      </c>
      <c r="H3756" s="1930" t="s">
        <v>2865</v>
      </c>
      <c r="I3756" s="1930" t="s">
        <v>168</v>
      </c>
      <c r="J3756" s="1930" t="s">
        <v>320</v>
      </c>
      <c r="K3756" s="1933">
        <v>18.3</v>
      </c>
      <c r="L3756" s="1930" t="s">
        <v>138</v>
      </c>
    </row>
    <row r="3757" spans="1:12" ht="13.5" x14ac:dyDescent="0.25">
      <c r="A3757" s="1930" t="s">
        <v>4646</v>
      </c>
      <c r="B3757" s="1930" t="s">
        <v>4647</v>
      </c>
      <c r="C3757" s="1930" t="s">
        <v>4594</v>
      </c>
      <c r="D3757" s="1930" t="s">
        <v>4650</v>
      </c>
      <c r="E3757" s="1931" t="s">
        <v>33</v>
      </c>
      <c r="F3757" s="1930" t="s">
        <v>33</v>
      </c>
      <c r="G3757" s="1932">
        <v>92659</v>
      </c>
      <c r="H3757" s="1930" t="s">
        <v>2866</v>
      </c>
      <c r="I3757" s="1930" t="s">
        <v>168</v>
      </c>
      <c r="J3757" s="1930" t="s">
        <v>320</v>
      </c>
      <c r="K3757" s="1933">
        <v>20.98</v>
      </c>
      <c r="L3757" s="1930" t="s">
        <v>138</v>
      </c>
    </row>
    <row r="3758" spans="1:12" ht="13.5" x14ac:dyDescent="0.25">
      <c r="A3758" s="1930" t="s">
        <v>4646</v>
      </c>
      <c r="B3758" s="1930" t="s">
        <v>4647</v>
      </c>
      <c r="C3758" s="1930" t="s">
        <v>4594</v>
      </c>
      <c r="D3758" s="1930" t="s">
        <v>4650</v>
      </c>
      <c r="E3758" s="1931" t="s">
        <v>33</v>
      </c>
      <c r="F3758" s="1930" t="s">
        <v>33</v>
      </c>
      <c r="G3758" s="1932">
        <v>92660</v>
      </c>
      <c r="H3758" s="1930" t="s">
        <v>2867</v>
      </c>
      <c r="I3758" s="1930" t="s">
        <v>168</v>
      </c>
      <c r="J3758" s="1930" t="s">
        <v>320</v>
      </c>
      <c r="K3758" s="1933">
        <v>21.94</v>
      </c>
      <c r="L3758" s="1930" t="s">
        <v>138</v>
      </c>
    </row>
    <row r="3759" spans="1:12" ht="13.5" x14ac:dyDescent="0.25">
      <c r="A3759" s="1930" t="s">
        <v>4646</v>
      </c>
      <c r="B3759" s="1930" t="s">
        <v>4647</v>
      </c>
      <c r="C3759" s="1930" t="s">
        <v>4594</v>
      </c>
      <c r="D3759" s="1930" t="s">
        <v>4650</v>
      </c>
      <c r="E3759" s="1931" t="s">
        <v>33</v>
      </c>
      <c r="F3759" s="1930" t="s">
        <v>33</v>
      </c>
      <c r="G3759" s="1932">
        <v>92661</v>
      </c>
      <c r="H3759" s="1930" t="s">
        <v>2868</v>
      </c>
      <c r="I3759" s="1930" t="s">
        <v>168</v>
      </c>
      <c r="J3759" s="1930" t="s">
        <v>320</v>
      </c>
      <c r="K3759" s="1933">
        <v>24.81</v>
      </c>
      <c r="L3759" s="1930" t="s">
        <v>138</v>
      </c>
    </row>
    <row r="3760" spans="1:12" ht="13.5" x14ac:dyDescent="0.25">
      <c r="A3760" s="1930" t="s">
        <v>4646</v>
      </c>
      <c r="B3760" s="1930" t="s">
        <v>4647</v>
      </c>
      <c r="C3760" s="1930" t="s">
        <v>4594</v>
      </c>
      <c r="D3760" s="1930" t="s">
        <v>4650</v>
      </c>
      <c r="E3760" s="1931" t="s">
        <v>33</v>
      </c>
      <c r="F3760" s="1930" t="s">
        <v>33</v>
      </c>
      <c r="G3760" s="1932">
        <v>92662</v>
      </c>
      <c r="H3760" s="1930" t="s">
        <v>2869</v>
      </c>
      <c r="I3760" s="1930" t="s">
        <v>168</v>
      </c>
      <c r="J3760" s="1930" t="s">
        <v>320</v>
      </c>
      <c r="K3760" s="1933">
        <v>24.99</v>
      </c>
      <c r="L3760" s="1930" t="s">
        <v>138</v>
      </c>
    </row>
    <row r="3761" spans="1:12" ht="13.5" x14ac:dyDescent="0.25">
      <c r="A3761" s="1930" t="s">
        <v>4646</v>
      </c>
      <c r="B3761" s="1930" t="s">
        <v>4647</v>
      </c>
      <c r="C3761" s="1930" t="s">
        <v>4594</v>
      </c>
      <c r="D3761" s="1930" t="s">
        <v>4650</v>
      </c>
      <c r="E3761" s="1931" t="s">
        <v>33</v>
      </c>
      <c r="F3761" s="1930" t="s">
        <v>33</v>
      </c>
      <c r="G3761" s="1932">
        <v>92663</v>
      </c>
      <c r="H3761" s="1930" t="s">
        <v>2870</v>
      </c>
      <c r="I3761" s="1930" t="s">
        <v>168</v>
      </c>
      <c r="J3761" s="1930" t="s">
        <v>320</v>
      </c>
      <c r="K3761" s="1933">
        <v>32.75</v>
      </c>
      <c r="L3761" s="1930" t="s">
        <v>138</v>
      </c>
    </row>
    <row r="3762" spans="1:12" ht="13.5" x14ac:dyDescent="0.25">
      <c r="A3762" s="1930" t="s">
        <v>4646</v>
      </c>
      <c r="B3762" s="1930" t="s">
        <v>4647</v>
      </c>
      <c r="C3762" s="1930" t="s">
        <v>4594</v>
      </c>
      <c r="D3762" s="1930" t="s">
        <v>4650</v>
      </c>
      <c r="E3762" s="1931" t="s">
        <v>33</v>
      </c>
      <c r="F3762" s="1930" t="s">
        <v>33</v>
      </c>
      <c r="G3762" s="1932">
        <v>92664</v>
      </c>
      <c r="H3762" s="1930" t="s">
        <v>2871</v>
      </c>
      <c r="I3762" s="1930" t="s">
        <v>168</v>
      </c>
      <c r="J3762" s="1930" t="s">
        <v>320</v>
      </c>
      <c r="K3762" s="1933">
        <v>32.74</v>
      </c>
      <c r="L3762" s="1930" t="s">
        <v>138</v>
      </c>
    </row>
    <row r="3763" spans="1:12" ht="13.5" x14ac:dyDescent="0.25">
      <c r="A3763" s="1930" t="s">
        <v>4646</v>
      </c>
      <c r="B3763" s="1930" t="s">
        <v>4647</v>
      </c>
      <c r="C3763" s="1930" t="s">
        <v>4594</v>
      </c>
      <c r="D3763" s="1930" t="s">
        <v>4650</v>
      </c>
      <c r="E3763" s="1931" t="s">
        <v>33</v>
      </c>
      <c r="F3763" s="1930" t="s">
        <v>33</v>
      </c>
      <c r="G3763" s="1932">
        <v>92665</v>
      </c>
      <c r="H3763" s="1930" t="s">
        <v>2872</v>
      </c>
      <c r="I3763" s="1930" t="s">
        <v>168</v>
      </c>
      <c r="J3763" s="1930" t="s">
        <v>320</v>
      </c>
      <c r="K3763" s="1933">
        <v>44.49</v>
      </c>
      <c r="L3763" s="1930" t="s">
        <v>138</v>
      </c>
    </row>
    <row r="3764" spans="1:12" ht="13.5" x14ac:dyDescent="0.25">
      <c r="A3764" s="1930" t="s">
        <v>4646</v>
      </c>
      <c r="B3764" s="1930" t="s">
        <v>4647</v>
      </c>
      <c r="C3764" s="1930" t="s">
        <v>4594</v>
      </c>
      <c r="D3764" s="1930" t="s">
        <v>4650</v>
      </c>
      <c r="E3764" s="1931" t="s">
        <v>33</v>
      </c>
      <c r="F3764" s="1930" t="s">
        <v>33</v>
      </c>
      <c r="G3764" s="1932">
        <v>92666</v>
      </c>
      <c r="H3764" s="1930" t="s">
        <v>2873</v>
      </c>
      <c r="I3764" s="1930" t="s">
        <v>168</v>
      </c>
      <c r="J3764" s="1930" t="s">
        <v>320</v>
      </c>
      <c r="K3764" s="1933">
        <v>50.2</v>
      </c>
      <c r="L3764" s="1930" t="s">
        <v>138</v>
      </c>
    </row>
    <row r="3765" spans="1:12" ht="13.5" x14ac:dyDescent="0.25">
      <c r="A3765" s="1930" t="s">
        <v>4646</v>
      </c>
      <c r="B3765" s="1930" t="s">
        <v>4647</v>
      </c>
      <c r="C3765" s="1930" t="s">
        <v>4594</v>
      </c>
      <c r="D3765" s="1930" t="s">
        <v>4650</v>
      </c>
      <c r="E3765" s="1931" t="s">
        <v>33</v>
      </c>
      <c r="F3765" s="1930" t="s">
        <v>33</v>
      </c>
      <c r="G3765" s="1932">
        <v>92667</v>
      </c>
      <c r="H3765" s="1930" t="s">
        <v>2874</v>
      </c>
      <c r="I3765" s="1930" t="s">
        <v>168</v>
      </c>
      <c r="J3765" s="1930" t="s">
        <v>320</v>
      </c>
      <c r="K3765" s="1933">
        <v>64.63</v>
      </c>
      <c r="L3765" s="1930" t="s">
        <v>138</v>
      </c>
    </row>
    <row r="3766" spans="1:12" ht="13.5" x14ac:dyDescent="0.25">
      <c r="A3766" s="1930" t="s">
        <v>4646</v>
      </c>
      <c r="B3766" s="1930" t="s">
        <v>4647</v>
      </c>
      <c r="C3766" s="1930" t="s">
        <v>4594</v>
      </c>
      <c r="D3766" s="1930" t="s">
        <v>4650</v>
      </c>
      <c r="E3766" s="1931" t="s">
        <v>33</v>
      </c>
      <c r="F3766" s="1930" t="s">
        <v>33</v>
      </c>
      <c r="G3766" s="1932">
        <v>92668</v>
      </c>
      <c r="H3766" s="1930" t="s">
        <v>2875</v>
      </c>
      <c r="I3766" s="1930" t="s">
        <v>168</v>
      </c>
      <c r="J3766" s="1930" t="s">
        <v>320</v>
      </c>
      <c r="K3766" s="1933">
        <v>69.709999999999994</v>
      </c>
      <c r="L3766" s="1930" t="s">
        <v>138</v>
      </c>
    </row>
    <row r="3767" spans="1:12" ht="13.5" x14ac:dyDescent="0.25">
      <c r="A3767" s="1930" t="s">
        <v>4646</v>
      </c>
      <c r="B3767" s="1930" t="s">
        <v>4647</v>
      </c>
      <c r="C3767" s="1930" t="s">
        <v>4594</v>
      </c>
      <c r="D3767" s="1930" t="s">
        <v>4650</v>
      </c>
      <c r="E3767" s="1931" t="s">
        <v>33</v>
      </c>
      <c r="F3767" s="1930" t="s">
        <v>33</v>
      </c>
      <c r="G3767" s="1932">
        <v>92669</v>
      </c>
      <c r="H3767" s="1930" t="s">
        <v>2876</v>
      </c>
      <c r="I3767" s="1930" t="s">
        <v>168</v>
      </c>
      <c r="J3767" s="1930" t="s">
        <v>320</v>
      </c>
      <c r="K3767" s="1933">
        <v>26.16</v>
      </c>
      <c r="L3767" s="1930" t="s">
        <v>138</v>
      </c>
    </row>
    <row r="3768" spans="1:12" ht="13.5" x14ac:dyDescent="0.25">
      <c r="A3768" s="1930" t="s">
        <v>4646</v>
      </c>
      <c r="B3768" s="1930" t="s">
        <v>4647</v>
      </c>
      <c r="C3768" s="1930" t="s">
        <v>4594</v>
      </c>
      <c r="D3768" s="1930" t="s">
        <v>4650</v>
      </c>
      <c r="E3768" s="1931" t="s">
        <v>33</v>
      </c>
      <c r="F3768" s="1930" t="s">
        <v>33</v>
      </c>
      <c r="G3768" s="1932">
        <v>92670</v>
      </c>
      <c r="H3768" s="1930" t="s">
        <v>2877</v>
      </c>
      <c r="I3768" s="1930" t="s">
        <v>168</v>
      </c>
      <c r="J3768" s="1930" t="s">
        <v>320</v>
      </c>
      <c r="K3768" s="1933">
        <v>24.79</v>
      </c>
      <c r="L3768" s="1930" t="s">
        <v>138</v>
      </c>
    </row>
    <row r="3769" spans="1:12" ht="13.5" x14ac:dyDescent="0.25">
      <c r="A3769" s="1930" t="s">
        <v>4646</v>
      </c>
      <c r="B3769" s="1930" t="s">
        <v>4647</v>
      </c>
      <c r="C3769" s="1930" t="s">
        <v>4594</v>
      </c>
      <c r="D3769" s="1930" t="s">
        <v>4650</v>
      </c>
      <c r="E3769" s="1931" t="s">
        <v>33</v>
      </c>
      <c r="F3769" s="1930" t="s">
        <v>33</v>
      </c>
      <c r="G3769" s="1932">
        <v>92671</v>
      </c>
      <c r="H3769" s="1930" t="s">
        <v>2878</v>
      </c>
      <c r="I3769" s="1930" t="s">
        <v>168</v>
      </c>
      <c r="J3769" s="1930" t="s">
        <v>320</v>
      </c>
      <c r="K3769" s="1933">
        <v>33.42</v>
      </c>
      <c r="L3769" s="1930" t="s">
        <v>138</v>
      </c>
    </row>
    <row r="3770" spans="1:12" ht="13.5" x14ac:dyDescent="0.25">
      <c r="A3770" s="1930" t="s">
        <v>4646</v>
      </c>
      <c r="B3770" s="1930" t="s">
        <v>4647</v>
      </c>
      <c r="C3770" s="1930" t="s">
        <v>4594</v>
      </c>
      <c r="D3770" s="1930" t="s">
        <v>4650</v>
      </c>
      <c r="E3770" s="1931" t="s">
        <v>33</v>
      </c>
      <c r="F3770" s="1930" t="s">
        <v>33</v>
      </c>
      <c r="G3770" s="1932">
        <v>92672</v>
      </c>
      <c r="H3770" s="1930" t="s">
        <v>2879</v>
      </c>
      <c r="I3770" s="1930" t="s">
        <v>168</v>
      </c>
      <c r="J3770" s="1930" t="s">
        <v>320</v>
      </c>
      <c r="K3770" s="1933">
        <v>30.7</v>
      </c>
      <c r="L3770" s="1930" t="s">
        <v>138</v>
      </c>
    </row>
    <row r="3771" spans="1:12" ht="13.5" x14ac:dyDescent="0.25">
      <c r="A3771" s="1930" t="s">
        <v>4646</v>
      </c>
      <c r="B3771" s="1930" t="s">
        <v>4647</v>
      </c>
      <c r="C3771" s="1930" t="s">
        <v>4594</v>
      </c>
      <c r="D3771" s="1930" t="s">
        <v>4650</v>
      </c>
      <c r="E3771" s="1931" t="s">
        <v>33</v>
      </c>
      <c r="F3771" s="1930" t="s">
        <v>33</v>
      </c>
      <c r="G3771" s="1932">
        <v>92673</v>
      </c>
      <c r="H3771" s="1930" t="s">
        <v>2880</v>
      </c>
      <c r="I3771" s="1930" t="s">
        <v>168</v>
      </c>
      <c r="J3771" s="1930" t="s">
        <v>320</v>
      </c>
      <c r="K3771" s="1933">
        <v>38.1</v>
      </c>
      <c r="L3771" s="1930" t="s">
        <v>138</v>
      </c>
    </row>
    <row r="3772" spans="1:12" ht="13.5" x14ac:dyDescent="0.25">
      <c r="A3772" s="1930" t="s">
        <v>4646</v>
      </c>
      <c r="B3772" s="1930" t="s">
        <v>4647</v>
      </c>
      <c r="C3772" s="1930" t="s">
        <v>4594</v>
      </c>
      <c r="D3772" s="1930" t="s">
        <v>4650</v>
      </c>
      <c r="E3772" s="1931" t="s">
        <v>33</v>
      </c>
      <c r="F3772" s="1930" t="s">
        <v>33</v>
      </c>
      <c r="G3772" s="1932">
        <v>92674</v>
      </c>
      <c r="H3772" s="1930" t="s">
        <v>2881</v>
      </c>
      <c r="I3772" s="1930" t="s">
        <v>168</v>
      </c>
      <c r="J3772" s="1930" t="s">
        <v>320</v>
      </c>
      <c r="K3772" s="1933">
        <v>36.229999999999997</v>
      </c>
      <c r="L3772" s="1930" t="s">
        <v>138</v>
      </c>
    </row>
    <row r="3773" spans="1:12" ht="13.5" x14ac:dyDescent="0.25">
      <c r="A3773" s="1930" t="s">
        <v>4646</v>
      </c>
      <c r="B3773" s="1930" t="s">
        <v>4647</v>
      </c>
      <c r="C3773" s="1930" t="s">
        <v>4594</v>
      </c>
      <c r="D3773" s="1930" t="s">
        <v>4650</v>
      </c>
      <c r="E3773" s="1931" t="s">
        <v>33</v>
      </c>
      <c r="F3773" s="1930" t="s">
        <v>33</v>
      </c>
      <c r="G3773" s="1932">
        <v>92675</v>
      </c>
      <c r="H3773" s="1930" t="s">
        <v>2882</v>
      </c>
      <c r="I3773" s="1930" t="s">
        <v>168</v>
      </c>
      <c r="J3773" s="1930" t="s">
        <v>320</v>
      </c>
      <c r="K3773" s="1933">
        <v>48.6</v>
      </c>
      <c r="L3773" s="1930" t="s">
        <v>138</v>
      </c>
    </row>
    <row r="3774" spans="1:12" ht="13.5" x14ac:dyDescent="0.25">
      <c r="A3774" s="1930" t="s">
        <v>4646</v>
      </c>
      <c r="B3774" s="1930" t="s">
        <v>4647</v>
      </c>
      <c r="C3774" s="1930" t="s">
        <v>4594</v>
      </c>
      <c r="D3774" s="1930" t="s">
        <v>4650</v>
      </c>
      <c r="E3774" s="1931" t="s">
        <v>33</v>
      </c>
      <c r="F3774" s="1930" t="s">
        <v>33</v>
      </c>
      <c r="G3774" s="1932">
        <v>92676</v>
      </c>
      <c r="H3774" s="1930" t="s">
        <v>2883</v>
      </c>
      <c r="I3774" s="1930" t="s">
        <v>168</v>
      </c>
      <c r="J3774" s="1930" t="s">
        <v>320</v>
      </c>
      <c r="K3774" s="1933">
        <v>47.33</v>
      </c>
      <c r="L3774" s="1930" t="s">
        <v>138</v>
      </c>
    </row>
    <row r="3775" spans="1:12" ht="13.5" x14ac:dyDescent="0.25">
      <c r="A3775" s="1930" t="s">
        <v>4646</v>
      </c>
      <c r="B3775" s="1930" t="s">
        <v>4647</v>
      </c>
      <c r="C3775" s="1930" t="s">
        <v>4594</v>
      </c>
      <c r="D3775" s="1930" t="s">
        <v>4650</v>
      </c>
      <c r="E3775" s="1931" t="s">
        <v>33</v>
      </c>
      <c r="F3775" s="1930" t="s">
        <v>33</v>
      </c>
      <c r="G3775" s="1932">
        <v>92677</v>
      </c>
      <c r="H3775" s="1930" t="s">
        <v>2884</v>
      </c>
      <c r="I3775" s="1930" t="s">
        <v>168</v>
      </c>
      <c r="J3775" s="1930" t="s">
        <v>320</v>
      </c>
      <c r="K3775" s="1933">
        <v>77.69</v>
      </c>
      <c r="L3775" s="1930" t="s">
        <v>138</v>
      </c>
    </row>
    <row r="3776" spans="1:12" ht="13.5" x14ac:dyDescent="0.25">
      <c r="A3776" s="1930" t="s">
        <v>4646</v>
      </c>
      <c r="B3776" s="1930" t="s">
        <v>4647</v>
      </c>
      <c r="C3776" s="1930" t="s">
        <v>4594</v>
      </c>
      <c r="D3776" s="1930" t="s">
        <v>4650</v>
      </c>
      <c r="E3776" s="1931" t="s">
        <v>33</v>
      </c>
      <c r="F3776" s="1930" t="s">
        <v>33</v>
      </c>
      <c r="G3776" s="1932">
        <v>92678</v>
      </c>
      <c r="H3776" s="1930" t="s">
        <v>2885</v>
      </c>
      <c r="I3776" s="1930" t="s">
        <v>168</v>
      </c>
      <c r="J3776" s="1930" t="s">
        <v>320</v>
      </c>
      <c r="K3776" s="1933">
        <v>72.11</v>
      </c>
      <c r="L3776" s="1930" t="s">
        <v>138</v>
      </c>
    </row>
    <row r="3777" spans="1:12" ht="13.5" x14ac:dyDescent="0.25">
      <c r="A3777" s="1930" t="s">
        <v>4646</v>
      </c>
      <c r="B3777" s="1930" t="s">
        <v>4647</v>
      </c>
      <c r="C3777" s="1930" t="s">
        <v>4594</v>
      </c>
      <c r="D3777" s="1930" t="s">
        <v>4650</v>
      </c>
      <c r="E3777" s="1931" t="s">
        <v>33</v>
      </c>
      <c r="F3777" s="1930" t="s">
        <v>33</v>
      </c>
      <c r="G3777" s="1932">
        <v>92679</v>
      </c>
      <c r="H3777" s="1930" t="s">
        <v>2886</v>
      </c>
      <c r="I3777" s="1930" t="s">
        <v>168</v>
      </c>
      <c r="J3777" s="1930" t="s">
        <v>320</v>
      </c>
      <c r="K3777" s="1933">
        <v>105.63</v>
      </c>
      <c r="L3777" s="1930" t="s">
        <v>138</v>
      </c>
    </row>
    <row r="3778" spans="1:12" ht="13.5" x14ac:dyDescent="0.25">
      <c r="A3778" s="1930" t="s">
        <v>4646</v>
      </c>
      <c r="B3778" s="1930" t="s">
        <v>4647</v>
      </c>
      <c r="C3778" s="1930" t="s">
        <v>4594</v>
      </c>
      <c r="D3778" s="1930" t="s">
        <v>4650</v>
      </c>
      <c r="E3778" s="1931" t="s">
        <v>33</v>
      </c>
      <c r="F3778" s="1930" t="s">
        <v>33</v>
      </c>
      <c r="G3778" s="1932">
        <v>92680</v>
      </c>
      <c r="H3778" s="1930" t="s">
        <v>2887</v>
      </c>
      <c r="I3778" s="1930" t="s">
        <v>168</v>
      </c>
      <c r="J3778" s="1930" t="s">
        <v>320</v>
      </c>
      <c r="K3778" s="1933">
        <v>94.86</v>
      </c>
      <c r="L3778" s="1930" t="s">
        <v>138</v>
      </c>
    </row>
    <row r="3779" spans="1:12" ht="13.5" x14ac:dyDescent="0.25">
      <c r="A3779" s="1930" t="s">
        <v>4646</v>
      </c>
      <c r="B3779" s="1930" t="s">
        <v>4647</v>
      </c>
      <c r="C3779" s="1930" t="s">
        <v>4594</v>
      </c>
      <c r="D3779" s="1930" t="s">
        <v>4650</v>
      </c>
      <c r="E3779" s="1931" t="s">
        <v>33</v>
      </c>
      <c r="F3779" s="1930" t="s">
        <v>33</v>
      </c>
      <c r="G3779" s="1932">
        <v>92681</v>
      </c>
      <c r="H3779" s="1930" t="s">
        <v>2888</v>
      </c>
      <c r="I3779" s="1930" t="s">
        <v>168</v>
      </c>
      <c r="J3779" s="1930" t="s">
        <v>320</v>
      </c>
      <c r="K3779" s="1933">
        <v>33.57</v>
      </c>
      <c r="L3779" s="1930" t="s">
        <v>138</v>
      </c>
    </row>
    <row r="3780" spans="1:12" ht="13.5" x14ac:dyDescent="0.25">
      <c r="A3780" s="1930" t="s">
        <v>4646</v>
      </c>
      <c r="B3780" s="1930" t="s">
        <v>4647</v>
      </c>
      <c r="C3780" s="1930" t="s">
        <v>4594</v>
      </c>
      <c r="D3780" s="1930" t="s">
        <v>4650</v>
      </c>
      <c r="E3780" s="1931" t="s">
        <v>33</v>
      </c>
      <c r="F3780" s="1930" t="s">
        <v>33</v>
      </c>
      <c r="G3780" s="1932">
        <v>92682</v>
      </c>
      <c r="H3780" s="1930" t="s">
        <v>2889</v>
      </c>
      <c r="I3780" s="1930" t="s">
        <v>168</v>
      </c>
      <c r="J3780" s="1930" t="s">
        <v>320</v>
      </c>
      <c r="K3780" s="1933">
        <v>41.24</v>
      </c>
      <c r="L3780" s="1930" t="s">
        <v>138</v>
      </c>
    </row>
    <row r="3781" spans="1:12" ht="13.5" x14ac:dyDescent="0.25">
      <c r="A3781" s="1930" t="s">
        <v>4646</v>
      </c>
      <c r="B3781" s="1930" t="s">
        <v>4647</v>
      </c>
      <c r="C3781" s="1930" t="s">
        <v>4594</v>
      </c>
      <c r="D3781" s="1930" t="s">
        <v>4650</v>
      </c>
      <c r="E3781" s="1931" t="s">
        <v>33</v>
      </c>
      <c r="F3781" s="1930" t="s">
        <v>33</v>
      </c>
      <c r="G3781" s="1932">
        <v>92683</v>
      </c>
      <c r="H3781" s="1930" t="s">
        <v>2890</v>
      </c>
      <c r="I3781" s="1930" t="s">
        <v>168</v>
      </c>
      <c r="J3781" s="1930" t="s">
        <v>320</v>
      </c>
      <c r="K3781" s="1933">
        <v>47.63</v>
      </c>
      <c r="L3781" s="1930" t="s">
        <v>138</v>
      </c>
    </row>
    <row r="3782" spans="1:12" ht="13.5" x14ac:dyDescent="0.25">
      <c r="A3782" s="1930" t="s">
        <v>4646</v>
      </c>
      <c r="B3782" s="1930" t="s">
        <v>4647</v>
      </c>
      <c r="C3782" s="1930" t="s">
        <v>4594</v>
      </c>
      <c r="D3782" s="1930" t="s">
        <v>4650</v>
      </c>
      <c r="E3782" s="1931" t="s">
        <v>33</v>
      </c>
      <c r="F3782" s="1930" t="s">
        <v>33</v>
      </c>
      <c r="G3782" s="1932">
        <v>92684</v>
      </c>
      <c r="H3782" s="1930" t="s">
        <v>2891</v>
      </c>
      <c r="I3782" s="1930" t="s">
        <v>168</v>
      </c>
      <c r="J3782" s="1930" t="s">
        <v>320</v>
      </c>
      <c r="K3782" s="1933">
        <v>63.09</v>
      </c>
      <c r="L3782" s="1930" t="s">
        <v>138</v>
      </c>
    </row>
    <row r="3783" spans="1:12" ht="13.5" x14ac:dyDescent="0.25">
      <c r="A3783" s="1930" t="s">
        <v>4646</v>
      </c>
      <c r="B3783" s="1930" t="s">
        <v>4647</v>
      </c>
      <c r="C3783" s="1930" t="s">
        <v>4594</v>
      </c>
      <c r="D3783" s="1930" t="s">
        <v>4650</v>
      </c>
      <c r="E3783" s="1931" t="s">
        <v>33</v>
      </c>
      <c r="F3783" s="1930" t="s">
        <v>33</v>
      </c>
      <c r="G3783" s="1932">
        <v>92685</v>
      </c>
      <c r="H3783" s="1930" t="s">
        <v>2892</v>
      </c>
      <c r="I3783" s="1930" t="s">
        <v>168</v>
      </c>
      <c r="J3783" s="1930" t="s">
        <v>320</v>
      </c>
      <c r="K3783" s="1933">
        <v>98.97</v>
      </c>
      <c r="L3783" s="1930" t="s">
        <v>138</v>
      </c>
    </row>
    <row r="3784" spans="1:12" ht="13.5" x14ac:dyDescent="0.25">
      <c r="A3784" s="1930" t="s">
        <v>4646</v>
      </c>
      <c r="B3784" s="1930" t="s">
        <v>4647</v>
      </c>
      <c r="C3784" s="1930" t="s">
        <v>4594</v>
      </c>
      <c r="D3784" s="1930" t="s">
        <v>4650</v>
      </c>
      <c r="E3784" s="1931" t="s">
        <v>33</v>
      </c>
      <c r="F3784" s="1930" t="s">
        <v>33</v>
      </c>
      <c r="G3784" s="1932">
        <v>92686</v>
      </c>
      <c r="H3784" s="1930" t="s">
        <v>2893</v>
      </c>
      <c r="I3784" s="1930" t="s">
        <v>168</v>
      </c>
      <c r="J3784" s="1930" t="s">
        <v>320</v>
      </c>
      <c r="K3784" s="1933">
        <v>125.44</v>
      </c>
      <c r="L3784" s="1930" t="s">
        <v>138</v>
      </c>
    </row>
    <row r="3785" spans="1:12" ht="13.5" x14ac:dyDescent="0.25">
      <c r="A3785" s="1930" t="s">
        <v>4646</v>
      </c>
      <c r="B3785" s="1930" t="s">
        <v>4647</v>
      </c>
      <c r="C3785" s="1930" t="s">
        <v>4594</v>
      </c>
      <c r="D3785" s="1930" t="s">
        <v>4650</v>
      </c>
      <c r="E3785" s="1931" t="s">
        <v>33</v>
      </c>
      <c r="F3785" s="1930" t="s">
        <v>33</v>
      </c>
      <c r="G3785" s="1932">
        <v>92692</v>
      </c>
      <c r="H3785" s="1930" t="s">
        <v>2894</v>
      </c>
      <c r="I3785" s="1930" t="s">
        <v>168</v>
      </c>
      <c r="J3785" s="1930" t="s">
        <v>320</v>
      </c>
      <c r="K3785" s="1933">
        <v>9.39</v>
      </c>
      <c r="L3785" s="1930" t="s">
        <v>138</v>
      </c>
    </row>
    <row r="3786" spans="1:12" ht="13.5" x14ac:dyDescent="0.25">
      <c r="A3786" s="1930" t="s">
        <v>4646</v>
      </c>
      <c r="B3786" s="1930" t="s">
        <v>4647</v>
      </c>
      <c r="C3786" s="1930" t="s">
        <v>4594</v>
      </c>
      <c r="D3786" s="1930" t="s">
        <v>4650</v>
      </c>
      <c r="E3786" s="1931" t="s">
        <v>33</v>
      </c>
      <c r="F3786" s="1930" t="s">
        <v>33</v>
      </c>
      <c r="G3786" s="1932">
        <v>92693</v>
      </c>
      <c r="H3786" s="1930" t="s">
        <v>2895</v>
      </c>
      <c r="I3786" s="1930" t="s">
        <v>168</v>
      </c>
      <c r="J3786" s="1930" t="s">
        <v>320</v>
      </c>
      <c r="K3786" s="1933">
        <v>9.61</v>
      </c>
      <c r="L3786" s="1930" t="s">
        <v>138</v>
      </c>
    </row>
    <row r="3787" spans="1:12" ht="13.5" x14ac:dyDescent="0.25">
      <c r="A3787" s="1930" t="s">
        <v>4646</v>
      </c>
      <c r="B3787" s="1930" t="s">
        <v>4647</v>
      </c>
      <c r="C3787" s="1930" t="s">
        <v>4594</v>
      </c>
      <c r="D3787" s="1930" t="s">
        <v>4650</v>
      </c>
      <c r="E3787" s="1931" t="s">
        <v>33</v>
      </c>
      <c r="F3787" s="1930" t="s">
        <v>33</v>
      </c>
      <c r="G3787" s="1932">
        <v>92694</v>
      </c>
      <c r="H3787" s="1930" t="s">
        <v>2896</v>
      </c>
      <c r="I3787" s="1930" t="s">
        <v>168</v>
      </c>
      <c r="J3787" s="1930" t="s">
        <v>320</v>
      </c>
      <c r="K3787" s="1933">
        <v>15.02</v>
      </c>
      <c r="L3787" s="1930" t="s">
        <v>138</v>
      </c>
    </row>
    <row r="3788" spans="1:12" ht="13.5" x14ac:dyDescent="0.25">
      <c r="A3788" s="1930" t="s">
        <v>4646</v>
      </c>
      <c r="B3788" s="1930" t="s">
        <v>4647</v>
      </c>
      <c r="C3788" s="1930" t="s">
        <v>4594</v>
      </c>
      <c r="D3788" s="1930" t="s">
        <v>4650</v>
      </c>
      <c r="E3788" s="1931" t="s">
        <v>33</v>
      </c>
      <c r="F3788" s="1930" t="s">
        <v>33</v>
      </c>
      <c r="G3788" s="1932">
        <v>92695</v>
      </c>
      <c r="H3788" s="1930" t="s">
        <v>2897</v>
      </c>
      <c r="I3788" s="1930" t="s">
        <v>168</v>
      </c>
      <c r="J3788" s="1930" t="s">
        <v>320</v>
      </c>
      <c r="K3788" s="1933">
        <v>15.25</v>
      </c>
      <c r="L3788" s="1930" t="s">
        <v>138</v>
      </c>
    </row>
    <row r="3789" spans="1:12" ht="13.5" x14ac:dyDescent="0.25">
      <c r="A3789" s="1930" t="s">
        <v>4646</v>
      </c>
      <c r="B3789" s="1930" t="s">
        <v>4647</v>
      </c>
      <c r="C3789" s="1930" t="s">
        <v>4594</v>
      </c>
      <c r="D3789" s="1930" t="s">
        <v>4650</v>
      </c>
      <c r="E3789" s="1931" t="s">
        <v>33</v>
      </c>
      <c r="F3789" s="1930" t="s">
        <v>33</v>
      </c>
      <c r="G3789" s="1932">
        <v>92696</v>
      </c>
      <c r="H3789" s="1930" t="s">
        <v>2898</v>
      </c>
      <c r="I3789" s="1930" t="s">
        <v>168</v>
      </c>
      <c r="J3789" s="1930" t="s">
        <v>320</v>
      </c>
      <c r="K3789" s="1933">
        <v>23.65</v>
      </c>
      <c r="L3789" s="1930" t="s">
        <v>138</v>
      </c>
    </row>
    <row r="3790" spans="1:12" ht="13.5" x14ac:dyDescent="0.25">
      <c r="A3790" s="1930" t="s">
        <v>4646</v>
      </c>
      <c r="B3790" s="1930" t="s">
        <v>4647</v>
      </c>
      <c r="C3790" s="1930" t="s">
        <v>4594</v>
      </c>
      <c r="D3790" s="1930" t="s">
        <v>4650</v>
      </c>
      <c r="E3790" s="1931" t="s">
        <v>33</v>
      </c>
      <c r="F3790" s="1930" t="s">
        <v>33</v>
      </c>
      <c r="G3790" s="1932">
        <v>92697</v>
      </c>
      <c r="H3790" s="1930" t="s">
        <v>2899</v>
      </c>
      <c r="I3790" s="1930" t="s">
        <v>168</v>
      </c>
      <c r="J3790" s="1930" t="s">
        <v>320</v>
      </c>
      <c r="K3790" s="1933">
        <v>24.68</v>
      </c>
      <c r="L3790" s="1930" t="s">
        <v>138</v>
      </c>
    </row>
    <row r="3791" spans="1:12" ht="13.5" x14ac:dyDescent="0.25">
      <c r="A3791" s="1930" t="s">
        <v>4646</v>
      </c>
      <c r="B3791" s="1930" t="s">
        <v>4647</v>
      </c>
      <c r="C3791" s="1930" t="s">
        <v>4594</v>
      </c>
      <c r="D3791" s="1930" t="s">
        <v>4650</v>
      </c>
      <c r="E3791" s="1931" t="s">
        <v>33</v>
      </c>
      <c r="F3791" s="1930" t="s">
        <v>33</v>
      </c>
      <c r="G3791" s="1932">
        <v>92698</v>
      </c>
      <c r="H3791" s="1930" t="s">
        <v>2900</v>
      </c>
      <c r="I3791" s="1930" t="s">
        <v>168</v>
      </c>
      <c r="J3791" s="1930" t="s">
        <v>320</v>
      </c>
      <c r="K3791" s="1933">
        <v>13.87</v>
      </c>
      <c r="L3791" s="1930" t="s">
        <v>138</v>
      </c>
    </row>
    <row r="3792" spans="1:12" ht="13.5" x14ac:dyDescent="0.25">
      <c r="A3792" s="1930" t="s">
        <v>4646</v>
      </c>
      <c r="B3792" s="1930" t="s">
        <v>4647</v>
      </c>
      <c r="C3792" s="1930" t="s">
        <v>4594</v>
      </c>
      <c r="D3792" s="1930" t="s">
        <v>4650</v>
      </c>
      <c r="E3792" s="1931" t="s">
        <v>33</v>
      </c>
      <c r="F3792" s="1930" t="s">
        <v>33</v>
      </c>
      <c r="G3792" s="1932">
        <v>92699</v>
      </c>
      <c r="H3792" s="1930" t="s">
        <v>2901</v>
      </c>
      <c r="I3792" s="1930" t="s">
        <v>168</v>
      </c>
      <c r="J3792" s="1930" t="s">
        <v>320</v>
      </c>
      <c r="K3792" s="1933">
        <v>13.13</v>
      </c>
      <c r="L3792" s="1930" t="s">
        <v>138</v>
      </c>
    </row>
    <row r="3793" spans="1:12" ht="13.5" x14ac:dyDescent="0.25">
      <c r="A3793" s="1930" t="s">
        <v>4646</v>
      </c>
      <c r="B3793" s="1930" t="s">
        <v>4647</v>
      </c>
      <c r="C3793" s="1930" t="s">
        <v>4594</v>
      </c>
      <c r="D3793" s="1930" t="s">
        <v>4650</v>
      </c>
      <c r="E3793" s="1931" t="s">
        <v>33</v>
      </c>
      <c r="F3793" s="1930" t="s">
        <v>33</v>
      </c>
      <c r="G3793" s="1932">
        <v>92700</v>
      </c>
      <c r="H3793" s="1930" t="s">
        <v>2902</v>
      </c>
      <c r="I3793" s="1930" t="s">
        <v>168</v>
      </c>
      <c r="J3793" s="1930" t="s">
        <v>320</v>
      </c>
      <c r="K3793" s="1933">
        <v>22.76</v>
      </c>
      <c r="L3793" s="1930" t="s">
        <v>138</v>
      </c>
    </row>
    <row r="3794" spans="1:12" ht="13.5" x14ac:dyDescent="0.25">
      <c r="A3794" s="1930" t="s">
        <v>4646</v>
      </c>
      <c r="B3794" s="1930" t="s">
        <v>4647</v>
      </c>
      <c r="C3794" s="1930" t="s">
        <v>4594</v>
      </c>
      <c r="D3794" s="1930" t="s">
        <v>4650</v>
      </c>
      <c r="E3794" s="1931" t="s">
        <v>33</v>
      </c>
      <c r="F3794" s="1930" t="s">
        <v>33</v>
      </c>
      <c r="G3794" s="1932">
        <v>92701</v>
      </c>
      <c r="H3794" s="1930" t="s">
        <v>2903</v>
      </c>
      <c r="I3794" s="1930" t="s">
        <v>168</v>
      </c>
      <c r="J3794" s="1930" t="s">
        <v>320</v>
      </c>
      <c r="K3794" s="1933">
        <v>21.65</v>
      </c>
      <c r="L3794" s="1930" t="s">
        <v>138</v>
      </c>
    </row>
    <row r="3795" spans="1:12" ht="13.5" x14ac:dyDescent="0.25">
      <c r="A3795" s="1930" t="s">
        <v>4646</v>
      </c>
      <c r="B3795" s="1930" t="s">
        <v>4647</v>
      </c>
      <c r="C3795" s="1930" t="s">
        <v>4594</v>
      </c>
      <c r="D3795" s="1930" t="s">
        <v>4650</v>
      </c>
      <c r="E3795" s="1931" t="s">
        <v>33</v>
      </c>
      <c r="F3795" s="1930" t="s">
        <v>33</v>
      </c>
      <c r="G3795" s="1932">
        <v>92702</v>
      </c>
      <c r="H3795" s="1930" t="s">
        <v>2904</v>
      </c>
      <c r="I3795" s="1930" t="s">
        <v>168</v>
      </c>
      <c r="J3795" s="1930" t="s">
        <v>320</v>
      </c>
      <c r="K3795" s="1933">
        <v>35.79</v>
      </c>
      <c r="L3795" s="1930" t="s">
        <v>138</v>
      </c>
    </row>
    <row r="3796" spans="1:12" ht="13.5" x14ac:dyDescent="0.25">
      <c r="A3796" s="1930" t="s">
        <v>4646</v>
      </c>
      <c r="B3796" s="1930" t="s">
        <v>4647</v>
      </c>
      <c r="C3796" s="1930" t="s">
        <v>4594</v>
      </c>
      <c r="D3796" s="1930" t="s">
        <v>4650</v>
      </c>
      <c r="E3796" s="1931" t="s">
        <v>33</v>
      </c>
      <c r="F3796" s="1930" t="s">
        <v>33</v>
      </c>
      <c r="G3796" s="1932">
        <v>92703</v>
      </c>
      <c r="H3796" s="1930" t="s">
        <v>2905</v>
      </c>
      <c r="I3796" s="1930" t="s">
        <v>168</v>
      </c>
      <c r="J3796" s="1930" t="s">
        <v>320</v>
      </c>
      <c r="K3796" s="1933">
        <v>34.42</v>
      </c>
      <c r="L3796" s="1930" t="s">
        <v>138</v>
      </c>
    </row>
    <row r="3797" spans="1:12" ht="13.5" x14ac:dyDescent="0.25">
      <c r="A3797" s="1930" t="s">
        <v>4646</v>
      </c>
      <c r="B3797" s="1930" t="s">
        <v>4647</v>
      </c>
      <c r="C3797" s="1930" t="s">
        <v>4594</v>
      </c>
      <c r="D3797" s="1930" t="s">
        <v>4650</v>
      </c>
      <c r="E3797" s="1931" t="s">
        <v>33</v>
      </c>
      <c r="F3797" s="1930" t="s">
        <v>33</v>
      </c>
      <c r="G3797" s="1932">
        <v>92704</v>
      </c>
      <c r="H3797" s="1930" t="s">
        <v>2906</v>
      </c>
      <c r="I3797" s="1930" t="s">
        <v>168</v>
      </c>
      <c r="J3797" s="1930" t="s">
        <v>320</v>
      </c>
      <c r="K3797" s="1933">
        <v>17.670000000000002</v>
      </c>
      <c r="L3797" s="1930" t="s">
        <v>138</v>
      </c>
    </row>
    <row r="3798" spans="1:12" ht="13.5" x14ac:dyDescent="0.25">
      <c r="A3798" s="1930" t="s">
        <v>4646</v>
      </c>
      <c r="B3798" s="1930" t="s">
        <v>4647</v>
      </c>
      <c r="C3798" s="1930" t="s">
        <v>4594</v>
      </c>
      <c r="D3798" s="1930" t="s">
        <v>4650</v>
      </c>
      <c r="E3798" s="1931" t="s">
        <v>33</v>
      </c>
      <c r="F3798" s="1930" t="s">
        <v>33</v>
      </c>
      <c r="G3798" s="1932">
        <v>92705</v>
      </c>
      <c r="H3798" s="1930" t="s">
        <v>2907</v>
      </c>
      <c r="I3798" s="1930" t="s">
        <v>168</v>
      </c>
      <c r="J3798" s="1930" t="s">
        <v>320</v>
      </c>
      <c r="K3798" s="1933">
        <v>28.67</v>
      </c>
      <c r="L3798" s="1930" t="s">
        <v>138</v>
      </c>
    </row>
    <row r="3799" spans="1:12" ht="13.5" x14ac:dyDescent="0.25">
      <c r="A3799" s="1930" t="s">
        <v>4646</v>
      </c>
      <c r="B3799" s="1930" t="s">
        <v>4647</v>
      </c>
      <c r="C3799" s="1930" t="s">
        <v>4594</v>
      </c>
      <c r="D3799" s="1930" t="s">
        <v>4650</v>
      </c>
      <c r="E3799" s="1931" t="s">
        <v>33</v>
      </c>
      <c r="F3799" s="1930" t="s">
        <v>33</v>
      </c>
      <c r="G3799" s="1932">
        <v>92706</v>
      </c>
      <c r="H3799" s="1930" t="s">
        <v>2908</v>
      </c>
      <c r="I3799" s="1930" t="s">
        <v>168</v>
      </c>
      <c r="J3799" s="1930" t="s">
        <v>320</v>
      </c>
      <c r="K3799" s="1933">
        <v>46.41</v>
      </c>
      <c r="L3799" s="1930" t="s">
        <v>138</v>
      </c>
    </row>
    <row r="3800" spans="1:12" ht="13.5" x14ac:dyDescent="0.25">
      <c r="A3800" s="1930" t="s">
        <v>4646</v>
      </c>
      <c r="B3800" s="1930" t="s">
        <v>4647</v>
      </c>
      <c r="C3800" s="1930" t="s">
        <v>4594</v>
      </c>
      <c r="D3800" s="1930" t="s">
        <v>4650</v>
      </c>
      <c r="E3800" s="1931" t="s">
        <v>33</v>
      </c>
      <c r="F3800" s="1930" t="s">
        <v>33</v>
      </c>
      <c r="G3800" s="1932">
        <v>92889</v>
      </c>
      <c r="H3800" s="1930" t="s">
        <v>2909</v>
      </c>
      <c r="I3800" s="1930" t="s">
        <v>168</v>
      </c>
      <c r="J3800" s="1930" t="s">
        <v>320</v>
      </c>
      <c r="K3800" s="1933">
        <v>79.790000000000006</v>
      </c>
      <c r="L3800" s="1930" t="s">
        <v>138</v>
      </c>
    </row>
    <row r="3801" spans="1:12" ht="13.5" x14ac:dyDescent="0.25">
      <c r="A3801" s="1930" t="s">
        <v>4646</v>
      </c>
      <c r="B3801" s="1930" t="s">
        <v>4647</v>
      </c>
      <c r="C3801" s="1930" t="s">
        <v>4594</v>
      </c>
      <c r="D3801" s="1930" t="s">
        <v>4650</v>
      </c>
      <c r="E3801" s="1931" t="s">
        <v>33</v>
      </c>
      <c r="F3801" s="1930" t="s">
        <v>33</v>
      </c>
      <c r="G3801" s="1932">
        <v>92890</v>
      </c>
      <c r="H3801" s="1930" t="s">
        <v>2910</v>
      </c>
      <c r="I3801" s="1930" t="s">
        <v>168</v>
      </c>
      <c r="J3801" s="1930" t="s">
        <v>320</v>
      </c>
      <c r="K3801" s="1933">
        <v>118.97</v>
      </c>
      <c r="L3801" s="1930" t="s">
        <v>138</v>
      </c>
    </row>
    <row r="3802" spans="1:12" ht="13.5" x14ac:dyDescent="0.25">
      <c r="A3802" s="1930" t="s">
        <v>4646</v>
      </c>
      <c r="B3802" s="1930" t="s">
        <v>4647</v>
      </c>
      <c r="C3802" s="1930" t="s">
        <v>4594</v>
      </c>
      <c r="D3802" s="1930" t="s">
        <v>4650</v>
      </c>
      <c r="E3802" s="1931" t="s">
        <v>33</v>
      </c>
      <c r="F3802" s="1930" t="s">
        <v>33</v>
      </c>
      <c r="G3802" s="1932">
        <v>92891</v>
      </c>
      <c r="H3802" s="1930" t="s">
        <v>2911</v>
      </c>
      <c r="I3802" s="1930" t="s">
        <v>168</v>
      </c>
      <c r="J3802" s="1930" t="s">
        <v>320</v>
      </c>
      <c r="K3802" s="1933">
        <v>172.46</v>
      </c>
      <c r="L3802" s="1930" t="s">
        <v>138</v>
      </c>
    </row>
    <row r="3803" spans="1:12" ht="13.5" x14ac:dyDescent="0.25">
      <c r="A3803" s="1930" t="s">
        <v>4646</v>
      </c>
      <c r="B3803" s="1930" t="s">
        <v>4647</v>
      </c>
      <c r="C3803" s="1930" t="s">
        <v>4594</v>
      </c>
      <c r="D3803" s="1930" t="s">
        <v>4650</v>
      </c>
      <c r="E3803" s="1931" t="s">
        <v>33</v>
      </c>
      <c r="F3803" s="1930" t="s">
        <v>33</v>
      </c>
      <c r="G3803" s="1932">
        <v>92892</v>
      </c>
      <c r="H3803" s="1930" t="s">
        <v>2912</v>
      </c>
      <c r="I3803" s="1930" t="s">
        <v>168</v>
      </c>
      <c r="J3803" s="1930" t="s">
        <v>320</v>
      </c>
      <c r="K3803" s="1933">
        <v>35.99</v>
      </c>
      <c r="L3803" s="1930" t="s">
        <v>138</v>
      </c>
    </row>
    <row r="3804" spans="1:12" ht="13.5" x14ac:dyDescent="0.25">
      <c r="A3804" s="1930" t="s">
        <v>4646</v>
      </c>
      <c r="B3804" s="1930" t="s">
        <v>4647</v>
      </c>
      <c r="C3804" s="1930" t="s">
        <v>4594</v>
      </c>
      <c r="D3804" s="1930" t="s">
        <v>4650</v>
      </c>
      <c r="E3804" s="1931" t="s">
        <v>33</v>
      </c>
      <c r="F3804" s="1930" t="s">
        <v>33</v>
      </c>
      <c r="G3804" s="1932">
        <v>92893</v>
      </c>
      <c r="H3804" s="1930" t="s">
        <v>2913</v>
      </c>
      <c r="I3804" s="1930" t="s">
        <v>168</v>
      </c>
      <c r="J3804" s="1930" t="s">
        <v>320</v>
      </c>
      <c r="K3804" s="1933">
        <v>50.03</v>
      </c>
      <c r="L3804" s="1930" t="s">
        <v>138</v>
      </c>
    </row>
    <row r="3805" spans="1:12" ht="13.5" x14ac:dyDescent="0.25">
      <c r="A3805" s="1930" t="s">
        <v>4646</v>
      </c>
      <c r="B3805" s="1930" t="s">
        <v>4647</v>
      </c>
      <c r="C3805" s="1930" t="s">
        <v>4594</v>
      </c>
      <c r="D3805" s="1930" t="s">
        <v>4650</v>
      </c>
      <c r="E3805" s="1931" t="s">
        <v>33</v>
      </c>
      <c r="F3805" s="1930" t="s">
        <v>33</v>
      </c>
      <c r="G3805" s="1932">
        <v>92894</v>
      </c>
      <c r="H3805" s="1930" t="s">
        <v>2914</v>
      </c>
      <c r="I3805" s="1930" t="s">
        <v>168</v>
      </c>
      <c r="J3805" s="1930" t="s">
        <v>320</v>
      </c>
      <c r="K3805" s="1933">
        <v>59.39</v>
      </c>
      <c r="L3805" s="1930" t="s">
        <v>138</v>
      </c>
    </row>
    <row r="3806" spans="1:12" ht="13.5" x14ac:dyDescent="0.25">
      <c r="A3806" s="1930" t="s">
        <v>4646</v>
      </c>
      <c r="B3806" s="1930" t="s">
        <v>4647</v>
      </c>
      <c r="C3806" s="1930" t="s">
        <v>4594</v>
      </c>
      <c r="D3806" s="1930" t="s">
        <v>4650</v>
      </c>
      <c r="E3806" s="1931" t="s">
        <v>33</v>
      </c>
      <c r="F3806" s="1930" t="s">
        <v>33</v>
      </c>
      <c r="G3806" s="1932">
        <v>92895</v>
      </c>
      <c r="H3806" s="1930" t="s">
        <v>2915</v>
      </c>
      <c r="I3806" s="1930" t="s">
        <v>168</v>
      </c>
      <c r="J3806" s="1930" t="s">
        <v>320</v>
      </c>
      <c r="K3806" s="1933">
        <v>79.760000000000005</v>
      </c>
      <c r="L3806" s="1930" t="s">
        <v>138</v>
      </c>
    </row>
    <row r="3807" spans="1:12" ht="13.5" x14ac:dyDescent="0.25">
      <c r="A3807" s="1930" t="s">
        <v>4646</v>
      </c>
      <c r="B3807" s="1930" t="s">
        <v>4647</v>
      </c>
      <c r="C3807" s="1930" t="s">
        <v>4594</v>
      </c>
      <c r="D3807" s="1930" t="s">
        <v>4650</v>
      </c>
      <c r="E3807" s="1931" t="s">
        <v>33</v>
      </c>
      <c r="F3807" s="1930" t="s">
        <v>33</v>
      </c>
      <c r="G3807" s="1932">
        <v>92896</v>
      </c>
      <c r="H3807" s="1930" t="s">
        <v>2916</v>
      </c>
      <c r="I3807" s="1930" t="s">
        <v>168</v>
      </c>
      <c r="J3807" s="1930" t="s">
        <v>320</v>
      </c>
      <c r="K3807" s="1933">
        <v>120.17</v>
      </c>
      <c r="L3807" s="1930" t="s">
        <v>138</v>
      </c>
    </row>
    <row r="3808" spans="1:12" ht="13.5" x14ac:dyDescent="0.25">
      <c r="A3808" s="1930" t="s">
        <v>4646</v>
      </c>
      <c r="B3808" s="1930" t="s">
        <v>4647</v>
      </c>
      <c r="C3808" s="1930" t="s">
        <v>4594</v>
      </c>
      <c r="D3808" s="1930" t="s">
        <v>4650</v>
      </c>
      <c r="E3808" s="1931" t="s">
        <v>33</v>
      </c>
      <c r="F3808" s="1930" t="s">
        <v>33</v>
      </c>
      <c r="G3808" s="1932">
        <v>92897</v>
      </c>
      <c r="H3808" s="1930" t="s">
        <v>2917</v>
      </c>
      <c r="I3808" s="1930" t="s">
        <v>168</v>
      </c>
      <c r="J3808" s="1930" t="s">
        <v>320</v>
      </c>
      <c r="K3808" s="1933">
        <v>174.93</v>
      </c>
      <c r="L3808" s="1930" t="s">
        <v>138</v>
      </c>
    </row>
    <row r="3809" spans="1:12" ht="13.5" x14ac:dyDescent="0.25">
      <c r="A3809" s="1930" t="s">
        <v>4646</v>
      </c>
      <c r="B3809" s="1930" t="s">
        <v>4647</v>
      </c>
      <c r="C3809" s="1930" t="s">
        <v>4594</v>
      </c>
      <c r="D3809" s="1930" t="s">
        <v>4650</v>
      </c>
      <c r="E3809" s="1931" t="s">
        <v>33</v>
      </c>
      <c r="F3809" s="1930" t="s">
        <v>33</v>
      </c>
      <c r="G3809" s="1932">
        <v>92898</v>
      </c>
      <c r="H3809" s="1930" t="s">
        <v>2918</v>
      </c>
      <c r="I3809" s="1930" t="s">
        <v>168</v>
      </c>
      <c r="J3809" s="1930" t="s">
        <v>320</v>
      </c>
      <c r="K3809" s="1933">
        <v>29.33</v>
      </c>
      <c r="L3809" s="1930" t="s">
        <v>138</v>
      </c>
    </row>
    <row r="3810" spans="1:12" ht="13.5" x14ac:dyDescent="0.25">
      <c r="A3810" s="1930" t="s">
        <v>4646</v>
      </c>
      <c r="B3810" s="1930" t="s">
        <v>4647</v>
      </c>
      <c r="C3810" s="1930" t="s">
        <v>4594</v>
      </c>
      <c r="D3810" s="1930" t="s">
        <v>4650</v>
      </c>
      <c r="E3810" s="1931" t="s">
        <v>33</v>
      </c>
      <c r="F3810" s="1930" t="s">
        <v>33</v>
      </c>
      <c r="G3810" s="1932">
        <v>92899</v>
      </c>
      <c r="H3810" s="1930" t="s">
        <v>2919</v>
      </c>
      <c r="I3810" s="1930" t="s">
        <v>168</v>
      </c>
      <c r="J3810" s="1930" t="s">
        <v>320</v>
      </c>
      <c r="K3810" s="1933">
        <v>42.45</v>
      </c>
      <c r="L3810" s="1930" t="s">
        <v>138</v>
      </c>
    </row>
    <row r="3811" spans="1:12" ht="13.5" x14ac:dyDescent="0.25">
      <c r="A3811" s="1930" t="s">
        <v>4646</v>
      </c>
      <c r="B3811" s="1930" t="s">
        <v>4647</v>
      </c>
      <c r="C3811" s="1930" t="s">
        <v>4594</v>
      </c>
      <c r="D3811" s="1930" t="s">
        <v>4650</v>
      </c>
      <c r="E3811" s="1931" t="s">
        <v>33</v>
      </c>
      <c r="F3811" s="1930" t="s">
        <v>33</v>
      </c>
      <c r="G3811" s="1932">
        <v>92900</v>
      </c>
      <c r="H3811" s="1930" t="s">
        <v>2920</v>
      </c>
      <c r="I3811" s="1930" t="s">
        <v>168</v>
      </c>
      <c r="J3811" s="1930" t="s">
        <v>320</v>
      </c>
      <c r="K3811" s="1933">
        <v>50.74</v>
      </c>
      <c r="L3811" s="1930" t="s">
        <v>138</v>
      </c>
    </row>
    <row r="3812" spans="1:12" ht="13.5" x14ac:dyDescent="0.25">
      <c r="A3812" s="1930" t="s">
        <v>4646</v>
      </c>
      <c r="B3812" s="1930" t="s">
        <v>4647</v>
      </c>
      <c r="C3812" s="1930" t="s">
        <v>4594</v>
      </c>
      <c r="D3812" s="1930" t="s">
        <v>4650</v>
      </c>
      <c r="E3812" s="1931" t="s">
        <v>33</v>
      </c>
      <c r="F3812" s="1930" t="s">
        <v>33</v>
      </c>
      <c r="G3812" s="1932">
        <v>92901</v>
      </c>
      <c r="H3812" s="1930" t="s">
        <v>2921</v>
      </c>
      <c r="I3812" s="1930" t="s">
        <v>168</v>
      </c>
      <c r="J3812" s="1930" t="s">
        <v>320</v>
      </c>
      <c r="K3812" s="1933">
        <v>69.81</v>
      </c>
      <c r="L3812" s="1930" t="s">
        <v>138</v>
      </c>
    </row>
    <row r="3813" spans="1:12" ht="13.5" x14ac:dyDescent="0.25">
      <c r="A3813" s="1930" t="s">
        <v>4646</v>
      </c>
      <c r="B3813" s="1930" t="s">
        <v>4647</v>
      </c>
      <c r="C3813" s="1930" t="s">
        <v>4594</v>
      </c>
      <c r="D3813" s="1930" t="s">
        <v>4650</v>
      </c>
      <c r="E3813" s="1931" t="s">
        <v>33</v>
      </c>
      <c r="F3813" s="1930" t="s">
        <v>33</v>
      </c>
      <c r="G3813" s="1932">
        <v>92902</v>
      </c>
      <c r="H3813" s="1930" t="s">
        <v>2922</v>
      </c>
      <c r="I3813" s="1930" t="s">
        <v>168</v>
      </c>
      <c r="J3813" s="1930" t="s">
        <v>320</v>
      </c>
      <c r="K3813" s="1933">
        <v>108.24</v>
      </c>
      <c r="L3813" s="1930" t="s">
        <v>138</v>
      </c>
    </row>
    <row r="3814" spans="1:12" ht="13.5" x14ac:dyDescent="0.25">
      <c r="A3814" s="1930" t="s">
        <v>4646</v>
      </c>
      <c r="B3814" s="1930" t="s">
        <v>4647</v>
      </c>
      <c r="C3814" s="1930" t="s">
        <v>4594</v>
      </c>
      <c r="D3814" s="1930" t="s">
        <v>4650</v>
      </c>
      <c r="E3814" s="1931" t="s">
        <v>33</v>
      </c>
      <c r="F3814" s="1930" t="s">
        <v>33</v>
      </c>
      <c r="G3814" s="1932">
        <v>92903</v>
      </c>
      <c r="H3814" s="1930" t="s">
        <v>2923</v>
      </c>
      <c r="I3814" s="1930" t="s">
        <v>168</v>
      </c>
      <c r="J3814" s="1930" t="s">
        <v>320</v>
      </c>
      <c r="K3814" s="1933">
        <v>161.07</v>
      </c>
      <c r="L3814" s="1930" t="s">
        <v>138</v>
      </c>
    </row>
    <row r="3815" spans="1:12" ht="13.5" x14ac:dyDescent="0.25">
      <c r="A3815" s="1930" t="s">
        <v>4646</v>
      </c>
      <c r="B3815" s="1930" t="s">
        <v>4647</v>
      </c>
      <c r="C3815" s="1930" t="s">
        <v>4594</v>
      </c>
      <c r="D3815" s="1930" t="s">
        <v>4650</v>
      </c>
      <c r="E3815" s="1931" t="s">
        <v>33</v>
      </c>
      <c r="F3815" s="1930" t="s">
        <v>33</v>
      </c>
      <c r="G3815" s="1932">
        <v>92904</v>
      </c>
      <c r="H3815" s="1930" t="s">
        <v>2924</v>
      </c>
      <c r="I3815" s="1930" t="s">
        <v>168</v>
      </c>
      <c r="J3815" s="1930" t="s">
        <v>320</v>
      </c>
      <c r="K3815" s="1933">
        <v>19.739999999999998</v>
      </c>
      <c r="L3815" s="1930" t="s">
        <v>138</v>
      </c>
    </row>
    <row r="3816" spans="1:12" ht="13.5" x14ac:dyDescent="0.25">
      <c r="A3816" s="1930" t="s">
        <v>4646</v>
      </c>
      <c r="B3816" s="1930" t="s">
        <v>4647</v>
      </c>
      <c r="C3816" s="1930" t="s">
        <v>4594</v>
      </c>
      <c r="D3816" s="1930" t="s">
        <v>4650</v>
      </c>
      <c r="E3816" s="1931" t="s">
        <v>33</v>
      </c>
      <c r="F3816" s="1930" t="s">
        <v>33</v>
      </c>
      <c r="G3816" s="1932">
        <v>92905</v>
      </c>
      <c r="H3816" s="1930" t="s">
        <v>2925</v>
      </c>
      <c r="I3816" s="1930" t="s">
        <v>168</v>
      </c>
      <c r="J3816" s="1930" t="s">
        <v>320</v>
      </c>
      <c r="K3816" s="1933">
        <v>28.54</v>
      </c>
      <c r="L3816" s="1930" t="s">
        <v>138</v>
      </c>
    </row>
    <row r="3817" spans="1:12" ht="13.5" x14ac:dyDescent="0.25">
      <c r="A3817" s="1930" t="s">
        <v>4646</v>
      </c>
      <c r="B3817" s="1930" t="s">
        <v>4647</v>
      </c>
      <c r="C3817" s="1930" t="s">
        <v>4594</v>
      </c>
      <c r="D3817" s="1930" t="s">
        <v>4650</v>
      </c>
      <c r="E3817" s="1931" t="s">
        <v>33</v>
      </c>
      <c r="F3817" s="1930" t="s">
        <v>33</v>
      </c>
      <c r="G3817" s="1932">
        <v>92906</v>
      </c>
      <c r="H3817" s="1930" t="s">
        <v>2926</v>
      </c>
      <c r="I3817" s="1930" t="s">
        <v>168</v>
      </c>
      <c r="J3817" s="1930" t="s">
        <v>320</v>
      </c>
      <c r="K3817" s="1933">
        <v>35.71</v>
      </c>
      <c r="L3817" s="1930" t="s">
        <v>138</v>
      </c>
    </row>
    <row r="3818" spans="1:12" ht="13.5" x14ac:dyDescent="0.25">
      <c r="A3818" s="1930" t="s">
        <v>4646</v>
      </c>
      <c r="B3818" s="1930" t="s">
        <v>4647</v>
      </c>
      <c r="C3818" s="1930" t="s">
        <v>4594</v>
      </c>
      <c r="D3818" s="1930" t="s">
        <v>4650</v>
      </c>
      <c r="E3818" s="1931" t="s">
        <v>33</v>
      </c>
      <c r="F3818" s="1930" t="s">
        <v>33</v>
      </c>
      <c r="G3818" s="1932">
        <v>92907</v>
      </c>
      <c r="H3818" s="1930" t="s">
        <v>5471</v>
      </c>
      <c r="I3818" s="1930" t="s">
        <v>168</v>
      </c>
      <c r="J3818" s="1930" t="s">
        <v>320</v>
      </c>
      <c r="K3818" s="1933">
        <v>44.87</v>
      </c>
      <c r="L3818" s="1930" t="s">
        <v>138</v>
      </c>
    </row>
    <row r="3819" spans="1:12" ht="13.5" x14ac:dyDescent="0.25">
      <c r="A3819" s="1930" t="s">
        <v>4646</v>
      </c>
      <c r="B3819" s="1930" t="s">
        <v>4647</v>
      </c>
      <c r="C3819" s="1930" t="s">
        <v>4594</v>
      </c>
      <c r="D3819" s="1930" t="s">
        <v>4650</v>
      </c>
      <c r="E3819" s="1931" t="s">
        <v>33</v>
      </c>
      <c r="F3819" s="1930" t="s">
        <v>33</v>
      </c>
      <c r="G3819" s="1932">
        <v>92908</v>
      </c>
      <c r="H3819" s="1930" t="s">
        <v>5472</v>
      </c>
      <c r="I3819" s="1930" t="s">
        <v>168</v>
      </c>
      <c r="J3819" s="1930" t="s">
        <v>320</v>
      </c>
      <c r="K3819" s="1933">
        <v>44.87</v>
      </c>
      <c r="L3819" s="1930" t="s">
        <v>138</v>
      </c>
    </row>
    <row r="3820" spans="1:12" ht="13.5" x14ac:dyDescent="0.25">
      <c r="A3820" s="1930" t="s">
        <v>4646</v>
      </c>
      <c r="B3820" s="1930" t="s">
        <v>4647</v>
      </c>
      <c r="C3820" s="1930" t="s">
        <v>4594</v>
      </c>
      <c r="D3820" s="1930" t="s">
        <v>4650</v>
      </c>
      <c r="E3820" s="1931" t="s">
        <v>33</v>
      </c>
      <c r="F3820" s="1930" t="s">
        <v>33</v>
      </c>
      <c r="G3820" s="1932">
        <v>92909</v>
      </c>
      <c r="H3820" s="1930" t="s">
        <v>2927</v>
      </c>
      <c r="I3820" s="1930" t="s">
        <v>168</v>
      </c>
      <c r="J3820" s="1930" t="s">
        <v>320</v>
      </c>
      <c r="K3820" s="1933">
        <v>44.87</v>
      </c>
      <c r="L3820" s="1930" t="s">
        <v>138</v>
      </c>
    </row>
    <row r="3821" spans="1:12" ht="13.5" x14ac:dyDescent="0.25">
      <c r="A3821" s="1930" t="s">
        <v>4646</v>
      </c>
      <c r="B3821" s="1930" t="s">
        <v>4647</v>
      </c>
      <c r="C3821" s="1930" t="s">
        <v>4594</v>
      </c>
      <c r="D3821" s="1930" t="s">
        <v>4650</v>
      </c>
      <c r="E3821" s="1931" t="s">
        <v>33</v>
      </c>
      <c r="F3821" s="1930" t="s">
        <v>33</v>
      </c>
      <c r="G3821" s="1932">
        <v>92910</v>
      </c>
      <c r="H3821" s="1930" t="s">
        <v>5473</v>
      </c>
      <c r="I3821" s="1930" t="s">
        <v>168</v>
      </c>
      <c r="J3821" s="1930" t="s">
        <v>320</v>
      </c>
      <c r="K3821" s="1933">
        <v>63.35</v>
      </c>
      <c r="L3821" s="1930" t="s">
        <v>138</v>
      </c>
    </row>
    <row r="3822" spans="1:12" ht="13.5" x14ac:dyDescent="0.25">
      <c r="A3822" s="1930" t="s">
        <v>4646</v>
      </c>
      <c r="B3822" s="1930" t="s">
        <v>4647</v>
      </c>
      <c r="C3822" s="1930" t="s">
        <v>4594</v>
      </c>
      <c r="D3822" s="1930" t="s">
        <v>4650</v>
      </c>
      <c r="E3822" s="1931" t="s">
        <v>33</v>
      </c>
      <c r="F3822" s="1930" t="s">
        <v>33</v>
      </c>
      <c r="G3822" s="1932">
        <v>92911</v>
      </c>
      <c r="H3822" s="1930" t="s">
        <v>5474</v>
      </c>
      <c r="I3822" s="1930" t="s">
        <v>168</v>
      </c>
      <c r="J3822" s="1930" t="s">
        <v>320</v>
      </c>
      <c r="K3822" s="1933">
        <v>63.35</v>
      </c>
      <c r="L3822" s="1930" t="s">
        <v>138</v>
      </c>
    </row>
    <row r="3823" spans="1:12" ht="13.5" x14ac:dyDescent="0.25">
      <c r="A3823" s="1930" t="s">
        <v>4646</v>
      </c>
      <c r="B3823" s="1930" t="s">
        <v>4647</v>
      </c>
      <c r="C3823" s="1930" t="s">
        <v>4594</v>
      </c>
      <c r="D3823" s="1930" t="s">
        <v>4650</v>
      </c>
      <c r="E3823" s="1931" t="s">
        <v>33</v>
      </c>
      <c r="F3823" s="1930" t="s">
        <v>33</v>
      </c>
      <c r="G3823" s="1932">
        <v>92912</v>
      </c>
      <c r="H3823" s="1930" t="s">
        <v>5475</v>
      </c>
      <c r="I3823" s="1930" t="s">
        <v>168</v>
      </c>
      <c r="J3823" s="1930" t="s">
        <v>320</v>
      </c>
      <c r="K3823" s="1933">
        <v>83.25</v>
      </c>
      <c r="L3823" s="1930" t="s">
        <v>138</v>
      </c>
    </row>
    <row r="3824" spans="1:12" ht="13.5" x14ac:dyDescent="0.25">
      <c r="A3824" s="1930" t="s">
        <v>4646</v>
      </c>
      <c r="B3824" s="1930" t="s">
        <v>4647</v>
      </c>
      <c r="C3824" s="1930" t="s">
        <v>4594</v>
      </c>
      <c r="D3824" s="1930" t="s">
        <v>4650</v>
      </c>
      <c r="E3824" s="1931" t="s">
        <v>33</v>
      </c>
      <c r="F3824" s="1930" t="s">
        <v>33</v>
      </c>
      <c r="G3824" s="1932">
        <v>92913</v>
      </c>
      <c r="H3824" s="1930" t="s">
        <v>5476</v>
      </c>
      <c r="I3824" s="1930" t="s">
        <v>168</v>
      </c>
      <c r="J3824" s="1930" t="s">
        <v>320</v>
      </c>
      <c r="K3824" s="1933">
        <v>85.31</v>
      </c>
      <c r="L3824" s="1930" t="s">
        <v>138</v>
      </c>
    </row>
    <row r="3825" spans="1:12" ht="13.5" x14ac:dyDescent="0.25">
      <c r="A3825" s="1930" t="s">
        <v>4646</v>
      </c>
      <c r="B3825" s="1930" t="s">
        <v>4647</v>
      </c>
      <c r="C3825" s="1930" t="s">
        <v>4594</v>
      </c>
      <c r="D3825" s="1930" t="s">
        <v>4650</v>
      </c>
      <c r="E3825" s="1931" t="s">
        <v>33</v>
      </c>
      <c r="F3825" s="1930" t="s">
        <v>33</v>
      </c>
      <c r="G3825" s="1932">
        <v>92914</v>
      </c>
      <c r="H3825" s="1930" t="s">
        <v>2928</v>
      </c>
      <c r="I3825" s="1930" t="s">
        <v>168</v>
      </c>
      <c r="J3825" s="1930" t="s">
        <v>320</v>
      </c>
      <c r="K3825" s="1933">
        <v>85.31</v>
      </c>
      <c r="L3825" s="1930" t="s">
        <v>138</v>
      </c>
    </row>
    <row r="3826" spans="1:12" ht="13.5" x14ac:dyDescent="0.25">
      <c r="A3826" s="1930" t="s">
        <v>4646</v>
      </c>
      <c r="B3826" s="1930" t="s">
        <v>4647</v>
      </c>
      <c r="C3826" s="1930" t="s">
        <v>4594</v>
      </c>
      <c r="D3826" s="1930" t="s">
        <v>4650</v>
      </c>
      <c r="E3826" s="1931" t="s">
        <v>33</v>
      </c>
      <c r="F3826" s="1930" t="s">
        <v>33</v>
      </c>
      <c r="G3826" s="1932">
        <v>92918</v>
      </c>
      <c r="H3826" s="1930" t="s">
        <v>2929</v>
      </c>
      <c r="I3826" s="1930" t="s">
        <v>168</v>
      </c>
      <c r="J3826" s="1930" t="s">
        <v>320</v>
      </c>
      <c r="K3826" s="1933">
        <v>24.87</v>
      </c>
      <c r="L3826" s="1930" t="s">
        <v>138</v>
      </c>
    </row>
    <row r="3827" spans="1:12" ht="13.5" x14ac:dyDescent="0.25">
      <c r="A3827" s="1930" t="s">
        <v>4646</v>
      </c>
      <c r="B3827" s="1930" t="s">
        <v>4647</v>
      </c>
      <c r="C3827" s="1930" t="s">
        <v>4594</v>
      </c>
      <c r="D3827" s="1930" t="s">
        <v>4650</v>
      </c>
      <c r="E3827" s="1931" t="s">
        <v>33</v>
      </c>
      <c r="F3827" s="1930" t="s">
        <v>33</v>
      </c>
      <c r="G3827" s="1932">
        <v>92920</v>
      </c>
      <c r="H3827" s="1930" t="s">
        <v>2930</v>
      </c>
      <c r="I3827" s="1930" t="s">
        <v>168</v>
      </c>
      <c r="J3827" s="1930" t="s">
        <v>320</v>
      </c>
      <c r="K3827" s="1933">
        <v>25.01</v>
      </c>
      <c r="L3827" s="1930" t="s">
        <v>138</v>
      </c>
    </row>
    <row r="3828" spans="1:12" ht="13.5" x14ac:dyDescent="0.25">
      <c r="A3828" s="1930" t="s">
        <v>4646</v>
      </c>
      <c r="B3828" s="1930" t="s">
        <v>4647</v>
      </c>
      <c r="C3828" s="1930" t="s">
        <v>4594</v>
      </c>
      <c r="D3828" s="1930" t="s">
        <v>4650</v>
      </c>
      <c r="E3828" s="1931" t="s">
        <v>33</v>
      </c>
      <c r="F3828" s="1930" t="s">
        <v>33</v>
      </c>
      <c r="G3828" s="1932">
        <v>92925</v>
      </c>
      <c r="H3828" s="1930" t="s">
        <v>2931</v>
      </c>
      <c r="I3828" s="1930" t="s">
        <v>168</v>
      </c>
      <c r="J3828" s="1930" t="s">
        <v>320</v>
      </c>
      <c r="K3828" s="1933">
        <v>30.28</v>
      </c>
      <c r="L3828" s="1930" t="s">
        <v>138</v>
      </c>
    </row>
    <row r="3829" spans="1:12" ht="13.5" x14ac:dyDescent="0.25">
      <c r="A3829" s="1930" t="s">
        <v>4646</v>
      </c>
      <c r="B3829" s="1930" t="s">
        <v>4647</v>
      </c>
      <c r="C3829" s="1930" t="s">
        <v>4594</v>
      </c>
      <c r="D3829" s="1930" t="s">
        <v>4650</v>
      </c>
      <c r="E3829" s="1931" t="s">
        <v>33</v>
      </c>
      <c r="F3829" s="1930" t="s">
        <v>33</v>
      </c>
      <c r="G3829" s="1932">
        <v>92926</v>
      </c>
      <c r="H3829" s="1930" t="s">
        <v>2932</v>
      </c>
      <c r="I3829" s="1930" t="s">
        <v>168</v>
      </c>
      <c r="J3829" s="1930" t="s">
        <v>320</v>
      </c>
      <c r="K3829" s="1933">
        <v>30.27</v>
      </c>
      <c r="L3829" s="1930" t="s">
        <v>138</v>
      </c>
    </row>
    <row r="3830" spans="1:12" ht="13.5" x14ac:dyDescent="0.25">
      <c r="A3830" s="1930" t="s">
        <v>4646</v>
      </c>
      <c r="B3830" s="1930" t="s">
        <v>4647</v>
      </c>
      <c r="C3830" s="1930" t="s">
        <v>4594</v>
      </c>
      <c r="D3830" s="1930" t="s">
        <v>4650</v>
      </c>
      <c r="E3830" s="1931" t="s">
        <v>33</v>
      </c>
      <c r="F3830" s="1930" t="s">
        <v>33</v>
      </c>
      <c r="G3830" s="1932">
        <v>92927</v>
      </c>
      <c r="H3830" s="1930" t="s">
        <v>6501</v>
      </c>
      <c r="I3830" s="1930" t="s">
        <v>168</v>
      </c>
      <c r="J3830" s="1930" t="s">
        <v>320</v>
      </c>
      <c r="K3830" s="1933">
        <v>30.27</v>
      </c>
      <c r="L3830" s="1930" t="s">
        <v>138</v>
      </c>
    </row>
    <row r="3831" spans="1:12" ht="13.5" x14ac:dyDescent="0.25">
      <c r="A3831" s="1930" t="s">
        <v>4646</v>
      </c>
      <c r="B3831" s="1930" t="s">
        <v>4647</v>
      </c>
      <c r="C3831" s="1930" t="s">
        <v>4594</v>
      </c>
      <c r="D3831" s="1930" t="s">
        <v>4650</v>
      </c>
      <c r="E3831" s="1931" t="s">
        <v>33</v>
      </c>
      <c r="F3831" s="1930" t="s">
        <v>33</v>
      </c>
      <c r="G3831" s="1932">
        <v>92928</v>
      </c>
      <c r="H3831" s="1930" t="s">
        <v>5477</v>
      </c>
      <c r="I3831" s="1930" t="s">
        <v>168</v>
      </c>
      <c r="J3831" s="1930" t="s">
        <v>320</v>
      </c>
      <c r="K3831" s="1933">
        <v>34.43</v>
      </c>
      <c r="L3831" s="1930" t="s">
        <v>138</v>
      </c>
    </row>
    <row r="3832" spans="1:12" ht="13.5" x14ac:dyDescent="0.25">
      <c r="A3832" s="1930" t="s">
        <v>4646</v>
      </c>
      <c r="B3832" s="1930" t="s">
        <v>4647</v>
      </c>
      <c r="C3832" s="1930" t="s">
        <v>4594</v>
      </c>
      <c r="D3832" s="1930" t="s">
        <v>4650</v>
      </c>
      <c r="E3832" s="1931" t="s">
        <v>33</v>
      </c>
      <c r="F3832" s="1930" t="s">
        <v>33</v>
      </c>
      <c r="G3832" s="1932">
        <v>92929</v>
      </c>
      <c r="H3832" s="1930" t="s">
        <v>5478</v>
      </c>
      <c r="I3832" s="1930" t="s">
        <v>168</v>
      </c>
      <c r="J3832" s="1930" t="s">
        <v>320</v>
      </c>
      <c r="K3832" s="1933">
        <v>34.43</v>
      </c>
      <c r="L3832" s="1930" t="s">
        <v>138</v>
      </c>
    </row>
    <row r="3833" spans="1:12" ht="13.5" x14ac:dyDescent="0.25">
      <c r="A3833" s="1930" t="s">
        <v>4646</v>
      </c>
      <c r="B3833" s="1930" t="s">
        <v>4647</v>
      </c>
      <c r="C3833" s="1930" t="s">
        <v>4594</v>
      </c>
      <c r="D3833" s="1930" t="s">
        <v>4650</v>
      </c>
      <c r="E3833" s="1931" t="s">
        <v>33</v>
      </c>
      <c r="F3833" s="1930" t="s">
        <v>33</v>
      </c>
      <c r="G3833" s="1932">
        <v>92930</v>
      </c>
      <c r="H3833" s="1930" t="s">
        <v>5479</v>
      </c>
      <c r="I3833" s="1930" t="s">
        <v>168</v>
      </c>
      <c r="J3833" s="1930" t="s">
        <v>320</v>
      </c>
      <c r="K3833" s="1933">
        <v>34.43</v>
      </c>
      <c r="L3833" s="1930" t="s">
        <v>138</v>
      </c>
    </row>
    <row r="3834" spans="1:12" ht="13.5" x14ac:dyDescent="0.25">
      <c r="A3834" s="1930" t="s">
        <v>4646</v>
      </c>
      <c r="B3834" s="1930" t="s">
        <v>4647</v>
      </c>
      <c r="C3834" s="1930" t="s">
        <v>4594</v>
      </c>
      <c r="D3834" s="1930" t="s">
        <v>4650</v>
      </c>
      <c r="E3834" s="1931" t="s">
        <v>33</v>
      </c>
      <c r="F3834" s="1930" t="s">
        <v>33</v>
      </c>
      <c r="G3834" s="1932">
        <v>92931</v>
      </c>
      <c r="H3834" s="1930" t="s">
        <v>5480</v>
      </c>
      <c r="I3834" s="1930" t="s">
        <v>168</v>
      </c>
      <c r="J3834" s="1930" t="s">
        <v>320</v>
      </c>
      <c r="K3834" s="1933">
        <v>44.84</v>
      </c>
      <c r="L3834" s="1930" t="s">
        <v>138</v>
      </c>
    </row>
    <row r="3835" spans="1:12" ht="13.5" x14ac:dyDescent="0.25">
      <c r="A3835" s="1930" t="s">
        <v>4646</v>
      </c>
      <c r="B3835" s="1930" t="s">
        <v>4647</v>
      </c>
      <c r="C3835" s="1930" t="s">
        <v>4594</v>
      </c>
      <c r="D3835" s="1930" t="s">
        <v>4650</v>
      </c>
      <c r="E3835" s="1931" t="s">
        <v>33</v>
      </c>
      <c r="F3835" s="1930" t="s">
        <v>33</v>
      </c>
      <c r="G3835" s="1932">
        <v>92932</v>
      </c>
      <c r="H3835" s="1930" t="s">
        <v>5481</v>
      </c>
      <c r="I3835" s="1930" t="s">
        <v>168</v>
      </c>
      <c r="J3835" s="1930" t="s">
        <v>320</v>
      </c>
      <c r="K3835" s="1933">
        <v>44.84</v>
      </c>
      <c r="L3835" s="1930" t="s">
        <v>138</v>
      </c>
    </row>
    <row r="3836" spans="1:12" ht="13.5" x14ac:dyDescent="0.25">
      <c r="A3836" s="1930" t="s">
        <v>4646</v>
      </c>
      <c r="B3836" s="1930" t="s">
        <v>4647</v>
      </c>
      <c r="C3836" s="1930" t="s">
        <v>4594</v>
      </c>
      <c r="D3836" s="1930" t="s">
        <v>4650</v>
      </c>
      <c r="E3836" s="1931" t="s">
        <v>33</v>
      </c>
      <c r="F3836" s="1930" t="s">
        <v>33</v>
      </c>
      <c r="G3836" s="1932">
        <v>92933</v>
      </c>
      <c r="H3836" s="1930" t="s">
        <v>2933</v>
      </c>
      <c r="I3836" s="1930" t="s">
        <v>168</v>
      </c>
      <c r="J3836" s="1930" t="s">
        <v>320</v>
      </c>
      <c r="K3836" s="1933">
        <v>44.84</v>
      </c>
      <c r="L3836" s="1930" t="s">
        <v>138</v>
      </c>
    </row>
    <row r="3837" spans="1:12" ht="13.5" x14ac:dyDescent="0.25">
      <c r="A3837" s="1930" t="s">
        <v>4646</v>
      </c>
      <c r="B3837" s="1930" t="s">
        <v>4647</v>
      </c>
      <c r="C3837" s="1930" t="s">
        <v>4594</v>
      </c>
      <c r="D3837" s="1930" t="s">
        <v>4650</v>
      </c>
      <c r="E3837" s="1931" t="s">
        <v>33</v>
      </c>
      <c r="F3837" s="1930" t="s">
        <v>33</v>
      </c>
      <c r="G3837" s="1932">
        <v>92934</v>
      </c>
      <c r="H3837" s="1930" t="s">
        <v>5482</v>
      </c>
      <c r="I3837" s="1930" t="s">
        <v>168</v>
      </c>
      <c r="J3837" s="1930" t="s">
        <v>320</v>
      </c>
      <c r="K3837" s="1933">
        <v>64.55</v>
      </c>
      <c r="L3837" s="1930" t="s">
        <v>138</v>
      </c>
    </row>
    <row r="3838" spans="1:12" ht="13.5" x14ac:dyDescent="0.25">
      <c r="A3838" s="1930" t="s">
        <v>4646</v>
      </c>
      <c r="B3838" s="1930" t="s">
        <v>4647</v>
      </c>
      <c r="C3838" s="1930" t="s">
        <v>4594</v>
      </c>
      <c r="D3838" s="1930" t="s">
        <v>4650</v>
      </c>
      <c r="E3838" s="1931" t="s">
        <v>33</v>
      </c>
      <c r="F3838" s="1930" t="s">
        <v>33</v>
      </c>
      <c r="G3838" s="1932">
        <v>92935</v>
      </c>
      <c r="H3838" s="1930" t="s">
        <v>5483</v>
      </c>
      <c r="I3838" s="1930" t="s">
        <v>168</v>
      </c>
      <c r="J3838" s="1930" t="s">
        <v>320</v>
      </c>
      <c r="K3838" s="1933">
        <v>64.55</v>
      </c>
      <c r="L3838" s="1930" t="s">
        <v>138</v>
      </c>
    </row>
    <row r="3839" spans="1:12" ht="13.5" x14ac:dyDescent="0.25">
      <c r="A3839" s="1930" t="s">
        <v>4646</v>
      </c>
      <c r="B3839" s="1930" t="s">
        <v>4647</v>
      </c>
      <c r="C3839" s="1930" t="s">
        <v>4594</v>
      </c>
      <c r="D3839" s="1930" t="s">
        <v>4650</v>
      </c>
      <c r="E3839" s="1931" t="s">
        <v>33</v>
      </c>
      <c r="F3839" s="1930" t="s">
        <v>33</v>
      </c>
      <c r="G3839" s="1932">
        <v>92936</v>
      </c>
      <c r="H3839" s="1930" t="s">
        <v>5484</v>
      </c>
      <c r="I3839" s="1930" t="s">
        <v>168</v>
      </c>
      <c r="J3839" s="1930" t="s">
        <v>320</v>
      </c>
      <c r="K3839" s="1933">
        <v>87.78</v>
      </c>
      <c r="L3839" s="1930" t="s">
        <v>138</v>
      </c>
    </row>
    <row r="3840" spans="1:12" ht="13.5" x14ac:dyDescent="0.25">
      <c r="A3840" s="1930" t="s">
        <v>4646</v>
      </c>
      <c r="B3840" s="1930" t="s">
        <v>4647</v>
      </c>
      <c r="C3840" s="1930" t="s">
        <v>4594</v>
      </c>
      <c r="D3840" s="1930" t="s">
        <v>4650</v>
      </c>
      <c r="E3840" s="1931" t="s">
        <v>33</v>
      </c>
      <c r="F3840" s="1930" t="s">
        <v>33</v>
      </c>
      <c r="G3840" s="1932">
        <v>92937</v>
      </c>
      <c r="H3840" s="1930" t="s">
        <v>2934</v>
      </c>
      <c r="I3840" s="1930" t="s">
        <v>168</v>
      </c>
      <c r="J3840" s="1930" t="s">
        <v>320</v>
      </c>
      <c r="K3840" s="1933">
        <v>87.78</v>
      </c>
      <c r="L3840" s="1930" t="s">
        <v>138</v>
      </c>
    </row>
    <row r="3841" spans="1:12" ht="13.5" x14ac:dyDescent="0.25">
      <c r="A3841" s="1930" t="s">
        <v>4646</v>
      </c>
      <c r="B3841" s="1930" t="s">
        <v>4647</v>
      </c>
      <c r="C3841" s="1930" t="s">
        <v>4594</v>
      </c>
      <c r="D3841" s="1930" t="s">
        <v>4650</v>
      </c>
      <c r="E3841" s="1931" t="s">
        <v>33</v>
      </c>
      <c r="F3841" s="1930" t="s">
        <v>33</v>
      </c>
      <c r="G3841" s="1932">
        <v>92938</v>
      </c>
      <c r="H3841" s="1930" t="s">
        <v>2935</v>
      </c>
      <c r="I3841" s="1930" t="s">
        <v>168</v>
      </c>
      <c r="J3841" s="1930" t="s">
        <v>320</v>
      </c>
      <c r="K3841" s="1933">
        <v>18.21</v>
      </c>
      <c r="L3841" s="1930" t="s">
        <v>138</v>
      </c>
    </row>
    <row r="3842" spans="1:12" ht="13.5" x14ac:dyDescent="0.25">
      <c r="A3842" s="1930" t="s">
        <v>4646</v>
      </c>
      <c r="B3842" s="1930" t="s">
        <v>4647</v>
      </c>
      <c r="C3842" s="1930" t="s">
        <v>4594</v>
      </c>
      <c r="D3842" s="1930" t="s">
        <v>4650</v>
      </c>
      <c r="E3842" s="1931" t="s">
        <v>33</v>
      </c>
      <c r="F3842" s="1930" t="s">
        <v>33</v>
      </c>
      <c r="G3842" s="1932">
        <v>92939</v>
      </c>
      <c r="H3842" s="1930" t="s">
        <v>2936</v>
      </c>
      <c r="I3842" s="1930" t="s">
        <v>168</v>
      </c>
      <c r="J3842" s="1930" t="s">
        <v>320</v>
      </c>
      <c r="K3842" s="1933">
        <v>18.350000000000001</v>
      </c>
      <c r="L3842" s="1930" t="s">
        <v>138</v>
      </c>
    </row>
    <row r="3843" spans="1:12" ht="13.5" x14ac:dyDescent="0.25">
      <c r="A3843" s="1930" t="s">
        <v>4646</v>
      </c>
      <c r="B3843" s="1930" t="s">
        <v>4647</v>
      </c>
      <c r="C3843" s="1930" t="s">
        <v>4594</v>
      </c>
      <c r="D3843" s="1930" t="s">
        <v>4650</v>
      </c>
      <c r="E3843" s="1931" t="s">
        <v>33</v>
      </c>
      <c r="F3843" s="1930" t="s">
        <v>33</v>
      </c>
      <c r="G3843" s="1932">
        <v>92940</v>
      </c>
      <c r="H3843" s="1930" t="s">
        <v>5485</v>
      </c>
      <c r="I3843" s="1930" t="s">
        <v>168</v>
      </c>
      <c r="J3843" s="1930" t="s">
        <v>320</v>
      </c>
      <c r="K3843" s="1933">
        <v>22.7</v>
      </c>
      <c r="L3843" s="1930" t="s">
        <v>138</v>
      </c>
    </row>
    <row r="3844" spans="1:12" ht="13.5" x14ac:dyDescent="0.25">
      <c r="A3844" s="1930" t="s">
        <v>4646</v>
      </c>
      <c r="B3844" s="1930" t="s">
        <v>4647</v>
      </c>
      <c r="C3844" s="1930" t="s">
        <v>4594</v>
      </c>
      <c r="D3844" s="1930" t="s">
        <v>4650</v>
      </c>
      <c r="E3844" s="1931" t="s">
        <v>33</v>
      </c>
      <c r="F3844" s="1930" t="s">
        <v>33</v>
      </c>
      <c r="G3844" s="1932">
        <v>92941</v>
      </c>
      <c r="H3844" s="1930" t="s">
        <v>5486</v>
      </c>
      <c r="I3844" s="1930" t="s">
        <v>168</v>
      </c>
      <c r="J3844" s="1930" t="s">
        <v>320</v>
      </c>
      <c r="K3844" s="1933">
        <v>22.69</v>
      </c>
      <c r="L3844" s="1930" t="s">
        <v>138</v>
      </c>
    </row>
    <row r="3845" spans="1:12" ht="13.5" x14ac:dyDescent="0.25">
      <c r="A3845" s="1930" t="s">
        <v>4646</v>
      </c>
      <c r="B3845" s="1930" t="s">
        <v>4647</v>
      </c>
      <c r="C3845" s="1930" t="s">
        <v>4594</v>
      </c>
      <c r="D3845" s="1930" t="s">
        <v>4650</v>
      </c>
      <c r="E3845" s="1931" t="s">
        <v>33</v>
      </c>
      <c r="F3845" s="1930" t="s">
        <v>33</v>
      </c>
      <c r="G3845" s="1932">
        <v>92942</v>
      </c>
      <c r="H3845" s="1930" t="s">
        <v>5487</v>
      </c>
      <c r="I3845" s="1930" t="s">
        <v>168</v>
      </c>
      <c r="J3845" s="1930" t="s">
        <v>320</v>
      </c>
      <c r="K3845" s="1933">
        <v>22.69</v>
      </c>
      <c r="L3845" s="1930" t="s">
        <v>138</v>
      </c>
    </row>
    <row r="3846" spans="1:12" ht="13.5" x14ac:dyDescent="0.25">
      <c r="A3846" s="1930" t="s">
        <v>4646</v>
      </c>
      <c r="B3846" s="1930" t="s">
        <v>4647</v>
      </c>
      <c r="C3846" s="1930" t="s">
        <v>4594</v>
      </c>
      <c r="D3846" s="1930" t="s">
        <v>4650</v>
      </c>
      <c r="E3846" s="1931" t="s">
        <v>33</v>
      </c>
      <c r="F3846" s="1930" t="s">
        <v>33</v>
      </c>
      <c r="G3846" s="1932">
        <v>92943</v>
      </c>
      <c r="H3846" s="1930" t="s">
        <v>5488</v>
      </c>
      <c r="I3846" s="1930" t="s">
        <v>168</v>
      </c>
      <c r="J3846" s="1930" t="s">
        <v>320</v>
      </c>
      <c r="K3846" s="1933">
        <v>25.78</v>
      </c>
      <c r="L3846" s="1930" t="s">
        <v>138</v>
      </c>
    </row>
    <row r="3847" spans="1:12" ht="13.5" x14ac:dyDescent="0.25">
      <c r="A3847" s="1930" t="s">
        <v>4646</v>
      </c>
      <c r="B3847" s="1930" t="s">
        <v>4647</v>
      </c>
      <c r="C3847" s="1930" t="s">
        <v>4594</v>
      </c>
      <c r="D3847" s="1930" t="s">
        <v>4650</v>
      </c>
      <c r="E3847" s="1931" t="s">
        <v>33</v>
      </c>
      <c r="F3847" s="1930" t="s">
        <v>33</v>
      </c>
      <c r="G3847" s="1932">
        <v>92944</v>
      </c>
      <c r="H3847" s="1930" t="s">
        <v>5489</v>
      </c>
      <c r="I3847" s="1930" t="s">
        <v>168</v>
      </c>
      <c r="J3847" s="1930" t="s">
        <v>320</v>
      </c>
      <c r="K3847" s="1933">
        <v>25.78</v>
      </c>
      <c r="L3847" s="1930" t="s">
        <v>138</v>
      </c>
    </row>
    <row r="3848" spans="1:12" ht="13.5" x14ac:dyDescent="0.25">
      <c r="A3848" s="1930" t="s">
        <v>4646</v>
      </c>
      <c r="B3848" s="1930" t="s">
        <v>4647</v>
      </c>
      <c r="C3848" s="1930" t="s">
        <v>4594</v>
      </c>
      <c r="D3848" s="1930" t="s">
        <v>4650</v>
      </c>
      <c r="E3848" s="1931" t="s">
        <v>33</v>
      </c>
      <c r="F3848" s="1930" t="s">
        <v>33</v>
      </c>
      <c r="G3848" s="1932">
        <v>92945</v>
      </c>
      <c r="H3848" s="1930" t="s">
        <v>5490</v>
      </c>
      <c r="I3848" s="1930" t="s">
        <v>168</v>
      </c>
      <c r="J3848" s="1930" t="s">
        <v>320</v>
      </c>
      <c r="K3848" s="1933">
        <v>25.78</v>
      </c>
      <c r="L3848" s="1930" t="s">
        <v>138</v>
      </c>
    </row>
    <row r="3849" spans="1:12" ht="13.5" x14ac:dyDescent="0.25">
      <c r="A3849" s="1930" t="s">
        <v>4646</v>
      </c>
      <c r="B3849" s="1930" t="s">
        <v>4647</v>
      </c>
      <c r="C3849" s="1930" t="s">
        <v>4594</v>
      </c>
      <c r="D3849" s="1930" t="s">
        <v>4650</v>
      </c>
      <c r="E3849" s="1931" t="s">
        <v>33</v>
      </c>
      <c r="F3849" s="1930" t="s">
        <v>33</v>
      </c>
      <c r="G3849" s="1932">
        <v>92946</v>
      </c>
      <c r="H3849" s="1930" t="s">
        <v>5491</v>
      </c>
      <c r="I3849" s="1930" t="s">
        <v>168</v>
      </c>
      <c r="J3849" s="1930" t="s">
        <v>320</v>
      </c>
      <c r="K3849" s="1933">
        <v>34.89</v>
      </c>
      <c r="L3849" s="1930" t="s">
        <v>138</v>
      </c>
    </row>
    <row r="3850" spans="1:12" ht="13.5" x14ac:dyDescent="0.25">
      <c r="A3850" s="1930" t="s">
        <v>4646</v>
      </c>
      <c r="B3850" s="1930" t="s">
        <v>4647</v>
      </c>
      <c r="C3850" s="1930" t="s">
        <v>4594</v>
      </c>
      <c r="D3850" s="1930" t="s">
        <v>4650</v>
      </c>
      <c r="E3850" s="1931" t="s">
        <v>33</v>
      </c>
      <c r="F3850" s="1930" t="s">
        <v>33</v>
      </c>
      <c r="G3850" s="1932">
        <v>92947</v>
      </c>
      <c r="H3850" s="1930" t="s">
        <v>5492</v>
      </c>
      <c r="I3850" s="1930" t="s">
        <v>168</v>
      </c>
      <c r="J3850" s="1930" t="s">
        <v>320</v>
      </c>
      <c r="K3850" s="1933">
        <v>34.89</v>
      </c>
      <c r="L3850" s="1930" t="s">
        <v>138</v>
      </c>
    </row>
    <row r="3851" spans="1:12" ht="13.5" x14ac:dyDescent="0.25">
      <c r="A3851" s="1930" t="s">
        <v>4646</v>
      </c>
      <c r="B3851" s="1930" t="s">
        <v>4647</v>
      </c>
      <c r="C3851" s="1930" t="s">
        <v>4594</v>
      </c>
      <c r="D3851" s="1930" t="s">
        <v>4650</v>
      </c>
      <c r="E3851" s="1931" t="s">
        <v>33</v>
      </c>
      <c r="F3851" s="1930" t="s">
        <v>33</v>
      </c>
      <c r="G3851" s="1932">
        <v>92948</v>
      </c>
      <c r="H3851" s="1930" t="s">
        <v>2937</v>
      </c>
      <c r="I3851" s="1930" t="s">
        <v>168</v>
      </c>
      <c r="J3851" s="1930" t="s">
        <v>320</v>
      </c>
      <c r="K3851" s="1933">
        <v>34.89</v>
      </c>
      <c r="L3851" s="1930" t="s">
        <v>138</v>
      </c>
    </row>
    <row r="3852" spans="1:12" ht="13.5" x14ac:dyDescent="0.25">
      <c r="A3852" s="1930" t="s">
        <v>4646</v>
      </c>
      <c r="B3852" s="1930" t="s">
        <v>4647</v>
      </c>
      <c r="C3852" s="1930" t="s">
        <v>4594</v>
      </c>
      <c r="D3852" s="1930" t="s">
        <v>4650</v>
      </c>
      <c r="E3852" s="1931" t="s">
        <v>33</v>
      </c>
      <c r="F3852" s="1930" t="s">
        <v>33</v>
      </c>
      <c r="G3852" s="1932">
        <v>92949</v>
      </c>
      <c r="H3852" s="1930" t="s">
        <v>5493</v>
      </c>
      <c r="I3852" s="1930" t="s">
        <v>168</v>
      </c>
      <c r="J3852" s="1930" t="s">
        <v>320</v>
      </c>
      <c r="K3852" s="1933">
        <v>52.62</v>
      </c>
      <c r="L3852" s="1930" t="s">
        <v>138</v>
      </c>
    </row>
    <row r="3853" spans="1:12" ht="13.5" x14ac:dyDescent="0.25">
      <c r="A3853" s="1930" t="s">
        <v>4646</v>
      </c>
      <c r="B3853" s="1930" t="s">
        <v>4647</v>
      </c>
      <c r="C3853" s="1930" t="s">
        <v>4594</v>
      </c>
      <c r="D3853" s="1930" t="s">
        <v>4650</v>
      </c>
      <c r="E3853" s="1931" t="s">
        <v>33</v>
      </c>
      <c r="F3853" s="1930" t="s">
        <v>33</v>
      </c>
      <c r="G3853" s="1932">
        <v>92950</v>
      </c>
      <c r="H3853" s="1930" t="s">
        <v>2938</v>
      </c>
      <c r="I3853" s="1930" t="s">
        <v>168</v>
      </c>
      <c r="J3853" s="1930" t="s">
        <v>320</v>
      </c>
      <c r="K3853" s="1933">
        <v>52.62</v>
      </c>
      <c r="L3853" s="1930" t="s">
        <v>138</v>
      </c>
    </row>
    <row r="3854" spans="1:12" ht="13.5" x14ac:dyDescent="0.25">
      <c r="A3854" s="1930" t="s">
        <v>4646</v>
      </c>
      <c r="B3854" s="1930" t="s">
        <v>4647</v>
      </c>
      <c r="C3854" s="1930" t="s">
        <v>4594</v>
      </c>
      <c r="D3854" s="1930" t="s">
        <v>4650</v>
      </c>
      <c r="E3854" s="1931" t="s">
        <v>33</v>
      </c>
      <c r="F3854" s="1930" t="s">
        <v>33</v>
      </c>
      <c r="G3854" s="1932">
        <v>92951</v>
      </c>
      <c r="H3854" s="1930" t="s">
        <v>5494</v>
      </c>
      <c r="I3854" s="1930" t="s">
        <v>168</v>
      </c>
      <c r="J3854" s="1930" t="s">
        <v>320</v>
      </c>
      <c r="K3854" s="1933">
        <v>73.92</v>
      </c>
      <c r="L3854" s="1930" t="s">
        <v>138</v>
      </c>
    </row>
    <row r="3855" spans="1:12" ht="13.5" x14ac:dyDescent="0.25">
      <c r="A3855" s="1930" t="s">
        <v>4646</v>
      </c>
      <c r="B3855" s="1930" t="s">
        <v>4647</v>
      </c>
      <c r="C3855" s="1930" t="s">
        <v>4594</v>
      </c>
      <c r="D3855" s="1930" t="s">
        <v>4650</v>
      </c>
      <c r="E3855" s="1931" t="s">
        <v>33</v>
      </c>
      <c r="F3855" s="1930" t="s">
        <v>33</v>
      </c>
      <c r="G3855" s="1932">
        <v>92952</v>
      </c>
      <c r="H3855" s="1930" t="s">
        <v>2939</v>
      </c>
      <c r="I3855" s="1930" t="s">
        <v>168</v>
      </c>
      <c r="J3855" s="1930" t="s">
        <v>320</v>
      </c>
      <c r="K3855" s="1933">
        <v>73.92</v>
      </c>
      <c r="L3855" s="1930" t="s">
        <v>138</v>
      </c>
    </row>
    <row r="3856" spans="1:12" ht="13.5" x14ac:dyDescent="0.25">
      <c r="A3856" s="1930" t="s">
        <v>4646</v>
      </c>
      <c r="B3856" s="1930" t="s">
        <v>4647</v>
      </c>
      <c r="C3856" s="1930" t="s">
        <v>4594</v>
      </c>
      <c r="D3856" s="1930" t="s">
        <v>4650</v>
      </c>
      <c r="E3856" s="1931" t="s">
        <v>33</v>
      </c>
      <c r="F3856" s="1930" t="s">
        <v>33</v>
      </c>
      <c r="G3856" s="1932">
        <v>92953</v>
      </c>
      <c r="H3856" s="1930" t="s">
        <v>2940</v>
      </c>
      <c r="I3856" s="1930" t="s">
        <v>168</v>
      </c>
      <c r="J3856" s="1930" t="s">
        <v>320</v>
      </c>
      <c r="K3856" s="1933">
        <v>15.99</v>
      </c>
      <c r="L3856" s="1930" t="s">
        <v>138</v>
      </c>
    </row>
    <row r="3857" spans="1:12" ht="13.5" x14ac:dyDescent="0.25">
      <c r="A3857" s="1930" t="s">
        <v>4646</v>
      </c>
      <c r="B3857" s="1930" t="s">
        <v>4647</v>
      </c>
      <c r="C3857" s="1930" t="s">
        <v>4594</v>
      </c>
      <c r="D3857" s="1930" t="s">
        <v>4650</v>
      </c>
      <c r="E3857" s="1931" t="s">
        <v>33</v>
      </c>
      <c r="F3857" s="1930" t="s">
        <v>33</v>
      </c>
      <c r="G3857" s="1932">
        <v>93050</v>
      </c>
      <c r="H3857" s="1930" t="s">
        <v>6502</v>
      </c>
      <c r="I3857" s="1930" t="s">
        <v>168</v>
      </c>
      <c r="J3857" s="1930" t="s">
        <v>137</v>
      </c>
      <c r="K3857" s="1933">
        <v>7.71</v>
      </c>
      <c r="L3857" s="1930" t="s">
        <v>138</v>
      </c>
    </row>
    <row r="3858" spans="1:12" ht="13.5" x14ac:dyDescent="0.25">
      <c r="A3858" s="1930" t="s">
        <v>4646</v>
      </c>
      <c r="B3858" s="1930" t="s">
        <v>4647</v>
      </c>
      <c r="C3858" s="1930" t="s">
        <v>4594</v>
      </c>
      <c r="D3858" s="1930" t="s">
        <v>4650</v>
      </c>
      <c r="E3858" s="1931" t="s">
        <v>33</v>
      </c>
      <c r="F3858" s="1930" t="s">
        <v>33</v>
      </c>
      <c r="G3858" s="1932">
        <v>93051</v>
      </c>
      <c r="H3858" s="1930" t="s">
        <v>6503</v>
      </c>
      <c r="I3858" s="1930" t="s">
        <v>168</v>
      </c>
      <c r="J3858" s="1930" t="s">
        <v>137</v>
      </c>
      <c r="K3858" s="1933">
        <v>7.14</v>
      </c>
      <c r="L3858" s="1930" t="s">
        <v>138</v>
      </c>
    </row>
    <row r="3859" spans="1:12" ht="13.5" x14ac:dyDescent="0.25">
      <c r="A3859" s="1930" t="s">
        <v>4646</v>
      </c>
      <c r="B3859" s="1930" t="s">
        <v>4647</v>
      </c>
      <c r="C3859" s="1930" t="s">
        <v>4594</v>
      </c>
      <c r="D3859" s="1930" t="s">
        <v>4650</v>
      </c>
      <c r="E3859" s="1931" t="s">
        <v>33</v>
      </c>
      <c r="F3859" s="1930" t="s">
        <v>33</v>
      </c>
      <c r="G3859" s="1932">
        <v>93052</v>
      </c>
      <c r="H3859" s="1930" t="s">
        <v>6504</v>
      </c>
      <c r="I3859" s="1930" t="s">
        <v>168</v>
      </c>
      <c r="J3859" s="1930" t="s">
        <v>137</v>
      </c>
      <c r="K3859" s="1933">
        <v>329.14</v>
      </c>
      <c r="L3859" s="1930" t="s">
        <v>138</v>
      </c>
    </row>
    <row r="3860" spans="1:12" ht="13.5" x14ac:dyDescent="0.25">
      <c r="A3860" s="1930" t="s">
        <v>4646</v>
      </c>
      <c r="B3860" s="1930" t="s">
        <v>4647</v>
      </c>
      <c r="C3860" s="1930" t="s">
        <v>4594</v>
      </c>
      <c r="D3860" s="1930" t="s">
        <v>4650</v>
      </c>
      <c r="E3860" s="1931" t="s">
        <v>33</v>
      </c>
      <c r="F3860" s="1930" t="s">
        <v>33</v>
      </c>
      <c r="G3860" s="1932">
        <v>93054</v>
      </c>
      <c r="H3860" s="1930" t="s">
        <v>6505</v>
      </c>
      <c r="I3860" s="1930" t="s">
        <v>168</v>
      </c>
      <c r="J3860" s="1930" t="s">
        <v>137</v>
      </c>
      <c r="K3860" s="1933">
        <v>14.42</v>
      </c>
      <c r="L3860" s="1930" t="s">
        <v>138</v>
      </c>
    </row>
    <row r="3861" spans="1:12" ht="13.5" x14ac:dyDescent="0.25">
      <c r="A3861" s="1930" t="s">
        <v>4646</v>
      </c>
      <c r="B3861" s="1930" t="s">
        <v>4647</v>
      </c>
      <c r="C3861" s="1930" t="s">
        <v>4594</v>
      </c>
      <c r="D3861" s="1930" t="s">
        <v>4650</v>
      </c>
      <c r="E3861" s="1931" t="s">
        <v>33</v>
      </c>
      <c r="F3861" s="1930" t="s">
        <v>33</v>
      </c>
      <c r="G3861" s="1932">
        <v>93055</v>
      </c>
      <c r="H3861" s="1930" t="s">
        <v>6506</v>
      </c>
      <c r="I3861" s="1930" t="s">
        <v>168</v>
      </c>
      <c r="J3861" s="1930" t="s">
        <v>137</v>
      </c>
      <c r="K3861" s="1933">
        <v>29</v>
      </c>
      <c r="L3861" s="1930" t="s">
        <v>138</v>
      </c>
    </row>
    <row r="3862" spans="1:12" ht="13.5" x14ac:dyDescent="0.25">
      <c r="A3862" s="1930" t="s">
        <v>4646</v>
      </c>
      <c r="B3862" s="1930" t="s">
        <v>4647</v>
      </c>
      <c r="C3862" s="1930" t="s">
        <v>4594</v>
      </c>
      <c r="D3862" s="1930" t="s">
        <v>4650</v>
      </c>
      <c r="E3862" s="1931" t="s">
        <v>33</v>
      </c>
      <c r="F3862" s="1930" t="s">
        <v>33</v>
      </c>
      <c r="G3862" s="1932">
        <v>93056</v>
      </c>
      <c r="H3862" s="1930" t="s">
        <v>6507</v>
      </c>
      <c r="I3862" s="1930" t="s">
        <v>168</v>
      </c>
      <c r="J3862" s="1930" t="s">
        <v>137</v>
      </c>
      <c r="K3862" s="1933">
        <v>11.17</v>
      </c>
      <c r="L3862" s="1930" t="s">
        <v>138</v>
      </c>
    </row>
    <row r="3863" spans="1:12" ht="13.5" x14ac:dyDescent="0.25">
      <c r="A3863" s="1930" t="s">
        <v>4646</v>
      </c>
      <c r="B3863" s="1930" t="s">
        <v>4647</v>
      </c>
      <c r="C3863" s="1930" t="s">
        <v>4594</v>
      </c>
      <c r="D3863" s="1930" t="s">
        <v>4650</v>
      </c>
      <c r="E3863" s="1931" t="s">
        <v>33</v>
      </c>
      <c r="F3863" s="1930" t="s">
        <v>33</v>
      </c>
      <c r="G3863" s="1932">
        <v>93057</v>
      </c>
      <c r="H3863" s="1930" t="s">
        <v>6508</v>
      </c>
      <c r="I3863" s="1930" t="s">
        <v>168</v>
      </c>
      <c r="J3863" s="1930" t="s">
        <v>137</v>
      </c>
      <c r="K3863" s="1933">
        <v>9.81</v>
      </c>
      <c r="L3863" s="1930" t="s">
        <v>138</v>
      </c>
    </row>
    <row r="3864" spans="1:12" ht="13.5" x14ac:dyDescent="0.25">
      <c r="A3864" s="1930" t="s">
        <v>4646</v>
      </c>
      <c r="B3864" s="1930" t="s">
        <v>4647</v>
      </c>
      <c r="C3864" s="1930" t="s">
        <v>4594</v>
      </c>
      <c r="D3864" s="1930" t="s">
        <v>4650</v>
      </c>
      <c r="E3864" s="1931" t="s">
        <v>33</v>
      </c>
      <c r="F3864" s="1930" t="s">
        <v>33</v>
      </c>
      <c r="G3864" s="1932">
        <v>93058</v>
      </c>
      <c r="H3864" s="1930" t="s">
        <v>6509</v>
      </c>
      <c r="I3864" s="1930" t="s">
        <v>168</v>
      </c>
      <c r="J3864" s="1930" t="s">
        <v>137</v>
      </c>
      <c r="K3864" s="1933">
        <v>361.97</v>
      </c>
      <c r="L3864" s="1930" t="s">
        <v>138</v>
      </c>
    </row>
    <row r="3865" spans="1:12" ht="13.5" x14ac:dyDescent="0.25">
      <c r="A3865" s="1930" t="s">
        <v>4646</v>
      </c>
      <c r="B3865" s="1930" t="s">
        <v>4647</v>
      </c>
      <c r="C3865" s="1930" t="s">
        <v>4594</v>
      </c>
      <c r="D3865" s="1930" t="s">
        <v>4650</v>
      </c>
      <c r="E3865" s="1931" t="s">
        <v>33</v>
      </c>
      <c r="F3865" s="1930" t="s">
        <v>33</v>
      </c>
      <c r="G3865" s="1932">
        <v>93059</v>
      </c>
      <c r="H3865" s="1930" t="s">
        <v>6510</v>
      </c>
      <c r="I3865" s="1930" t="s">
        <v>168</v>
      </c>
      <c r="J3865" s="1930" t="s">
        <v>137</v>
      </c>
      <c r="K3865" s="1933">
        <v>19.72</v>
      </c>
      <c r="L3865" s="1930" t="s">
        <v>138</v>
      </c>
    </row>
    <row r="3866" spans="1:12" ht="13.5" x14ac:dyDescent="0.25">
      <c r="A3866" s="1930" t="s">
        <v>4646</v>
      </c>
      <c r="B3866" s="1930" t="s">
        <v>4647</v>
      </c>
      <c r="C3866" s="1930" t="s">
        <v>4594</v>
      </c>
      <c r="D3866" s="1930" t="s">
        <v>4650</v>
      </c>
      <c r="E3866" s="1931" t="s">
        <v>33</v>
      </c>
      <c r="F3866" s="1930" t="s">
        <v>33</v>
      </c>
      <c r="G3866" s="1932">
        <v>93060</v>
      </c>
      <c r="H3866" s="1930" t="s">
        <v>6511</v>
      </c>
      <c r="I3866" s="1930" t="s">
        <v>168</v>
      </c>
      <c r="J3866" s="1930" t="s">
        <v>137</v>
      </c>
      <c r="K3866" s="1933">
        <v>50.31</v>
      </c>
      <c r="L3866" s="1930" t="s">
        <v>138</v>
      </c>
    </row>
    <row r="3867" spans="1:12" ht="13.5" x14ac:dyDescent="0.25">
      <c r="A3867" s="1930" t="s">
        <v>4646</v>
      </c>
      <c r="B3867" s="1930" t="s">
        <v>4647</v>
      </c>
      <c r="C3867" s="1930" t="s">
        <v>4594</v>
      </c>
      <c r="D3867" s="1930" t="s">
        <v>4650</v>
      </c>
      <c r="E3867" s="1931" t="s">
        <v>33</v>
      </c>
      <c r="F3867" s="1930" t="s">
        <v>33</v>
      </c>
      <c r="G3867" s="1932">
        <v>93061</v>
      </c>
      <c r="H3867" s="1930" t="s">
        <v>6512</v>
      </c>
      <c r="I3867" s="1930" t="s">
        <v>168</v>
      </c>
      <c r="J3867" s="1930" t="s">
        <v>137</v>
      </c>
      <c r="K3867" s="1933">
        <v>20.62</v>
      </c>
      <c r="L3867" s="1930" t="s">
        <v>138</v>
      </c>
    </row>
    <row r="3868" spans="1:12" ht="13.5" x14ac:dyDescent="0.25">
      <c r="A3868" s="1930" t="s">
        <v>4646</v>
      </c>
      <c r="B3868" s="1930" t="s">
        <v>4647</v>
      </c>
      <c r="C3868" s="1930" t="s">
        <v>4594</v>
      </c>
      <c r="D3868" s="1930" t="s">
        <v>4650</v>
      </c>
      <c r="E3868" s="1931" t="s">
        <v>33</v>
      </c>
      <c r="F3868" s="1930" t="s">
        <v>33</v>
      </c>
      <c r="G3868" s="1932">
        <v>93062</v>
      </c>
      <c r="H3868" s="1930" t="s">
        <v>6513</v>
      </c>
      <c r="I3868" s="1930" t="s">
        <v>168</v>
      </c>
      <c r="J3868" s="1930" t="s">
        <v>137</v>
      </c>
      <c r="K3868" s="1933">
        <v>17.97</v>
      </c>
      <c r="L3868" s="1930" t="s">
        <v>138</v>
      </c>
    </row>
    <row r="3869" spans="1:12" ht="13.5" x14ac:dyDescent="0.25">
      <c r="A3869" s="1930" t="s">
        <v>4646</v>
      </c>
      <c r="B3869" s="1930" t="s">
        <v>4647</v>
      </c>
      <c r="C3869" s="1930" t="s">
        <v>4594</v>
      </c>
      <c r="D3869" s="1930" t="s">
        <v>4650</v>
      </c>
      <c r="E3869" s="1931" t="s">
        <v>33</v>
      </c>
      <c r="F3869" s="1930" t="s">
        <v>33</v>
      </c>
      <c r="G3869" s="1932">
        <v>93063</v>
      </c>
      <c r="H3869" s="1930" t="s">
        <v>6514</v>
      </c>
      <c r="I3869" s="1930" t="s">
        <v>168</v>
      </c>
      <c r="J3869" s="1930" t="s">
        <v>137</v>
      </c>
      <c r="K3869" s="1933">
        <v>414.62</v>
      </c>
      <c r="L3869" s="1930" t="s">
        <v>138</v>
      </c>
    </row>
    <row r="3870" spans="1:12" ht="13.5" x14ac:dyDescent="0.25">
      <c r="A3870" s="1930" t="s">
        <v>4646</v>
      </c>
      <c r="B3870" s="1930" t="s">
        <v>4647</v>
      </c>
      <c r="C3870" s="1930" t="s">
        <v>4594</v>
      </c>
      <c r="D3870" s="1930" t="s">
        <v>4650</v>
      </c>
      <c r="E3870" s="1931" t="s">
        <v>33</v>
      </c>
      <c r="F3870" s="1930" t="s">
        <v>33</v>
      </c>
      <c r="G3870" s="1932">
        <v>93064</v>
      </c>
      <c r="H3870" s="1930" t="s">
        <v>6515</v>
      </c>
      <c r="I3870" s="1930" t="s">
        <v>168</v>
      </c>
      <c r="J3870" s="1930" t="s">
        <v>137</v>
      </c>
      <c r="K3870" s="1933">
        <v>31.61</v>
      </c>
      <c r="L3870" s="1930" t="s">
        <v>138</v>
      </c>
    </row>
    <row r="3871" spans="1:12" ht="13.5" x14ac:dyDescent="0.25">
      <c r="A3871" s="1930" t="s">
        <v>4646</v>
      </c>
      <c r="B3871" s="1930" t="s">
        <v>4647</v>
      </c>
      <c r="C3871" s="1930" t="s">
        <v>4594</v>
      </c>
      <c r="D3871" s="1930" t="s">
        <v>4650</v>
      </c>
      <c r="E3871" s="1931" t="s">
        <v>33</v>
      </c>
      <c r="F3871" s="1930" t="s">
        <v>33</v>
      </c>
      <c r="G3871" s="1932">
        <v>93065</v>
      </c>
      <c r="H3871" s="1930" t="s">
        <v>6516</v>
      </c>
      <c r="I3871" s="1930" t="s">
        <v>168</v>
      </c>
      <c r="J3871" s="1930" t="s">
        <v>137</v>
      </c>
      <c r="K3871" s="1933">
        <v>29.65</v>
      </c>
      <c r="L3871" s="1930" t="s">
        <v>138</v>
      </c>
    </row>
    <row r="3872" spans="1:12" ht="13.5" x14ac:dyDescent="0.25">
      <c r="A3872" s="1930" t="s">
        <v>4646</v>
      </c>
      <c r="B3872" s="1930" t="s">
        <v>4647</v>
      </c>
      <c r="C3872" s="1930" t="s">
        <v>4594</v>
      </c>
      <c r="D3872" s="1930" t="s">
        <v>4650</v>
      </c>
      <c r="E3872" s="1931" t="s">
        <v>33</v>
      </c>
      <c r="F3872" s="1930" t="s">
        <v>33</v>
      </c>
      <c r="G3872" s="1932">
        <v>93066</v>
      </c>
      <c r="H3872" s="1930" t="s">
        <v>6517</v>
      </c>
      <c r="I3872" s="1930" t="s">
        <v>168</v>
      </c>
      <c r="J3872" s="1930" t="s">
        <v>137</v>
      </c>
      <c r="K3872" s="1933">
        <v>520.41</v>
      </c>
      <c r="L3872" s="1930" t="s">
        <v>138</v>
      </c>
    </row>
    <row r="3873" spans="1:12" ht="13.5" x14ac:dyDescent="0.25">
      <c r="A3873" s="1930" t="s">
        <v>4646</v>
      </c>
      <c r="B3873" s="1930" t="s">
        <v>4647</v>
      </c>
      <c r="C3873" s="1930" t="s">
        <v>4594</v>
      </c>
      <c r="D3873" s="1930" t="s">
        <v>4650</v>
      </c>
      <c r="E3873" s="1931" t="s">
        <v>33</v>
      </c>
      <c r="F3873" s="1930" t="s">
        <v>33</v>
      </c>
      <c r="G3873" s="1932">
        <v>93067</v>
      </c>
      <c r="H3873" s="1930" t="s">
        <v>6518</v>
      </c>
      <c r="I3873" s="1930" t="s">
        <v>168</v>
      </c>
      <c r="J3873" s="1930" t="s">
        <v>137</v>
      </c>
      <c r="K3873" s="1933">
        <v>46.71</v>
      </c>
      <c r="L3873" s="1930" t="s">
        <v>138</v>
      </c>
    </row>
    <row r="3874" spans="1:12" ht="13.5" x14ac:dyDescent="0.25">
      <c r="A3874" s="1930" t="s">
        <v>4646</v>
      </c>
      <c r="B3874" s="1930" t="s">
        <v>4647</v>
      </c>
      <c r="C3874" s="1930" t="s">
        <v>4594</v>
      </c>
      <c r="D3874" s="1930" t="s">
        <v>4650</v>
      </c>
      <c r="E3874" s="1931" t="s">
        <v>33</v>
      </c>
      <c r="F3874" s="1930" t="s">
        <v>33</v>
      </c>
      <c r="G3874" s="1932">
        <v>93068</v>
      </c>
      <c r="H3874" s="1930" t="s">
        <v>6519</v>
      </c>
      <c r="I3874" s="1930" t="s">
        <v>168</v>
      </c>
      <c r="J3874" s="1930" t="s">
        <v>137</v>
      </c>
      <c r="K3874" s="1933">
        <v>40.98</v>
      </c>
      <c r="L3874" s="1930" t="s">
        <v>138</v>
      </c>
    </row>
    <row r="3875" spans="1:12" ht="13.5" x14ac:dyDescent="0.25">
      <c r="A3875" s="1930" t="s">
        <v>4646</v>
      </c>
      <c r="B3875" s="1930" t="s">
        <v>4647</v>
      </c>
      <c r="C3875" s="1930" t="s">
        <v>4594</v>
      </c>
      <c r="D3875" s="1930" t="s">
        <v>4650</v>
      </c>
      <c r="E3875" s="1931" t="s">
        <v>33</v>
      </c>
      <c r="F3875" s="1930" t="s">
        <v>33</v>
      </c>
      <c r="G3875" s="1932">
        <v>93069</v>
      </c>
      <c r="H3875" s="1930" t="s">
        <v>6520</v>
      </c>
      <c r="I3875" s="1930" t="s">
        <v>168</v>
      </c>
      <c r="J3875" s="1930" t="s">
        <v>137</v>
      </c>
      <c r="K3875" s="1933">
        <v>721.13</v>
      </c>
      <c r="L3875" s="1930" t="s">
        <v>138</v>
      </c>
    </row>
    <row r="3876" spans="1:12" ht="13.5" x14ac:dyDescent="0.25">
      <c r="A3876" s="1930" t="s">
        <v>4646</v>
      </c>
      <c r="B3876" s="1930" t="s">
        <v>4647</v>
      </c>
      <c r="C3876" s="1930" t="s">
        <v>4594</v>
      </c>
      <c r="D3876" s="1930" t="s">
        <v>4650</v>
      </c>
      <c r="E3876" s="1931" t="s">
        <v>33</v>
      </c>
      <c r="F3876" s="1930" t="s">
        <v>33</v>
      </c>
      <c r="G3876" s="1932">
        <v>93070</v>
      </c>
      <c r="H3876" s="1930" t="s">
        <v>6521</v>
      </c>
      <c r="I3876" s="1930" t="s">
        <v>168</v>
      </c>
      <c r="J3876" s="1930" t="s">
        <v>137</v>
      </c>
      <c r="K3876" s="1933">
        <v>116.79</v>
      </c>
      <c r="L3876" s="1930" t="s">
        <v>138</v>
      </c>
    </row>
    <row r="3877" spans="1:12" ht="13.5" x14ac:dyDescent="0.25">
      <c r="A3877" s="1930" t="s">
        <v>4646</v>
      </c>
      <c r="B3877" s="1930" t="s">
        <v>4647</v>
      </c>
      <c r="C3877" s="1930" t="s">
        <v>4594</v>
      </c>
      <c r="D3877" s="1930" t="s">
        <v>4650</v>
      </c>
      <c r="E3877" s="1931" t="s">
        <v>33</v>
      </c>
      <c r="F3877" s="1930" t="s">
        <v>33</v>
      </c>
      <c r="G3877" s="1932">
        <v>93071</v>
      </c>
      <c r="H3877" s="1930" t="s">
        <v>6522</v>
      </c>
      <c r="I3877" s="1930" t="s">
        <v>168</v>
      </c>
      <c r="J3877" s="1930" t="s">
        <v>137</v>
      </c>
      <c r="K3877" s="1933">
        <v>108.52</v>
      </c>
      <c r="L3877" s="1930" t="s">
        <v>138</v>
      </c>
    </row>
    <row r="3878" spans="1:12" ht="13.5" x14ac:dyDescent="0.25">
      <c r="A3878" s="1930" t="s">
        <v>4646</v>
      </c>
      <c r="B3878" s="1930" t="s">
        <v>4647</v>
      </c>
      <c r="C3878" s="1930" t="s">
        <v>4594</v>
      </c>
      <c r="D3878" s="1930" t="s">
        <v>4650</v>
      </c>
      <c r="E3878" s="1931" t="s">
        <v>33</v>
      </c>
      <c r="F3878" s="1930" t="s">
        <v>33</v>
      </c>
      <c r="G3878" s="1932">
        <v>93072</v>
      </c>
      <c r="H3878" s="1930" t="s">
        <v>6523</v>
      </c>
      <c r="I3878" s="1930" t="s">
        <v>168</v>
      </c>
      <c r="J3878" s="1930" t="s">
        <v>137</v>
      </c>
      <c r="K3878" s="1933">
        <v>951.34</v>
      </c>
      <c r="L3878" s="1930" t="s">
        <v>138</v>
      </c>
    </row>
    <row r="3879" spans="1:12" ht="13.5" x14ac:dyDescent="0.25">
      <c r="A3879" s="1930" t="s">
        <v>4646</v>
      </c>
      <c r="B3879" s="1930" t="s">
        <v>4647</v>
      </c>
      <c r="C3879" s="1930" t="s">
        <v>4594</v>
      </c>
      <c r="D3879" s="1930" t="s">
        <v>4650</v>
      </c>
      <c r="E3879" s="1931" t="s">
        <v>33</v>
      </c>
      <c r="F3879" s="1930" t="s">
        <v>33</v>
      </c>
      <c r="G3879" s="1932">
        <v>93073</v>
      </c>
      <c r="H3879" s="1930" t="s">
        <v>6524</v>
      </c>
      <c r="I3879" s="1930" t="s">
        <v>168</v>
      </c>
      <c r="J3879" s="1930" t="s">
        <v>137</v>
      </c>
      <c r="K3879" s="1933">
        <v>53.1</v>
      </c>
      <c r="L3879" s="1930" t="s">
        <v>138</v>
      </c>
    </row>
    <row r="3880" spans="1:12" ht="13.5" x14ac:dyDescent="0.25">
      <c r="A3880" s="1930" t="s">
        <v>4646</v>
      </c>
      <c r="B3880" s="1930" t="s">
        <v>4647</v>
      </c>
      <c r="C3880" s="1930" t="s">
        <v>4594</v>
      </c>
      <c r="D3880" s="1930" t="s">
        <v>4650</v>
      </c>
      <c r="E3880" s="1931" t="s">
        <v>33</v>
      </c>
      <c r="F3880" s="1930" t="s">
        <v>33</v>
      </c>
      <c r="G3880" s="1932">
        <v>93074</v>
      </c>
      <c r="H3880" s="1930" t="s">
        <v>6525</v>
      </c>
      <c r="I3880" s="1930" t="s">
        <v>168</v>
      </c>
      <c r="J3880" s="1930" t="s">
        <v>137</v>
      </c>
      <c r="K3880" s="1933">
        <v>8.76</v>
      </c>
      <c r="L3880" s="1930" t="s">
        <v>138</v>
      </c>
    </row>
    <row r="3881" spans="1:12" ht="13.5" x14ac:dyDescent="0.25">
      <c r="A3881" s="1930" t="s">
        <v>4646</v>
      </c>
      <c r="B3881" s="1930" t="s">
        <v>4647</v>
      </c>
      <c r="C3881" s="1930" t="s">
        <v>4594</v>
      </c>
      <c r="D3881" s="1930" t="s">
        <v>4650</v>
      </c>
      <c r="E3881" s="1931" t="s">
        <v>33</v>
      </c>
      <c r="F3881" s="1930" t="s">
        <v>33</v>
      </c>
      <c r="G3881" s="1932">
        <v>93075</v>
      </c>
      <c r="H3881" s="1930" t="s">
        <v>6526</v>
      </c>
      <c r="I3881" s="1930" t="s">
        <v>168</v>
      </c>
      <c r="J3881" s="1930" t="s">
        <v>137</v>
      </c>
      <c r="K3881" s="1933">
        <v>14.22</v>
      </c>
      <c r="L3881" s="1930" t="s">
        <v>138</v>
      </c>
    </row>
    <row r="3882" spans="1:12" ht="13.5" x14ac:dyDescent="0.25">
      <c r="A3882" s="1930" t="s">
        <v>4646</v>
      </c>
      <c r="B3882" s="1930" t="s">
        <v>4647</v>
      </c>
      <c r="C3882" s="1930" t="s">
        <v>4594</v>
      </c>
      <c r="D3882" s="1930" t="s">
        <v>4650</v>
      </c>
      <c r="E3882" s="1931" t="s">
        <v>33</v>
      </c>
      <c r="F3882" s="1930" t="s">
        <v>33</v>
      </c>
      <c r="G3882" s="1932">
        <v>93076</v>
      </c>
      <c r="H3882" s="1930" t="s">
        <v>6527</v>
      </c>
      <c r="I3882" s="1930" t="s">
        <v>168</v>
      </c>
      <c r="J3882" s="1930" t="s">
        <v>137</v>
      </c>
      <c r="K3882" s="1933">
        <v>13.89</v>
      </c>
      <c r="L3882" s="1930" t="s">
        <v>138</v>
      </c>
    </row>
    <row r="3883" spans="1:12" ht="13.5" x14ac:dyDescent="0.25">
      <c r="A3883" s="1930" t="s">
        <v>4646</v>
      </c>
      <c r="B3883" s="1930" t="s">
        <v>4647</v>
      </c>
      <c r="C3883" s="1930" t="s">
        <v>4594</v>
      </c>
      <c r="D3883" s="1930" t="s">
        <v>4650</v>
      </c>
      <c r="E3883" s="1931" t="s">
        <v>33</v>
      </c>
      <c r="F3883" s="1930" t="s">
        <v>33</v>
      </c>
      <c r="G3883" s="1932">
        <v>93077</v>
      </c>
      <c r="H3883" s="1930" t="s">
        <v>6528</v>
      </c>
      <c r="I3883" s="1930" t="s">
        <v>168</v>
      </c>
      <c r="J3883" s="1930" t="s">
        <v>137</v>
      </c>
      <c r="K3883" s="1933">
        <v>20.02</v>
      </c>
      <c r="L3883" s="1930" t="s">
        <v>138</v>
      </c>
    </row>
    <row r="3884" spans="1:12" ht="13.5" x14ac:dyDescent="0.25">
      <c r="A3884" s="1930" t="s">
        <v>4646</v>
      </c>
      <c r="B3884" s="1930" t="s">
        <v>4647</v>
      </c>
      <c r="C3884" s="1930" t="s">
        <v>4594</v>
      </c>
      <c r="D3884" s="1930" t="s">
        <v>4650</v>
      </c>
      <c r="E3884" s="1931" t="s">
        <v>33</v>
      </c>
      <c r="F3884" s="1930" t="s">
        <v>33</v>
      </c>
      <c r="G3884" s="1932">
        <v>93078</v>
      </c>
      <c r="H3884" s="1930" t="s">
        <v>6529</v>
      </c>
      <c r="I3884" s="1930" t="s">
        <v>168</v>
      </c>
      <c r="J3884" s="1930" t="s">
        <v>137</v>
      </c>
      <c r="K3884" s="1933">
        <v>21.63</v>
      </c>
      <c r="L3884" s="1930" t="s">
        <v>138</v>
      </c>
    </row>
    <row r="3885" spans="1:12" ht="13.5" x14ac:dyDescent="0.25">
      <c r="A3885" s="1930" t="s">
        <v>4646</v>
      </c>
      <c r="B3885" s="1930" t="s">
        <v>4647</v>
      </c>
      <c r="C3885" s="1930" t="s">
        <v>4594</v>
      </c>
      <c r="D3885" s="1930" t="s">
        <v>4650</v>
      </c>
      <c r="E3885" s="1931" t="s">
        <v>33</v>
      </c>
      <c r="F3885" s="1930" t="s">
        <v>33</v>
      </c>
      <c r="G3885" s="1932">
        <v>93079</v>
      </c>
      <c r="H3885" s="1930" t="s">
        <v>6530</v>
      </c>
      <c r="I3885" s="1930" t="s">
        <v>168</v>
      </c>
      <c r="J3885" s="1930" t="s">
        <v>137</v>
      </c>
      <c r="K3885" s="1933">
        <v>19.23</v>
      </c>
      <c r="L3885" s="1930" t="s">
        <v>138</v>
      </c>
    </row>
    <row r="3886" spans="1:12" ht="13.5" x14ac:dyDescent="0.25">
      <c r="A3886" s="1930" t="s">
        <v>4646</v>
      </c>
      <c r="B3886" s="1930" t="s">
        <v>4647</v>
      </c>
      <c r="C3886" s="1930" t="s">
        <v>4594</v>
      </c>
      <c r="D3886" s="1930" t="s">
        <v>4650</v>
      </c>
      <c r="E3886" s="1931" t="s">
        <v>33</v>
      </c>
      <c r="F3886" s="1930" t="s">
        <v>33</v>
      </c>
      <c r="G3886" s="1932">
        <v>93080</v>
      </c>
      <c r="H3886" s="1930" t="s">
        <v>6531</v>
      </c>
      <c r="I3886" s="1930" t="s">
        <v>168</v>
      </c>
      <c r="J3886" s="1930" t="s">
        <v>137</v>
      </c>
      <c r="K3886" s="1933">
        <v>5.73</v>
      </c>
      <c r="L3886" s="1930" t="s">
        <v>138</v>
      </c>
    </row>
    <row r="3887" spans="1:12" ht="13.5" x14ac:dyDescent="0.25">
      <c r="A3887" s="1930" t="s">
        <v>4646</v>
      </c>
      <c r="B3887" s="1930" t="s">
        <v>4647</v>
      </c>
      <c r="C3887" s="1930" t="s">
        <v>4594</v>
      </c>
      <c r="D3887" s="1930" t="s">
        <v>4650</v>
      </c>
      <c r="E3887" s="1931" t="s">
        <v>33</v>
      </c>
      <c r="F3887" s="1930" t="s">
        <v>33</v>
      </c>
      <c r="G3887" s="1932">
        <v>93081</v>
      </c>
      <c r="H3887" s="1930" t="s">
        <v>6532</v>
      </c>
      <c r="I3887" s="1930" t="s">
        <v>168</v>
      </c>
      <c r="J3887" s="1930" t="s">
        <v>137</v>
      </c>
      <c r="K3887" s="1933">
        <v>12.65</v>
      </c>
      <c r="L3887" s="1930" t="s">
        <v>138</v>
      </c>
    </row>
    <row r="3888" spans="1:12" ht="13.5" x14ac:dyDescent="0.25">
      <c r="A3888" s="1930" t="s">
        <v>4646</v>
      </c>
      <c r="B3888" s="1930" t="s">
        <v>4647</v>
      </c>
      <c r="C3888" s="1930" t="s">
        <v>4594</v>
      </c>
      <c r="D3888" s="1930" t="s">
        <v>4650</v>
      </c>
      <c r="E3888" s="1931" t="s">
        <v>33</v>
      </c>
      <c r="F3888" s="1930" t="s">
        <v>33</v>
      </c>
      <c r="G3888" s="1932">
        <v>93082</v>
      </c>
      <c r="H3888" s="1930" t="s">
        <v>6533</v>
      </c>
      <c r="I3888" s="1930" t="s">
        <v>168</v>
      </c>
      <c r="J3888" s="1930" t="s">
        <v>137</v>
      </c>
      <c r="K3888" s="1933">
        <v>15.41</v>
      </c>
      <c r="L3888" s="1930" t="s">
        <v>138</v>
      </c>
    </row>
    <row r="3889" spans="1:12" ht="13.5" x14ac:dyDescent="0.25">
      <c r="A3889" s="1930" t="s">
        <v>4646</v>
      </c>
      <c r="B3889" s="1930" t="s">
        <v>4647</v>
      </c>
      <c r="C3889" s="1930" t="s">
        <v>4594</v>
      </c>
      <c r="D3889" s="1930" t="s">
        <v>4650</v>
      </c>
      <c r="E3889" s="1931" t="s">
        <v>33</v>
      </c>
      <c r="F3889" s="1930" t="s">
        <v>33</v>
      </c>
      <c r="G3889" s="1932">
        <v>93083</v>
      </c>
      <c r="H3889" s="1930" t="s">
        <v>6534</v>
      </c>
      <c r="I3889" s="1930" t="s">
        <v>168</v>
      </c>
      <c r="J3889" s="1930" t="s">
        <v>137</v>
      </c>
      <c r="K3889" s="1933">
        <v>284.72000000000003</v>
      </c>
      <c r="L3889" s="1930" t="s">
        <v>138</v>
      </c>
    </row>
    <row r="3890" spans="1:12" ht="13.5" x14ac:dyDescent="0.25">
      <c r="A3890" s="1930" t="s">
        <v>4646</v>
      </c>
      <c r="B3890" s="1930" t="s">
        <v>4647</v>
      </c>
      <c r="C3890" s="1930" t="s">
        <v>4594</v>
      </c>
      <c r="D3890" s="1930" t="s">
        <v>4650</v>
      </c>
      <c r="E3890" s="1931" t="s">
        <v>33</v>
      </c>
      <c r="F3890" s="1930" t="s">
        <v>33</v>
      </c>
      <c r="G3890" s="1932">
        <v>93084</v>
      </c>
      <c r="H3890" s="1930" t="s">
        <v>6535</v>
      </c>
      <c r="I3890" s="1930" t="s">
        <v>168</v>
      </c>
      <c r="J3890" s="1930" t="s">
        <v>137</v>
      </c>
      <c r="K3890" s="1933">
        <v>9.1999999999999993</v>
      </c>
      <c r="L3890" s="1930" t="s">
        <v>138</v>
      </c>
    </row>
    <row r="3891" spans="1:12" ht="13.5" x14ac:dyDescent="0.25">
      <c r="A3891" s="1930" t="s">
        <v>4646</v>
      </c>
      <c r="B3891" s="1930" t="s">
        <v>4647</v>
      </c>
      <c r="C3891" s="1930" t="s">
        <v>4594</v>
      </c>
      <c r="D3891" s="1930" t="s">
        <v>4650</v>
      </c>
      <c r="E3891" s="1931" t="s">
        <v>33</v>
      </c>
      <c r="F3891" s="1930" t="s">
        <v>33</v>
      </c>
      <c r="G3891" s="1932">
        <v>93085</v>
      </c>
      <c r="H3891" s="1930" t="s">
        <v>6536</v>
      </c>
      <c r="I3891" s="1930" t="s">
        <v>168</v>
      </c>
      <c r="J3891" s="1930" t="s">
        <v>137</v>
      </c>
      <c r="K3891" s="1933">
        <v>8.6300000000000008</v>
      </c>
      <c r="L3891" s="1930" t="s">
        <v>138</v>
      </c>
    </row>
    <row r="3892" spans="1:12" ht="13.5" x14ac:dyDescent="0.25">
      <c r="A3892" s="1930" t="s">
        <v>4646</v>
      </c>
      <c r="B3892" s="1930" t="s">
        <v>4647</v>
      </c>
      <c r="C3892" s="1930" t="s">
        <v>4594</v>
      </c>
      <c r="D3892" s="1930" t="s">
        <v>4650</v>
      </c>
      <c r="E3892" s="1931" t="s">
        <v>33</v>
      </c>
      <c r="F3892" s="1930" t="s">
        <v>33</v>
      </c>
      <c r="G3892" s="1932">
        <v>93086</v>
      </c>
      <c r="H3892" s="1930" t="s">
        <v>6537</v>
      </c>
      <c r="I3892" s="1930" t="s">
        <v>168</v>
      </c>
      <c r="J3892" s="1930" t="s">
        <v>137</v>
      </c>
      <c r="K3892" s="1933">
        <v>330.63</v>
      </c>
      <c r="L3892" s="1930" t="s">
        <v>138</v>
      </c>
    </row>
    <row r="3893" spans="1:12" ht="13.5" x14ac:dyDescent="0.25">
      <c r="A3893" s="1930" t="s">
        <v>4646</v>
      </c>
      <c r="B3893" s="1930" t="s">
        <v>4647</v>
      </c>
      <c r="C3893" s="1930" t="s">
        <v>4594</v>
      </c>
      <c r="D3893" s="1930" t="s">
        <v>4650</v>
      </c>
      <c r="E3893" s="1931" t="s">
        <v>33</v>
      </c>
      <c r="F3893" s="1930" t="s">
        <v>33</v>
      </c>
      <c r="G3893" s="1932">
        <v>93087</v>
      </c>
      <c r="H3893" s="1930" t="s">
        <v>6538</v>
      </c>
      <c r="I3893" s="1930" t="s">
        <v>168</v>
      </c>
      <c r="J3893" s="1930" t="s">
        <v>137</v>
      </c>
      <c r="K3893" s="1933">
        <v>13.77</v>
      </c>
      <c r="L3893" s="1930" t="s">
        <v>138</v>
      </c>
    </row>
    <row r="3894" spans="1:12" ht="13.5" x14ac:dyDescent="0.25">
      <c r="A3894" s="1930" t="s">
        <v>4646</v>
      </c>
      <c r="B3894" s="1930" t="s">
        <v>4647</v>
      </c>
      <c r="C3894" s="1930" t="s">
        <v>4594</v>
      </c>
      <c r="D3894" s="1930" t="s">
        <v>4650</v>
      </c>
      <c r="E3894" s="1931" t="s">
        <v>33</v>
      </c>
      <c r="F3894" s="1930" t="s">
        <v>33</v>
      </c>
      <c r="G3894" s="1932">
        <v>93088</v>
      </c>
      <c r="H3894" s="1930" t="s">
        <v>6539</v>
      </c>
      <c r="I3894" s="1930" t="s">
        <v>168</v>
      </c>
      <c r="J3894" s="1930" t="s">
        <v>137</v>
      </c>
      <c r="K3894" s="1933">
        <v>16.04</v>
      </c>
      <c r="L3894" s="1930" t="s">
        <v>138</v>
      </c>
    </row>
    <row r="3895" spans="1:12" ht="13.5" x14ac:dyDescent="0.25">
      <c r="A3895" s="1930" t="s">
        <v>4646</v>
      </c>
      <c r="B3895" s="1930" t="s">
        <v>4647</v>
      </c>
      <c r="C3895" s="1930" t="s">
        <v>4594</v>
      </c>
      <c r="D3895" s="1930" t="s">
        <v>4650</v>
      </c>
      <c r="E3895" s="1931" t="s">
        <v>33</v>
      </c>
      <c r="F3895" s="1930" t="s">
        <v>33</v>
      </c>
      <c r="G3895" s="1932">
        <v>93089</v>
      </c>
      <c r="H3895" s="1930" t="s">
        <v>6540</v>
      </c>
      <c r="I3895" s="1930" t="s">
        <v>168</v>
      </c>
      <c r="J3895" s="1930" t="s">
        <v>137</v>
      </c>
      <c r="K3895" s="1933">
        <v>30.49</v>
      </c>
      <c r="L3895" s="1930" t="s">
        <v>138</v>
      </c>
    </row>
    <row r="3896" spans="1:12" ht="13.5" x14ac:dyDescent="0.25">
      <c r="A3896" s="1930" t="s">
        <v>4646</v>
      </c>
      <c r="B3896" s="1930" t="s">
        <v>4647</v>
      </c>
      <c r="C3896" s="1930" t="s">
        <v>4594</v>
      </c>
      <c r="D3896" s="1930" t="s">
        <v>4650</v>
      </c>
      <c r="E3896" s="1931" t="s">
        <v>33</v>
      </c>
      <c r="F3896" s="1930" t="s">
        <v>33</v>
      </c>
      <c r="G3896" s="1932">
        <v>93090</v>
      </c>
      <c r="H3896" s="1930" t="s">
        <v>6541</v>
      </c>
      <c r="I3896" s="1930" t="s">
        <v>168</v>
      </c>
      <c r="J3896" s="1930" t="s">
        <v>137</v>
      </c>
      <c r="K3896" s="1933">
        <v>12.66</v>
      </c>
      <c r="L3896" s="1930" t="s">
        <v>138</v>
      </c>
    </row>
    <row r="3897" spans="1:12" ht="13.5" x14ac:dyDescent="0.25">
      <c r="A3897" s="1930" t="s">
        <v>4646</v>
      </c>
      <c r="B3897" s="1930" t="s">
        <v>4647</v>
      </c>
      <c r="C3897" s="1930" t="s">
        <v>4594</v>
      </c>
      <c r="D3897" s="1930" t="s">
        <v>4650</v>
      </c>
      <c r="E3897" s="1931" t="s">
        <v>33</v>
      </c>
      <c r="F3897" s="1930" t="s">
        <v>33</v>
      </c>
      <c r="G3897" s="1932">
        <v>93091</v>
      </c>
      <c r="H3897" s="1930" t="s">
        <v>6542</v>
      </c>
      <c r="I3897" s="1930" t="s">
        <v>168</v>
      </c>
      <c r="J3897" s="1930" t="s">
        <v>137</v>
      </c>
      <c r="K3897" s="1933">
        <v>11.3</v>
      </c>
      <c r="L3897" s="1930" t="s">
        <v>138</v>
      </c>
    </row>
    <row r="3898" spans="1:12" ht="13.5" x14ac:dyDescent="0.25">
      <c r="A3898" s="1930" t="s">
        <v>4646</v>
      </c>
      <c r="B3898" s="1930" t="s">
        <v>4647</v>
      </c>
      <c r="C3898" s="1930" t="s">
        <v>4594</v>
      </c>
      <c r="D3898" s="1930" t="s">
        <v>4650</v>
      </c>
      <c r="E3898" s="1931" t="s">
        <v>33</v>
      </c>
      <c r="F3898" s="1930" t="s">
        <v>33</v>
      </c>
      <c r="G3898" s="1932">
        <v>93092</v>
      </c>
      <c r="H3898" s="1930" t="s">
        <v>6543</v>
      </c>
      <c r="I3898" s="1930" t="s">
        <v>168</v>
      </c>
      <c r="J3898" s="1930" t="s">
        <v>137</v>
      </c>
      <c r="K3898" s="1933">
        <v>363.46</v>
      </c>
      <c r="L3898" s="1930" t="s">
        <v>138</v>
      </c>
    </row>
    <row r="3899" spans="1:12" ht="13.5" x14ac:dyDescent="0.25">
      <c r="A3899" s="1930" t="s">
        <v>4646</v>
      </c>
      <c r="B3899" s="1930" t="s">
        <v>4647</v>
      </c>
      <c r="C3899" s="1930" t="s">
        <v>4594</v>
      </c>
      <c r="D3899" s="1930" t="s">
        <v>4650</v>
      </c>
      <c r="E3899" s="1931" t="s">
        <v>33</v>
      </c>
      <c r="F3899" s="1930" t="s">
        <v>33</v>
      </c>
      <c r="G3899" s="1932">
        <v>93093</v>
      </c>
      <c r="H3899" s="1930" t="s">
        <v>6544</v>
      </c>
      <c r="I3899" s="1930" t="s">
        <v>168</v>
      </c>
      <c r="J3899" s="1930" t="s">
        <v>137</v>
      </c>
      <c r="K3899" s="1933">
        <v>21.21</v>
      </c>
      <c r="L3899" s="1930" t="s">
        <v>138</v>
      </c>
    </row>
    <row r="3900" spans="1:12" ht="13.5" x14ac:dyDescent="0.25">
      <c r="A3900" s="1930" t="s">
        <v>4646</v>
      </c>
      <c r="B3900" s="1930" t="s">
        <v>4647</v>
      </c>
      <c r="C3900" s="1930" t="s">
        <v>4594</v>
      </c>
      <c r="D3900" s="1930" t="s">
        <v>4650</v>
      </c>
      <c r="E3900" s="1931" t="s">
        <v>33</v>
      </c>
      <c r="F3900" s="1930" t="s">
        <v>33</v>
      </c>
      <c r="G3900" s="1932">
        <v>93094</v>
      </c>
      <c r="H3900" s="1930" t="s">
        <v>6545</v>
      </c>
      <c r="I3900" s="1930" t="s">
        <v>168</v>
      </c>
      <c r="J3900" s="1930" t="s">
        <v>137</v>
      </c>
      <c r="K3900" s="1933">
        <v>51.8</v>
      </c>
      <c r="L3900" s="1930" t="s">
        <v>138</v>
      </c>
    </row>
    <row r="3901" spans="1:12" ht="13.5" x14ac:dyDescent="0.25">
      <c r="A3901" s="1930" t="s">
        <v>4646</v>
      </c>
      <c r="B3901" s="1930" t="s">
        <v>4647</v>
      </c>
      <c r="C3901" s="1930" t="s">
        <v>4594</v>
      </c>
      <c r="D3901" s="1930" t="s">
        <v>4650</v>
      </c>
      <c r="E3901" s="1931" t="s">
        <v>33</v>
      </c>
      <c r="F3901" s="1930" t="s">
        <v>33</v>
      </c>
      <c r="G3901" s="1932">
        <v>93095</v>
      </c>
      <c r="H3901" s="1930" t="s">
        <v>6546</v>
      </c>
      <c r="I3901" s="1930" t="s">
        <v>168</v>
      </c>
      <c r="J3901" s="1930" t="s">
        <v>137</v>
      </c>
      <c r="K3901" s="1933">
        <v>39.479999999999997</v>
      </c>
      <c r="L3901" s="1930" t="s">
        <v>138</v>
      </c>
    </row>
    <row r="3902" spans="1:12" ht="13.5" x14ac:dyDescent="0.25">
      <c r="A3902" s="1930" t="s">
        <v>4646</v>
      </c>
      <c r="B3902" s="1930" t="s">
        <v>4647</v>
      </c>
      <c r="C3902" s="1930" t="s">
        <v>4594</v>
      </c>
      <c r="D3902" s="1930" t="s">
        <v>4650</v>
      </c>
      <c r="E3902" s="1931" t="s">
        <v>33</v>
      </c>
      <c r="F3902" s="1930" t="s">
        <v>33</v>
      </c>
      <c r="G3902" s="1932">
        <v>93096</v>
      </c>
      <c r="H3902" s="1930" t="s">
        <v>6547</v>
      </c>
      <c r="I3902" s="1930" t="s">
        <v>168</v>
      </c>
      <c r="J3902" s="1930" t="s">
        <v>137</v>
      </c>
      <c r="K3902" s="1933">
        <v>56.06</v>
      </c>
      <c r="L3902" s="1930" t="s">
        <v>138</v>
      </c>
    </row>
    <row r="3903" spans="1:12" ht="13.5" x14ac:dyDescent="0.25">
      <c r="A3903" s="1930" t="s">
        <v>4646</v>
      </c>
      <c r="B3903" s="1930" t="s">
        <v>4647</v>
      </c>
      <c r="C3903" s="1930" t="s">
        <v>4594</v>
      </c>
      <c r="D3903" s="1930" t="s">
        <v>4650</v>
      </c>
      <c r="E3903" s="1931" t="s">
        <v>33</v>
      </c>
      <c r="F3903" s="1930" t="s">
        <v>33</v>
      </c>
      <c r="G3903" s="1932">
        <v>93097</v>
      </c>
      <c r="H3903" s="1930" t="s">
        <v>6548</v>
      </c>
      <c r="I3903" s="1930" t="s">
        <v>168</v>
      </c>
      <c r="J3903" s="1930" t="s">
        <v>137</v>
      </c>
      <c r="K3903" s="1933">
        <v>8.94</v>
      </c>
      <c r="L3903" s="1930" t="s">
        <v>138</v>
      </c>
    </row>
    <row r="3904" spans="1:12" ht="13.5" x14ac:dyDescent="0.25">
      <c r="A3904" s="1930" t="s">
        <v>4646</v>
      </c>
      <c r="B3904" s="1930" t="s">
        <v>4647</v>
      </c>
      <c r="C3904" s="1930" t="s">
        <v>4594</v>
      </c>
      <c r="D3904" s="1930" t="s">
        <v>4650</v>
      </c>
      <c r="E3904" s="1931" t="s">
        <v>33</v>
      </c>
      <c r="F3904" s="1930" t="s">
        <v>33</v>
      </c>
      <c r="G3904" s="1932">
        <v>93098</v>
      </c>
      <c r="H3904" s="1930" t="s">
        <v>6549</v>
      </c>
      <c r="I3904" s="1930" t="s">
        <v>168</v>
      </c>
      <c r="J3904" s="1930" t="s">
        <v>137</v>
      </c>
      <c r="K3904" s="1933">
        <v>14.4</v>
      </c>
      <c r="L3904" s="1930" t="s">
        <v>138</v>
      </c>
    </row>
    <row r="3905" spans="1:12" ht="13.5" x14ac:dyDescent="0.25">
      <c r="A3905" s="1930" t="s">
        <v>4646</v>
      </c>
      <c r="B3905" s="1930" t="s">
        <v>4647</v>
      </c>
      <c r="C3905" s="1930" t="s">
        <v>4594</v>
      </c>
      <c r="D3905" s="1930" t="s">
        <v>4650</v>
      </c>
      <c r="E3905" s="1931" t="s">
        <v>33</v>
      </c>
      <c r="F3905" s="1930" t="s">
        <v>33</v>
      </c>
      <c r="G3905" s="1932">
        <v>93099</v>
      </c>
      <c r="H3905" s="1930" t="s">
        <v>6550</v>
      </c>
      <c r="I3905" s="1930" t="s">
        <v>168</v>
      </c>
      <c r="J3905" s="1930" t="s">
        <v>137</v>
      </c>
      <c r="K3905" s="1933">
        <v>15.95</v>
      </c>
      <c r="L3905" s="1930" t="s">
        <v>138</v>
      </c>
    </row>
    <row r="3906" spans="1:12" ht="13.5" x14ac:dyDescent="0.25">
      <c r="A3906" s="1930" t="s">
        <v>4646</v>
      </c>
      <c r="B3906" s="1930" t="s">
        <v>4647</v>
      </c>
      <c r="C3906" s="1930" t="s">
        <v>4594</v>
      </c>
      <c r="D3906" s="1930" t="s">
        <v>4650</v>
      </c>
      <c r="E3906" s="1931" t="s">
        <v>33</v>
      </c>
      <c r="F3906" s="1930" t="s">
        <v>33</v>
      </c>
      <c r="G3906" s="1932">
        <v>93100</v>
      </c>
      <c r="H3906" s="1930" t="s">
        <v>6551</v>
      </c>
      <c r="I3906" s="1930" t="s">
        <v>168</v>
      </c>
      <c r="J3906" s="1930" t="s">
        <v>137</v>
      </c>
      <c r="K3906" s="1933">
        <v>22.08</v>
      </c>
      <c r="L3906" s="1930" t="s">
        <v>138</v>
      </c>
    </row>
    <row r="3907" spans="1:12" ht="13.5" x14ac:dyDescent="0.25">
      <c r="A3907" s="1930" t="s">
        <v>4646</v>
      </c>
      <c r="B3907" s="1930" t="s">
        <v>4647</v>
      </c>
      <c r="C3907" s="1930" t="s">
        <v>4594</v>
      </c>
      <c r="D3907" s="1930" t="s">
        <v>4650</v>
      </c>
      <c r="E3907" s="1931" t="s">
        <v>33</v>
      </c>
      <c r="F3907" s="1930" t="s">
        <v>33</v>
      </c>
      <c r="G3907" s="1932">
        <v>93101</v>
      </c>
      <c r="H3907" s="1930" t="s">
        <v>6552</v>
      </c>
      <c r="I3907" s="1930" t="s">
        <v>168</v>
      </c>
      <c r="J3907" s="1930" t="s">
        <v>137</v>
      </c>
      <c r="K3907" s="1933">
        <v>23.69</v>
      </c>
      <c r="L3907" s="1930" t="s">
        <v>138</v>
      </c>
    </row>
    <row r="3908" spans="1:12" ht="13.5" x14ac:dyDescent="0.25">
      <c r="A3908" s="1930" t="s">
        <v>4646</v>
      </c>
      <c r="B3908" s="1930" t="s">
        <v>4647</v>
      </c>
      <c r="C3908" s="1930" t="s">
        <v>4594</v>
      </c>
      <c r="D3908" s="1930" t="s">
        <v>4650</v>
      </c>
      <c r="E3908" s="1931" t="s">
        <v>33</v>
      </c>
      <c r="F3908" s="1930" t="s">
        <v>33</v>
      </c>
      <c r="G3908" s="1932">
        <v>93102</v>
      </c>
      <c r="H3908" s="1930" t="s">
        <v>6553</v>
      </c>
      <c r="I3908" s="1930" t="s">
        <v>168</v>
      </c>
      <c r="J3908" s="1930" t="s">
        <v>137</v>
      </c>
      <c r="K3908" s="1933">
        <v>21.08</v>
      </c>
      <c r="L3908" s="1930" t="s">
        <v>138</v>
      </c>
    </row>
    <row r="3909" spans="1:12" ht="13.5" x14ac:dyDescent="0.25">
      <c r="A3909" s="1930" t="s">
        <v>4646</v>
      </c>
      <c r="B3909" s="1930" t="s">
        <v>4647</v>
      </c>
      <c r="C3909" s="1930" t="s">
        <v>4594</v>
      </c>
      <c r="D3909" s="1930" t="s">
        <v>4650</v>
      </c>
      <c r="E3909" s="1931" t="s">
        <v>33</v>
      </c>
      <c r="F3909" s="1930" t="s">
        <v>33</v>
      </c>
      <c r="G3909" s="1932">
        <v>93103</v>
      </c>
      <c r="H3909" s="1930" t="s">
        <v>6554</v>
      </c>
      <c r="I3909" s="1930" t="s">
        <v>168</v>
      </c>
      <c r="J3909" s="1930" t="s">
        <v>137</v>
      </c>
      <c r="K3909" s="1933">
        <v>5.88</v>
      </c>
      <c r="L3909" s="1930" t="s">
        <v>138</v>
      </c>
    </row>
    <row r="3910" spans="1:12" ht="13.5" x14ac:dyDescent="0.25">
      <c r="A3910" s="1930" t="s">
        <v>4646</v>
      </c>
      <c r="B3910" s="1930" t="s">
        <v>4647</v>
      </c>
      <c r="C3910" s="1930" t="s">
        <v>4594</v>
      </c>
      <c r="D3910" s="1930" t="s">
        <v>4650</v>
      </c>
      <c r="E3910" s="1931" t="s">
        <v>33</v>
      </c>
      <c r="F3910" s="1930" t="s">
        <v>33</v>
      </c>
      <c r="G3910" s="1932">
        <v>93104</v>
      </c>
      <c r="H3910" s="1930" t="s">
        <v>6555</v>
      </c>
      <c r="I3910" s="1930" t="s">
        <v>168</v>
      </c>
      <c r="J3910" s="1930" t="s">
        <v>137</v>
      </c>
      <c r="K3910" s="1933">
        <v>12.8</v>
      </c>
      <c r="L3910" s="1930" t="s">
        <v>138</v>
      </c>
    </row>
    <row r="3911" spans="1:12" ht="13.5" x14ac:dyDescent="0.25">
      <c r="A3911" s="1930" t="s">
        <v>4646</v>
      </c>
      <c r="B3911" s="1930" t="s">
        <v>4647</v>
      </c>
      <c r="C3911" s="1930" t="s">
        <v>4594</v>
      </c>
      <c r="D3911" s="1930" t="s">
        <v>4650</v>
      </c>
      <c r="E3911" s="1931" t="s">
        <v>33</v>
      </c>
      <c r="F3911" s="1930" t="s">
        <v>33</v>
      </c>
      <c r="G3911" s="1932">
        <v>93105</v>
      </c>
      <c r="H3911" s="1930" t="s">
        <v>6556</v>
      </c>
      <c r="I3911" s="1930" t="s">
        <v>168</v>
      </c>
      <c r="J3911" s="1930" t="s">
        <v>137</v>
      </c>
      <c r="K3911" s="1933">
        <v>15.56</v>
      </c>
      <c r="L3911" s="1930" t="s">
        <v>138</v>
      </c>
    </row>
    <row r="3912" spans="1:12" ht="13.5" x14ac:dyDescent="0.25">
      <c r="A3912" s="1930" t="s">
        <v>4646</v>
      </c>
      <c r="B3912" s="1930" t="s">
        <v>4647</v>
      </c>
      <c r="C3912" s="1930" t="s">
        <v>4594</v>
      </c>
      <c r="D3912" s="1930" t="s">
        <v>4650</v>
      </c>
      <c r="E3912" s="1931" t="s">
        <v>33</v>
      </c>
      <c r="F3912" s="1930" t="s">
        <v>33</v>
      </c>
      <c r="G3912" s="1932">
        <v>93106</v>
      </c>
      <c r="H3912" s="1930" t="s">
        <v>6557</v>
      </c>
      <c r="I3912" s="1930" t="s">
        <v>168</v>
      </c>
      <c r="J3912" s="1930" t="s">
        <v>137</v>
      </c>
      <c r="K3912" s="1933">
        <v>284.87</v>
      </c>
      <c r="L3912" s="1930" t="s">
        <v>138</v>
      </c>
    </row>
    <row r="3913" spans="1:12" ht="13.5" x14ac:dyDescent="0.25">
      <c r="A3913" s="1930" t="s">
        <v>4646</v>
      </c>
      <c r="B3913" s="1930" t="s">
        <v>4647</v>
      </c>
      <c r="C3913" s="1930" t="s">
        <v>4594</v>
      </c>
      <c r="D3913" s="1930" t="s">
        <v>4650</v>
      </c>
      <c r="E3913" s="1931" t="s">
        <v>33</v>
      </c>
      <c r="F3913" s="1930" t="s">
        <v>33</v>
      </c>
      <c r="G3913" s="1932">
        <v>93107</v>
      </c>
      <c r="H3913" s="1930" t="s">
        <v>6558</v>
      </c>
      <c r="I3913" s="1930" t="s">
        <v>168</v>
      </c>
      <c r="J3913" s="1930" t="s">
        <v>137</v>
      </c>
      <c r="K3913" s="1933">
        <v>10.55</v>
      </c>
      <c r="L3913" s="1930" t="s">
        <v>138</v>
      </c>
    </row>
    <row r="3914" spans="1:12" ht="13.5" x14ac:dyDescent="0.25">
      <c r="A3914" s="1930" t="s">
        <v>4646</v>
      </c>
      <c r="B3914" s="1930" t="s">
        <v>4647</v>
      </c>
      <c r="C3914" s="1930" t="s">
        <v>4594</v>
      </c>
      <c r="D3914" s="1930" t="s">
        <v>4650</v>
      </c>
      <c r="E3914" s="1931" t="s">
        <v>33</v>
      </c>
      <c r="F3914" s="1930" t="s">
        <v>33</v>
      </c>
      <c r="G3914" s="1932">
        <v>93108</v>
      </c>
      <c r="H3914" s="1930" t="s">
        <v>6559</v>
      </c>
      <c r="I3914" s="1930" t="s">
        <v>168</v>
      </c>
      <c r="J3914" s="1930" t="s">
        <v>137</v>
      </c>
      <c r="K3914" s="1933">
        <v>9.98</v>
      </c>
      <c r="L3914" s="1930" t="s">
        <v>138</v>
      </c>
    </row>
    <row r="3915" spans="1:12" ht="13.5" x14ac:dyDescent="0.25">
      <c r="A3915" s="1930" t="s">
        <v>4646</v>
      </c>
      <c r="B3915" s="1930" t="s">
        <v>4647</v>
      </c>
      <c r="C3915" s="1930" t="s">
        <v>4594</v>
      </c>
      <c r="D3915" s="1930" t="s">
        <v>4650</v>
      </c>
      <c r="E3915" s="1931" t="s">
        <v>33</v>
      </c>
      <c r="F3915" s="1930" t="s">
        <v>33</v>
      </c>
      <c r="G3915" s="1932">
        <v>93109</v>
      </c>
      <c r="H3915" s="1930" t="s">
        <v>6560</v>
      </c>
      <c r="I3915" s="1930" t="s">
        <v>168</v>
      </c>
      <c r="J3915" s="1930" t="s">
        <v>137</v>
      </c>
      <c r="K3915" s="1933">
        <v>331.98</v>
      </c>
      <c r="L3915" s="1930" t="s">
        <v>138</v>
      </c>
    </row>
    <row r="3916" spans="1:12" ht="13.5" x14ac:dyDescent="0.25">
      <c r="A3916" s="1930" t="s">
        <v>4646</v>
      </c>
      <c r="B3916" s="1930" t="s">
        <v>4647</v>
      </c>
      <c r="C3916" s="1930" t="s">
        <v>4594</v>
      </c>
      <c r="D3916" s="1930" t="s">
        <v>4650</v>
      </c>
      <c r="E3916" s="1931" t="s">
        <v>33</v>
      </c>
      <c r="F3916" s="1930" t="s">
        <v>33</v>
      </c>
      <c r="G3916" s="1932">
        <v>93110</v>
      </c>
      <c r="H3916" s="1930" t="s">
        <v>6561</v>
      </c>
      <c r="I3916" s="1930" t="s">
        <v>168</v>
      </c>
      <c r="J3916" s="1930" t="s">
        <v>137</v>
      </c>
      <c r="K3916" s="1933">
        <v>15.12</v>
      </c>
      <c r="L3916" s="1930" t="s">
        <v>138</v>
      </c>
    </row>
    <row r="3917" spans="1:12" ht="13.5" x14ac:dyDescent="0.25">
      <c r="A3917" s="1930" t="s">
        <v>4646</v>
      </c>
      <c r="B3917" s="1930" t="s">
        <v>4647</v>
      </c>
      <c r="C3917" s="1930" t="s">
        <v>4594</v>
      </c>
      <c r="D3917" s="1930" t="s">
        <v>4650</v>
      </c>
      <c r="E3917" s="1931" t="s">
        <v>33</v>
      </c>
      <c r="F3917" s="1930" t="s">
        <v>33</v>
      </c>
      <c r="G3917" s="1932">
        <v>93111</v>
      </c>
      <c r="H3917" s="1930" t="s">
        <v>6562</v>
      </c>
      <c r="I3917" s="1930" t="s">
        <v>168</v>
      </c>
      <c r="J3917" s="1930" t="s">
        <v>137</v>
      </c>
      <c r="K3917" s="1933">
        <v>17.260000000000002</v>
      </c>
      <c r="L3917" s="1930" t="s">
        <v>138</v>
      </c>
    </row>
    <row r="3918" spans="1:12" ht="13.5" x14ac:dyDescent="0.25">
      <c r="A3918" s="1930" t="s">
        <v>4646</v>
      </c>
      <c r="B3918" s="1930" t="s">
        <v>4647</v>
      </c>
      <c r="C3918" s="1930" t="s">
        <v>4594</v>
      </c>
      <c r="D3918" s="1930" t="s">
        <v>4650</v>
      </c>
      <c r="E3918" s="1931" t="s">
        <v>33</v>
      </c>
      <c r="F3918" s="1930" t="s">
        <v>33</v>
      </c>
      <c r="G3918" s="1932">
        <v>93112</v>
      </c>
      <c r="H3918" s="1930" t="s">
        <v>6563</v>
      </c>
      <c r="I3918" s="1930" t="s">
        <v>168</v>
      </c>
      <c r="J3918" s="1930" t="s">
        <v>137</v>
      </c>
      <c r="K3918" s="1933">
        <v>31.84</v>
      </c>
      <c r="L3918" s="1930" t="s">
        <v>138</v>
      </c>
    </row>
    <row r="3919" spans="1:12" ht="13.5" x14ac:dyDescent="0.25">
      <c r="A3919" s="1930" t="s">
        <v>4646</v>
      </c>
      <c r="B3919" s="1930" t="s">
        <v>4647</v>
      </c>
      <c r="C3919" s="1930" t="s">
        <v>4594</v>
      </c>
      <c r="D3919" s="1930" t="s">
        <v>4650</v>
      </c>
      <c r="E3919" s="1931" t="s">
        <v>33</v>
      </c>
      <c r="F3919" s="1930" t="s">
        <v>33</v>
      </c>
      <c r="G3919" s="1932">
        <v>93113</v>
      </c>
      <c r="H3919" s="1930" t="s">
        <v>6564</v>
      </c>
      <c r="I3919" s="1930" t="s">
        <v>168</v>
      </c>
      <c r="J3919" s="1930" t="s">
        <v>137</v>
      </c>
      <c r="K3919" s="1933">
        <v>15.09</v>
      </c>
      <c r="L3919" s="1930" t="s">
        <v>138</v>
      </c>
    </row>
    <row r="3920" spans="1:12" ht="13.5" x14ac:dyDescent="0.25">
      <c r="A3920" s="1930" t="s">
        <v>4646</v>
      </c>
      <c r="B3920" s="1930" t="s">
        <v>4647</v>
      </c>
      <c r="C3920" s="1930" t="s">
        <v>4594</v>
      </c>
      <c r="D3920" s="1930" t="s">
        <v>4650</v>
      </c>
      <c r="E3920" s="1931" t="s">
        <v>33</v>
      </c>
      <c r="F3920" s="1930" t="s">
        <v>33</v>
      </c>
      <c r="G3920" s="1932">
        <v>93114</v>
      </c>
      <c r="H3920" s="1930" t="s">
        <v>6565</v>
      </c>
      <c r="I3920" s="1930" t="s">
        <v>168</v>
      </c>
      <c r="J3920" s="1930" t="s">
        <v>137</v>
      </c>
      <c r="K3920" s="1933">
        <v>23.64</v>
      </c>
      <c r="L3920" s="1930" t="s">
        <v>138</v>
      </c>
    </row>
    <row r="3921" spans="1:12" ht="13.5" x14ac:dyDescent="0.25">
      <c r="A3921" s="1930" t="s">
        <v>4646</v>
      </c>
      <c r="B3921" s="1930" t="s">
        <v>4647</v>
      </c>
      <c r="C3921" s="1930" t="s">
        <v>4594</v>
      </c>
      <c r="D3921" s="1930" t="s">
        <v>4650</v>
      </c>
      <c r="E3921" s="1931" t="s">
        <v>33</v>
      </c>
      <c r="F3921" s="1930" t="s">
        <v>33</v>
      </c>
      <c r="G3921" s="1932">
        <v>93115</v>
      </c>
      <c r="H3921" s="1930" t="s">
        <v>6566</v>
      </c>
      <c r="I3921" s="1930" t="s">
        <v>168</v>
      </c>
      <c r="J3921" s="1930" t="s">
        <v>137</v>
      </c>
      <c r="K3921" s="1933">
        <v>54.23</v>
      </c>
      <c r="L3921" s="1930" t="s">
        <v>138</v>
      </c>
    </row>
    <row r="3922" spans="1:12" ht="13.5" x14ac:dyDescent="0.25">
      <c r="A3922" s="1930" t="s">
        <v>4646</v>
      </c>
      <c r="B3922" s="1930" t="s">
        <v>4647</v>
      </c>
      <c r="C3922" s="1930" t="s">
        <v>4594</v>
      </c>
      <c r="D3922" s="1930" t="s">
        <v>4650</v>
      </c>
      <c r="E3922" s="1931" t="s">
        <v>33</v>
      </c>
      <c r="F3922" s="1930" t="s">
        <v>33</v>
      </c>
      <c r="G3922" s="1932">
        <v>93116</v>
      </c>
      <c r="H3922" s="1930" t="s">
        <v>6567</v>
      </c>
      <c r="I3922" s="1930" t="s">
        <v>168</v>
      </c>
      <c r="J3922" s="1930" t="s">
        <v>137</v>
      </c>
      <c r="K3922" s="1933">
        <v>365.89</v>
      </c>
      <c r="L3922" s="1930" t="s">
        <v>138</v>
      </c>
    </row>
    <row r="3923" spans="1:12" ht="13.5" x14ac:dyDescent="0.25">
      <c r="A3923" s="1930" t="s">
        <v>4646</v>
      </c>
      <c r="B3923" s="1930" t="s">
        <v>4647</v>
      </c>
      <c r="C3923" s="1930" t="s">
        <v>4594</v>
      </c>
      <c r="D3923" s="1930" t="s">
        <v>4650</v>
      </c>
      <c r="E3923" s="1931" t="s">
        <v>33</v>
      </c>
      <c r="F3923" s="1930" t="s">
        <v>33</v>
      </c>
      <c r="G3923" s="1932">
        <v>93117</v>
      </c>
      <c r="H3923" s="1930" t="s">
        <v>6568</v>
      </c>
      <c r="I3923" s="1930" t="s">
        <v>168</v>
      </c>
      <c r="J3923" s="1930" t="s">
        <v>137</v>
      </c>
      <c r="K3923" s="1933">
        <v>39.69</v>
      </c>
      <c r="L3923" s="1930" t="s">
        <v>138</v>
      </c>
    </row>
    <row r="3924" spans="1:12" ht="13.5" x14ac:dyDescent="0.25">
      <c r="A3924" s="1930" t="s">
        <v>4646</v>
      </c>
      <c r="B3924" s="1930" t="s">
        <v>4647</v>
      </c>
      <c r="C3924" s="1930" t="s">
        <v>4594</v>
      </c>
      <c r="D3924" s="1930" t="s">
        <v>4650</v>
      </c>
      <c r="E3924" s="1931" t="s">
        <v>33</v>
      </c>
      <c r="F3924" s="1930" t="s">
        <v>33</v>
      </c>
      <c r="G3924" s="1932">
        <v>93118</v>
      </c>
      <c r="H3924" s="1930" t="s">
        <v>6569</v>
      </c>
      <c r="I3924" s="1930" t="s">
        <v>168</v>
      </c>
      <c r="J3924" s="1930" t="s">
        <v>137</v>
      </c>
      <c r="K3924" s="1933">
        <v>58.75</v>
      </c>
      <c r="L3924" s="1930" t="s">
        <v>138</v>
      </c>
    </row>
    <row r="3925" spans="1:12" ht="13.5" x14ac:dyDescent="0.25">
      <c r="A3925" s="1930" t="s">
        <v>4646</v>
      </c>
      <c r="B3925" s="1930" t="s">
        <v>4647</v>
      </c>
      <c r="C3925" s="1930" t="s">
        <v>4594</v>
      </c>
      <c r="D3925" s="1930" t="s">
        <v>4650</v>
      </c>
      <c r="E3925" s="1931" t="s">
        <v>33</v>
      </c>
      <c r="F3925" s="1930" t="s">
        <v>33</v>
      </c>
      <c r="G3925" s="1932">
        <v>93119</v>
      </c>
      <c r="H3925" s="1930" t="s">
        <v>6570</v>
      </c>
      <c r="I3925" s="1930" t="s">
        <v>168</v>
      </c>
      <c r="J3925" s="1930" t="s">
        <v>137</v>
      </c>
      <c r="K3925" s="1933">
        <v>11.7</v>
      </c>
      <c r="L3925" s="1930" t="s">
        <v>138</v>
      </c>
    </row>
    <row r="3926" spans="1:12" ht="13.5" x14ac:dyDescent="0.25">
      <c r="A3926" s="1930" t="s">
        <v>4646</v>
      </c>
      <c r="B3926" s="1930" t="s">
        <v>4647</v>
      </c>
      <c r="C3926" s="1930" t="s">
        <v>4594</v>
      </c>
      <c r="D3926" s="1930" t="s">
        <v>4650</v>
      </c>
      <c r="E3926" s="1931" t="s">
        <v>33</v>
      </c>
      <c r="F3926" s="1930" t="s">
        <v>33</v>
      </c>
      <c r="G3926" s="1932">
        <v>93120</v>
      </c>
      <c r="H3926" s="1930" t="s">
        <v>6571</v>
      </c>
      <c r="I3926" s="1930" t="s">
        <v>168</v>
      </c>
      <c r="J3926" s="1930" t="s">
        <v>137</v>
      </c>
      <c r="K3926" s="1933">
        <v>17.829999999999998</v>
      </c>
      <c r="L3926" s="1930" t="s">
        <v>138</v>
      </c>
    </row>
    <row r="3927" spans="1:12" ht="13.5" x14ac:dyDescent="0.25">
      <c r="A3927" s="1930" t="s">
        <v>4646</v>
      </c>
      <c r="B3927" s="1930" t="s">
        <v>4647</v>
      </c>
      <c r="C3927" s="1930" t="s">
        <v>4594</v>
      </c>
      <c r="D3927" s="1930" t="s">
        <v>4650</v>
      </c>
      <c r="E3927" s="1931" t="s">
        <v>33</v>
      </c>
      <c r="F3927" s="1930" t="s">
        <v>33</v>
      </c>
      <c r="G3927" s="1932">
        <v>93121</v>
      </c>
      <c r="H3927" s="1930" t="s">
        <v>6572</v>
      </c>
      <c r="I3927" s="1930" t="s">
        <v>168</v>
      </c>
      <c r="J3927" s="1930" t="s">
        <v>137</v>
      </c>
      <c r="K3927" s="1933">
        <v>19.440000000000001</v>
      </c>
      <c r="L3927" s="1930" t="s">
        <v>138</v>
      </c>
    </row>
    <row r="3928" spans="1:12" ht="13.5" x14ac:dyDescent="0.25">
      <c r="A3928" s="1930" t="s">
        <v>4646</v>
      </c>
      <c r="B3928" s="1930" t="s">
        <v>4647</v>
      </c>
      <c r="C3928" s="1930" t="s">
        <v>4594</v>
      </c>
      <c r="D3928" s="1930" t="s">
        <v>4650</v>
      </c>
      <c r="E3928" s="1931" t="s">
        <v>33</v>
      </c>
      <c r="F3928" s="1930" t="s">
        <v>33</v>
      </c>
      <c r="G3928" s="1932">
        <v>93122</v>
      </c>
      <c r="H3928" s="1930" t="s">
        <v>6573</v>
      </c>
      <c r="I3928" s="1930" t="s">
        <v>168</v>
      </c>
      <c r="J3928" s="1930" t="s">
        <v>137</v>
      </c>
      <c r="K3928" s="1933">
        <v>17.03</v>
      </c>
      <c r="L3928" s="1930" t="s">
        <v>138</v>
      </c>
    </row>
    <row r="3929" spans="1:12" ht="13.5" x14ac:dyDescent="0.25">
      <c r="A3929" s="1930" t="s">
        <v>4646</v>
      </c>
      <c r="B3929" s="1930" t="s">
        <v>4647</v>
      </c>
      <c r="C3929" s="1930" t="s">
        <v>4594</v>
      </c>
      <c r="D3929" s="1930" t="s">
        <v>4650</v>
      </c>
      <c r="E3929" s="1931" t="s">
        <v>33</v>
      </c>
      <c r="F3929" s="1930" t="s">
        <v>33</v>
      </c>
      <c r="G3929" s="1932">
        <v>93123</v>
      </c>
      <c r="H3929" s="1930" t="s">
        <v>6574</v>
      </c>
      <c r="I3929" s="1930" t="s">
        <v>168</v>
      </c>
      <c r="J3929" s="1930" t="s">
        <v>137</v>
      </c>
      <c r="K3929" s="1933">
        <v>37.020000000000003</v>
      </c>
      <c r="L3929" s="1930" t="s">
        <v>138</v>
      </c>
    </row>
    <row r="3930" spans="1:12" ht="13.5" x14ac:dyDescent="0.25">
      <c r="A3930" s="1930" t="s">
        <v>4646</v>
      </c>
      <c r="B3930" s="1930" t="s">
        <v>4647</v>
      </c>
      <c r="C3930" s="1930" t="s">
        <v>4594</v>
      </c>
      <c r="D3930" s="1930" t="s">
        <v>4650</v>
      </c>
      <c r="E3930" s="1931" t="s">
        <v>33</v>
      </c>
      <c r="F3930" s="1930" t="s">
        <v>33</v>
      </c>
      <c r="G3930" s="1932">
        <v>93124</v>
      </c>
      <c r="H3930" s="1930" t="s">
        <v>6575</v>
      </c>
      <c r="I3930" s="1930" t="s">
        <v>168</v>
      </c>
      <c r="J3930" s="1930" t="s">
        <v>137</v>
      </c>
      <c r="K3930" s="1933">
        <v>57.94</v>
      </c>
      <c r="L3930" s="1930" t="s">
        <v>138</v>
      </c>
    </row>
    <row r="3931" spans="1:12" ht="13.5" x14ac:dyDescent="0.25">
      <c r="A3931" s="1930" t="s">
        <v>4646</v>
      </c>
      <c r="B3931" s="1930" t="s">
        <v>4647</v>
      </c>
      <c r="C3931" s="1930" t="s">
        <v>4594</v>
      </c>
      <c r="D3931" s="1930" t="s">
        <v>4650</v>
      </c>
      <c r="E3931" s="1931" t="s">
        <v>33</v>
      </c>
      <c r="F3931" s="1930" t="s">
        <v>33</v>
      </c>
      <c r="G3931" s="1932">
        <v>93125</v>
      </c>
      <c r="H3931" s="1930" t="s">
        <v>6576</v>
      </c>
      <c r="I3931" s="1930" t="s">
        <v>168</v>
      </c>
      <c r="J3931" s="1930" t="s">
        <v>137</v>
      </c>
      <c r="K3931" s="1933">
        <v>84.15</v>
      </c>
      <c r="L3931" s="1930" t="s">
        <v>138</v>
      </c>
    </row>
    <row r="3932" spans="1:12" ht="13.5" x14ac:dyDescent="0.25">
      <c r="A3932" s="1930" t="s">
        <v>4646</v>
      </c>
      <c r="B3932" s="1930" t="s">
        <v>4647</v>
      </c>
      <c r="C3932" s="1930" t="s">
        <v>4594</v>
      </c>
      <c r="D3932" s="1930" t="s">
        <v>4650</v>
      </c>
      <c r="E3932" s="1931" t="s">
        <v>33</v>
      </c>
      <c r="F3932" s="1930" t="s">
        <v>33</v>
      </c>
      <c r="G3932" s="1932">
        <v>93126</v>
      </c>
      <c r="H3932" s="1930" t="s">
        <v>6577</v>
      </c>
      <c r="I3932" s="1930" t="s">
        <v>168</v>
      </c>
      <c r="J3932" s="1930" t="s">
        <v>137</v>
      </c>
      <c r="K3932" s="1933">
        <v>185.59</v>
      </c>
      <c r="L3932" s="1930" t="s">
        <v>138</v>
      </c>
    </row>
    <row r="3933" spans="1:12" ht="13.5" x14ac:dyDescent="0.25">
      <c r="A3933" s="1930" t="s">
        <v>4646</v>
      </c>
      <c r="B3933" s="1930" t="s">
        <v>4647</v>
      </c>
      <c r="C3933" s="1930" t="s">
        <v>4594</v>
      </c>
      <c r="D3933" s="1930" t="s">
        <v>4650</v>
      </c>
      <c r="E3933" s="1931" t="s">
        <v>33</v>
      </c>
      <c r="F3933" s="1930" t="s">
        <v>33</v>
      </c>
      <c r="G3933" s="1932">
        <v>93133</v>
      </c>
      <c r="H3933" s="1930" t="s">
        <v>6578</v>
      </c>
      <c r="I3933" s="1930" t="s">
        <v>168</v>
      </c>
      <c r="J3933" s="1930" t="s">
        <v>137</v>
      </c>
      <c r="K3933" s="1933">
        <v>13.73</v>
      </c>
      <c r="L3933" s="1930" t="s">
        <v>138</v>
      </c>
    </row>
    <row r="3934" spans="1:12" ht="13.5" x14ac:dyDescent="0.25">
      <c r="A3934" s="1930" t="s">
        <v>4646</v>
      </c>
      <c r="B3934" s="1930" t="s">
        <v>4647</v>
      </c>
      <c r="C3934" s="1930" t="s">
        <v>4594</v>
      </c>
      <c r="D3934" s="1930" t="s">
        <v>4650</v>
      </c>
      <c r="E3934" s="1931" t="s">
        <v>33</v>
      </c>
      <c r="F3934" s="1930" t="s">
        <v>33</v>
      </c>
      <c r="G3934" s="1932">
        <v>94465</v>
      </c>
      <c r="H3934" s="1930" t="s">
        <v>2941</v>
      </c>
      <c r="I3934" s="1930" t="s">
        <v>168</v>
      </c>
      <c r="J3934" s="1930" t="s">
        <v>320</v>
      </c>
      <c r="K3934" s="1933">
        <v>32.21</v>
      </c>
      <c r="L3934" s="1930" t="s">
        <v>138</v>
      </c>
    </row>
    <row r="3935" spans="1:12" ht="13.5" x14ac:dyDescent="0.25">
      <c r="A3935" s="1930" t="s">
        <v>4646</v>
      </c>
      <c r="B3935" s="1930" t="s">
        <v>4647</v>
      </c>
      <c r="C3935" s="1930" t="s">
        <v>4594</v>
      </c>
      <c r="D3935" s="1930" t="s">
        <v>4650</v>
      </c>
      <c r="E3935" s="1931" t="s">
        <v>33</v>
      </c>
      <c r="F3935" s="1930" t="s">
        <v>33</v>
      </c>
      <c r="G3935" s="1932">
        <v>94466</v>
      </c>
      <c r="H3935" s="1930" t="s">
        <v>2942</v>
      </c>
      <c r="I3935" s="1930" t="s">
        <v>168</v>
      </c>
      <c r="J3935" s="1930" t="s">
        <v>320</v>
      </c>
      <c r="K3935" s="1933">
        <v>32.22</v>
      </c>
      <c r="L3935" s="1930" t="s">
        <v>138</v>
      </c>
    </row>
    <row r="3936" spans="1:12" ht="13.5" x14ac:dyDescent="0.25">
      <c r="A3936" s="1930" t="s">
        <v>4646</v>
      </c>
      <c r="B3936" s="1930" t="s">
        <v>4647</v>
      </c>
      <c r="C3936" s="1930" t="s">
        <v>4594</v>
      </c>
      <c r="D3936" s="1930" t="s">
        <v>4650</v>
      </c>
      <c r="E3936" s="1931" t="s">
        <v>33</v>
      </c>
      <c r="F3936" s="1930" t="s">
        <v>33</v>
      </c>
      <c r="G3936" s="1932">
        <v>94467</v>
      </c>
      <c r="H3936" s="1930" t="s">
        <v>2943</v>
      </c>
      <c r="I3936" s="1930" t="s">
        <v>168</v>
      </c>
      <c r="J3936" s="1930" t="s">
        <v>320</v>
      </c>
      <c r="K3936" s="1933">
        <v>48.29</v>
      </c>
      <c r="L3936" s="1930" t="s">
        <v>138</v>
      </c>
    </row>
    <row r="3937" spans="1:12" ht="13.5" x14ac:dyDescent="0.25">
      <c r="A3937" s="1930" t="s">
        <v>4646</v>
      </c>
      <c r="B3937" s="1930" t="s">
        <v>4647</v>
      </c>
      <c r="C3937" s="1930" t="s">
        <v>4594</v>
      </c>
      <c r="D3937" s="1930" t="s">
        <v>4650</v>
      </c>
      <c r="E3937" s="1931" t="s">
        <v>33</v>
      </c>
      <c r="F3937" s="1930" t="s">
        <v>33</v>
      </c>
      <c r="G3937" s="1932">
        <v>94468</v>
      </c>
      <c r="H3937" s="1930" t="s">
        <v>2944</v>
      </c>
      <c r="I3937" s="1930" t="s">
        <v>168</v>
      </c>
      <c r="J3937" s="1930" t="s">
        <v>320</v>
      </c>
      <c r="K3937" s="1933">
        <v>42.58</v>
      </c>
      <c r="L3937" s="1930" t="s">
        <v>138</v>
      </c>
    </row>
    <row r="3938" spans="1:12" ht="13.5" x14ac:dyDescent="0.25">
      <c r="A3938" s="1930" t="s">
        <v>4646</v>
      </c>
      <c r="B3938" s="1930" t="s">
        <v>4647</v>
      </c>
      <c r="C3938" s="1930" t="s">
        <v>4594</v>
      </c>
      <c r="D3938" s="1930" t="s">
        <v>4650</v>
      </c>
      <c r="E3938" s="1931" t="s">
        <v>33</v>
      </c>
      <c r="F3938" s="1930" t="s">
        <v>33</v>
      </c>
      <c r="G3938" s="1932">
        <v>94469</v>
      </c>
      <c r="H3938" s="1930" t="s">
        <v>2945</v>
      </c>
      <c r="I3938" s="1930" t="s">
        <v>168</v>
      </c>
      <c r="J3938" s="1930" t="s">
        <v>320</v>
      </c>
      <c r="K3938" s="1933">
        <v>69.61</v>
      </c>
      <c r="L3938" s="1930" t="s">
        <v>138</v>
      </c>
    </row>
    <row r="3939" spans="1:12" ht="13.5" x14ac:dyDescent="0.25">
      <c r="A3939" s="1930" t="s">
        <v>4646</v>
      </c>
      <c r="B3939" s="1930" t="s">
        <v>4647</v>
      </c>
      <c r="C3939" s="1930" t="s">
        <v>4594</v>
      </c>
      <c r="D3939" s="1930" t="s">
        <v>4650</v>
      </c>
      <c r="E3939" s="1931" t="s">
        <v>33</v>
      </c>
      <c r="F3939" s="1930" t="s">
        <v>33</v>
      </c>
      <c r="G3939" s="1932">
        <v>94470</v>
      </c>
      <c r="H3939" s="1930" t="s">
        <v>2946</v>
      </c>
      <c r="I3939" s="1930" t="s">
        <v>168</v>
      </c>
      <c r="J3939" s="1930" t="s">
        <v>320</v>
      </c>
      <c r="K3939" s="1933">
        <v>64.53</v>
      </c>
      <c r="L3939" s="1930" t="s">
        <v>138</v>
      </c>
    </row>
    <row r="3940" spans="1:12" ht="13.5" x14ac:dyDescent="0.25">
      <c r="A3940" s="1930" t="s">
        <v>4646</v>
      </c>
      <c r="B3940" s="1930" t="s">
        <v>4647</v>
      </c>
      <c r="C3940" s="1930" t="s">
        <v>4594</v>
      </c>
      <c r="D3940" s="1930" t="s">
        <v>4650</v>
      </c>
      <c r="E3940" s="1931" t="s">
        <v>33</v>
      </c>
      <c r="F3940" s="1930" t="s">
        <v>33</v>
      </c>
      <c r="G3940" s="1932">
        <v>94471</v>
      </c>
      <c r="H3940" s="1930" t="s">
        <v>2947</v>
      </c>
      <c r="I3940" s="1930" t="s">
        <v>168</v>
      </c>
      <c r="J3940" s="1930" t="s">
        <v>320</v>
      </c>
      <c r="K3940" s="1933">
        <v>46.54</v>
      </c>
      <c r="L3940" s="1930" t="s">
        <v>138</v>
      </c>
    </row>
    <row r="3941" spans="1:12" ht="13.5" x14ac:dyDescent="0.25">
      <c r="A3941" s="1930" t="s">
        <v>4646</v>
      </c>
      <c r="B3941" s="1930" t="s">
        <v>4647</v>
      </c>
      <c r="C3941" s="1930" t="s">
        <v>4594</v>
      </c>
      <c r="D3941" s="1930" t="s">
        <v>4650</v>
      </c>
      <c r="E3941" s="1931" t="s">
        <v>33</v>
      </c>
      <c r="F3941" s="1930" t="s">
        <v>33</v>
      </c>
      <c r="G3941" s="1932">
        <v>94472</v>
      </c>
      <c r="H3941" s="1930" t="s">
        <v>2948</v>
      </c>
      <c r="I3941" s="1930" t="s">
        <v>168</v>
      </c>
      <c r="J3941" s="1930" t="s">
        <v>320</v>
      </c>
      <c r="K3941" s="1933">
        <v>47.81</v>
      </c>
      <c r="L3941" s="1930" t="s">
        <v>138</v>
      </c>
    </row>
    <row r="3942" spans="1:12" ht="13.5" x14ac:dyDescent="0.25">
      <c r="A3942" s="1930" t="s">
        <v>4646</v>
      </c>
      <c r="B3942" s="1930" t="s">
        <v>4647</v>
      </c>
      <c r="C3942" s="1930" t="s">
        <v>4594</v>
      </c>
      <c r="D3942" s="1930" t="s">
        <v>4650</v>
      </c>
      <c r="E3942" s="1931" t="s">
        <v>33</v>
      </c>
      <c r="F3942" s="1930" t="s">
        <v>33</v>
      </c>
      <c r="G3942" s="1932">
        <v>94473</v>
      </c>
      <c r="H3942" s="1930" t="s">
        <v>2949</v>
      </c>
      <c r="I3942" s="1930" t="s">
        <v>168</v>
      </c>
      <c r="J3942" s="1930" t="s">
        <v>320</v>
      </c>
      <c r="K3942" s="1933">
        <v>69.28</v>
      </c>
      <c r="L3942" s="1930" t="s">
        <v>138</v>
      </c>
    </row>
    <row r="3943" spans="1:12" ht="13.5" x14ac:dyDescent="0.25">
      <c r="A3943" s="1930" t="s">
        <v>4646</v>
      </c>
      <c r="B3943" s="1930" t="s">
        <v>4647</v>
      </c>
      <c r="C3943" s="1930" t="s">
        <v>4594</v>
      </c>
      <c r="D3943" s="1930" t="s">
        <v>4650</v>
      </c>
      <c r="E3943" s="1931" t="s">
        <v>33</v>
      </c>
      <c r="F3943" s="1930" t="s">
        <v>33</v>
      </c>
      <c r="G3943" s="1932">
        <v>94474</v>
      </c>
      <c r="H3943" s="1930" t="s">
        <v>2950</v>
      </c>
      <c r="I3943" s="1930" t="s">
        <v>168</v>
      </c>
      <c r="J3943" s="1930" t="s">
        <v>320</v>
      </c>
      <c r="K3943" s="1933">
        <v>74.86</v>
      </c>
      <c r="L3943" s="1930" t="s">
        <v>138</v>
      </c>
    </row>
    <row r="3944" spans="1:12" ht="13.5" x14ac:dyDescent="0.25">
      <c r="A3944" s="1930" t="s">
        <v>4646</v>
      </c>
      <c r="B3944" s="1930" t="s">
        <v>4647</v>
      </c>
      <c r="C3944" s="1930" t="s">
        <v>4594</v>
      </c>
      <c r="D3944" s="1930" t="s">
        <v>4650</v>
      </c>
      <c r="E3944" s="1931" t="s">
        <v>33</v>
      </c>
      <c r="F3944" s="1930" t="s">
        <v>33</v>
      </c>
      <c r="G3944" s="1932">
        <v>94475</v>
      </c>
      <c r="H3944" s="1930" t="s">
        <v>2951</v>
      </c>
      <c r="I3944" s="1930" t="s">
        <v>168</v>
      </c>
      <c r="J3944" s="1930" t="s">
        <v>320</v>
      </c>
      <c r="K3944" s="1933">
        <v>94.72</v>
      </c>
      <c r="L3944" s="1930" t="s">
        <v>138</v>
      </c>
    </row>
    <row r="3945" spans="1:12" ht="13.5" x14ac:dyDescent="0.25">
      <c r="A3945" s="1930" t="s">
        <v>4646</v>
      </c>
      <c r="B3945" s="1930" t="s">
        <v>4647</v>
      </c>
      <c r="C3945" s="1930" t="s">
        <v>4594</v>
      </c>
      <c r="D3945" s="1930" t="s">
        <v>4650</v>
      </c>
      <c r="E3945" s="1931" t="s">
        <v>33</v>
      </c>
      <c r="F3945" s="1930" t="s">
        <v>33</v>
      </c>
      <c r="G3945" s="1932">
        <v>94476</v>
      </c>
      <c r="H3945" s="1930" t="s">
        <v>2952</v>
      </c>
      <c r="I3945" s="1930" t="s">
        <v>168</v>
      </c>
      <c r="J3945" s="1930" t="s">
        <v>320</v>
      </c>
      <c r="K3945" s="1933">
        <v>105.49</v>
      </c>
      <c r="L3945" s="1930" t="s">
        <v>138</v>
      </c>
    </row>
    <row r="3946" spans="1:12" ht="13.5" x14ac:dyDescent="0.25">
      <c r="A3946" s="1930" t="s">
        <v>4646</v>
      </c>
      <c r="B3946" s="1930" t="s">
        <v>4647</v>
      </c>
      <c r="C3946" s="1930" t="s">
        <v>4594</v>
      </c>
      <c r="D3946" s="1930" t="s">
        <v>4650</v>
      </c>
      <c r="E3946" s="1931" t="s">
        <v>33</v>
      </c>
      <c r="F3946" s="1930" t="s">
        <v>33</v>
      </c>
      <c r="G3946" s="1932">
        <v>94477</v>
      </c>
      <c r="H3946" s="1930" t="s">
        <v>2953</v>
      </c>
      <c r="I3946" s="1930" t="s">
        <v>168</v>
      </c>
      <c r="J3946" s="1930" t="s">
        <v>320</v>
      </c>
      <c r="K3946" s="1933">
        <v>61.98</v>
      </c>
      <c r="L3946" s="1930" t="s">
        <v>138</v>
      </c>
    </row>
    <row r="3947" spans="1:12" ht="13.5" x14ac:dyDescent="0.25">
      <c r="A3947" s="1930" t="s">
        <v>4646</v>
      </c>
      <c r="B3947" s="1930" t="s">
        <v>4647</v>
      </c>
      <c r="C3947" s="1930" t="s">
        <v>4594</v>
      </c>
      <c r="D3947" s="1930" t="s">
        <v>4650</v>
      </c>
      <c r="E3947" s="1931" t="s">
        <v>33</v>
      </c>
      <c r="F3947" s="1930" t="s">
        <v>33</v>
      </c>
      <c r="G3947" s="1932">
        <v>94478</v>
      </c>
      <c r="H3947" s="1930" t="s">
        <v>2954</v>
      </c>
      <c r="I3947" s="1930" t="s">
        <v>168</v>
      </c>
      <c r="J3947" s="1930" t="s">
        <v>320</v>
      </c>
      <c r="K3947" s="1933">
        <v>95.11</v>
      </c>
      <c r="L3947" s="1930" t="s">
        <v>138</v>
      </c>
    </row>
    <row r="3948" spans="1:12" ht="13.5" x14ac:dyDescent="0.25">
      <c r="A3948" s="1930" t="s">
        <v>4646</v>
      </c>
      <c r="B3948" s="1930" t="s">
        <v>4647</v>
      </c>
      <c r="C3948" s="1930" t="s">
        <v>4594</v>
      </c>
      <c r="D3948" s="1930" t="s">
        <v>4650</v>
      </c>
      <c r="E3948" s="1931" t="s">
        <v>33</v>
      </c>
      <c r="F3948" s="1930" t="s">
        <v>33</v>
      </c>
      <c r="G3948" s="1932">
        <v>94479</v>
      </c>
      <c r="H3948" s="1930" t="s">
        <v>2955</v>
      </c>
      <c r="I3948" s="1930" t="s">
        <v>168</v>
      </c>
      <c r="J3948" s="1930" t="s">
        <v>320</v>
      </c>
      <c r="K3948" s="1933">
        <v>125.18</v>
      </c>
      <c r="L3948" s="1930" t="s">
        <v>138</v>
      </c>
    </row>
    <row r="3949" spans="1:12" ht="13.5" x14ac:dyDescent="0.25">
      <c r="A3949" s="1930" t="s">
        <v>4646</v>
      </c>
      <c r="B3949" s="1930" t="s">
        <v>4647</v>
      </c>
      <c r="C3949" s="1930" t="s">
        <v>4594</v>
      </c>
      <c r="D3949" s="1930" t="s">
        <v>4650</v>
      </c>
      <c r="E3949" s="1931" t="s">
        <v>33</v>
      </c>
      <c r="F3949" s="1930" t="s">
        <v>33</v>
      </c>
      <c r="G3949" s="1932">
        <v>94606</v>
      </c>
      <c r="H3949" s="1930" t="s">
        <v>6579</v>
      </c>
      <c r="I3949" s="1930" t="s">
        <v>168</v>
      </c>
      <c r="J3949" s="1930" t="s">
        <v>137</v>
      </c>
      <c r="K3949" s="1933">
        <v>52.44</v>
      </c>
      <c r="L3949" s="1930" t="s">
        <v>138</v>
      </c>
    </row>
    <row r="3950" spans="1:12" ht="13.5" x14ac:dyDescent="0.25">
      <c r="A3950" s="1930" t="s">
        <v>4646</v>
      </c>
      <c r="B3950" s="1930" t="s">
        <v>4647</v>
      </c>
      <c r="C3950" s="1930" t="s">
        <v>4594</v>
      </c>
      <c r="D3950" s="1930" t="s">
        <v>4650</v>
      </c>
      <c r="E3950" s="1931" t="s">
        <v>33</v>
      </c>
      <c r="F3950" s="1930" t="s">
        <v>33</v>
      </c>
      <c r="G3950" s="1932">
        <v>94608</v>
      </c>
      <c r="H3950" s="1930" t="s">
        <v>6580</v>
      </c>
      <c r="I3950" s="1930" t="s">
        <v>168</v>
      </c>
      <c r="J3950" s="1930" t="s">
        <v>137</v>
      </c>
      <c r="K3950" s="1933">
        <v>125.19</v>
      </c>
      <c r="L3950" s="1930" t="s">
        <v>138</v>
      </c>
    </row>
    <row r="3951" spans="1:12" ht="13.5" x14ac:dyDescent="0.25">
      <c r="A3951" s="1930" t="s">
        <v>4646</v>
      </c>
      <c r="B3951" s="1930" t="s">
        <v>4647</v>
      </c>
      <c r="C3951" s="1930" t="s">
        <v>4594</v>
      </c>
      <c r="D3951" s="1930" t="s">
        <v>4650</v>
      </c>
      <c r="E3951" s="1931" t="s">
        <v>33</v>
      </c>
      <c r="F3951" s="1930" t="s">
        <v>33</v>
      </c>
      <c r="G3951" s="1932">
        <v>94610</v>
      </c>
      <c r="H3951" s="1930" t="s">
        <v>6581</v>
      </c>
      <c r="I3951" s="1930" t="s">
        <v>168</v>
      </c>
      <c r="J3951" s="1930" t="s">
        <v>137</v>
      </c>
      <c r="K3951" s="1933">
        <v>184.97</v>
      </c>
      <c r="L3951" s="1930" t="s">
        <v>138</v>
      </c>
    </row>
    <row r="3952" spans="1:12" ht="13.5" x14ac:dyDescent="0.25">
      <c r="A3952" s="1930" t="s">
        <v>4646</v>
      </c>
      <c r="B3952" s="1930" t="s">
        <v>4647</v>
      </c>
      <c r="C3952" s="1930" t="s">
        <v>4594</v>
      </c>
      <c r="D3952" s="1930" t="s">
        <v>4650</v>
      </c>
      <c r="E3952" s="1931" t="s">
        <v>33</v>
      </c>
      <c r="F3952" s="1930" t="s">
        <v>33</v>
      </c>
      <c r="G3952" s="1932">
        <v>94612</v>
      </c>
      <c r="H3952" s="1930" t="s">
        <v>6582</v>
      </c>
      <c r="I3952" s="1930" t="s">
        <v>168</v>
      </c>
      <c r="J3952" s="1930" t="s">
        <v>137</v>
      </c>
      <c r="K3952" s="1933">
        <v>258.41000000000003</v>
      </c>
      <c r="L3952" s="1930" t="s">
        <v>138</v>
      </c>
    </row>
    <row r="3953" spans="1:12" ht="13.5" x14ac:dyDescent="0.25">
      <c r="A3953" s="1930" t="s">
        <v>4646</v>
      </c>
      <c r="B3953" s="1930" t="s">
        <v>4647</v>
      </c>
      <c r="C3953" s="1930" t="s">
        <v>4594</v>
      </c>
      <c r="D3953" s="1930" t="s">
        <v>4650</v>
      </c>
      <c r="E3953" s="1931" t="s">
        <v>33</v>
      </c>
      <c r="F3953" s="1930" t="s">
        <v>33</v>
      </c>
      <c r="G3953" s="1932">
        <v>94614</v>
      </c>
      <c r="H3953" s="1930" t="s">
        <v>6583</v>
      </c>
      <c r="I3953" s="1930" t="s">
        <v>168</v>
      </c>
      <c r="J3953" s="1930" t="s">
        <v>137</v>
      </c>
      <c r="K3953" s="1933">
        <v>88.25</v>
      </c>
      <c r="L3953" s="1930" t="s">
        <v>138</v>
      </c>
    </row>
    <row r="3954" spans="1:12" ht="13.5" x14ac:dyDescent="0.25">
      <c r="A3954" s="1930" t="s">
        <v>4646</v>
      </c>
      <c r="B3954" s="1930" t="s">
        <v>4647</v>
      </c>
      <c r="C3954" s="1930" t="s">
        <v>4594</v>
      </c>
      <c r="D3954" s="1930" t="s">
        <v>4650</v>
      </c>
      <c r="E3954" s="1931" t="s">
        <v>33</v>
      </c>
      <c r="F3954" s="1930" t="s">
        <v>33</v>
      </c>
      <c r="G3954" s="1932">
        <v>94615</v>
      </c>
      <c r="H3954" s="1930" t="s">
        <v>6584</v>
      </c>
      <c r="I3954" s="1930" t="s">
        <v>168</v>
      </c>
      <c r="J3954" s="1930" t="s">
        <v>137</v>
      </c>
      <c r="K3954" s="1933">
        <v>99.67</v>
      </c>
      <c r="L3954" s="1930" t="s">
        <v>138</v>
      </c>
    </row>
    <row r="3955" spans="1:12" ht="13.5" x14ac:dyDescent="0.25">
      <c r="A3955" s="1930" t="s">
        <v>4646</v>
      </c>
      <c r="B3955" s="1930" t="s">
        <v>4647</v>
      </c>
      <c r="C3955" s="1930" t="s">
        <v>4594</v>
      </c>
      <c r="D3955" s="1930" t="s">
        <v>4650</v>
      </c>
      <c r="E3955" s="1931" t="s">
        <v>33</v>
      </c>
      <c r="F3955" s="1930" t="s">
        <v>33</v>
      </c>
      <c r="G3955" s="1932">
        <v>94616</v>
      </c>
      <c r="H3955" s="1930" t="s">
        <v>6585</v>
      </c>
      <c r="I3955" s="1930" t="s">
        <v>168</v>
      </c>
      <c r="J3955" s="1930" t="s">
        <v>137</v>
      </c>
      <c r="K3955" s="1933">
        <v>238.33</v>
      </c>
      <c r="L3955" s="1930" t="s">
        <v>138</v>
      </c>
    </row>
    <row r="3956" spans="1:12" ht="13.5" x14ac:dyDescent="0.25">
      <c r="A3956" s="1930" t="s">
        <v>4646</v>
      </c>
      <c r="B3956" s="1930" t="s">
        <v>4647</v>
      </c>
      <c r="C3956" s="1930" t="s">
        <v>4594</v>
      </c>
      <c r="D3956" s="1930" t="s">
        <v>4650</v>
      </c>
      <c r="E3956" s="1931" t="s">
        <v>33</v>
      </c>
      <c r="F3956" s="1930" t="s">
        <v>33</v>
      </c>
      <c r="G3956" s="1932">
        <v>94617</v>
      </c>
      <c r="H3956" s="1930" t="s">
        <v>6586</v>
      </c>
      <c r="I3956" s="1930" t="s">
        <v>168</v>
      </c>
      <c r="J3956" s="1930" t="s">
        <v>137</v>
      </c>
      <c r="K3956" s="1933">
        <v>198.63</v>
      </c>
      <c r="L3956" s="1930" t="s">
        <v>138</v>
      </c>
    </row>
    <row r="3957" spans="1:12" ht="13.5" x14ac:dyDescent="0.25">
      <c r="A3957" s="1930" t="s">
        <v>4646</v>
      </c>
      <c r="B3957" s="1930" t="s">
        <v>4647</v>
      </c>
      <c r="C3957" s="1930" t="s">
        <v>4594</v>
      </c>
      <c r="D3957" s="1930" t="s">
        <v>4650</v>
      </c>
      <c r="E3957" s="1931" t="s">
        <v>33</v>
      </c>
      <c r="F3957" s="1930" t="s">
        <v>33</v>
      </c>
      <c r="G3957" s="1932">
        <v>94618</v>
      </c>
      <c r="H3957" s="1930" t="s">
        <v>6587</v>
      </c>
      <c r="I3957" s="1930" t="s">
        <v>168</v>
      </c>
      <c r="J3957" s="1930" t="s">
        <v>137</v>
      </c>
      <c r="K3957" s="1933">
        <v>234.47</v>
      </c>
      <c r="L3957" s="1930" t="s">
        <v>138</v>
      </c>
    </row>
    <row r="3958" spans="1:12" ht="13.5" x14ac:dyDescent="0.25">
      <c r="A3958" s="1930" t="s">
        <v>4646</v>
      </c>
      <c r="B3958" s="1930" t="s">
        <v>4647</v>
      </c>
      <c r="C3958" s="1930" t="s">
        <v>4594</v>
      </c>
      <c r="D3958" s="1930" t="s">
        <v>4650</v>
      </c>
      <c r="E3958" s="1931" t="s">
        <v>33</v>
      </c>
      <c r="F3958" s="1930" t="s">
        <v>33</v>
      </c>
      <c r="G3958" s="1932">
        <v>94620</v>
      </c>
      <c r="H3958" s="1930" t="s">
        <v>6588</v>
      </c>
      <c r="I3958" s="1930" t="s">
        <v>168</v>
      </c>
      <c r="J3958" s="1930" t="s">
        <v>137</v>
      </c>
      <c r="K3958" s="1933">
        <v>531.45000000000005</v>
      </c>
      <c r="L3958" s="1930" t="s">
        <v>138</v>
      </c>
    </row>
    <row r="3959" spans="1:12" ht="13.5" x14ac:dyDescent="0.25">
      <c r="A3959" s="1930" t="s">
        <v>4646</v>
      </c>
      <c r="B3959" s="1930" t="s">
        <v>4647</v>
      </c>
      <c r="C3959" s="1930" t="s">
        <v>4594</v>
      </c>
      <c r="D3959" s="1930" t="s">
        <v>4650</v>
      </c>
      <c r="E3959" s="1931" t="s">
        <v>33</v>
      </c>
      <c r="F3959" s="1930" t="s">
        <v>33</v>
      </c>
      <c r="G3959" s="1932">
        <v>94622</v>
      </c>
      <c r="H3959" s="1930" t="s">
        <v>6589</v>
      </c>
      <c r="I3959" s="1930" t="s">
        <v>168</v>
      </c>
      <c r="J3959" s="1930" t="s">
        <v>137</v>
      </c>
      <c r="K3959" s="1933">
        <v>128.63</v>
      </c>
      <c r="L3959" s="1930" t="s">
        <v>138</v>
      </c>
    </row>
    <row r="3960" spans="1:12" ht="13.5" x14ac:dyDescent="0.25">
      <c r="A3960" s="1930" t="s">
        <v>4646</v>
      </c>
      <c r="B3960" s="1930" t="s">
        <v>4647</v>
      </c>
      <c r="C3960" s="1930" t="s">
        <v>4594</v>
      </c>
      <c r="D3960" s="1930" t="s">
        <v>4650</v>
      </c>
      <c r="E3960" s="1931" t="s">
        <v>33</v>
      </c>
      <c r="F3960" s="1930" t="s">
        <v>33</v>
      </c>
      <c r="G3960" s="1932">
        <v>94623</v>
      </c>
      <c r="H3960" s="1930" t="s">
        <v>6590</v>
      </c>
      <c r="I3960" s="1930" t="s">
        <v>168</v>
      </c>
      <c r="J3960" s="1930" t="s">
        <v>137</v>
      </c>
      <c r="K3960" s="1933">
        <v>295.56</v>
      </c>
      <c r="L3960" s="1930" t="s">
        <v>138</v>
      </c>
    </row>
    <row r="3961" spans="1:12" ht="13.5" x14ac:dyDescent="0.25">
      <c r="A3961" s="1930" t="s">
        <v>4646</v>
      </c>
      <c r="B3961" s="1930" t="s">
        <v>4647</v>
      </c>
      <c r="C3961" s="1930" t="s">
        <v>4594</v>
      </c>
      <c r="D3961" s="1930" t="s">
        <v>4650</v>
      </c>
      <c r="E3961" s="1931" t="s">
        <v>33</v>
      </c>
      <c r="F3961" s="1930" t="s">
        <v>33</v>
      </c>
      <c r="G3961" s="1932">
        <v>94624</v>
      </c>
      <c r="H3961" s="1930" t="s">
        <v>6591</v>
      </c>
      <c r="I3961" s="1930" t="s">
        <v>168</v>
      </c>
      <c r="J3961" s="1930" t="s">
        <v>137</v>
      </c>
      <c r="K3961" s="1933">
        <v>447.53</v>
      </c>
      <c r="L3961" s="1930" t="s">
        <v>138</v>
      </c>
    </row>
    <row r="3962" spans="1:12" ht="13.5" x14ac:dyDescent="0.25">
      <c r="A3962" s="1930" t="s">
        <v>4646</v>
      </c>
      <c r="B3962" s="1930" t="s">
        <v>4647</v>
      </c>
      <c r="C3962" s="1930" t="s">
        <v>4594</v>
      </c>
      <c r="D3962" s="1930" t="s">
        <v>4650</v>
      </c>
      <c r="E3962" s="1931" t="s">
        <v>33</v>
      </c>
      <c r="F3962" s="1930" t="s">
        <v>33</v>
      </c>
      <c r="G3962" s="1932">
        <v>94625</v>
      </c>
      <c r="H3962" s="1930" t="s">
        <v>6592</v>
      </c>
      <c r="I3962" s="1930" t="s">
        <v>168</v>
      </c>
      <c r="J3962" s="1930" t="s">
        <v>137</v>
      </c>
      <c r="K3962" s="1933">
        <v>925.21</v>
      </c>
      <c r="L3962" s="1930" t="s">
        <v>138</v>
      </c>
    </row>
    <row r="3963" spans="1:12" ht="13.5" x14ac:dyDescent="0.25">
      <c r="A3963" s="1930" t="s">
        <v>4646</v>
      </c>
      <c r="B3963" s="1930" t="s">
        <v>4647</v>
      </c>
      <c r="C3963" s="1930" t="s">
        <v>4594</v>
      </c>
      <c r="D3963" s="1930" t="s">
        <v>4650</v>
      </c>
      <c r="E3963" s="1931" t="s">
        <v>33</v>
      </c>
      <c r="F3963" s="1930" t="s">
        <v>33</v>
      </c>
      <c r="G3963" s="1932">
        <v>94656</v>
      </c>
      <c r="H3963" s="1930" t="s">
        <v>2956</v>
      </c>
      <c r="I3963" s="1930" t="s">
        <v>168</v>
      </c>
      <c r="J3963" s="1930" t="s">
        <v>320</v>
      </c>
      <c r="K3963" s="1933">
        <v>4.6900000000000004</v>
      </c>
      <c r="L3963" s="1930" t="s">
        <v>138</v>
      </c>
    </row>
    <row r="3964" spans="1:12" ht="13.5" x14ac:dyDescent="0.25">
      <c r="A3964" s="1930" t="s">
        <v>4646</v>
      </c>
      <c r="B3964" s="1930" t="s">
        <v>4647</v>
      </c>
      <c r="C3964" s="1930" t="s">
        <v>4594</v>
      </c>
      <c r="D3964" s="1930" t="s">
        <v>4650</v>
      </c>
      <c r="E3964" s="1931" t="s">
        <v>33</v>
      </c>
      <c r="F3964" s="1930" t="s">
        <v>33</v>
      </c>
      <c r="G3964" s="1932">
        <v>94657</v>
      </c>
      <c r="H3964" s="1930" t="s">
        <v>2957</v>
      </c>
      <c r="I3964" s="1930" t="s">
        <v>168</v>
      </c>
      <c r="J3964" s="1930" t="s">
        <v>320</v>
      </c>
      <c r="K3964" s="1933">
        <v>4.62</v>
      </c>
      <c r="L3964" s="1930" t="s">
        <v>138</v>
      </c>
    </row>
    <row r="3965" spans="1:12" ht="13.5" x14ac:dyDescent="0.25">
      <c r="A3965" s="1930" t="s">
        <v>4646</v>
      </c>
      <c r="B3965" s="1930" t="s">
        <v>4647</v>
      </c>
      <c r="C3965" s="1930" t="s">
        <v>4594</v>
      </c>
      <c r="D3965" s="1930" t="s">
        <v>4650</v>
      </c>
      <c r="E3965" s="1931" t="s">
        <v>33</v>
      </c>
      <c r="F3965" s="1930" t="s">
        <v>33</v>
      </c>
      <c r="G3965" s="1932">
        <v>94658</v>
      </c>
      <c r="H3965" s="1930" t="s">
        <v>2958</v>
      </c>
      <c r="I3965" s="1930" t="s">
        <v>168</v>
      </c>
      <c r="J3965" s="1930" t="s">
        <v>320</v>
      </c>
      <c r="K3965" s="1933">
        <v>5.4</v>
      </c>
      <c r="L3965" s="1930" t="s">
        <v>138</v>
      </c>
    </row>
    <row r="3966" spans="1:12" ht="13.5" x14ac:dyDescent="0.25">
      <c r="A3966" s="1930" t="s">
        <v>4646</v>
      </c>
      <c r="B3966" s="1930" t="s">
        <v>4647</v>
      </c>
      <c r="C3966" s="1930" t="s">
        <v>4594</v>
      </c>
      <c r="D3966" s="1930" t="s">
        <v>4650</v>
      </c>
      <c r="E3966" s="1931" t="s">
        <v>33</v>
      </c>
      <c r="F3966" s="1930" t="s">
        <v>33</v>
      </c>
      <c r="G3966" s="1932">
        <v>94659</v>
      </c>
      <c r="H3966" s="1930" t="s">
        <v>2959</v>
      </c>
      <c r="I3966" s="1930" t="s">
        <v>168</v>
      </c>
      <c r="J3966" s="1930" t="s">
        <v>320</v>
      </c>
      <c r="K3966" s="1933">
        <v>5.47</v>
      </c>
      <c r="L3966" s="1930" t="s">
        <v>138</v>
      </c>
    </row>
    <row r="3967" spans="1:12" ht="13.5" x14ac:dyDescent="0.25">
      <c r="A3967" s="1930" t="s">
        <v>4646</v>
      </c>
      <c r="B3967" s="1930" t="s">
        <v>4647</v>
      </c>
      <c r="C3967" s="1930" t="s">
        <v>4594</v>
      </c>
      <c r="D3967" s="1930" t="s">
        <v>4650</v>
      </c>
      <c r="E3967" s="1931" t="s">
        <v>33</v>
      </c>
      <c r="F3967" s="1930" t="s">
        <v>33</v>
      </c>
      <c r="G3967" s="1932">
        <v>94660</v>
      </c>
      <c r="H3967" s="1930" t="s">
        <v>2960</v>
      </c>
      <c r="I3967" s="1930" t="s">
        <v>168</v>
      </c>
      <c r="J3967" s="1930" t="s">
        <v>320</v>
      </c>
      <c r="K3967" s="1933">
        <v>8.7799999999999994</v>
      </c>
      <c r="L3967" s="1930" t="s">
        <v>138</v>
      </c>
    </row>
    <row r="3968" spans="1:12" ht="13.5" x14ac:dyDescent="0.25">
      <c r="A3968" s="1930" t="s">
        <v>4646</v>
      </c>
      <c r="B3968" s="1930" t="s">
        <v>4647</v>
      </c>
      <c r="C3968" s="1930" t="s">
        <v>4594</v>
      </c>
      <c r="D3968" s="1930" t="s">
        <v>4650</v>
      </c>
      <c r="E3968" s="1931" t="s">
        <v>33</v>
      </c>
      <c r="F3968" s="1930" t="s">
        <v>33</v>
      </c>
      <c r="G3968" s="1932">
        <v>94661</v>
      </c>
      <c r="H3968" s="1930" t="s">
        <v>2961</v>
      </c>
      <c r="I3968" s="1930" t="s">
        <v>168</v>
      </c>
      <c r="J3968" s="1930" t="s">
        <v>320</v>
      </c>
      <c r="K3968" s="1933">
        <v>9.1199999999999992</v>
      </c>
      <c r="L3968" s="1930" t="s">
        <v>138</v>
      </c>
    </row>
    <row r="3969" spans="1:12" ht="13.5" x14ac:dyDescent="0.25">
      <c r="A3969" s="1930" t="s">
        <v>4646</v>
      </c>
      <c r="B3969" s="1930" t="s">
        <v>4647</v>
      </c>
      <c r="C3969" s="1930" t="s">
        <v>4594</v>
      </c>
      <c r="D3969" s="1930" t="s">
        <v>4650</v>
      </c>
      <c r="E3969" s="1931" t="s">
        <v>33</v>
      </c>
      <c r="F3969" s="1930" t="s">
        <v>33</v>
      </c>
      <c r="G3969" s="1932">
        <v>94662</v>
      </c>
      <c r="H3969" s="1930" t="s">
        <v>2962</v>
      </c>
      <c r="I3969" s="1930" t="s">
        <v>168</v>
      </c>
      <c r="J3969" s="1930" t="s">
        <v>320</v>
      </c>
      <c r="K3969" s="1933">
        <v>9.5</v>
      </c>
      <c r="L3969" s="1930" t="s">
        <v>138</v>
      </c>
    </row>
    <row r="3970" spans="1:12" ht="13.5" x14ac:dyDescent="0.25">
      <c r="A3970" s="1930" t="s">
        <v>4646</v>
      </c>
      <c r="B3970" s="1930" t="s">
        <v>4647</v>
      </c>
      <c r="C3970" s="1930" t="s">
        <v>4594</v>
      </c>
      <c r="D3970" s="1930" t="s">
        <v>4650</v>
      </c>
      <c r="E3970" s="1931" t="s">
        <v>33</v>
      </c>
      <c r="F3970" s="1930" t="s">
        <v>33</v>
      </c>
      <c r="G3970" s="1932">
        <v>94663</v>
      </c>
      <c r="H3970" s="1930" t="s">
        <v>2963</v>
      </c>
      <c r="I3970" s="1930" t="s">
        <v>168</v>
      </c>
      <c r="J3970" s="1930" t="s">
        <v>320</v>
      </c>
      <c r="K3970" s="1933">
        <v>9.6300000000000008</v>
      </c>
      <c r="L3970" s="1930" t="s">
        <v>138</v>
      </c>
    </row>
    <row r="3971" spans="1:12" ht="13.5" x14ac:dyDescent="0.25">
      <c r="A3971" s="1930" t="s">
        <v>4646</v>
      </c>
      <c r="B3971" s="1930" t="s">
        <v>4647</v>
      </c>
      <c r="C3971" s="1930" t="s">
        <v>4594</v>
      </c>
      <c r="D3971" s="1930" t="s">
        <v>4650</v>
      </c>
      <c r="E3971" s="1931" t="s">
        <v>33</v>
      </c>
      <c r="F3971" s="1930" t="s">
        <v>33</v>
      </c>
      <c r="G3971" s="1932">
        <v>94664</v>
      </c>
      <c r="H3971" s="1930" t="s">
        <v>2964</v>
      </c>
      <c r="I3971" s="1930" t="s">
        <v>168</v>
      </c>
      <c r="J3971" s="1930" t="s">
        <v>320</v>
      </c>
      <c r="K3971" s="1933">
        <v>20.32</v>
      </c>
      <c r="L3971" s="1930" t="s">
        <v>138</v>
      </c>
    </row>
    <row r="3972" spans="1:12" ht="13.5" x14ac:dyDescent="0.25">
      <c r="A3972" s="1930" t="s">
        <v>4646</v>
      </c>
      <c r="B3972" s="1930" t="s">
        <v>4647</v>
      </c>
      <c r="C3972" s="1930" t="s">
        <v>4594</v>
      </c>
      <c r="D3972" s="1930" t="s">
        <v>4650</v>
      </c>
      <c r="E3972" s="1931" t="s">
        <v>33</v>
      </c>
      <c r="F3972" s="1930" t="s">
        <v>33</v>
      </c>
      <c r="G3972" s="1932">
        <v>94665</v>
      </c>
      <c r="H3972" s="1930" t="s">
        <v>2965</v>
      </c>
      <c r="I3972" s="1930" t="s">
        <v>168</v>
      </c>
      <c r="J3972" s="1930" t="s">
        <v>320</v>
      </c>
      <c r="K3972" s="1933">
        <v>20.309999999999999</v>
      </c>
      <c r="L3972" s="1930" t="s">
        <v>138</v>
      </c>
    </row>
    <row r="3973" spans="1:12" ht="13.5" x14ac:dyDescent="0.25">
      <c r="A3973" s="1930" t="s">
        <v>4646</v>
      </c>
      <c r="B3973" s="1930" t="s">
        <v>4647</v>
      </c>
      <c r="C3973" s="1930" t="s">
        <v>4594</v>
      </c>
      <c r="D3973" s="1930" t="s">
        <v>4650</v>
      </c>
      <c r="E3973" s="1931" t="s">
        <v>33</v>
      </c>
      <c r="F3973" s="1930" t="s">
        <v>33</v>
      </c>
      <c r="G3973" s="1932">
        <v>94666</v>
      </c>
      <c r="H3973" s="1930" t="s">
        <v>2966</v>
      </c>
      <c r="I3973" s="1930" t="s">
        <v>168</v>
      </c>
      <c r="J3973" s="1930" t="s">
        <v>320</v>
      </c>
      <c r="K3973" s="1933">
        <v>24.41</v>
      </c>
      <c r="L3973" s="1930" t="s">
        <v>138</v>
      </c>
    </row>
    <row r="3974" spans="1:12" ht="13.5" x14ac:dyDescent="0.25">
      <c r="A3974" s="1930" t="s">
        <v>4646</v>
      </c>
      <c r="B3974" s="1930" t="s">
        <v>4647</v>
      </c>
      <c r="C3974" s="1930" t="s">
        <v>4594</v>
      </c>
      <c r="D3974" s="1930" t="s">
        <v>4650</v>
      </c>
      <c r="E3974" s="1931" t="s">
        <v>33</v>
      </c>
      <c r="F3974" s="1930" t="s">
        <v>33</v>
      </c>
      <c r="G3974" s="1932">
        <v>94667</v>
      </c>
      <c r="H3974" s="1930" t="s">
        <v>2967</v>
      </c>
      <c r="I3974" s="1930" t="s">
        <v>168</v>
      </c>
      <c r="J3974" s="1930" t="s">
        <v>320</v>
      </c>
      <c r="K3974" s="1933">
        <v>26.96</v>
      </c>
      <c r="L3974" s="1930" t="s">
        <v>138</v>
      </c>
    </row>
    <row r="3975" spans="1:12" ht="13.5" x14ac:dyDescent="0.25">
      <c r="A3975" s="1930" t="s">
        <v>4646</v>
      </c>
      <c r="B3975" s="1930" t="s">
        <v>4647</v>
      </c>
      <c r="C3975" s="1930" t="s">
        <v>4594</v>
      </c>
      <c r="D3975" s="1930" t="s">
        <v>4650</v>
      </c>
      <c r="E3975" s="1931" t="s">
        <v>33</v>
      </c>
      <c r="F3975" s="1930" t="s">
        <v>33</v>
      </c>
      <c r="G3975" s="1932">
        <v>94668</v>
      </c>
      <c r="H3975" s="1930" t="s">
        <v>2968</v>
      </c>
      <c r="I3975" s="1930" t="s">
        <v>168</v>
      </c>
      <c r="J3975" s="1930" t="s">
        <v>320</v>
      </c>
      <c r="K3975" s="1933">
        <v>41.9</v>
      </c>
      <c r="L3975" s="1930" t="s">
        <v>138</v>
      </c>
    </row>
    <row r="3976" spans="1:12" ht="13.5" x14ac:dyDescent="0.25">
      <c r="A3976" s="1930" t="s">
        <v>4646</v>
      </c>
      <c r="B3976" s="1930" t="s">
        <v>4647</v>
      </c>
      <c r="C3976" s="1930" t="s">
        <v>4594</v>
      </c>
      <c r="D3976" s="1930" t="s">
        <v>4650</v>
      </c>
      <c r="E3976" s="1931" t="s">
        <v>33</v>
      </c>
      <c r="F3976" s="1930" t="s">
        <v>33</v>
      </c>
      <c r="G3976" s="1932">
        <v>94669</v>
      </c>
      <c r="H3976" s="1930" t="s">
        <v>2969</v>
      </c>
      <c r="I3976" s="1930" t="s">
        <v>168</v>
      </c>
      <c r="J3976" s="1930" t="s">
        <v>320</v>
      </c>
      <c r="K3976" s="1933">
        <v>56.21</v>
      </c>
      <c r="L3976" s="1930" t="s">
        <v>138</v>
      </c>
    </row>
    <row r="3977" spans="1:12" ht="13.5" x14ac:dyDescent="0.25">
      <c r="A3977" s="1930" t="s">
        <v>4646</v>
      </c>
      <c r="B3977" s="1930" t="s">
        <v>4647</v>
      </c>
      <c r="C3977" s="1930" t="s">
        <v>4594</v>
      </c>
      <c r="D3977" s="1930" t="s">
        <v>4650</v>
      </c>
      <c r="E3977" s="1931" t="s">
        <v>33</v>
      </c>
      <c r="F3977" s="1930" t="s">
        <v>33</v>
      </c>
      <c r="G3977" s="1932">
        <v>94670</v>
      </c>
      <c r="H3977" s="1930" t="s">
        <v>2970</v>
      </c>
      <c r="I3977" s="1930" t="s">
        <v>168</v>
      </c>
      <c r="J3977" s="1930" t="s">
        <v>320</v>
      </c>
      <c r="K3977" s="1933">
        <v>54.64</v>
      </c>
      <c r="L3977" s="1930" t="s">
        <v>138</v>
      </c>
    </row>
    <row r="3978" spans="1:12" ht="13.5" x14ac:dyDescent="0.25">
      <c r="A3978" s="1930" t="s">
        <v>4646</v>
      </c>
      <c r="B3978" s="1930" t="s">
        <v>4647</v>
      </c>
      <c r="C3978" s="1930" t="s">
        <v>4594</v>
      </c>
      <c r="D3978" s="1930" t="s">
        <v>4650</v>
      </c>
      <c r="E3978" s="1931" t="s">
        <v>33</v>
      </c>
      <c r="F3978" s="1930" t="s">
        <v>33</v>
      </c>
      <c r="G3978" s="1932">
        <v>94671</v>
      </c>
      <c r="H3978" s="1930" t="s">
        <v>2971</v>
      </c>
      <c r="I3978" s="1930" t="s">
        <v>168</v>
      </c>
      <c r="J3978" s="1930" t="s">
        <v>320</v>
      </c>
      <c r="K3978" s="1933">
        <v>78.510000000000005</v>
      </c>
      <c r="L3978" s="1930" t="s">
        <v>138</v>
      </c>
    </row>
    <row r="3979" spans="1:12" ht="13.5" x14ac:dyDescent="0.25">
      <c r="A3979" s="1930" t="s">
        <v>4646</v>
      </c>
      <c r="B3979" s="1930" t="s">
        <v>4647</v>
      </c>
      <c r="C3979" s="1930" t="s">
        <v>4594</v>
      </c>
      <c r="D3979" s="1930" t="s">
        <v>4650</v>
      </c>
      <c r="E3979" s="1931" t="s">
        <v>33</v>
      </c>
      <c r="F3979" s="1930" t="s">
        <v>33</v>
      </c>
      <c r="G3979" s="1932">
        <v>94672</v>
      </c>
      <c r="H3979" s="1930" t="s">
        <v>2972</v>
      </c>
      <c r="I3979" s="1930" t="s">
        <v>168</v>
      </c>
      <c r="J3979" s="1930" t="s">
        <v>320</v>
      </c>
      <c r="K3979" s="1933">
        <v>7.95</v>
      </c>
      <c r="L3979" s="1930" t="s">
        <v>138</v>
      </c>
    </row>
    <row r="3980" spans="1:12" ht="13.5" x14ac:dyDescent="0.25">
      <c r="A3980" s="1930" t="s">
        <v>4646</v>
      </c>
      <c r="B3980" s="1930" t="s">
        <v>4647</v>
      </c>
      <c r="C3980" s="1930" t="s">
        <v>4594</v>
      </c>
      <c r="D3980" s="1930" t="s">
        <v>4650</v>
      </c>
      <c r="E3980" s="1931" t="s">
        <v>33</v>
      </c>
      <c r="F3980" s="1930" t="s">
        <v>33</v>
      </c>
      <c r="G3980" s="1932">
        <v>94673</v>
      </c>
      <c r="H3980" s="1930" t="s">
        <v>2973</v>
      </c>
      <c r="I3980" s="1930" t="s">
        <v>168</v>
      </c>
      <c r="J3980" s="1930" t="s">
        <v>320</v>
      </c>
      <c r="K3980" s="1933">
        <v>7.76</v>
      </c>
      <c r="L3980" s="1930" t="s">
        <v>138</v>
      </c>
    </row>
    <row r="3981" spans="1:12" ht="13.5" x14ac:dyDescent="0.25">
      <c r="A3981" s="1930" t="s">
        <v>4646</v>
      </c>
      <c r="B3981" s="1930" t="s">
        <v>4647</v>
      </c>
      <c r="C3981" s="1930" t="s">
        <v>4594</v>
      </c>
      <c r="D3981" s="1930" t="s">
        <v>4650</v>
      </c>
      <c r="E3981" s="1931" t="s">
        <v>33</v>
      </c>
      <c r="F3981" s="1930" t="s">
        <v>33</v>
      </c>
      <c r="G3981" s="1932">
        <v>94674</v>
      </c>
      <c r="H3981" s="1930" t="s">
        <v>2974</v>
      </c>
      <c r="I3981" s="1930" t="s">
        <v>168</v>
      </c>
      <c r="J3981" s="1930" t="s">
        <v>320</v>
      </c>
      <c r="K3981" s="1933">
        <v>7.09</v>
      </c>
      <c r="L3981" s="1930" t="s">
        <v>138</v>
      </c>
    </row>
    <row r="3982" spans="1:12" ht="13.5" x14ac:dyDescent="0.25">
      <c r="A3982" s="1930" t="s">
        <v>4646</v>
      </c>
      <c r="B3982" s="1930" t="s">
        <v>4647</v>
      </c>
      <c r="C3982" s="1930" t="s">
        <v>4594</v>
      </c>
      <c r="D3982" s="1930" t="s">
        <v>4650</v>
      </c>
      <c r="E3982" s="1931" t="s">
        <v>33</v>
      </c>
      <c r="F3982" s="1930" t="s">
        <v>33</v>
      </c>
      <c r="G3982" s="1932">
        <v>94675</v>
      </c>
      <c r="H3982" s="1930" t="s">
        <v>2975</v>
      </c>
      <c r="I3982" s="1930" t="s">
        <v>168</v>
      </c>
      <c r="J3982" s="1930" t="s">
        <v>320</v>
      </c>
      <c r="K3982" s="1933">
        <v>10.7</v>
      </c>
      <c r="L3982" s="1930" t="s">
        <v>138</v>
      </c>
    </row>
    <row r="3983" spans="1:12" ht="13.5" x14ac:dyDescent="0.25">
      <c r="A3983" s="1930" t="s">
        <v>4646</v>
      </c>
      <c r="B3983" s="1930" t="s">
        <v>4647</v>
      </c>
      <c r="C3983" s="1930" t="s">
        <v>4594</v>
      </c>
      <c r="D3983" s="1930" t="s">
        <v>4650</v>
      </c>
      <c r="E3983" s="1931" t="s">
        <v>33</v>
      </c>
      <c r="F3983" s="1930" t="s">
        <v>33</v>
      </c>
      <c r="G3983" s="1932">
        <v>94676</v>
      </c>
      <c r="H3983" s="1930" t="s">
        <v>2976</v>
      </c>
      <c r="I3983" s="1930" t="s">
        <v>168</v>
      </c>
      <c r="J3983" s="1930" t="s">
        <v>320</v>
      </c>
      <c r="K3983" s="1933">
        <v>12.09</v>
      </c>
      <c r="L3983" s="1930" t="s">
        <v>138</v>
      </c>
    </row>
    <row r="3984" spans="1:12" ht="13.5" x14ac:dyDescent="0.25">
      <c r="A3984" s="1930" t="s">
        <v>4646</v>
      </c>
      <c r="B3984" s="1930" t="s">
        <v>4647</v>
      </c>
      <c r="C3984" s="1930" t="s">
        <v>4594</v>
      </c>
      <c r="D3984" s="1930" t="s">
        <v>4650</v>
      </c>
      <c r="E3984" s="1931" t="s">
        <v>33</v>
      </c>
      <c r="F3984" s="1930" t="s">
        <v>33</v>
      </c>
      <c r="G3984" s="1932">
        <v>94677</v>
      </c>
      <c r="H3984" s="1930" t="s">
        <v>2977</v>
      </c>
      <c r="I3984" s="1930" t="s">
        <v>168</v>
      </c>
      <c r="J3984" s="1930" t="s">
        <v>320</v>
      </c>
      <c r="K3984" s="1933">
        <v>17.52</v>
      </c>
      <c r="L3984" s="1930" t="s">
        <v>138</v>
      </c>
    </row>
    <row r="3985" spans="1:12" ht="13.5" x14ac:dyDescent="0.25">
      <c r="A3985" s="1930" t="s">
        <v>4646</v>
      </c>
      <c r="B3985" s="1930" t="s">
        <v>4647</v>
      </c>
      <c r="C3985" s="1930" t="s">
        <v>4594</v>
      </c>
      <c r="D3985" s="1930" t="s">
        <v>4650</v>
      </c>
      <c r="E3985" s="1931" t="s">
        <v>33</v>
      </c>
      <c r="F3985" s="1930" t="s">
        <v>33</v>
      </c>
      <c r="G3985" s="1932">
        <v>94678</v>
      </c>
      <c r="H3985" s="1930" t="s">
        <v>2978</v>
      </c>
      <c r="I3985" s="1930" t="s">
        <v>168</v>
      </c>
      <c r="J3985" s="1930" t="s">
        <v>320</v>
      </c>
      <c r="K3985" s="1933">
        <v>12.41</v>
      </c>
      <c r="L3985" s="1930" t="s">
        <v>138</v>
      </c>
    </row>
    <row r="3986" spans="1:12" ht="13.5" x14ac:dyDescent="0.25">
      <c r="A3986" s="1930" t="s">
        <v>4646</v>
      </c>
      <c r="B3986" s="1930" t="s">
        <v>4647</v>
      </c>
      <c r="C3986" s="1930" t="s">
        <v>4594</v>
      </c>
      <c r="D3986" s="1930" t="s">
        <v>4650</v>
      </c>
      <c r="E3986" s="1931" t="s">
        <v>33</v>
      </c>
      <c r="F3986" s="1930" t="s">
        <v>33</v>
      </c>
      <c r="G3986" s="1932">
        <v>94679</v>
      </c>
      <c r="H3986" s="1930" t="s">
        <v>2979</v>
      </c>
      <c r="I3986" s="1930" t="s">
        <v>168</v>
      </c>
      <c r="J3986" s="1930" t="s">
        <v>320</v>
      </c>
      <c r="K3986" s="1933">
        <v>19.559999999999999</v>
      </c>
      <c r="L3986" s="1930" t="s">
        <v>138</v>
      </c>
    </row>
    <row r="3987" spans="1:12" ht="13.5" x14ac:dyDescent="0.25">
      <c r="A3987" s="1930" t="s">
        <v>4646</v>
      </c>
      <c r="B3987" s="1930" t="s">
        <v>4647</v>
      </c>
      <c r="C3987" s="1930" t="s">
        <v>4594</v>
      </c>
      <c r="D3987" s="1930" t="s">
        <v>4650</v>
      </c>
      <c r="E3987" s="1931" t="s">
        <v>33</v>
      </c>
      <c r="F3987" s="1930" t="s">
        <v>33</v>
      </c>
      <c r="G3987" s="1932">
        <v>94680</v>
      </c>
      <c r="H3987" s="1930" t="s">
        <v>2980</v>
      </c>
      <c r="I3987" s="1930" t="s">
        <v>168</v>
      </c>
      <c r="J3987" s="1930" t="s">
        <v>320</v>
      </c>
      <c r="K3987" s="1933">
        <v>32.86</v>
      </c>
      <c r="L3987" s="1930" t="s">
        <v>138</v>
      </c>
    </row>
    <row r="3988" spans="1:12" ht="13.5" x14ac:dyDescent="0.25">
      <c r="A3988" s="1930" t="s">
        <v>4646</v>
      </c>
      <c r="B3988" s="1930" t="s">
        <v>4647</v>
      </c>
      <c r="C3988" s="1930" t="s">
        <v>4594</v>
      </c>
      <c r="D3988" s="1930" t="s">
        <v>4650</v>
      </c>
      <c r="E3988" s="1931" t="s">
        <v>33</v>
      </c>
      <c r="F3988" s="1930" t="s">
        <v>33</v>
      </c>
      <c r="G3988" s="1932">
        <v>94681</v>
      </c>
      <c r="H3988" s="1930" t="s">
        <v>2981</v>
      </c>
      <c r="I3988" s="1930" t="s">
        <v>168</v>
      </c>
      <c r="J3988" s="1930" t="s">
        <v>320</v>
      </c>
      <c r="K3988" s="1933">
        <v>42.65</v>
      </c>
      <c r="L3988" s="1930" t="s">
        <v>138</v>
      </c>
    </row>
    <row r="3989" spans="1:12" ht="13.5" x14ac:dyDescent="0.25">
      <c r="A3989" s="1930" t="s">
        <v>4646</v>
      </c>
      <c r="B3989" s="1930" t="s">
        <v>4647</v>
      </c>
      <c r="C3989" s="1930" t="s">
        <v>4594</v>
      </c>
      <c r="D3989" s="1930" t="s">
        <v>4650</v>
      </c>
      <c r="E3989" s="1931" t="s">
        <v>33</v>
      </c>
      <c r="F3989" s="1930" t="s">
        <v>33</v>
      </c>
      <c r="G3989" s="1932">
        <v>94682</v>
      </c>
      <c r="H3989" s="1930" t="s">
        <v>2982</v>
      </c>
      <c r="I3989" s="1930" t="s">
        <v>168</v>
      </c>
      <c r="J3989" s="1930" t="s">
        <v>320</v>
      </c>
      <c r="K3989" s="1933">
        <v>83.25</v>
      </c>
      <c r="L3989" s="1930" t="s">
        <v>138</v>
      </c>
    </row>
    <row r="3990" spans="1:12" ht="13.5" x14ac:dyDescent="0.25">
      <c r="A3990" s="1930" t="s">
        <v>4646</v>
      </c>
      <c r="B3990" s="1930" t="s">
        <v>4647</v>
      </c>
      <c r="C3990" s="1930" t="s">
        <v>4594</v>
      </c>
      <c r="D3990" s="1930" t="s">
        <v>4650</v>
      </c>
      <c r="E3990" s="1931" t="s">
        <v>33</v>
      </c>
      <c r="F3990" s="1930" t="s">
        <v>33</v>
      </c>
      <c r="G3990" s="1932">
        <v>94683</v>
      </c>
      <c r="H3990" s="1930" t="s">
        <v>2983</v>
      </c>
      <c r="I3990" s="1930" t="s">
        <v>168</v>
      </c>
      <c r="J3990" s="1930" t="s">
        <v>320</v>
      </c>
      <c r="K3990" s="1933">
        <v>54.49</v>
      </c>
      <c r="L3990" s="1930" t="s">
        <v>138</v>
      </c>
    </row>
    <row r="3991" spans="1:12" ht="13.5" x14ac:dyDescent="0.25">
      <c r="A3991" s="1930" t="s">
        <v>4646</v>
      </c>
      <c r="B3991" s="1930" t="s">
        <v>4647</v>
      </c>
      <c r="C3991" s="1930" t="s">
        <v>4594</v>
      </c>
      <c r="D3991" s="1930" t="s">
        <v>4650</v>
      </c>
      <c r="E3991" s="1931" t="s">
        <v>33</v>
      </c>
      <c r="F3991" s="1930" t="s">
        <v>33</v>
      </c>
      <c r="G3991" s="1932">
        <v>94684</v>
      </c>
      <c r="H3991" s="1930" t="s">
        <v>2984</v>
      </c>
      <c r="I3991" s="1930" t="s">
        <v>168</v>
      </c>
      <c r="J3991" s="1930" t="s">
        <v>320</v>
      </c>
      <c r="K3991" s="1933">
        <v>107.45</v>
      </c>
      <c r="L3991" s="1930" t="s">
        <v>138</v>
      </c>
    </row>
    <row r="3992" spans="1:12" ht="13.5" x14ac:dyDescent="0.25">
      <c r="A3992" s="1930" t="s">
        <v>4646</v>
      </c>
      <c r="B3992" s="1930" t="s">
        <v>4647</v>
      </c>
      <c r="C3992" s="1930" t="s">
        <v>4594</v>
      </c>
      <c r="D3992" s="1930" t="s">
        <v>4650</v>
      </c>
      <c r="E3992" s="1931" t="s">
        <v>33</v>
      </c>
      <c r="F3992" s="1930" t="s">
        <v>33</v>
      </c>
      <c r="G3992" s="1932">
        <v>94685</v>
      </c>
      <c r="H3992" s="1930" t="s">
        <v>2985</v>
      </c>
      <c r="I3992" s="1930" t="s">
        <v>168</v>
      </c>
      <c r="J3992" s="1930" t="s">
        <v>320</v>
      </c>
      <c r="K3992" s="1933">
        <v>83.52</v>
      </c>
      <c r="L3992" s="1930" t="s">
        <v>138</v>
      </c>
    </row>
    <row r="3993" spans="1:12" ht="13.5" x14ac:dyDescent="0.25">
      <c r="A3993" s="1930" t="s">
        <v>4646</v>
      </c>
      <c r="B3993" s="1930" t="s">
        <v>4647</v>
      </c>
      <c r="C3993" s="1930" t="s">
        <v>4594</v>
      </c>
      <c r="D3993" s="1930" t="s">
        <v>4650</v>
      </c>
      <c r="E3993" s="1931" t="s">
        <v>33</v>
      </c>
      <c r="F3993" s="1930" t="s">
        <v>33</v>
      </c>
      <c r="G3993" s="1932">
        <v>94686</v>
      </c>
      <c r="H3993" s="1930" t="s">
        <v>2986</v>
      </c>
      <c r="I3993" s="1930" t="s">
        <v>168</v>
      </c>
      <c r="J3993" s="1930" t="s">
        <v>320</v>
      </c>
      <c r="K3993" s="1933">
        <v>197.68</v>
      </c>
      <c r="L3993" s="1930" t="s">
        <v>138</v>
      </c>
    </row>
    <row r="3994" spans="1:12" ht="13.5" x14ac:dyDescent="0.25">
      <c r="A3994" s="1930" t="s">
        <v>4646</v>
      </c>
      <c r="B3994" s="1930" t="s">
        <v>4647</v>
      </c>
      <c r="C3994" s="1930" t="s">
        <v>4594</v>
      </c>
      <c r="D3994" s="1930" t="s">
        <v>4650</v>
      </c>
      <c r="E3994" s="1931" t="s">
        <v>33</v>
      </c>
      <c r="F3994" s="1930" t="s">
        <v>33</v>
      </c>
      <c r="G3994" s="1932">
        <v>94687</v>
      </c>
      <c r="H3994" s="1930" t="s">
        <v>2987</v>
      </c>
      <c r="I3994" s="1930" t="s">
        <v>168</v>
      </c>
      <c r="J3994" s="1930" t="s">
        <v>320</v>
      </c>
      <c r="K3994" s="1933">
        <v>161.6</v>
      </c>
      <c r="L3994" s="1930" t="s">
        <v>138</v>
      </c>
    </row>
    <row r="3995" spans="1:12" ht="13.5" x14ac:dyDescent="0.25">
      <c r="A3995" s="1930" t="s">
        <v>4646</v>
      </c>
      <c r="B3995" s="1930" t="s">
        <v>4647</v>
      </c>
      <c r="C3995" s="1930" t="s">
        <v>4594</v>
      </c>
      <c r="D3995" s="1930" t="s">
        <v>4650</v>
      </c>
      <c r="E3995" s="1931" t="s">
        <v>33</v>
      </c>
      <c r="F3995" s="1930" t="s">
        <v>33</v>
      </c>
      <c r="G3995" s="1932">
        <v>94688</v>
      </c>
      <c r="H3995" s="1930" t="s">
        <v>2988</v>
      </c>
      <c r="I3995" s="1930" t="s">
        <v>168</v>
      </c>
      <c r="J3995" s="1930" t="s">
        <v>320</v>
      </c>
      <c r="K3995" s="1933">
        <v>8.34</v>
      </c>
      <c r="L3995" s="1930" t="s">
        <v>138</v>
      </c>
    </row>
    <row r="3996" spans="1:12" ht="13.5" x14ac:dyDescent="0.25">
      <c r="A3996" s="1930" t="s">
        <v>4646</v>
      </c>
      <c r="B3996" s="1930" t="s">
        <v>4647</v>
      </c>
      <c r="C3996" s="1930" t="s">
        <v>4594</v>
      </c>
      <c r="D3996" s="1930" t="s">
        <v>4650</v>
      </c>
      <c r="E3996" s="1931" t="s">
        <v>33</v>
      </c>
      <c r="F3996" s="1930" t="s">
        <v>33</v>
      </c>
      <c r="G3996" s="1932">
        <v>94689</v>
      </c>
      <c r="H3996" s="1930" t="s">
        <v>2989</v>
      </c>
      <c r="I3996" s="1930" t="s">
        <v>168</v>
      </c>
      <c r="J3996" s="1930" t="s">
        <v>320</v>
      </c>
      <c r="K3996" s="1933">
        <v>10.93</v>
      </c>
      <c r="L3996" s="1930" t="s">
        <v>138</v>
      </c>
    </row>
    <row r="3997" spans="1:12" ht="13.5" x14ac:dyDescent="0.25">
      <c r="A3997" s="1930" t="s">
        <v>4646</v>
      </c>
      <c r="B3997" s="1930" t="s">
        <v>4647</v>
      </c>
      <c r="C3997" s="1930" t="s">
        <v>4594</v>
      </c>
      <c r="D3997" s="1930" t="s">
        <v>4650</v>
      </c>
      <c r="E3997" s="1931" t="s">
        <v>33</v>
      </c>
      <c r="F3997" s="1930" t="s">
        <v>33</v>
      </c>
      <c r="G3997" s="1932">
        <v>94690</v>
      </c>
      <c r="H3997" s="1930" t="s">
        <v>2990</v>
      </c>
      <c r="I3997" s="1930" t="s">
        <v>168</v>
      </c>
      <c r="J3997" s="1930" t="s">
        <v>320</v>
      </c>
      <c r="K3997" s="1933">
        <v>10.51</v>
      </c>
      <c r="L3997" s="1930" t="s">
        <v>138</v>
      </c>
    </row>
    <row r="3998" spans="1:12" ht="13.5" x14ac:dyDescent="0.25">
      <c r="A3998" s="1930" t="s">
        <v>4646</v>
      </c>
      <c r="B3998" s="1930" t="s">
        <v>4647</v>
      </c>
      <c r="C3998" s="1930" t="s">
        <v>4594</v>
      </c>
      <c r="D3998" s="1930" t="s">
        <v>4650</v>
      </c>
      <c r="E3998" s="1931" t="s">
        <v>33</v>
      </c>
      <c r="F3998" s="1930" t="s">
        <v>33</v>
      </c>
      <c r="G3998" s="1932">
        <v>94691</v>
      </c>
      <c r="H3998" s="1930" t="s">
        <v>2991</v>
      </c>
      <c r="I3998" s="1930" t="s">
        <v>168</v>
      </c>
      <c r="J3998" s="1930" t="s">
        <v>320</v>
      </c>
      <c r="K3998" s="1933">
        <v>12.01</v>
      </c>
      <c r="L3998" s="1930" t="s">
        <v>138</v>
      </c>
    </row>
    <row r="3999" spans="1:12" ht="13.5" x14ac:dyDescent="0.25">
      <c r="A3999" s="1930" t="s">
        <v>4646</v>
      </c>
      <c r="B3999" s="1930" t="s">
        <v>4647</v>
      </c>
      <c r="C3999" s="1930" t="s">
        <v>4594</v>
      </c>
      <c r="D3999" s="1930" t="s">
        <v>4650</v>
      </c>
      <c r="E3999" s="1931" t="s">
        <v>33</v>
      </c>
      <c r="F3999" s="1930" t="s">
        <v>33</v>
      </c>
      <c r="G3999" s="1932">
        <v>94692</v>
      </c>
      <c r="H3999" s="1930" t="s">
        <v>2992</v>
      </c>
      <c r="I3999" s="1930" t="s">
        <v>168</v>
      </c>
      <c r="J3999" s="1930" t="s">
        <v>320</v>
      </c>
      <c r="K3999" s="1933">
        <v>18.079999999999998</v>
      </c>
      <c r="L3999" s="1930" t="s">
        <v>138</v>
      </c>
    </row>
    <row r="4000" spans="1:12" ht="13.5" x14ac:dyDescent="0.25">
      <c r="A4000" s="1930" t="s">
        <v>4646</v>
      </c>
      <c r="B4000" s="1930" t="s">
        <v>4647</v>
      </c>
      <c r="C4000" s="1930" t="s">
        <v>4594</v>
      </c>
      <c r="D4000" s="1930" t="s">
        <v>4650</v>
      </c>
      <c r="E4000" s="1931" t="s">
        <v>33</v>
      </c>
      <c r="F4000" s="1930" t="s">
        <v>33</v>
      </c>
      <c r="G4000" s="1932">
        <v>94693</v>
      </c>
      <c r="H4000" s="1930" t="s">
        <v>2993</v>
      </c>
      <c r="I4000" s="1930" t="s">
        <v>168</v>
      </c>
      <c r="J4000" s="1930" t="s">
        <v>320</v>
      </c>
      <c r="K4000" s="1933">
        <v>18.84</v>
      </c>
      <c r="L4000" s="1930" t="s">
        <v>138</v>
      </c>
    </row>
    <row r="4001" spans="1:12" ht="13.5" x14ac:dyDescent="0.25">
      <c r="A4001" s="1930" t="s">
        <v>4646</v>
      </c>
      <c r="B4001" s="1930" t="s">
        <v>4647</v>
      </c>
      <c r="C4001" s="1930" t="s">
        <v>4594</v>
      </c>
      <c r="D4001" s="1930" t="s">
        <v>4650</v>
      </c>
      <c r="E4001" s="1931" t="s">
        <v>33</v>
      </c>
      <c r="F4001" s="1930" t="s">
        <v>33</v>
      </c>
      <c r="G4001" s="1932">
        <v>94694</v>
      </c>
      <c r="H4001" s="1930" t="s">
        <v>2994</v>
      </c>
      <c r="I4001" s="1930" t="s">
        <v>168</v>
      </c>
      <c r="J4001" s="1930" t="s">
        <v>320</v>
      </c>
      <c r="K4001" s="1933">
        <v>18.88</v>
      </c>
      <c r="L4001" s="1930" t="s">
        <v>138</v>
      </c>
    </row>
    <row r="4002" spans="1:12" ht="13.5" x14ac:dyDescent="0.25">
      <c r="A4002" s="1930" t="s">
        <v>4646</v>
      </c>
      <c r="B4002" s="1930" t="s">
        <v>4647</v>
      </c>
      <c r="C4002" s="1930" t="s">
        <v>4594</v>
      </c>
      <c r="D4002" s="1930" t="s">
        <v>4650</v>
      </c>
      <c r="E4002" s="1931" t="s">
        <v>33</v>
      </c>
      <c r="F4002" s="1930" t="s">
        <v>33</v>
      </c>
      <c r="G4002" s="1932">
        <v>94695</v>
      </c>
      <c r="H4002" s="1930" t="s">
        <v>2995</v>
      </c>
      <c r="I4002" s="1930" t="s">
        <v>168</v>
      </c>
      <c r="J4002" s="1930" t="s">
        <v>320</v>
      </c>
      <c r="K4002" s="1933">
        <v>24.72</v>
      </c>
      <c r="L4002" s="1930" t="s">
        <v>138</v>
      </c>
    </row>
    <row r="4003" spans="1:12" ht="13.5" x14ac:dyDescent="0.25">
      <c r="A4003" s="1930" t="s">
        <v>4646</v>
      </c>
      <c r="B4003" s="1930" t="s">
        <v>4647</v>
      </c>
      <c r="C4003" s="1930" t="s">
        <v>4594</v>
      </c>
      <c r="D4003" s="1930" t="s">
        <v>4650</v>
      </c>
      <c r="E4003" s="1931" t="s">
        <v>33</v>
      </c>
      <c r="F4003" s="1930" t="s">
        <v>33</v>
      </c>
      <c r="G4003" s="1932">
        <v>94696</v>
      </c>
      <c r="H4003" s="1930" t="s">
        <v>2996</v>
      </c>
      <c r="I4003" s="1930" t="s">
        <v>168</v>
      </c>
      <c r="J4003" s="1930" t="s">
        <v>320</v>
      </c>
      <c r="K4003" s="1933">
        <v>42.9</v>
      </c>
      <c r="L4003" s="1930" t="s">
        <v>138</v>
      </c>
    </row>
    <row r="4004" spans="1:12" ht="13.5" x14ac:dyDescent="0.25">
      <c r="A4004" s="1930" t="s">
        <v>4646</v>
      </c>
      <c r="B4004" s="1930" t="s">
        <v>4647</v>
      </c>
      <c r="C4004" s="1930" t="s">
        <v>4594</v>
      </c>
      <c r="D4004" s="1930" t="s">
        <v>4650</v>
      </c>
      <c r="E4004" s="1931" t="s">
        <v>33</v>
      </c>
      <c r="F4004" s="1930" t="s">
        <v>33</v>
      </c>
      <c r="G4004" s="1932">
        <v>94697</v>
      </c>
      <c r="H4004" s="1930" t="s">
        <v>2997</v>
      </c>
      <c r="I4004" s="1930" t="s">
        <v>168</v>
      </c>
      <c r="J4004" s="1930" t="s">
        <v>320</v>
      </c>
      <c r="K4004" s="1933">
        <v>65.53</v>
      </c>
      <c r="L4004" s="1930" t="s">
        <v>138</v>
      </c>
    </row>
    <row r="4005" spans="1:12" ht="13.5" x14ac:dyDescent="0.25">
      <c r="A4005" s="1930" t="s">
        <v>4646</v>
      </c>
      <c r="B4005" s="1930" t="s">
        <v>4647</v>
      </c>
      <c r="C4005" s="1930" t="s">
        <v>4594</v>
      </c>
      <c r="D4005" s="1930" t="s">
        <v>4650</v>
      </c>
      <c r="E4005" s="1931" t="s">
        <v>33</v>
      </c>
      <c r="F4005" s="1930" t="s">
        <v>33</v>
      </c>
      <c r="G4005" s="1932">
        <v>94698</v>
      </c>
      <c r="H4005" s="1930" t="s">
        <v>2998</v>
      </c>
      <c r="I4005" s="1930" t="s">
        <v>168</v>
      </c>
      <c r="J4005" s="1930" t="s">
        <v>320</v>
      </c>
      <c r="K4005" s="1933">
        <v>57.57</v>
      </c>
      <c r="L4005" s="1930" t="s">
        <v>138</v>
      </c>
    </row>
    <row r="4006" spans="1:12" ht="13.5" x14ac:dyDescent="0.25">
      <c r="A4006" s="1930" t="s">
        <v>4646</v>
      </c>
      <c r="B4006" s="1930" t="s">
        <v>4647</v>
      </c>
      <c r="C4006" s="1930" t="s">
        <v>4594</v>
      </c>
      <c r="D4006" s="1930" t="s">
        <v>4650</v>
      </c>
      <c r="E4006" s="1931" t="s">
        <v>33</v>
      </c>
      <c r="F4006" s="1930" t="s">
        <v>33</v>
      </c>
      <c r="G4006" s="1932">
        <v>94699</v>
      </c>
      <c r="H4006" s="1930" t="s">
        <v>2999</v>
      </c>
      <c r="I4006" s="1930" t="s">
        <v>168</v>
      </c>
      <c r="J4006" s="1930" t="s">
        <v>320</v>
      </c>
      <c r="K4006" s="1933">
        <v>110.57</v>
      </c>
      <c r="L4006" s="1930" t="s">
        <v>138</v>
      </c>
    </row>
    <row r="4007" spans="1:12" ht="13.5" x14ac:dyDescent="0.25">
      <c r="A4007" s="1930" t="s">
        <v>4646</v>
      </c>
      <c r="B4007" s="1930" t="s">
        <v>4647</v>
      </c>
      <c r="C4007" s="1930" t="s">
        <v>4594</v>
      </c>
      <c r="D4007" s="1930" t="s">
        <v>4650</v>
      </c>
      <c r="E4007" s="1931" t="s">
        <v>33</v>
      </c>
      <c r="F4007" s="1930" t="s">
        <v>33</v>
      </c>
      <c r="G4007" s="1932">
        <v>94700</v>
      </c>
      <c r="H4007" s="1930" t="s">
        <v>3000</v>
      </c>
      <c r="I4007" s="1930" t="s">
        <v>168</v>
      </c>
      <c r="J4007" s="1930" t="s">
        <v>320</v>
      </c>
      <c r="K4007" s="1933">
        <v>94.29</v>
      </c>
      <c r="L4007" s="1930" t="s">
        <v>138</v>
      </c>
    </row>
    <row r="4008" spans="1:12" ht="13.5" x14ac:dyDescent="0.25">
      <c r="A4008" s="1930" t="s">
        <v>4646</v>
      </c>
      <c r="B4008" s="1930" t="s">
        <v>4647</v>
      </c>
      <c r="C4008" s="1930" t="s">
        <v>4594</v>
      </c>
      <c r="D4008" s="1930" t="s">
        <v>4650</v>
      </c>
      <c r="E4008" s="1931" t="s">
        <v>33</v>
      </c>
      <c r="F4008" s="1930" t="s">
        <v>33</v>
      </c>
      <c r="G4008" s="1932">
        <v>94701</v>
      </c>
      <c r="H4008" s="1930" t="s">
        <v>3001</v>
      </c>
      <c r="I4008" s="1930" t="s">
        <v>168</v>
      </c>
      <c r="J4008" s="1930" t="s">
        <v>320</v>
      </c>
      <c r="K4008" s="1933">
        <v>162.22</v>
      </c>
      <c r="L4008" s="1930" t="s">
        <v>138</v>
      </c>
    </row>
    <row r="4009" spans="1:12" ht="13.5" x14ac:dyDescent="0.25">
      <c r="A4009" s="1930" t="s">
        <v>4646</v>
      </c>
      <c r="B4009" s="1930" t="s">
        <v>4647</v>
      </c>
      <c r="C4009" s="1930" t="s">
        <v>4594</v>
      </c>
      <c r="D4009" s="1930" t="s">
        <v>4650</v>
      </c>
      <c r="E4009" s="1931" t="s">
        <v>33</v>
      </c>
      <c r="F4009" s="1930" t="s">
        <v>33</v>
      </c>
      <c r="G4009" s="1932">
        <v>94702</v>
      </c>
      <c r="H4009" s="1930" t="s">
        <v>3002</v>
      </c>
      <c r="I4009" s="1930" t="s">
        <v>168</v>
      </c>
      <c r="J4009" s="1930" t="s">
        <v>320</v>
      </c>
      <c r="K4009" s="1933">
        <v>153.88999999999999</v>
      </c>
      <c r="L4009" s="1930" t="s">
        <v>138</v>
      </c>
    </row>
    <row r="4010" spans="1:12" ht="13.5" x14ac:dyDescent="0.25">
      <c r="A4010" s="1930" t="s">
        <v>4646</v>
      </c>
      <c r="B4010" s="1930" t="s">
        <v>4647</v>
      </c>
      <c r="C4010" s="1930" t="s">
        <v>4594</v>
      </c>
      <c r="D4010" s="1930" t="s">
        <v>4650</v>
      </c>
      <c r="E4010" s="1931" t="s">
        <v>33</v>
      </c>
      <c r="F4010" s="1930" t="s">
        <v>33</v>
      </c>
      <c r="G4010" s="1932">
        <v>94703</v>
      </c>
      <c r="H4010" s="1930" t="s">
        <v>3003</v>
      </c>
      <c r="I4010" s="1930" t="s">
        <v>168</v>
      </c>
      <c r="J4010" s="1930" t="s">
        <v>320</v>
      </c>
      <c r="K4010" s="1933">
        <v>14.54</v>
      </c>
      <c r="L4010" s="1930" t="s">
        <v>138</v>
      </c>
    </row>
    <row r="4011" spans="1:12" ht="13.5" x14ac:dyDescent="0.25">
      <c r="A4011" s="1930" t="s">
        <v>4646</v>
      </c>
      <c r="B4011" s="1930" t="s">
        <v>4647</v>
      </c>
      <c r="C4011" s="1930" t="s">
        <v>4594</v>
      </c>
      <c r="D4011" s="1930" t="s">
        <v>4650</v>
      </c>
      <c r="E4011" s="1931" t="s">
        <v>33</v>
      </c>
      <c r="F4011" s="1930" t="s">
        <v>33</v>
      </c>
      <c r="G4011" s="1932">
        <v>94704</v>
      </c>
      <c r="H4011" s="1930" t="s">
        <v>3004</v>
      </c>
      <c r="I4011" s="1930" t="s">
        <v>168</v>
      </c>
      <c r="J4011" s="1930" t="s">
        <v>320</v>
      </c>
      <c r="K4011" s="1933">
        <v>17.04</v>
      </c>
      <c r="L4011" s="1930" t="s">
        <v>138</v>
      </c>
    </row>
    <row r="4012" spans="1:12" ht="13.5" x14ac:dyDescent="0.25">
      <c r="A4012" s="1930" t="s">
        <v>4646</v>
      </c>
      <c r="B4012" s="1930" t="s">
        <v>4647</v>
      </c>
      <c r="C4012" s="1930" t="s">
        <v>4594</v>
      </c>
      <c r="D4012" s="1930" t="s">
        <v>4650</v>
      </c>
      <c r="E4012" s="1931" t="s">
        <v>33</v>
      </c>
      <c r="F4012" s="1930" t="s">
        <v>33</v>
      </c>
      <c r="G4012" s="1932">
        <v>94705</v>
      </c>
      <c r="H4012" s="1930" t="s">
        <v>3005</v>
      </c>
      <c r="I4012" s="1930" t="s">
        <v>168</v>
      </c>
      <c r="J4012" s="1930" t="s">
        <v>320</v>
      </c>
      <c r="K4012" s="1933">
        <v>20.83</v>
      </c>
      <c r="L4012" s="1930" t="s">
        <v>138</v>
      </c>
    </row>
    <row r="4013" spans="1:12" ht="13.5" x14ac:dyDescent="0.25">
      <c r="A4013" s="1930" t="s">
        <v>4646</v>
      </c>
      <c r="B4013" s="1930" t="s">
        <v>4647</v>
      </c>
      <c r="C4013" s="1930" t="s">
        <v>4594</v>
      </c>
      <c r="D4013" s="1930" t="s">
        <v>4650</v>
      </c>
      <c r="E4013" s="1931" t="s">
        <v>33</v>
      </c>
      <c r="F4013" s="1930" t="s">
        <v>33</v>
      </c>
      <c r="G4013" s="1932">
        <v>94706</v>
      </c>
      <c r="H4013" s="1930" t="s">
        <v>3006</v>
      </c>
      <c r="I4013" s="1930" t="s">
        <v>168</v>
      </c>
      <c r="J4013" s="1930" t="s">
        <v>320</v>
      </c>
      <c r="K4013" s="1933">
        <v>30.24</v>
      </c>
      <c r="L4013" s="1930" t="s">
        <v>138</v>
      </c>
    </row>
    <row r="4014" spans="1:12" ht="13.5" x14ac:dyDescent="0.25">
      <c r="A4014" s="1930" t="s">
        <v>4646</v>
      </c>
      <c r="B4014" s="1930" t="s">
        <v>4647</v>
      </c>
      <c r="C4014" s="1930" t="s">
        <v>4594</v>
      </c>
      <c r="D4014" s="1930" t="s">
        <v>4650</v>
      </c>
      <c r="E4014" s="1931" t="s">
        <v>33</v>
      </c>
      <c r="F4014" s="1930" t="s">
        <v>33</v>
      </c>
      <c r="G4014" s="1932">
        <v>94707</v>
      </c>
      <c r="H4014" s="1930" t="s">
        <v>3007</v>
      </c>
      <c r="I4014" s="1930" t="s">
        <v>168</v>
      </c>
      <c r="J4014" s="1930" t="s">
        <v>320</v>
      </c>
      <c r="K4014" s="1933">
        <v>37.26</v>
      </c>
      <c r="L4014" s="1930" t="s">
        <v>138</v>
      </c>
    </row>
    <row r="4015" spans="1:12" ht="13.5" x14ac:dyDescent="0.25">
      <c r="A4015" s="1930" t="s">
        <v>4646</v>
      </c>
      <c r="B4015" s="1930" t="s">
        <v>4647</v>
      </c>
      <c r="C4015" s="1930" t="s">
        <v>4594</v>
      </c>
      <c r="D4015" s="1930" t="s">
        <v>4650</v>
      </c>
      <c r="E4015" s="1931" t="s">
        <v>33</v>
      </c>
      <c r="F4015" s="1930" t="s">
        <v>33</v>
      </c>
      <c r="G4015" s="1932">
        <v>94708</v>
      </c>
      <c r="H4015" s="1930" t="s">
        <v>3008</v>
      </c>
      <c r="I4015" s="1930" t="s">
        <v>168</v>
      </c>
      <c r="J4015" s="1930" t="s">
        <v>320</v>
      </c>
      <c r="K4015" s="1933">
        <v>18.95</v>
      </c>
      <c r="L4015" s="1930" t="s">
        <v>138</v>
      </c>
    </row>
    <row r="4016" spans="1:12" ht="13.5" x14ac:dyDescent="0.25">
      <c r="A4016" s="1930" t="s">
        <v>4646</v>
      </c>
      <c r="B4016" s="1930" t="s">
        <v>4647</v>
      </c>
      <c r="C4016" s="1930" t="s">
        <v>4594</v>
      </c>
      <c r="D4016" s="1930" t="s">
        <v>4650</v>
      </c>
      <c r="E4016" s="1931" t="s">
        <v>33</v>
      </c>
      <c r="F4016" s="1930" t="s">
        <v>33</v>
      </c>
      <c r="G4016" s="1932">
        <v>94709</v>
      </c>
      <c r="H4016" s="1930" t="s">
        <v>3009</v>
      </c>
      <c r="I4016" s="1930" t="s">
        <v>168</v>
      </c>
      <c r="J4016" s="1930" t="s">
        <v>320</v>
      </c>
      <c r="K4016" s="1933">
        <v>23.93</v>
      </c>
      <c r="L4016" s="1930" t="s">
        <v>138</v>
      </c>
    </row>
    <row r="4017" spans="1:12" ht="13.5" x14ac:dyDescent="0.25">
      <c r="A4017" s="1930" t="s">
        <v>4646</v>
      </c>
      <c r="B4017" s="1930" t="s">
        <v>4647</v>
      </c>
      <c r="C4017" s="1930" t="s">
        <v>4594</v>
      </c>
      <c r="D4017" s="1930" t="s">
        <v>4650</v>
      </c>
      <c r="E4017" s="1931" t="s">
        <v>33</v>
      </c>
      <c r="F4017" s="1930" t="s">
        <v>33</v>
      </c>
      <c r="G4017" s="1932">
        <v>94710</v>
      </c>
      <c r="H4017" s="1930" t="s">
        <v>3010</v>
      </c>
      <c r="I4017" s="1930" t="s">
        <v>168</v>
      </c>
      <c r="J4017" s="1930" t="s">
        <v>320</v>
      </c>
      <c r="K4017" s="1933">
        <v>36.299999999999997</v>
      </c>
      <c r="L4017" s="1930" t="s">
        <v>138</v>
      </c>
    </row>
    <row r="4018" spans="1:12" ht="13.5" x14ac:dyDescent="0.25">
      <c r="A4018" s="1930" t="s">
        <v>4646</v>
      </c>
      <c r="B4018" s="1930" t="s">
        <v>4647</v>
      </c>
      <c r="C4018" s="1930" t="s">
        <v>4594</v>
      </c>
      <c r="D4018" s="1930" t="s">
        <v>4650</v>
      </c>
      <c r="E4018" s="1931" t="s">
        <v>33</v>
      </c>
      <c r="F4018" s="1930" t="s">
        <v>33</v>
      </c>
      <c r="G4018" s="1932">
        <v>94711</v>
      </c>
      <c r="H4018" s="1930" t="s">
        <v>3011</v>
      </c>
      <c r="I4018" s="1930" t="s">
        <v>168</v>
      </c>
      <c r="J4018" s="1930" t="s">
        <v>320</v>
      </c>
      <c r="K4018" s="1933">
        <v>43.82</v>
      </c>
      <c r="L4018" s="1930" t="s">
        <v>138</v>
      </c>
    </row>
    <row r="4019" spans="1:12" ht="13.5" x14ac:dyDescent="0.25">
      <c r="A4019" s="1930" t="s">
        <v>4646</v>
      </c>
      <c r="B4019" s="1930" t="s">
        <v>4647</v>
      </c>
      <c r="C4019" s="1930" t="s">
        <v>4594</v>
      </c>
      <c r="D4019" s="1930" t="s">
        <v>4650</v>
      </c>
      <c r="E4019" s="1931" t="s">
        <v>33</v>
      </c>
      <c r="F4019" s="1930" t="s">
        <v>33</v>
      </c>
      <c r="G4019" s="1932">
        <v>94712</v>
      </c>
      <c r="H4019" s="1930" t="s">
        <v>3012</v>
      </c>
      <c r="I4019" s="1930" t="s">
        <v>168</v>
      </c>
      <c r="J4019" s="1930" t="s">
        <v>320</v>
      </c>
      <c r="K4019" s="1933">
        <v>58.02</v>
      </c>
      <c r="L4019" s="1930" t="s">
        <v>138</v>
      </c>
    </row>
    <row r="4020" spans="1:12" ht="13.5" x14ac:dyDescent="0.25">
      <c r="A4020" s="1930" t="s">
        <v>4646</v>
      </c>
      <c r="B4020" s="1930" t="s">
        <v>4647</v>
      </c>
      <c r="C4020" s="1930" t="s">
        <v>4594</v>
      </c>
      <c r="D4020" s="1930" t="s">
        <v>4650</v>
      </c>
      <c r="E4020" s="1931" t="s">
        <v>33</v>
      </c>
      <c r="F4020" s="1930" t="s">
        <v>33</v>
      </c>
      <c r="G4020" s="1932">
        <v>94713</v>
      </c>
      <c r="H4020" s="1930" t="s">
        <v>3013</v>
      </c>
      <c r="I4020" s="1930" t="s">
        <v>168</v>
      </c>
      <c r="J4020" s="1930" t="s">
        <v>320</v>
      </c>
      <c r="K4020" s="1933">
        <v>148.13</v>
      </c>
      <c r="L4020" s="1930" t="s">
        <v>138</v>
      </c>
    </row>
    <row r="4021" spans="1:12" ht="13.5" x14ac:dyDescent="0.25">
      <c r="A4021" s="1930" t="s">
        <v>4646</v>
      </c>
      <c r="B4021" s="1930" t="s">
        <v>4647</v>
      </c>
      <c r="C4021" s="1930" t="s">
        <v>4594</v>
      </c>
      <c r="D4021" s="1930" t="s">
        <v>4650</v>
      </c>
      <c r="E4021" s="1931" t="s">
        <v>33</v>
      </c>
      <c r="F4021" s="1930" t="s">
        <v>33</v>
      </c>
      <c r="G4021" s="1932">
        <v>94714</v>
      </c>
      <c r="H4021" s="1930" t="s">
        <v>3014</v>
      </c>
      <c r="I4021" s="1930" t="s">
        <v>168</v>
      </c>
      <c r="J4021" s="1930" t="s">
        <v>320</v>
      </c>
      <c r="K4021" s="1933">
        <v>200.09</v>
      </c>
      <c r="L4021" s="1930" t="s">
        <v>138</v>
      </c>
    </row>
    <row r="4022" spans="1:12" ht="13.5" x14ac:dyDescent="0.25">
      <c r="A4022" s="1930" t="s">
        <v>4646</v>
      </c>
      <c r="B4022" s="1930" t="s">
        <v>4647</v>
      </c>
      <c r="C4022" s="1930" t="s">
        <v>4594</v>
      </c>
      <c r="D4022" s="1930" t="s">
        <v>4650</v>
      </c>
      <c r="E4022" s="1931" t="s">
        <v>33</v>
      </c>
      <c r="F4022" s="1930" t="s">
        <v>33</v>
      </c>
      <c r="G4022" s="1932">
        <v>94715</v>
      </c>
      <c r="H4022" s="1930" t="s">
        <v>3015</v>
      </c>
      <c r="I4022" s="1930" t="s">
        <v>168</v>
      </c>
      <c r="J4022" s="1930" t="s">
        <v>320</v>
      </c>
      <c r="K4022" s="1933">
        <v>275.43</v>
      </c>
      <c r="L4022" s="1930" t="s">
        <v>138</v>
      </c>
    </row>
    <row r="4023" spans="1:12" ht="13.5" x14ac:dyDescent="0.25">
      <c r="A4023" s="1930" t="s">
        <v>4646</v>
      </c>
      <c r="B4023" s="1930" t="s">
        <v>4647</v>
      </c>
      <c r="C4023" s="1930" t="s">
        <v>4594</v>
      </c>
      <c r="D4023" s="1930" t="s">
        <v>4650</v>
      </c>
      <c r="E4023" s="1931" t="s">
        <v>33</v>
      </c>
      <c r="F4023" s="1930" t="s">
        <v>33</v>
      </c>
      <c r="G4023" s="1932">
        <v>94724</v>
      </c>
      <c r="H4023" s="1930" t="s">
        <v>3016</v>
      </c>
      <c r="I4023" s="1930" t="s">
        <v>168</v>
      </c>
      <c r="J4023" s="1930" t="s">
        <v>320</v>
      </c>
      <c r="K4023" s="1933">
        <v>14.54</v>
      </c>
      <c r="L4023" s="1930" t="s">
        <v>138</v>
      </c>
    </row>
    <row r="4024" spans="1:12" ht="13.5" x14ac:dyDescent="0.25">
      <c r="A4024" s="1930" t="s">
        <v>4646</v>
      </c>
      <c r="B4024" s="1930" t="s">
        <v>4647</v>
      </c>
      <c r="C4024" s="1930" t="s">
        <v>4594</v>
      </c>
      <c r="D4024" s="1930" t="s">
        <v>4650</v>
      </c>
      <c r="E4024" s="1931" t="s">
        <v>33</v>
      </c>
      <c r="F4024" s="1930" t="s">
        <v>33</v>
      </c>
      <c r="G4024" s="1932">
        <v>94725</v>
      </c>
      <c r="H4024" s="1930" t="s">
        <v>3017</v>
      </c>
      <c r="I4024" s="1930" t="s">
        <v>168</v>
      </c>
      <c r="J4024" s="1930" t="s">
        <v>320</v>
      </c>
      <c r="K4024" s="1933">
        <v>4.38</v>
      </c>
      <c r="L4024" s="1930" t="s">
        <v>138</v>
      </c>
    </row>
    <row r="4025" spans="1:12" ht="13.5" x14ac:dyDescent="0.25">
      <c r="A4025" s="1930" t="s">
        <v>4646</v>
      </c>
      <c r="B4025" s="1930" t="s">
        <v>4647</v>
      </c>
      <c r="C4025" s="1930" t="s">
        <v>4594</v>
      </c>
      <c r="D4025" s="1930" t="s">
        <v>4650</v>
      </c>
      <c r="E4025" s="1931" t="s">
        <v>33</v>
      </c>
      <c r="F4025" s="1930" t="s">
        <v>33</v>
      </c>
      <c r="G4025" s="1932">
        <v>94726</v>
      </c>
      <c r="H4025" s="1930" t="s">
        <v>3018</v>
      </c>
      <c r="I4025" s="1930" t="s">
        <v>168</v>
      </c>
      <c r="J4025" s="1930" t="s">
        <v>320</v>
      </c>
      <c r="K4025" s="1933">
        <v>21.81</v>
      </c>
      <c r="L4025" s="1930" t="s">
        <v>138</v>
      </c>
    </row>
    <row r="4026" spans="1:12" ht="13.5" x14ac:dyDescent="0.25">
      <c r="A4026" s="1930" t="s">
        <v>4646</v>
      </c>
      <c r="B4026" s="1930" t="s">
        <v>4647</v>
      </c>
      <c r="C4026" s="1930" t="s">
        <v>4594</v>
      </c>
      <c r="D4026" s="1930" t="s">
        <v>4650</v>
      </c>
      <c r="E4026" s="1931" t="s">
        <v>33</v>
      </c>
      <c r="F4026" s="1930" t="s">
        <v>33</v>
      </c>
      <c r="G4026" s="1932">
        <v>94727</v>
      </c>
      <c r="H4026" s="1930" t="s">
        <v>3019</v>
      </c>
      <c r="I4026" s="1930" t="s">
        <v>168</v>
      </c>
      <c r="J4026" s="1930" t="s">
        <v>320</v>
      </c>
      <c r="K4026" s="1933">
        <v>5.73</v>
      </c>
      <c r="L4026" s="1930" t="s">
        <v>138</v>
      </c>
    </row>
    <row r="4027" spans="1:12" ht="13.5" x14ac:dyDescent="0.25">
      <c r="A4027" s="1930" t="s">
        <v>4646</v>
      </c>
      <c r="B4027" s="1930" t="s">
        <v>4647</v>
      </c>
      <c r="C4027" s="1930" t="s">
        <v>4594</v>
      </c>
      <c r="D4027" s="1930" t="s">
        <v>4650</v>
      </c>
      <c r="E4027" s="1931" t="s">
        <v>33</v>
      </c>
      <c r="F4027" s="1930" t="s">
        <v>33</v>
      </c>
      <c r="G4027" s="1932">
        <v>94728</v>
      </c>
      <c r="H4027" s="1930" t="s">
        <v>3020</v>
      </c>
      <c r="I4027" s="1930" t="s">
        <v>168</v>
      </c>
      <c r="J4027" s="1930" t="s">
        <v>320</v>
      </c>
      <c r="K4027" s="1933">
        <v>79.650000000000006</v>
      </c>
      <c r="L4027" s="1930" t="s">
        <v>138</v>
      </c>
    </row>
    <row r="4028" spans="1:12" ht="13.5" x14ac:dyDescent="0.25">
      <c r="A4028" s="1930" t="s">
        <v>4646</v>
      </c>
      <c r="B4028" s="1930" t="s">
        <v>4647</v>
      </c>
      <c r="C4028" s="1930" t="s">
        <v>4594</v>
      </c>
      <c r="D4028" s="1930" t="s">
        <v>4650</v>
      </c>
      <c r="E4028" s="1931" t="s">
        <v>33</v>
      </c>
      <c r="F4028" s="1930" t="s">
        <v>33</v>
      </c>
      <c r="G4028" s="1932">
        <v>94729</v>
      </c>
      <c r="H4028" s="1930" t="s">
        <v>3021</v>
      </c>
      <c r="I4028" s="1930" t="s">
        <v>168</v>
      </c>
      <c r="J4028" s="1930" t="s">
        <v>320</v>
      </c>
      <c r="K4028" s="1933">
        <v>9.65</v>
      </c>
      <c r="L4028" s="1930" t="s">
        <v>138</v>
      </c>
    </row>
    <row r="4029" spans="1:12" ht="13.5" x14ac:dyDescent="0.25">
      <c r="A4029" s="1930" t="s">
        <v>4646</v>
      </c>
      <c r="B4029" s="1930" t="s">
        <v>4647</v>
      </c>
      <c r="C4029" s="1930" t="s">
        <v>4594</v>
      </c>
      <c r="D4029" s="1930" t="s">
        <v>4650</v>
      </c>
      <c r="E4029" s="1931" t="s">
        <v>33</v>
      </c>
      <c r="F4029" s="1930" t="s">
        <v>33</v>
      </c>
      <c r="G4029" s="1932">
        <v>94730</v>
      </c>
      <c r="H4029" s="1930" t="s">
        <v>3022</v>
      </c>
      <c r="I4029" s="1930" t="s">
        <v>168</v>
      </c>
      <c r="J4029" s="1930" t="s">
        <v>320</v>
      </c>
      <c r="K4029" s="1933">
        <v>96.41</v>
      </c>
      <c r="L4029" s="1930" t="s">
        <v>138</v>
      </c>
    </row>
    <row r="4030" spans="1:12" ht="13.5" x14ac:dyDescent="0.25">
      <c r="A4030" s="1930" t="s">
        <v>4646</v>
      </c>
      <c r="B4030" s="1930" t="s">
        <v>4647</v>
      </c>
      <c r="C4030" s="1930" t="s">
        <v>4594</v>
      </c>
      <c r="D4030" s="1930" t="s">
        <v>4650</v>
      </c>
      <c r="E4030" s="1931" t="s">
        <v>33</v>
      </c>
      <c r="F4030" s="1930" t="s">
        <v>33</v>
      </c>
      <c r="G4030" s="1932">
        <v>94731</v>
      </c>
      <c r="H4030" s="1930" t="s">
        <v>3023</v>
      </c>
      <c r="I4030" s="1930" t="s">
        <v>168</v>
      </c>
      <c r="J4030" s="1930" t="s">
        <v>320</v>
      </c>
      <c r="K4030" s="1933">
        <v>11.69</v>
      </c>
      <c r="L4030" s="1930" t="s">
        <v>138</v>
      </c>
    </row>
    <row r="4031" spans="1:12" ht="13.5" x14ac:dyDescent="0.25">
      <c r="A4031" s="1930" t="s">
        <v>4646</v>
      </c>
      <c r="B4031" s="1930" t="s">
        <v>4647</v>
      </c>
      <c r="C4031" s="1930" t="s">
        <v>4594</v>
      </c>
      <c r="D4031" s="1930" t="s">
        <v>4650</v>
      </c>
      <c r="E4031" s="1931" t="s">
        <v>33</v>
      </c>
      <c r="F4031" s="1930" t="s">
        <v>33</v>
      </c>
      <c r="G4031" s="1932">
        <v>94733</v>
      </c>
      <c r="H4031" s="1930" t="s">
        <v>3024</v>
      </c>
      <c r="I4031" s="1930" t="s">
        <v>168</v>
      </c>
      <c r="J4031" s="1930" t="s">
        <v>320</v>
      </c>
      <c r="K4031" s="1933">
        <v>22.24</v>
      </c>
      <c r="L4031" s="1930" t="s">
        <v>138</v>
      </c>
    </row>
    <row r="4032" spans="1:12" ht="13.5" x14ac:dyDescent="0.25">
      <c r="A4032" s="1930" t="s">
        <v>4646</v>
      </c>
      <c r="B4032" s="1930" t="s">
        <v>4647</v>
      </c>
      <c r="C4032" s="1930" t="s">
        <v>4594</v>
      </c>
      <c r="D4032" s="1930" t="s">
        <v>4650</v>
      </c>
      <c r="E4032" s="1931" t="s">
        <v>33</v>
      </c>
      <c r="F4032" s="1930" t="s">
        <v>33</v>
      </c>
      <c r="G4032" s="1932">
        <v>94737</v>
      </c>
      <c r="H4032" s="1930" t="s">
        <v>3025</v>
      </c>
      <c r="I4032" s="1930" t="s">
        <v>168</v>
      </c>
      <c r="J4032" s="1930" t="s">
        <v>320</v>
      </c>
      <c r="K4032" s="1933">
        <v>86.81</v>
      </c>
      <c r="L4032" s="1930" t="s">
        <v>138</v>
      </c>
    </row>
    <row r="4033" spans="1:12" ht="13.5" x14ac:dyDescent="0.25">
      <c r="A4033" s="1930" t="s">
        <v>4646</v>
      </c>
      <c r="B4033" s="1930" t="s">
        <v>4647</v>
      </c>
      <c r="C4033" s="1930" t="s">
        <v>4594</v>
      </c>
      <c r="D4033" s="1930" t="s">
        <v>4650</v>
      </c>
      <c r="E4033" s="1931" t="s">
        <v>33</v>
      </c>
      <c r="F4033" s="1930" t="s">
        <v>33</v>
      </c>
      <c r="G4033" s="1932">
        <v>94740</v>
      </c>
      <c r="H4033" s="1930" t="s">
        <v>3026</v>
      </c>
      <c r="I4033" s="1930" t="s">
        <v>168</v>
      </c>
      <c r="J4033" s="1930" t="s">
        <v>320</v>
      </c>
      <c r="K4033" s="1933">
        <v>6.73</v>
      </c>
      <c r="L4033" s="1930" t="s">
        <v>138</v>
      </c>
    </row>
    <row r="4034" spans="1:12" ht="13.5" x14ac:dyDescent="0.25">
      <c r="A4034" s="1930" t="s">
        <v>4646</v>
      </c>
      <c r="B4034" s="1930" t="s">
        <v>4647</v>
      </c>
      <c r="C4034" s="1930" t="s">
        <v>4594</v>
      </c>
      <c r="D4034" s="1930" t="s">
        <v>4650</v>
      </c>
      <c r="E4034" s="1931" t="s">
        <v>33</v>
      </c>
      <c r="F4034" s="1930" t="s">
        <v>33</v>
      </c>
      <c r="G4034" s="1932">
        <v>94741</v>
      </c>
      <c r="H4034" s="1930" t="s">
        <v>3027</v>
      </c>
      <c r="I4034" s="1930" t="s">
        <v>168</v>
      </c>
      <c r="J4034" s="1930" t="s">
        <v>320</v>
      </c>
      <c r="K4034" s="1933">
        <v>7.96</v>
      </c>
      <c r="L4034" s="1930" t="s">
        <v>138</v>
      </c>
    </row>
    <row r="4035" spans="1:12" ht="13.5" x14ac:dyDescent="0.25">
      <c r="A4035" s="1930" t="s">
        <v>4646</v>
      </c>
      <c r="B4035" s="1930" t="s">
        <v>4647</v>
      </c>
      <c r="C4035" s="1930" t="s">
        <v>4594</v>
      </c>
      <c r="D4035" s="1930" t="s">
        <v>4650</v>
      </c>
      <c r="E4035" s="1931" t="s">
        <v>33</v>
      </c>
      <c r="F4035" s="1930" t="s">
        <v>33</v>
      </c>
      <c r="G4035" s="1932">
        <v>94742</v>
      </c>
      <c r="H4035" s="1930" t="s">
        <v>3028</v>
      </c>
      <c r="I4035" s="1930" t="s">
        <v>168</v>
      </c>
      <c r="J4035" s="1930" t="s">
        <v>320</v>
      </c>
      <c r="K4035" s="1933">
        <v>9.33</v>
      </c>
      <c r="L4035" s="1930" t="s">
        <v>138</v>
      </c>
    </row>
    <row r="4036" spans="1:12" ht="13.5" x14ac:dyDescent="0.25">
      <c r="A4036" s="1930" t="s">
        <v>4646</v>
      </c>
      <c r="B4036" s="1930" t="s">
        <v>4647</v>
      </c>
      <c r="C4036" s="1930" t="s">
        <v>4594</v>
      </c>
      <c r="D4036" s="1930" t="s">
        <v>4650</v>
      </c>
      <c r="E4036" s="1931" t="s">
        <v>33</v>
      </c>
      <c r="F4036" s="1930" t="s">
        <v>33</v>
      </c>
      <c r="G4036" s="1932">
        <v>94743</v>
      </c>
      <c r="H4036" s="1930" t="s">
        <v>3029</v>
      </c>
      <c r="I4036" s="1930" t="s">
        <v>168</v>
      </c>
      <c r="J4036" s="1930" t="s">
        <v>320</v>
      </c>
      <c r="K4036" s="1933">
        <v>10.11</v>
      </c>
      <c r="L4036" s="1930" t="s">
        <v>138</v>
      </c>
    </row>
    <row r="4037" spans="1:12" ht="13.5" x14ac:dyDescent="0.25">
      <c r="A4037" s="1930" t="s">
        <v>4646</v>
      </c>
      <c r="B4037" s="1930" t="s">
        <v>4647</v>
      </c>
      <c r="C4037" s="1930" t="s">
        <v>4594</v>
      </c>
      <c r="D4037" s="1930" t="s">
        <v>4650</v>
      </c>
      <c r="E4037" s="1931" t="s">
        <v>33</v>
      </c>
      <c r="F4037" s="1930" t="s">
        <v>33</v>
      </c>
      <c r="G4037" s="1932">
        <v>94744</v>
      </c>
      <c r="H4037" s="1930" t="s">
        <v>3030</v>
      </c>
      <c r="I4037" s="1930" t="s">
        <v>168</v>
      </c>
      <c r="J4037" s="1930" t="s">
        <v>320</v>
      </c>
      <c r="K4037" s="1933">
        <v>14.48</v>
      </c>
      <c r="L4037" s="1930" t="s">
        <v>138</v>
      </c>
    </row>
    <row r="4038" spans="1:12" ht="13.5" x14ac:dyDescent="0.25">
      <c r="A4038" s="1930" t="s">
        <v>4646</v>
      </c>
      <c r="B4038" s="1930" t="s">
        <v>4647</v>
      </c>
      <c r="C4038" s="1930" t="s">
        <v>4594</v>
      </c>
      <c r="D4038" s="1930" t="s">
        <v>4650</v>
      </c>
      <c r="E4038" s="1931" t="s">
        <v>33</v>
      </c>
      <c r="F4038" s="1930" t="s">
        <v>33</v>
      </c>
      <c r="G4038" s="1932">
        <v>94746</v>
      </c>
      <c r="H4038" s="1930" t="s">
        <v>3031</v>
      </c>
      <c r="I4038" s="1930" t="s">
        <v>168</v>
      </c>
      <c r="J4038" s="1930" t="s">
        <v>320</v>
      </c>
      <c r="K4038" s="1933">
        <v>19.649999999999999</v>
      </c>
      <c r="L4038" s="1930" t="s">
        <v>138</v>
      </c>
    </row>
    <row r="4039" spans="1:12" ht="13.5" x14ac:dyDescent="0.25">
      <c r="A4039" s="1930" t="s">
        <v>4646</v>
      </c>
      <c r="B4039" s="1930" t="s">
        <v>4647</v>
      </c>
      <c r="C4039" s="1930" t="s">
        <v>4594</v>
      </c>
      <c r="D4039" s="1930" t="s">
        <v>4650</v>
      </c>
      <c r="E4039" s="1931" t="s">
        <v>33</v>
      </c>
      <c r="F4039" s="1930" t="s">
        <v>33</v>
      </c>
      <c r="G4039" s="1932">
        <v>94748</v>
      </c>
      <c r="H4039" s="1930" t="s">
        <v>3032</v>
      </c>
      <c r="I4039" s="1930" t="s">
        <v>168</v>
      </c>
      <c r="J4039" s="1930" t="s">
        <v>320</v>
      </c>
      <c r="K4039" s="1933">
        <v>39.700000000000003</v>
      </c>
      <c r="L4039" s="1930" t="s">
        <v>138</v>
      </c>
    </row>
    <row r="4040" spans="1:12" ht="13.5" x14ac:dyDescent="0.25">
      <c r="A4040" s="1930" t="s">
        <v>4646</v>
      </c>
      <c r="B4040" s="1930" t="s">
        <v>4647</v>
      </c>
      <c r="C4040" s="1930" t="s">
        <v>4594</v>
      </c>
      <c r="D4040" s="1930" t="s">
        <v>4650</v>
      </c>
      <c r="E4040" s="1931" t="s">
        <v>33</v>
      </c>
      <c r="F4040" s="1930" t="s">
        <v>33</v>
      </c>
      <c r="G4040" s="1932">
        <v>94750</v>
      </c>
      <c r="H4040" s="1930" t="s">
        <v>3033</v>
      </c>
      <c r="I4040" s="1930" t="s">
        <v>168</v>
      </c>
      <c r="J4040" s="1930" t="s">
        <v>320</v>
      </c>
      <c r="K4040" s="1933">
        <v>88.63</v>
      </c>
      <c r="L4040" s="1930" t="s">
        <v>138</v>
      </c>
    </row>
    <row r="4041" spans="1:12" ht="13.5" x14ac:dyDescent="0.25">
      <c r="A4041" s="1930" t="s">
        <v>4646</v>
      </c>
      <c r="B4041" s="1930" t="s">
        <v>4647</v>
      </c>
      <c r="C4041" s="1930" t="s">
        <v>4594</v>
      </c>
      <c r="D4041" s="1930" t="s">
        <v>4650</v>
      </c>
      <c r="E4041" s="1931" t="s">
        <v>33</v>
      </c>
      <c r="F4041" s="1930" t="s">
        <v>33</v>
      </c>
      <c r="G4041" s="1932">
        <v>94752</v>
      </c>
      <c r="H4041" s="1930" t="s">
        <v>3034</v>
      </c>
      <c r="I4041" s="1930" t="s">
        <v>168</v>
      </c>
      <c r="J4041" s="1930" t="s">
        <v>320</v>
      </c>
      <c r="K4041" s="1933">
        <v>110.99</v>
      </c>
      <c r="L4041" s="1930" t="s">
        <v>138</v>
      </c>
    </row>
    <row r="4042" spans="1:12" ht="13.5" x14ac:dyDescent="0.25">
      <c r="A4042" s="1930" t="s">
        <v>4646</v>
      </c>
      <c r="B4042" s="1930" t="s">
        <v>4647</v>
      </c>
      <c r="C4042" s="1930" t="s">
        <v>4594</v>
      </c>
      <c r="D4042" s="1930" t="s">
        <v>4650</v>
      </c>
      <c r="E4042" s="1931" t="s">
        <v>33</v>
      </c>
      <c r="F4042" s="1930" t="s">
        <v>33</v>
      </c>
      <c r="G4042" s="1932">
        <v>94756</v>
      </c>
      <c r="H4042" s="1930" t="s">
        <v>3035</v>
      </c>
      <c r="I4042" s="1930" t="s">
        <v>168</v>
      </c>
      <c r="J4042" s="1930" t="s">
        <v>320</v>
      </c>
      <c r="K4042" s="1933">
        <v>8.66</v>
      </c>
      <c r="L4042" s="1930" t="s">
        <v>138</v>
      </c>
    </row>
    <row r="4043" spans="1:12" ht="13.5" x14ac:dyDescent="0.25">
      <c r="A4043" s="1930" t="s">
        <v>4646</v>
      </c>
      <c r="B4043" s="1930" t="s">
        <v>4647</v>
      </c>
      <c r="C4043" s="1930" t="s">
        <v>4594</v>
      </c>
      <c r="D4043" s="1930" t="s">
        <v>4650</v>
      </c>
      <c r="E4043" s="1931" t="s">
        <v>33</v>
      </c>
      <c r="F4043" s="1930" t="s">
        <v>33</v>
      </c>
      <c r="G4043" s="1932">
        <v>94757</v>
      </c>
      <c r="H4043" s="1930" t="s">
        <v>3036</v>
      </c>
      <c r="I4043" s="1930" t="s">
        <v>168</v>
      </c>
      <c r="J4043" s="1930" t="s">
        <v>320</v>
      </c>
      <c r="K4043" s="1933">
        <v>10.98</v>
      </c>
      <c r="L4043" s="1930" t="s">
        <v>138</v>
      </c>
    </row>
    <row r="4044" spans="1:12" ht="13.5" x14ac:dyDescent="0.25">
      <c r="A4044" s="1930" t="s">
        <v>4646</v>
      </c>
      <c r="B4044" s="1930" t="s">
        <v>4647</v>
      </c>
      <c r="C4044" s="1930" t="s">
        <v>4594</v>
      </c>
      <c r="D4044" s="1930" t="s">
        <v>4650</v>
      </c>
      <c r="E4044" s="1931" t="s">
        <v>33</v>
      </c>
      <c r="F4044" s="1930" t="s">
        <v>33</v>
      </c>
      <c r="G4044" s="1932">
        <v>94758</v>
      </c>
      <c r="H4044" s="1930" t="s">
        <v>3037</v>
      </c>
      <c r="I4044" s="1930" t="s">
        <v>168</v>
      </c>
      <c r="J4044" s="1930" t="s">
        <v>320</v>
      </c>
      <c r="K4044" s="1933">
        <v>25.27</v>
      </c>
      <c r="L4044" s="1930" t="s">
        <v>138</v>
      </c>
    </row>
    <row r="4045" spans="1:12" ht="13.5" x14ac:dyDescent="0.25">
      <c r="A4045" s="1930" t="s">
        <v>4646</v>
      </c>
      <c r="B4045" s="1930" t="s">
        <v>4647</v>
      </c>
      <c r="C4045" s="1930" t="s">
        <v>4594</v>
      </c>
      <c r="D4045" s="1930" t="s">
        <v>4650</v>
      </c>
      <c r="E4045" s="1931" t="s">
        <v>33</v>
      </c>
      <c r="F4045" s="1930" t="s">
        <v>33</v>
      </c>
      <c r="G4045" s="1932">
        <v>94759</v>
      </c>
      <c r="H4045" s="1930" t="s">
        <v>3038</v>
      </c>
      <c r="I4045" s="1930" t="s">
        <v>168</v>
      </c>
      <c r="J4045" s="1930" t="s">
        <v>320</v>
      </c>
      <c r="K4045" s="1933">
        <v>30.43</v>
      </c>
      <c r="L4045" s="1930" t="s">
        <v>138</v>
      </c>
    </row>
    <row r="4046" spans="1:12" ht="13.5" x14ac:dyDescent="0.25">
      <c r="A4046" s="1930" t="s">
        <v>4646</v>
      </c>
      <c r="B4046" s="1930" t="s">
        <v>4647</v>
      </c>
      <c r="C4046" s="1930" t="s">
        <v>4594</v>
      </c>
      <c r="D4046" s="1930" t="s">
        <v>4650</v>
      </c>
      <c r="E4046" s="1931" t="s">
        <v>33</v>
      </c>
      <c r="F4046" s="1930" t="s">
        <v>33</v>
      </c>
      <c r="G4046" s="1932">
        <v>94760</v>
      </c>
      <c r="H4046" s="1930" t="s">
        <v>3039</v>
      </c>
      <c r="I4046" s="1930" t="s">
        <v>168</v>
      </c>
      <c r="J4046" s="1930" t="s">
        <v>320</v>
      </c>
      <c r="K4046" s="1933">
        <v>50.21</v>
      </c>
      <c r="L4046" s="1930" t="s">
        <v>138</v>
      </c>
    </row>
    <row r="4047" spans="1:12" ht="13.5" x14ac:dyDescent="0.25">
      <c r="A4047" s="1930" t="s">
        <v>4646</v>
      </c>
      <c r="B4047" s="1930" t="s">
        <v>4647</v>
      </c>
      <c r="C4047" s="1930" t="s">
        <v>4594</v>
      </c>
      <c r="D4047" s="1930" t="s">
        <v>4650</v>
      </c>
      <c r="E4047" s="1931" t="s">
        <v>33</v>
      </c>
      <c r="F4047" s="1930" t="s">
        <v>33</v>
      </c>
      <c r="G4047" s="1932">
        <v>94761</v>
      </c>
      <c r="H4047" s="1930" t="s">
        <v>3040</v>
      </c>
      <c r="I4047" s="1930" t="s">
        <v>168</v>
      </c>
      <c r="J4047" s="1930" t="s">
        <v>320</v>
      </c>
      <c r="K4047" s="1933">
        <v>101.93</v>
      </c>
      <c r="L4047" s="1930" t="s">
        <v>138</v>
      </c>
    </row>
    <row r="4048" spans="1:12" ht="13.5" x14ac:dyDescent="0.25">
      <c r="A4048" s="1930" t="s">
        <v>4646</v>
      </c>
      <c r="B4048" s="1930" t="s">
        <v>4647</v>
      </c>
      <c r="C4048" s="1930" t="s">
        <v>4594</v>
      </c>
      <c r="D4048" s="1930" t="s">
        <v>4650</v>
      </c>
      <c r="E4048" s="1931" t="s">
        <v>33</v>
      </c>
      <c r="F4048" s="1930" t="s">
        <v>33</v>
      </c>
      <c r="G4048" s="1932">
        <v>94762</v>
      </c>
      <c r="H4048" s="1930" t="s">
        <v>3041</v>
      </c>
      <c r="I4048" s="1930" t="s">
        <v>168</v>
      </c>
      <c r="J4048" s="1930" t="s">
        <v>320</v>
      </c>
      <c r="K4048" s="1933">
        <v>134.01</v>
      </c>
      <c r="L4048" s="1930" t="s">
        <v>138</v>
      </c>
    </row>
    <row r="4049" spans="1:12" ht="13.5" x14ac:dyDescent="0.25">
      <c r="A4049" s="1930" t="s">
        <v>4646</v>
      </c>
      <c r="B4049" s="1930" t="s">
        <v>4647</v>
      </c>
      <c r="C4049" s="1930" t="s">
        <v>4594</v>
      </c>
      <c r="D4049" s="1930" t="s">
        <v>4650</v>
      </c>
      <c r="E4049" s="1931" t="s">
        <v>33</v>
      </c>
      <c r="F4049" s="1930" t="s">
        <v>33</v>
      </c>
      <c r="G4049" s="1932">
        <v>94783</v>
      </c>
      <c r="H4049" s="1930" t="s">
        <v>3042</v>
      </c>
      <c r="I4049" s="1930" t="s">
        <v>168</v>
      </c>
      <c r="J4049" s="1930" t="s">
        <v>320</v>
      </c>
      <c r="K4049" s="1933">
        <v>13.45</v>
      </c>
      <c r="L4049" s="1930" t="s">
        <v>138</v>
      </c>
    </row>
    <row r="4050" spans="1:12" ht="13.5" x14ac:dyDescent="0.25">
      <c r="A4050" s="1930" t="s">
        <v>4646</v>
      </c>
      <c r="B4050" s="1930" t="s">
        <v>4647</v>
      </c>
      <c r="C4050" s="1930" t="s">
        <v>4594</v>
      </c>
      <c r="D4050" s="1930" t="s">
        <v>4650</v>
      </c>
      <c r="E4050" s="1931" t="s">
        <v>33</v>
      </c>
      <c r="F4050" s="1930" t="s">
        <v>33</v>
      </c>
      <c r="G4050" s="1932">
        <v>94785</v>
      </c>
      <c r="H4050" s="1930" t="s">
        <v>3043</v>
      </c>
      <c r="I4050" s="1930" t="s">
        <v>168</v>
      </c>
      <c r="J4050" s="1930" t="s">
        <v>320</v>
      </c>
      <c r="K4050" s="1933">
        <v>24.29</v>
      </c>
      <c r="L4050" s="1930" t="s">
        <v>138</v>
      </c>
    </row>
    <row r="4051" spans="1:12" ht="13.5" x14ac:dyDescent="0.25">
      <c r="A4051" s="1930" t="s">
        <v>4646</v>
      </c>
      <c r="B4051" s="1930" t="s">
        <v>4647</v>
      </c>
      <c r="C4051" s="1930" t="s">
        <v>4594</v>
      </c>
      <c r="D4051" s="1930" t="s">
        <v>4650</v>
      </c>
      <c r="E4051" s="1931" t="s">
        <v>33</v>
      </c>
      <c r="F4051" s="1930" t="s">
        <v>33</v>
      </c>
      <c r="G4051" s="1932">
        <v>94786</v>
      </c>
      <c r="H4051" s="1930" t="s">
        <v>3044</v>
      </c>
      <c r="I4051" s="1930" t="s">
        <v>168</v>
      </c>
      <c r="J4051" s="1930" t="s">
        <v>320</v>
      </c>
      <c r="K4051" s="1933">
        <v>31.35</v>
      </c>
      <c r="L4051" s="1930" t="s">
        <v>138</v>
      </c>
    </row>
    <row r="4052" spans="1:12" ht="13.5" x14ac:dyDescent="0.25">
      <c r="A4052" s="1930" t="s">
        <v>4646</v>
      </c>
      <c r="B4052" s="1930" t="s">
        <v>4647</v>
      </c>
      <c r="C4052" s="1930" t="s">
        <v>4594</v>
      </c>
      <c r="D4052" s="1930" t="s">
        <v>4650</v>
      </c>
      <c r="E4052" s="1931" t="s">
        <v>33</v>
      </c>
      <c r="F4052" s="1930" t="s">
        <v>33</v>
      </c>
      <c r="G4052" s="1932">
        <v>94787</v>
      </c>
      <c r="H4052" s="1930" t="s">
        <v>3045</v>
      </c>
      <c r="I4052" s="1930" t="s">
        <v>168</v>
      </c>
      <c r="J4052" s="1930" t="s">
        <v>320</v>
      </c>
      <c r="K4052" s="1933">
        <v>41.95</v>
      </c>
      <c r="L4052" s="1930" t="s">
        <v>138</v>
      </c>
    </row>
    <row r="4053" spans="1:12" ht="13.5" x14ac:dyDescent="0.25">
      <c r="A4053" s="1930" t="s">
        <v>4646</v>
      </c>
      <c r="B4053" s="1930" t="s">
        <v>4647</v>
      </c>
      <c r="C4053" s="1930" t="s">
        <v>4594</v>
      </c>
      <c r="D4053" s="1930" t="s">
        <v>4650</v>
      </c>
      <c r="E4053" s="1931" t="s">
        <v>33</v>
      </c>
      <c r="F4053" s="1930" t="s">
        <v>33</v>
      </c>
      <c r="G4053" s="1932">
        <v>94788</v>
      </c>
      <c r="H4053" s="1930" t="s">
        <v>3046</v>
      </c>
      <c r="I4053" s="1930" t="s">
        <v>168</v>
      </c>
      <c r="J4053" s="1930" t="s">
        <v>320</v>
      </c>
      <c r="K4053" s="1933">
        <v>59.71</v>
      </c>
      <c r="L4053" s="1930" t="s">
        <v>138</v>
      </c>
    </row>
    <row r="4054" spans="1:12" ht="13.5" x14ac:dyDescent="0.25">
      <c r="A4054" s="1930" t="s">
        <v>4646</v>
      </c>
      <c r="B4054" s="1930" t="s">
        <v>4647</v>
      </c>
      <c r="C4054" s="1930" t="s">
        <v>4594</v>
      </c>
      <c r="D4054" s="1930" t="s">
        <v>4650</v>
      </c>
      <c r="E4054" s="1931" t="s">
        <v>33</v>
      </c>
      <c r="F4054" s="1930" t="s">
        <v>33</v>
      </c>
      <c r="G4054" s="1932">
        <v>94789</v>
      </c>
      <c r="H4054" s="1930" t="s">
        <v>3047</v>
      </c>
      <c r="I4054" s="1930" t="s">
        <v>168</v>
      </c>
      <c r="J4054" s="1930" t="s">
        <v>320</v>
      </c>
      <c r="K4054" s="1933">
        <v>182.95</v>
      </c>
      <c r="L4054" s="1930" t="s">
        <v>138</v>
      </c>
    </row>
    <row r="4055" spans="1:12" ht="13.5" x14ac:dyDescent="0.25">
      <c r="A4055" s="1930" t="s">
        <v>4646</v>
      </c>
      <c r="B4055" s="1930" t="s">
        <v>4647</v>
      </c>
      <c r="C4055" s="1930" t="s">
        <v>4594</v>
      </c>
      <c r="D4055" s="1930" t="s">
        <v>4650</v>
      </c>
      <c r="E4055" s="1931" t="s">
        <v>33</v>
      </c>
      <c r="F4055" s="1930" t="s">
        <v>33</v>
      </c>
      <c r="G4055" s="1932">
        <v>94790</v>
      </c>
      <c r="H4055" s="1930" t="s">
        <v>3048</v>
      </c>
      <c r="I4055" s="1930" t="s">
        <v>168</v>
      </c>
      <c r="J4055" s="1930" t="s">
        <v>320</v>
      </c>
      <c r="K4055" s="1933">
        <v>211.3</v>
      </c>
      <c r="L4055" s="1930" t="s">
        <v>138</v>
      </c>
    </row>
    <row r="4056" spans="1:12" ht="13.5" x14ac:dyDescent="0.25">
      <c r="A4056" s="1930" t="s">
        <v>4646</v>
      </c>
      <c r="B4056" s="1930" t="s">
        <v>4647</v>
      </c>
      <c r="C4056" s="1930" t="s">
        <v>4594</v>
      </c>
      <c r="D4056" s="1930" t="s">
        <v>4650</v>
      </c>
      <c r="E4056" s="1931" t="s">
        <v>33</v>
      </c>
      <c r="F4056" s="1930" t="s">
        <v>33</v>
      </c>
      <c r="G4056" s="1932">
        <v>94791</v>
      </c>
      <c r="H4056" s="1930" t="s">
        <v>3049</v>
      </c>
      <c r="I4056" s="1930" t="s">
        <v>168</v>
      </c>
      <c r="J4056" s="1930" t="s">
        <v>320</v>
      </c>
      <c r="K4056" s="1933">
        <v>295.17</v>
      </c>
      <c r="L4056" s="1930" t="s">
        <v>138</v>
      </c>
    </row>
    <row r="4057" spans="1:12" ht="13.5" x14ac:dyDescent="0.25">
      <c r="A4057" s="1930" t="s">
        <v>4646</v>
      </c>
      <c r="B4057" s="1930" t="s">
        <v>4647</v>
      </c>
      <c r="C4057" s="1930" t="s">
        <v>4594</v>
      </c>
      <c r="D4057" s="1930" t="s">
        <v>4650</v>
      </c>
      <c r="E4057" s="1931" t="s">
        <v>33</v>
      </c>
      <c r="F4057" s="1930" t="s">
        <v>33</v>
      </c>
      <c r="G4057" s="1932">
        <v>94863</v>
      </c>
      <c r="H4057" s="1930" t="s">
        <v>3050</v>
      </c>
      <c r="I4057" s="1930" t="s">
        <v>168</v>
      </c>
      <c r="J4057" s="1930" t="s">
        <v>320</v>
      </c>
      <c r="K4057" s="1933">
        <v>72.209999999999994</v>
      </c>
      <c r="L4057" s="1930" t="s">
        <v>138</v>
      </c>
    </row>
    <row r="4058" spans="1:12" ht="13.5" x14ac:dyDescent="0.25">
      <c r="A4058" s="1930" t="s">
        <v>4646</v>
      </c>
      <c r="B4058" s="1930" t="s">
        <v>4647</v>
      </c>
      <c r="C4058" s="1930" t="s">
        <v>4594</v>
      </c>
      <c r="D4058" s="1930" t="s">
        <v>4650</v>
      </c>
      <c r="E4058" s="1931" t="s">
        <v>33</v>
      </c>
      <c r="F4058" s="1930" t="s">
        <v>33</v>
      </c>
      <c r="G4058" s="1932">
        <v>95141</v>
      </c>
      <c r="H4058" s="1930" t="s">
        <v>3051</v>
      </c>
      <c r="I4058" s="1930" t="s">
        <v>168</v>
      </c>
      <c r="J4058" s="1930" t="s">
        <v>320</v>
      </c>
      <c r="K4058" s="1933">
        <v>22.75</v>
      </c>
      <c r="L4058" s="1930" t="s">
        <v>138</v>
      </c>
    </row>
    <row r="4059" spans="1:12" ht="13.5" x14ac:dyDescent="0.25">
      <c r="A4059" s="1930" t="s">
        <v>4646</v>
      </c>
      <c r="B4059" s="1930" t="s">
        <v>4647</v>
      </c>
      <c r="C4059" s="1930" t="s">
        <v>4594</v>
      </c>
      <c r="D4059" s="1930" t="s">
        <v>4650</v>
      </c>
      <c r="E4059" s="1931" t="s">
        <v>33</v>
      </c>
      <c r="F4059" s="1930" t="s">
        <v>33</v>
      </c>
      <c r="G4059" s="1932">
        <v>95237</v>
      </c>
      <c r="H4059" s="1930" t="s">
        <v>3052</v>
      </c>
      <c r="I4059" s="1930" t="s">
        <v>168</v>
      </c>
      <c r="J4059" s="1930" t="s">
        <v>320</v>
      </c>
      <c r="K4059" s="1933">
        <v>17.399999999999999</v>
      </c>
      <c r="L4059" s="1930" t="s">
        <v>138</v>
      </c>
    </row>
    <row r="4060" spans="1:12" ht="13.5" x14ac:dyDescent="0.25">
      <c r="A4060" s="1930" t="s">
        <v>4646</v>
      </c>
      <c r="B4060" s="1930" t="s">
        <v>4647</v>
      </c>
      <c r="C4060" s="1930" t="s">
        <v>4594</v>
      </c>
      <c r="D4060" s="1930" t="s">
        <v>4650</v>
      </c>
      <c r="E4060" s="1931" t="s">
        <v>33</v>
      </c>
      <c r="F4060" s="1930" t="s">
        <v>33</v>
      </c>
      <c r="G4060" s="1932">
        <v>95693</v>
      </c>
      <c r="H4060" s="1930" t="s">
        <v>3053</v>
      </c>
      <c r="I4060" s="1930" t="s">
        <v>168</v>
      </c>
      <c r="J4060" s="1930" t="s">
        <v>320</v>
      </c>
      <c r="K4060" s="1933">
        <v>35.799999999999997</v>
      </c>
      <c r="L4060" s="1930" t="s">
        <v>138</v>
      </c>
    </row>
    <row r="4061" spans="1:12" ht="13.5" x14ac:dyDescent="0.25">
      <c r="A4061" s="1930" t="s">
        <v>4646</v>
      </c>
      <c r="B4061" s="1930" t="s">
        <v>4647</v>
      </c>
      <c r="C4061" s="1930" t="s">
        <v>4594</v>
      </c>
      <c r="D4061" s="1930" t="s">
        <v>4650</v>
      </c>
      <c r="E4061" s="1931" t="s">
        <v>33</v>
      </c>
      <c r="F4061" s="1930" t="s">
        <v>33</v>
      </c>
      <c r="G4061" s="1932">
        <v>95694</v>
      </c>
      <c r="H4061" s="1930" t="s">
        <v>3054</v>
      </c>
      <c r="I4061" s="1930" t="s">
        <v>168</v>
      </c>
      <c r="J4061" s="1930" t="s">
        <v>320</v>
      </c>
      <c r="K4061" s="1933">
        <v>45.62</v>
      </c>
      <c r="L4061" s="1930" t="s">
        <v>138</v>
      </c>
    </row>
    <row r="4062" spans="1:12" ht="13.5" x14ac:dyDescent="0.25">
      <c r="A4062" s="1930" t="s">
        <v>4646</v>
      </c>
      <c r="B4062" s="1930" t="s">
        <v>4647</v>
      </c>
      <c r="C4062" s="1930" t="s">
        <v>4594</v>
      </c>
      <c r="D4062" s="1930" t="s">
        <v>4650</v>
      </c>
      <c r="E4062" s="1931" t="s">
        <v>33</v>
      </c>
      <c r="F4062" s="1930" t="s">
        <v>33</v>
      </c>
      <c r="G4062" s="1932">
        <v>95695</v>
      </c>
      <c r="H4062" s="1930" t="s">
        <v>3055</v>
      </c>
      <c r="I4062" s="1930" t="s">
        <v>168</v>
      </c>
      <c r="J4062" s="1930" t="s">
        <v>320</v>
      </c>
      <c r="K4062" s="1933">
        <v>44.21</v>
      </c>
      <c r="L4062" s="1930" t="s">
        <v>138</v>
      </c>
    </row>
    <row r="4063" spans="1:12" ht="13.5" x14ac:dyDescent="0.25">
      <c r="A4063" s="1930" t="s">
        <v>4646</v>
      </c>
      <c r="B4063" s="1930" t="s">
        <v>4647</v>
      </c>
      <c r="C4063" s="1930" t="s">
        <v>4594</v>
      </c>
      <c r="D4063" s="1930" t="s">
        <v>4650</v>
      </c>
      <c r="E4063" s="1931" t="s">
        <v>33</v>
      </c>
      <c r="F4063" s="1930" t="s">
        <v>33</v>
      </c>
      <c r="G4063" s="1932">
        <v>95696</v>
      </c>
      <c r="H4063" s="1930" t="s">
        <v>5495</v>
      </c>
      <c r="I4063" s="1930" t="s">
        <v>168</v>
      </c>
      <c r="J4063" s="1930" t="s">
        <v>320</v>
      </c>
      <c r="K4063" s="1933">
        <v>31.59</v>
      </c>
      <c r="L4063" s="1930" t="s">
        <v>138</v>
      </c>
    </row>
    <row r="4064" spans="1:12" ht="13.5" x14ac:dyDescent="0.25">
      <c r="A4064" s="1930" t="s">
        <v>4646</v>
      </c>
      <c r="B4064" s="1930" t="s">
        <v>4647</v>
      </c>
      <c r="C4064" s="1930" t="s">
        <v>4594</v>
      </c>
      <c r="D4064" s="1930" t="s">
        <v>4650</v>
      </c>
      <c r="E4064" s="1931" t="s">
        <v>33</v>
      </c>
      <c r="F4064" s="1930" t="s">
        <v>33</v>
      </c>
      <c r="G4064" s="1932">
        <v>96637</v>
      </c>
      <c r="H4064" s="1930" t="s">
        <v>3056</v>
      </c>
      <c r="I4064" s="1930" t="s">
        <v>168</v>
      </c>
      <c r="J4064" s="1930" t="s">
        <v>137</v>
      </c>
      <c r="K4064" s="1933">
        <v>10.29</v>
      </c>
      <c r="L4064" s="1930" t="s">
        <v>138</v>
      </c>
    </row>
    <row r="4065" spans="1:12" ht="13.5" x14ac:dyDescent="0.25">
      <c r="A4065" s="1930" t="s">
        <v>4646</v>
      </c>
      <c r="B4065" s="1930" t="s">
        <v>4647</v>
      </c>
      <c r="C4065" s="1930" t="s">
        <v>4594</v>
      </c>
      <c r="D4065" s="1930" t="s">
        <v>4650</v>
      </c>
      <c r="E4065" s="1931" t="s">
        <v>33</v>
      </c>
      <c r="F4065" s="1930" t="s">
        <v>33</v>
      </c>
      <c r="G4065" s="1932">
        <v>96638</v>
      </c>
      <c r="H4065" s="1930" t="s">
        <v>3057</v>
      </c>
      <c r="I4065" s="1930" t="s">
        <v>168</v>
      </c>
      <c r="J4065" s="1930" t="s">
        <v>137</v>
      </c>
      <c r="K4065" s="1933">
        <v>9.92</v>
      </c>
      <c r="L4065" s="1930" t="s">
        <v>138</v>
      </c>
    </row>
    <row r="4066" spans="1:12" ht="13.5" x14ac:dyDescent="0.25">
      <c r="A4066" s="1930" t="s">
        <v>4646</v>
      </c>
      <c r="B4066" s="1930" t="s">
        <v>4647</v>
      </c>
      <c r="C4066" s="1930" t="s">
        <v>4594</v>
      </c>
      <c r="D4066" s="1930" t="s">
        <v>4650</v>
      </c>
      <c r="E4066" s="1931" t="s">
        <v>33</v>
      </c>
      <c r="F4066" s="1930" t="s">
        <v>33</v>
      </c>
      <c r="G4066" s="1932">
        <v>96639</v>
      </c>
      <c r="H4066" s="1930" t="s">
        <v>3058</v>
      </c>
      <c r="I4066" s="1930" t="s">
        <v>168</v>
      </c>
      <c r="J4066" s="1930" t="s">
        <v>137</v>
      </c>
      <c r="K4066" s="1933">
        <v>7.16</v>
      </c>
      <c r="L4066" s="1930" t="s">
        <v>138</v>
      </c>
    </row>
    <row r="4067" spans="1:12" ht="13.5" x14ac:dyDescent="0.25">
      <c r="A4067" s="1930" t="s">
        <v>4646</v>
      </c>
      <c r="B4067" s="1930" t="s">
        <v>4647</v>
      </c>
      <c r="C4067" s="1930" t="s">
        <v>4594</v>
      </c>
      <c r="D4067" s="1930" t="s">
        <v>4650</v>
      </c>
      <c r="E4067" s="1931" t="s">
        <v>33</v>
      </c>
      <c r="F4067" s="1930" t="s">
        <v>33</v>
      </c>
      <c r="G4067" s="1932">
        <v>96640</v>
      </c>
      <c r="H4067" s="1930" t="s">
        <v>3059</v>
      </c>
      <c r="I4067" s="1930" t="s">
        <v>168</v>
      </c>
      <c r="J4067" s="1930" t="s">
        <v>137</v>
      </c>
      <c r="K4067" s="1933">
        <v>17.309999999999999</v>
      </c>
      <c r="L4067" s="1930" t="s">
        <v>138</v>
      </c>
    </row>
    <row r="4068" spans="1:12" ht="13.5" x14ac:dyDescent="0.25">
      <c r="A4068" s="1930" t="s">
        <v>4646</v>
      </c>
      <c r="B4068" s="1930" t="s">
        <v>4647</v>
      </c>
      <c r="C4068" s="1930" t="s">
        <v>4594</v>
      </c>
      <c r="D4068" s="1930" t="s">
        <v>4650</v>
      </c>
      <c r="E4068" s="1931" t="s">
        <v>33</v>
      </c>
      <c r="F4068" s="1930" t="s">
        <v>33</v>
      </c>
      <c r="G4068" s="1932">
        <v>96641</v>
      </c>
      <c r="H4068" s="1930" t="s">
        <v>3060</v>
      </c>
      <c r="I4068" s="1930" t="s">
        <v>168</v>
      </c>
      <c r="J4068" s="1930" t="s">
        <v>137</v>
      </c>
      <c r="K4068" s="1933">
        <v>13.68</v>
      </c>
      <c r="L4068" s="1930" t="s">
        <v>138</v>
      </c>
    </row>
    <row r="4069" spans="1:12" ht="13.5" x14ac:dyDescent="0.25">
      <c r="A4069" s="1930" t="s">
        <v>4646</v>
      </c>
      <c r="B4069" s="1930" t="s">
        <v>4647</v>
      </c>
      <c r="C4069" s="1930" t="s">
        <v>4594</v>
      </c>
      <c r="D4069" s="1930" t="s">
        <v>4650</v>
      </c>
      <c r="E4069" s="1931" t="s">
        <v>33</v>
      </c>
      <c r="F4069" s="1930" t="s">
        <v>33</v>
      </c>
      <c r="G4069" s="1932">
        <v>96642</v>
      </c>
      <c r="H4069" s="1930" t="s">
        <v>3061</v>
      </c>
      <c r="I4069" s="1930" t="s">
        <v>168</v>
      </c>
      <c r="J4069" s="1930" t="s">
        <v>137</v>
      </c>
      <c r="K4069" s="1933">
        <v>13.63</v>
      </c>
      <c r="L4069" s="1930" t="s">
        <v>138</v>
      </c>
    </row>
    <row r="4070" spans="1:12" ht="13.5" x14ac:dyDescent="0.25">
      <c r="A4070" s="1930" t="s">
        <v>4646</v>
      </c>
      <c r="B4070" s="1930" t="s">
        <v>4647</v>
      </c>
      <c r="C4070" s="1930" t="s">
        <v>4594</v>
      </c>
      <c r="D4070" s="1930" t="s">
        <v>4650</v>
      </c>
      <c r="E4070" s="1931" t="s">
        <v>33</v>
      </c>
      <c r="F4070" s="1930" t="s">
        <v>33</v>
      </c>
      <c r="G4070" s="1932">
        <v>96643</v>
      </c>
      <c r="H4070" s="1930" t="s">
        <v>3062</v>
      </c>
      <c r="I4070" s="1930" t="s">
        <v>168</v>
      </c>
      <c r="J4070" s="1930" t="s">
        <v>137</v>
      </c>
      <c r="K4070" s="1933">
        <v>34.89</v>
      </c>
      <c r="L4070" s="1930" t="s">
        <v>138</v>
      </c>
    </row>
    <row r="4071" spans="1:12" ht="13.5" x14ac:dyDescent="0.25">
      <c r="A4071" s="1930" t="s">
        <v>4646</v>
      </c>
      <c r="B4071" s="1930" t="s">
        <v>4647</v>
      </c>
      <c r="C4071" s="1930" t="s">
        <v>4594</v>
      </c>
      <c r="D4071" s="1930" t="s">
        <v>4650</v>
      </c>
      <c r="E4071" s="1931" t="s">
        <v>33</v>
      </c>
      <c r="F4071" s="1930" t="s">
        <v>33</v>
      </c>
      <c r="G4071" s="1932">
        <v>96650</v>
      </c>
      <c r="H4071" s="1930" t="s">
        <v>3063</v>
      </c>
      <c r="I4071" s="1930" t="s">
        <v>168</v>
      </c>
      <c r="J4071" s="1930" t="s">
        <v>137</v>
      </c>
      <c r="K4071" s="1933">
        <v>7.61</v>
      </c>
      <c r="L4071" s="1930" t="s">
        <v>138</v>
      </c>
    </row>
    <row r="4072" spans="1:12" ht="13.5" x14ac:dyDescent="0.25">
      <c r="A4072" s="1930" t="s">
        <v>4646</v>
      </c>
      <c r="B4072" s="1930" t="s">
        <v>4647</v>
      </c>
      <c r="C4072" s="1930" t="s">
        <v>4594</v>
      </c>
      <c r="D4072" s="1930" t="s">
        <v>4650</v>
      </c>
      <c r="E4072" s="1931" t="s">
        <v>33</v>
      </c>
      <c r="F4072" s="1930" t="s">
        <v>33</v>
      </c>
      <c r="G4072" s="1932">
        <v>96651</v>
      </c>
      <c r="H4072" s="1930" t="s">
        <v>3064</v>
      </c>
      <c r="I4072" s="1930" t="s">
        <v>168</v>
      </c>
      <c r="J4072" s="1930" t="s">
        <v>137</v>
      </c>
      <c r="K4072" s="1933">
        <v>7.24</v>
      </c>
      <c r="L4072" s="1930" t="s">
        <v>138</v>
      </c>
    </row>
    <row r="4073" spans="1:12" ht="13.5" x14ac:dyDescent="0.25">
      <c r="A4073" s="1930" t="s">
        <v>4646</v>
      </c>
      <c r="B4073" s="1930" t="s">
        <v>4647</v>
      </c>
      <c r="C4073" s="1930" t="s">
        <v>4594</v>
      </c>
      <c r="D4073" s="1930" t="s">
        <v>4650</v>
      </c>
      <c r="E4073" s="1931" t="s">
        <v>33</v>
      </c>
      <c r="F4073" s="1930" t="s">
        <v>33</v>
      </c>
      <c r="G4073" s="1932">
        <v>96652</v>
      </c>
      <c r="H4073" s="1930" t="s">
        <v>3065</v>
      </c>
      <c r="I4073" s="1930" t="s">
        <v>168</v>
      </c>
      <c r="J4073" s="1930" t="s">
        <v>137</v>
      </c>
      <c r="K4073" s="1933">
        <v>14.6</v>
      </c>
      <c r="L4073" s="1930" t="s">
        <v>138</v>
      </c>
    </row>
    <row r="4074" spans="1:12" ht="13.5" x14ac:dyDescent="0.25">
      <c r="A4074" s="1930" t="s">
        <v>4646</v>
      </c>
      <c r="B4074" s="1930" t="s">
        <v>4647</v>
      </c>
      <c r="C4074" s="1930" t="s">
        <v>4594</v>
      </c>
      <c r="D4074" s="1930" t="s">
        <v>4650</v>
      </c>
      <c r="E4074" s="1931" t="s">
        <v>33</v>
      </c>
      <c r="F4074" s="1930" t="s">
        <v>33</v>
      </c>
      <c r="G4074" s="1932">
        <v>96653</v>
      </c>
      <c r="H4074" s="1930" t="s">
        <v>3066</v>
      </c>
      <c r="I4074" s="1930" t="s">
        <v>168</v>
      </c>
      <c r="J4074" s="1930" t="s">
        <v>137</v>
      </c>
      <c r="K4074" s="1933">
        <v>14.56</v>
      </c>
      <c r="L4074" s="1930" t="s">
        <v>138</v>
      </c>
    </row>
    <row r="4075" spans="1:12" ht="13.5" x14ac:dyDescent="0.25">
      <c r="A4075" s="1930" t="s">
        <v>4646</v>
      </c>
      <c r="B4075" s="1930" t="s">
        <v>4647</v>
      </c>
      <c r="C4075" s="1930" t="s">
        <v>4594</v>
      </c>
      <c r="D4075" s="1930" t="s">
        <v>4650</v>
      </c>
      <c r="E4075" s="1931" t="s">
        <v>33</v>
      </c>
      <c r="F4075" s="1930" t="s">
        <v>33</v>
      </c>
      <c r="G4075" s="1932">
        <v>96654</v>
      </c>
      <c r="H4075" s="1930" t="s">
        <v>3067</v>
      </c>
      <c r="I4075" s="1930" t="s">
        <v>168</v>
      </c>
      <c r="J4075" s="1930" t="s">
        <v>137</v>
      </c>
      <c r="K4075" s="1933">
        <v>24.08</v>
      </c>
      <c r="L4075" s="1930" t="s">
        <v>138</v>
      </c>
    </row>
    <row r="4076" spans="1:12" ht="13.5" x14ac:dyDescent="0.25">
      <c r="A4076" s="1930" t="s">
        <v>4646</v>
      </c>
      <c r="B4076" s="1930" t="s">
        <v>4647</v>
      </c>
      <c r="C4076" s="1930" t="s">
        <v>4594</v>
      </c>
      <c r="D4076" s="1930" t="s">
        <v>4650</v>
      </c>
      <c r="E4076" s="1931" t="s">
        <v>33</v>
      </c>
      <c r="F4076" s="1930" t="s">
        <v>33</v>
      </c>
      <c r="G4076" s="1932">
        <v>96655</v>
      </c>
      <c r="H4076" s="1930" t="s">
        <v>3068</v>
      </c>
      <c r="I4076" s="1930" t="s">
        <v>168</v>
      </c>
      <c r="J4076" s="1930" t="s">
        <v>137</v>
      </c>
      <c r="K4076" s="1933">
        <v>23.68</v>
      </c>
      <c r="L4076" s="1930" t="s">
        <v>138</v>
      </c>
    </row>
    <row r="4077" spans="1:12" ht="13.5" x14ac:dyDescent="0.25">
      <c r="A4077" s="1930" t="s">
        <v>4646</v>
      </c>
      <c r="B4077" s="1930" t="s">
        <v>4647</v>
      </c>
      <c r="C4077" s="1930" t="s">
        <v>4594</v>
      </c>
      <c r="D4077" s="1930" t="s">
        <v>4650</v>
      </c>
      <c r="E4077" s="1931" t="s">
        <v>33</v>
      </c>
      <c r="F4077" s="1930" t="s">
        <v>33</v>
      </c>
      <c r="G4077" s="1932">
        <v>96656</v>
      </c>
      <c r="H4077" s="1930" t="s">
        <v>3069</v>
      </c>
      <c r="I4077" s="1930" t="s">
        <v>168</v>
      </c>
      <c r="J4077" s="1930" t="s">
        <v>137</v>
      </c>
      <c r="K4077" s="1933">
        <v>5.4</v>
      </c>
      <c r="L4077" s="1930" t="s">
        <v>138</v>
      </c>
    </row>
    <row r="4078" spans="1:12" ht="13.5" x14ac:dyDescent="0.25">
      <c r="A4078" s="1930" t="s">
        <v>4646</v>
      </c>
      <c r="B4078" s="1930" t="s">
        <v>4647</v>
      </c>
      <c r="C4078" s="1930" t="s">
        <v>4594</v>
      </c>
      <c r="D4078" s="1930" t="s">
        <v>4650</v>
      </c>
      <c r="E4078" s="1931" t="s">
        <v>33</v>
      </c>
      <c r="F4078" s="1930" t="s">
        <v>33</v>
      </c>
      <c r="G4078" s="1932">
        <v>96657</v>
      </c>
      <c r="H4078" s="1930" t="s">
        <v>3070</v>
      </c>
      <c r="I4078" s="1930" t="s">
        <v>168</v>
      </c>
      <c r="J4078" s="1930" t="s">
        <v>137</v>
      </c>
      <c r="K4078" s="1933">
        <v>15.55</v>
      </c>
      <c r="L4078" s="1930" t="s">
        <v>138</v>
      </c>
    </row>
    <row r="4079" spans="1:12" ht="13.5" x14ac:dyDescent="0.25">
      <c r="A4079" s="1930" t="s">
        <v>4646</v>
      </c>
      <c r="B4079" s="1930" t="s">
        <v>4647</v>
      </c>
      <c r="C4079" s="1930" t="s">
        <v>4594</v>
      </c>
      <c r="D4079" s="1930" t="s">
        <v>4650</v>
      </c>
      <c r="E4079" s="1931" t="s">
        <v>33</v>
      </c>
      <c r="F4079" s="1930" t="s">
        <v>33</v>
      </c>
      <c r="G4079" s="1932">
        <v>96658</v>
      </c>
      <c r="H4079" s="1930" t="s">
        <v>3071</v>
      </c>
      <c r="I4079" s="1930" t="s">
        <v>168</v>
      </c>
      <c r="J4079" s="1930" t="s">
        <v>137</v>
      </c>
      <c r="K4079" s="1933">
        <v>11.92</v>
      </c>
      <c r="L4079" s="1930" t="s">
        <v>138</v>
      </c>
    </row>
    <row r="4080" spans="1:12" ht="13.5" x14ac:dyDescent="0.25">
      <c r="A4080" s="1930" t="s">
        <v>4646</v>
      </c>
      <c r="B4080" s="1930" t="s">
        <v>4647</v>
      </c>
      <c r="C4080" s="1930" t="s">
        <v>4594</v>
      </c>
      <c r="D4080" s="1930" t="s">
        <v>4650</v>
      </c>
      <c r="E4080" s="1931" t="s">
        <v>33</v>
      </c>
      <c r="F4080" s="1930" t="s">
        <v>33</v>
      </c>
      <c r="G4080" s="1932">
        <v>96659</v>
      </c>
      <c r="H4080" s="1930" t="s">
        <v>3072</v>
      </c>
      <c r="I4080" s="1930" t="s">
        <v>168</v>
      </c>
      <c r="J4080" s="1930" t="s">
        <v>137</v>
      </c>
      <c r="K4080" s="1933">
        <v>9.86</v>
      </c>
      <c r="L4080" s="1930" t="s">
        <v>138</v>
      </c>
    </row>
    <row r="4081" spans="1:12" ht="13.5" x14ac:dyDescent="0.25">
      <c r="A4081" s="1930" t="s">
        <v>4646</v>
      </c>
      <c r="B4081" s="1930" t="s">
        <v>4647</v>
      </c>
      <c r="C4081" s="1930" t="s">
        <v>4594</v>
      </c>
      <c r="D4081" s="1930" t="s">
        <v>4650</v>
      </c>
      <c r="E4081" s="1931" t="s">
        <v>33</v>
      </c>
      <c r="F4081" s="1930" t="s">
        <v>33</v>
      </c>
      <c r="G4081" s="1932">
        <v>96660</v>
      </c>
      <c r="H4081" s="1930" t="s">
        <v>3073</v>
      </c>
      <c r="I4081" s="1930" t="s">
        <v>168</v>
      </c>
      <c r="J4081" s="1930" t="s">
        <v>137</v>
      </c>
      <c r="K4081" s="1933">
        <v>26.79</v>
      </c>
      <c r="L4081" s="1930" t="s">
        <v>138</v>
      </c>
    </row>
    <row r="4082" spans="1:12" ht="13.5" x14ac:dyDescent="0.25">
      <c r="A4082" s="1930" t="s">
        <v>4646</v>
      </c>
      <c r="B4082" s="1930" t="s">
        <v>4647</v>
      </c>
      <c r="C4082" s="1930" t="s">
        <v>4594</v>
      </c>
      <c r="D4082" s="1930" t="s">
        <v>4650</v>
      </c>
      <c r="E4082" s="1931" t="s">
        <v>33</v>
      </c>
      <c r="F4082" s="1930" t="s">
        <v>33</v>
      </c>
      <c r="G4082" s="1932">
        <v>96661</v>
      </c>
      <c r="H4082" s="1930" t="s">
        <v>3074</v>
      </c>
      <c r="I4082" s="1930" t="s">
        <v>168</v>
      </c>
      <c r="J4082" s="1930" t="s">
        <v>137</v>
      </c>
      <c r="K4082" s="1933">
        <v>21.21</v>
      </c>
      <c r="L4082" s="1930" t="s">
        <v>138</v>
      </c>
    </row>
    <row r="4083" spans="1:12" ht="13.5" x14ac:dyDescent="0.25">
      <c r="A4083" s="1930" t="s">
        <v>4646</v>
      </c>
      <c r="B4083" s="1930" t="s">
        <v>4647</v>
      </c>
      <c r="C4083" s="1930" t="s">
        <v>4594</v>
      </c>
      <c r="D4083" s="1930" t="s">
        <v>4650</v>
      </c>
      <c r="E4083" s="1931" t="s">
        <v>33</v>
      </c>
      <c r="F4083" s="1930" t="s">
        <v>33</v>
      </c>
      <c r="G4083" s="1932">
        <v>96662</v>
      </c>
      <c r="H4083" s="1930" t="s">
        <v>3075</v>
      </c>
      <c r="I4083" s="1930" t="s">
        <v>168</v>
      </c>
      <c r="J4083" s="1930" t="s">
        <v>137</v>
      </c>
      <c r="K4083" s="1933">
        <v>10.039999999999999</v>
      </c>
      <c r="L4083" s="1930" t="s">
        <v>138</v>
      </c>
    </row>
    <row r="4084" spans="1:12" ht="13.5" x14ac:dyDescent="0.25">
      <c r="A4084" s="1930" t="s">
        <v>4646</v>
      </c>
      <c r="B4084" s="1930" t="s">
        <v>4647</v>
      </c>
      <c r="C4084" s="1930" t="s">
        <v>4594</v>
      </c>
      <c r="D4084" s="1930" t="s">
        <v>4650</v>
      </c>
      <c r="E4084" s="1931" t="s">
        <v>33</v>
      </c>
      <c r="F4084" s="1930" t="s">
        <v>33</v>
      </c>
      <c r="G4084" s="1932">
        <v>96663</v>
      </c>
      <c r="H4084" s="1930" t="s">
        <v>3076</v>
      </c>
      <c r="I4084" s="1930" t="s">
        <v>168</v>
      </c>
      <c r="J4084" s="1930" t="s">
        <v>137</v>
      </c>
      <c r="K4084" s="1933">
        <v>17.670000000000002</v>
      </c>
      <c r="L4084" s="1930" t="s">
        <v>138</v>
      </c>
    </row>
    <row r="4085" spans="1:12" ht="13.5" x14ac:dyDescent="0.25">
      <c r="A4085" s="1930" t="s">
        <v>4646</v>
      </c>
      <c r="B4085" s="1930" t="s">
        <v>4647</v>
      </c>
      <c r="C4085" s="1930" t="s">
        <v>4594</v>
      </c>
      <c r="D4085" s="1930" t="s">
        <v>4650</v>
      </c>
      <c r="E4085" s="1931" t="s">
        <v>33</v>
      </c>
      <c r="F4085" s="1930" t="s">
        <v>33</v>
      </c>
      <c r="G4085" s="1932">
        <v>96664</v>
      </c>
      <c r="H4085" s="1930" t="s">
        <v>3077</v>
      </c>
      <c r="I4085" s="1930" t="s">
        <v>168</v>
      </c>
      <c r="J4085" s="1930" t="s">
        <v>137</v>
      </c>
      <c r="K4085" s="1933">
        <v>18.86</v>
      </c>
      <c r="L4085" s="1930" t="s">
        <v>138</v>
      </c>
    </row>
    <row r="4086" spans="1:12" ht="13.5" x14ac:dyDescent="0.25">
      <c r="A4086" s="1930" t="s">
        <v>4646</v>
      </c>
      <c r="B4086" s="1930" t="s">
        <v>4647</v>
      </c>
      <c r="C4086" s="1930" t="s">
        <v>4594</v>
      </c>
      <c r="D4086" s="1930" t="s">
        <v>4650</v>
      </c>
      <c r="E4086" s="1931" t="s">
        <v>33</v>
      </c>
      <c r="F4086" s="1930" t="s">
        <v>33</v>
      </c>
      <c r="G4086" s="1932">
        <v>96665</v>
      </c>
      <c r="H4086" s="1930" t="s">
        <v>3078</v>
      </c>
      <c r="I4086" s="1930" t="s">
        <v>168</v>
      </c>
      <c r="J4086" s="1930" t="s">
        <v>137</v>
      </c>
      <c r="K4086" s="1933">
        <v>10.039999999999999</v>
      </c>
      <c r="L4086" s="1930" t="s">
        <v>138</v>
      </c>
    </row>
    <row r="4087" spans="1:12" ht="13.5" x14ac:dyDescent="0.25">
      <c r="A4087" s="1930" t="s">
        <v>4646</v>
      </c>
      <c r="B4087" s="1930" t="s">
        <v>4647</v>
      </c>
      <c r="C4087" s="1930" t="s">
        <v>4594</v>
      </c>
      <c r="D4087" s="1930" t="s">
        <v>4650</v>
      </c>
      <c r="E4087" s="1931" t="s">
        <v>33</v>
      </c>
      <c r="F4087" s="1930" t="s">
        <v>33</v>
      </c>
      <c r="G4087" s="1932">
        <v>96666</v>
      </c>
      <c r="H4087" s="1930" t="s">
        <v>3079</v>
      </c>
      <c r="I4087" s="1930" t="s">
        <v>168</v>
      </c>
      <c r="J4087" s="1930" t="s">
        <v>137</v>
      </c>
      <c r="K4087" s="1933">
        <v>19.54</v>
      </c>
      <c r="L4087" s="1930" t="s">
        <v>138</v>
      </c>
    </row>
    <row r="4088" spans="1:12" ht="13.5" x14ac:dyDescent="0.25">
      <c r="A4088" s="1930" t="s">
        <v>4646</v>
      </c>
      <c r="B4088" s="1930" t="s">
        <v>4647</v>
      </c>
      <c r="C4088" s="1930" t="s">
        <v>4594</v>
      </c>
      <c r="D4088" s="1930" t="s">
        <v>4650</v>
      </c>
      <c r="E4088" s="1931" t="s">
        <v>33</v>
      </c>
      <c r="F4088" s="1930" t="s">
        <v>33</v>
      </c>
      <c r="G4088" s="1932">
        <v>96667</v>
      </c>
      <c r="H4088" s="1930" t="s">
        <v>3080</v>
      </c>
      <c r="I4088" s="1930" t="s">
        <v>168</v>
      </c>
      <c r="J4088" s="1930" t="s">
        <v>137</v>
      </c>
      <c r="K4088" s="1933">
        <v>33.78</v>
      </c>
      <c r="L4088" s="1930" t="s">
        <v>138</v>
      </c>
    </row>
    <row r="4089" spans="1:12" ht="13.5" x14ac:dyDescent="0.25">
      <c r="A4089" s="1930" t="s">
        <v>4646</v>
      </c>
      <c r="B4089" s="1930" t="s">
        <v>4647</v>
      </c>
      <c r="C4089" s="1930" t="s">
        <v>4594</v>
      </c>
      <c r="D4089" s="1930" t="s">
        <v>4650</v>
      </c>
      <c r="E4089" s="1931" t="s">
        <v>33</v>
      </c>
      <c r="F4089" s="1930" t="s">
        <v>33</v>
      </c>
      <c r="G4089" s="1932">
        <v>96684</v>
      </c>
      <c r="H4089" s="1930" t="s">
        <v>3081</v>
      </c>
      <c r="I4089" s="1930" t="s">
        <v>168</v>
      </c>
      <c r="J4089" s="1930" t="s">
        <v>137</v>
      </c>
      <c r="K4089" s="1933">
        <v>3.59</v>
      </c>
      <c r="L4089" s="1930" t="s">
        <v>138</v>
      </c>
    </row>
    <row r="4090" spans="1:12" ht="13.5" x14ac:dyDescent="0.25">
      <c r="A4090" s="1930" t="s">
        <v>4646</v>
      </c>
      <c r="B4090" s="1930" t="s">
        <v>4647</v>
      </c>
      <c r="C4090" s="1930" t="s">
        <v>4594</v>
      </c>
      <c r="D4090" s="1930" t="s">
        <v>4650</v>
      </c>
      <c r="E4090" s="1931" t="s">
        <v>33</v>
      </c>
      <c r="F4090" s="1930" t="s">
        <v>33</v>
      </c>
      <c r="G4090" s="1932">
        <v>96685</v>
      </c>
      <c r="H4090" s="1930" t="s">
        <v>3082</v>
      </c>
      <c r="I4090" s="1930" t="s">
        <v>168</v>
      </c>
      <c r="J4090" s="1930" t="s">
        <v>137</v>
      </c>
      <c r="K4090" s="1933">
        <v>3.22</v>
      </c>
      <c r="L4090" s="1930" t="s">
        <v>138</v>
      </c>
    </row>
    <row r="4091" spans="1:12" ht="13.5" x14ac:dyDescent="0.25">
      <c r="A4091" s="1930" t="s">
        <v>4646</v>
      </c>
      <c r="B4091" s="1930" t="s">
        <v>4647</v>
      </c>
      <c r="C4091" s="1930" t="s">
        <v>4594</v>
      </c>
      <c r="D4091" s="1930" t="s">
        <v>4650</v>
      </c>
      <c r="E4091" s="1931" t="s">
        <v>33</v>
      </c>
      <c r="F4091" s="1930" t="s">
        <v>33</v>
      </c>
      <c r="G4091" s="1932">
        <v>96686</v>
      </c>
      <c r="H4091" s="1930" t="s">
        <v>3083</v>
      </c>
      <c r="I4091" s="1930" t="s">
        <v>168</v>
      </c>
      <c r="J4091" s="1930" t="s">
        <v>137</v>
      </c>
      <c r="K4091" s="1933">
        <v>5.39</v>
      </c>
      <c r="L4091" s="1930" t="s">
        <v>138</v>
      </c>
    </row>
    <row r="4092" spans="1:12" ht="13.5" x14ac:dyDescent="0.25">
      <c r="A4092" s="1930" t="s">
        <v>4646</v>
      </c>
      <c r="B4092" s="1930" t="s">
        <v>4647</v>
      </c>
      <c r="C4092" s="1930" t="s">
        <v>4594</v>
      </c>
      <c r="D4092" s="1930" t="s">
        <v>4650</v>
      </c>
      <c r="E4092" s="1931" t="s">
        <v>33</v>
      </c>
      <c r="F4092" s="1930" t="s">
        <v>33</v>
      </c>
      <c r="G4092" s="1932">
        <v>96687</v>
      </c>
      <c r="H4092" s="1930" t="s">
        <v>3084</v>
      </c>
      <c r="I4092" s="1930" t="s">
        <v>168</v>
      </c>
      <c r="J4092" s="1930" t="s">
        <v>137</v>
      </c>
      <c r="K4092" s="1933">
        <v>5.35</v>
      </c>
      <c r="L4092" s="1930" t="s">
        <v>138</v>
      </c>
    </row>
    <row r="4093" spans="1:12" ht="13.5" x14ac:dyDescent="0.25">
      <c r="A4093" s="1930" t="s">
        <v>4646</v>
      </c>
      <c r="B4093" s="1930" t="s">
        <v>4647</v>
      </c>
      <c r="C4093" s="1930" t="s">
        <v>4594</v>
      </c>
      <c r="D4093" s="1930" t="s">
        <v>4650</v>
      </c>
      <c r="E4093" s="1931" t="s">
        <v>33</v>
      </c>
      <c r="F4093" s="1930" t="s">
        <v>33</v>
      </c>
      <c r="G4093" s="1932">
        <v>96688</v>
      </c>
      <c r="H4093" s="1930" t="s">
        <v>3085</v>
      </c>
      <c r="I4093" s="1930" t="s">
        <v>168</v>
      </c>
      <c r="J4093" s="1930" t="s">
        <v>137</v>
      </c>
      <c r="K4093" s="1933">
        <v>9.1999999999999993</v>
      </c>
      <c r="L4093" s="1930" t="s">
        <v>138</v>
      </c>
    </row>
    <row r="4094" spans="1:12" ht="13.5" x14ac:dyDescent="0.25">
      <c r="A4094" s="1930" t="s">
        <v>4646</v>
      </c>
      <c r="B4094" s="1930" t="s">
        <v>4647</v>
      </c>
      <c r="C4094" s="1930" t="s">
        <v>4594</v>
      </c>
      <c r="D4094" s="1930" t="s">
        <v>4650</v>
      </c>
      <c r="E4094" s="1931" t="s">
        <v>33</v>
      </c>
      <c r="F4094" s="1930" t="s">
        <v>33</v>
      </c>
      <c r="G4094" s="1932">
        <v>96689</v>
      </c>
      <c r="H4094" s="1930" t="s">
        <v>3086</v>
      </c>
      <c r="I4094" s="1930" t="s">
        <v>168</v>
      </c>
      <c r="J4094" s="1930" t="s">
        <v>137</v>
      </c>
      <c r="K4094" s="1933">
        <v>8.8000000000000007</v>
      </c>
      <c r="L4094" s="1930" t="s">
        <v>138</v>
      </c>
    </row>
    <row r="4095" spans="1:12" ht="13.5" x14ac:dyDescent="0.25">
      <c r="A4095" s="1930" t="s">
        <v>4646</v>
      </c>
      <c r="B4095" s="1930" t="s">
        <v>4647</v>
      </c>
      <c r="C4095" s="1930" t="s">
        <v>4594</v>
      </c>
      <c r="D4095" s="1930" t="s">
        <v>4650</v>
      </c>
      <c r="E4095" s="1931" t="s">
        <v>33</v>
      </c>
      <c r="F4095" s="1930" t="s">
        <v>33</v>
      </c>
      <c r="G4095" s="1932">
        <v>96690</v>
      </c>
      <c r="H4095" s="1930" t="s">
        <v>3087</v>
      </c>
      <c r="I4095" s="1930" t="s">
        <v>168</v>
      </c>
      <c r="J4095" s="1930" t="s">
        <v>137</v>
      </c>
      <c r="K4095" s="1933">
        <v>17</v>
      </c>
      <c r="L4095" s="1930" t="s">
        <v>138</v>
      </c>
    </row>
    <row r="4096" spans="1:12" ht="13.5" x14ac:dyDescent="0.25">
      <c r="A4096" s="1930" t="s">
        <v>4646</v>
      </c>
      <c r="B4096" s="1930" t="s">
        <v>4647</v>
      </c>
      <c r="C4096" s="1930" t="s">
        <v>4594</v>
      </c>
      <c r="D4096" s="1930" t="s">
        <v>4650</v>
      </c>
      <c r="E4096" s="1931" t="s">
        <v>33</v>
      </c>
      <c r="F4096" s="1930" t="s">
        <v>33</v>
      </c>
      <c r="G4096" s="1932">
        <v>96691</v>
      </c>
      <c r="H4096" s="1930" t="s">
        <v>3088</v>
      </c>
      <c r="I4096" s="1930" t="s">
        <v>168</v>
      </c>
      <c r="J4096" s="1930" t="s">
        <v>137</v>
      </c>
      <c r="K4096" s="1933">
        <v>17.54</v>
      </c>
      <c r="L4096" s="1930" t="s">
        <v>138</v>
      </c>
    </row>
    <row r="4097" spans="1:12" ht="13.5" x14ac:dyDescent="0.25">
      <c r="A4097" s="1930" t="s">
        <v>4646</v>
      </c>
      <c r="B4097" s="1930" t="s">
        <v>4647</v>
      </c>
      <c r="C4097" s="1930" t="s">
        <v>4594</v>
      </c>
      <c r="D4097" s="1930" t="s">
        <v>4650</v>
      </c>
      <c r="E4097" s="1931" t="s">
        <v>33</v>
      </c>
      <c r="F4097" s="1930" t="s">
        <v>33</v>
      </c>
      <c r="G4097" s="1932">
        <v>96692</v>
      </c>
      <c r="H4097" s="1930" t="s">
        <v>3089</v>
      </c>
      <c r="I4097" s="1930" t="s">
        <v>168</v>
      </c>
      <c r="J4097" s="1930" t="s">
        <v>137</v>
      </c>
      <c r="K4097" s="1933">
        <v>25.7</v>
      </c>
      <c r="L4097" s="1930" t="s">
        <v>138</v>
      </c>
    </row>
    <row r="4098" spans="1:12" ht="13.5" x14ac:dyDescent="0.25">
      <c r="A4098" s="1930" t="s">
        <v>4646</v>
      </c>
      <c r="B4098" s="1930" t="s">
        <v>4647</v>
      </c>
      <c r="C4098" s="1930" t="s">
        <v>4594</v>
      </c>
      <c r="D4098" s="1930" t="s">
        <v>4650</v>
      </c>
      <c r="E4098" s="1931" t="s">
        <v>33</v>
      </c>
      <c r="F4098" s="1930" t="s">
        <v>33</v>
      </c>
      <c r="G4098" s="1932">
        <v>96693</v>
      </c>
      <c r="H4098" s="1930" t="s">
        <v>3090</v>
      </c>
      <c r="I4098" s="1930" t="s">
        <v>168</v>
      </c>
      <c r="J4098" s="1930" t="s">
        <v>137</v>
      </c>
      <c r="K4098" s="1933">
        <v>24.37</v>
      </c>
      <c r="L4098" s="1930" t="s">
        <v>138</v>
      </c>
    </row>
    <row r="4099" spans="1:12" ht="13.5" x14ac:dyDescent="0.25">
      <c r="A4099" s="1930" t="s">
        <v>4646</v>
      </c>
      <c r="B4099" s="1930" t="s">
        <v>4647</v>
      </c>
      <c r="C4099" s="1930" t="s">
        <v>4594</v>
      </c>
      <c r="D4099" s="1930" t="s">
        <v>4650</v>
      </c>
      <c r="E4099" s="1931" t="s">
        <v>33</v>
      </c>
      <c r="F4099" s="1930" t="s">
        <v>33</v>
      </c>
      <c r="G4099" s="1932">
        <v>96694</v>
      </c>
      <c r="H4099" s="1930" t="s">
        <v>3091</v>
      </c>
      <c r="I4099" s="1930" t="s">
        <v>168</v>
      </c>
      <c r="J4099" s="1930" t="s">
        <v>137</v>
      </c>
      <c r="K4099" s="1933">
        <v>56.05</v>
      </c>
      <c r="L4099" s="1930" t="s">
        <v>138</v>
      </c>
    </row>
    <row r="4100" spans="1:12" ht="13.5" x14ac:dyDescent="0.25">
      <c r="A4100" s="1930" t="s">
        <v>4646</v>
      </c>
      <c r="B4100" s="1930" t="s">
        <v>4647</v>
      </c>
      <c r="C4100" s="1930" t="s">
        <v>4594</v>
      </c>
      <c r="D4100" s="1930" t="s">
        <v>4650</v>
      </c>
      <c r="E4100" s="1931" t="s">
        <v>33</v>
      </c>
      <c r="F4100" s="1930" t="s">
        <v>33</v>
      </c>
      <c r="G4100" s="1932">
        <v>96695</v>
      </c>
      <c r="H4100" s="1930" t="s">
        <v>3092</v>
      </c>
      <c r="I4100" s="1930" t="s">
        <v>168</v>
      </c>
      <c r="J4100" s="1930" t="s">
        <v>137</v>
      </c>
      <c r="K4100" s="1933">
        <v>54.48</v>
      </c>
      <c r="L4100" s="1930" t="s">
        <v>138</v>
      </c>
    </row>
    <row r="4101" spans="1:12" ht="13.5" x14ac:dyDescent="0.25">
      <c r="A4101" s="1930" t="s">
        <v>4646</v>
      </c>
      <c r="B4101" s="1930" t="s">
        <v>4647</v>
      </c>
      <c r="C4101" s="1930" t="s">
        <v>4594</v>
      </c>
      <c r="D4101" s="1930" t="s">
        <v>4650</v>
      </c>
      <c r="E4101" s="1931" t="s">
        <v>33</v>
      </c>
      <c r="F4101" s="1930" t="s">
        <v>33</v>
      </c>
      <c r="G4101" s="1932">
        <v>96696</v>
      </c>
      <c r="H4101" s="1930" t="s">
        <v>3093</v>
      </c>
      <c r="I4101" s="1930" t="s">
        <v>168</v>
      </c>
      <c r="J4101" s="1930" t="s">
        <v>137</v>
      </c>
      <c r="K4101" s="1933">
        <v>84.32</v>
      </c>
      <c r="L4101" s="1930" t="s">
        <v>138</v>
      </c>
    </row>
    <row r="4102" spans="1:12" ht="13.5" x14ac:dyDescent="0.25">
      <c r="A4102" s="1930" t="s">
        <v>4646</v>
      </c>
      <c r="B4102" s="1930" t="s">
        <v>4647</v>
      </c>
      <c r="C4102" s="1930" t="s">
        <v>4594</v>
      </c>
      <c r="D4102" s="1930" t="s">
        <v>4650</v>
      </c>
      <c r="E4102" s="1931" t="s">
        <v>33</v>
      </c>
      <c r="F4102" s="1930" t="s">
        <v>33</v>
      </c>
      <c r="G4102" s="1932">
        <v>96697</v>
      </c>
      <c r="H4102" s="1930" t="s">
        <v>3094</v>
      </c>
      <c r="I4102" s="1930" t="s">
        <v>168</v>
      </c>
      <c r="J4102" s="1930" t="s">
        <v>137</v>
      </c>
      <c r="K4102" s="1933">
        <v>126.13</v>
      </c>
      <c r="L4102" s="1930" t="s">
        <v>138</v>
      </c>
    </row>
    <row r="4103" spans="1:12" ht="13.5" x14ac:dyDescent="0.25">
      <c r="A4103" s="1930" t="s">
        <v>4646</v>
      </c>
      <c r="B4103" s="1930" t="s">
        <v>4647</v>
      </c>
      <c r="C4103" s="1930" t="s">
        <v>4594</v>
      </c>
      <c r="D4103" s="1930" t="s">
        <v>4650</v>
      </c>
      <c r="E4103" s="1931" t="s">
        <v>33</v>
      </c>
      <c r="F4103" s="1930" t="s">
        <v>33</v>
      </c>
      <c r="G4103" s="1932">
        <v>96698</v>
      </c>
      <c r="H4103" s="1930" t="s">
        <v>3095</v>
      </c>
      <c r="I4103" s="1930" t="s">
        <v>168</v>
      </c>
      <c r="J4103" s="1930" t="s">
        <v>137</v>
      </c>
      <c r="K4103" s="1933">
        <v>2.72</v>
      </c>
      <c r="L4103" s="1930" t="s">
        <v>138</v>
      </c>
    </row>
    <row r="4104" spans="1:12" ht="13.5" x14ac:dyDescent="0.25">
      <c r="A4104" s="1930" t="s">
        <v>4646</v>
      </c>
      <c r="B4104" s="1930" t="s">
        <v>4647</v>
      </c>
      <c r="C4104" s="1930" t="s">
        <v>4594</v>
      </c>
      <c r="D4104" s="1930" t="s">
        <v>4650</v>
      </c>
      <c r="E4104" s="1931" t="s">
        <v>33</v>
      </c>
      <c r="F4104" s="1930" t="s">
        <v>33</v>
      </c>
      <c r="G4104" s="1932">
        <v>96699</v>
      </c>
      <c r="H4104" s="1930" t="s">
        <v>3096</v>
      </c>
      <c r="I4104" s="1930" t="s">
        <v>168</v>
      </c>
      <c r="J4104" s="1930" t="s">
        <v>137</v>
      </c>
      <c r="K4104" s="1933">
        <v>12.87</v>
      </c>
      <c r="L4104" s="1930" t="s">
        <v>138</v>
      </c>
    </row>
    <row r="4105" spans="1:12" ht="13.5" x14ac:dyDescent="0.25">
      <c r="A4105" s="1930" t="s">
        <v>4646</v>
      </c>
      <c r="B4105" s="1930" t="s">
        <v>4647</v>
      </c>
      <c r="C4105" s="1930" t="s">
        <v>4594</v>
      </c>
      <c r="D4105" s="1930" t="s">
        <v>4650</v>
      </c>
      <c r="E4105" s="1931" t="s">
        <v>33</v>
      </c>
      <c r="F4105" s="1930" t="s">
        <v>33</v>
      </c>
      <c r="G4105" s="1932">
        <v>96700</v>
      </c>
      <c r="H4105" s="1930" t="s">
        <v>3097</v>
      </c>
      <c r="I4105" s="1930" t="s">
        <v>168</v>
      </c>
      <c r="J4105" s="1930" t="s">
        <v>137</v>
      </c>
      <c r="K4105" s="1933">
        <v>9.24</v>
      </c>
      <c r="L4105" s="1930" t="s">
        <v>138</v>
      </c>
    </row>
    <row r="4106" spans="1:12" ht="13.5" x14ac:dyDescent="0.25">
      <c r="A4106" s="1930" t="s">
        <v>4646</v>
      </c>
      <c r="B4106" s="1930" t="s">
        <v>4647</v>
      </c>
      <c r="C4106" s="1930" t="s">
        <v>4594</v>
      </c>
      <c r="D4106" s="1930" t="s">
        <v>4650</v>
      </c>
      <c r="E4106" s="1931" t="s">
        <v>33</v>
      </c>
      <c r="F4106" s="1930" t="s">
        <v>33</v>
      </c>
      <c r="G4106" s="1932">
        <v>96701</v>
      </c>
      <c r="H4106" s="1930" t="s">
        <v>3098</v>
      </c>
      <c r="I4106" s="1930" t="s">
        <v>168</v>
      </c>
      <c r="J4106" s="1930" t="s">
        <v>137</v>
      </c>
      <c r="K4106" s="1933">
        <v>3.71</v>
      </c>
      <c r="L4106" s="1930" t="s">
        <v>138</v>
      </c>
    </row>
    <row r="4107" spans="1:12" ht="13.5" x14ac:dyDescent="0.25">
      <c r="A4107" s="1930" t="s">
        <v>4646</v>
      </c>
      <c r="B4107" s="1930" t="s">
        <v>4647</v>
      </c>
      <c r="C4107" s="1930" t="s">
        <v>4594</v>
      </c>
      <c r="D4107" s="1930" t="s">
        <v>4650</v>
      </c>
      <c r="E4107" s="1931" t="s">
        <v>33</v>
      </c>
      <c r="F4107" s="1930" t="s">
        <v>33</v>
      </c>
      <c r="G4107" s="1932">
        <v>96702</v>
      </c>
      <c r="H4107" s="1930" t="s">
        <v>3099</v>
      </c>
      <c r="I4107" s="1930" t="s">
        <v>168</v>
      </c>
      <c r="J4107" s="1930" t="s">
        <v>137</v>
      </c>
      <c r="K4107" s="1933">
        <v>3.89</v>
      </c>
      <c r="L4107" s="1930" t="s">
        <v>138</v>
      </c>
    </row>
    <row r="4108" spans="1:12" ht="13.5" x14ac:dyDescent="0.25">
      <c r="A4108" s="1930" t="s">
        <v>4646</v>
      </c>
      <c r="B4108" s="1930" t="s">
        <v>4647</v>
      </c>
      <c r="C4108" s="1930" t="s">
        <v>4594</v>
      </c>
      <c r="D4108" s="1930" t="s">
        <v>4650</v>
      </c>
      <c r="E4108" s="1931" t="s">
        <v>33</v>
      </c>
      <c r="F4108" s="1930" t="s">
        <v>33</v>
      </c>
      <c r="G4108" s="1932">
        <v>96703</v>
      </c>
      <c r="H4108" s="1930" t="s">
        <v>3100</v>
      </c>
      <c r="I4108" s="1930" t="s">
        <v>168</v>
      </c>
      <c r="J4108" s="1930" t="s">
        <v>137</v>
      </c>
      <c r="K4108" s="1933">
        <v>7.73</v>
      </c>
      <c r="L4108" s="1930" t="s">
        <v>138</v>
      </c>
    </row>
    <row r="4109" spans="1:12" ht="13.5" x14ac:dyDescent="0.25">
      <c r="A4109" s="1930" t="s">
        <v>4646</v>
      </c>
      <c r="B4109" s="1930" t="s">
        <v>4647</v>
      </c>
      <c r="C4109" s="1930" t="s">
        <v>4594</v>
      </c>
      <c r="D4109" s="1930" t="s">
        <v>4650</v>
      </c>
      <c r="E4109" s="1931" t="s">
        <v>33</v>
      </c>
      <c r="F4109" s="1930" t="s">
        <v>33</v>
      </c>
      <c r="G4109" s="1932">
        <v>96704</v>
      </c>
      <c r="H4109" s="1930" t="s">
        <v>3101</v>
      </c>
      <c r="I4109" s="1930" t="s">
        <v>168</v>
      </c>
      <c r="J4109" s="1930" t="s">
        <v>137</v>
      </c>
      <c r="K4109" s="1933">
        <v>8.92</v>
      </c>
      <c r="L4109" s="1930" t="s">
        <v>138</v>
      </c>
    </row>
    <row r="4110" spans="1:12" ht="13.5" x14ac:dyDescent="0.25">
      <c r="A4110" s="1930" t="s">
        <v>4646</v>
      </c>
      <c r="B4110" s="1930" t="s">
        <v>4647</v>
      </c>
      <c r="C4110" s="1930" t="s">
        <v>4594</v>
      </c>
      <c r="D4110" s="1930" t="s">
        <v>4650</v>
      </c>
      <c r="E4110" s="1931" t="s">
        <v>33</v>
      </c>
      <c r="F4110" s="1930" t="s">
        <v>33</v>
      </c>
      <c r="G4110" s="1932">
        <v>96705</v>
      </c>
      <c r="H4110" s="1930" t="s">
        <v>3102</v>
      </c>
      <c r="I4110" s="1930" t="s">
        <v>168</v>
      </c>
      <c r="J4110" s="1930" t="s">
        <v>137</v>
      </c>
      <c r="K4110" s="1933">
        <v>11.63</v>
      </c>
      <c r="L4110" s="1930" t="s">
        <v>138</v>
      </c>
    </row>
    <row r="4111" spans="1:12" ht="13.5" x14ac:dyDescent="0.25">
      <c r="A4111" s="1930" t="s">
        <v>4646</v>
      </c>
      <c r="B4111" s="1930" t="s">
        <v>4647</v>
      </c>
      <c r="C4111" s="1930" t="s">
        <v>4594</v>
      </c>
      <c r="D4111" s="1930" t="s">
        <v>4650</v>
      </c>
      <c r="E4111" s="1931" t="s">
        <v>33</v>
      </c>
      <c r="F4111" s="1930" t="s">
        <v>33</v>
      </c>
      <c r="G4111" s="1932">
        <v>96706</v>
      </c>
      <c r="H4111" s="1930" t="s">
        <v>3103</v>
      </c>
      <c r="I4111" s="1930" t="s">
        <v>168</v>
      </c>
      <c r="J4111" s="1930" t="s">
        <v>137</v>
      </c>
      <c r="K4111" s="1933">
        <v>17.48</v>
      </c>
      <c r="L4111" s="1930" t="s">
        <v>138</v>
      </c>
    </row>
    <row r="4112" spans="1:12" ht="13.5" x14ac:dyDescent="0.25">
      <c r="A4112" s="1930" t="s">
        <v>4646</v>
      </c>
      <c r="B4112" s="1930" t="s">
        <v>4647</v>
      </c>
      <c r="C4112" s="1930" t="s">
        <v>4594</v>
      </c>
      <c r="D4112" s="1930" t="s">
        <v>4650</v>
      </c>
      <c r="E4112" s="1931" t="s">
        <v>33</v>
      </c>
      <c r="F4112" s="1930" t="s">
        <v>33</v>
      </c>
      <c r="G4112" s="1932">
        <v>96707</v>
      </c>
      <c r="H4112" s="1930" t="s">
        <v>3104</v>
      </c>
      <c r="I4112" s="1930" t="s">
        <v>168</v>
      </c>
      <c r="J4112" s="1930" t="s">
        <v>137</v>
      </c>
      <c r="K4112" s="1933">
        <v>36.03</v>
      </c>
      <c r="L4112" s="1930" t="s">
        <v>138</v>
      </c>
    </row>
    <row r="4113" spans="1:12" ht="13.5" x14ac:dyDescent="0.25">
      <c r="A4113" s="1930" t="s">
        <v>4646</v>
      </c>
      <c r="B4113" s="1930" t="s">
        <v>4647</v>
      </c>
      <c r="C4113" s="1930" t="s">
        <v>4594</v>
      </c>
      <c r="D4113" s="1930" t="s">
        <v>4650</v>
      </c>
      <c r="E4113" s="1931" t="s">
        <v>33</v>
      </c>
      <c r="F4113" s="1930" t="s">
        <v>33</v>
      </c>
      <c r="G4113" s="1932">
        <v>96708</v>
      </c>
      <c r="H4113" s="1930" t="s">
        <v>3105</v>
      </c>
      <c r="I4113" s="1930" t="s">
        <v>168</v>
      </c>
      <c r="J4113" s="1930" t="s">
        <v>137</v>
      </c>
      <c r="K4113" s="1933">
        <v>56.76</v>
      </c>
      <c r="L4113" s="1930" t="s">
        <v>138</v>
      </c>
    </row>
    <row r="4114" spans="1:12" ht="13.5" x14ac:dyDescent="0.25">
      <c r="A4114" s="1930" t="s">
        <v>4646</v>
      </c>
      <c r="B4114" s="1930" t="s">
        <v>4647</v>
      </c>
      <c r="C4114" s="1930" t="s">
        <v>4594</v>
      </c>
      <c r="D4114" s="1930" t="s">
        <v>4650</v>
      </c>
      <c r="E4114" s="1931" t="s">
        <v>33</v>
      </c>
      <c r="F4114" s="1930" t="s">
        <v>33</v>
      </c>
      <c r="G4114" s="1932">
        <v>96709</v>
      </c>
      <c r="H4114" s="1930" t="s">
        <v>3106</v>
      </c>
      <c r="I4114" s="1930" t="s">
        <v>168</v>
      </c>
      <c r="J4114" s="1930" t="s">
        <v>137</v>
      </c>
      <c r="K4114" s="1933">
        <v>89.57</v>
      </c>
      <c r="L4114" s="1930" t="s">
        <v>138</v>
      </c>
    </row>
    <row r="4115" spans="1:12" ht="13.5" x14ac:dyDescent="0.25">
      <c r="A4115" s="1930" t="s">
        <v>4646</v>
      </c>
      <c r="B4115" s="1930" t="s">
        <v>4647</v>
      </c>
      <c r="C4115" s="1930" t="s">
        <v>4594</v>
      </c>
      <c r="D4115" s="1930" t="s">
        <v>4650</v>
      </c>
      <c r="E4115" s="1931" t="s">
        <v>33</v>
      </c>
      <c r="F4115" s="1930" t="s">
        <v>33</v>
      </c>
      <c r="G4115" s="1932">
        <v>96710</v>
      </c>
      <c r="H4115" s="1930" t="s">
        <v>3107</v>
      </c>
      <c r="I4115" s="1930" t="s">
        <v>168</v>
      </c>
      <c r="J4115" s="1930" t="s">
        <v>137</v>
      </c>
      <c r="K4115" s="1933">
        <v>4.71</v>
      </c>
      <c r="L4115" s="1930" t="s">
        <v>138</v>
      </c>
    </row>
    <row r="4116" spans="1:12" ht="13.5" x14ac:dyDescent="0.25">
      <c r="A4116" s="1930" t="s">
        <v>4646</v>
      </c>
      <c r="B4116" s="1930" t="s">
        <v>4647</v>
      </c>
      <c r="C4116" s="1930" t="s">
        <v>4594</v>
      </c>
      <c r="D4116" s="1930" t="s">
        <v>4650</v>
      </c>
      <c r="E4116" s="1931" t="s">
        <v>33</v>
      </c>
      <c r="F4116" s="1930" t="s">
        <v>33</v>
      </c>
      <c r="G4116" s="1932">
        <v>96711</v>
      </c>
      <c r="H4116" s="1930" t="s">
        <v>3108</v>
      </c>
      <c r="I4116" s="1930" t="s">
        <v>168</v>
      </c>
      <c r="J4116" s="1930" t="s">
        <v>137</v>
      </c>
      <c r="K4116" s="1933">
        <v>7.29</v>
      </c>
      <c r="L4116" s="1930" t="s">
        <v>138</v>
      </c>
    </row>
    <row r="4117" spans="1:12" ht="13.5" x14ac:dyDescent="0.25">
      <c r="A4117" s="1930" t="s">
        <v>4646</v>
      </c>
      <c r="B4117" s="1930" t="s">
        <v>4647</v>
      </c>
      <c r="C4117" s="1930" t="s">
        <v>4594</v>
      </c>
      <c r="D4117" s="1930" t="s">
        <v>4650</v>
      </c>
      <c r="E4117" s="1931" t="s">
        <v>33</v>
      </c>
      <c r="F4117" s="1930" t="s">
        <v>33</v>
      </c>
      <c r="G4117" s="1932">
        <v>96712</v>
      </c>
      <c r="H4117" s="1930" t="s">
        <v>3109</v>
      </c>
      <c r="I4117" s="1930" t="s">
        <v>168</v>
      </c>
      <c r="J4117" s="1930" t="s">
        <v>137</v>
      </c>
      <c r="K4117" s="1933">
        <v>13.88</v>
      </c>
      <c r="L4117" s="1930" t="s">
        <v>138</v>
      </c>
    </row>
    <row r="4118" spans="1:12" ht="13.5" x14ac:dyDescent="0.25">
      <c r="A4118" s="1930" t="s">
        <v>4646</v>
      </c>
      <c r="B4118" s="1930" t="s">
        <v>4647</v>
      </c>
      <c r="C4118" s="1930" t="s">
        <v>4594</v>
      </c>
      <c r="D4118" s="1930" t="s">
        <v>4650</v>
      </c>
      <c r="E4118" s="1931" t="s">
        <v>33</v>
      </c>
      <c r="F4118" s="1930" t="s">
        <v>33</v>
      </c>
      <c r="G4118" s="1932">
        <v>96713</v>
      </c>
      <c r="H4118" s="1930" t="s">
        <v>3110</v>
      </c>
      <c r="I4118" s="1930" t="s">
        <v>168</v>
      </c>
      <c r="J4118" s="1930" t="s">
        <v>137</v>
      </c>
      <c r="K4118" s="1933">
        <v>19.3</v>
      </c>
      <c r="L4118" s="1930" t="s">
        <v>138</v>
      </c>
    </row>
    <row r="4119" spans="1:12" ht="13.5" x14ac:dyDescent="0.25">
      <c r="A4119" s="1930" t="s">
        <v>4646</v>
      </c>
      <c r="B4119" s="1930" t="s">
        <v>4647</v>
      </c>
      <c r="C4119" s="1930" t="s">
        <v>4594</v>
      </c>
      <c r="D4119" s="1930" t="s">
        <v>4650</v>
      </c>
      <c r="E4119" s="1931" t="s">
        <v>33</v>
      </c>
      <c r="F4119" s="1930" t="s">
        <v>33</v>
      </c>
      <c r="G4119" s="1932">
        <v>96714</v>
      </c>
      <c r="H4119" s="1930" t="s">
        <v>3111</v>
      </c>
      <c r="I4119" s="1930" t="s">
        <v>168</v>
      </c>
      <c r="J4119" s="1930" t="s">
        <v>137</v>
      </c>
      <c r="K4119" s="1933">
        <v>32.47</v>
      </c>
      <c r="L4119" s="1930" t="s">
        <v>138</v>
      </c>
    </row>
    <row r="4120" spans="1:12" ht="13.5" x14ac:dyDescent="0.25">
      <c r="A4120" s="1930" t="s">
        <v>4646</v>
      </c>
      <c r="B4120" s="1930" t="s">
        <v>4647</v>
      </c>
      <c r="C4120" s="1930" t="s">
        <v>4594</v>
      </c>
      <c r="D4120" s="1930" t="s">
        <v>4650</v>
      </c>
      <c r="E4120" s="1931" t="s">
        <v>33</v>
      </c>
      <c r="F4120" s="1930" t="s">
        <v>33</v>
      </c>
      <c r="G4120" s="1932">
        <v>96715</v>
      </c>
      <c r="H4120" s="1930" t="s">
        <v>3112</v>
      </c>
      <c r="I4120" s="1930" t="s">
        <v>168</v>
      </c>
      <c r="J4120" s="1930" t="s">
        <v>137</v>
      </c>
      <c r="K4120" s="1933">
        <v>60.56</v>
      </c>
      <c r="L4120" s="1930" t="s">
        <v>138</v>
      </c>
    </row>
    <row r="4121" spans="1:12" ht="13.5" x14ac:dyDescent="0.25">
      <c r="A4121" s="1930" t="s">
        <v>4646</v>
      </c>
      <c r="B4121" s="1930" t="s">
        <v>4647</v>
      </c>
      <c r="C4121" s="1930" t="s">
        <v>4594</v>
      </c>
      <c r="D4121" s="1930" t="s">
        <v>4650</v>
      </c>
      <c r="E4121" s="1931" t="s">
        <v>33</v>
      </c>
      <c r="F4121" s="1930" t="s">
        <v>33</v>
      </c>
      <c r="G4121" s="1932">
        <v>96716</v>
      </c>
      <c r="H4121" s="1930" t="s">
        <v>3113</v>
      </c>
      <c r="I4121" s="1930" t="s">
        <v>168</v>
      </c>
      <c r="J4121" s="1930" t="s">
        <v>137</v>
      </c>
      <c r="K4121" s="1933">
        <v>90.86</v>
      </c>
      <c r="L4121" s="1930" t="s">
        <v>138</v>
      </c>
    </row>
    <row r="4122" spans="1:12" ht="13.5" x14ac:dyDescent="0.25">
      <c r="A4122" s="1930" t="s">
        <v>4646</v>
      </c>
      <c r="B4122" s="1930" t="s">
        <v>4647</v>
      </c>
      <c r="C4122" s="1930" t="s">
        <v>4594</v>
      </c>
      <c r="D4122" s="1930" t="s">
        <v>4650</v>
      </c>
      <c r="E4122" s="1931" t="s">
        <v>33</v>
      </c>
      <c r="F4122" s="1930" t="s">
        <v>33</v>
      </c>
      <c r="G4122" s="1932">
        <v>96717</v>
      </c>
      <c r="H4122" s="1930" t="s">
        <v>3114</v>
      </c>
      <c r="I4122" s="1930" t="s">
        <v>168</v>
      </c>
      <c r="J4122" s="1930" t="s">
        <v>137</v>
      </c>
      <c r="K4122" s="1933">
        <v>142.88999999999999</v>
      </c>
      <c r="L4122" s="1930" t="s">
        <v>138</v>
      </c>
    </row>
    <row r="4123" spans="1:12" ht="13.5" x14ac:dyDescent="0.25">
      <c r="A4123" s="1930" t="s">
        <v>4646</v>
      </c>
      <c r="B4123" s="1930" t="s">
        <v>4647</v>
      </c>
      <c r="C4123" s="1930" t="s">
        <v>4594</v>
      </c>
      <c r="D4123" s="1930" t="s">
        <v>4650</v>
      </c>
      <c r="E4123" s="1931" t="s">
        <v>33</v>
      </c>
      <c r="F4123" s="1930" t="s">
        <v>33</v>
      </c>
      <c r="G4123" s="1932">
        <v>96736</v>
      </c>
      <c r="H4123" s="1930" t="s">
        <v>3115</v>
      </c>
      <c r="I4123" s="1930" t="s">
        <v>168</v>
      </c>
      <c r="J4123" s="1930" t="s">
        <v>137</v>
      </c>
      <c r="K4123" s="1933">
        <v>4.09</v>
      </c>
      <c r="L4123" s="1930" t="s">
        <v>138</v>
      </c>
    </row>
    <row r="4124" spans="1:12" ht="13.5" x14ac:dyDescent="0.25">
      <c r="A4124" s="1930" t="s">
        <v>4646</v>
      </c>
      <c r="B4124" s="1930" t="s">
        <v>4647</v>
      </c>
      <c r="C4124" s="1930" t="s">
        <v>4594</v>
      </c>
      <c r="D4124" s="1930" t="s">
        <v>4650</v>
      </c>
      <c r="E4124" s="1931" t="s">
        <v>33</v>
      </c>
      <c r="F4124" s="1930" t="s">
        <v>33</v>
      </c>
      <c r="G4124" s="1932">
        <v>96737</v>
      </c>
      <c r="H4124" s="1930" t="s">
        <v>3116</v>
      </c>
      <c r="I4124" s="1930" t="s">
        <v>168</v>
      </c>
      <c r="J4124" s="1930" t="s">
        <v>137</v>
      </c>
      <c r="K4124" s="1933">
        <v>4.6500000000000004</v>
      </c>
      <c r="L4124" s="1930" t="s">
        <v>138</v>
      </c>
    </row>
    <row r="4125" spans="1:12" ht="13.5" x14ac:dyDescent="0.25">
      <c r="A4125" s="1930" t="s">
        <v>4646</v>
      </c>
      <c r="B4125" s="1930" t="s">
        <v>4647</v>
      </c>
      <c r="C4125" s="1930" t="s">
        <v>4594</v>
      </c>
      <c r="D4125" s="1930" t="s">
        <v>4650</v>
      </c>
      <c r="E4125" s="1931" t="s">
        <v>33</v>
      </c>
      <c r="F4125" s="1930" t="s">
        <v>33</v>
      </c>
      <c r="G4125" s="1932">
        <v>96738</v>
      </c>
      <c r="H4125" s="1930" t="s">
        <v>3117</v>
      </c>
      <c r="I4125" s="1930" t="s">
        <v>168</v>
      </c>
      <c r="J4125" s="1930" t="s">
        <v>137</v>
      </c>
      <c r="K4125" s="1933">
        <v>14.8</v>
      </c>
      <c r="L4125" s="1930" t="s">
        <v>138</v>
      </c>
    </row>
    <row r="4126" spans="1:12" ht="13.5" x14ac:dyDescent="0.25">
      <c r="A4126" s="1930" t="s">
        <v>4646</v>
      </c>
      <c r="B4126" s="1930" t="s">
        <v>4647</v>
      </c>
      <c r="C4126" s="1930" t="s">
        <v>4594</v>
      </c>
      <c r="D4126" s="1930" t="s">
        <v>4650</v>
      </c>
      <c r="E4126" s="1931" t="s">
        <v>33</v>
      </c>
      <c r="F4126" s="1930" t="s">
        <v>33</v>
      </c>
      <c r="G4126" s="1932">
        <v>96739</v>
      </c>
      <c r="H4126" s="1930" t="s">
        <v>3118</v>
      </c>
      <c r="I4126" s="1930" t="s">
        <v>168</v>
      </c>
      <c r="J4126" s="1930" t="s">
        <v>137</v>
      </c>
      <c r="K4126" s="1933">
        <v>6.02</v>
      </c>
      <c r="L4126" s="1930" t="s">
        <v>138</v>
      </c>
    </row>
    <row r="4127" spans="1:12" ht="13.5" x14ac:dyDescent="0.25">
      <c r="A4127" s="1930" t="s">
        <v>4646</v>
      </c>
      <c r="B4127" s="1930" t="s">
        <v>4647</v>
      </c>
      <c r="C4127" s="1930" t="s">
        <v>4594</v>
      </c>
      <c r="D4127" s="1930" t="s">
        <v>4650</v>
      </c>
      <c r="E4127" s="1931" t="s">
        <v>33</v>
      </c>
      <c r="F4127" s="1930" t="s">
        <v>33</v>
      </c>
      <c r="G4127" s="1932">
        <v>96740</v>
      </c>
      <c r="H4127" s="1930" t="s">
        <v>3119</v>
      </c>
      <c r="I4127" s="1930" t="s">
        <v>168</v>
      </c>
      <c r="J4127" s="1930" t="s">
        <v>137</v>
      </c>
      <c r="K4127" s="1933">
        <v>22.95</v>
      </c>
      <c r="L4127" s="1930" t="s">
        <v>138</v>
      </c>
    </row>
    <row r="4128" spans="1:12" ht="13.5" x14ac:dyDescent="0.25">
      <c r="A4128" s="1930" t="s">
        <v>4646</v>
      </c>
      <c r="B4128" s="1930" t="s">
        <v>4647</v>
      </c>
      <c r="C4128" s="1930" t="s">
        <v>4594</v>
      </c>
      <c r="D4128" s="1930" t="s">
        <v>4650</v>
      </c>
      <c r="E4128" s="1931" t="s">
        <v>33</v>
      </c>
      <c r="F4128" s="1930" t="s">
        <v>33</v>
      </c>
      <c r="G4128" s="1932">
        <v>96741</v>
      </c>
      <c r="H4128" s="1930" t="s">
        <v>3120</v>
      </c>
      <c r="I4128" s="1930" t="s">
        <v>168</v>
      </c>
      <c r="J4128" s="1930" t="s">
        <v>137</v>
      </c>
      <c r="K4128" s="1933">
        <v>9.32</v>
      </c>
      <c r="L4128" s="1930" t="s">
        <v>138</v>
      </c>
    </row>
    <row r="4129" spans="1:12" ht="13.5" x14ac:dyDescent="0.25">
      <c r="A4129" s="1930" t="s">
        <v>4646</v>
      </c>
      <c r="B4129" s="1930" t="s">
        <v>4647</v>
      </c>
      <c r="C4129" s="1930" t="s">
        <v>4594</v>
      </c>
      <c r="D4129" s="1930" t="s">
        <v>4650</v>
      </c>
      <c r="E4129" s="1931" t="s">
        <v>33</v>
      </c>
      <c r="F4129" s="1930" t="s">
        <v>33</v>
      </c>
      <c r="G4129" s="1932">
        <v>96742</v>
      </c>
      <c r="H4129" s="1930" t="s">
        <v>3121</v>
      </c>
      <c r="I4129" s="1930" t="s">
        <v>168</v>
      </c>
      <c r="J4129" s="1930" t="s">
        <v>137</v>
      </c>
      <c r="K4129" s="1933">
        <v>14.14</v>
      </c>
      <c r="L4129" s="1930" t="s">
        <v>138</v>
      </c>
    </row>
    <row r="4130" spans="1:12" ht="13.5" x14ac:dyDescent="0.25">
      <c r="A4130" s="1930" t="s">
        <v>4646</v>
      </c>
      <c r="B4130" s="1930" t="s">
        <v>4647</v>
      </c>
      <c r="C4130" s="1930" t="s">
        <v>4594</v>
      </c>
      <c r="D4130" s="1930" t="s">
        <v>4650</v>
      </c>
      <c r="E4130" s="1931" t="s">
        <v>33</v>
      </c>
      <c r="F4130" s="1930" t="s">
        <v>33</v>
      </c>
      <c r="G4130" s="1932">
        <v>96743</v>
      </c>
      <c r="H4130" s="1930" t="s">
        <v>3122</v>
      </c>
      <c r="I4130" s="1930" t="s">
        <v>168</v>
      </c>
      <c r="J4130" s="1930" t="s">
        <v>137</v>
      </c>
      <c r="K4130" s="1933">
        <v>18.16</v>
      </c>
      <c r="L4130" s="1930" t="s">
        <v>138</v>
      </c>
    </row>
    <row r="4131" spans="1:12" ht="13.5" x14ac:dyDescent="0.25">
      <c r="A4131" s="1930" t="s">
        <v>4646</v>
      </c>
      <c r="B4131" s="1930" t="s">
        <v>4647</v>
      </c>
      <c r="C4131" s="1930" t="s">
        <v>4594</v>
      </c>
      <c r="D4131" s="1930" t="s">
        <v>4650</v>
      </c>
      <c r="E4131" s="1931" t="s">
        <v>33</v>
      </c>
      <c r="F4131" s="1930" t="s">
        <v>33</v>
      </c>
      <c r="G4131" s="1932">
        <v>96744</v>
      </c>
      <c r="H4131" s="1930" t="s">
        <v>3123</v>
      </c>
      <c r="I4131" s="1930" t="s">
        <v>168</v>
      </c>
      <c r="J4131" s="1930" t="s">
        <v>137</v>
      </c>
      <c r="K4131" s="1933">
        <v>38.5</v>
      </c>
      <c r="L4131" s="1930" t="s">
        <v>138</v>
      </c>
    </row>
    <row r="4132" spans="1:12" ht="13.5" x14ac:dyDescent="0.25">
      <c r="A4132" s="1930" t="s">
        <v>4646</v>
      </c>
      <c r="B4132" s="1930" t="s">
        <v>4647</v>
      </c>
      <c r="C4132" s="1930" t="s">
        <v>4594</v>
      </c>
      <c r="D4132" s="1930" t="s">
        <v>4650</v>
      </c>
      <c r="E4132" s="1931" t="s">
        <v>33</v>
      </c>
      <c r="F4132" s="1930" t="s">
        <v>33</v>
      </c>
      <c r="G4132" s="1932">
        <v>96745</v>
      </c>
      <c r="H4132" s="1930" t="s">
        <v>3124</v>
      </c>
      <c r="I4132" s="1930" t="s">
        <v>168</v>
      </c>
      <c r="J4132" s="1930" t="s">
        <v>137</v>
      </c>
      <c r="K4132" s="1933">
        <v>56.15</v>
      </c>
      <c r="L4132" s="1930" t="s">
        <v>138</v>
      </c>
    </row>
    <row r="4133" spans="1:12" ht="13.5" x14ac:dyDescent="0.25">
      <c r="A4133" s="1930" t="s">
        <v>4646</v>
      </c>
      <c r="B4133" s="1930" t="s">
        <v>4647</v>
      </c>
      <c r="C4133" s="1930" t="s">
        <v>4594</v>
      </c>
      <c r="D4133" s="1930" t="s">
        <v>4650</v>
      </c>
      <c r="E4133" s="1931" t="s">
        <v>33</v>
      </c>
      <c r="F4133" s="1930" t="s">
        <v>33</v>
      </c>
      <c r="G4133" s="1932">
        <v>96746</v>
      </c>
      <c r="H4133" s="1930" t="s">
        <v>3125</v>
      </c>
      <c r="I4133" s="1930" t="s">
        <v>168</v>
      </c>
      <c r="J4133" s="1930" t="s">
        <v>137</v>
      </c>
      <c r="K4133" s="1933">
        <v>89.53</v>
      </c>
      <c r="L4133" s="1930" t="s">
        <v>138</v>
      </c>
    </row>
    <row r="4134" spans="1:12" ht="13.5" x14ac:dyDescent="0.25">
      <c r="A4134" s="1930" t="s">
        <v>4646</v>
      </c>
      <c r="B4134" s="1930" t="s">
        <v>4647</v>
      </c>
      <c r="C4134" s="1930" t="s">
        <v>4594</v>
      </c>
      <c r="D4134" s="1930" t="s">
        <v>4650</v>
      </c>
      <c r="E4134" s="1931" t="s">
        <v>33</v>
      </c>
      <c r="F4134" s="1930" t="s">
        <v>33</v>
      </c>
      <c r="G4134" s="1932">
        <v>96747</v>
      </c>
      <c r="H4134" s="1930" t="s">
        <v>3126</v>
      </c>
      <c r="I4134" s="1930" t="s">
        <v>168</v>
      </c>
      <c r="J4134" s="1930" t="s">
        <v>137</v>
      </c>
      <c r="K4134" s="1933">
        <v>5.82</v>
      </c>
      <c r="L4134" s="1930" t="s">
        <v>138</v>
      </c>
    </row>
    <row r="4135" spans="1:12" ht="13.5" x14ac:dyDescent="0.25">
      <c r="A4135" s="1930" t="s">
        <v>4646</v>
      </c>
      <c r="B4135" s="1930" t="s">
        <v>4647</v>
      </c>
      <c r="C4135" s="1930" t="s">
        <v>4594</v>
      </c>
      <c r="D4135" s="1930" t="s">
        <v>4650</v>
      </c>
      <c r="E4135" s="1931" t="s">
        <v>33</v>
      </c>
      <c r="F4135" s="1930" t="s">
        <v>33</v>
      </c>
      <c r="G4135" s="1932">
        <v>96748</v>
      </c>
      <c r="H4135" s="1930" t="s">
        <v>3127</v>
      </c>
      <c r="I4135" s="1930" t="s">
        <v>168</v>
      </c>
      <c r="J4135" s="1930" t="s">
        <v>137</v>
      </c>
      <c r="K4135" s="1933">
        <v>6.52</v>
      </c>
      <c r="L4135" s="1930" t="s">
        <v>138</v>
      </c>
    </row>
    <row r="4136" spans="1:12" ht="13.5" x14ac:dyDescent="0.25">
      <c r="A4136" s="1930" t="s">
        <v>4646</v>
      </c>
      <c r="B4136" s="1930" t="s">
        <v>4647</v>
      </c>
      <c r="C4136" s="1930" t="s">
        <v>4594</v>
      </c>
      <c r="D4136" s="1930" t="s">
        <v>4650</v>
      </c>
      <c r="E4136" s="1931" t="s">
        <v>33</v>
      </c>
      <c r="F4136" s="1930" t="s">
        <v>33</v>
      </c>
      <c r="G4136" s="1932">
        <v>96749</v>
      </c>
      <c r="H4136" s="1930" t="s">
        <v>3128</v>
      </c>
      <c r="I4136" s="1930" t="s">
        <v>168</v>
      </c>
      <c r="J4136" s="1930" t="s">
        <v>137</v>
      </c>
      <c r="K4136" s="1933">
        <v>8.84</v>
      </c>
      <c r="L4136" s="1930" t="s">
        <v>138</v>
      </c>
    </row>
    <row r="4137" spans="1:12" ht="13.5" x14ac:dyDescent="0.25">
      <c r="A4137" s="1930" t="s">
        <v>4646</v>
      </c>
      <c r="B4137" s="1930" t="s">
        <v>4647</v>
      </c>
      <c r="C4137" s="1930" t="s">
        <v>4594</v>
      </c>
      <c r="D4137" s="1930" t="s">
        <v>4650</v>
      </c>
      <c r="E4137" s="1931" t="s">
        <v>33</v>
      </c>
      <c r="F4137" s="1930" t="s">
        <v>33</v>
      </c>
      <c r="G4137" s="1932">
        <v>96750</v>
      </c>
      <c r="H4137" s="1930" t="s">
        <v>3129</v>
      </c>
      <c r="I4137" s="1930" t="s">
        <v>168</v>
      </c>
      <c r="J4137" s="1930" t="s">
        <v>137</v>
      </c>
      <c r="K4137" s="1933">
        <v>11.56</v>
      </c>
      <c r="L4137" s="1930" t="s">
        <v>138</v>
      </c>
    </row>
    <row r="4138" spans="1:12" ht="13.5" x14ac:dyDescent="0.25">
      <c r="A4138" s="1930" t="s">
        <v>4646</v>
      </c>
      <c r="B4138" s="1930" t="s">
        <v>4647</v>
      </c>
      <c r="C4138" s="1930" t="s">
        <v>4594</v>
      </c>
      <c r="D4138" s="1930" t="s">
        <v>4650</v>
      </c>
      <c r="E4138" s="1931" t="s">
        <v>33</v>
      </c>
      <c r="F4138" s="1930" t="s">
        <v>33</v>
      </c>
      <c r="G4138" s="1932">
        <v>96751</v>
      </c>
      <c r="H4138" s="1930" t="s">
        <v>3130</v>
      </c>
      <c r="I4138" s="1930" t="s">
        <v>168</v>
      </c>
      <c r="J4138" s="1930" t="s">
        <v>137</v>
      </c>
      <c r="K4138" s="1933">
        <v>20.74</v>
      </c>
      <c r="L4138" s="1930" t="s">
        <v>138</v>
      </c>
    </row>
    <row r="4139" spans="1:12" ht="13.5" x14ac:dyDescent="0.25">
      <c r="A4139" s="1930" t="s">
        <v>4646</v>
      </c>
      <c r="B4139" s="1930" t="s">
        <v>4647</v>
      </c>
      <c r="C4139" s="1930" t="s">
        <v>4594</v>
      </c>
      <c r="D4139" s="1930" t="s">
        <v>4650</v>
      </c>
      <c r="E4139" s="1931" t="s">
        <v>33</v>
      </c>
      <c r="F4139" s="1930" t="s">
        <v>33</v>
      </c>
      <c r="G4139" s="1932">
        <v>96752</v>
      </c>
      <c r="H4139" s="1930" t="s">
        <v>3131</v>
      </c>
      <c r="I4139" s="1930" t="s">
        <v>168</v>
      </c>
      <c r="J4139" s="1930" t="s">
        <v>137</v>
      </c>
      <c r="K4139" s="1933">
        <v>26.7</v>
      </c>
      <c r="L4139" s="1930" t="s">
        <v>138</v>
      </c>
    </row>
    <row r="4140" spans="1:12" ht="13.5" x14ac:dyDescent="0.25">
      <c r="A4140" s="1930" t="s">
        <v>4646</v>
      </c>
      <c r="B4140" s="1930" t="s">
        <v>4647</v>
      </c>
      <c r="C4140" s="1930" t="s">
        <v>4594</v>
      </c>
      <c r="D4140" s="1930" t="s">
        <v>4650</v>
      </c>
      <c r="E4140" s="1931" t="s">
        <v>33</v>
      </c>
      <c r="F4140" s="1930" t="s">
        <v>33</v>
      </c>
      <c r="G4140" s="1932">
        <v>96753</v>
      </c>
      <c r="H4140" s="1930" t="s">
        <v>3132</v>
      </c>
      <c r="I4140" s="1930" t="s">
        <v>168</v>
      </c>
      <c r="J4140" s="1930" t="s">
        <v>137</v>
      </c>
      <c r="K4140" s="1933">
        <v>59.75</v>
      </c>
      <c r="L4140" s="1930" t="s">
        <v>138</v>
      </c>
    </row>
    <row r="4141" spans="1:12" ht="13.5" x14ac:dyDescent="0.25">
      <c r="A4141" s="1930" t="s">
        <v>4646</v>
      </c>
      <c r="B4141" s="1930" t="s">
        <v>4647</v>
      </c>
      <c r="C4141" s="1930" t="s">
        <v>4594</v>
      </c>
      <c r="D4141" s="1930" t="s">
        <v>4650</v>
      </c>
      <c r="E4141" s="1931" t="s">
        <v>33</v>
      </c>
      <c r="F4141" s="1930" t="s">
        <v>33</v>
      </c>
      <c r="G4141" s="1932">
        <v>96754</v>
      </c>
      <c r="H4141" s="1930" t="s">
        <v>3133</v>
      </c>
      <c r="I4141" s="1930" t="s">
        <v>168</v>
      </c>
      <c r="J4141" s="1930" t="s">
        <v>137</v>
      </c>
      <c r="K4141" s="1933">
        <v>83.4</v>
      </c>
      <c r="L4141" s="1930" t="s">
        <v>138</v>
      </c>
    </row>
    <row r="4142" spans="1:12" ht="13.5" x14ac:dyDescent="0.25">
      <c r="A4142" s="1930" t="s">
        <v>4646</v>
      </c>
      <c r="B4142" s="1930" t="s">
        <v>4647</v>
      </c>
      <c r="C4142" s="1930" t="s">
        <v>4594</v>
      </c>
      <c r="D4142" s="1930" t="s">
        <v>4650</v>
      </c>
      <c r="E4142" s="1931" t="s">
        <v>33</v>
      </c>
      <c r="F4142" s="1930" t="s">
        <v>33</v>
      </c>
      <c r="G4142" s="1932">
        <v>96755</v>
      </c>
      <c r="H4142" s="1930" t="s">
        <v>3134</v>
      </c>
      <c r="I4142" s="1930" t="s">
        <v>168</v>
      </c>
      <c r="J4142" s="1930" t="s">
        <v>137</v>
      </c>
      <c r="K4142" s="1933">
        <v>126.1</v>
      </c>
      <c r="L4142" s="1930" t="s">
        <v>138</v>
      </c>
    </row>
    <row r="4143" spans="1:12" ht="13.5" x14ac:dyDescent="0.25">
      <c r="A4143" s="1930" t="s">
        <v>4646</v>
      </c>
      <c r="B4143" s="1930" t="s">
        <v>4647</v>
      </c>
      <c r="C4143" s="1930" t="s">
        <v>4594</v>
      </c>
      <c r="D4143" s="1930" t="s">
        <v>4650</v>
      </c>
      <c r="E4143" s="1931" t="s">
        <v>33</v>
      </c>
      <c r="F4143" s="1930" t="s">
        <v>33</v>
      </c>
      <c r="G4143" s="1932">
        <v>96756</v>
      </c>
      <c r="H4143" s="1930" t="s">
        <v>3135</v>
      </c>
      <c r="I4143" s="1930" t="s">
        <v>168</v>
      </c>
      <c r="J4143" s="1930" t="s">
        <v>137</v>
      </c>
      <c r="K4143" s="1933">
        <v>10.4</v>
      </c>
      <c r="L4143" s="1930" t="s">
        <v>138</v>
      </c>
    </row>
    <row r="4144" spans="1:12" ht="13.5" x14ac:dyDescent="0.25">
      <c r="A4144" s="1930" t="s">
        <v>4646</v>
      </c>
      <c r="B4144" s="1930" t="s">
        <v>4647</v>
      </c>
      <c r="C4144" s="1930" t="s">
        <v>4594</v>
      </c>
      <c r="D4144" s="1930" t="s">
        <v>4650</v>
      </c>
      <c r="E4144" s="1931" t="s">
        <v>33</v>
      </c>
      <c r="F4144" s="1930" t="s">
        <v>33</v>
      </c>
      <c r="G4144" s="1932">
        <v>96757</v>
      </c>
      <c r="H4144" s="1930" t="s">
        <v>3136</v>
      </c>
      <c r="I4144" s="1930" t="s">
        <v>168</v>
      </c>
      <c r="J4144" s="1930" t="s">
        <v>137</v>
      </c>
      <c r="K4144" s="1933">
        <v>10.029999999999999</v>
      </c>
      <c r="L4144" s="1930" t="s">
        <v>138</v>
      </c>
    </row>
    <row r="4145" spans="1:12" ht="13.5" x14ac:dyDescent="0.25">
      <c r="A4145" s="1930" t="s">
        <v>4646</v>
      </c>
      <c r="B4145" s="1930" t="s">
        <v>4647</v>
      </c>
      <c r="C4145" s="1930" t="s">
        <v>4594</v>
      </c>
      <c r="D4145" s="1930" t="s">
        <v>4650</v>
      </c>
      <c r="E4145" s="1931" t="s">
        <v>33</v>
      </c>
      <c r="F4145" s="1930" t="s">
        <v>33</v>
      </c>
      <c r="G4145" s="1932">
        <v>96758</v>
      </c>
      <c r="H4145" s="1930" t="s">
        <v>3137</v>
      </c>
      <c r="I4145" s="1930" t="s">
        <v>168</v>
      </c>
      <c r="J4145" s="1930" t="s">
        <v>137</v>
      </c>
      <c r="K4145" s="1933">
        <v>11.89</v>
      </c>
      <c r="L4145" s="1930" t="s">
        <v>138</v>
      </c>
    </row>
    <row r="4146" spans="1:12" ht="13.5" x14ac:dyDescent="0.25">
      <c r="A4146" s="1930" t="s">
        <v>4646</v>
      </c>
      <c r="B4146" s="1930" t="s">
        <v>4647</v>
      </c>
      <c r="C4146" s="1930" t="s">
        <v>4594</v>
      </c>
      <c r="D4146" s="1930" t="s">
        <v>4650</v>
      </c>
      <c r="E4146" s="1931" t="s">
        <v>33</v>
      </c>
      <c r="F4146" s="1930" t="s">
        <v>33</v>
      </c>
      <c r="G4146" s="1932">
        <v>96759</v>
      </c>
      <c r="H4146" s="1930" t="s">
        <v>3138</v>
      </c>
      <c r="I4146" s="1930" t="s">
        <v>168</v>
      </c>
      <c r="J4146" s="1930" t="s">
        <v>137</v>
      </c>
      <c r="K4146" s="1933">
        <v>17.059999999999999</v>
      </c>
      <c r="L4146" s="1930" t="s">
        <v>138</v>
      </c>
    </row>
    <row r="4147" spans="1:12" ht="13.5" x14ac:dyDescent="0.25">
      <c r="A4147" s="1930" t="s">
        <v>4646</v>
      </c>
      <c r="B4147" s="1930" t="s">
        <v>4647</v>
      </c>
      <c r="C4147" s="1930" t="s">
        <v>4594</v>
      </c>
      <c r="D4147" s="1930" t="s">
        <v>4650</v>
      </c>
      <c r="E4147" s="1931" t="s">
        <v>33</v>
      </c>
      <c r="F4147" s="1930" t="s">
        <v>33</v>
      </c>
      <c r="G4147" s="1932">
        <v>96760</v>
      </c>
      <c r="H4147" s="1930" t="s">
        <v>3139</v>
      </c>
      <c r="I4147" s="1930" t="s">
        <v>168</v>
      </c>
      <c r="J4147" s="1930" t="s">
        <v>137</v>
      </c>
      <c r="K4147" s="1933">
        <v>24.27</v>
      </c>
      <c r="L4147" s="1930" t="s">
        <v>138</v>
      </c>
    </row>
    <row r="4148" spans="1:12" ht="13.5" x14ac:dyDescent="0.25">
      <c r="A4148" s="1930" t="s">
        <v>4646</v>
      </c>
      <c r="B4148" s="1930" t="s">
        <v>4647</v>
      </c>
      <c r="C4148" s="1930" t="s">
        <v>4594</v>
      </c>
      <c r="D4148" s="1930" t="s">
        <v>4650</v>
      </c>
      <c r="E4148" s="1931" t="s">
        <v>33</v>
      </c>
      <c r="F4148" s="1930" t="s">
        <v>33</v>
      </c>
      <c r="G4148" s="1932">
        <v>96761</v>
      </c>
      <c r="H4148" s="1930" t="s">
        <v>3140</v>
      </c>
      <c r="I4148" s="1930" t="s">
        <v>168</v>
      </c>
      <c r="J4148" s="1930" t="s">
        <v>137</v>
      </c>
      <c r="K4148" s="1933">
        <v>33.81</v>
      </c>
      <c r="L4148" s="1930" t="s">
        <v>138</v>
      </c>
    </row>
    <row r="4149" spans="1:12" ht="13.5" x14ac:dyDescent="0.25">
      <c r="A4149" s="1930" t="s">
        <v>4646</v>
      </c>
      <c r="B4149" s="1930" t="s">
        <v>4647</v>
      </c>
      <c r="C4149" s="1930" t="s">
        <v>4594</v>
      </c>
      <c r="D4149" s="1930" t="s">
        <v>4650</v>
      </c>
      <c r="E4149" s="1931" t="s">
        <v>33</v>
      </c>
      <c r="F4149" s="1930" t="s">
        <v>33</v>
      </c>
      <c r="G4149" s="1932">
        <v>96762</v>
      </c>
      <c r="H4149" s="1930" t="s">
        <v>3141</v>
      </c>
      <c r="I4149" s="1930" t="s">
        <v>168</v>
      </c>
      <c r="J4149" s="1930" t="s">
        <v>137</v>
      </c>
      <c r="K4149" s="1933">
        <v>65.47</v>
      </c>
      <c r="L4149" s="1930" t="s">
        <v>138</v>
      </c>
    </row>
    <row r="4150" spans="1:12" ht="13.5" x14ac:dyDescent="0.25">
      <c r="A4150" s="1930" t="s">
        <v>4646</v>
      </c>
      <c r="B4150" s="1930" t="s">
        <v>4647</v>
      </c>
      <c r="C4150" s="1930" t="s">
        <v>4594</v>
      </c>
      <c r="D4150" s="1930" t="s">
        <v>4650</v>
      </c>
      <c r="E4150" s="1931" t="s">
        <v>33</v>
      </c>
      <c r="F4150" s="1930" t="s">
        <v>33</v>
      </c>
      <c r="G4150" s="1932">
        <v>96763</v>
      </c>
      <c r="H4150" s="1930" t="s">
        <v>3142</v>
      </c>
      <c r="I4150" s="1930" t="s">
        <v>168</v>
      </c>
      <c r="J4150" s="1930" t="s">
        <v>137</v>
      </c>
      <c r="K4150" s="1933">
        <v>89.62</v>
      </c>
      <c r="L4150" s="1930" t="s">
        <v>138</v>
      </c>
    </row>
    <row r="4151" spans="1:12" ht="13.5" x14ac:dyDescent="0.25">
      <c r="A4151" s="1930" t="s">
        <v>4646</v>
      </c>
      <c r="B4151" s="1930" t="s">
        <v>4647</v>
      </c>
      <c r="C4151" s="1930" t="s">
        <v>4594</v>
      </c>
      <c r="D4151" s="1930" t="s">
        <v>4650</v>
      </c>
      <c r="E4151" s="1931" t="s">
        <v>33</v>
      </c>
      <c r="F4151" s="1930" t="s">
        <v>33</v>
      </c>
      <c r="G4151" s="1932">
        <v>96764</v>
      </c>
      <c r="H4151" s="1930" t="s">
        <v>3143</v>
      </c>
      <c r="I4151" s="1930" t="s">
        <v>168</v>
      </c>
      <c r="J4151" s="1930" t="s">
        <v>137</v>
      </c>
      <c r="K4151" s="1933">
        <v>142.82</v>
      </c>
      <c r="L4151" s="1930" t="s">
        <v>138</v>
      </c>
    </row>
    <row r="4152" spans="1:12" ht="13.5" x14ac:dyDescent="0.25">
      <c r="A4152" s="1930" t="s">
        <v>4646</v>
      </c>
      <c r="B4152" s="1930" t="s">
        <v>4647</v>
      </c>
      <c r="C4152" s="1930" t="s">
        <v>4594</v>
      </c>
      <c r="D4152" s="1930" t="s">
        <v>4650</v>
      </c>
      <c r="E4152" s="1931" t="s">
        <v>33</v>
      </c>
      <c r="F4152" s="1930" t="s">
        <v>33</v>
      </c>
      <c r="G4152" s="1932">
        <v>96802</v>
      </c>
      <c r="H4152" s="1930" t="s">
        <v>3144</v>
      </c>
      <c r="I4152" s="1930" t="s">
        <v>168</v>
      </c>
      <c r="J4152" s="1930" t="s">
        <v>137</v>
      </c>
      <c r="K4152" s="1933">
        <v>194.73</v>
      </c>
      <c r="L4152" s="1930" t="s">
        <v>138</v>
      </c>
    </row>
    <row r="4153" spans="1:12" ht="13.5" x14ac:dyDescent="0.25">
      <c r="A4153" s="1930" t="s">
        <v>4646</v>
      </c>
      <c r="B4153" s="1930" t="s">
        <v>4647</v>
      </c>
      <c r="C4153" s="1930" t="s">
        <v>4594</v>
      </c>
      <c r="D4153" s="1930" t="s">
        <v>4650</v>
      </c>
      <c r="E4153" s="1931" t="s">
        <v>33</v>
      </c>
      <c r="F4153" s="1930" t="s">
        <v>33</v>
      </c>
      <c r="G4153" s="1932">
        <v>96803</v>
      </c>
      <c r="H4153" s="1930" t="s">
        <v>3145</v>
      </c>
      <c r="I4153" s="1930" t="s">
        <v>168</v>
      </c>
      <c r="J4153" s="1930" t="s">
        <v>137</v>
      </c>
      <c r="K4153" s="1933">
        <v>100.21</v>
      </c>
      <c r="L4153" s="1930" t="s">
        <v>138</v>
      </c>
    </row>
    <row r="4154" spans="1:12" ht="13.5" x14ac:dyDescent="0.25">
      <c r="A4154" s="1930" t="s">
        <v>4646</v>
      </c>
      <c r="B4154" s="1930" t="s">
        <v>4647</v>
      </c>
      <c r="C4154" s="1930" t="s">
        <v>4594</v>
      </c>
      <c r="D4154" s="1930" t="s">
        <v>4650</v>
      </c>
      <c r="E4154" s="1931" t="s">
        <v>33</v>
      </c>
      <c r="F4154" s="1930" t="s">
        <v>33</v>
      </c>
      <c r="G4154" s="1932">
        <v>96804</v>
      </c>
      <c r="H4154" s="1930" t="s">
        <v>3146</v>
      </c>
      <c r="I4154" s="1930" t="s">
        <v>168</v>
      </c>
      <c r="J4154" s="1930" t="s">
        <v>137</v>
      </c>
      <c r="K4154" s="1933">
        <v>179.93</v>
      </c>
      <c r="L4154" s="1930" t="s">
        <v>138</v>
      </c>
    </row>
    <row r="4155" spans="1:12" ht="13.5" x14ac:dyDescent="0.25">
      <c r="A4155" s="1930" t="s">
        <v>4646</v>
      </c>
      <c r="B4155" s="1930" t="s">
        <v>4647</v>
      </c>
      <c r="C4155" s="1930" t="s">
        <v>4594</v>
      </c>
      <c r="D4155" s="1930" t="s">
        <v>4650</v>
      </c>
      <c r="E4155" s="1931" t="s">
        <v>33</v>
      </c>
      <c r="F4155" s="1930" t="s">
        <v>33</v>
      </c>
      <c r="G4155" s="1932">
        <v>96805</v>
      </c>
      <c r="H4155" s="1930" t="s">
        <v>3147</v>
      </c>
      <c r="I4155" s="1930" t="s">
        <v>168</v>
      </c>
      <c r="J4155" s="1930" t="s">
        <v>137</v>
      </c>
      <c r="K4155" s="1933">
        <v>201.47</v>
      </c>
      <c r="L4155" s="1930" t="s">
        <v>138</v>
      </c>
    </row>
    <row r="4156" spans="1:12" ht="13.5" x14ac:dyDescent="0.25">
      <c r="A4156" s="1930" t="s">
        <v>4646</v>
      </c>
      <c r="B4156" s="1930" t="s">
        <v>4647</v>
      </c>
      <c r="C4156" s="1930" t="s">
        <v>4594</v>
      </c>
      <c r="D4156" s="1930" t="s">
        <v>4650</v>
      </c>
      <c r="E4156" s="1931" t="s">
        <v>33</v>
      </c>
      <c r="F4156" s="1930" t="s">
        <v>33</v>
      </c>
      <c r="G4156" s="1932">
        <v>96806</v>
      </c>
      <c r="H4156" s="1930" t="s">
        <v>3148</v>
      </c>
      <c r="I4156" s="1930" t="s">
        <v>168</v>
      </c>
      <c r="J4156" s="1930" t="s">
        <v>137</v>
      </c>
      <c r="K4156" s="1933">
        <v>98.23</v>
      </c>
      <c r="L4156" s="1930" t="s">
        <v>138</v>
      </c>
    </row>
    <row r="4157" spans="1:12" ht="13.5" x14ac:dyDescent="0.25">
      <c r="A4157" s="1930" t="s">
        <v>4646</v>
      </c>
      <c r="B4157" s="1930" t="s">
        <v>4647</v>
      </c>
      <c r="C4157" s="1930" t="s">
        <v>4594</v>
      </c>
      <c r="D4157" s="1930" t="s">
        <v>4650</v>
      </c>
      <c r="E4157" s="1931" t="s">
        <v>33</v>
      </c>
      <c r="F4157" s="1930" t="s">
        <v>33</v>
      </c>
      <c r="G4157" s="1932">
        <v>96807</v>
      </c>
      <c r="H4157" s="1930" t="s">
        <v>3149</v>
      </c>
      <c r="I4157" s="1930" t="s">
        <v>168</v>
      </c>
      <c r="J4157" s="1930" t="s">
        <v>137</v>
      </c>
      <c r="K4157" s="1933">
        <v>164.15</v>
      </c>
      <c r="L4157" s="1930" t="s">
        <v>138</v>
      </c>
    </row>
    <row r="4158" spans="1:12" ht="13.5" x14ac:dyDescent="0.25">
      <c r="A4158" s="1930" t="s">
        <v>4646</v>
      </c>
      <c r="B4158" s="1930" t="s">
        <v>4647</v>
      </c>
      <c r="C4158" s="1930" t="s">
        <v>4594</v>
      </c>
      <c r="D4158" s="1930" t="s">
        <v>4650</v>
      </c>
      <c r="E4158" s="1931" t="s">
        <v>33</v>
      </c>
      <c r="F4158" s="1930" t="s">
        <v>33</v>
      </c>
      <c r="G4158" s="1932">
        <v>96808</v>
      </c>
      <c r="H4158" s="1930" t="s">
        <v>3150</v>
      </c>
      <c r="I4158" s="1930" t="s">
        <v>168</v>
      </c>
      <c r="J4158" s="1930" t="s">
        <v>137</v>
      </c>
      <c r="K4158" s="1933">
        <v>9.39</v>
      </c>
      <c r="L4158" s="1930" t="s">
        <v>138</v>
      </c>
    </row>
    <row r="4159" spans="1:12" ht="13.5" x14ac:dyDescent="0.25">
      <c r="A4159" s="1930" t="s">
        <v>4646</v>
      </c>
      <c r="B4159" s="1930" t="s">
        <v>4647</v>
      </c>
      <c r="C4159" s="1930" t="s">
        <v>4594</v>
      </c>
      <c r="D4159" s="1930" t="s">
        <v>4650</v>
      </c>
      <c r="E4159" s="1931" t="s">
        <v>33</v>
      </c>
      <c r="F4159" s="1930" t="s">
        <v>33</v>
      </c>
      <c r="G4159" s="1932">
        <v>96809</v>
      </c>
      <c r="H4159" s="1930" t="s">
        <v>3151</v>
      </c>
      <c r="I4159" s="1930" t="s">
        <v>168</v>
      </c>
      <c r="J4159" s="1930" t="s">
        <v>137</v>
      </c>
      <c r="K4159" s="1933">
        <v>10.7</v>
      </c>
      <c r="L4159" s="1930" t="s">
        <v>138</v>
      </c>
    </row>
    <row r="4160" spans="1:12" ht="13.5" x14ac:dyDescent="0.25">
      <c r="A4160" s="1930" t="s">
        <v>4646</v>
      </c>
      <c r="B4160" s="1930" t="s">
        <v>4647</v>
      </c>
      <c r="C4160" s="1930" t="s">
        <v>4594</v>
      </c>
      <c r="D4160" s="1930" t="s">
        <v>4650</v>
      </c>
      <c r="E4160" s="1931" t="s">
        <v>33</v>
      </c>
      <c r="F4160" s="1930" t="s">
        <v>33</v>
      </c>
      <c r="G4160" s="1932">
        <v>96810</v>
      </c>
      <c r="H4160" s="1930" t="s">
        <v>3152</v>
      </c>
      <c r="I4160" s="1930" t="s">
        <v>168</v>
      </c>
      <c r="J4160" s="1930" t="s">
        <v>137</v>
      </c>
      <c r="K4160" s="1933">
        <v>11.58</v>
      </c>
      <c r="L4160" s="1930" t="s">
        <v>138</v>
      </c>
    </row>
    <row r="4161" spans="1:12" ht="13.5" x14ac:dyDescent="0.25">
      <c r="A4161" s="1930" t="s">
        <v>4646</v>
      </c>
      <c r="B4161" s="1930" t="s">
        <v>4647</v>
      </c>
      <c r="C4161" s="1930" t="s">
        <v>4594</v>
      </c>
      <c r="D4161" s="1930" t="s">
        <v>4650</v>
      </c>
      <c r="E4161" s="1931" t="s">
        <v>33</v>
      </c>
      <c r="F4161" s="1930" t="s">
        <v>33</v>
      </c>
      <c r="G4161" s="1932">
        <v>96811</v>
      </c>
      <c r="H4161" s="1930" t="s">
        <v>3153</v>
      </c>
      <c r="I4161" s="1930" t="s">
        <v>168</v>
      </c>
      <c r="J4161" s="1930" t="s">
        <v>137</v>
      </c>
      <c r="K4161" s="1933">
        <v>12.5</v>
      </c>
      <c r="L4161" s="1930" t="s">
        <v>138</v>
      </c>
    </row>
    <row r="4162" spans="1:12" ht="13.5" x14ac:dyDescent="0.25">
      <c r="A4162" s="1930" t="s">
        <v>4646</v>
      </c>
      <c r="B4162" s="1930" t="s">
        <v>4647</v>
      </c>
      <c r="C4162" s="1930" t="s">
        <v>4594</v>
      </c>
      <c r="D4162" s="1930" t="s">
        <v>4650</v>
      </c>
      <c r="E4162" s="1931" t="s">
        <v>33</v>
      </c>
      <c r="F4162" s="1930" t="s">
        <v>33</v>
      </c>
      <c r="G4162" s="1932">
        <v>96812</v>
      </c>
      <c r="H4162" s="1930" t="s">
        <v>3154</v>
      </c>
      <c r="I4162" s="1930" t="s">
        <v>168</v>
      </c>
      <c r="J4162" s="1930" t="s">
        <v>137</v>
      </c>
      <c r="K4162" s="1933">
        <v>12.03</v>
      </c>
      <c r="L4162" s="1930" t="s">
        <v>138</v>
      </c>
    </row>
    <row r="4163" spans="1:12" ht="13.5" x14ac:dyDescent="0.25">
      <c r="A4163" s="1930" t="s">
        <v>4646</v>
      </c>
      <c r="B4163" s="1930" t="s">
        <v>4647</v>
      </c>
      <c r="C4163" s="1930" t="s">
        <v>4594</v>
      </c>
      <c r="D4163" s="1930" t="s">
        <v>4650</v>
      </c>
      <c r="E4163" s="1931" t="s">
        <v>33</v>
      </c>
      <c r="F4163" s="1930" t="s">
        <v>33</v>
      </c>
      <c r="G4163" s="1932">
        <v>96813</v>
      </c>
      <c r="H4163" s="1930" t="s">
        <v>3155</v>
      </c>
      <c r="I4163" s="1930" t="s">
        <v>168</v>
      </c>
      <c r="J4163" s="1930" t="s">
        <v>137</v>
      </c>
      <c r="K4163" s="1933">
        <v>13.79</v>
      </c>
      <c r="L4163" s="1930" t="s">
        <v>138</v>
      </c>
    </row>
    <row r="4164" spans="1:12" ht="13.5" x14ac:dyDescent="0.25">
      <c r="A4164" s="1930" t="s">
        <v>4646</v>
      </c>
      <c r="B4164" s="1930" t="s">
        <v>4647</v>
      </c>
      <c r="C4164" s="1930" t="s">
        <v>4594</v>
      </c>
      <c r="D4164" s="1930" t="s">
        <v>4650</v>
      </c>
      <c r="E4164" s="1931" t="s">
        <v>33</v>
      </c>
      <c r="F4164" s="1930" t="s">
        <v>33</v>
      </c>
      <c r="G4164" s="1932">
        <v>96814</v>
      </c>
      <c r="H4164" s="1930" t="s">
        <v>3156</v>
      </c>
      <c r="I4164" s="1930" t="s">
        <v>168</v>
      </c>
      <c r="J4164" s="1930" t="s">
        <v>137</v>
      </c>
      <c r="K4164" s="1933">
        <v>11.73</v>
      </c>
      <c r="L4164" s="1930" t="s">
        <v>138</v>
      </c>
    </row>
    <row r="4165" spans="1:12" ht="13.5" x14ac:dyDescent="0.25">
      <c r="A4165" s="1930" t="s">
        <v>4646</v>
      </c>
      <c r="B4165" s="1930" t="s">
        <v>4647</v>
      </c>
      <c r="C4165" s="1930" t="s">
        <v>4594</v>
      </c>
      <c r="D4165" s="1930" t="s">
        <v>4650</v>
      </c>
      <c r="E4165" s="1931" t="s">
        <v>33</v>
      </c>
      <c r="F4165" s="1930" t="s">
        <v>33</v>
      </c>
      <c r="G4165" s="1932">
        <v>96815</v>
      </c>
      <c r="H4165" s="1930" t="s">
        <v>3157</v>
      </c>
      <c r="I4165" s="1930" t="s">
        <v>168</v>
      </c>
      <c r="J4165" s="1930" t="s">
        <v>137</v>
      </c>
      <c r="K4165" s="1933">
        <v>19.55</v>
      </c>
      <c r="L4165" s="1930" t="s">
        <v>138</v>
      </c>
    </row>
    <row r="4166" spans="1:12" ht="13.5" x14ac:dyDescent="0.25">
      <c r="A4166" s="1930" t="s">
        <v>4646</v>
      </c>
      <c r="B4166" s="1930" t="s">
        <v>4647</v>
      </c>
      <c r="C4166" s="1930" t="s">
        <v>4594</v>
      </c>
      <c r="D4166" s="1930" t="s">
        <v>4650</v>
      </c>
      <c r="E4166" s="1931" t="s">
        <v>33</v>
      </c>
      <c r="F4166" s="1930" t="s">
        <v>33</v>
      </c>
      <c r="G4166" s="1932">
        <v>96816</v>
      </c>
      <c r="H4166" s="1930" t="s">
        <v>3158</v>
      </c>
      <c r="I4166" s="1930" t="s">
        <v>168</v>
      </c>
      <c r="J4166" s="1930" t="s">
        <v>137</v>
      </c>
      <c r="K4166" s="1933">
        <v>16.2</v>
      </c>
      <c r="L4166" s="1930" t="s">
        <v>138</v>
      </c>
    </row>
    <row r="4167" spans="1:12" ht="13.5" x14ac:dyDescent="0.25">
      <c r="A4167" s="1930" t="s">
        <v>4646</v>
      </c>
      <c r="B4167" s="1930" t="s">
        <v>4647</v>
      </c>
      <c r="C4167" s="1930" t="s">
        <v>4594</v>
      </c>
      <c r="D4167" s="1930" t="s">
        <v>4650</v>
      </c>
      <c r="E4167" s="1931" t="s">
        <v>33</v>
      </c>
      <c r="F4167" s="1930" t="s">
        <v>33</v>
      </c>
      <c r="G4167" s="1932">
        <v>96817</v>
      </c>
      <c r="H4167" s="1930" t="s">
        <v>3159</v>
      </c>
      <c r="I4167" s="1930" t="s">
        <v>168</v>
      </c>
      <c r="J4167" s="1930" t="s">
        <v>137</v>
      </c>
      <c r="K4167" s="1933">
        <v>18.329999999999998</v>
      </c>
      <c r="L4167" s="1930" t="s">
        <v>138</v>
      </c>
    </row>
    <row r="4168" spans="1:12" ht="13.5" x14ac:dyDescent="0.25">
      <c r="A4168" s="1930" t="s">
        <v>4646</v>
      </c>
      <c r="B4168" s="1930" t="s">
        <v>4647</v>
      </c>
      <c r="C4168" s="1930" t="s">
        <v>4594</v>
      </c>
      <c r="D4168" s="1930" t="s">
        <v>4650</v>
      </c>
      <c r="E4168" s="1931" t="s">
        <v>33</v>
      </c>
      <c r="F4168" s="1930" t="s">
        <v>33</v>
      </c>
      <c r="G4168" s="1932">
        <v>96818</v>
      </c>
      <c r="H4168" s="1930" t="s">
        <v>3160</v>
      </c>
      <c r="I4168" s="1930" t="s">
        <v>168</v>
      </c>
      <c r="J4168" s="1930" t="s">
        <v>137</v>
      </c>
      <c r="K4168" s="1933">
        <v>17.12</v>
      </c>
      <c r="L4168" s="1930" t="s">
        <v>138</v>
      </c>
    </row>
    <row r="4169" spans="1:12" ht="13.5" x14ac:dyDescent="0.25">
      <c r="A4169" s="1930" t="s">
        <v>4646</v>
      </c>
      <c r="B4169" s="1930" t="s">
        <v>4647</v>
      </c>
      <c r="C4169" s="1930" t="s">
        <v>4594</v>
      </c>
      <c r="D4169" s="1930" t="s">
        <v>4650</v>
      </c>
      <c r="E4169" s="1931" t="s">
        <v>33</v>
      </c>
      <c r="F4169" s="1930" t="s">
        <v>33</v>
      </c>
      <c r="G4169" s="1932">
        <v>96819</v>
      </c>
      <c r="H4169" s="1930" t="s">
        <v>3161</v>
      </c>
      <c r="I4169" s="1930" t="s">
        <v>168</v>
      </c>
      <c r="J4169" s="1930" t="s">
        <v>137</v>
      </c>
      <c r="K4169" s="1933">
        <v>17.12</v>
      </c>
      <c r="L4169" s="1930" t="s">
        <v>138</v>
      </c>
    </row>
    <row r="4170" spans="1:12" ht="13.5" x14ac:dyDescent="0.25">
      <c r="A4170" s="1930" t="s">
        <v>4646</v>
      </c>
      <c r="B4170" s="1930" t="s">
        <v>4647</v>
      </c>
      <c r="C4170" s="1930" t="s">
        <v>4594</v>
      </c>
      <c r="D4170" s="1930" t="s">
        <v>4650</v>
      </c>
      <c r="E4170" s="1931" t="s">
        <v>33</v>
      </c>
      <c r="F4170" s="1930" t="s">
        <v>33</v>
      </c>
      <c r="G4170" s="1932">
        <v>96820</v>
      </c>
      <c r="H4170" s="1930" t="s">
        <v>3162</v>
      </c>
      <c r="I4170" s="1930" t="s">
        <v>168</v>
      </c>
      <c r="J4170" s="1930" t="s">
        <v>137</v>
      </c>
      <c r="K4170" s="1933">
        <v>30.76</v>
      </c>
      <c r="L4170" s="1930" t="s">
        <v>138</v>
      </c>
    </row>
    <row r="4171" spans="1:12" ht="13.5" x14ac:dyDescent="0.25">
      <c r="A4171" s="1930" t="s">
        <v>4646</v>
      </c>
      <c r="B4171" s="1930" t="s">
        <v>4647</v>
      </c>
      <c r="C4171" s="1930" t="s">
        <v>4594</v>
      </c>
      <c r="D4171" s="1930" t="s">
        <v>4650</v>
      </c>
      <c r="E4171" s="1931" t="s">
        <v>33</v>
      </c>
      <c r="F4171" s="1930" t="s">
        <v>33</v>
      </c>
      <c r="G4171" s="1932">
        <v>96821</v>
      </c>
      <c r="H4171" s="1930" t="s">
        <v>3163</v>
      </c>
      <c r="I4171" s="1930" t="s">
        <v>168</v>
      </c>
      <c r="J4171" s="1930" t="s">
        <v>137</v>
      </c>
      <c r="K4171" s="1933">
        <v>26.32</v>
      </c>
      <c r="L4171" s="1930" t="s">
        <v>138</v>
      </c>
    </row>
    <row r="4172" spans="1:12" ht="13.5" x14ac:dyDescent="0.25">
      <c r="A4172" s="1930" t="s">
        <v>4646</v>
      </c>
      <c r="B4172" s="1930" t="s">
        <v>4647</v>
      </c>
      <c r="C4172" s="1930" t="s">
        <v>4594</v>
      </c>
      <c r="D4172" s="1930" t="s">
        <v>4650</v>
      </c>
      <c r="E4172" s="1931" t="s">
        <v>33</v>
      </c>
      <c r="F4172" s="1930" t="s">
        <v>33</v>
      </c>
      <c r="G4172" s="1932">
        <v>96822</v>
      </c>
      <c r="H4172" s="1930" t="s">
        <v>3164</v>
      </c>
      <c r="I4172" s="1930" t="s">
        <v>168</v>
      </c>
      <c r="J4172" s="1930" t="s">
        <v>137</v>
      </c>
      <c r="K4172" s="1933">
        <v>26.66</v>
      </c>
      <c r="L4172" s="1930" t="s">
        <v>138</v>
      </c>
    </row>
    <row r="4173" spans="1:12" ht="13.5" x14ac:dyDescent="0.25">
      <c r="A4173" s="1930" t="s">
        <v>4646</v>
      </c>
      <c r="B4173" s="1930" t="s">
        <v>4647</v>
      </c>
      <c r="C4173" s="1930" t="s">
        <v>4594</v>
      </c>
      <c r="D4173" s="1930" t="s">
        <v>4650</v>
      </c>
      <c r="E4173" s="1931" t="s">
        <v>33</v>
      </c>
      <c r="F4173" s="1930" t="s">
        <v>33</v>
      </c>
      <c r="G4173" s="1932">
        <v>96823</v>
      </c>
      <c r="H4173" s="1930" t="s">
        <v>3165</v>
      </c>
      <c r="I4173" s="1930" t="s">
        <v>168</v>
      </c>
      <c r="J4173" s="1930" t="s">
        <v>137</v>
      </c>
      <c r="K4173" s="1933">
        <v>11.01</v>
      </c>
      <c r="L4173" s="1930" t="s">
        <v>138</v>
      </c>
    </row>
    <row r="4174" spans="1:12" ht="13.5" x14ac:dyDescent="0.25">
      <c r="A4174" s="1930" t="s">
        <v>4646</v>
      </c>
      <c r="B4174" s="1930" t="s">
        <v>4647</v>
      </c>
      <c r="C4174" s="1930" t="s">
        <v>4594</v>
      </c>
      <c r="D4174" s="1930" t="s">
        <v>4650</v>
      </c>
      <c r="E4174" s="1931" t="s">
        <v>33</v>
      </c>
      <c r="F4174" s="1930" t="s">
        <v>33</v>
      </c>
      <c r="G4174" s="1932">
        <v>96824</v>
      </c>
      <c r="H4174" s="1930" t="s">
        <v>3166</v>
      </c>
      <c r="I4174" s="1930" t="s">
        <v>168</v>
      </c>
      <c r="J4174" s="1930" t="s">
        <v>137</v>
      </c>
      <c r="K4174" s="1933">
        <v>12.38</v>
      </c>
      <c r="L4174" s="1930" t="s">
        <v>138</v>
      </c>
    </row>
    <row r="4175" spans="1:12" ht="13.5" x14ac:dyDescent="0.25">
      <c r="A4175" s="1930" t="s">
        <v>4646</v>
      </c>
      <c r="B4175" s="1930" t="s">
        <v>4647</v>
      </c>
      <c r="C4175" s="1930" t="s">
        <v>4594</v>
      </c>
      <c r="D4175" s="1930" t="s">
        <v>4650</v>
      </c>
      <c r="E4175" s="1931" t="s">
        <v>33</v>
      </c>
      <c r="F4175" s="1930" t="s">
        <v>33</v>
      </c>
      <c r="G4175" s="1932">
        <v>96825</v>
      </c>
      <c r="H4175" s="1930" t="s">
        <v>3167</v>
      </c>
      <c r="I4175" s="1930" t="s">
        <v>168</v>
      </c>
      <c r="J4175" s="1930" t="s">
        <v>137</v>
      </c>
      <c r="K4175" s="1933">
        <v>16.649999999999999</v>
      </c>
      <c r="L4175" s="1930" t="s">
        <v>138</v>
      </c>
    </row>
    <row r="4176" spans="1:12" ht="13.5" x14ac:dyDescent="0.25">
      <c r="A4176" s="1930" t="s">
        <v>4646</v>
      </c>
      <c r="B4176" s="1930" t="s">
        <v>4647</v>
      </c>
      <c r="C4176" s="1930" t="s">
        <v>4594</v>
      </c>
      <c r="D4176" s="1930" t="s">
        <v>4650</v>
      </c>
      <c r="E4176" s="1931" t="s">
        <v>33</v>
      </c>
      <c r="F4176" s="1930" t="s">
        <v>33</v>
      </c>
      <c r="G4176" s="1932">
        <v>96826</v>
      </c>
      <c r="H4176" s="1930" t="s">
        <v>3168</v>
      </c>
      <c r="I4176" s="1930" t="s">
        <v>168</v>
      </c>
      <c r="J4176" s="1930" t="s">
        <v>137</v>
      </c>
      <c r="K4176" s="1933">
        <v>15.2</v>
      </c>
      <c r="L4176" s="1930" t="s">
        <v>138</v>
      </c>
    </row>
    <row r="4177" spans="1:12" ht="13.5" x14ac:dyDescent="0.25">
      <c r="A4177" s="1930" t="s">
        <v>4646</v>
      </c>
      <c r="B4177" s="1930" t="s">
        <v>4647</v>
      </c>
      <c r="C4177" s="1930" t="s">
        <v>4594</v>
      </c>
      <c r="D4177" s="1930" t="s">
        <v>4650</v>
      </c>
      <c r="E4177" s="1931" t="s">
        <v>33</v>
      </c>
      <c r="F4177" s="1930" t="s">
        <v>33</v>
      </c>
      <c r="G4177" s="1932">
        <v>96827</v>
      </c>
      <c r="H4177" s="1930" t="s">
        <v>3169</v>
      </c>
      <c r="I4177" s="1930" t="s">
        <v>168</v>
      </c>
      <c r="J4177" s="1930" t="s">
        <v>137</v>
      </c>
      <c r="K4177" s="1933">
        <v>15.75</v>
      </c>
      <c r="L4177" s="1930" t="s">
        <v>138</v>
      </c>
    </row>
    <row r="4178" spans="1:12" ht="13.5" x14ac:dyDescent="0.25">
      <c r="A4178" s="1930" t="s">
        <v>4646</v>
      </c>
      <c r="B4178" s="1930" t="s">
        <v>4647</v>
      </c>
      <c r="C4178" s="1930" t="s">
        <v>4594</v>
      </c>
      <c r="D4178" s="1930" t="s">
        <v>4650</v>
      </c>
      <c r="E4178" s="1931" t="s">
        <v>33</v>
      </c>
      <c r="F4178" s="1930" t="s">
        <v>33</v>
      </c>
      <c r="G4178" s="1932">
        <v>96828</v>
      </c>
      <c r="H4178" s="1930" t="s">
        <v>3170</v>
      </c>
      <c r="I4178" s="1930" t="s">
        <v>168</v>
      </c>
      <c r="J4178" s="1930" t="s">
        <v>137</v>
      </c>
      <c r="K4178" s="1933">
        <v>19.670000000000002</v>
      </c>
      <c r="L4178" s="1930" t="s">
        <v>138</v>
      </c>
    </row>
    <row r="4179" spans="1:12" ht="13.5" x14ac:dyDescent="0.25">
      <c r="A4179" s="1930" t="s">
        <v>4646</v>
      </c>
      <c r="B4179" s="1930" t="s">
        <v>4647</v>
      </c>
      <c r="C4179" s="1930" t="s">
        <v>4594</v>
      </c>
      <c r="D4179" s="1930" t="s">
        <v>4650</v>
      </c>
      <c r="E4179" s="1931" t="s">
        <v>33</v>
      </c>
      <c r="F4179" s="1930" t="s">
        <v>33</v>
      </c>
      <c r="G4179" s="1932">
        <v>96829</v>
      </c>
      <c r="H4179" s="1930" t="s">
        <v>3171</v>
      </c>
      <c r="I4179" s="1930" t="s">
        <v>168</v>
      </c>
      <c r="J4179" s="1930" t="s">
        <v>137</v>
      </c>
      <c r="K4179" s="1933">
        <v>15.18</v>
      </c>
      <c r="L4179" s="1930" t="s">
        <v>138</v>
      </c>
    </row>
    <row r="4180" spans="1:12" ht="13.5" x14ac:dyDescent="0.25">
      <c r="A4180" s="1930" t="s">
        <v>4646</v>
      </c>
      <c r="B4180" s="1930" t="s">
        <v>4647</v>
      </c>
      <c r="C4180" s="1930" t="s">
        <v>4594</v>
      </c>
      <c r="D4180" s="1930" t="s">
        <v>4650</v>
      </c>
      <c r="E4180" s="1931" t="s">
        <v>33</v>
      </c>
      <c r="F4180" s="1930" t="s">
        <v>33</v>
      </c>
      <c r="G4180" s="1932">
        <v>96830</v>
      </c>
      <c r="H4180" s="1930" t="s">
        <v>3172</v>
      </c>
      <c r="I4180" s="1930" t="s">
        <v>168</v>
      </c>
      <c r="J4180" s="1930" t="s">
        <v>137</v>
      </c>
      <c r="K4180" s="1933">
        <v>21.95</v>
      </c>
      <c r="L4180" s="1930" t="s">
        <v>138</v>
      </c>
    </row>
    <row r="4181" spans="1:12" ht="13.5" x14ac:dyDescent="0.25">
      <c r="A4181" s="1930" t="s">
        <v>4646</v>
      </c>
      <c r="B4181" s="1930" t="s">
        <v>4647</v>
      </c>
      <c r="C4181" s="1930" t="s">
        <v>4594</v>
      </c>
      <c r="D4181" s="1930" t="s">
        <v>4650</v>
      </c>
      <c r="E4181" s="1931" t="s">
        <v>33</v>
      </c>
      <c r="F4181" s="1930" t="s">
        <v>33</v>
      </c>
      <c r="G4181" s="1932">
        <v>96831</v>
      </c>
      <c r="H4181" s="1930" t="s">
        <v>3173</v>
      </c>
      <c r="I4181" s="1930" t="s">
        <v>168</v>
      </c>
      <c r="J4181" s="1930" t="s">
        <v>137</v>
      </c>
      <c r="K4181" s="1933">
        <v>17.989999999999998</v>
      </c>
      <c r="L4181" s="1930" t="s">
        <v>138</v>
      </c>
    </row>
    <row r="4182" spans="1:12" ht="13.5" x14ac:dyDescent="0.25">
      <c r="A4182" s="1930" t="s">
        <v>4646</v>
      </c>
      <c r="B4182" s="1930" t="s">
        <v>4647</v>
      </c>
      <c r="C4182" s="1930" t="s">
        <v>4594</v>
      </c>
      <c r="D4182" s="1930" t="s">
        <v>4650</v>
      </c>
      <c r="E4182" s="1931" t="s">
        <v>33</v>
      </c>
      <c r="F4182" s="1930" t="s">
        <v>33</v>
      </c>
      <c r="G4182" s="1932">
        <v>96832</v>
      </c>
      <c r="H4182" s="1930" t="s">
        <v>3174</v>
      </c>
      <c r="I4182" s="1930" t="s">
        <v>168</v>
      </c>
      <c r="J4182" s="1930" t="s">
        <v>137</v>
      </c>
      <c r="K4182" s="1933">
        <v>20.71</v>
      </c>
      <c r="L4182" s="1930" t="s">
        <v>138</v>
      </c>
    </row>
    <row r="4183" spans="1:12" ht="13.5" x14ac:dyDescent="0.25">
      <c r="A4183" s="1930" t="s">
        <v>4646</v>
      </c>
      <c r="B4183" s="1930" t="s">
        <v>4647</v>
      </c>
      <c r="C4183" s="1930" t="s">
        <v>4594</v>
      </c>
      <c r="D4183" s="1930" t="s">
        <v>4650</v>
      </c>
      <c r="E4183" s="1931" t="s">
        <v>33</v>
      </c>
      <c r="F4183" s="1930" t="s">
        <v>33</v>
      </c>
      <c r="G4183" s="1932">
        <v>96833</v>
      </c>
      <c r="H4183" s="1930" t="s">
        <v>3175</v>
      </c>
      <c r="I4183" s="1930" t="s">
        <v>168</v>
      </c>
      <c r="J4183" s="1930" t="s">
        <v>137</v>
      </c>
      <c r="K4183" s="1933">
        <v>19.43</v>
      </c>
      <c r="L4183" s="1930" t="s">
        <v>138</v>
      </c>
    </row>
    <row r="4184" spans="1:12" ht="13.5" x14ac:dyDescent="0.25">
      <c r="A4184" s="1930" t="s">
        <v>4646</v>
      </c>
      <c r="B4184" s="1930" t="s">
        <v>4647</v>
      </c>
      <c r="C4184" s="1930" t="s">
        <v>4594</v>
      </c>
      <c r="D4184" s="1930" t="s">
        <v>4650</v>
      </c>
      <c r="E4184" s="1931" t="s">
        <v>33</v>
      </c>
      <c r="F4184" s="1930" t="s">
        <v>33</v>
      </c>
      <c r="G4184" s="1932">
        <v>96834</v>
      </c>
      <c r="H4184" s="1930" t="s">
        <v>3176</v>
      </c>
      <c r="I4184" s="1930" t="s">
        <v>168</v>
      </c>
      <c r="J4184" s="1930" t="s">
        <v>137</v>
      </c>
      <c r="K4184" s="1933">
        <v>31.89</v>
      </c>
      <c r="L4184" s="1930" t="s">
        <v>138</v>
      </c>
    </row>
    <row r="4185" spans="1:12" ht="13.5" x14ac:dyDescent="0.25">
      <c r="A4185" s="1930" t="s">
        <v>4646</v>
      </c>
      <c r="B4185" s="1930" t="s">
        <v>4647</v>
      </c>
      <c r="C4185" s="1930" t="s">
        <v>4594</v>
      </c>
      <c r="D4185" s="1930" t="s">
        <v>4650</v>
      </c>
      <c r="E4185" s="1931" t="s">
        <v>33</v>
      </c>
      <c r="F4185" s="1930" t="s">
        <v>33</v>
      </c>
      <c r="G4185" s="1932">
        <v>96835</v>
      </c>
      <c r="H4185" s="1930" t="s">
        <v>3177</v>
      </c>
      <c r="I4185" s="1930" t="s">
        <v>168</v>
      </c>
      <c r="J4185" s="1930" t="s">
        <v>137</v>
      </c>
      <c r="K4185" s="1933">
        <v>27.65</v>
      </c>
      <c r="L4185" s="1930" t="s">
        <v>138</v>
      </c>
    </row>
    <row r="4186" spans="1:12" ht="13.5" x14ac:dyDescent="0.25">
      <c r="A4186" s="1930" t="s">
        <v>4646</v>
      </c>
      <c r="B4186" s="1930" t="s">
        <v>4647</v>
      </c>
      <c r="C4186" s="1930" t="s">
        <v>4594</v>
      </c>
      <c r="D4186" s="1930" t="s">
        <v>4650</v>
      </c>
      <c r="E4186" s="1931" t="s">
        <v>33</v>
      </c>
      <c r="F4186" s="1930" t="s">
        <v>33</v>
      </c>
      <c r="G4186" s="1932">
        <v>96836</v>
      </c>
      <c r="H4186" s="1930" t="s">
        <v>3178</v>
      </c>
      <c r="I4186" s="1930" t="s">
        <v>168</v>
      </c>
      <c r="J4186" s="1930" t="s">
        <v>137</v>
      </c>
      <c r="K4186" s="1933">
        <v>29.41</v>
      </c>
      <c r="L4186" s="1930" t="s">
        <v>138</v>
      </c>
    </row>
    <row r="4187" spans="1:12" ht="13.5" x14ac:dyDescent="0.25">
      <c r="A4187" s="1930" t="s">
        <v>4646</v>
      </c>
      <c r="B4187" s="1930" t="s">
        <v>4647</v>
      </c>
      <c r="C4187" s="1930" t="s">
        <v>4594</v>
      </c>
      <c r="D4187" s="1930" t="s">
        <v>4650</v>
      </c>
      <c r="E4187" s="1931" t="s">
        <v>33</v>
      </c>
      <c r="F4187" s="1930" t="s">
        <v>33</v>
      </c>
      <c r="G4187" s="1932">
        <v>96837</v>
      </c>
      <c r="H4187" s="1930" t="s">
        <v>3179</v>
      </c>
      <c r="I4187" s="1930" t="s">
        <v>168</v>
      </c>
      <c r="J4187" s="1930" t="s">
        <v>137</v>
      </c>
      <c r="K4187" s="1933">
        <v>16.3</v>
      </c>
      <c r="L4187" s="1930" t="s">
        <v>138</v>
      </c>
    </row>
    <row r="4188" spans="1:12" ht="13.5" x14ac:dyDescent="0.25">
      <c r="A4188" s="1930" t="s">
        <v>4646</v>
      </c>
      <c r="B4188" s="1930" t="s">
        <v>4647</v>
      </c>
      <c r="C4188" s="1930" t="s">
        <v>4594</v>
      </c>
      <c r="D4188" s="1930" t="s">
        <v>4650</v>
      </c>
      <c r="E4188" s="1931" t="s">
        <v>33</v>
      </c>
      <c r="F4188" s="1930" t="s">
        <v>33</v>
      </c>
      <c r="G4188" s="1932">
        <v>96838</v>
      </c>
      <c r="H4188" s="1930" t="s">
        <v>3180</v>
      </c>
      <c r="I4188" s="1930" t="s">
        <v>168</v>
      </c>
      <c r="J4188" s="1930" t="s">
        <v>137</v>
      </c>
      <c r="K4188" s="1933">
        <v>15.03</v>
      </c>
      <c r="L4188" s="1930" t="s">
        <v>138</v>
      </c>
    </row>
    <row r="4189" spans="1:12" ht="13.5" x14ac:dyDescent="0.25">
      <c r="A4189" s="1930" t="s">
        <v>4646</v>
      </c>
      <c r="B4189" s="1930" t="s">
        <v>4647</v>
      </c>
      <c r="C4189" s="1930" t="s">
        <v>4594</v>
      </c>
      <c r="D4189" s="1930" t="s">
        <v>4650</v>
      </c>
      <c r="E4189" s="1931" t="s">
        <v>33</v>
      </c>
      <c r="F4189" s="1930" t="s">
        <v>33</v>
      </c>
      <c r="G4189" s="1932">
        <v>96839</v>
      </c>
      <c r="H4189" s="1930" t="s">
        <v>3181</v>
      </c>
      <c r="I4189" s="1930" t="s">
        <v>168</v>
      </c>
      <c r="J4189" s="1930" t="s">
        <v>137</v>
      </c>
      <c r="K4189" s="1933">
        <v>14.81</v>
      </c>
      <c r="L4189" s="1930" t="s">
        <v>138</v>
      </c>
    </row>
    <row r="4190" spans="1:12" ht="13.5" x14ac:dyDescent="0.25">
      <c r="A4190" s="1930" t="s">
        <v>4646</v>
      </c>
      <c r="B4190" s="1930" t="s">
        <v>4647</v>
      </c>
      <c r="C4190" s="1930" t="s">
        <v>4594</v>
      </c>
      <c r="D4190" s="1930" t="s">
        <v>4650</v>
      </c>
      <c r="E4190" s="1931" t="s">
        <v>33</v>
      </c>
      <c r="F4190" s="1930" t="s">
        <v>33</v>
      </c>
      <c r="G4190" s="1932">
        <v>96840</v>
      </c>
      <c r="H4190" s="1930" t="s">
        <v>3182</v>
      </c>
      <c r="I4190" s="1930" t="s">
        <v>168</v>
      </c>
      <c r="J4190" s="1930" t="s">
        <v>137</v>
      </c>
      <c r="K4190" s="1933">
        <v>19.07</v>
      </c>
      <c r="L4190" s="1930" t="s">
        <v>138</v>
      </c>
    </row>
    <row r="4191" spans="1:12" ht="13.5" x14ac:dyDescent="0.25">
      <c r="A4191" s="1930" t="s">
        <v>4646</v>
      </c>
      <c r="B4191" s="1930" t="s">
        <v>4647</v>
      </c>
      <c r="C4191" s="1930" t="s">
        <v>4594</v>
      </c>
      <c r="D4191" s="1930" t="s">
        <v>4650</v>
      </c>
      <c r="E4191" s="1931" t="s">
        <v>33</v>
      </c>
      <c r="F4191" s="1930" t="s">
        <v>33</v>
      </c>
      <c r="G4191" s="1932">
        <v>96841</v>
      </c>
      <c r="H4191" s="1930" t="s">
        <v>3183</v>
      </c>
      <c r="I4191" s="1930" t="s">
        <v>168</v>
      </c>
      <c r="J4191" s="1930" t="s">
        <v>137</v>
      </c>
      <c r="K4191" s="1933">
        <v>16.79</v>
      </c>
      <c r="L4191" s="1930" t="s">
        <v>138</v>
      </c>
    </row>
    <row r="4192" spans="1:12" ht="13.5" x14ac:dyDescent="0.25">
      <c r="A4192" s="1930" t="s">
        <v>4646</v>
      </c>
      <c r="B4192" s="1930" t="s">
        <v>4647</v>
      </c>
      <c r="C4192" s="1930" t="s">
        <v>4594</v>
      </c>
      <c r="D4192" s="1930" t="s">
        <v>4650</v>
      </c>
      <c r="E4192" s="1931" t="s">
        <v>33</v>
      </c>
      <c r="F4192" s="1930" t="s">
        <v>33</v>
      </c>
      <c r="G4192" s="1932">
        <v>96842</v>
      </c>
      <c r="H4192" s="1930" t="s">
        <v>3184</v>
      </c>
      <c r="I4192" s="1930" t="s">
        <v>168</v>
      </c>
      <c r="J4192" s="1930" t="s">
        <v>137</v>
      </c>
      <c r="K4192" s="1933">
        <v>21.15</v>
      </c>
      <c r="L4192" s="1930" t="s">
        <v>138</v>
      </c>
    </row>
    <row r="4193" spans="1:12" ht="13.5" x14ac:dyDescent="0.25">
      <c r="A4193" s="1930" t="s">
        <v>4646</v>
      </c>
      <c r="B4193" s="1930" t="s">
        <v>4647</v>
      </c>
      <c r="C4193" s="1930" t="s">
        <v>4594</v>
      </c>
      <c r="D4193" s="1930" t="s">
        <v>4650</v>
      </c>
      <c r="E4193" s="1931" t="s">
        <v>33</v>
      </c>
      <c r="F4193" s="1930" t="s">
        <v>33</v>
      </c>
      <c r="G4193" s="1932">
        <v>96843</v>
      </c>
      <c r="H4193" s="1930" t="s">
        <v>3185</v>
      </c>
      <c r="I4193" s="1930" t="s">
        <v>168</v>
      </c>
      <c r="J4193" s="1930" t="s">
        <v>137</v>
      </c>
      <c r="K4193" s="1933">
        <v>20.37</v>
      </c>
      <c r="L4193" s="1930" t="s">
        <v>138</v>
      </c>
    </row>
    <row r="4194" spans="1:12" ht="13.5" x14ac:dyDescent="0.25">
      <c r="A4194" s="1930" t="s">
        <v>4646</v>
      </c>
      <c r="B4194" s="1930" t="s">
        <v>4647</v>
      </c>
      <c r="C4194" s="1930" t="s">
        <v>4594</v>
      </c>
      <c r="D4194" s="1930" t="s">
        <v>4650</v>
      </c>
      <c r="E4194" s="1931" t="s">
        <v>33</v>
      </c>
      <c r="F4194" s="1930" t="s">
        <v>33</v>
      </c>
      <c r="G4194" s="1932">
        <v>96844</v>
      </c>
      <c r="H4194" s="1930" t="s">
        <v>3186</v>
      </c>
      <c r="I4194" s="1930" t="s">
        <v>168</v>
      </c>
      <c r="J4194" s="1930" t="s">
        <v>137</v>
      </c>
      <c r="K4194" s="1933">
        <v>27.48</v>
      </c>
      <c r="L4194" s="1930" t="s">
        <v>138</v>
      </c>
    </row>
    <row r="4195" spans="1:12" ht="13.5" x14ac:dyDescent="0.25">
      <c r="A4195" s="1930" t="s">
        <v>4646</v>
      </c>
      <c r="B4195" s="1930" t="s">
        <v>4647</v>
      </c>
      <c r="C4195" s="1930" t="s">
        <v>4594</v>
      </c>
      <c r="D4195" s="1930" t="s">
        <v>4650</v>
      </c>
      <c r="E4195" s="1931" t="s">
        <v>33</v>
      </c>
      <c r="F4195" s="1930" t="s">
        <v>33</v>
      </c>
      <c r="G4195" s="1932">
        <v>96845</v>
      </c>
      <c r="H4195" s="1930" t="s">
        <v>3187</v>
      </c>
      <c r="I4195" s="1930" t="s">
        <v>168</v>
      </c>
      <c r="J4195" s="1930" t="s">
        <v>137</v>
      </c>
      <c r="K4195" s="1933">
        <v>29.52</v>
      </c>
      <c r="L4195" s="1930" t="s">
        <v>138</v>
      </c>
    </row>
    <row r="4196" spans="1:12" ht="13.5" x14ac:dyDescent="0.25">
      <c r="A4196" s="1930" t="s">
        <v>4646</v>
      </c>
      <c r="B4196" s="1930" t="s">
        <v>4647</v>
      </c>
      <c r="C4196" s="1930" t="s">
        <v>4594</v>
      </c>
      <c r="D4196" s="1930" t="s">
        <v>4650</v>
      </c>
      <c r="E4196" s="1931" t="s">
        <v>33</v>
      </c>
      <c r="F4196" s="1930" t="s">
        <v>33</v>
      </c>
      <c r="G4196" s="1932">
        <v>96846</v>
      </c>
      <c r="H4196" s="1930" t="s">
        <v>3188</v>
      </c>
      <c r="I4196" s="1930" t="s">
        <v>168</v>
      </c>
      <c r="J4196" s="1930" t="s">
        <v>137</v>
      </c>
      <c r="K4196" s="1933">
        <v>23.45</v>
      </c>
      <c r="L4196" s="1930" t="s">
        <v>138</v>
      </c>
    </row>
    <row r="4197" spans="1:12" ht="13.5" x14ac:dyDescent="0.25">
      <c r="A4197" s="1930" t="s">
        <v>4646</v>
      </c>
      <c r="B4197" s="1930" t="s">
        <v>4647</v>
      </c>
      <c r="C4197" s="1930" t="s">
        <v>4594</v>
      </c>
      <c r="D4197" s="1930" t="s">
        <v>4650</v>
      </c>
      <c r="E4197" s="1931" t="s">
        <v>33</v>
      </c>
      <c r="F4197" s="1930" t="s">
        <v>33</v>
      </c>
      <c r="G4197" s="1932">
        <v>96847</v>
      </c>
      <c r="H4197" s="1930" t="s">
        <v>3189</v>
      </c>
      <c r="I4197" s="1930" t="s">
        <v>168</v>
      </c>
      <c r="J4197" s="1930" t="s">
        <v>137</v>
      </c>
      <c r="K4197" s="1933">
        <v>25.67</v>
      </c>
      <c r="L4197" s="1930" t="s">
        <v>138</v>
      </c>
    </row>
    <row r="4198" spans="1:12" ht="13.5" x14ac:dyDescent="0.25">
      <c r="A4198" s="1930" t="s">
        <v>4646</v>
      </c>
      <c r="B4198" s="1930" t="s">
        <v>4647</v>
      </c>
      <c r="C4198" s="1930" t="s">
        <v>4594</v>
      </c>
      <c r="D4198" s="1930" t="s">
        <v>4650</v>
      </c>
      <c r="E4198" s="1931" t="s">
        <v>33</v>
      </c>
      <c r="F4198" s="1930" t="s">
        <v>33</v>
      </c>
      <c r="G4198" s="1932">
        <v>96848</v>
      </c>
      <c r="H4198" s="1930" t="s">
        <v>3190</v>
      </c>
      <c r="I4198" s="1930" t="s">
        <v>168</v>
      </c>
      <c r="J4198" s="1930" t="s">
        <v>137</v>
      </c>
      <c r="K4198" s="1933">
        <v>38.22</v>
      </c>
      <c r="L4198" s="1930" t="s">
        <v>138</v>
      </c>
    </row>
    <row r="4199" spans="1:12" ht="13.5" x14ac:dyDescent="0.25">
      <c r="A4199" s="1930" t="s">
        <v>4646</v>
      </c>
      <c r="B4199" s="1930" t="s">
        <v>4647</v>
      </c>
      <c r="C4199" s="1930" t="s">
        <v>4594</v>
      </c>
      <c r="D4199" s="1930" t="s">
        <v>4650</v>
      </c>
      <c r="E4199" s="1931" t="s">
        <v>33</v>
      </c>
      <c r="F4199" s="1930" t="s">
        <v>33</v>
      </c>
      <c r="G4199" s="1932">
        <v>96849</v>
      </c>
      <c r="H4199" s="1930" t="s">
        <v>3191</v>
      </c>
      <c r="I4199" s="1930" t="s">
        <v>168</v>
      </c>
      <c r="J4199" s="1930" t="s">
        <v>137</v>
      </c>
      <c r="K4199" s="1933">
        <v>13.97</v>
      </c>
      <c r="L4199" s="1930" t="s">
        <v>138</v>
      </c>
    </row>
    <row r="4200" spans="1:12" ht="13.5" x14ac:dyDescent="0.25">
      <c r="A4200" s="1930" t="s">
        <v>4646</v>
      </c>
      <c r="B4200" s="1930" t="s">
        <v>4647</v>
      </c>
      <c r="C4200" s="1930" t="s">
        <v>4594</v>
      </c>
      <c r="D4200" s="1930" t="s">
        <v>4650</v>
      </c>
      <c r="E4200" s="1931" t="s">
        <v>33</v>
      </c>
      <c r="F4200" s="1930" t="s">
        <v>33</v>
      </c>
      <c r="G4200" s="1932">
        <v>96850</v>
      </c>
      <c r="H4200" s="1930" t="s">
        <v>3192</v>
      </c>
      <c r="I4200" s="1930" t="s">
        <v>168</v>
      </c>
      <c r="J4200" s="1930" t="s">
        <v>137</v>
      </c>
      <c r="K4200" s="1933">
        <v>16.239999999999998</v>
      </c>
      <c r="L4200" s="1930" t="s">
        <v>138</v>
      </c>
    </row>
    <row r="4201" spans="1:12" ht="13.5" x14ac:dyDescent="0.25">
      <c r="A4201" s="1930" t="s">
        <v>4646</v>
      </c>
      <c r="B4201" s="1930" t="s">
        <v>4647</v>
      </c>
      <c r="C4201" s="1930" t="s">
        <v>4594</v>
      </c>
      <c r="D4201" s="1930" t="s">
        <v>4650</v>
      </c>
      <c r="E4201" s="1931" t="s">
        <v>33</v>
      </c>
      <c r="F4201" s="1930" t="s">
        <v>33</v>
      </c>
      <c r="G4201" s="1932">
        <v>96851</v>
      </c>
      <c r="H4201" s="1930" t="s">
        <v>3193</v>
      </c>
      <c r="I4201" s="1930" t="s">
        <v>168</v>
      </c>
      <c r="J4201" s="1930" t="s">
        <v>137</v>
      </c>
      <c r="K4201" s="1933">
        <v>21.33</v>
      </c>
      <c r="L4201" s="1930" t="s">
        <v>138</v>
      </c>
    </row>
    <row r="4202" spans="1:12" ht="13.5" x14ac:dyDescent="0.25">
      <c r="A4202" s="1930" t="s">
        <v>4646</v>
      </c>
      <c r="B4202" s="1930" t="s">
        <v>4647</v>
      </c>
      <c r="C4202" s="1930" t="s">
        <v>4594</v>
      </c>
      <c r="D4202" s="1930" t="s">
        <v>4650</v>
      </c>
      <c r="E4202" s="1931" t="s">
        <v>33</v>
      </c>
      <c r="F4202" s="1930" t="s">
        <v>33</v>
      </c>
      <c r="G4202" s="1932">
        <v>96852</v>
      </c>
      <c r="H4202" s="1930" t="s">
        <v>3194</v>
      </c>
      <c r="I4202" s="1930" t="s">
        <v>168</v>
      </c>
      <c r="J4202" s="1930" t="s">
        <v>137</v>
      </c>
      <c r="K4202" s="1933">
        <v>18.5</v>
      </c>
      <c r="L4202" s="1930" t="s">
        <v>138</v>
      </c>
    </row>
    <row r="4203" spans="1:12" ht="13.5" x14ac:dyDescent="0.25">
      <c r="A4203" s="1930" t="s">
        <v>4646</v>
      </c>
      <c r="B4203" s="1930" t="s">
        <v>4647</v>
      </c>
      <c r="C4203" s="1930" t="s">
        <v>4594</v>
      </c>
      <c r="D4203" s="1930" t="s">
        <v>4650</v>
      </c>
      <c r="E4203" s="1931" t="s">
        <v>33</v>
      </c>
      <c r="F4203" s="1930" t="s">
        <v>33</v>
      </c>
      <c r="G4203" s="1932">
        <v>96853</v>
      </c>
      <c r="H4203" s="1930" t="s">
        <v>3195</v>
      </c>
      <c r="I4203" s="1930" t="s">
        <v>168</v>
      </c>
      <c r="J4203" s="1930" t="s">
        <v>137</v>
      </c>
      <c r="K4203" s="1933">
        <v>20.72</v>
      </c>
      <c r="L4203" s="1930" t="s">
        <v>138</v>
      </c>
    </row>
    <row r="4204" spans="1:12" ht="13.5" x14ac:dyDescent="0.25">
      <c r="A4204" s="1930" t="s">
        <v>4646</v>
      </c>
      <c r="B4204" s="1930" t="s">
        <v>4647</v>
      </c>
      <c r="C4204" s="1930" t="s">
        <v>4594</v>
      </c>
      <c r="D4204" s="1930" t="s">
        <v>4650</v>
      </c>
      <c r="E4204" s="1931" t="s">
        <v>33</v>
      </c>
      <c r="F4204" s="1930" t="s">
        <v>33</v>
      </c>
      <c r="G4204" s="1932">
        <v>96854</v>
      </c>
      <c r="H4204" s="1930" t="s">
        <v>3196</v>
      </c>
      <c r="I4204" s="1930" t="s">
        <v>168</v>
      </c>
      <c r="J4204" s="1930" t="s">
        <v>137</v>
      </c>
      <c r="K4204" s="1933">
        <v>24.66</v>
      </c>
      <c r="L4204" s="1930" t="s">
        <v>138</v>
      </c>
    </row>
    <row r="4205" spans="1:12" ht="13.5" x14ac:dyDescent="0.25">
      <c r="A4205" s="1930" t="s">
        <v>4646</v>
      </c>
      <c r="B4205" s="1930" t="s">
        <v>4647</v>
      </c>
      <c r="C4205" s="1930" t="s">
        <v>4594</v>
      </c>
      <c r="D4205" s="1930" t="s">
        <v>4650</v>
      </c>
      <c r="E4205" s="1931" t="s">
        <v>33</v>
      </c>
      <c r="F4205" s="1930" t="s">
        <v>33</v>
      </c>
      <c r="G4205" s="1932">
        <v>96855</v>
      </c>
      <c r="H4205" s="1930" t="s">
        <v>3197</v>
      </c>
      <c r="I4205" s="1930" t="s">
        <v>168</v>
      </c>
      <c r="J4205" s="1930" t="s">
        <v>137</v>
      </c>
      <c r="K4205" s="1933">
        <v>22.94</v>
      </c>
      <c r="L4205" s="1930" t="s">
        <v>138</v>
      </c>
    </row>
    <row r="4206" spans="1:12" ht="13.5" x14ac:dyDescent="0.25">
      <c r="A4206" s="1930" t="s">
        <v>4646</v>
      </c>
      <c r="B4206" s="1930" t="s">
        <v>4647</v>
      </c>
      <c r="C4206" s="1930" t="s">
        <v>4594</v>
      </c>
      <c r="D4206" s="1930" t="s">
        <v>4650</v>
      </c>
      <c r="E4206" s="1931" t="s">
        <v>33</v>
      </c>
      <c r="F4206" s="1930" t="s">
        <v>33</v>
      </c>
      <c r="G4206" s="1932">
        <v>96856</v>
      </c>
      <c r="H4206" s="1930" t="s">
        <v>3198</v>
      </c>
      <c r="I4206" s="1930" t="s">
        <v>168</v>
      </c>
      <c r="J4206" s="1930" t="s">
        <v>137</v>
      </c>
      <c r="K4206" s="1933">
        <v>23.26</v>
      </c>
      <c r="L4206" s="1930" t="s">
        <v>138</v>
      </c>
    </row>
    <row r="4207" spans="1:12" ht="13.5" x14ac:dyDescent="0.25">
      <c r="A4207" s="1930" t="s">
        <v>4646</v>
      </c>
      <c r="B4207" s="1930" t="s">
        <v>4647</v>
      </c>
      <c r="C4207" s="1930" t="s">
        <v>4594</v>
      </c>
      <c r="D4207" s="1930" t="s">
        <v>4650</v>
      </c>
      <c r="E4207" s="1931" t="s">
        <v>33</v>
      </c>
      <c r="F4207" s="1930" t="s">
        <v>33</v>
      </c>
      <c r="G4207" s="1932">
        <v>96857</v>
      </c>
      <c r="H4207" s="1930" t="s">
        <v>3199</v>
      </c>
      <c r="I4207" s="1930" t="s">
        <v>168</v>
      </c>
      <c r="J4207" s="1930" t="s">
        <v>137</v>
      </c>
      <c r="K4207" s="1933">
        <v>36.58</v>
      </c>
      <c r="L4207" s="1930" t="s">
        <v>138</v>
      </c>
    </row>
    <row r="4208" spans="1:12" ht="13.5" x14ac:dyDescent="0.25">
      <c r="A4208" s="1930" t="s">
        <v>4646</v>
      </c>
      <c r="B4208" s="1930" t="s">
        <v>4647</v>
      </c>
      <c r="C4208" s="1930" t="s">
        <v>4594</v>
      </c>
      <c r="D4208" s="1930" t="s">
        <v>4650</v>
      </c>
      <c r="E4208" s="1931" t="s">
        <v>33</v>
      </c>
      <c r="F4208" s="1930" t="s">
        <v>33</v>
      </c>
      <c r="G4208" s="1932">
        <v>96858</v>
      </c>
      <c r="H4208" s="1930" t="s">
        <v>3200</v>
      </c>
      <c r="I4208" s="1930" t="s">
        <v>168</v>
      </c>
      <c r="J4208" s="1930" t="s">
        <v>137</v>
      </c>
      <c r="K4208" s="1933">
        <v>37.159999999999997</v>
      </c>
      <c r="L4208" s="1930" t="s">
        <v>138</v>
      </c>
    </row>
    <row r="4209" spans="1:12" ht="13.5" x14ac:dyDescent="0.25">
      <c r="A4209" s="1930" t="s">
        <v>4646</v>
      </c>
      <c r="B4209" s="1930" t="s">
        <v>4647</v>
      </c>
      <c r="C4209" s="1930" t="s">
        <v>4594</v>
      </c>
      <c r="D4209" s="1930" t="s">
        <v>4650</v>
      </c>
      <c r="E4209" s="1931" t="s">
        <v>33</v>
      </c>
      <c r="F4209" s="1930" t="s">
        <v>33</v>
      </c>
      <c r="G4209" s="1932">
        <v>96859</v>
      </c>
      <c r="H4209" s="1930" t="s">
        <v>3201</v>
      </c>
      <c r="I4209" s="1930" t="s">
        <v>168</v>
      </c>
      <c r="J4209" s="1930" t="s">
        <v>137</v>
      </c>
      <c r="K4209" s="1933">
        <v>45.8</v>
      </c>
      <c r="L4209" s="1930" t="s">
        <v>138</v>
      </c>
    </row>
    <row r="4210" spans="1:12" ht="13.5" x14ac:dyDescent="0.25">
      <c r="A4210" s="1930" t="s">
        <v>4646</v>
      </c>
      <c r="B4210" s="1930" t="s">
        <v>4647</v>
      </c>
      <c r="C4210" s="1930" t="s">
        <v>4594</v>
      </c>
      <c r="D4210" s="1930" t="s">
        <v>4650</v>
      </c>
      <c r="E4210" s="1931" t="s">
        <v>33</v>
      </c>
      <c r="F4210" s="1930" t="s">
        <v>33</v>
      </c>
      <c r="G4210" s="1932">
        <v>96860</v>
      </c>
      <c r="H4210" s="1930" t="s">
        <v>3202</v>
      </c>
      <c r="I4210" s="1930" t="s">
        <v>168</v>
      </c>
      <c r="J4210" s="1930" t="s">
        <v>137</v>
      </c>
      <c r="K4210" s="1933">
        <v>19.05</v>
      </c>
      <c r="L4210" s="1930" t="s">
        <v>138</v>
      </c>
    </row>
    <row r="4211" spans="1:12" ht="13.5" x14ac:dyDescent="0.25">
      <c r="A4211" s="1930" t="s">
        <v>4646</v>
      </c>
      <c r="B4211" s="1930" t="s">
        <v>4647</v>
      </c>
      <c r="C4211" s="1930" t="s">
        <v>4594</v>
      </c>
      <c r="D4211" s="1930" t="s">
        <v>4650</v>
      </c>
      <c r="E4211" s="1931" t="s">
        <v>33</v>
      </c>
      <c r="F4211" s="1930" t="s">
        <v>33</v>
      </c>
      <c r="G4211" s="1932">
        <v>96861</v>
      </c>
      <c r="H4211" s="1930" t="s">
        <v>3203</v>
      </c>
      <c r="I4211" s="1930" t="s">
        <v>168</v>
      </c>
      <c r="J4211" s="1930" t="s">
        <v>137</v>
      </c>
      <c r="K4211" s="1933">
        <v>20.49</v>
      </c>
      <c r="L4211" s="1930" t="s">
        <v>138</v>
      </c>
    </row>
    <row r="4212" spans="1:12" ht="13.5" x14ac:dyDescent="0.25">
      <c r="A4212" s="1930" t="s">
        <v>4646</v>
      </c>
      <c r="B4212" s="1930" t="s">
        <v>4647</v>
      </c>
      <c r="C4212" s="1930" t="s">
        <v>4594</v>
      </c>
      <c r="D4212" s="1930" t="s">
        <v>4650</v>
      </c>
      <c r="E4212" s="1931" t="s">
        <v>33</v>
      </c>
      <c r="F4212" s="1930" t="s">
        <v>33</v>
      </c>
      <c r="G4212" s="1932">
        <v>96862</v>
      </c>
      <c r="H4212" s="1930" t="s">
        <v>3204</v>
      </c>
      <c r="I4212" s="1930" t="s">
        <v>168</v>
      </c>
      <c r="J4212" s="1930" t="s">
        <v>137</v>
      </c>
      <c r="K4212" s="1933">
        <v>22.95</v>
      </c>
      <c r="L4212" s="1930" t="s">
        <v>138</v>
      </c>
    </row>
    <row r="4213" spans="1:12" ht="13.5" x14ac:dyDescent="0.25">
      <c r="A4213" s="1930" t="s">
        <v>4646</v>
      </c>
      <c r="B4213" s="1930" t="s">
        <v>4647</v>
      </c>
      <c r="C4213" s="1930" t="s">
        <v>4594</v>
      </c>
      <c r="D4213" s="1930" t="s">
        <v>4650</v>
      </c>
      <c r="E4213" s="1931" t="s">
        <v>33</v>
      </c>
      <c r="F4213" s="1930" t="s">
        <v>33</v>
      </c>
      <c r="G4213" s="1932">
        <v>96863</v>
      </c>
      <c r="H4213" s="1930" t="s">
        <v>3205</v>
      </c>
      <c r="I4213" s="1930" t="s">
        <v>168</v>
      </c>
      <c r="J4213" s="1930" t="s">
        <v>137</v>
      </c>
      <c r="K4213" s="1933">
        <v>22.71</v>
      </c>
      <c r="L4213" s="1930" t="s">
        <v>138</v>
      </c>
    </row>
    <row r="4214" spans="1:12" ht="13.5" x14ac:dyDescent="0.25">
      <c r="A4214" s="1930" t="s">
        <v>4646</v>
      </c>
      <c r="B4214" s="1930" t="s">
        <v>4647</v>
      </c>
      <c r="C4214" s="1930" t="s">
        <v>4594</v>
      </c>
      <c r="D4214" s="1930" t="s">
        <v>4650</v>
      </c>
      <c r="E4214" s="1931" t="s">
        <v>33</v>
      </c>
      <c r="F4214" s="1930" t="s">
        <v>33</v>
      </c>
      <c r="G4214" s="1932">
        <v>96864</v>
      </c>
      <c r="H4214" s="1930" t="s">
        <v>3206</v>
      </c>
      <c r="I4214" s="1930" t="s">
        <v>168</v>
      </c>
      <c r="J4214" s="1930" t="s">
        <v>137</v>
      </c>
      <c r="K4214" s="1933">
        <v>35.51</v>
      </c>
      <c r="L4214" s="1930" t="s">
        <v>138</v>
      </c>
    </row>
    <row r="4215" spans="1:12" ht="13.5" x14ac:dyDescent="0.25">
      <c r="A4215" s="1930" t="s">
        <v>4646</v>
      </c>
      <c r="B4215" s="1930" t="s">
        <v>4647</v>
      </c>
      <c r="C4215" s="1930" t="s">
        <v>4594</v>
      </c>
      <c r="D4215" s="1930" t="s">
        <v>4650</v>
      </c>
      <c r="E4215" s="1931" t="s">
        <v>33</v>
      </c>
      <c r="F4215" s="1930" t="s">
        <v>33</v>
      </c>
      <c r="G4215" s="1932">
        <v>96865</v>
      </c>
      <c r="H4215" s="1930" t="s">
        <v>3207</v>
      </c>
      <c r="I4215" s="1930" t="s">
        <v>168</v>
      </c>
      <c r="J4215" s="1930" t="s">
        <v>137</v>
      </c>
      <c r="K4215" s="1933">
        <v>34.81</v>
      </c>
      <c r="L4215" s="1930" t="s">
        <v>138</v>
      </c>
    </row>
    <row r="4216" spans="1:12" ht="13.5" x14ac:dyDescent="0.25">
      <c r="A4216" s="1930" t="s">
        <v>4646</v>
      </c>
      <c r="B4216" s="1930" t="s">
        <v>4647</v>
      </c>
      <c r="C4216" s="1930" t="s">
        <v>4594</v>
      </c>
      <c r="D4216" s="1930" t="s">
        <v>4650</v>
      </c>
      <c r="E4216" s="1931" t="s">
        <v>33</v>
      </c>
      <c r="F4216" s="1930" t="s">
        <v>33</v>
      </c>
      <c r="G4216" s="1932">
        <v>96866</v>
      </c>
      <c r="H4216" s="1930" t="s">
        <v>3208</v>
      </c>
      <c r="I4216" s="1930" t="s">
        <v>168</v>
      </c>
      <c r="J4216" s="1930" t="s">
        <v>137</v>
      </c>
      <c r="K4216" s="1933">
        <v>46.55</v>
      </c>
      <c r="L4216" s="1930" t="s">
        <v>138</v>
      </c>
    </row>
    <row r="4217" spans="1:12" ht="13.5" x14ac:dyDescent="0.25">
      <c r="A4217" s="1930" t="s">
        <v>4646</v>
      </c>
      <c r="B4217" s="1930" t="s">
        <v>4647</v>
      </c>
      <c r="C4217" s="1930" t="s">
        <v>4594</v>
      </c>
      <c r="D4217" s="1930" t="s">
        <v>4650</v>
      </c>
      <c r="E4217" s="1931" t="s">
        <v>33</v>
      </c>
      <c r="F4217" s="1930" t="s">
        <v>33</v>
      </c>
      <c r="G4217" s="1932">
        <v>96867</v>
      </c>
      <c r="H4217" s="1930" t="s">
        <v>3209</v>
      </c>
      <c r="I4217" s="1930" t="s">
        <v>168</v>
      </c>
      <c r="J4217" s="1930" t="s">
        <v>137</v>
      </c>
      <c r="K4217" s="1933">
        <v>53.81</v>
      </c>
      <c r="L4217" s="1930" t="s">
        <v>138</v>
      </c>
    </row>
    <row r="4218" spans="1:12" ht="13.5" x14ac:dyDescent="0.25">
      <c r="A4218" s="1930" t="s">
        <v>4646</v>
      </c>
      <c r="B4218" s="1930" t="s">
        <v>4647</v>
      </c>
      <c r="C4218" s="1930" t="s">
        <v>4594</v>
      </c>
      <c r="D4218" s="1930" t="s">
        <v>4650</v>
      </c>
      <c r="E4218" s="1931" t="s">
        <v>33</v>
      </c>
      <c r="F4218" s="1930" t="s">
        <v>33</v>
      </c>
      <c r="G4218" s="1932">
        <v>96868</v>
      </c>
      <c r="H4218" s="1930" t="s">
        <v>3210</v>
      </c>
      <c r="I4218" s="1930" t="s">
        <v>168</v>
      </c>
      <c r="J4218" s="1930" t="s">
        <v>137</v>
      </c>
      <c r="K4218" s="1933">
        <v>21.52</v>
      </c>
      <c r="L4218" s="1930" t="s">
        <v>138</v>
      </c>
    </row>
    <row r="4219" spans="1:12" ht="13.5" x14ac:dyDescent="0.25">
      <c r="A4219" s="1930" t="s">
        <v>4646</v>
      </c>
      <c r="B4219" s="1930" t="s">
        <v>4647</v>
      </c>
      <c r="C4219" s="1930" t="s">
        <v>4594</v>
      </c>
      <c r="D4219" s="1930" t="s">
        <v>4650</v>
      </c>
      <c r="E4219" s="1931" t="s">
        <v>33</v>
      </c>
      <c r="F4219" s="1930" t="s">
        <v>33</v>
      </c>
      <c r="G4219" s="1932">
        <v>96869</v>
      </c>
      <c r="H4219" s="1930" t="s">
        <v>3211</v>
      </c>
      <c r="I4219" s="1930" t="s">
        <v>168</v>
      </c>
      <c r="J4219" s="1930" t="s">
        <v>137</v>
      </c>
      <c r="K4219" s="1933">
        <v>25.69</v>
      </c>
      <c r="L4219" s="1930" t="s">
        <v>138</v>
      </c>
    </row>
    <row r="4220" spans="1:12" ht="13.5" x14ac:dyDescent="0.25">
      <c r="A4220" s="1930" t="s">
        <v>4646</v>
      </c>
      <c r="B4220" s="1930" t="s">
        <v>4647</v>
      </c>
      <c r="C4220" s="1930" t="s">
        <v>4594</v>
      </c>
      <c r="D4220" s="1930" t="s">
        <v>4650</v>
      </c>
      <c r="E4220" s="1931" t="s">
        <v>33</v>
      </c>
      <c r="F4220" s="1930" t="s">
        <v>33</v>
      </c>
      <c r="G4220" s="1932">
        <v>96870</v>
      </c>
      <c r="H4220" s="1930" t="s">
        <v>3212</v>
      </c>
      <c r="I4220" s="1930" t="s">
        <v>168</v>
      </c>
      <c r="J4220" s="1930" t="s">
        <v>137</v>
      </c>
      <c r="K4220" s="1933">
        <v>40.25</v>
      </c>
      <c r="L4220" s="1930" t="s">
        <v>138</v>
      </c>
    </row>
    <row r="4221" spans="1:12" ht="13.5" x14ac:dyDescent="0.25">
      <c r="A4221" s="1930" t="s">
        <v>4646</v>
      </c>
      <c r="B4221" s="1930" t="s">
        <v>4647</v>
      </c>
      <c r="C4221" s="1930" t="s">
        <v>4594</v>
      </c>
      <c r="D4221" s="1930" t="s">
        <v>4650</v>
      </c>
      <c r="E4221" s="1931" t="s">
        <v>33</v>
      </c>
      <c r="F4221" s="1930" t="s">
        <v>33</v>
      </c>
      <c r="G4221" s="1932">
        <v>96871</v>
      </c>
      <c r="H4221" s="1930" t="s">
        <v>3213</v>
      </c>
      <c r="I4221" s="1930" t="s">
        <v>168</v>
      </c>
      <c r="J4221" s="1930" t="s">
        <v>137</v>
      </c>
      <c r="K4221" s="1933">
        <v>58.1</v>
      </c>
      <c r="L4221" s="1930" t="s">
        <v>138</v>
      </c>
    </row>
    <row r="4222" spans="1:12" ht="13.5" x14ac:dyDescent="0.25">
      <c r="A4222" s="1930" t="s">
        <v>4646</v>
      </c>
      <c r="B4222" s="1930" t="s">
        <v>4647</v>
      </c>
      <c r="C4222" s="1930" t="s">
        <v>4594</v>
      </c>
      <c r="D4222" s="1930" t="s">
        <v>4650</v>
      </c>
      <c r="E4222" s="1931" t="s">
        <v>33</v>
      </c>
      <c r="F4222" s="1930" t="s">
        <v>33</v>
      </c>
      <c r="G4222" s="1932">
        <v>96872</v>
      </c>
      <c r="H4222" s="1930" t="s">
        <v>3214</v>
      </c>
      <c r="I4222" s="1930" t="s">
        <v>168</v>
      </c>
      <c r="J4222" s="1930" t="s">
        <v>137</v>
      </c>
      <c r="K4222" s="1933">
        <v>55.48</v>
      </c>
      <c r="L4222" s="1930" t="s">
        <v>138</v>
      </c>
    </row>
    <row r="4223" spans="1:12" ht="13.5" x14ac:dyDescent="0.25">
      <c r="A4223" s="1930" t="s">
        <v>4646</v>
      </c>
      <c r="B4223" s="1930" t="s">
        <v>4647</v>
      </c>
      <c r="C4223" s="1930" t="s">
        <v>4594</v>
      </c>
      <c r="D4223" s="1930" t="s">
        <v>4650</v>
      </c>
      <c r="E4223" s="1931" t="s">
        <v>33</v>
      </c>
      <c r="F4223" s="1930" t="s">
        <v>33</v>
      </c>
      <c r="G4223" s="1932">
        <v>96873</v>
      </c>
      <c r="H4223" s="1930" t="s">
        <v>3215</v>
      </c>
      <c r="I4223" s="1930" t="s">
        <v>168</v>
      </c>
      <c r="J4223" s="1930" t="s">
        <v>137</v>
      </c>
      <c r="K4223" s="1933">
        <v>63.49</v>
      </c>
      <c r="L4223" s="1930" t="s">
        <v>138</v>
      </c>
    </row>
    <row r="4224" spans="1:12" ht="13.5" x14ac:dyDescent="0.25">
      <c r="A4224" s="1930" t="s">
        <v>4646</v>
      </c>
      <c r="B4224" s="1930" t="s">
        <v>4647</v>
      </c>
      <c r="C4224" s="1930" t="s">
        <v>4594</v>
      </c>
      <c r="D4224" s="1930" t="s">
        <v>4650</v>
      </c>
      <c r="E4224" s="1931" t="s">
        <v>33</v>
      </c>
      <c r="F4224" s="1930" t="s">
        <v>33</v>
      </c>
      <c r="G4224" s="1932">
        <v>96874</v>
      </c>
      <c r="H4224" s="1930" t="s">
        <v>3216</v>
      </c>
      <c r="I4224" s="1930" t="s">
        <v>168</v>
      </c>
      <c r="J4224" s="1930" t="s">
        <v>137</v>
      </c>
      <c r="K4224" s="1933">
        <v>67.5</v>
      </c>
      <c r="L4224" s="1930" t="s">
        <v>138</v>
      </c>
    </row>
    <row r="4225" spans="1:12" ht="13.5" x14ac:dyDescent="0.25">
      <c r="A4225" s="1930" t="s">
        <v>4646</v>
      </c>
      <c r="B4225" s="1930" t="s">
        <v>4647</v>
      </c>
      <c r="C4225" s="1930" t="s">
        <v>4594</v>
      </c>
      <c r="D4225" s="1930" t="s">
        <v>4650</v>
      </c>
      <c r="E4225" s="1931" t="s">
        <v>33</v>
      </c>
      <c r="F4225" s="1930" t="s">
        <v>33</v>
      </c>
      <c r="G4225" s="1932">
        <v>96875</v>
      </c>
      <c r="H4225" s="1930" t="s">
        <v>3217</v>
      </c>
      <c r="I4225" s="1930" t="s">
        <v>168</v>
      </c>
      <c r="J4225" s="1930" t="s">
        <v>137</v>
      </c>
      <c r="K4225" s="1933">
        <v>80.38</v>
      </c>
      <c r="L4225" s="1930" t="s">
        <v>138</v>
      </c>
    </row>
    <row r="4226" spans="1:12" ht="13.5" x14ac:dyDescent="0.25">
      <c r="A4226" s="1930" t="s">
        <v>4646</v>
      </c>
      <c r="B4226" s="1930" t="s">
        <v>4647</v>
      </c>
      <c r="C4226" s="1930" t="s">
        <v>4594</v>
      </c>
      <c r="D4226" s="1930" t="s">
        <v>4650</v>
      </c>
      <c r="E4226" s="1931" t="s">
        <v>33</v>
      </c>
      <c r="F4226" s="1930" t="s">
        <v>33</v>
      </c>
      <c r="G4226" s="1932">
        <v>96876</v>
      </c>
      <c r="H4226" s="1930" t="s">
        <v>3218</v>
      </c>
      <c r="I4226" s="1930" t="s">
        <v>168</v>
      </c>
      <c r="J4226" s="1930" t="s">
        <v>137</v>
      </c>
      <c r="K4226" s="1933">
        <v>138.18</v>
      </c>
      <c r="L4226" s="1930" t="s">
        <v>138</v>
      </c>
    </row>
    <row r="4227" spans="1:12" ht="13.5" x14ac:dyDescent="0.25">
      <c r="A4227" s="1930" t="s">
        <v>4646</v>
      </c>
      <c r="B4227" s="1930" t="s">
        <v>4647</v>
      </c>
      <c r="C4227" s="1930" t="s">
        <v>4594</v>
      </c>
      <c r="D4227" s="1930" t="s">
        <v>4650</v>
      </c>
      <c r="E4227" s="1931" t="s">
        <v>33</v>
      </c>
      <c r="F4227" s="1930" t="s">
        <v>33</v>
      </c>
      <c r="G4227" s="1932">
        <v>96877</v>
      </c>
      <c r="H4227" s="1930" t="s">
        <v>3219</v>
      </c>
      <c r="I4227" s="1930" t="s">
        <v>168</v>
      </c>
      <c r="J4227" s="1930" t="s">
        <v>137</v>
      </c>
      <c r="K4227" s="1933">
        <v>147.54</v>
      </c>
      <c r="L4227" s="1930" t="s">
        <v>138</v>
      </c>
    </row>
    <row r="4228" spans="1:12" ht="13.5" x14ac:dyDescent="0.25">
      <c r="A4228" s="1930" t="s">
        <v>4646</v>
      </c>
      <c r="B4228" s="1930" t="s">
        <v>4647</v>
      </c>
      <c r="C4228" s="1930" t="s">
        <v>4594</v>
      </c>
      <c r="D4228" s="1930" t="s">
        <v>4650</v>
      </c>
      <c r="E4228" s="1931" t="s">
        <v>33</v>
      </c>
      <c r="F4228" s="1930" t="s">
        <v>33</v>
      </c>
      <c r="G4228" s="1932">
        <v>96878</v>
      </c>
      <c r="H4228" s="1930" t="s">
        <v>3220</v>
      </c>
      <c r="I4228" s="1930" t="s">
        <v>168</v>
      </c>
      <c r="J4228" s="1930" t="s">
        <v>137</v>
      </c>
      <c r="K4228" s="1933">
        <v>149.28</v>
      </c>
      <c r="L4228" s="1930" t="s">
        <v>138</v>
      </c>
    </row>
    <row r="4229" spans="1:12" ht="13.5" x14ac:dyDescent="0.25">
      <c r="A4229" s="1930" t="s">
        <v>4646</v>
      </c>
      <c r="B4229" s="1930" t="s">
        <v>4647</v>
      </c>
      <c r="C4229" s="1930" t="s">
        <v>4594</v>
      </c>
      <c r="D4229" s="1930" t="s">
        <v>4650</v>
      </c>
      <c r="E4229" s="1931" t="s">
        <v>33</v>
      </c>
      <c r="F4229" s="1930" t="s">
        <v>33</v>
      </c>
      <c r="G4229" s="1932">
        <v>96879</v>
      </c>
      <c r="H4229" s="1930" t="s">
        <v>3221</v>
      </c>
      <c r="I4229" s="1930" t="s">
        <v>168</v>
      </c>
      <c r="J4229" s="1930" t="s">
        <v>137</v>
      </c>
      <c r="K4229" s="1933">
        <v>150.38</v>
      </c>
      <c r="L4229" s="1930" t="s">
        <v>138</v>
      </c>
    </row>
    <row r="4230" spans="1:12" ht="13.5" x14ac:dyDescent="0.25">
      <c r="A4230" s="1930" t="s">
        <v>4646</v>
      </c>
      <c r="B4230" s="1930" t="s">
        <v>4647</v>
      </c>
      <c r="C4230" s="1930" t="s">
        <v>4594</v>
      </c>
      <c r="D4230" s="1930" t="s">
        <v>4650</v>
      </c>
      <c r="E4230" s="1931" t="s">
        <v>33</v>
      </c>
      <c r="F4230" s="1930" t="s">
        <v>33</v>
      </c>
      <c r="G4230" s="1932">
        <v>96880</v>
      </c>
      <c r="H4230" s="1930" t="s">
        <v>3222</v>
      </c>
      <c r="I4230" s="1930" t="s">
        <v>168</v>
      </c>
      <c r="J4230" s="1930" t="s">
        <v>137</v>
      </c>
      <c r="K4230" s="1933">
        <v>171.32</v>
      </c>
      <c r="L4230" s="1930" t="s">
        <v>138</v>
      </c>
    </row>
    <row r="4231" spans="1:12" ht="13.5" x14ac:dyDescent="0.25">
      <c r="A4231" s="1930" t="s">
        <v>4646</v>
      </c>
      <c r="B4231" s="1930" t="s">
        <v>4647</v>
      </c>
      <c r="C4231" s="1930" t="s">
        <v>4594</v>
      </c>
      <c r="D4231" s="1930" t="s">
        <v>4650</v>
      </c>
      <c r="E4231" s="1931" t="s">
        <v>33</v>
      </c>
      <c r="F4231" s="1930" t="s">
        <v>33</v>
      </c>
      <c r="G4231" s="1932">
        <v>96881</v>
      </c>
      <c r="H4231" s="1930" t="s">
        <v>3223</v>
      </c>
      <c r="I4231" s="1930" t="s">
        <v>168</v>
      </c>
      <c r="J4231" s="1930" t="s">
        <v>137</v>
      </c>
      <c r="K4231" s="1933">
        <v>180.8</v>
      </c>
      <c r="L4231" s="1930" t="s">
        <v>138</v>
      </c>
    </row>
    <row r="4232" spans="1:12" ht="13.5" x14ac:dyDescent="0.25">
      <c r="A4232" s="1930" t="s">
        <v>4646</v>
      </c>
      <c r="B4232" s="1930" t="s">
        <v>4647</v>
      </c>
      <c r="C4232" s="1930" t="s">
        <v>4594</v>
      </c>
      <c r="D4232" s="1930" t="s">
        <v>4650</v>
      </c>
      <c r="E4232" s="1931" t="s">
        <v>33</v>
      </c>
      <c r="F4232" s="1930" t="s">
        <v>33</v>
      </c>
      <c r="G4232" s="1932">
        <v>97425</v>
      </c>
      <c r="H4232" s="1930" t="s">
        <v>5496</v>
      </c>
      <c r="I4232" s="1930" t="s">
        <v>168</v>
      </c>
      <c r="J4232" s="1930" t="s">
        <v>320</v>
      </c>
      <c r="K4232" s="1933">
        <v>19.670000000000002</v>
      </c>
      <c r="L4232" s="1930" t="s">
        <v>138</v>
      </c>
    </row>
    <row r="4233" spans="1:12" ht="13.5" x14ac:dyDescent="0.25">
      <c r="A4233" s="1930" t="s">
        <v>4646</v>
      </c>
      <c r="B4233" s="1930" t="s">
        <v>4647</v>
      </c>
      <c r="C4233" s="1930" t="s">
        <v>4594</v>
      </c>
      <c r="D4233" s="1930" t="s">
        <v>4650</v>
      </c>
      <c r="E4233" s="1931" t="s">
        <v>33</v>
      </c>
      <c r="F4233" s="1930" t="s">
        <v>33</v>
      </c>
      <c r="G4233" s="1932">
        <v>97426</v>
      </c>
      <c r="H4233" s="1930" t="s">
        <v>5497</v>
      </c>
      <c r="I4233" s="1930" t="s">
        <v>168</v>
      </c>
      <c r="J4233" s="1930" t="s">
        <v>320</v>
      </c>
      <c r="K4233" s="1933">
        <v>23.41</v>
      </c>
      <c r="L4233" s="1930" t="s">
        <v>138</v>
      </c>
    </row>
    <row r="4234" spans="1:12" ht="13.5" x14ac:dyDescent="0.25">
      <c r="A4234" s="1930" t="s">
        <v>4646</v>
      </c>
      <c r="B4234" s="1930" t="s">
        <v>4647</v>
      </c>
      <c r="C4234" s="1930" t="s">
        <v>4594</v>
      </c>
      <c r="D4234" s="1930" t="s">
        <v>4650</v>
      </c>
      <c r="E4234" s="1931" t="s">
        <v>33</v>
      </c>
      <c r="F4234" s="1930" t="s">
        <v>33</v>
      </c>
      <c r="G4234" s="1932">
        <v>97427</v>
      </c>
      <c r="H4234" s="1930" t="s">
        <v>5498</v>
      </c>
      <c r="I4234" s="1930" t="s">
        <v>168</v>
      </c>
      <c r="J4234" s="1930" t="s">
        <v>320</v>
      </c>
      <c r="K4234" s="1933">
        <v>26.23</v>
      </c>
      <c r="L4234" s="1930" t="s">
        <v>138</v>
      </c>
    </row>
    <row r="4235" spans="1:12" ht="13.5" x14ac:dyDescent="0.25">
      <c r="A4235" s="1930" t="s">
        <v>4646</v>
      </c>
      <c r="B4235" s="1930" t="s">
        <v>4647</v>
      </c>
      <c r="C4235" s="1930" t="s">
        <v>4594</v>
      </c>
      <c r="D4235" s="1930" t="s">
        <v>4650</v>
      </c>
      <c r="E4235" s="1931" t="s">
        <v>33</v>
      </c>
      <c r="F4235" s="1930" t="s">
        <v>33</v>
      </c>
      <c r="G4235" s="1932">
        <v>97428</v>
      </c>
      <c r="H4235" s="1930" t="s">
        <v>5499</v>
      </c>
      <c r="I4235" s="1930" t="s">
        <v>168</v>
      </c>
      <c r="J4235" s="1930" t="s">
        <v>320</v>
      </c>
      <c r="K4235" s="1933">
        <v>32.79</v>
      </c>
      <c r="L4235" s="1930" t="s">
        <v>138</v>
      </c>
    </row>
    <row r="4236" spans="1:12" ht="13.5" x14ac:dyDescent="0.25">
      <c r="A4236" s="1930" t="s">
        <v>4646</v>
      </c>
      <c r="B4236" s="1930" t="s">
        <v>4647</v>
      </c>
      <c r="C4236" s="1930" t="s">
        <v>4594</v>
      </c>
      <c r="D4236" s="1930" t="s">
        <v>4650</v>
      </c>
      <c r="E4236" s="1931" t="s">
        <v>33</v>
      </c>
      <c r="F4236" s="1930" t="s">
        <v>33</v>
      </c>
      <c r="G4236" s="1932">
        <v>97429</v>
      </c>
      <c r="H4236" s="1930" t="s">
        <v>5500</v>
      </c>
      <c r="I4236" s="1930" t="s">
        <v>168</v>
      </c>
      <c r="J4236" s="1930" t="s">
        <v>320</v>
      </c>
      <c r="K4236" s="1933">
        <v>38.83</v>
      </c>
      <c r="L4236" s="1930" t="s">
        <v>138</v>
      </c>
    </row>
    <row r="4237" spans="1:12" ht="13.5" x14ac:dyDescent="0.25">
      <c r="A4237" s="1930" t="s">
        <v>4646</v>
      </c>
      <c r="B4237" s="1930" t="s">
        <v>4647</v>
      </c>
      <c r="C4237" s="1930" t="s">
        <v>4594</v>
      </c>
      <c r="D4237" s="1930" t="s">
        <v>4650</v>
      </c>
      <c r="E4237" s="1931" t="s">
        <v>33</v>
      </c>
      <c r="F4237" s="1930" t="s">
        <v>33</v>
      </c>
      <c r="G4237" s="1932">
        <v>97430</v>
      </c>
      <c r="H4237" s="1930" t="s">
        <v>5501</v>
      </c>
      <c r="I4237" s="1930" t="s">
        <v>168</v>
      </c>
      <c r="J4237" s="1930" t="s">
        <v>137</v>
      </c>
      <c r="K4237" s="1933">
        <v>28.26</v>
      </c>
      <c r="L4237" s="1930" t="s">
        <v>138</v>
      </c>
    </row>
    <row r="4238" spans="1:12" ht="13.5" x14ac:dyDescent="0.25">
      <c r="A4238" s="1930" t="s">
        <v>4646</v>
      </c>
      <c r="B4238" s="1930" t="s">
        <v>4647</v>
      </c>
      <c r="C4238" s="1930" t="s">
        <v>4594</v>
      </c>
      <c r="D4238" s="1930" t="s">
        <v>4650</v>
      </c>
      <c r="E4238" s="1931" t="s">
        <v>33</v>
      </c>
      <c r="F4238" s="1930" t="s">
        <v>33</v>
      </c>
      <c r="G4238" s="1932">
        <v>97431</v>
      </c>
      <c r="H4238" s="1930" t="s">
        <v>5502</v>
      </c>
      <c r="I4238" s="1930" t="s">
        <v>168</v>
      </c>
      <c r="J4238" s="1930" t="s">
        <v>137</v>
      </c>
      <c r="K4238" s="1933">
        <v>31.56</v>
      </c>
      <c r="L4238" s="1930" t="s">
        <v>138</v>
      </c>
    </row>
    <row r="4239" spans="1:12" ht="13.5" x14ac:dyDescent="0.25">
      <c r="A4239" s="1930" t="s">
        <v>4646</v>
      </c>
      <c r="B4239" s="1930" t="s">
        <v>4647</v>
      </c>
      <c r="C4239" s="1930" t="s">
        <v>4594</v>
      </c>
      <c r="D4239" s="1930" t="s">
        <v>4650</v>
      </c>
      <c r="E4239" s="1931" t="s">
        <v>33</v>
      </c>
      <c r="F4239" s="1930" t="s">
        <v>33</v>
      </c>
      <c r="G4239" s="1932">
        <v>97432</v>
      </c>
      <c r="H4239" s="1930" t="s">
        <v>5503</v>
      </c>
      <c r="I4239" s="1930" t="s">
        <v>168</v>
      </c>
      <c r="J4239" s="1930" t="s">
        <v>137</v>
      </c>
      <c r="K4239" s="1933">
        <v>35.630000000000003</v>
      </c>
      <c r="L4239" s="1930" t="s">
        <v>138</v>
      </c>
    </row>
    <row r="4240" spans="1:12" ht="13.5" x14ac:dyDescent="0.25">
      <c r="A4240" s="1930" t="s">
        <v>4646</v>
      </c>
      <c r="B4240" s="1930" t="s">
        <v>4647</v>
      </c>
      <c r="C4240" s="1930" t="s">
        <v>4594</v>
      </c>
      <c r="D4240" s="1930" t="s">
        <v>4650</v>
      </c>
      <c r="E4240" s="1931" t="s">
        <v>33</v>
      </c>
      <c r="F4240" s="1930" t="s">
        <v>33</v>
      </c>
      <c r="G4240" s="1932">
        <v>97433</v>
      </c>
      <c r="H4240" s="1930" t="s">
        <v>6593</v>
      </c>
      <c r="I4240" s="1930" t="s">
        <v>168</v>
      </c>
      <c r="J4240" s="1930" t="s">
        <v>137</v>
      </c>
      <c r="K4240" s="1933">
        <v>63.79</v>
      </c>
      <c r="L4240" s="1930" t="s">
        <v>138</v>
      </c>
    </row>
    <row r="4241" spans="1:12" ht="13.5" x14ac:dyDescent="0.25">
      <c r="A4241" s="1930" t="s">
        <v>4646</v>
      </c>
      <c r="B4241" s="1930" t="s">
        <v>4647</v>
      </c>
      <c r="C4241" s="1930" t="s">
        <v>4594</v>
      </c>
      <c r="D4241" s="1930" t="s">
        <v>4650</v>
      </c>
      <c r="E4241" s="1931" t="s">
        <v>33</v>
      </c>
      <c r="F4241" s="1930" t="s">
        <v>33</v>
      </c>
      <c r="G4241" s="1932">
        <v>97434</v>
      </c>
      <c r="H4241" s="1930" t="s">
        <v>5504</v>
      </c>
      <c r="I4241" s="1930" t="s">
        <v>168</v>
      </c>
      <c r="J4241" s="1930" t="s">
        <v>137</v>
      </c>
      <c r="K4241" s="1933">
        <v>64.959999999999994</v>
      </c>
      <c r="L4241" s="1930" t="s">
        <v>138</v>
      </c>
    </row>
    <row r="4242" spans="1:12" ht="13.5" x14ac:dyDescent="0.25">
      <c r="A4242" s="1930" t="s">
        <v>4646</v>
      </c>
      <c r="B4242" s="1930" t="s">
        <v>4647</v>
      </c>
      <c r="C4242" s="1930" t="s">
        <v>4594</v>
      </c>
      <c r="D4242" s="1930" t="s">
        <v>4650</v>
      </c>
      <c r="E4242" s="1931" t="s">
        <v>33</v>
      </c>
      <c r="F4242" s="1930" t="s">
        <v>33</v>
      </c>
      <c r="G4242" s="1932">
        <v>97435</v>
      </c>
      <c r="H4242" s="1930" t="s">
        <v>5505</v>
      </c>
      <c r="I4242" s="1930" t="s">
        <v>168</v>
      </c>
      <c r="J4242" s="1930" t="s">
        <v>137</v>
      </c>
      <c r="K4242" s="1933">
        <v>74.59</v>
      </c>
      <c r="L4242" s="1930" t="s">
        <v>138</v>
      </c>
    </row>
    <row r="4243" spans="1:12" ht="13.5" x14ac:dyDescent="0.25">
      <c r="A4243" s="1930" t="s">
        <v>4646</v>
      </c>
      <c r="B4243" s="1930" t="s">
        <v>4647</v>
      </c>
      <c r="C4243" s="1930" t="s">
        <v>4594</v>
      </c>
      <c r="D4243" s="1930" t="s">
        <v>4650</v>
      </c>
      <c r="E4243" s="1931" t="s">
        <v>33</v>
      </c>
      <c r="F4243" s="1930" t="s">
        <v>33</v>
      </c>
      <c r="G4243" s="1932">
        <v>97436</v>
      </c>
      <c r="H4243" s="1930" t="s">
        <v>6594</v>
      </c>
      <c r="I4243" s="1930" t="s">
        <v>168</v>
      </c>
      <c r="J4243" s="1930" t="s">
        <v>137</v>
      </c>
      <c r="K4243" s="1933">
        <v>76.84</v>
      </c>
      <c r="L4243" s="1930" t="s">
        <v>138</v>
      </c>
    </row>
    <row r="4244" spans="1:12" ht="13.5" x14ac:dyDescent="0.25">
      <c r="A4244" s="1930" t="s">
        <v>4646</v>
      </c>
      <c r="B4244" s="1930" t="s">
        <v>4647</v>
      </c>
      <c r="C4244" s="1930" t="s">
        <v>4594</v>
      </c>
      <c r="D4244" s="1930" t="s">
        <v>4650</v>
      </c>
      <c r="E4244" s="1931" t="s">
        <v>33</v>
      </c>
      <c r="F4244" s="1930" t="s">
        <v>33</v>
      </c>
      <c r="G4244" s="1932">
        <v>97437</v>
      </c>
      <c r="H4244" s="1930" t="s">
        <v>5506</v>
      </c>
      <c r="I4244" s="1930" t="s">
        <v>168</v>
      </c>
      <c r="J4244" s="1930" t="s">
        <v>137</v>
      </c>
      <c r="K4244" s="1933">
        <v>85.37</v>
      </c>
      <c r="L4244" s="1930" t="s">
        <v>138</v>
      </c>
    </row>
    <row r="4245" spans="1:12" ht="13.5" x14ac:dyDescent="0.25">
      <c r="A4245" s="1930" t="s">
        <v>4646</v>
      </c>
      <c r="B4245" s="1930" t="s">
        <v>4647</v>
      </c>
      <c r="C4245" s="1930" t="s">
        <v>4594</v>
      </c>
      <c r="D4245" s="1930" t="s">
        <v>4650</v>
      </c>
      <c r="E4245" s="1931" t="s">
        <v>33</v>
      </c>
      <c r="F4245" s="1930" t="s">
        <v>33</v>
      </c>
      <c r="G4245" s="1932">
        <v>97438</v>
      </c>
      <c r="H4245" s="1930" t="s">
        <v>5507</v>
      </c>
      <c r="I4245" s="1930" t="s">
        <v>168</v>
      </c>
      <c r="J4245" s="1930" t="s">
        <v>137</v>
      </c>
      <c r="K4245" s="1933">
        <v>87.78</v>
      </c>
      <c r="L4245" s="1930" t="s">
        <v>138</v>
      </c>
    </row>
    <row r="4246" spans="1:12" ht="13.5" x14ac:dyDescent="0.25">
      <c r="A4246" s="1930" t="s">
        <v>4646</v>
      </c>
      <c r="B4246" s="1930" t="s">
        <v>4647</v>
      </c>
      <c r="C4246" s="1930" t="s">
        <v>4594</v>
      </c>
      <c r="D4246" s="1930" t="s">
        <v>4650</v>
      </c>
      <c r="E4246" s="1931" t="s">
        <v>33</v>
      </c>
      <c r="F4246" s="1930" t="s">
        <v>33</v>
      </c>
      <c r="G4246" s="1932">
        <v>97439</v>
      </c>
      <c r="H4246" s="1930" t="s">
        <v>5508</v>
      </c>
      <c r="I4246" s="1930" t="s">
        <v>168</v>
      </c>
      <c r="J4246" s="1930" t="s">
        <v>137</v>
      </c>
      <c r="K4246" s="1933">
        <v>96.26</v>
      </c>
      <c r="L4246" s="1930" t="s">
        <v>138</v>
      </c>
    </row>
    <row r="4247" spans="1:12" ht="13.5" x14ac:dyDescent="0.25">
      <c r="A4247" s="1930" t="s">
        <v>4646</v>
      </c>
      <c r="B4247" s="1930" t="s">
        <v>4647</v>
      </c>
      <c r="C4247" s="1930" t="s">
        <v>4594</v>
      </c>
      <c r="D4247" s="1930" t="s">
        <v>4650</v>
      </c>
      <c r="E4247" s="1931" t="s">
        <v>33</v>
      </c>
      <c r="F4247" s="1930" t="s">
        <v>33</v>
      </c>
      <c r="G4247" s="1932">
        <v>97440</v>
      </c>
      <c r="H4247" s="1930" t="s">
        <v>5509</v>
      </c>
      <c r="I4247" s="1930" t="s">
        <v>168</v>
      </c>
      <c r="J4247" s="1930" t="s">
        <v>137</v>
      </c>
      <c r="K4247" s="1933">
        <v>115.33</v>
      </c>
      <c r="L4247" s="1930" t="s">
        <v>138</v>
      </c>
    </row>
    <row r="4248" spans="1:12" ht="13.5" x14ac:dyDescent="0.25">
      <c r="A4248" s="1930" t="s">
        <v>4646</v>
      </c>
      <c r="B4248" s="1930" t="s">
        <v>4647</v>
      </c>
      <c r="C4248" s="1930" t="s">
        <v>4594</v>
      </c>
      <c r="D4248" s="1930" t="s">
        <v>4650</v>
      </c>
      <c r="E4248" s="1931" t="s">
        <v>33</v>
      </c>
      <c r="F4248" s="1930" t="s">
        <v>33</v>
      </c>
      <c r="G4248" s="1932">
        <v>97442</v>
      </c>
      <c r="H4248" s="1930" t="s">
        <v>5510</v>
      </c>
      <c r="I4248" s="1930" t="s">
        <v>168</v>
      </c>
      <c r="J4248" s="1930" t="s">
        <v>137</v>
      </c>
      <c r="K4248" s="1933">
        <v>127.43</v>
      </c>
      <c r="L4248" s="1930" t="s">
        <v>138</v>
      </c>
    </row>
    <row r="4249" spans="1:12" ht="13.5" x14ac:dyDescent="0.25">
      <c r="A4249" s="1930" t="s">
        <v>4646</v>
      </c>
      <c r="B4249" s="1930" t="s">
        <v>4647</v>
      </c>
      <c r="C4249" s="1930" t="s">
        <v>4594</v>
      </c>
      <c r="D4249" s="1930" t="s">
        <v>4650</v>
      </c>
      <c r="E4249" s="1931" t="s">
        <v>33</v>
      </c>
      <c r="F4249" s="1930" t="s">
        <v>33</v>
      </c>
      <c r="G4249" s="1932">
        <v>97443</v>
      </c>
      <c r="H4249" s="1930" t="s">
        <v>5511</v>
      </c>
      <c r="I4249" s="1930" t="s">
        <v>168</v>
      </c>
      <c r="J4249" s="1930" t="s">
        <v>137</v>
      </c>
      <c r="K4249" s="1933">
        <v>74.33</v>
      </c>
      <c r="L4249" s="1930" t="s">
        <v>138</v>
      </c>
    </row>
    <row r="4250" spans="1:12" ht="13.5" x14ac:dyDescent="0.25">
      <c r="A4250" s="1930" t="s">
        <v>4646</v>
      </c>
      <c r="B4250" s="1930" t="s">
        <v>4647</v>
      </c>
      <c r="C4250" s="1930" t="s">
        <v>4594</v>
      </c>
      <c r="D4250" s="1930" t="s">
        <v>4650</v>
      </c>
      <c r="E4250" s="1931" t="s">
        <v>33</v>
      </c>
      <c r="F4250" s="1930" t="s">
        <v>33</v>
      </c>
      <c r="G4250" s="1932">
        <v>97444</v>
      </c>
      <c r="H4250" s="1930" t="s">
        <v>6595</v>
      </c>
      <c r="I4250" s="1930" t="s">
        <v>168</v>
      </c>
      <c r="J4250" s="1930" t="s">
        <v>137</v>
      </c>
      <c r="K4250" s="1933">
        <v>87.07</v>
      </c>
      <c r="L4250" s="1930" t="s">
        <v>138</v>
      </c>
    </row>
    <row r="4251" spans="1:12" ht="13.5" x14ac:dyDescent="0.25">
      <c r="A4251" s="1930" t="s">
        <v>4646</v>
      </c>
      <c r="B4251" s="1930" t="s">
        <v>4647</v>
      </c>
      <c r="C4251" s="1930" t="s">
        <v>4594</v>
      </c>
      <c r="D4251" s="1930" t="s">
        <v>4650</v>
      </c>
      <c r="E4251" s="1931" t="s">
        <v>33</v>
      </c>
      <c r="F4251" s="1930" t="s">
        <v>33</v>
      </c>
      <c r="G4251" s="1932">
        <v>97446</v>
      </c>
      <c r="H4251" s="1930" t="s">
        <v>5512</v>
      </c>
      <c r="I4251" s="1930" t="s">
        <v>168</v>
      </c>
      <c r="J4251" s="1930" t="s">
        <v>137</v>
      </c>
      <c r="K4251" s="1933">
        <v>149.05000000000001</v>
      </c>
      <c r="L4251" s="1930" t="s">
        <v>138</v>
      </c>
    </row>
    <row r="4252" spans="1:12" ht="13.5" x14ac:dyDescent="0.25">
      <c r="A4252" s="1930" t="s">
        <v>4646</v>
      </c>
      <c r="B4252" s="1930" t="s">
        <v>4647</v>
      </c>
      <c r="C4252" s="1930" t="s">
        <v>4594</v>
      </c>
      <c r="D4252" s="1930" t="s">
        <v>4650</v>
      </c>
      <c r="E4252" s="1931" t="s">
        <v>33</v>
      </c>
      <c r="F4252" s="1930" t="s">
        <v>33</v>
      </c>
      <c r="G4252" s="1932">
        <v>97447</v>
      </c>
      <c r="H4252" s="1930" t="s">
        <v>5513</v>
      </c>
      <c r="I4252" s="1930" t="s">
        <v>168</v>
      </c>
      <c r="J4252" s="1930" t="s">
        <v>137</v>
      </c>
      <c r="K4252" s="1933">
        <v>149.05000000000001</v>
      </c>
      <c r="L4252" s="1930" t="s">
        <v>138</v>
      </c>
    </row>
    <row r="4253" spans="1:12" ht="13.5" x14ac:dyDescent="0.25">
      <c r="A4253" s="1930" t="s">
        <v>4646</v>
      </c>
      <c r="B4253" s="1930" t="s">
        <v>4647</v>
      </c>
      <c r="C4253" s="1930" t="s">
        <v>4594</v>
      </c>
      <c r="D4253" s="1930" t="s">
        <v>4650</v>
      </c>
      <c r="E4253" s="1931" t="s">
        <v>33</v>
      </c>
      <c r="F4253" s="1930" t="s">
        <v>33</v>
      </c>
      <c r="G4253" s="1932">
        <v>97449</v>
      </c>
      <c r="H4253" s="1930" t="s">
        <v>6596</v>
      </c>
      <c r="I4253" s="1930" t="s">
        <v>168</v>
      </c>
      <c r="J4253" s="1930" t="s">
        <v>137</v>
      </c>
      <c r="K4253" s="1933">
        <v>158.76</v>
      </c>
      <c r="L4253" s="1930" t="s">
        <v>138</v>
      </c>
    </row>
    <row r="4254" spans="1:12" ht="13.5" x14ac:dyDescent="0.25">
      <c r="A4254" s="1930" t="s">
        <v>4646</v>
      </c>
      <c r="B4254" s="1930" t="s">
        <v>4647</v>
      </c>
      <c r="C4254" s="1930" t="s">
        <v>4594</v>
      </c>
      <c r="D4254" s="1930" t="s">
        <v>4650</v>
      </c>
      <c r="E4254" s="1931" t="s">
        <v>33</v>
      </c>
      <c r="F4254" s="1930" t="s">
        <v>33</v>
      </c>
      <c r="G4254" s="1932">
        <v>97450</v>
      </c>
      <c r="H4254" s="1930" t="s">
        <v>5514</v>
      </c>
      <c r="I4254" s="1930" t="s">
        <v>168</v>
      </c>
      <c r="J4254" s="1930" t="s">
        <v>137</v>
      </c>
      <c r="K4254" s="1933">
        <v>193.46</v>
      </c>
      <c r="L4254" s="1930" t="s">
        <v>138</v>
      </c>
    </row>
    <row r="4255" spans="1:12" ht="13.5" x14ac:dyDescent="0.25">
      <c r="A4255" s="1930" t="s">
        <v>4646</v>
      </c>
      <c r="B4255" s="1930" t="s">
        <v>4647</v>
      </c>
      <c r="C4255" s="1930" t="s">
        <v>4594</v>
      </c>
      <c r="D4255" s="1930" t="s">
        <v>4650</v>
      </c>
      <c r="E4255" s="1931" t="s">
        <v>33</v>
      </c>
      <c r="F4255" s="1930" t="s">
        <v>33</v>
      </c>
      <c r="G4255" s="1932">
        <v>97452</v>
      </c>
      <c r="H4255" s="1930" t="s">
        <v>6597</v>
      </c>
      <c r="I4255" s="1930" t="s">
        <v>168</v>
      </c>
      <c r="J4255" s="1930" t="s">
        <v>137</v>
      </c>
      <c r="K4255" s="1933">
        <v>122.02</v>
      </c>
      <c r="L4255" s="1930" t="s">
        <v>138</v>
      </c>
    </row>
    <row r="4256" spans="1:12" ht="13.5" x14ac:dyDescent="0.25">
      <c r="A4256" s="1930" t="s">
        <v>4646</v>
      </c>
      <c r="B4256" s="1930" t="s">
        <v>4647</v>
      </c>
      <c r="C4256" s="1930" t="s">
        <v>4594</v>
      </c>
      <c r="D4256" s="1930" t="s">
        <v>4650</v>
      </c>
      <c r="E4256" s="1931" t="s">
        <v>33</v>
      </c>
      <c r="F4256" s="1930" t="s">
        <v>33</v>
      </c>
      <c r="G4256" s="1932">
        <v>97453</v>
      </c>
      <c r="H4256" s="1930" t="s">
        <v>6598</v>
      </c>
      <c r="I4256" s="1930" t="s">
        <v>168</v>
      </c>
      <c r="J4256" s="1930" t="s">
        <v>137</v>
      </c>
      <c r="K4256" s="1933">
        <v>129.30000000000001</v>
      </c>
      <c r="L4256" s="1930" t="s">
        <v>138</v>
      </c>
    </row>
    <row r="4257" spans="1:12" ht="13.5" x14ac:dyDescent="0.25">
      <c r="A4257" s="1930" t="s">
        <v>4646</v>
      </c>
      <c r="B4257" s="1930" t="s">
        <v>4647</v>
      </c>
      <c r="C4257" s="1930" t="s">
        <v>4594</v>
      </c>
      <c r="D4257" s="1930" t="s">
        <v>4650</v>
      </c>
      <c r="E4257" s="1931" t="s">
        <v>33</v>
      </c>
      <c r="F4257" s="1930" t="s">
        <v>33</v>
      </c>
      <c r="G4257" s="1932">
        <v>97454</v>
      </c>
      <c r="H4257" s="1930" t="s">
        <v>6599</v>
      </c>
      <c r="I4257" s="1930" t="s">
        <v>168</v>
      </c>
      <c r="J4257" s="1930" t="s">
        <v>137</v>
      </c>
      <c r="K4257" s="1933">
        <v>205.35</v>
      </c>
      <c r="L4257" s="1930" t="s">
        <v>138</v>
      </c>
    </row>
    <row r="4258" spans="1:12" ht="13.5" x14ac:dyDescent="0.25">
      <c r="A4258" s="1930" t="s">
        <v>4646</v>
      </c>
      <c r="B4258" s="1930" t="s">
        <v>4647</v>
      </c>
      <c r="C4258" s="1930" t="s">
        <v>4594</v>
      </c>
      <c r="D4258" s="1930" t="s">
        <v>4650</v>
      </c>
      <c r="E4258" s="1931" t="s">
        <v>33</v>
      </c>
      <c r="F4258" s="1930" t="s">
        <v>33</v>
      </c>
      <c r="G4258" s="1932">
        <v>97455</v>
      </c>
      <c r="H4258" s="1930" t="s">
        <v>6600</v>
      </c>
      <c r="I4258" s="1930" t="s">
        <v>168</v>
      </c>
      <c r="J4258" s="1930" t="s">
        <v>137</v>
      </c>
      <c r="K4258" s="1933">
        <v>216.98</v>
      </c>
      <c r="L4258" s="1930" t="s">
        <v>138</v>
      </c>
    </row>
    <row r="4259" spans="1:12" ht="13.5" x14ac:dyDescent="0.25">
      <c r="A4259" s="1930" t="s">
        <v>4646</v>
      </c>
      <c r="B4259" s="1930" t="s">
        <v>4647</v>
      </c>
      <c r="C4259" s="1930" t="s">
        <v>4594</v>
      </c>
      <c r="D4259" s="1930" t="s">
        <v>4650</v>
      </c>
      <c r="E4259" s="1931" t="s">
        <v>33</v>
      </c>
      <c r="F4259" s="1930" t="s">
        <v>33</v>
      </c>
      <c r="G4259" s="1932">
        <v>97456</v>
      </c>
      <c r="H4259" s="1930" t="s">
        <v>6601</v>
      </c>
      <c r="I4259" s="1930" t="s">
        <v>168</v>
      </c>
      <c r="J4259" s="1930" t="s">
        <v>137</v>
      </c>
      <c r="K4259" s="1933">
        <v>460.28</v>
      </c>
      <c r="L4259" s="1930" t="s">
        <v>138</v>
      </c>
    </row>
    <row r="4260" spans="1:12" ht="13.5" x14ac:dyDescent="0.25">
      <c r="A4260" s="1930" t="s">
        <v>4646</v>
      </c>
      <c r="B4260" s="1930" t="s">
        <v>4647</v>
      </c>
      <c r="C4260" s="1930" t="s">
        <v>4594</v>
      </c>
      <c r="D4260" s="1930" t="s">
        <v>4650</v>
      </c>
      <c r="E4260" s="1931" t="s">
        <v>33</v>
      </c>
      <c r="F4260" s="1930" t="s">
        <v>33</v>
      </c>
      <c r="G4260" s="1932">
        <v>97457</v>
      </c>
      <c r="H4260" s="1930" t="s">
        <v>6602</v>
      </c>
      <c r="I4260" s="1930" t="s">
        <v>168</v>
      </c>
      <c r="J4260" s="1930" t="s">
        <v>137</v>
      </c>
      <c r="K4260" s="1933">
        <v>408.1</v>
      </c>
      <c r="L4260" s="1930" t="s">
        <v>138</v>
      </c>
    </row>
    <row r="4261" spans="1:12" ht="13.5" x14ac:dyDescent="0.25">
      <c r="A4261" s="1930" t="s">
        <v>4646</v>
      </c>
      <c r="B4261" s="1930" t="s">
        <v>4647</v>
      </c>
      <c r="C4261" s="1930" t="s">
        <v>4594</v>
      </c>
      <c r="D4261" s="1930" t="s">
        <v>4650</v>
      </c>
      <c r="E4261" s="1931" t="s">
        <v>33</v>
      </c>
      <c r="F4261" s="1930" t="s">
        <v>33</v>
      </c>
      <c r="G4261" s="1932">
        <v>97458</v>
      </c>
      <c r="H4261" s="1930" t="s">
        <v>5515</v>
      </c>
      <c r="I4261" s="1930" t="s">
        <v>168</v>
      </c>
      <c r="J4261" s="1930" t="s">
        <v>137</v>
      </c>
      <c r="K4261" s="1933">
        <v>191.89</v>
      </c>
      <c r="L4261" s="1930" t="s">
        <v>138</v>
      </c>
    </row>
    <row r="4262" spans="1:12" ht="13.5" x14ac:dyDescent="0.25">
      <c r="A4262" s="1930" t="s">
        <v>4646</v>
      </c>
      <c r="B4262" s="1930" t="s">
        <v>4647</v>
      </c>
      <c r="C4262" s="1930" t="s">
        <v>4594</v>
      </c>
      <c r="D4262" s="1930" t="s">
        <v>4650</v>
      </c>
      <c r="E4262" s="1931" t="s">
        <v>33</v>
      </c>
      <c r="F4262" s="1930" t="s">
        <v>33</v>
      </c>
      <c r="G4262" s="1932">
        <v>97459</v>
      </c>
      <c r="H4262" s="1930" t="s">
        <v>5516</v>
      </c>
      <c r="I4262" s="1930" t="s">
        <v>168</v>
      </c>
      <c r="J4262" s="1930" t="s">
        <v>137</v>
      </c>
      <c r="K4262" s="1933">
        <v>325.99</v>
      </c>
      <c r="L4262" s="1930" t="s">
        <v>138</v>
      </c>
    </row>
    <row r="4263" spans="1:12" ht="13.5" x14ac:dyDescent="0.25">
      <c r="A4263" s="1930" t="s">
        <v>4646</v>
      </c>
      <c r="B4263" s="1930" t="s">
        <v>4647</v>
      </c>
      <c r="C4263" s="1930" t="s">
        <v>4594</v>
      </c>
      <c r="D4263" s="1930" t="s">
        <v>4650</v>
      </c>
      <c r="E4263" s="1931" t="s">
        <v>33</v>
      </c>
      <c r="F4263" s="1930" t="s">
        <v>33</v>
      </c>
      <c r="G4263" s="1932">
        <v>97460</v>
      </c>
      <c r="H4263" s="1930" t="s">
        <v>5517</v>
      </c>
      <c r="I4263" s="1930" t="s">
        <v>168</v>
      </c>
      <c r="J4263" s="1930" t="s">
        <v>137</v>
      </c>
      <c r="K4263" s="1933">
        <v>498.56</v>
      </c>
      <c r="L4263" s="1930" t="s">
        <v>138</v>
      </c>
    </row>
    <row r="4264" spans="1:12" ht="13.5" x14ac:dyDescent="0.25">
      <c r="A4264" s="1930" t="s">
        <v>4646</v>
      </c>
      <c r="B4264" s="1930" t="s">
        <v>4647</v>
      </c>
      <c r="C4264" s="1930" t="s">
        <v>4594</v>
      </c>
      <c r="D4264" s="1930" t="s">
        <v>4650</v>
      </c>
      <c r="E4264" s="1931" t="s">
        <v>33</v>
      </c>
      <c r="F4264" s="1930" t="s">
        <v>33</v>
      </c>
      <c r="G4264" s="1932">
        <v>97461</v>
      </c>
      <c r="H4264" s="1930" t="s">
        <v>6603</v>
      </c>
      <c r="I4264" s="1930" t="s">
        <v>168</v>
      </c>
      <c r="J4264" s="1930" t="s">
        <v>137</v>
      </c>
      <c r="K4264" s="1933">
        <v>23.35</v>
      </c>
      <c r="L4264" s="1930" t="s">
        <v>138</v>
      </c>
    </row>
    <row r="4265" spans="1:12" ht="13.5" x14ac:dyDescent="0.25">
      <c r="A4265" s="1930" t="s">
        <v>4646</v>
      </c>
      <c r="B4265" s="1930" t="s">
        <v>4647</v>
      </c>
      <c r="C4265" s="1930" t="s">
        <v>4594</v>
      </c>
      <c r="D4265" s="1930" t="s">
        <v>4650</v>
      </c>
      <c r="E4265" s="1931" t="s">
        <v>33</v>
      </c>
      <c r="F4265" s="1930" t="s">
        <v>33</v>
      </c>
      <c r="G4265" s="1932">
        <v>97462</v>
      </c>
      <c r="H4265" s="1930" t="s">
        <v>6604</v>
      </c>
      <c r="I4265" s="1930" t="s">
        <v>168</v>
      </c>
      <c r="J4265" s="1930" t="s">
        <v>137</v>
      </c>
      <c r="K4265" s="1933">
        <v>19.62</v>
      </c>
      <c r="L4265" s="1930" t="s">
        <v>138</v>
      </c>
    </row>
    <row r="4266" spans="1:12" ht="13.5" x14ac:dyDescent="0.25">
      <c r="A4266" s="1930" t="s">
        <v>4646</v>
      </c>
      <c r="B4266" s="1930" t="s">
        <v>4647</v>
      </c>
      <c r="C4266" s="1930" t="s">
        <v>4594</v>
      </c>
      <c r="D4266" s="1930" t="s">
        <v>4650</v>
      </c>
      <c r="E4266" s="1931" t="s">
        <v>33</v>
      </c>
      <c r="F4266" s="1930" t="s">
        <v>33</v>
      </c>
      <c r="G4266" s="1932">
        <v>97464</v>
      </c>
      <c r="H4266" s="1930" t="s">
        <v>6605</v>
      </c>
      <c r="I4266" s="1930" t="s">
        <v>168</v>
      </c>
      <c r="J4266" s="1930" t="s">
        <v>137</v>
      </c>
      <c r="K4266" s="1933">
        <v>33.51</v>
      </c>
      <c r="L4266" s="1930" t="s">
        <v>138</v>
      </c>
    </row>
    <row r="4267" spans="1:12" ht="13.5" x14ac:dyDescent="0.25">
      <c r="A4267" s="1930" t="s">
        <v>4646</v>
      </c>
      <c r="B4267" s="1930" t="s">
        <v>4647</v>
      </c>
      <c r="C4267" s="1930" t="s">
        <v>4594</v>
      </c>
      <c r="D4267" s="1930" t="s">
        <v>4650</v>
      </c>
      <c r="E4267" s="1931" t="s">
        <v>33</v>
      </c>
      <c r="F4267" s="1930" t="s">
        <v>33</v>
      </c>
      <c r="G4267" s="1932">
        <v>97465</v>
      </c>
      <c r="H4267" s="1930" t="s">
        <v>6606</v>
      </c>
      <c r="I4267" s="1930" t="s">
        <v>168</v>
      </c>
      <c r="J4267" s="1930" t="s">
        <v>137</v>
      </c>
      <c r="K4267" s="1933">
        <v>39.799999999999997</v>
      </c>
      <c r="L4267" s="1930" t="s">
        <v>138</v>
      </c>
    </row>
    <row r="4268" spans="1:12" ht="13.5" x14ac:dyDescent="0.25">
      <c r="A4268" s="1930" t="s">
        <v>4646</v>
      </c>
      <c r="B4268" s="1930" t="s">
        <v>4647</v>
      </c>
      <c r="C4268" s="1930" t="s">
        <v>4594</v>
      </c>
      <c r="D4268" s="1930" t="s">
        <v>4650</v>
      </c>
      <c r="E4268" s="1931" t="s">
        <v>33</v>
      </c>
      <c r="F4268" s="1930" t="s">
        <v>33</v>
      </c>
      <c r="G4268" s="1932">
        <v>97467</v>
      </c>
      <c r="H4268" s="1930" t="s">
        <v>6607</v>
      </c>
      <c r="I4268" s="1930" t="s">
        <v>168</v>
      </c>
      <c r="J4268" s="1930" t="s">
        <v>137</v>
      </c>
      <c r="K4268" s="1933">
        <v>42.51</v>
      </c>
      <c r="L4268" s="1930" t="s">
        <v>138</v>
      </c>
    </row>
    <row r="4269" spans="1:12" ht="13.5" x14ac:dyDescent="0.25">
      <c r="A4269" s="1930" t="s">
        <v>4646</v>
      </c>
      <c r="B4269" s="1930" t="s">
        <v>4647</v>
      </c>
      <c r="C4269" s="1930" t="s">
        <v>4594</v>
      </c>
      <c r="D4269" s="1930" t="s">
        <v>4650</v>
      </c>
      <c r="E4269" s="1931" t="s">
        <v>33</v>
      </c>
      <c r="F4269" s="1930" t="s">
        <v>33</v>
      </c>
      <c r="G4269" s="1932">
        <v>97468</v>
      </c>
      <c r="H4269" s="1930" t="s">
        <v>6608</v>
      </c>
      <c r="I4269" s="1930" t="s">
        <v>168</v>
      </c>
      <c r="J4269" s="1930" t="s">
        <v>137</v>
      </c>
      <c r="K4269" s="1933">
        <v>50.57</v>
      </c>
      <c r="L4269" s="1930" t="s">
        <v>138</v>
      </c>
    </row>
    <row r="4270" spans="1:12" ht="13.5" x14ac:dyDescent="0.25">
      <c r="A4270" s="1930" t="s">
        <v>4646</v>
      </c>
      <c r="B4270" s="1930" t="s">
        <v>4647</v>
      </c>
      <c r="C4270" s="1930" t="s">
        <v>4594</v>
      </c>
      <c r="D4270" s="1930" t="s">
        <v>4650</v>
      </c>
      <c r="E4270" s="1931" t="s">
        <v>33</v>
      </c>
      <c r="F4270" s="1930" t="s">
        <v>33</v>
      </c>
      <c r="G4270" s="1932">
        <v>97470</v>
      </c>
      <c r="H4270" s="1930" t="s">
        <v>6609</v>
      </c>
      <c r="I4270" s="1930" t="s">
        <v>168</v>
      </c>
      <c r="J4270" s="1930" t="s">
        <v>137</v>
      </c>
      <c r="K4270" s="1933">
        <v>62.5</v>
      </c>
      <c r="L4270" s="1930" t="s">
        <v>138</v>
      </c>
    </row>
    <row r="4271" spans="1:12" ht="13.5" x14ac:dyDescent="0.25">
      <c r="A4271" s="1930" t="s">
        <v>4646</v>
      </c>
      <c r="B4271" s="1930" t="s">
        <v>4647</v>
      </c>
      <c r="C4271" s="1930" t="s">
        <v>4594</v>
      </c>
      <c r="D4271" s="1930" t="s">
        <v>4650</v>
      </c>
      <c r="E4271" s="1931" t="s">
        <v>33</v>
      </c>
      <c r="F4271" s="1930" t="s">
        <v>33</v>
      </c>
      <c r="G4271" s="1932">
        <v>97471</v>
      </c>
      <c r="H4271" s="1930" t="s">
        <v>6610</v>
      </c>
      <c r="I4271" s="1930" t="s">
        <v>168</v>
      </c>
      <c r="J4271" s="1930" t="s">
        <v>137</v>
      </c>
      <c r="K4271" s="1933">
        <v>75.239999999999995</v>
      </c>
      <c r="L4271" s="1930" t="s">
        <v>138</v>
      </c>
    </row>
    <row r="4272" spans="1:12" ht="13.5" x14ac:dyDescent="0.25">
      <c r="A4272" s="1930" t="s">
        <v>4646</v>
      </c>
      <c r="B4272" s="1930" t="s">
        <v>4647</v>
      </c>
      <c r="C4272" s="1930" t="s">
        <v>4594</v>
      </c>
      <c r="D4272" s="1930" t="s">
        <v>4650</v>
      </c>
      <c r="E4272" s="1931" t="s">
        <v>33</v>
      </c>
      <c r="F4272" s="1930" t="s">
        <v>33</v>
      </c>
      <c r="G4272" s="1932">
        <v>97474</v>
      </c>
      <c r="H4272" s="1930" t="s">
        <v>6611</v>
      </c>
      <c r="I4272" s="1930" t="s">
        <v>168</v>
      </c>
      <c r="J4272" s="1930" t="s">
        <v>137</v>
      </c>
      <c r="K4272" s="1933">
        <v>113.49</v>
      </c>
      <c r="L4272" s="1930" t="s">
        <v>138</v>
      </c>
    </row>
    <row r="4273" spans="1:12" ht="13.5" x14ac:dyDescent="0.25">
      <c r="A4273" s="1930" t="s">
        <v>4646</v>
      </c>
      <c r="B4273" s="1930" t="s">
        <v>4647</v>
      </c>
      <c r="C4273" s="1930" t="s">
        <v>4594</v>
      </c>
      <c r="D4273" s="1930" t="s">
        <v>4650</v>
      </c>
      <c r="E4273" s="1931" t="s">
        <v>33</v>
      </c>
      <c r="F4273" s="1930" t="s">
        <v>33</v>
      </c>
      <c r="G4273" s="1932">
        <v>97475</v>
      </c>
      <c r="H4273" s="1930" t="s">
        <v>6612</v>
      </c>
      <c r="I4273" s="1930" t="s">
        <v>168</v>
      </c>
      <c r="J4273" s="1930" t="s">
        <v>137</v>
      </c>
      <c r="K4273" s="1933">
        <v>139.24</v>
      </c>
      <c r="L4273" s="1930" t="s">
        <v>138</v>
      </c>
    </row>
    <row r="4274" spans="1:12" ht="13.5" x14ac:dyDescent="0.25">
      <c r="A4274" s="1930" t="s">
        <v>4646</v>
      </c>
      <c r="B4274" s="1930" t="s">
        <v>4647</v>
      </c>
      <c r="C4274" s="1930" t="s">
        <v>4594</v>
      </c>
      <c r="D4274" s="1930" t="s">
        <v>4650</v>
      </c>
      <c r="E4274" s="1931" t="s">
        <v>33</v>
      </c>
      <c r="F4274" s="1930" t="s">
        <v>33</v>
      </c>
      <c r="G4274" s="1932">
        <v>97477</v>
      </c>
      <c r="H4274" s="1930" t="s">
        <v>6613</v>
      </c>
      <c r="I4274" s="1930" t="s">
        <v>168</v>
      </c>
      <c r="J4274" s="1930" t="s">
        <v>137</v>
      </c>
      <c r="K4274" s="1933">
        <v>150.96</v>
      </c>
      <c r="L4274" s="1930" t="s">
        <v>138</v>
      </c>
    </row>
    <row r="4275" spans="1:12" ht="13.5" x14ac:dyDescent="0.25">
      <c r="A4275" s="1930" t="s">
        <v>4646</v>
      </c>
      <c r="B4275" s="1930" t="s">
        <v>4647</v>
      </c>
      <c r="C4275" s="1930" t="s">
        <v>4594</v>
      </c>
      <c r="D4275" s="1930" t="s">
        <v>4650</v>
      </c>
      <c r="E4275" s="1931" t="s">
        <v>33</v>
      </c>
      <c r="F4275" s="1930" t="s">
        <v>33</v>
      </c>
      <c r="G4275" s="1932">
        <v>97478</v>
      </c>
      <c r="H4275" s="1930" t="s">
        <v>6614</v>
      </c>
      <c r="I4275" s="1930" t="s">
        <v>168</v>
      </c>
      <c r="J4275" s="1930" t="s">
        <v>137</v>
      </c>
      <c r="K4275" s="1933">
        <v>185.66</v>
      </c>
      <c r="L4275" s="1930" t="s">
        <v>138</v>
      </c>
    </row>
    <row r="4276" spans="1:12" ht="13.5" x14ac:dyDescent="0.25">
      <c r="A4276" s="1930" t="s">
        <v>4646</v>
      </c>
      <c r="B4276" s="1930" t="s">
        <v>4647</v>
      </c>
      <c r="C4276" s="1930" t="s">
        <v>4594</v>
      </c>
      <c r="D4276" s="1930" t="s">
        <v>4650</v>
      </c>
      <c r="E4276" s="1931" t="s">
        <v>33</v>
      </c>
      <c r="F4276" s="1930" t="s">
        <v>33</v>
      </c>
      <c r="G4276" s="1932">
        <v>97479</v>
      </c>
      <c r="H4276" s="1930" t="s">
        <v>6615</v>
      </c>
      <c r="I4276" s="1930" t="s">
        <v>168</v>
      </c>
      <c r="J4276" s="1930" t="s">
        <v>137</v>
      </c>
      <c r="K4276" s="1933">
        <v>37.6</v>
      </c>
      <c r="L4276" s="1930" t="s">
        <v>138</v>
      </c>
    </row>
    <row r="4277" spans="1:12" ht="13.5" x14ac:dyDescent="0.25">
      <c r="A4277" s="1930" t="s">
        <v>4646</v>
      </c>
      <c r="B4277" s="1930" t="s">
        <v>4647</v>
      </c>
      <c r="C4277" s="1930" t="s">
        <v>4594</v>
      </c>
      <c r="D4277" s="1930" t="s">
        <v>4650</v>
      </c>
      <c r="E4277" s="1931" t="s">
        <v>33</v>
      </c>
      <c r="F4277" s="1930" t="s">
        <v>33</v>
      </c>
      <c r="G4277" s="1932">
        <v>97480</v>
      </c>
      <c r="H4277" s="1930" t="s">
        <v>6616</v>
      </c>
      <c r="I4277" s="1930" t="s">
        <v>168</v>
      </c>
      <c r="J4277" s="1930" t="s">
        <v>137</v>
      </c>
      <c r="K4277" s="1933">
        <v>37.6</v>
      </c>
      <c r="L4277" s="1930" t="s">
        <v>138</v>
      </c>
    </row>
    <row r="4278" spans="1:12" ht="13.5" x14ac:dyDescent="0.25">
      <c r="A4278" s="1930" t="s">
        <v>4646</v>
      </c>
      <c r="B4278" s="1930" t="s">
        <v>4647</v>
      </c>
      <c r="C4278" s="1930" t="s">
        <v>4594</v>
      </c>
      <c r="D4278" s="1930" t="s">
        <v>4650</v>
      </c>
      <c r="E4278" s="1931" t="s">
        <v>33</v>
      </c>
      <c r="F4278" s="1930" t="s">
        <v>33</v>
      </c>
      <c r="G4278" s="1932">
        <v>97481</v>
      </c>
      <c r="H4278" s="1930" t="s">
        <v>6617</v>
      </c>
      <c r="I4278" s="1930" t="s">
        <v>168</v>
      </c>
      <c r="J4278" s="1930" t="s">
        <v>137</v>
      </c>
      <c r="K4278" s="1933">
        <v>54.31</v>
      </c>
      <c r="L4278" s="1930" t="s">
        <v>138</v>
      </c>
    </row>
    <row r="4279" spans="1:12" ht="13.5" x14ac:dyDescent="0.25">
      <c r="A4279" s="1930" t="s">
        <v>4646</v>
      </c>
      <c r="B4279" s="1930" t="s">
        <v>4647</v>
      </c>
      <c r="C4279" s="1930" t="s">
        <v>4594</v>
      </c>
      <c r="D4279" s="1930" t="s">
        <v>4650</v>
      </c>
      <c r="E4279" s="1931" t="s">
        <v>33</v>
      </c>
      <c r="F4279" s="1930" t="s">
        <v>33</v>
      </c>
      <c r="G4279" s="1932">
        <v>97482</v>
      </c>
      <c r="H4279" s="1930" t="s">
        <v>6618</v>
      </c>
      <c r="I4279" s="1930" t="s">
        <v>168</v>
      </c>
      <c r="J4279" s="1930" t="s">
        <v>137</v>
      </c>
      <c r="K4279" s="1933">
        <v>54.31</v>
      </c>
      <c r="L4279" s="1930" t="s">
        <v>138</v>
      </c>
    </row>
    <row r="4280" spans="1:12" ht="13.5" x14ac:dyDescent="0.25">
      <c r="A4280" s="1930" t="s">
        <v>4646</v>
      </c>
      <c r="B4280" s="1930" t="s">
        <v>4647</v>
      </c>
      <c r="C4280" s="1930" t="s">
        <v>4594</v>
      </c>
      <c r="D4280" s="1930" t="s">
        <v>4650</v>
      </c>
      <c r="E4280" s="1931" t="s">
        <v>33</v>
      </c>
      <c r="F4280" s="1930" t="s">
        <v>33</v>
      </c>
      <c r="G4280" s="1932">
        <v>97483</v>
      </c>
      <c r="H4280" s="1930" t="s">
        <v>5518</v>
      </c>
      <c r="I4280" s="1930" t="s">
        <v>168</v>
      </c>
      <c r="J4280" s="1930" t="s">
        <v>137</v>
      </c>
      <c r="K4280" s="1933">
        <v>75.81</v>
      </c>
      <c r="L4280" s="1930" t="s">
        <v>138</v>
      </c>
    </row>
    <row r="4281" spans="1:12" ht="13.5" x14ac:dyDescent="0.25">
      <c r="A4281" s="1930" t="s">
        <v>4646</v>
      </c>
      <c r="B4281" s="1930" t="s">
        <v>4647</v>
      </c>
      <c r="C4281" s="1930" t="s">
        <v>4594</v>
      </c>
      <c r="D4281" s="1930" t="s">
        <v>4650</v>
      </c>
      <c r="E4281" s="1931" t="s">
        <v>33</v>
      </c>
      <c r="F4281" s="1930" t="s">
        <v>33</v>
      </c>
      <c r="G4281" s="1932">
        <v>97484</v>
      </c>
      <c r="H4281" s="1930" t="s">
        <v>5519</v>
      </c>
      <c r="I4281" s="1930" t="s">
        <v>168</v>
      </c>
      <c r="J4281" s="1930" t="s">
        <v>137</v>
      </c>
      <c r="K4281" s="1933">
        <v>75.81</v>
      </c>
      <c r="L4281" s="1930" t="s">
        <v>138</v>
      </c>
    </row>
    <row r="4282" spans="1:12" ht="13.5" x14ac:dyDescent="0.25">
      <c r="A4282" s="1930" t="s">
        <v>4646</v>
      </c>
      <c r="B4282" s="1930" t="s">
        <v>4647</v>
      </c>
      <c r="C4282" s="1930" t="s">
        <v>4594</v>
      </c>
      <c r="D4282" s="1930" t="s">
        <v>4650</v>
      </c>
      <c r="E4282" s="1931" t="s">
        <v>33</v>
      </c>
      <c r="F4282" s="1930" t="s">
        <v>33</v>
      </c>
      <c r="G4282" s="1932">
        <v>97485</v>
      </c>
      <c r="H4282" s="1930" t="s">
        <v>5520</v>
      </c>
      <c r="I4282" s="1930" t="s">
        <v>168</v>
      </c>
      <c r="J4282" s="1930" t="s">
        <v>137</v>
      </c>
      <c r="K4282" s="1933">
        <v>104.29</v>
      </c>
      <c r="L4282" s="1930" t="s">
        <v>138</v>
      </c>
    </row>
    <row r="4283" spans="1:12" ht="13.5" x14ac:dyDescent="0.25">
      <c r="A4283" s="1930" t="s">
        <v>4646</v>
      </c>
      <c r="B4283" s="1930" t="s">
        <v>4647</v>
      </c>
      <c r="C4283" s="1930" t="s">
        <v>4594</v>
      </c>
      <c r="D4283" s="1930" t="s">
        <v>4650</v>
      </c>
      <c r="E4283" s="1931" t="s">
        <v>33</v>
      </c>
      <c r="F4283" s="1930" t="s">
        <v>33</v>
      </c>
      <c r="G4283" s="1932">
        <v>97486</v>
      </c>
      <c r="H4283" s="1930" t="s">
        <v>5521</v>
      </c>
      <c r="I4283" s="1930" t="s">
        <v>168</v>
      </c>
      <c r="J4283" s="1930" t="s">
        <v>137</v>
      </c>
      <c r="K4283" s="1933">
        <v>111.57</v>
      </c>
      <c r="L4283" s="1930" t="s">
        <v>138</v>
      </c>
    </row>
    <row r="4284" spans="1:12" ht="13.5" x14ac:dyDescent="0.25">
      <c r="A4284" s="1930" t="s">
        <v>4646</v>
      </c>
      <c r="B4284" s="1930" t="s">
        <v>4647</v>
      </c>
      <c r="C4284" s="1930" t="s">
        <v>4594</v>
      </c>
      <c r="D4284" s="1930" t="s">
        <v>4650</v>
      </c>
      <c r="E4284" s="1931" t="s">
        <v>33</v>
      </c>
      <c r="F4284" s="1930" t="s">
        <v>33</v>
      </c>
      <c r="G4284" s="1932">
        <v>97487</v>
      </c>
      <c r="H4284" s="1930" t="s">
        <v>5522</v>
      </c>
      <c r="I4284" s="1930" t="s">
        <v>168</v>
      </c>
      <c r="J4284" s="1930" t="s">
        <v>137</v>
      </c>
      <c r="K4284" s="1933">
        <v>190.66</v>
      </c>
      <c r="L4284" s="1930" t="s">
        <v>138</v>
      </c>
    </row>
    <row r="4285" spans="1:12" ht="13.5" x14ac:dyDescent="0.25">
      <c r="A4285" s="1930" t="s">
        <v>4646</v>
      </c>
      <c r="B4285" s="1930" t="s">
        <v>4647</v>
      </c>
      <c r="C4285" s="1930" t="s">
        <v>4594</v>
      </c>
      <c r="D4285" s="1930" t="s">
        <v>4650</v>
      </c>
      <c r="E4285" s="1931" t="s">
        <v>33</v>
      </c>
      <c r="F4285" s="1930" t="s">
        <v>33</v>
      </c>
      <c r="G4285" s="1932">
        <v>97488</v>
      </c>
      <c r="H4285" s="1930" t="s">
        <v>5523</v>
      </c>
      <c r="I4285" s="1930" t="s">
        <v>168</v>
      </c>
      <c r="J4285" s="1930" t="s">
        <v>137</v>
      </c>
      <c r="K4285" s="1933">
        <v>202.29</v>
      </c>
      <c r="L4285" s="1930" t="s">
        <v>138</v>
      </c>
    </row>
    <row r="4286" spans="1:12" ht="13.5" x14ac:dyDescent="0.25">
      <c r="A4286" s="1930" t="s">
        <v>4646</v>
      </c>
      <c r="B4286" s="1930" t="s">
        <v>4647</v>
      </c>
      <c r="C4286" s="1930" t="s">
        <v>4594</v>
      </c>
      <c r="D4286" s="1930" t="s">
        <v>4650</v>
      </c>
      <c r="E4286" s="1931" t="s">
        <v>33</v>
      </c>
      <c r="F4286" s="1930" t="s">
        <v>33</v>
      </c>
      <c r="G4286" s="1932">
        <v>97489</v>
      </c>
      <c r="H4286" s="1930" t="s">
        <v>5524</v>
      </c>
      <c r="I4286" s="1930" t="s">
        <v>168</v>
      </c>
      <c r="J4286" s="1930" t="s">
        <v>137</v>
      </c>
      <c r="K4286" s="1933">
        <v>448.56</v>
      </c>
      <c r="L4286" s="1930" t="s">
        <v>138</v>
      </c>
    </row>
    <row r="4287" spans="1:12" ht="13.5" x14ac:dyDescent="0.25">
      <c r="A4287" s="1930" t="s">
        <v>4646</v>
      </c>
      <c r="B4287" s="1930" t="s">
        <v>4647</v>
      </c>
      <c r="C4287" s="1930" t="s">
        <v>4594</v>
      </c>
      <c r="D4287" s="1930" t="s">
        <v>4650</v>
      </c>
      <c r="E4287" s="1931" t="s">
        <v>33</v>
      </c>
      <c r="F4287" s="1930" t="s">
        <v>33</v>
      </c>
      <c r="G4287" s="1932">
        <v>97490</v>
      </c>
      <c r="H4287" s="1930" t="s">
        <v>5525</v>
      </c>
      <c r="I4287" s="1930" t="s">
        <v>168</v>
      </c>
      <c r="J4287" s="1930" t="s">
        <v>137</v>
      </c>
      <c r="K4287" s="1933">
        <v>396.38</v>
      </c>
      <c r="L4287" s="1930" t="s">
        <v>138</v>
      </c>
    </row>
    <row r="4288" spans="1:12" ht="13.5" x14ac:dyDescent="0.25">
      <c r="A4288" s="1930" t="s">
        <v>4646</v>
      </c>
      <c r="B4288" s="1930" t="s">
        <v>4647</v>
      </c>
      <c r="C4288" s="1930" t="s">
        <v>4594</v>
      </c>
      <c r="D4288" s="1930" t="s">
        <v>4650</v>
      </c>
      <c r="E4288" s="1931" t="s">
        <v>33</v>
      </c>
      <c r="F4288" s="1930" t="s">
        <v>33</v>
      </c>
      <c r="G4288" s="1932">
        <v>97491</v>
      </c>
      <c r="H4288" s="1930" t="s">
        <v>5526</v>
      </c>
      <c r="I4288" s="1930" t="s">
        <v>168</v>
      </c>
      <c r="J4288" s="1930" t="s">
        <v>137</v>
      </c>
      <c r="K4288" s="1933">
        <v>57.82</v>
      </c>
      <c r="L4288" s="1930" t="s">
        <v>138</v>
      </c>
    </row>
    <row r="4289" spans="1:12" ht="13.5" x14ac:dyDescent="0.25">
      <c r="A4289" s="1930" t="s">
        <v>4646</v>
      </c>
      <c r="B4289" s="1930" t="s">
        <v>4647</v>
      </c>
      <c r="C4289" s="1930" t="s">
        <v>4594</v>
      </c>
      <c r="D4289" s="1930" t="s">
        <v>4650</v>
      </c>
      <c r="E4289" s="1931" t="s">
        <v>33</v>
      </c>
      <c r="F4289" s="1930" t="s">
        <v>33</v>
      </c>
      <c r="G4289" s="1932">
        <v>97492</v>
      </c>
      <c r="H4289" s="1930" t="s">
        <v>5527</v>
      </c>
      <c r="I4289" s="1930" t="s">
        <v>168</v>
      </c>
      <c r="J4289" s="1930" t="s">
        <v>137</v>
      </c>
      <c r="K4289" s="1933">
        <v>84.55</v>
      </c>
      <c r="L4289" s="1930" t="s">
        <v>138</v>
      </c>
    </row>
    <row r="4290" spans="1:12" ht="13.5" x14ac:dyDescent="0.25">
      <c r="A4290" s="1930" t="s">
        <v>4646</v>
      </c>
      <c r="B4290" s="1930" t="s">
        <v>4647</v>
      </c>
      <c r="C4290" s="1930" t="s">
        <v>4594</v>
      </c>
      <c r="D4290" s="1930" t="s">
        <v>4650</v>
      </c>
      <c r="E4290" s="1931" t="s">
        <v>33</v>
      </c>
      <c r="F4290" s="1930" t="s">
        <v>33</v>
      </c>
      <c r="G4290" s="1932">
        <v>97493</v>
      </c>
      <c r="H4290" s="1930" t="s">
        <v>5528</v>
      </c>
      <c r="I4290" s="1930" t="s">
        <v>168</v>
      </c>
      <c r="J4290" s="1930" t="s">
        <v>137</v>
      </c>
      <c r="K4290" s="1933">
        <v>108.97</v>
      </c>
      <c r="L4290" s="1930" t="s">
        <v>138</v>
      </c>
    </row>
    <row r="4291" spans="1:12" ht="13.5" x14ac:dyDescent="0.25">
      <c r="A4291" s="1930" t="s">
        <v>4646</v>
      </c>
      <c r="B4291" s="1930" t="s">
        <v>4647</v>
      </c>
      <c r="C4291" s="1930" t="s">
        <v>4594</v>
      </c>
      <c r="D4291" s="1930" t="s">
        <v>4650</v>
      </c>
      <c r="E4291" s="1931" t="s">
        <v>33</v>
      </c>
      <c r="F4291" s="1930" t="s">
        <v>33</v>
      </c>
      <c r="G4291" s="1932">
        <v>97494</v>
      </c>
      <c r="H4291" s="1930" t="s">
        <v>5529</v>
      </c>
      <c r="I4291" s="1930" t="s">
        <v>168</v>
      </c>
      <c r="J4291" s="1930" t="s">
        <v>137</v>
      </c>
      <c r="K4291" s="1933">
        <v>168.23</v>
      </c>
      <c r="L4291" s="1930" t="s">
        <v>138</v>
      </c>
    </row>
    <row r="4292" spans="1:12" ht="13.5" x14ac:dyDescent="0.25">
      <c r="A4292" s="1930" t="s">
        <v>4646</v>
      </c>
      <c r="B4292" s="1930" t="s">
        <v>4647</v>
      </c>
      <c r="C4292" s="1930" t="s">
        <v>4594</v>
      </c>
      <c r="D4292" s="1930" t="s">
        <v>4650</v>
      </c>
      <c r="E4292" s="1931" t="s">
        <v>33</v>
      </c>
      <c r="F4292" s="1930" t="s">
        <v>33</v>
      </c>
      <c r="G4292" s="1932">
        <v>97495</v>
      </c>
      <c r="H4292" s="1930" t="s">
        <v>5530</v>
      </c>
      <c r="I4292" s="1930" t="s">
        <v>168</v>
      </c>
      <c r="J4292" s="1930" t="s">
        <v>137</v>
      </c>
      <c r="K4292" s="1933">
        <v>306.36</v>
      </c>
      <c r="L4292" s="1930" t="s">
        <v>138</v>
      </c>
    </row>
    <row r="4293" spans="1:12" ht="13.5" x14ac:dyDescent="0.25">
      <c r="A4293" s="1930" t="s">
        <v>4646</v>
      </c>
      <c r="B4293" s="1930" t="s">
        <v>4647</v>
      </c>
      <c r="C4293" s="1930" t="s">
        <v>4594</v>
      </c>
      <c r="D4293" s="1930" t="s">
        <v>4650</v>
      </c>
      <c r="E4293" s="1931" t="s">
        <v>33</v>
      </c>
      <c r="F4293" s="1930" t="s">
        <v>33</v>
      </c>
      <c r="G4293" s="1932">
        <v>97496</v>
      </c>
      <c r="H4293" s="1930" t="s">
        <v>5531</v>
      </c>
      <c r="I4293" s="1930" t="s">
        <v>168</v>
      </c>
      <c r="J4293" s="1930" t="s">
        <v>137</v>
      </c>
      <c r="K4293" s="1933">
        <v>482.96</v>
      </c>
      <c r="L4293" s="1930" t="s">
        <v>138</v>
      </c>
    </row>
    <row r="4294" spans="1:12" ht="13.5" x14ac:dyDescent="0.25">
      <c r="A4294" s="1930" t="s">
        <v>4646</v>
      </c>
      <c r="B4294" s="1930" t="s">
        <v>4647</v>
      </c>
      <c r="C4294" s="1930" t="s">
        <v>4594</v>
      </c>
      <c r="D4294" s="1930" t="s">
        <v>4650</v>
      </c>
      <c r="E4294" s="1931" t="s">
        <v>33</v>
      </c>
      <c r="F4294" s="1930" t="s">
        <v>33</v>
      </c>
      <c r="G4294" s="1932">
        <v>97499</v>
      </c>
      <c r="H4294" s="1930" t="s">
        <v>5532</v>
      </c>
      <c r="I4294" s="1930" t="s">
        <v>168</v>
      </c>
      <c r="J4294" s="1930" t="s">
        <v>137</v>
      </c>
      <c r="K4294" s="1933">
        <v>21.44</v>
      </c>
      <c r="L4294" s="1930" t="s">
        <v>138</v>
      </c>
    </row>
    <row r="4295" spans="1:12" ht="13.5" x14ac:dyDescent="0.25">
      <c r="A4295" s="1930" t="s">
        <v>4646</v>
      </c>
      <c r="B4295" s="1930" t="s">
        <v>4647</v>
      </c>
      <c r="C4295" s="1930" t="s">
        <v>4594</v>
      </c>
      <c r="D4295" s="1930" t="s">
        <v>4650</v>
      </c>
      <c r="E4295" s="1931" t="s">
        <v>33</v>
      </c>
      <c r="F4295" s="1930" t="s">
        <v>33</v>
      </c>
      <c r="G4295" s="1932">
        <v>97500</v>
      </c>
      <c r="H4295" s="1930" t="s">
        <v>5533</v>
      </c>
      <c r="I4295" s="1930" t="s">
        <v>168</v>
      </c>
      <c r="J4295" s="1930" t="s">
        <v>137</v>
      </c>
      <c r="K4295" s="1933">
        <v>17.71</v>
      </c>
      <c r="L4295" s="1930" t="s">
        <v>138</v>
      </c>
    </row>
    <row r="4296" spans="1:12" ht="13.5" x14ac:dyDescent="0.25">
      <c r="A4296" s="1930" t="s">
        <v>4646</v>
      </c>
      <c r="B4296" s="1930" t="s">
        <v>4647</v>
      </c>
      <c r="C4296" s="1930" t="s">
        <v>4594</v>
      </c>
      <c r="D4296" s="1930" t="s">
        <v>4650</v>
      </c>
      <c r="E4296" s="1931" t="s">
        <v>33</v>
      </c>
      <c r="F4296" s="1930" t="s">
        <v>33</v>
      </c>
      <c r="G4296" s="1932">
        <v>97502</v>
      </c>
      <c r="H4296" s="1930" t="s">
        <v>5534</v>
      </c>
      <c r="I4296" s="1930" t="s">
        <v>168</v>
      </c>
      <c r="J4296" s="1930" t="s">
        <v>137</v>
      </c>
      <c r="K4296" s="1933">
        <v>29.97</v>
      </c>
      <c r="L4296" s="1930" t="s">
        <v>138</v>
      </c>
    </row>
    <row r="4297" spans="1:12" ht="13.5" x14ac:dyDescent="0.25">
      <c r="A4297" s="1930" t="s">
        <v>4646</v>
      </c>
      <c r="B4297" s="1930" t="s">
        <v>4647</v>
      </c>
      <c r="C4297" s="1930" t="s">
        <v>4594</v>
      </c>
      <c r="D4297" s="1930" t="s">
        <v>4650</v>
      </c>
      <c r="E4297" s="1931" t="s">
        <v>33</v>
      </c>
      <c r="F4297" s="1930" t="s">
        <v>33</v>
      </c>
      <c r="G4297" s="1932">
        <v>97503</v>
      </c>
      <c r="H4297" s="1930" t="s">
        <v>5535</v>
      </c>
      <c r="I4297" s="1930" t="s">
        <v>168</v>
      </c>
      <c r="J4297" s="1930" t="s">
        <v>137</v>
      </c>
      <c r="K4297" s="1933">
        <v>36.44</v>
      </c>
      <c r="L4297" s="1930" t="s">
        <v>138</v>
      </c>
    </row>
    <row r="4298" spans="1:12" ht="13.5" x14ac:dyDescent="0.25">
      <c r="A4298" s="1930" t="s">
        <v>4646</v>
      </c>
      <c r="B4298" s="1930" t="s">
        <v>4647</v>
      </c>
      <c r="C4298" s="1930" t="s">
        <v>4594</v>
      </c>
      <c r="D4298" s="1930" t="s">
        <v>4650</v>
      </c>
      <c r="E4298" s="1931" t="s">
        <v>33</v>
      </c>
      <c r="F4298" s="1930" t="s">
        <v>33</v>
      </c>
      <c r="G4298" s="1932">
        <v>97505</v>
      </c>
      <c r="H4298" s="1930" t="s">
        <v>5536</v>
      </c>
      <c r="I4298" s="1930" t="s">
        <v>168</v>
      </c>
      <c r="J4298" s="1930" t="s">
        <v>137</v>
      </c>
      <c r="K4298" s="1933">
        <v>37.51</v>
      </c>
      <c r="L4298" s="1930" t="s">
        <v>138</v>
      </c>
    </row>
    <row r="4299" spans="1:12" ht="13.5" x14ac:dyDescent="0.25">
      <c r="A4299" s="1930" t="s">
        <v>4646</v>
      </c>
      <c r="B4299" s="1930" t="s">
        <v>4647</v>
      </c>
      <c r="C4299" s="1930" t="s">
        <v>4594</v>
      </c>
      <c r="D4299" s="1930" t="s">
        <v>4650</v>
      </c>
      <c r="E4299" s="1931" t="s">
        <v>33</v>
      </c>
      <c r="F4299" s="1930" t="s">
        <v>33</v>
      </c>
      <c r="G4299" s="1932">
        <v>97506</v>
      </c>
      <c r="H4299" s="1930" t="s">
        <v>5537</v>
      </c>
      <c r="I4299" s="1930" t="s">
        <v>168</v>
      </c>
      <c r="J4299" s="1930" t="s">
        <v>137</v>
      </c>
      <c r="K4299" s="1933">
        <v>45.57</v>
      </c>
      <c r="L4299" s="1930" t="s">
        <v>138</v>
      </c>
    </row>
    <row r="4300" spans="1:12" ht="13.5" x14ac:dyDescent="0.25">
      <c r="A4300" s="1930" t="s">
        <v>4646</v>
      </c>
      <c r="B4300" s="1930" t="s">
        <v>4647</v>
      </c>
      <c r="C4300" s="1930" t="s">
        <v>4594</v>
      </c>
      <c r="D4300" s="1930" t="s">
        <v>4650</v>
      </c>
      <c r="E4300" s="1931" t="s">
        <v>33</v>
      </c>
      <c r="F4300" s="1930" t="s">
        <v>33</v>
      </c>
      <c r="G4300" s="1932">
        <v>97508</v>
      </c>
      <c r="H4300" s="1930" t="s">
        <v>5538</v>
      </c>
      <c r="I4300" s="1930" t="s">
        <v>168</v>
      </c>
      <c r="J4300" s="1930" t="s">
        <v>137</v>
      </c>
      <c r="K4300" s="1933">
        <v>55.43</v>
      </c>
      <c r="L4300" s="1930" t="s">
        <v>138</v>
      </c>
    </row>
    <row r="4301" spans="1:12" ht="13.5" x14ac:dyDescent="0.25">
      <c r="A4301" s="1930" t="s">
        <v>4646</v>
      </c>
      <c r="B4301" s="1930" t="s">
        <v>4647</v>
      </c>
      <c r="C4301" s="1930" t="s">
        <v>4594</v>
      </c>
      <c r="D4301" s="1930" t="s">
        <v>4650</v>
      </c>
      <c r="E4301" s="1931" t="s">
        <v>33</v>
      </c>
      <c r="F4301" s="1930" t="s">
        <v>33</v>
      </c>
      <c r="G4301" s="1932">
        <v>97509</v>
      </c>
      <c r="H4301" s="1930" t="s">
        <v>5539</v>
      </c>
      <c r="I4301" s="1930" t="s">
        <v>168</v>
      </c>
      <c r="J4301" s="1930" t="s">
        <v>137</v>
      </c>
      <c r="K4301" s="1933">
        <v>68.17</v>
      </c>
      <c r="L4301" s="1930" t="s">
        <v>138</v>
      </c>
    </row>
    <row r="4302" spans="1:12" ht="13.5" x14ac:dyDescent="0.25">
      <c r="A4302" s="1930" t="s">
        <v>4646</v>
      </c>
      <c r="B4302" s="1930" t="s">
        <v>4647</v>
      </c>
      <c r="C4302" s="1930" t="s">
        <v>4594</v>
      </c>
      <c r="D4302" s="1930" t="s">
        <v>4650</v>
      </c>
      <c r="E4302" s="1931" t="s">
        <v>33</v>
      </c>
      <c r="F4302" s="1930" t="s">
        <v>33</v>
      </c>
      <c r="G4302" s="1932">
        <v>97511</v>
      </c>
      <c r="H4302" s="1930" t="s">
        <v>5540</v>
      </c>
      <c r="I4302" s="1930" t="s">
        <v>168</v>
      </c>
      <c r="J4302" s="1930" t="s">
        <v>137</v>
      </c>
      <c r="K4302" s="1933">
        <v>103.33</v>
      </c>
      <c r="L4302" s="1930" t="s">
        <v>138</v>
      </c>
    </row>
    <row r="4303" spans="1:12" ht="13.5" x14ac:dyDescent="0.25">
      <c r="A4303" s="1930" t="s">
        <v>4646</v>
      </c>
      <c r="B4303" s="1930" t="s">
        <v>4647</v>
      </c>
      <c r="C4303" s="1930" t="s">
        <v>4594</v>
      </c>
      <c r="D4303" s="1930" t="s">
        <v>4650</v>
      </c>
      <c r="E4303" s="1931" t="s">
        <v>33</v>
      </c>
      <c r="F4303" s="1930" t="s">
        <v>33</v>
      </c>
      <c r="G4303" s="1932">
        <v>97512</v>
      </c>
      <c r="H4303" s="1930" t="s">
        <v>5541</v>
      </c>
      <c r="I4303" s="1930" t="s">
        <v>168</v>
      </c>
      <c r="J4303" s="1930" t="s">
        <v>137</v>
      </c>
      <c r="K4303" s="1933">
        <v>129.08000000000001</v>
      </c>
      <c r="L4303" s="1930" t="s">
        <v>138</v>
      </c>
    </row>
    <row r="4304" spans="1:12" ht="13.5" x14ac:dyDescent="0.25">
      <c r="A4304" s="1930" t="s">
        <v>4646</v>
      </c>
      <c r="B4304" s="1930" t="s">
        <v>4647</v>
      </c>
      <c r="C4304" s="1930" t="s">
        <v>4594</v>
      </c>
      <c r="D4304" s="1930" t="s">
        <v>4650</v>
      </c>
      <c r="E4304" s="1931" t="s">
        <v>33</v>
      </c>
      <c r="F4304" s="1930" t="s">
        <v>33</v>
      </c>
      <c r="G4304" s="1932">
        <v>97514</v>
      </c>
      <c r="H4304" s="1930" t="s">
        <v>5542</v>
      </c>
      <c r="I4304" s="1930" t="s">
        <v>168</v>
      </c>
      <c r="J4304" s="1930" t="s">
        <v>137</v>
      </c>
      <c r="K4304" s="1933">
        <v>137.61000000000001</v>
      </c>
      <c r="L4304" s="1930" t="s">
        <v>138</v>
      </c>
    </row>
    <row r="4305" spans="1:12" ht="13.5" x14ac:dyDescent="0.25">
      <c r="A4305" s="1930" t="s">
        <v>4646</v>
      </c>
      <c r="B4305" s="1930" t="s">
        <v>4647</v>
      </c>
      <c r="C4305" s="1930" t="s">
        <v>4594</v>
      </c>
      <c r="D4305" s="1930" t="s">
        <v>4650</v>
      </c>
      <c r="E4305" s="1931" t="s">
        <v>33</v>
      </c>
      <c r="F4305" s="1930" t="s">
        <v>33</v>
      </c>
      <c r="G4305" s="1932">
        <v>97515</v>
      </c>
      <c r="H4305" s="1930" t="s">
        <v>5543</v>
      </c>
      <c r="I4305" s="1930" t="s">
        <v>168</v>
      </c>
      <c r="J4305" s="1930" t="s">
        <v>137</v>
      </c>
      <c r="K4305" s="1933">
        <v>172.31</v>
      </c>
      <c r="L4305" s="1930" t="s">
        <v>138</v>
      </c>
    </row>
    <row r="4306" spans="1:12" ht="13.5" x14ac:dyDescent="0.25">
      <c r="A4306" s="1930" t="s">
        <v>4646</v>
      </c>
      <c r="B4306" s="1930" t="s">
        <v>4647</v>
      </c>
      <c r="C4306" s="1930" t="s">
        <v>4594</v>
      </c>
      <c r="D4306" s="1930" t="s">
        <v>4650</v>
      </c>
      <c r="E4306" s="1931" t="s">
        <v>33</v>
      </c>
      <c r="F4306" s="1930" t="s">
        <v>33</v>
      </c>
      <c r="G4306" s="1932">
        <v>97517</v>
      </c>
      <c r="H4306" s="1930" t="s">
        <v>5544</v>
      </c>
      <c r="I4306" s="1930" t="s">
        <v>168</v>
      </c>
      <c r="J4306" s="1930" t="s">
        <v>137</v>
      </c>
      <c r="K4306" s="1933">
        <v>34.74</v>
      </c>
      <c r="L4306" s="1930" t="s">
        <v>138</v>
      </c>
    </row>
    <row r="4307" spans="1:12" ht="13.5" x14ac:dyDescent="0.25">
      <c r="A4307" s="1930" t="s">
        <v>4646</v>
      </c>
      <c r="B4307" s="1930" t="s">
        <v>4647</v>
      </c>
      <c r="C4307" s="1930" t="s">
        <v>4594</v>
      </c>
      <c r="D4307" s="1930" t="s">
        <v>4650</v>
      </c>
      <c r="E4307" s="1931" t="s">
        <v>33</v>
      </c>
      <c r="F4307" s="1930" t="s">
        <v>33</v>
      </c>
      <c r="G4307" s="1932">
        <v>97518</v>
      </c>
      <c r="H4307" s="1930" t="s">
        <v>5545</v>
      </c>
      <c r="I4307" s="1930" t="s">
        <v>168</v>
      </c>
      <c r="J4307" s="1930" t="s">
        <v>137</v>
      </c>
      <c r="K4307" s="1933">
        <v>34.74</v>
      </c>
      <c r="L4307" s="1930" t="s">
        <v>138</v>
      </c>
    </row>
    <row r="4308" spans="1:12" ht="13.5" x14ac:dyDescent="0.25">
      <c r="A4308" s="1930" t="s">
        <v>4646</v>
      </c>
      <c r="B4308" s="1930" t="s">
        <v>4647</v>
      </c>
      <c r="C4308" s="1930" t="s">
        <v>4594</v>
      </c>
      <c r="D4308" s="1930" t="s">
        <v>4650</v>
      </c>
      <c r="E4308" s="1931" t="s">
        <v>33</v>
      </c>
      <c r="F4308" s="1930" t="s">
        <v>33</v>
      </c>
      <c r="G4308" s="1932">
        <v>97519</v>
      </c>
      <c r="H4308" s="1930" t="s">
        <v>5546</v>
      </c>
      <c r="I4308" s="1930" t="s">
        <v>168</v>
      </c>
      <c r="J4308" s="1930" t="s">
        <v>137</v>
      </c>
      <c r="K4308" s="1933">
        <v>49.25</v>
      </c>
      <c r="L4308" s="1930" t="s">
        <v>138</v>
      </c>
    </row>
    <row r="4309" spans="1:12" ht="13.5" x14ac:dyDescent="0.25">
      <c r="A4309" s="1930" t="s">
        <v>4646</v>
      </c>
      <c r="B4309" s="1930" t="s">
        <v>4647</v>
      </c>
      <c r="C4309" s="1930" t="s">
        <v>4594</v>
      </c>
      <c r="D4309" s="1930" t="s">
        <v>4650</v>
      </c>
      <c r="E4309" s="1931" t="s">
        <v>33</v>
      </c>
      <c r="F4309" s="1930" t="s">
        <v>33</v>
      </c>
      <c r="G4309" s="1932">
        <v>97520</v>
      </c>
      <c r="H4309" s="1930" t="s">
        <v>5547</v>
      </c>
      <c r="I4309" s="1930" t="s">
        <v>168</v>
      </c>
      <c r="J4309" s="1930" t="s">
        <v>137</v>
      </c>
      <c r="K4309" s="1933">
        <v>49.25</v>
      </c>
      <c r="L4309" s="1930" t="s">
        <v>138</v>
      </c>
    </row>
    <row r="4310" spans="1:12" ht="13.5" x14ac:dyDescent="0.25">
      <c r="A4310" s="1930" t="s">
        <v>4646</v>
      </c>
      <c r="B4310" s="1930" t="s">
        <v>4647</v>
      </c>
      <c r="C4310" s="1930" t="s">
        <v>4594</v>
      </c>
      <c r="D4310" s="1930" t="s">
        <v>4650</v>
      </c>
      <c r="E4310" s="1931" t="s">
        <v>33</v>
      </c>
      <c r="F4310" s="1930" t="s">
        <v>33</v>
      </c>
      <c r="G4310" s="1932">
        <v>97521</v>
      </c>
      <c r="H4310" s="1930" t="s">
        <v>5548</v>
      </c>
      <c r="I4310" s="1930" t="s">
        <v>168</v>
      </c>
      <c r="J4310" s="1930" t="s">
        <v>137</v>
      </c>
      <c r="K4310" s="1933">
        <v>68.3</v>
      </c>
      <c r="L4310" s="1930" t="s">
        <v>138</v>
      </c>
    </row>
    <row r="4311" spans="1:12" ht="13.5" x14ac:dyDescent="0.25">
      <c r="A4311" s="1930" t="s">
        <v>4646</v>
      </c>
      <c r="B4311" s="1930" t="s">
        <v>4647</v>
      </c>
      <c r="C4311" s="1930" t="s">
        <v>4594</v>
      </c>
      <c r="D4311" s="1930" t="s">
        <v>4650</v>
      </c>
      <c r="E4311" s="1931" t="s">
        <v>33</v>
      </c>
      <c r="F4311" s="1930" t="s">
        <v>33</v>
      </c>
      <c r="G4311" s="1932">
        <v>97522</v>
      </c>
      <c r="H4311" s="1930" t="s">
        <v>5549</v>
      </c>
      <c r="I4311" s="1930" t="s">
        <v>168</v>
      </c>
      <c r="J4311" s="1930" t="s">
        <v>137</v>
      </c>
      <c r="K4311" s="1933">
        <v>68.3</v>
      </c>
      <c r="L4311" s="1930" t="s">
        <v>138</v>
      </c>
    </row>
    <row r="4312" spans="1:12" ht="13.5" x14ac:dyDescent="0.25">
      <c r="A4312" s="1930" t="s">
        <v>4646</v>
      </c>
      <c r="B4312" s="1930" t="s">
        <v>4647</v>
      </c>
      <c r="C4312" s="1930" t="s">
        <v>4594</v>
      </c>
      <c r="D4312" s="1930" t="s">
        <v>4650</v>
      </c>
      <c r="E4312" s="1931" t="s">
        <v>33</v>
      </c>
      <c r="F4312" s="1930" t="s">
        <v>33</v>
      </c>
      <c r="G4312" s="1932">
        <v>97523</v>
      </c>
      <c r="H4312" s="1930" t="s">
        <v>5550</v>
      </c>
      <c r="I4312" s="1930" t="s">
        <v>168</v>
      </c>
      <c r="J4312" s="1930" t="s">
        <v>137</v>
      </c>
      <c r="K4312" s="1933">
        <v>93.68</v>
      </c>
      <c r="L4312" s="1930" t="s">
        <v>138</v>
      </c>
    </row>
    <row r="4313" spans="1:12" ht="13.5" x14ac:dyDescent="0.25">
      <c r="A4313" s="1930" t="s">
        <v>4646</v>
      </c>
      <c r="B4313" s="1930" t="s">
        <v>4647</v>
      </c>
      <c r="C4313" s="1930" t="s">
        <v>4594</v>
      </c>
      <c r="D4313" s="1930" t="s">
        <v>4650</v>
      </c>
      <c r="E4313" s="1931" t="s">
        <v>33</v>
      </c>
      <c r="F4313" s="1930" t="s">
        <v>33</v>
      </c>
      <c r="G4313" s="1932">
        <v>97524</v>
      </c>
      <c r="H4313" s="1930" t="s">
        <v>5551</v>
      </c>
      <c r="I4313" s="1930" t="s">
        <v>168</v>
      </c>
      <c r="J4313" s="1930" t="s">
        <v>137</v>
      </c>
      <c r="K4313" s="1933">
        <v>100.96</v>
      </c>
      <c r="L4313" s="1930" t="s">
        <v>138</v>
      </c>
    </row>
    <row r="4314" spans="1:12" ht="13.5" x14ac:dyDescent="0.25">
      <c r="A4314" s="1930" t="s">
        <v>4646</v>
      </c>
      <c r="B4314" s="1930" t="s">
        <v>4647</v>
      </c>
      <c r="C4314" s="1930" t="s">
        <v>4594</v>
      </c>
      <c r="D4314" s="1930" t="s">
        <v>4650</v>
      </c>
      <c r="E4314" s="1931" t="s">
        <v>33</v>
      </c>
      <c r="F4314" s="1930" t="s">
        <v>33</v>
      </c>
      <c r="G4314" s="1932">
        <v>97525</v>
      </c>
      <c r="H4314" s="1930" t="s">
        <v>5552</v>
      </c>
      <c r="I4314" s="1930" t="s">
        <v>168</v>
      </c>
      <c r="J4314" s="1930" t="s">
        <v>137</v>
      </c>
      <c r="K4314" s="1933">
        <v>175.35</v>
      </c>
      <c r="L4314" s="1930" t="s">
        <v>138</v>
      </c>
    </row>
    <row r="4315" spans="1:12" ht="13.5" x14ac:dyDescent="0.25">
      <c r="A4315" s="1930" t="s">
        <v>4646</v>
      </c>
      <c r="B4315" s="1930" t="s">
        <v>4647</v>
      </c>
      <c r="C4315" s="1930" t="s">
        <v>4594</v>
      </c>
      <c r="D4315" s="1930" t="s">
        <v>4650</v>
      </c>
      <c r="E4315" s="1931" t="s">
        <v>33</v>
      </c>
      <c r="F4315" s="1930" t="s">
        <v>33</v>
      </c>
      <c r="G4315" s="1932">
        <v>97526</v>
      </c>
      <c r="H4315" s="1930" t="s">
        <v>5553</v>
      </c>
      <c r="I4315" s="1930" t="s">
        <v>168</v>
      </c>
      <c r="J4315" s="1930" t="s">
        <v>137</v>
      </c>
      <c r="K4315" s="1933">
        <v>186.98</v>
      </c>
      <c r="L4315" s="1930" t="s">
        <v>138</v>
      </c>
    </row>
    <row r="4316" spans="1:12" ht="13.5" x14ac:dyDescent="0.25">
      <c r="A4316" s="1930" t="s">
        <v>4646</v>
      </c>
      <c r="B4316" s="1930" t="s">
        <v>4647</v>
      </c>
      <c r="C4316" s="1930" t="s">
        <v>4594</v>
      </c>
      <c r="D4316" s="1930" t="s">
        <v>4650</v>
      </c>
      <c r="E4316" s="1931" t="s">
        <v>33</v>
      </c>
      <c r="F4316" s="1930" t="s">
        <v>33</v>
      </c>
      <c r="G4316" s="1932">
        <v>97527</v>
      </c>
      <c r="H4316" s="1930" t="s">
        <v>5554</v>
      </c>
      <c r="I4316" s="1930" t="s">
        <v>168</v>
      </c>
      <c r="J4316" s="1930" t="s">
        <v>137</v>
      </c>
      <c r="K4316" s="1933">
        <v>428.6</v>
      </c>
      <c r="L4316" s="1930" t="s">
        <v>138</v>
      </c>
    </row>
    <row r="4317" spans="1:12" ht="13.5" x14ac:dyDescent="0.25">
      <c r="A4317" s="1930" t="s">
        <v>4646</v>
      </c>
      <c r="B4317" s="1930" t="s">
        <v>4647</v>
      </c>
      <c r="C4317" s="1930" t="s">
        <v>4594</v>
      </c>
      <c r="D4317" s="1930" t="s">
        <v>4650</v>
      </c>
      <c r="E4317" s="1931" t="s">
        <v>33</v>
      </c>
      <c r="F4317" s="1930" t="s">
        <v>33</v>
      </c>
      <c r="G4317" s="1932">
        <v>97528</v>
      </c>
      <c r="H4317" s="1930" t="s">
        <v>5555</v>
      </c>
      <c r="I4317" s="1930" t="s">
        <v>168</v>
      </c>
      <c r="J4317" s="1930" t="s">
        <v>137</v>
      </c>
      <c r="K4317" s="1933">
        <v>376.42</v>
      </c>
      <c r="L4317" s="1930" t="s">
        <v>138</v>
      </c>
    </row>
    <row r="4318" spans="1:12" ht="13.5" x14ac:dyDescent="0.25">
      <c r="A4318" s="1930" t="s">
        <v>4646</v>
      </c>
      <c r="B4318" s="1930" t="s">
        <v>4647</v>
      </c>
      <c r="C4318" s="1930" t="s">
        <v>4594</v>
      </c>
      <c r="D4318" s="1930" t="s">
        <v>4650</v>
      </c>
      <c r="E4318" s="1931" t="s">
        <v>33</v>
      </c>
      <c r="F4318" s="1930" t="s">
        <v>33</v>
      </c>
      <c r="G4318" s="1932">
        <v>97529</v>
      </c>
      <c r="H4318" s="1930" t="s">
        <v>5556</v>
      </c>
      <c r="I4318" s="1930" t="s">
        <v>168</v>
      </c>
      <c r="J4318" s="1930" t="s">
        <v>137</v>
      </c>
      <c r="K4318" s="1933">
        <v>54.07</v>
      </c>
      <c r="L4318" s="1930" t="s">
        <v>138</v>
      </c>
    </row>
    <row r="4319" spans="1:12" ht="13.5" x14ac:dyDescent="0.25">
      <c r="A4319" s="1930" t="s">
        <v>4646</v>
      </c>
      <c r="B4319" s="1930" t="s">
        <v>4647</v>
      </c>
      <c r="C4319" s="1930" t="s">
        <v>4594</v>
      </c>
      <c r="D4319" s="1930" t="s">
        <v>4650</v>
      </c>
      <c r="E4319" s="1931" t="s">
        <v>33</v>
      </c>
      <c r="F4319" s="1930" t="s">
        <v>33</v>
      </c>
      <c r="G4319" s="1932">
        <v>97530</v>
      </c>
      <c r="H4319" s="1930" t="s">
        <v>5557</v>
      </c>
      <c r="I4319" s="1930" t="s">
        <v>168</v>
      </c>
      <c r="J4319" s="1930" t="s">
        <v>137</v>
      </c>
      <c r="K4319" s="1933">
        <v>77.819999999999993</v>
      </c>
      <c r="L4319" s="1930" t="s">
        <v>138</v>
      </c>
    </row>
    <row r="4320" spans="1:12" ht="13.5" x14ac:dyDescent="0.25">
      <c r="A4320" s="1930" t="s">
        <v>4646</v>
      </c>
      <c r="B4320" s="1930" t="s">
        <v>4647</v>
      </c>
      <c r="C4320" s="1930" t="s">
        <v>4594</v>
      </c>
      <c r="D4320" s="1930" t="s">
        <v>4650</v>
      </c>
      <c r="E4320" s="1931" t="s">
        <v>33</v>
      </c>
      <c r="F4320" s="1930" t="s">
        <v>33</v>
      </c>
      <c r="G4320" s="1932">
        <v>97531</v>
      </c>
      <c r="H4320" s="1930" t="s">
        <v>5558</v>
      </c>
      <c r="I4320" s="1930" t="s">
        <v>168</v>
      </c>
      <c r="J4320" s="1930" t="s">
        <v>137</v>
      </c>
      <c r="K4320" s="1933">
        <v>98.93</v>
      </c>
      <c r="L4320" s="1930" t="s">
        <v>138</v>
      </c>
    </row>
    <row r="4321" spans="1:12" ht="13.5" x14ac:dyDescent="0.25">
      <c r="A4321" s="1930" t="s">
        <v>4646</v>
      </c>
      <c r="B4321" s="1930" t="s">
        <v>4647</v>
      </c>
      <c r="C4321" s="1930" t="s">
        <v>4594</v>
      </c>
      <c r="D4321" s="1930" t="s">
        <v>4650</v>
      </c>
      <c r="E4321" s="1931" t="s">
        <v>33</v>
      </c>
      <c r="F4321" s="1930" t="s">
        <v>33</v>
      </c>
      <c r="G4321" s="1932">
        <v>97532</v>
      </c>
      <c r="H4321" s="1930" t="s">
        <v>5559</v>
      </c>
      <c r="I4321" s="1930" t="s">
        <v>168</v>
      </c>
      <c r="J4321" s="1930" t="s">
        <v>137</v>
      </c>
      <c r="K4321" s="1933">
        <v>154.09</v>
      </c>
      <c r="L4321" s="1930" t="s">
        <v>138</v>
      </c>
    </row>
    <row r="4322" spans="1:12" ht="13.5" x14ac:dyDescent="0.25">
      <c r="A4322" s="1930" t="s">
        <v>4646</v>
      </c>
      <c r="B4322" s="1930" t="s">
        <v>4647</v>
      </c>
      <c r="C4322" s="1930" t="s">
        <v>4594</v>
      </c>
      <c r="D4322" s="1930" t="s">
        <v>4650</v>
      </c>
      <c r="E4322" s="1931" t="s">
        <v>33</v>
      </c>
      <c r="F4322" s="1930" t="s">
        <v>33</v>
      </c>
      <c r="G4322" s="1932">
        <v>97533</v>
      </c>
      <c r="H4322" s="1930" t="s">
        <v>5560</v>
      </c>
      <c r="I4322" s="1930" t="s">
        <v>168</v>
      </c>
      <c r="J4322" s="1930" t="s">
        <v>137</v>
      </c>
      <c r="K4322" s="1933">
        <v>288.98</v>
      </c>
      <c r="L4322" s="1930" t="s">
        <v>138</v>
      </c>
    </row>
    <row r="4323" spans="1:12" ht="13.5" x14ac:dyDescent="0.25">
      <c r="A4323" s="1930" t="s">
        <v>4646</v>
      </c>
      <c r="B4323" s="1930" t="s">
        <v>4647</v>
      </c>
      <c r="C4323" s="1930" t="s">
        <v>4594</v>
      </c>
      <c r="D4323" s="1930" t="s">
        <v>4650</v>
      </c>
      <c r="E4323" s="1931" t="s">
        <v>33</v>
      </c>
      <c r="F4323" s="1930" t="s">
        <v>33</v>
      </c>
      <c r="G4323" s="1932">
        <v>97534</v>
      </c>
      <c r="H4323" s="1930" t="s">
        <v>5561</v>
      </c>
      <c r="I4323" s="1930" t="s">
        <v>168</v>
      </c>
      <c r="J4323" s="1930" t="s">
        <v>137</v>
      </c>
      <c r="K4323" s="1933">
        <v>456.32</v>
      </c>
      <c r="L4323" s="1930" t="s">
        <v>138</v>
      </c>
    </row>
    <row r="4324" spans="1:12" ht="13.5" x14ac:dyDescent="0.25">
      <c r="A4324" s="1930" t="s">
        <v>4646</v>
      </c>
      <c r="B4324" s="1930" t="s">
        <v>4647</v>
      </c>
      <c r="C4324" s="1930" t="s">
        <v>4594</v>
      </c>
      <c r="D4324" s="1930" t="s">
        <v>4650</v>
      </c>
      <c r="E4324" s="1931" t="s">
        <v>33</v>
      </c>
      <c r="F4324" s="1930" t="s">
        <v>33</v>
      </c>
      <c r="G4324" s="1932">
        <v>97537</v>
      </c>
      <c r="H4324" s="1930" t="s">
        <v>5562</v>
      </c>
      <c r="I4324" s="1930" t="s">
        <v>168</v>
      </c>
      <c r="J4324" s="1930" t="s">
        <v>137</v>
      </c>
      <c r="K4324" s="1933">
        <v>16.260000000000002</v>
      </c>
      <c r="L4324" s="1930" t="s">
        <v>138</v>
      </c>
    </row>
    <row r="4325" spans="1:12" ht="13.5" x14ac:dyDescent="0.25">
      <c r="A4325" s="1930" t="s">
        <v>4646</v>
      </c>
      <c r="B4325" s="1930" t="s">
        <v>4647</v>
      </c>
      <c r="C4325" s="1930" t="s">
        <v>4594</v>
      </c>
      <c r="D4325" s="1930" t="s">
        <v>4650</v>
      </c>
      <c r="E4325" s="1931" t="s">
        <v>33</v>
      </c>
      <c r="F4325" s="1930" t="s">
        <v>33</v>
      </c>
      <c r="G4325" s="1932">
        <v>97540</v>
      </c>
      <c r="H4325" s="1930" t="s">
        <v>5563</v>
      </c>
      <c r="I4325" s="1930" t="s">
        <v>168</v>
      </c>
      <c r="J4325" s="1930" t="s">
        <v>137</v>
      </c>
      <c r="K4325" s="1933">
        <v>22.09</v>
      </c>
      <c r="L4325" s="1930" t="s">
        <v>138</v>
      </c>
    </row>
    <row r="4326" spans="1:12" ht="13.5" x14ac:dyDescent="0.25">
      <c r="A4326" s="1930" t="s">
        <v>4646</v>
      </c>
      <c r="B4326" s="1930" t="s">
        <v>4647</v>
      </c>
      <c r="C4326" s="1930" t="s">
        <v>4594</v>
      </c>
      <c r="D4326" s="1930" t="s">
        <v>4650</v>
      </c>
      <c r="E4326" s="1931" t="s">
        <v>33</v>
      </c>
      <c r="F4326" s="1930" t="s">
        <v>33</v>
      </c>
      <c r="G4326" s="1932">
        <v>97541</v>
      </c>
      <c r="H4326" s="1930" t="s">
        <v>5564</v>
      </c>
      <c r="I4326" s="1930" t="s">
        <v>168</v>
      </c>
      <c r="J4326" s="1930" t="s">
        <v>137</v>
      </c>
      <c r="K4326" s="1933">
        <v>18.989999999999998</v>
      </c>
      <c r="L4326" s="1930" t="s">
        <v>138</v>
      </c>
    </row>
    <row r="4327" spans="1:12" ht="13.5" x14ac:dyDescent="0.25">
      <c r="A4327" s="1930" t="s">
        <v>4646</v>
      </c>
      <c r="B4327" s="1930" t="s">
        <v>4647</v>
      </c>
      <c r="C4327" s="1930" t="s">
        <v>4594</v>
      </c>
      <c r="D4327" s="1930" t="s">
        <v>4650</v>
      </c>
      <c r="E4327" s="1931" t="s">
        <v>33</v>
      </c>
      <c r="F4327" s="1930" t="s">
        <v>33</v>
      </c>
      <c r="G4327" s="1932">
        <v>97543</v>
      </c>
      <c r="H4327" s="1930" t="s">
        <v>5565</v>
      </c>
      <c r="I4327" s="1930" t="s">
        <v>168</v>
      </c>
      <c r="J4327" s="1930" t="s">
        <v>137</v>
      </c>
      <c r="K4327" s="1933">
        <v>36.299999999999997</v>
      </c>
      <c r="L4327" s="1930" t="s">
        <v>138</v>
      </c>
    </row>
    <row r="4328" spans="1:12" ht="13.5" x14ac:dyDescent="0.25">
      <c r="A4328" s="1930" t="s">
        <v>4646</v>
      </c>
      <c r="B4328" s="1930" t="s">
        <v>4647</v>
      </c>
      <c r="C4328" s="1930" t="s">
        <v>4594</v>
      </c>
      <c r="D4328" s="1930" t="s">
        <v>4650</v>
      </c>
      <c r="E4328" s="1931" t="s">
        <v>33</v>
      </c>
      <c r="F4328" s="1930" t="s">
        <v>33</v>
      </c>
      <c r="G4328" s="1932">
        <v>97544</v>
      </c>
      <c r="H4328" s="1930" t="s">
        <v>5566</v>
      </c>
      <c r="I4328" s="1930" t="s">
        <v>168</v>
      </c>
      <c r="J4328" s="1930" t="s">
        <v>137</v>
      </c>
      <c r="K4328" s="1933">
        <v>32.57</v>
      </c>
      <c r="L4328" s="1930" t="s">
        <v>138</v>
      </c>
    </row>
    <row r="4329" spans="1:12" ht="13.5" x14ac:dyDescent="0.25">
      <c r="A4329" s="1930" t="s">
        <v>4646</v>
      </c>
      <c r="B4329" s="1930" t="s">
        <v>4647</v>
      </c>
      <c r="C4329" s="1930" t="s">
        <v>4594</v>
      </c>
      <c r="D4329" s="1930" t="s">
        <v>4650</v>
      </c>
      <c r="E4329" s="1931" t="s">
        <v>33</v>
      </c>
      <c r="F4329" s="1930" t="s">
        <v>33</v>
      </c>
      <c r="G4329" s="1932">
        <v>97546</v>
      </c>
      <c r="H4329" s="1930" t="s">
        <v>5567</v>
      </c>
      <c r="I4329" s="1930" t="s">
        <v>168</v>
      </c>
      <c r="J4329" s="1930" t="s">
        <v>137</v>
      </c>
      <c r="K4329" s="1933">
        <v>22.83</v>
      </c>
      <c r="L4329" s="1930" t="s">
        <v>138</v>
      </c>
    </row>
    <row r="4330" spans="1:12" ht="13.5" x14ac:dyDescent="0.25">
      <c r="A4330" s="1930" t="s">
        <v>4646</v>
      </c>
      <c r="B4330" s="1930" t="s">
        <v>4647</v>
      </c>
      <c r="C4330" s="1930" t="s">
        <v>4594</v>
      </c>
      <c r="D4330" s="1930" t="s">
        <v>4650</v>
      </c>
      <c r="E4330" s="1931" t="s">
        <v>33</v>
      </c>
      <c r="F4330" s="1930" t="s">
        <v>33</v>
      </c>
      <c r="G4330" s="1932">
        <v>97547</v>
      </c>
      <c r="H4330" s="1930" t="s">
        <v>5568</v>
      </c>
      <c r="I4330" s="1930" t="s">
        <v>168</v>
      </c>
      <c r="J4330" s="1930" t="s">
        <v>137</v>
      </c>
      <c r="K4330" s="1933">
        <v>22.83</v>
      </c>
      <c r="L4330" s="1930" t="s">
        <v>138</v>
      </c>
    </row>
    <row r="4331" spans="1:12" ht="13.5" x14ac:dyDescent="0.25">
      <c r="A4331" s="1930" t="s">
        <v>4646</v>
      </c>
      <c r="B4331" s="1930" t="s">
        <v>4647</v>
      </c>
      <c r="C4331" s="1930" t="s">
        <v>4594</v>
      </c>
      <c r="D4331" s="1930" t="s">
        <v>4650</v>
      </c>
      <c r="E4331" s="1931" t="s">
        <v>33</v>
      </c>
      <c r="F4331" s="1930" t="s">
        <v>33</v>
      </c>
      <c r="G4331" s="1932">
        <v>97548</v>
      </c>
      <c r="H4331" s="1930" t="s">
        <v>5569</v>
      </c>
      <c r="I4331" s="1930" t="s">
        <v>168</v>
      </c>
      <c r="J4331" s="1930" t="s">
        <v>137</v>
      </c>
      <c r="K4331" s="1933">
        <v>34.08</v>
      </c>
      <c r="L4331" s="1930" t="s">
        <v>138</v>
      </c>
    </row>
    <row r="4332" spans="1:12" ht="13.5" x14ac:dyDescent="0.25">
      <c r="A4332" s="1930" t="s">
        <v>4646</v>
      </c>
      <c r="B4332" s="1930" t="s">
        <v>4647</v>
      </c>
      <c r="C4332" s="1930" t="s">
        <v>4594</v>
      </c>
      <c r="D4332" s="1930" t="s">
        <v>4650</v>
      </c>
      <c r="E4332" s="1931" t="s">
        <v>33</v>
      </c>
      <c r="F4332" s="1930" t="s">
        <v>33</v>
      </c>
      <c r="G4332" s="1932">
        <v>97549</v>
      </c>
      <c r="H4332" s="1930" t="s">
        <v>5570</v>
      </c>
      <c r="I4332" s="1930" t="s">
        <v>168</v>
      </c>
      <c r="J4332" s="1930" t="s">
        <v>137</v>
      </c>
      <c r="K4332" s="1933">
        <v>34.08</v>
      </c>
      <c r="L4332" s="1930" t="s">
        <v>138</v>
      </c>
    </row>
    <row r="4333" spans="1:12" ht="13.5" x14ac:dyDescent="0.25">
      <c r="A4333" s="1930" t="s">
        <v>4646</v>
      </c>
      <c r="B4333" s="1930" t="s">
        <v>4647</v>
      </c>
      <c r="C4333" s="1930" t="s">
        <v>4594</v>
      </c>
      <c r="D4333" s="1930" t="s">
        <v>4650</v>
      </c>
      <c r="E4333" s="1931" t="s">
        <v>33</v>
      </c>
      <c r="F4333" s="1930" t="s">
        <v>33</v>
      </c>
      <c r="G4333" s="1932">
        <v>97550</v>
      </c>
      <c r="H4333" s="1930" t="s">
        <v>5571</v>
      </c>
      <c r="I4333" s="1930" t="s">
        <v>168</v>
      </c>
      <c r="J4333" s="1930" t="s">
        <v>137</v>
      </c>
      <c r="K4333" s="1933">
        <v>57.06</v>
      </c>
      <c r="L4333" s="1930" t="s">
        <v>138</v>
      </c>
    </row>
    <row r="4334" spans="1:12" ht="13.5" x14ac:dyDescent="0.25">
      <c r="A4334" s="1930" t="s">
        <v>4646</v>
      </c>
      <c r="B4334" s="1930" t="s">
        <v>4647</v>
      </c>
      <c r="C4334" s="1930" t="s">
        <v>4594</v>
      </c>
      <c r="D4334" s="1930" t="s">
        <v>4650</v>
      </c>
      <c r="E4334" s="1931" t="s">
        <v>33</v>
      </c>
      <c r="F4334" s="1930" t="s">
        <v>33</v>
      </c>
      <c r="G4334" s="1932">
        <v>97551</v>
      </c>
      <c r="H4334" s="1930" t="s">
        <v>5572</v>
      </c>
      <c r="I4334" s="1930" t="s">
        <v>168</v>
      </c>
      <c r="J4334" s="1930" t="s">
        <v>137</v>
      </c>
      <c r="K4334" s="1933">
        <v>57.06</v>
      </c>
      <c r="L4334" s="1930" t="s">
        <v>138</v>
      </c>
    </row>
    <row r="4335" spans="1:12" ht="13.5" x14ac:dyDescent="0.25">
      <c r="A4335" s="1930" t="s">
        <v>4646</v>
      </c>
      <c r="B4335" s="1930" t="s">
        <v>4647</v>
      </c>
      <c r="C4335" s="1930" t="s">
        <v>4594</v>
      </c>
      <c r="D4335" s="1930" t="s">
        <v>4650</v>
      </c>
      <c r="E4335" s="1931" t="s">
        <v>33</v>
      </c>
      <c r="F4335" s="1930" t="s">
        <v>33</v>
      </c>
      <c r="G4335" s="1932">
        <v>97552</v>
      </c>
      <c r="H4335" s="1930" t="s">
        <v>5573</v>
      </c>
      <c r="I4335" s="1930" t="s">
        <v>168</v>
      </c>
      <c r="J4335" s="1930" t="s">
        <v>137</v>
      </c>
      <c r="K4335" s="1933">
        <v>33.14</v>
      </c>
      <c r="L4335" s="1930" t="s">
        <v>138</v>
      </c>
    </row>
    <row r="4336" spans="1:12" ht="13.5" x14ac:dyDescent="0.25">
      <c r="A4336" s="1930" t="s">
        <v>4646</v>
      </c>
      <c r="B4336" s="1930" t="s">
        <v>4647</v>
      </c>
      <c r="C4336" s="1930" t="s">
        <v>4594</v>
      </c>
      <c r="D4336" s="1930" t="s">
        <v>4650</v>
      </c>
      <c r="E4336" s="1931" t="s">
        <v>33</v>
      </c>
      <c r="F4336" s="1930" t="s">
        <v>33</v>
      </c>
      <c r="G4336" s="1932">
        <v>97553</v>
      </c>
      <c r="H4336" s="1930" t="s">
        <v>5574</v>
      </c>
      <c r="I4336" s="1930" t="s">
        <v>168</v>
      </c>
      <c r="J4336" s="1930" t="s">
        <v>137</v>
      </c>
      <c r="K4336" s="1933">
        <v>48.13</v>
      </c>
      <c r="L4336" s="1930" t="s">
        <v>138</v>
      </c>
    </row>
    <row r="4337" spans="1:12" ht="13.5" x14ac:dyDescent="0.25">
      <c r="A4337" s="1930" t="s">
        <v>4646</v>
      </c>
      <c r="B4337" s="1930" t="s">
        <v>4647</v>
      </c>
      <c r="C4337" s="1930" t="s">
        <v>4594</v>
      </c>
      <c r="D4337" s="1930" t="s">
        <v>4650</v>
      </c>
      <c r="E4337" s="1931" t="s">
        <v>33</v>
      </c>
      <c r="F4337" s="1930" t="s">
        <v>33</v>
      </c>
      <c r="G4337" s="1932">
        <v>97554</v>
      </c>
      <c r="H4337" s="1930" t="s">
        <v>5575</v>
      </c>
      <c r="I4337" s="1930" t="s">
        <v>168</v>
      </c>
      <c r="J4337" s="1930" t="s">
        <v>137</v>
      </c>
      <c r="K4337" s="1933">
        <v>83.86</v>
      </c>
      <c r="L4337" s="1930" t="s">
        <v>138</v>
      </c>
    </row>
    <row r="4338" spans="1:12" ht="13.5" x14ac:dyDescent="0.25">
      <c r="A4338" s="1930" t="s">
        <v>4646</v>
      </c>
      <c r="B4338" s="1930" t="s">
        <v>4647</v>
      </c>
      <c r="C4338" s="1930" t="s">
        <v>4594</v>
      </c>
      <c r="D4338" s="1930" t="s">
        <v>4650</v>
      </c>
      <c r="E4338" s="1931" t="s">
        <v>33</v>
      </c>
      <c r="F4338" s="1930" t="s">
        <v>33</v>
      </c>
      <c r="G4338" s="1932">
        <v>98602</v>
      </c>
      <c r="H4338" s="1930" t="s">
        <v>6619</v>
      </c>
      <c r="I4338" s="1930" t="s">
        <v>168</v>
      </c>
      <c r="J4338" s="1930" t="s">
        <v>137</v>
      </c>
      <c r="K4338" s="1933">
        <v>12.28</v>
      </c>
      <c r="L4338" s="1930" t="s">
        <v>138</v>
      </c>
    </row>
    <row r="4339" spans="1:12" ht="13.5" x14ac:dyDescent="0.25">
      <c r="A4339" s="1930" t="s">
        <v>4646</v>
      </c>
      <c r="B4339" s="1930" t="s">
        <v>4647</v>
      </c>
      <c r="C4339" s="1930" t="s">
        <v>4651</v>
      </c>
      <c r="D4339" s="1930" t="s">
        <v>4652</v>
      </c>
      <c r="E4339" s="1931" t="s">
        <v>33</v>
      </c>
      <c r="F4339" s="1930" t="s">
        <v>33</v>
      </c>
      <c r="G4339" s="1932">
        <v>6171</v>
      </c>
      <c r="H4339" s="1930" t="s">
        <v>3224</v>
      </c>
      <c r="I4339" s="1930" t="s">
        <v>168</v>
      </c>
      <c r="J4339" s="1930" t="s">
        <v>320</v>
      </c>
      <c r="K4339" s="1933">
        <v>23.4</v>
      </c>
      <c r="L4339" s="1930" t="s">
        <v>138</v>
      </c>
    </row>
    <row r="4340" spans="1:12" ht="13.5" x14ac:dyDescent="0.25">
      <c r="A4340" s="1930" t="s">
        <v>4646</v>
      </c>
      <c r="B4340" s="1930" t="s">
        <v>4647</v>
      </c>
      <c r="C4340" s="1930" t="s">
        <v>4651</v>
      </c>
      <c r="D4340" s="1930" t="s">
        <v>4652</v>
      </c>
      <c r="E4340" s="1931">
        <v>74166</v>
      </c>
      <c r="F4340" s="1930" t="s">
        <v>4653</v>
      </c>
      <c r="G4340" s="1932" t="s">
        <v>3225</v>
      </c>
      <c r="H4340" s="1930" t="s">
        <v>3226</v>
      </c>
      <c r="I4340" s="1930" t="s">
        <v>168</v>
      </c>
      <c r="J4340" s="1930" t="s">
        <v>320</v>
      </c>
      <c r="K4340" s="1933">
        <v>234.56</v>
      </c>
      <c r="L4340" s="1930" t="s">
        <v>138</v>
      </c>
    </row>
    <row r="4341" spans="1:12" ht="13.5" x14ac:dyDescent="0.25">
      <c r="A4341" s="1930" t="s">
        <v>4646</v>
      </c>
      <c r="B4341" s="1930" t="s">
        <v>4647</v>
      </c>
      <c r="C4341" s="1930" t="s">
        <v>4651</v>
      </c>
      <c r="D4341" s="1930" t="s">
        <v>4652</v>
      </c>
      <c r="E4341" s="1931">
        <v>74166</v>
      </c>
      <c r="F4341" s="1930" t="s">
        <v>4653</v>
      </c>
      <c r="G4341" s="1932" t="s">
        <v>3227</v>
      </c>
      <c r="H4341" s="1930" t="s">
        <v>3228</v>
      </c>
      <c r="I4341" s="1930" t="s">
        <v>168</v>
      </c>
      <c r="J4341" s="1930" t="s">
        <v>320</v>
      </c>
      <c r="K4341" s="1933">
        <v>328.84</v>
      </c>
      <c r="L4341" s="1930" t="s">
        <v>138</v>
      </c>
    </row>
    <row r="4342" spans="1:12" ht="13.5" x14ac:dyDescent="0.25">
      <c r="A4342" s="1930" t="s">
        <v>4646</v>
      </c>
      <c r="B4342" s="1930" t="s">
        <v>4647</v>
      </c>
      <c r="C4342" s="1930" t="s">
        <v>4651</v>
      </c>
      <c r="D4342" s="1930" t="s">
        <v>4652</v>
      </c>
      <c r="E4342" s="1931" t="s">
        <v>33</v>
      </c>
      <c r="F4342" s="1930" t="s">
        <v>33</v>
      </c>
      <c r="G4342" s="1932">
        <v>88503</v>
      </c>
      <c r="H4342" s="1930" t="s">
        <v>3229</v>
      </c>
      <c r="I4342" s="1930" t="s">
        <v>168</v>
      </c>
      <c r="J4342" s="1930" t="s">
        <v>320</v>
      </c>
      <c r="K4342" s="1933">
        <v>757.54</v>
      </c>
      <c r="L4342" s="1930" t="s">
        <v>138</v>
      </c>
    </row>
    <row r="4343" spans="1:12" ht="13.5" x14ac:dyDescent="0.25">
      <c r="A4343" s="1930" t="s">
        <v>4646</v>
      </c>
      <c r="B4343" s="1930" t="s">
        <v>4647</v>
      </c>
      <c r="C4343" s="1930" t="s">
        <v>4651</v>
      </c>
      <c r="D4343" s="1930" t="s">
        <v>4652</v>
      </c>
      <c r="E4343" s="1931" t="s">
        <v>33</v>
      </c>
      <c r="F4343" s="1930" t="s">
        <v>33</v>
      </c>
      <c r="G4343" s="1932">
        <v>88504</v>
      </c>
      <c r="H4343" s="1930" t="s">
        <v>3230</v>
      </c>
      <c r="I4343" s="1930" t="s">
        <v>168</v>
      </c>
      <c r="J4343" s="1930" t="s">
        <v>320</v>
      </c>
      <c r="K4343" s="1933">
        <v>616.16999999999996</v>
      </c>
      <c r="L4343" s="1930" t="s">
        <v>138</v>
      </c>
    </row>
    <row r="4344" spans="1:12" ht="13.5" x14ac:dyDescent="0.25">
      <c r="A4344" s="1930" t="s">
        <v>4646</v>
      </c>
      <c r="B4344" s="1930" t="s">
        <v>4647</v>
      </c>
      <c r="C4344" s="1930" t="s">
        <v>4651</v>
      </c>
      <c r="D4344" s="1930" t="s">
        <v>4652</v>
      </c>
      <c r="E4344" s="1931" t="s">
        <v>33</v>
      </c>
      <c r="F4344" s="1930" t="s">
        <v>33</v>
      </c>
      <c r="G4344" s="1932">
        <v>97900</v>
      </c>
      <c r="H4344" s="1930" t="s">
        <v>5576</v>
      </c>
      <c r="I4344" s="1930" t="s">
        <v>168</v>
      </c>
      <c r="J4344" s="1930" t="s">
        <v>137</v>
      </c>
      <c r="K4344" s="1933">
        <v>135.5</v>
      </c>
      <c r="L4344" s="1930" t="s">
        <v>138</v>
      </c>
    </row>
    <row r="4345" spans="1:12" ht="13.5" x14ac:dyDescent="0.25">
      <c r="A4345" s="1930" t="s">
        <v>4646</v>
      </c>
      <c r="B4345" s="1930" t="s">
        <v>4647</v>
      </c>
      <c r="C4345" s="1930" t="s">
        <v>4651</v>
      </c>
      <c r="D4345" s="1930" t="s">
        <v>4652</v>
      </c>
      <c r="E4345" s="1931" t="s">
        <v>33</v>
      </c>
      <c r="F4345" s="1930" t="s">
        <v>33</v>
      </c>
      <c r="G4345" s="1932">
        <v>97901</v>
      </c>
      <c r="H4345" s="1930" t="s">
        <v>5577</v>
      </c>
      <c r="I4345" s="1930" t="s">
        <v>168</v>
      </c>
      <c r="J4345" s="1930" t="s">
        <v>137</v>
      </c>
      <c r="K4345" s="1933">
        <v>214.96</v>
      </c>
      <c r="L4345" s="1930" t="s">
        <v>138</v>
      </c>
    </row>
    <row r="4346" spans="1:12" ht="13.5" x14ac:dyDescent="0.25">
      <c r="A4346" s="1930" t="s">
        <v>4646</v>
      </c>
      <c r="B4346" s="1930" t="s">
        <v>4647</v>
      </c>
      <c r="C4346" s="1930" t="s">
        <v>4651</v>
      </c>
      <c r="D4346" s="1930" t="s">
        <v>4652</v>
      </c>
      <c r="E4346" s="1931" t="s">
        <v>33</v>
      </c>
      <c r="F4346" s="1930" t="s">
        <v>33</v>
      </c>
      <c r="G4346" s="1932">
        <v>97902</v>
      </c>
      <c r="H4346" s="1930" t="s">
        <v>5578</v>
      </c>
      <c r="I4346" s="1930" t="s">
        <v>168</v>
      </c>
      <c r="J4346" s="1930" t="s">
        <v>137</v>
      </c>
      <c r="K4346" s="1933">
        <v>422.97</v>
      </c>
      <c r="L4346" s="1930" t="s">
        <v>138</v>
      </c>
    </row>
    <row r="4347" spans="1:12" ht="13.5" x14ac:dyDescent="0.25">
      <c r="A4347" s="1930" t="s">
        <v>4646</v>
      </c>
      <c r="B4347" s="1930" t="s">
        <v>4647</v>
      </c>
      <c r="C4347" s="1930" t="s">
        <v>4651</v>
      </c>
      <c r="D4347" s="1930" t="s">
        <v>4652</v>
      </c>
      <c r="E4347" s="1931" t="s">
        <v>33</v>
      </c>
      <c r="F4347" s="1930" t="s">
        <v>33</v>
      </c>
      <c r="G4347" s="1932">
        <v>97903</v>
      </c>
      <c r="H4347" s="1930" t="s">
        <v>5579</v>
      </c>
      <c r="I4347" s="1930" t="s">
        <v>168</v>
      </c>
      <c r="J4347" s="1930" t="s">
        <v>137</v>
      </c>
      <c r="K4347" s="1933">
        <v>584.41</v>
      </c>
      <c r="L4347" s="1930" t="s">
        <v>138</v>
      </c>
    </row>
    <row r="4348" spans="1:12" ht="13.5" x14ac:dyDescent="0.25">
      <c r="A4348" s="1930" t="s">
        <v>4646</v>
      </c>
      <c r="B4348" s="1930" t="s">
        <v>4647</v>
      </c>
      <c r="C4348" s="1930" t="s">
        <v>4651</v>
      </c>
      <c r="D4348" s="1930" t="s">
        <v>4652</v>
      </c>
      <c r="E4348" s="1931" t="s">
        <v>33</v>
      </c>
      <c r="F4348" s="1930" t="s">
        <v>33</v>
      </c>
      <c r="G4348" s="1932">
        <v>97904</v>
      </c>
      <c r="H4348" s="1930" t="s">
        <v>5580</v>
      </c>
      <c r="I4348" s="1930" t="s">
        <v>168</v>
      </c>
      <c r="J4348" s="1930" t="s">
        <v>137</v>
      </c>
      <c r="K4348" s="1933">
        <v>689.55</v>
      </c>
      <c r="L4348" s="1930" t="s">
        <v>138</v>
      </c>
    </row>
    <row r="4349" spans="1:12" ht="13.5" x14ac:dyDescent="0.25">
      <c r="A4349" s="1930" t="s">
        <v>4646</v>
      </c>
      <c r="B4349" s="1930" t="s">
        <v>4647</v>
      </c>
      <c r="C4349" s="1930" t="s">
        <v>4651</v>
      </c>
      <c r="D4349" s="1930" t="s">
        <v>4652</v>
      </c>
      <c r="E4349" s="1931" t="s">
        <v>33</v>
      </c>
      <c r="F4349" s="1930" t="s">
        <v>33</v>
      </c>
      <c r="G4349" s="1932">
        <v>97905</v>
      </c>
      <c r="H4349" s="1930" t="s">
        <v>5581</v>
      </c>
      <c r="I4349" s="1930" t="s">
        <v>168</v>
      </c>
      <c r="J4349" s="1930" t="s">
        <v>137</v>
      </c>
      <c r="K4349" s="1933">
        <v>174.28</v>
      </c>
      <c r="L4349" s="1930" t="s">
        <v>138</v>
      </c>
    </row>
    <row r="4350" spans="1:12" ht="13.5" x14ac:dyDescent="0.25">
      <c r="A4350" s="1930" t="s">
        <v>4646</v>
      </c>
      <c r="B4350" s="1930" t="s">
        <v>4647</v>
      </c>
      <c r="C4350" s="1930" t="s">
        <v>4651</v>
      </c>
      <c r="D4350" s="1930" t="s">
        <v>4652</v>
      </c>
      <c r="E4350" s="1931" t="s">
        <v>33</v>
      </c>
      <c r="F4350" s="1930" t="s">
        <v>33</v>
      </c>
      <c r="G4350" s="1932">
        <v>97906</v>
      </c>
      <c r="H4350" s="1930" t="s">
        <v>5582</v>
      </c>
      <c r="I4350" s="1930" t="s">
        <v>168</v>
      </c>
      <c r="J4350" s="1930" t="s">
        <v>137</v>
      </c>
      <c r="K4350" s="1933">
        <v>324.88</v>
      </c>
      <c r="L4350" s="1930" t="s">
        <v>138</v>
      </c>
    </row>
    <row r="4351" spans="1:12" ht="13.5" x14ac:dyDescent="0.25">
      <c r="A4351" s="1930" t="s">
        <v>4646</v>
      </c>
      <c r="B4351" s="1930" t="s">
        <v>4647</v>
      </c>
      <c r="C4351" s="1930" t="s">
        <v>4651</v>
      </c>
      <c r="D4351" s="1930" t="s">
        <v>4652</v>
      </c>
      <c r="E4351" s="1931" t="s">
        <v>33</v>
      </c>
      <c r="F4351" s="1930" t="s">
        <v>33</v>
      </c>
      <c r="G4351" s="1932">
        <v>97907</v>
      </c>
      <c r="H4351" s="1930" t="s">
        <v>5583</v>
      </c>
      <c r="I4351" s="1930" t="s">
        <v>168</v>
      </c>
      <c r="J4351" s="1930" t="s">
        <v>137</v>
      </c>
      <c r="K4351" s="1933">
        <v>459.24</v>
      </c>
      <c r="L4351" s="1930" t="s">
        <v>138</v>
      </c>
    </row>
    <row r="4352" spans="1:12" ht="13.5" x14ac:dyDescent="0.25">
      <c r="A4352" s="1930" t="s">
        <v>4646</v>
      </c>
      <c r="B4352" s="1930" t="s">
        <v>4647</v>
      </c>
      <c r="C4352" s="1930" t="s">
        <v>4651</v>
      </c>
      <c r="D4352" s="1930" t="s">
        <v>4652</v>
      </c>
      <c r="E4352" s="1931" t="s">
        <v>33</v>
      </c>
      <c r="F4352" s="1930" t="s">
        <v>33</v>
      </c>
      <c r="G4352" s="1932">
        <v>97908</v>
      </c>
      <c r="H4352" s="1930" t="s">
        <v>5584</v>
      </c>
      <c r="I4352" s="1930" t="s">
        <v>168</v>
      </c>
      <c r="J4352" s="1930" t="s">
        <v>137</v>
      </c>
      <c r="K4352" s="1933">
        <v>541.42999999999995</v>
      </c>
      <c r="L4352" s="1930" t="s">
        <v>138</v>
      </c>
    </row>
    <row r="4353" spans="1:12" ht="13.5" x14ac:dyDescent="0.25">
      <c r="A4353" s="1930" t="s">
        <v>4646</v>
      </c>
      <c r="B4353" s="1930" t="s">
        <v>4647</v>
      </c>
      <c r="C4353" s="1930" t="s">
        <v>4651</v>
      </c>
      <c r="D4353" s="1930" t="s">
        <v>4652</v>
      </c>
      <c r="E4353" s="1931" t="s">
        <v>33</v>
      </c>
      <c r="F4353" s="1930" t="s">
        <v>33</v>
      </c>
      <c r="G4353" s="1932">
        <v>98102</v>
      </c>
      <c r="H4353" s="1930" t="s">
        <v>5585</v>
      </c>
      <c r="I4353" s="1930" t="s">
        <v>168</v>
      </c>
      <c r="J4353" s="1930" t="s">
        <v>137</v>
      </c>
      <c r="K4353" s="1933">
        <v>86.67</v>
      </c>
      <c r="L4353" s="1930" t="s">
        <v>138</v>
      </c>
    </row>
    <row r="4354" spans="1:12" ht="13.5" x14ac:dyDescent="0.25">
      <c r="A4354" s="1930" t="s">
        <v>4646</v>
      </c>
      <c r="B4354" s="1930" t="s">
        <v>4647</v>
      </c>
      <c r="C4354" s="1930" t="s">
        <v>4651</v>
      </c>
      <c r="D4354" s="1930" t="s">
        <v>4652</v>
      </c>
      <c r="E4354" s="1931" t="s">
        <v>33</v>
      </c>
      <c r="F4354" s="1930" t="s">
        <v>33</v>
      </c>
      <c r="G4354" s="1932">
        <v>98103</v>
      </c>
      <c r="H4354" s="1930" t="s">
        <v>5586</v>
      </c>
      <c r="I4354" s="1930" t="s">
        <v>168</v>
      </c>
      <c r="J4354" s="1930" t="s">
        <v>137</v>
      </c>
      <c r="K4354" s="1933">
        <v>182.47</v>
      </c>
      <c r="L4354" s="1930" t="s">
        <v>138</v>
      </c>
    </row>
    <row r="4355" spans="1:12" ht="13.5" x14ac:dyDescent="0.25">
      <c r="A4355" s="1930" t="s">
        <v>4646</v>
      </c>
      <c r="B4355" s="1930" t="s">
        <v>4647</v>
      </c>
      <c r="C4355" s="1930" t="s">
        <v>4651</v>
      </c>
      <c r="D4355" s="1930" t="s">
        <v>4652</v>
      </c>
      <c r="E4355" s="1931" t="s">
        <v>33</v>
      </c>
      <c r="F4355" s="1930" t="s">
        <v>33</v>
      </c>
      <c r="G4355" s="1932">
        <v>98104</v>
      </c>
      <c r="H4355" s="1930" t="s">
        <v>5587</v>
      </c>
      <c r="I4355" s="1930" t="s">
        <v>168</v>
      </c>
      <c r="J4355" s="1930" t="s">
        <v>137</v>
      </c>
      <c r="K4355" s="1933">
        <v>284.64999999999998</v>
      </c>
      <c r="L4355" s="1930" t="s">
        <v>138</v>
      </c>
    </row>
    <row r="4356" spans="1:12" ht="13.5" x14ac:dyDescent="0.25">
      <c r="A4356" s="1930" t="s">
        <v>4646</v>
      </c>
      <c r="B4356" s="1930" t="s">
        <v>4647</v>
      </c>
      <c r="C4356" s="1930" t="s">
        <v>4651</v>
      </c>
      <c r="D4356" s="1930" t="s">
        <v>4652</v>
      </c>
      <c r="E4356" s="1931" t="s">
        <v>33</v>
      </c>
      <c r="F4356" s="1930" t="s">
        <v>33</v>
      </c>
      <c r="G4356" s="1932">
        <v>98105</v>
      </c>
      <c r="H4356" s="1930" t="s">
        <v>5588</v>
      </c>
      <c r="I4356" s="1930" t="s">
        <v>168</v>
      </c>
      <c r="J4356" s="1930" t="s">
        <v>137</v>
      </c>
      <c r="K4356" s="1933">
        <v>493.31</v>
      </c>
      <c r="L4356" s="1930" t="s">
        <v>138</v>
      </c>
    </row>
    <row r="4357" spans="1:12" ht="13.5" x14ac:dyDescent="0.25">
      <c r="A4357" s="1930" t="s">
        <v>4646</v>
      </c>
      <c r="B4357" s="1930" t="s">
        <v>4647</v>
      </c>
      <c r="C4357" s="1930" t="s">
        <v>4651</v>
      </c>
      <c r="D4357" s="1930" t="s">
        <v>4652</v>
      </c>
      <c r="E4357" s="1931" t="s">
        <v>33</v>
      </c>
      <c r="F4357" s="1930" t="s">
        <v>33</v>
      </c>
      <c r="G4357" s="1932">
        <v>98106</v>
      </c>
      <c r="H4357" s="1930" t="s">
        <v>5589</v>
      </c>
      <c r="I4357" s="1930" t="s">
        <v>168</v>
      </c>
      <c r="J4357" s="1930" t="s">
        <v>137</v>
      </c>
      <c r="K4357" s="1933">
        <v>815.19</v>
      </c>
      <c r="L4357" s="1930" t="s">
        <v>138</v>
      </c>
    </row>
    <row r="4358" spans="1:12" ht="13.5" x14ac:dyDescent="0.25">
      <c r="A4358" s="1930" t="s">
        <v>4646</v>
      </c>
      <c r="B4358" s="1930" t="s">
        <v>4647</v>
      </c>
      <c r="C4358" s="1930" t="s">
        <v>4651</v>
      </c>
      <c r="D4358" s="1930" t="s">
        <v>4652</v>
      </c>
      <c r="E4358" s="1931" t="s">
        <v>33</v>
      </c>
      <c r="F4358" s="1930" t="s">
        <v>33</v>
      </c>
      <c r="G4358" s="1932">
        <v>98107</v>
      </c>
      <c r="H4358" s="1930" t="s">
        <v>5590</v>
      </c>
      <c r="I4358" s="1930" t="s">
        <v>168</v>
      </c>
      <c r="J4358" s="1930" t="s">
        <v>137</v>
      </c>
      <c r="K4358" s="1933">
        <v>208.3</v>
      </c>
      <c r="L4358" s="1930" t="s">
        <v>138</v>
      </c>
    </row>
    <row r="4359" spans="1:12" ht="13.5" x14ac:dyDescent="0.25">
      <c r="A4359" s="1930" t="s">
        <v>4646</v>
      </c>
      <c r="B4359" s="1930" t="s">
        <v>4647</v>
      </c>
      <c r="C4359" s="1930" t="s">
        <v>4651</v>
      </c>
      <c r="D4359" s="1930" t="s">
        <v>4652</v>
      </c>
      <c r="E4359" s="1931" t="s">
        <v>33</v>
      </c>
      <c r="F4359" s="1930" t="s">
        <v>33</v>
      </c>
      <c r="G4359" s="1932">
        <v>98108</v>
      </c>
      <c r="H4359" s="1930" t="s">
        <v>5591</v>
      </c>
      <c r="I4359" s="1930" t="s">
        <v>168</v>
      </c>
      <c r="J4359" s="1930" t="s">
        <v>137</v>
      </c>
      <c r="K4359" s="1933">
        <v>370.25</v>
      </c>
      <c r="L4359" s="1930" t="s">
        <v>138</v>
      </c>
    </row>
    <row r="4360" spans="1:12" ht="13.5" x14ac:dyDescent="0.25">
      <c r="A4360" s="1930" t="s">
        <v>4646</v>
      </c>
      <c r="B4360" s="1930" t="s">
        <v>4647</v>
      </c>
      <c r="C4360" s="1930" t="s">
        <v>4651</v>
      </c>
      <c r="D4360" s="1930" t="s">
        <v>4652</v>
      </c>
      <c r="E4360" s="1931" t="s">
        <v>33</v>
      </c>
      <c r="F4360" s="1930" t="s">
        <v>33</v>
      </c>
      <c r="G4360" s="1932">
        <v>99250</v>
      </c>
      <c r="H4360" s="1930" t="s">
        <v>6620</v>
      </c>
      <c r="I4360" s="1930" t="s">
        <v>168</v>
      </c>
      <c r="J4360" s="1930" t="s">
        <v>137</v>
      </c>
      <c r="K4360" s="1933">
        <v>132.52000000000001</v>
      </c>
      <c r="L4360" s="1930" t="s">
        <v>138</v>
      </c>
    </row>
    <row r="4361" spans="1:12" ht="13.5" x14ac:dyDescent="0.25">
      <c r="A4361" s="1930" t="s">
        <v>4646</v>
      </c>
      <c r="B4361" s="1930" t="s">
        <v>4647</v>
      </c>
      <c r="C4361" s="1930" t="s">
        <v>4651</v>
      </c>
      <c r="D4361" s="1930" t="s">
        <v>4652</v>
      </c>
      <c r="E4361" s="1931" t="s">
        <v>33</v>
      </c>
      <c r="F4361" s="1930" t="s">
        <v>33</v>
      </c>
      <c r="G4361" s="1932">
        <v>99251</v>
      </c>
      <c r="H4361" s="1930" t="s">
        <v>6621</v>
      </c>
      <c r="I4361" s="1930" t="s">
        <v>168</v>
      </c>
      <c r="J4361" s="1930" t="s">
        <v>137</v>
      </c>
      <c r="K4361" s="1933">
        <v>209.83</v>
      </c>
      <c r="L4361" s="1930" t="s">
        <v>138</v>
      </c>
    </row>
    <row r="4362" spans="1:12" ht="13.5" x14ac:dyDescent="0.25">
      <c r="A4362" s="1930" t="s">
        <v>4646</v>
      </c>
      <c r="B4362" s="1930" t="s">
        <v>4647</v>
      </c>
      <c r="C4362" s="1930" t="s">
        <v>4651</v>
      </c>
      <c r="D4362" s="1930" t="s">
        <v>4652</v>
      </c>
      <c r="E4362" s="1931" t="s">
        <v>33</v>
      </c>
      <c r="F4362" s="1930" t="s">
        <v>33</v>
      </c>
      <c r="G4362" s="1932">
        <v>99253</v>
      </c>
      <c r="H4362" s="1930" t="s">
        <v>6622</v>
      </c>
      <c r="I4362" s="1930" t="s">
        <v>168</v>
      </c>
      <c r="J4362" s="1930" t="s">
        <v>137</v>
      </c>
      <c r="K4362" s="1933">
        <v>411.46</v>
      </c>
      <c r="L4362" s="1930" t="s">
        <v>138</v>
      </c>
    </row>
    <row r="4363" spans="1:12" ht="13.5" x14ac:dyDescent="0.25">
      <c r="A4363" s="1930" t="s">
        <v>4646</v>
      </c>
      <c r="B4363" s="1930" t="s">
        <v>4647</v>
      </c>
      <c r="C4363" s="1930" t="s">
        <v>4651</v>
      </c>
      <c r="D4363" s="1930" t="s">
        <v>4652</v>
      </c>
      <c r="E4363" s="1931" t="s">
        <v>33</v>
      </c>
      <c r="F4363" s="1930" t="s">
        <v>33</v>
      </c>
      <c r="G4363" s="1932">
        <v>99255</v>
      </c>
      <c r="H4363" s="1930" t="s">
        <v>6623</v>
      </c>
      <c r="I4363" s="1930" t="s">
        <v>168</v>
      </c>
      <c r="J4363" s="1930" t="s">
        <v>137</v>
      </c>
      <c r="K4363" s="1933">
        <v>568.63</v>
      </c>
      <c r="L4363" s="1930" t="s">
        <v>138</v>
      </c>
    </row>
    <row r="4364" spans="1:12" ht="13.5" x14ac:dyDescent="0.25">
      <c r="A4364" s="1930" t="s">
        <v>4646</v>
      </c>
      <c r="B4364" s="1930" t="s">
        <v>4647</v>
      </c>
      <c r="C4364" s="1930" t="s">
        <v>4651</v>
      </c>
      <c r="D4364" s="1930" t="s">
        <v>4652</v>
      </c>
      <c r="E4364" s="1931" t="s">
        <v>33</v>
      </c>
      <c r="F4364" s="1930" t="s">
        <v>33</v>
      </c>
      <c r="G4364" s="1932">
        <v>99257</v>
      </c>
      <c r="H4364" s="1930" t="s">
        <v>6624</v>
      </c>
      <c r="I4364" s="1930" t="s">
        <v>168</v>
      </c>
      <c r="J4364" s="1930" t="s">
        <v>137</v>
      </c>
      <c r="K4364" s="1933">
        <v>669.14</v>
      </c>
      <c r="L4364" s="1930" t="s">
        <v>138</v>
      </c>
    </row>
    <row r="4365" spans="1:12" ht="13.5" x14ac:dyDescent="0.25">
      <c r="A4365" s="1930" t="s">
        <v>4646</v>
      </c>
      <c r="B4365" s="1930" t="s">
        <v>4647</v>
      </c>
      <c r="C4365" s="1930" t="s">
        <v>4651</v>
      </c>
      <c r="D4365" s="1930" t="s">
        <v>4652</v>
      </c>
      <c r="E4365" s="1931" t="s">
        <v>33</v>
      </c>
      <c r="F4365" s="1930" t="s">
        <v>33</v>
      </c>
      <c r="G4365" s="1932">
        <v>99258</v>
      </c>
      <c r="H4365" s="1930" t="s">
        <v>6625</v>
      </c>
      <c r="I4365" s="1930" t="s">
        <v>168</v>
      </c>
      <c r="J4365" s="1930" t="s">
        <v>137</v>
      </c>
      <c r="K4365" s="1933">
        <v>170.05</v>
      </c>
      <c r="L4365" s="1930" t="s">
        <v>138</v>
      </c>
    </row>
    <row r="4366" spans="1:12" ht="13.5" x14ac:dyDescent="0.25">
      <c r="A4366" s="1930" t="s">
        <v>4646</v>
      </c>
      <c r="B4366" s="1930" t="s">
        <v>4647</v>
      </c>
      <c r="C4366" s="1930" t="s">
        <v>4651</v>
      </c>
      <c r="D4366" s="1930" t="s">
        <v>4652</v>
      </c>
      <c r="E4366" s="1931" t="s">
        <v>33</v>
      </c>
      <c r="F4366" s="1930" t="s">
        <v>33</v>
      </c>
      <c r="G4366" s="1932">
        <v>99260</v>
      </c>
      <c r="H4366" s="1930" t="s">
        <v>6626</v>
      </c>
      <c r="I4366" s="1930" t="s">
        <v>168</v>
      </c>
      <c r="J4366" s="1930" t="s">
        <v>137</v>
      </c>
      <c r="K4366" s="1933">
        <v>317.63</v>
      </c>
      <c r="L4366" s="1930" t="s">
        <v>138</v>
      </c>
    </row>
    <row r="4367" spans="1:12" ht="13.5" x14ac:dyDescent="0.25">
      <c r="A4367" s="1930" t="s">
        <v>4646</v>
      </c>
      <c r="B4367" s="1930" t="s">
        <v>4647</v>
      </c>
      <c r="C4367" s="1930" t="s">
        <v>4651</v>
      </c>
      <c r="D4367" s="1930" t="s">
        <v>4652</v>
      </c>
      <c r="E4367" s="1931" t="s">
        <v>33</v>
      </c>
      <c r="F4367" s="1930" t="s">
        <v>33</v>
      </c>
      <c r="G4367" s="1932">
        <v>99262</v>
      </c>
      <c r="H4367" s="1930" t="s">
        <v>6627</v>
      </c>
      <c r="I4367" s="1930" t="s">
        <v>168</v>
      </c>
      <c r="J4367" s="1930" t="s">
        <v>137</v>
      </c>
      <c r="K4367" s="1933">
        <v>448.89</v>
      </c>
      <c r="L4367" s="1930" t="s">
        <v>138</v>
      </c>
    </row>
    <row r="4368" spans="1:12" ht="13.5" x14ac:dyDescent="0.25">
      <c r="A4368" s="1930" t="s">
        <v>4646</v>
      </c>
      <c r="B4368" s="1930" t="s">
        <v>4647</v>
      </c>
      <c r="C4368" s="1930" t="s">
        <v>4651</v>
      </c>
      <c r="D4368" s="1930" t="s">
        <v>4652</v>
      </c>
      <c r="E4368" s="1931" t="s">
        <v>33</v>
      </c>
      <c r="F4368" s="1930" t="s">
        <v>33</v>
      </c>
      <c r="G4368" s="1932">
        <v>99264</v>
      </c>
      <c r="H4368" s="1930" t="s">
        <v>6628</v>
      </c>
      <c r="I4368" s="1930" t="s">
        <v>168</v>
      </c>
      <c r="J4368" s="1930" t="s">
        <v>137</v>
      </c>
      <c r="K4368" s="1933">
        <v>527.45000000000005</v>
      </c>
      <c r="L4368" s="1930" t="s">
        <v>138</v>
      </c>
    </row>
    <row r="4369" spans="1:12" ht="13.5" x14ac:dyDescent="0.25">
      <c r="A4369" s="1930" t="s">
        <v>4646</v>
      </c>
      <c r="B4369" s="1930" t="s">
        <v>4647</v>
      </c>
      <c r="C4369" s="1930" t="s">
        <v>4654</v>
      </c>
      <c r="D4369" s="1930" t="s">
        <v>4655</v>
      </c>
      <c r="E4369" s="1931" t="s">
        <v>33</v>
      </c>
      <c r="F4369" s="1930" t="s">
        <v>33</v>
      </c>
      <c r="G4369" s="1932">
        <v>89482</v>
      </c>
      <c r="H4369" s="1930" t="s">
        <v>3231</v>
      </c>
      <c r="I4369" s="1930" t="s">
        <v>168</v>
      </c>
      <c r="J4369" s="1930" t="s">
        <v>320</v>
      </c>
      <c r="K4369" s="1933">
        <v>20.260000000000002</v>
      </c>
      <c r="L4369" s="1930" t="s">
        <v>138</v>
      </c>
    </row>
    <row r="4370" spans="1:12" ht="13.5" x14ac:dyDescent="0.25">
      <c r="A4370" s="1930" t="s">
        <v>4646</v>
      </c>
      <c r="B4370" s="1930" t="s">
        <v>4647</v>
      </c>
      <c r="C4370" s="1930" t="s">
        <v>4654</v>
      </c>
      <c r="D4370" s="1930" t="s">
        <v>4655</v>
      </c>
      <c r="E4370" s="1931" t="s">
        <v>33</v>
      </c>
      <c r="F4370" s="1930" t="s">
        <v>33</v>
      </c>
      <c r="G4370" s="1932">
        <v>89491</v>
      </c>
      <c r="H4370" s="1930" t="s">
        <v>3232</v>
      </c>
      <c r="I4370" s="1930" t="s">
        <v>168</v>
      </c>
      <c r="J4370" s="1930" t="s">
        <v>320</v>
      </c>
      <c r="K4370" s="1933">
        <v>49.77</v>
      </c>
      <c r="L4370" s="1930" t="s">
        <v>138</v>
      </c>
    </row>
    <row r="4371" spans="1:12" ht="13.5" x14ac:dyDescent="0.25">
      <c r="A4371" s="1930" t="s">
        <v>4646</v>
      </c>
      <c r="B4371" s="1930" t="s">
        <v>4647</v>
      </c>
      <c r="C4371" s="1930" t="s">
        <v>4654</v>
      </c>
      <c r="D4371" s="1930" t="s">
        <v>4655</v>
      </c>
      <c r="E4371" s="1931" t="s">
        <v>33</v>
      </c>
      <c r="F4371" s="1930" t="s">
        <v>33</v>
      </c>
      <c r="G4371" s="1932">
        <v>89495</v>
      </c>
      <c r="H4371" s="1930" t="s">
        <v>3233</v>
      </c>
      <c r="I4371" s="1930" t="s">
        <v>168</v>
      </c>
      <c r="J4371" s="1930" t="s">
        <v>320</v>
      </c>
      <c r="K4371" s="1933">
        <v>8.06</v>
      </c>
      <c r="L4371" s="1930" t="s">
        <v>138</v>
      </c>
    </row>
    <row r="4372" spans="1:12" ht="13.5" x14ac:dyDescent="0.25">
      <c r="A4372" s="1930" t="s">
        <v>4646</v>
      </c>
      <c r="B4372" s="1930" t="s">
        <v>4647</v>
      </c>
      <c r="C4372" s="1930" t="s">
        <v>4654</v>
      </c>
      <c r="D4372" s="1930" t="s">
        <v>4655</v>
      </c>
      <c r="E4372" s="1931" t="s">
        <v>33</v>
      </c>
      <c r="F4372" s="1930" t="s">
        <v>33</v>
      </c>
      <c r="G4372" s="1932">
        <v>89707</v>
      </c>
      <c r="H4372" s="1930" t="s">
        <v>3234</v>
      </c>
      <c r="I4372" s="1930" t="s">
        <v>168</v>
      </c>
      <c r="J4372" s="1930" t="s">
        <v>320</v>
      </c>
      <c r="K4372" s="1933">
        <v>24.5</v>
      </c>
      <c r="L4372" s="1930" t="s">
        <v>138</v>
      </c>
    </row>
    <row r="4373" spans="1:12" ht="13.5" x14ac:dyDescent="0.25">
      <c r="A4373" s="1930" t="s">
        <v>4646</v>
      </c>
      <c r="B4373" s="1930" t="s">
        <v>4647</v>
      </c>
      <c r="C4373" s="1930" t="s">
        <v>4654</v>
      </c>
      <c r="D4373" s="1930" t="s">
        <v>4655</v>
      </c>
      <c r="E4373" s="1931" t="s">
        <v>33</v>
      </c>
      <c r="F4373" s="1930" t="s">
        <v>33</v>
      </c>
      <c r="G4373" s="1932">
        <v>89708</v>
      </c>
      <c r="H4373" s="1930" t="s">
        <v>3235</v>
      </c>
      <c r="I4373" s="1930" t="s">
        <v>168</v>
      </c>
      <c r="J4373" s="1930" t="s">
        <v>320</v>
      </c>
      <c r="K4373" s="1933">
        <v>55.53</v>
      </c>
      <c r="L4373" s="1930" t="s">
        <v>138</v>
      </c>
    </row>
    <row r="4374" spans="1:12" ht="13.5" x14ac:dyDescent="0.25">
      <c r="A4374" s="1930" t="s">
        <v>4646</v>
      </c>
      <c r="B4374" s="1930" t="s">
        <v>4647</v>
      </c>
      <c r="C4374" s="1930" t="s">
        <v>4654</v>
      </c>
      <c r="D4374" s="1930" t="s">
        <v>4655</v>
      </c>
      <c r="E4374" s="1931" t="s">
        <v>33</v>
      </c>
      <c r="F4374" s="1930" t="s">
        <v>33</v>
      </c>
      <c r="G4374" s="1932">
        <v>89709</v>
      </c>
      <c r="H4374" s="1930" t="s">
        <v>3236</v>
      </c>
      <c r="I4374" s="1930" t="s">
        <v>168</v>
      </c>
      <c r="J4374" s="1930" t="s">
        <v>320</v>
      </c>
      <c r="K4374" s="1933">
        <v>9.2899999999999991</v>
      </c>
      <c r="L4374" s="1930" t="s">
        <v>138</v>
      </c>
    </row>
    <row r="4375" spans="1:12" ht="13.5" x14ac:dyDescent="0.25">
      <c r="A4375" s="1930" t="s">
        <v>4646</v>
      </c>
      <c r="B4375" s="1930" t="s">
        <v>4647</v>
      </c>
      <c r="C4375" s="1930" t="s">
        <v>4654</v>
      </c>
      <c r="D4375" s="1930" t="s">
        <v>4655</v>
      </c>
      <c r="E4375" s="1931" t="s">
        <v>33</v>
      </c>
      <c r="F4375" s="1930" t="s">
        <v>33</v>
      </c>
      <c r="G4375" s="1932">
        <v>89710</v>
      </c>
      <c r="H4375" s="1930" t="s">
        <v>3237</v>
      </c>
      <c r="I4375" s="1930" t="s">
        <v>168</v>
      </c>
      <c r="J4375" s="1930" t="s">
        <v>320</v>
      </c>
      <c r="K4375" s="1933">
        <v>9.11</v>
      </c>
      <c r="L4375" s="1930" t="s">
        <v>138</v>
      </c>
    </row>
    <row r="4376" spans="1:12" ht="13.5" x14ac:dyDescent="0.25">
      <c r="A4376" s="1930" t="s">
        <v>4646</v>
      </c>
      <c r="B4376" s="1930" t="s">
        <v>4647</v>
      </c>
      <c r="C4376" s="1930" t="s">
        <v>4656</v>
      </c>
      <c r="D4376" s="1930" t="s">
        <v>4657</v>
      </c>
      <c r="E4376" s="1931" t="s">
        <v>33</v>
      </c>
      <c r="F4376" s="1930" t="s">
        <v>33</v>
      </c>
      <c r="G4376" s="1932">
        <v>86872</v>
      </c>
      <c r="H4376" s="1930" t="s">
        <v>9171</v>
      </c>
      <c r="I4376" s="1930" t="s">
        <v>168</v>
      </c>
      <c r="J4376" s="1930" t="s">
        <v>320</v>
      </c>
      <c r="K4376" s="1933">
        <v>611.47</v>
      </c>
      <c r="L4376" s="1930" t="s">
        <v>138</v>
      </c>
    </row>
    <row r="4377" spans="1:12" ht="13.5" x14ac:dyDescent="0.25">
      <c r="A4377" s="1930" t="s">
        <v>4646</v>
      </c>
      <c r="B4377" s="1930" t="s">
        <v>4647</v>
      </c>
      <c r="C4377" s="1930" t="s">
        <v>4656</v>
      </c>
      <c r="D4377" s="1930" t="s">
        <v>4657</v>
      </c>
      <c r="E4377" s="1931" t="s">
        <v>33</v>
      </c>
      <c r="F4377" s="1930" t="s">
        <v>33</v>
      </c>
      <c r="G4377" s="1932">
        <v>86874</v>
      </c>
      <c r="H4377" s="1930" t="s">
        <v>9172</v>
      </c>
      <c r="I4377" s="1930" t="s">
        <v>168</v>
      </c>
      <c r="J4377" s="1930" t="s">
        <v>320</v>
      </c>
      <c r="K4377" s="1933">
        <v>375.64</v>
      </c>
      <c r="L4377" s="1930" t="s">
        <v>138</v>
      </c>
    </row>
    <row r="4378" spans="1:12" ht="13.5" x14ac:dyDescent="0.25">
      <c r="A4378" s="1930" t="s">
        <v>4646</v>
      </c>
      <c r="B4378" s="1930" t="s">
        <v>4647</v>
      </c>
      <c r="C4378" s="1930" t="s">
        <v>4656</v>
      </c>
      <c r="D4378" s="1930" t="s">
        <v>4657</v>
      </c>
      <c r="E4378" s="1931" t="s">
        <v>33</v>
      </c>
      <c r="F4378" s="1930" t="s">
        <v>33</v>
      </c>
      <c r="G4378" s="1932">
        <v>86875</v>
      </c>
      <c r="H4378" s="1930" t="s">
        <v>9173</v>
      </c>
      <c r="I4378" s="1930" t="s">
        <v>168</v>
      </c>
      <c r="J4378" s="1930" t="s">
        <v>320</v>
      </c>
      <c r="K4378" s="1933">
        <v>353.25</v>
      </c>
      <c r="L4378" s="1930" t="s">
        <v>138</v>
      </c>
    </row>
    <row r="4379" spans="1:12" ht="13.5" x14ac:dyDescent="0.25">
      <c r="A4379" s="1930" t="s">
        <v>4646</v>
      </c>
      <c r="B4379" s="1930" t="s">
        <v>4647</v>
      </c>
      <c r="C4379" s="1930" t="s">
        <v>4656</v>
      </c>
      <c r="D4379" s="1930" t="s">
        <v>4657</v>
      </c>
      <c r="E4379" s="1931" t="s">
        <v>33</v>
      </c>
      <c r="F4379" s="1930" t="s">
        <v>33</v>
      </c>
      <c r="G4379" s="1932">
        <v>86876</v>
      </c>
      <c r="H4379" s="1930" t="s">
        <v>9174</v>
      </c>
      <c r="I4379" s="1930" t="s">
        <v>168</v>
      </c>
      <c r="J4379" s="1930" t="s">
        <v>320</v>
      </c>
      <c r="K4379" s="1933">
        <v>202.9</v>
      </c>
      <c r="L4379" s="1930" t="s">
        <v>138</v>
      </c>
    </row>
    <row r="4380" spans="1:12" ht="13.5" x14ac:dyDescent="0.25">
      <c r="A4380" s="1930" t="s">
        <v>4646</v>
      </c>
      <c r="B4380" s="1930" t="s">
        <v>4647</v>
      </c>
      <c r="C4380" s="1930" t="s">
        <v>4656</v>
      </c>
      <c r="D4380" s="1930" t="s">
        <v>4657</v>
      </c>
      <c r="E4380" s="1931" t="s">
        <v>33</v>
      </c>
      <c r="F4380" s="1930" t="s">
        <v>33</v>
      </c>
      <c r="G4380" s="1932">
        <v>86877</v>
      </c>
      <c r="H4380" s="1930" t="s">
        <v>9175</v>
      </c>
      <c r="I4380" s="1930" t="s">
        <v>168</v>
      </c>
      <c r="J4380" s="1930" t="s">
        <v>320</v>
      </c>
      <c r="K4380" s="1933">
        <v>24.71</v>
      </c>
      <c r="L4380" s="1930" t="s">
        <v>138</v>
      </c>
    </row>
    <row r="4381" spans="1:12" ht="13.5" x14ac:dyDescent="0.25">
      <c r="A4381" s="1930" t="s">
        <v>4646</v>
      </c>
      <c r="B4381" s="1930" t="s">
        <v>4647</v>
      </c>
      <c r="C4381" s="1930" t="s">
        <v>4656</v>
      </c>
      <c r="D4381" s="1930" t="s">
        <v>4657</v>
      </c>
      <c r="E4381" s="1931" t="s">
        <v>33</v>
      </c>
      <c r="F4381" s="1930" t="s">
        <v>33</v>
      </c>
      <c r="G4381" s="1932">
        <v>86878</v>
      </c>
      <c r="H4381" s="1930" t="s">
        <v>9176</v>
      </c>
      <c r="I4381" s="1930" t="s">
        <v>168</v>
      </c>
      <c r="J4381" s="1930" t="s">
        <v>320</v>
      </c>
      <c r="K4381" s="1933">
        <v>42.56</v>
      </c>
      <c r="L4381" s="1930" t="s">
        <v>138</v>
      </c>
    </row>
    <row r="4382" spans="1:12" ht="13.5" x14ac:dyDescent="0.25">
      <c r="A4382" s="1930" t="s">
        <v>4646</v>
      </c>
      <c r="B4382" s="1930" t="s">
        <v>4647</v>
      </c>
      <c r="C4382" s="1930" t="s">
        <v>4656</v>
      </c>
      <c r="D4382" s="1930" t="s">
        <v>4657</v>
      </c>
      <c r="E4382" s="1931" t="s">
        <v>33</v>
      </c>
      <c r="F4382" s="1930" t="s">
        <v>33</v>
      </c>
      <c r="G4382" s="1932">
        <v>86879</v>
      </c>
      <c r="H4382" s="1930" t="s">
        <v>9177</v>
      </c>
      <c r="I4382" s="1930" t="s">
        <v>168</v>
      </c>
      <c r="J4382" s="1930" t="s">
        <v>320</v>
      </c>
      <c r="K4382" s="1933">
        <v>5.6</v>
      </c>
      <c r="L4382" s="1930" t="s">
        <v>138</v>
      </c>
    </row>
    <row r="4383" spans="1:12" ht="13.5" x14ac:dyDescent="0.25">
      <c r="A4383" s="1930" t="s">
        <v>4646</v>
      </c>
      <c r="B4383" s="1930" t="s">
        <v>4647</v>
      </c>
      <c r="C4383" s="1930" t="s">
        <v>4656</v>
      </c>
      <c r="D4383" s="1930" t="s">
        <v>4657</v>
      </c>
      <c r="E4383" s="1931" t="s">
        <v>33</v>
      </c>
      <c r="F4383" s="1930" t="s">
        <v>33</v>
      </c>
      <c r="G4383" s="1932">
        <v>86880</v>
      </c>
      <c r="H4383" s="1930" t="s">
        <v>9178</v>
      </c>
      <c r="I4383" s="1930" t="s">
        <v>168</v>
      </c>
      <c r="J4383" s="1930" t="s">
        <v>320</v>
      </c>
      <c r="K4383" s="1933">
        <v>15.46</v>
      </c>
      <c r="L4383" s="1930" t="s">
        <v>138</v>
      </c>
    </row>
    <row r="4384" spans="1:12" ht="13.5" x14ac:dyDescent="0.25">
      <c r="A4384" s="1930" t="s">
        <v>4646</v>
      </c>
      <c r="B4384" s="1930" t="s">
        <v>4647</v>
      </c>
      <c r="C4384" s="1930" t="s">
        <v>4656</v>
      </c>
      <c r="D4384" s="1930" t="s">
        <v>4657</v>
      </c>
      <c r="E4384" s="1931" t="s">
        <v>33</v>
      </c>
      <c r="F4384" s="1930" t="s">
        <v>33</v>
      </c>
      <c r="G4384" s="1932">
        <v>86881</v>
      </c>
      <c r="H4384" s="1930" t="s">
        <v>9179</v>
      </c>
      <c r="I4384" s="1930" t="s">
        <v>168</v>
      </c>
      <c r="J4384" s="1930" t="s">
        <v>346</v>
      </c>
      <c r="K4384" s="1933">
        <v>118.49</v>
      </c>
      <c r="L4384" s="1930" t="s">
        <v>138</v>
      </c>
    </row>
    <row r="4385" spans="1:12" ht="13.5" x14ac:dyDescent="0.25">
      <c r="A4385" s="1930" t="s">
        <v>4646</v>
      </c>
      <c r="B4385" s="1930" t="s">
        <v>4647</v>
      </c>
      <c r="C4385" s="1930" t="s">
        <v>4656</v>
      </c>
      <c r="D4385" s="1930" t="s">
        <v>4657</v>
      </c>
      <c r="E4385" s="1931" t="s">
        <v>33</v>
      </c>
      <c r="F4385" s="1930" t="s">
        <v>33</v>
      </c>
      <c r="G4385" s="1932">
        <v>86882</v>
      </c>
      <c r="H4385" s="1930" t="s">
        <v>9180</v>
      </c>
      <c r="I4385" s="1930" t="s">
        <v>168</v>
      </c>
      <c r="J4385" s="1930" t="s">
        <v>320</v>
      </c>
      <c r="K4385" s="1933">
        <v>15.86</v>
      </c>
      <c r="L4385" s="1930" t="s">
        <v>138</v>
      </c>
    </row>
    <row r="4386" spans="1:12" ht="13.5" x14ac:dyDescent="0.25">
      <c r="A4386" s="1930" t="s">
        <v>4646</v>
      </c>
      <c r="B4386" s="1930" t="s">
        <v>4647</v>
      </c>
      <c r="C4386" s="1930" t="s">
        <v>4656</v>
      </c>
      <c r="D4386" s="1930" t="s">
        <v>4657</v>
      </c>
      <c r="E4386" s="1931" t="s">
        <v>33</v>
      </c>
      <c r="F4386" s="1930" t="s">
        <v>33</v>
      </c>
      <c r="G4386" s="1932">
        <v>86883</v>
      </c>
      <c r="H4386" s="1930" t="s">
        <v>9181</v>
      </c>
      <c r="I4386" s="1930" t="s">
        <v>168</v>
      </c>
      <c r="J4386" s="1930" t="s">
        <v>346</v>
      </c>
      <c r="K4386" s="1933">
        <v>9.07</v>
      </c>
      <c r="L4386" s="1930" t="s">
        <v>138</v>
      </c>
    </row>
    <row r="4387" spans="1:12" ht="13.5" x14ac:dyDescent="0.25">
      <c r="A4387" s="1930" t="s">
        <v>4646</v>
      </c>
      <c r="B4387" s="1930" t="s">
        <v>4647</v>
      </c>
      <c r="C4387" s="1930" t="s">
        <v>4656</v>
      </c>
      <c r="D4387" s="1930" t="s">
        <v>4657</v>
      </c>
      <c r="E4387" s="1931" t="s">
        <v>33</v>
      </c>
      <c r="F4387" s="1930" t="s">
        <v>33</v>
      </c>
      <c r="G4387" s="1932">
        <v>86884</v>
      </c>
      <c r="H4387" s="1930" t="s">
        <v>9182</v>
      </c>
      <c r="I4387" s="1930" t="s">
        <v>168</v>
      </c>
      <c r="J4387" s="1930" t="s">
        <v>320</v>
      </c>
      <c r="K4387" s="1933">
        <v>6.9</v>
      </c>
      <c r="L4387" s="1930" t="s">
        <v>138</v>
      </c>
    </row>
    <row r="4388" spans="1:12" ht="13.5" x14ac:dyDescent="0.25">
      <c r="A4388" s="1930" t="s">
        <v>4646</v>
      </c>
      <c r="B4388" s="1930" t="s">
        <v>4647</v>
      </c>
      <c r="C4388" s="1930" t="s">
        <v>4656</v>
      </c>
      <c r="D4388" s="1930" t="s">
        <v>4657</v>
      </c>
      <c r="E4388" s="1931" t="s">
        <v>33</v>
      </c>
      <c r="F4388" s="1930" t="s">
        <v>33</v>
      </c>
      <c r="G4388" s="1932">
        <v>86885</v>
      </c>
      <c r="H4388" s="1930" t="s">
        <v>9183</v>
      </c>
      <c r="I4388" s="1930" t="s">
        <v>168</v>
      </c>
      <c r="J4388" s="1930" t="s">
        <v>320</v>
      </c>
      <c r="K4388" s="1933">
        <v>7.74</v>
      </c>
      <c r="L4388" s="1930" t="s">
        <v>138</v>
      </c>
    </row>
    <row r="4389" spans="1:12" ht="13.5" x14ac:dyDescent="0.25">
      <c r="A4389" s="1930" t="s">
        <v>4646</v>
      </c>
      <c r="B4389" s="1930" t="s">
        <v>4647</v>
      </c>
      <c r="C4389" s="1930" t="s">
        <v>4656</v>
      </c>
      <c r="D4389" s="1930" t="s">
        <v>4657</v>
      </c>
      <c r="E4389" s="1931" t="s">
        <v>33</v>
      </c>
      <c r="F4389" s="1930" t="s">
        <v>33</v>
      </c>
      <c r="G4389" s="1932">
        <v>86886</v>
      </c>
      <c r="H4389" s="1930" t="s">
        <v>9184</v>
      </c>
      <c r="I4389" s="1930" t="s">
        <v>168</v>
      </c>
      <c r="J4389" s="1930" t="s">
        <v>320</v>
      </c>
      <c r="K4389" s="1933">
        <v>29.4</v>
      </c>
      <c r="L4389" s="1930" t="s">
        <v>138</v>
      </c>
    </row>
    <row r="4390" spans="1:12" ht="13.5" x14ac:dyDescent="0.25">
      <c r="A4390" s="1930" t="s">
        <v>4646</v>
      </c>
      <c r="B4390" s="1930" t="s">
        <v>4647</v>
      </c>
      <c r="C4390" s="1930" t="s">
        <v>4656</v>
      </c>
      <c r="D4390" s="1930" t="s">
        <v>4657</v>
      </c>
      <c r="E4390" s="1931" t="s">
        <v>33</v>
      </c>
      <c r="F4390" s="1930" t="s">
        <v>33</v>
      </c>
      <c r="G4390" s="1932">
        <v>86887</v>
      </c>
      <c r="H4390" s="1930" t="s">
        <v>9185</v>
      </c>
      <c r="I4390" s="1930" t="s">
        <v>168</v>
      </c>
      <c r="J4390" s="1930" t="s">
        <v>320</v>
      </c>
      <c r="K4390" s="1933">
        <v>31.82</v>
      </c>
      <c r="L4390" s="1930" t="s">
        <v>138</v>
      </c>
    </row>
    <row r="4391" spans="1:12" ht="13.5" x14ac:dyDescent="0.25">
      <c r="A4391" s="1930" t="s">
        <v>4646</v>
      </c>
      <c r="B4391" s="1930" t="s">
        <v>4647</v>
      </c>
      <c r="C4391" s="1930" t="s">
        <v>4656</v>
      </c>
      <c r="D4391" s="1930" t="s">
        <v>4657</v>
      </c>
      <c r="E4391" s="1931" t="s">
        <v>33</v>
      </c>
      <c r="F4391" s="1930" t="s">
        <v>33</v>
      </c>
      <c r="G4391" s="1932">
        <v>86888</v>
      </c>
      <c r="H4391" s="1930" t="s">
        <v>9186</v>
      </c>
      <c r="I4391" s="1930" t="s">
        <v>168</v>
      </c>
      <c r="J4391" s="1930" t="s">
        <v>320</v>
      </c>
      <c r="K4391" s="1933">
        <v>359.12</v>
      </c>
      <c r="L4391" s="1930" t="s">
        <v>138</v>
      </c>
    </row>
    <row r="4392" spans="1:12" ht="13.5" x14ac:dyDescent="0.25">
      <c r="A4392" s="1930" t="s">
        <v>4646</v>
      </c>
      <c r="B4392" s="1930" t="s">
        <v>4647</v>
      </c>
      <c r="C4392" s="1930" t="s">
        <v>4656</v>
      </c>
      <c r="D4392" s="1930" t="s">
        <v>4657</v>
      </c>
      <c r="E4392" s="1931" t="s">
        <v>33</v>
      </c>
      <c r="F4392" s="1930" t="s">
        <v>33</v>
      </c>
      <c r="G4392" s="1932">
        <v>86889</v>
      </c>
      <c r="H4392" s="1930" t="s">
        <v>14939</v>
      </c>
      <c r="I4392" s="1930" t="s">
        <v>168</v>
      </c>
      <c r="J4392" s="1930" t="s">
        <v>137</v>
      </c>
      <c r="K4392" s="1933">
        <v>583.03</v>
      </c>
      <c r="L4392" s="1930" t="s">
        <v>138</v>
      </c>
    </row>
    <row r="4393" spans="1:12" ht="13.5" x14ac:dyDescent="0.25">
      <c r="A4393" s="1930" t="s">
        <v>4646</v>
      </c>
      <c r="B4393" s="1930" t="s">
        <v>4647</v>
      </c>
      <c r="C4393" s="1930" t="s">
        <v>4656</v>
      </c>
      <c r="D4393" s="1930" t="s">
        <v>4657</v>
      </c>
      <c r="E4393" s="1931" t="s">
        <v>33</v>
      </c>
      <c r="F4393" s="1930" t="s">
        <v>33</v>
      </c>
      <c r="G4393" s="1932">
        <v>86893</v>
      </c>
      <c r="H4393" s="1930" t="s">
        <v>14940</v>
      </c>
      <c r="I4393" s="1930" t="s">
        <v>168</v>
      </c>
      <c r="J4393" s="1930" t="s">
        <v>137</v>
      </c>
      <c r="K4393" s="1933">
        <v>336.28</v>
      </c>
      <c r="L4393" s="1930" t="s">
        <v>138</v>
      </c>
    </row>
    <row r="4394" spans="1:12" ht="13.5" x14ac:dyDescent="0.25">
      <c r="A4394" s="1930" t="s">
        <v>4646</v>
      </c>
      <c r="B4394" s="1930" t="s">
        <v>4647</v>
      </c>
      <c r="C4394" s="1930" t="s">
        <v>4656</v>
      </c>
      <c r="D4394" s="1930" t="s">
        <v>4657</v>
      </c>
      <c r="E4394" s="1931" t="s">
        <v>33</v>
      </c>
      <c r="F4394" s="1930" t="s">
        <v>33</v>
      </c>
      <c r="G4394" s="1932">
        <v>86894</v>
      </c>
      <c r="H4394" s="1930" t="s">
        <v>14941</v>
      </c>
      <c r="I4394" s="1930" t="s">
        <v>168</v>
      </c>
      <c r="J4394" s="1930" t="s">
        <v>137</v>
      </c>
      <c r="K4394" s="1933">
        <v>192.57</v>
      </c>
      <c r="L4394" s="1930" t="s">
        <v>138</v>
      </c>
    </row>
    <row r="4395" spans="1:12" ht="13.5" x14ac:dyDescent="0.25">
      <c r="A4395" s="1930" t="s">
        <v>4646</v>
      </c>
      <c r="B4395" s="1930" t="s">
        <v>4647</v>
      </c>
      <c r="C4395" s="1930" t="s">
        <v>4656</v>
      </c>
      <c r="D4395" s="1930" t="s">
        <v>4657</v>
      </c>
      <c r="E4395" s="1931" t="s">
        <v>33</v>
      </c>
      <c r="F4395" s="1930" t="s">
        <v>33</v>
      </c>
      <c r="G4395" s="1932">
        <v>86895</v>
      </c>
      <c r="H4395" s="1930" t="s">
        <v>14942</v>
      </c>
      <c r="I4395" s="1930" t="s">
        <v>168</v>
      </c>
      <c r="J4395" s="1930" t="s">
        <v>137</v>
      </c>
      <c r="K4395" s="1933">
        <v>269.41000000000003</v>
      </c>
      <c r="L4395" s="1930" t="s">
        <v>138</v>
      </c>
    </row>
    <row r="4396" spans="1:12" ht="13.5" x14ac:dyDescent="0.25">
      <c r="A4396" s="1930" t="s">
        <v>4646</v>
      </c>
      <c r="B4396" s="1930" t="s">
        <v>4647</v>
      </c>
      <c r="C4396" s="1930" t="s">
        <v>4656</v>
      </c>
      <c r="D4396" s="1930" t="s">
        <v>4657</v>
      </c>
      <c r="E4396" s="1931" t="s">
        <v>33</v>
      </c>
      <c r="F4396" s="1930" t="s">
        <v>33</v>
      </c>
      <c r="G4396" s="1932">
        <v>86899</v>
      </c>
      <c r="H4396" s="1930" t="s">
        <v>14943</v>
      </c>
      <c r="I4396" s="1930" t="s">
        <v>168</v>
      </c>
      <c r="J4396" s="1930" t="s">
        <v>137</v>
      </c>
      <c r="K4396" s="1933">
        <v>176.85</v>
      </c>
      <c r="L4396" s="1930" t="s">
        <v>138</v>
      </c>
    </row>
    <row r="4397" spans="1:12" ht="13.5" x14ac:dyDescent="0.25">
      <c r="A4397" s="1930" t="s">
        <v>4646</v>
      </c>
      <c r="B4397" s="1930" t="s">
        <v>4647</v>
      </c>
      <c r="C4397" s="1930" t="s">
        <v>4656</v>
      </c>
      <c r="D4397" s="1930" t="s">
        <v>4657</v>
      </c>
      <c r="E4397" s="1931" t="s">
        <v>33</v>
      </c>
      <c r="F4397" s="1930" t="s">
        <v>33</v>
      </c>
      <c r="G4397" s="1932">
        <v>86900</v>
      </c>
      <c r="H4397" s="1930" t="s">
        <v>9187</v>
      </c>
      <c r="I4397" s="1930" t="s">
        <v>168</v>
      </c>
      <c r="J4397" s="1930" t="s">
        <v>320</v>
      </c>
      <c r="K4397" s="1933">
        <v>142.02000000000001</v>
      </c>
      <c r="L4397" s="1930" t="s">
        <v>138</v>
      </c>
    </row>
    <row r="4398" spans="1:12" ht="13.5" x14ac:dyDescent="0.25">
      <c r="A4398" s="1930" t="s">
        <v>4646</v>
      </c>
      <c r="B4398" s="1930" t="s">
        <v>4647</v>
      </c>
      <c r="C4398" s="1930" t="s">
        <v>4656</v>
      </c>
      <c r="D4398" s="1930" t="s">
        <v>4657</v>
      </c>
      <c r="E4398" s="1931" t="s">
        <v>33</v>
      </c>
      <c r="F4398" s="1930" t="s">
        <v>33</v>
      </c>
      <c r="G4398" s="1932">
        <v>86901</v>
      </c>
      <c r="H4398" s="1930" t="s">
        <v>9188</v>
      </c>
      <c r="I4398" s="1930" t="s">
        <v>168</v>
      </c>
      <c r="J4398" s="1930" t="s">
        <v>320</v>
      </c>
      <c r="K4398" s="1933">
        <v>105.16</v>
      </c>
      <c r="L4398" s="1930" t="s">
        <v>138</v>
      </c>
    </row>
    <row r="4399" spans="1:12" ht="13.5" x14ac:dyDescent="0.25">
      <c r="A4399" s="1930" t="s">
        <v>4646</v>
      </c>
      <c r="B4399" s="1930" t="s">
        <v>4647</v>
      </c>
      <c r="C4399" s="1930" t="s">
        <v>4656</v>
      </c>
      <c r="D4399" s="1930" t="s">
        <v>4657</v>
      </c>
      <c r="E4399" s="1931" t="s">
        <v>33</v>
      </c>
      <c r="F4399" s="1930" t="s">
        <v>33</v>
      </c>
      <c r="G4399" s="1932">
        <v>86902</v>
      </c>
      <c r="H4399" s="1930" t="s">
        <v>9189</v>
      </c>
      <c r="I4399" s="1930" t="s">
        <v>168</v>
      </c>
      <c r="J4399" s="1930" t="s">
        <v>320</v>
      </c>
      <c r="K4399" s="1933">
        <v>215.84</v>
      </c>
      <c r="L4399" s="1930" t="s">
        <v>138</v>
      </c>
    </row>
    <row r="4400" spans="1:12" ht="13.5" x14ac:dyDescent="0.25">
      <c r="A4400" s="1930" t="s">
        <v>4646</v>
      </c>
      <c r="B4400" s="1930" t="s">
        <v>4647</v>
      </c>
      <c r="C4400" s="1930" t="s">
        <v>4656</v>
      </c>
      <c r="D4400" s="1930" t="s">
        <v>4657</v>
      </c>
      <c r="E4400" s="1931" t="s">
        <v>33</v>
      </c>
      <c r="F4400" s="1930" t="s">
        <v>33</v>
      </c>
      <c r="G4400" s="1932">
        <v>86903</v>
      </c>
      <c r="H4400" s="1930" t="s">
        <v>9190</v>
      </c>
      <c r="I4400" s="1930" t="s">
        <v>168</v>
      </c>
      <c r="J4400" s="1930" t="s">
        <v>320</v>
      </c>
      <c r="K4400" s="1933">
        <v>281.62</v>
      </c>
      <c r="L4400" s="1930" t="s">
        <v>138</v>
      </c>
    </row>
    <row r="4401" spans="1:12" ht="13.5" x14ac:dyDescent="0.25">
      <c r="A4401" s="1930" t="s">
        <v>4646</v>
      </c>
      <c r="B4401" s="1930" t="s">
        <v>4647</v>
      </c>
      <c r="C4401" s="1930" t="s">
        <v>4656</v>
      </c>
      <c r="D4401" s="1930" t="s">
        <v>4657</v>
      </c>
      <c r="E4401" s="1931" t="s">
        <v>33</v>
      </c>
      <c r="F4401" s="1930" t="s">
        <v>33</v>
      </c>
      <c r="G4401" s="1932">
        <v>86904</v>
      </c>
      <c r="H4401" s="1930" t="s">
        <v>9191</v>
      </c>
      <c r="I4401" s="1930" t="s">
        <v>168</v>
      </c>
      <c r="J4401" s="1930" t="s">
        <v>320</v>
      </c>
      <c r="K4401" s="1933">
        <v>109.33</v>
      </c>
      <c r="L4401" s="1930" t="s">
        <v>138</v>
      </c>
    </row>
    <row r="4402" spans="1:12" ht="13.5" x14ac:dyDescent="0.25">
      <c r="A4402" s="1930" t="s">
        <v>4646</v>
      </c>
      <c r="B4402" s="1930" t="s">
        <v>4647</v>
      </c>
      <c r="C4402" s="1930" t="s">
        <v>4656</v>
      </c>
      <c r="D4402" s="1930" t="s">
        <v>4657</v>
      </c>
      <c r="E4402" s="1931" t="s">
        <v>33</v>
      </c>
      <c r="F4402" s="1930" t="s">
        <v>33</v>
      </c>
      <c r="G4402" s="1932">
        <v>86905</v>
      </c>
      <c r="H4402" s="1930" t="s">
        <v>9192</v>
      </c>
      <c r="I4402" s="1930" t="s">
        <v>168</v>
      </c>
      <c r="J4402" s="1930" t="s">
        <v>320</v>
      </c>
      <c r="K4402" s="1933">
        <v>202.73</v>
      </c>
      <c r="L4402" s="1930" t="s">
        <v>138</v>
      </c>
    </row>
    <row r="4403" spans="1:12" ht="13.5" x14ac:dyDescent="0.25">
      <c r="A4403" s="1930" t="s">
        <v>4646</v>
      </c>
      <c r="B4403" s="1930" t="s">
        <v>4647</v>
      </c>
      <c r="C4403" s="1930" t="s">
        <v>4656</v>
      </c>
      <c r="D4403" s="1930" t="s">
        <v>4657</v>
      </c>
      <c r="E4403" s="1931" t="s">
        <v>33</v>
      </c>
      <c r="F4403" s="1930" t="s">
        <v>33</v>
      </c>
      <c r="G4403" s="1932">
        <v>86906</v>
      </c>
      <c r="H4403" s="1930" t="s">
        <v>9193</v>
      </c>
      <c r="I4403" s="1930" t="s">
        <v>168</v>
      </c>
      <c r="J4403" s="1930" t="s">
        <v>346</v>
      </c>
      <c r="K4403" s="1933">
        <v>47.31</v>
      </c>
      <c r="L4403" s="1930" t="s">
        <v>138</v>
      </c>
    </row>
    <row r="4404" spans="1:12" ht="13.5" x14ac:dyDescent="0.25">
      <c r="A4404" s="1930" t="s">
        <v>4646</v>
      </c>
      <c r="B4404" s="1930" t="s">
        <v>4647</v>
      </c>
      <c r="C4404" s="1930" t="s">
        <v>4656</v>
      </c>
      <c r="D4404" s="1930" t="s">
        <v>4657</v>
      </c>
      <c r="E4404" s="1931" t="s">
        <v>33</v>
      </c>
      <c r="F4404" s="1930" t="s">
        <v>33</v>
      </c>
      <c r="G4404" s="1932">
        <v>86908</v>
      </c>
      <c r="H4404" s="1930" t="s">
        <v>9194</v>
      </c>
      <c r="I4404" s="1930" t="s">
        <v>168</v>
      </c>
      <c r="J4404" s="1930" t="s">
        <v>320</v>
      </c>
      <c r="K4404" s="1933">
        <v>242.91</v>
      </c>
      <c r="L4404" s="1930" t="s">
        <v>138</v>
      </c>
    </row>
    <row r="4405" spans="1:12" ht="13.5" x14ac:dyDescent="0.25">
      <c r="A4405" s="1930" t="s">
        <v>4646</v>
      </c>
      <c r="B4405" s="1930" t="s">
        <v>4647</v>
      </c>
      <c r="C4405" s="1930" t="s">
        <v>4656</v>
      </c>
      <c r="D4405" s="1930" t="s">
        <v>4657</v>
      </c>
      <c r="E4405" s="1931" t="s">
        <v>33</v>
      </c>
      <c r="F4405" s="1930" t="s">
        <v>33</v>
      </c>
      <c r="G4405" s="1932">
        <v>86909</v>
      </c>
      <c r="H4405" s="1930" t="s">
        <v>9195</v>
      </c>
      <c r="I4405" s="1930" t="s">
        <v>168</v>
      </c>
      <c r="J4405" s="1930" t="s">
        <v>320</v>
      </c>
      <c r="K4405" s="1933">
        <v>94.67</v>
      </c>
      <c r="L4405" s="1930" t="s">
        <v>138</v>
      </c>
    </row>
    <row r="4406" spans="1:12" ht="13.5" x14ac:dyDescent="0.25">
      <c r="A4406" s="1930" t="s">
        <v>4646</v>
      </c>
      <c r="B4406" s="1930" t="s">
        <v>4647</v>
      </c>
      <c r="C4406" s="1930" t="s">
        <v>4656</v>
      </c>
      <c r="D4406" s="1930" t="s">
        <v>4657</v>
      </c>
      <c r="E4406" s="1931" t="s">
        <v>33</v>
      </c>
      <c r="F4406" s="1930" t="s">
        <v>33</v>
      </c>
      <c r="G4406" s="1932">
        <v>86910</v>
      </c>
      <c r="H4406" s="1930" t="s">
        <v>9196</v>
      </c>
      <c r="I4406" s="1930" t="s">
        <v>168</v>
      </c>
      <c r="J4406" s="1930" t="s">
        <v>320</v>
      </c>
      <c r="K4406" s="1933">
        <v>89.34</v>
      </c>
      <c r="L4406" s="1930" t="s">
        <v>138</v>
      </c>
    </row>
    <row r="4407" spans="1:12" ht="13.5" x14ac:dyDescent="0.25">
      <c r="A4407" s="1930" t="s">
        <v>4646</v>
      </c>
      <c r="B4407" s="1930" t="s">
        <v>4647</v>
      </c>
      <c r="C4407" s="1930" t="s">
        <v>4656</v>
      </c>
      <c r="D4407" s="1930" t="s">
        <v>4657</v>
      </c>
      <c r="E4407" s="1931" t="s">
        <v>33</v>
      </c>
      <c r="F4407" s="1930" t="s">
        <v>33</v>
      </c>
      <c r="G4407" s="1932">
        <v>86911</v>
      </c>
      <c r="H4407" s="1930" t="s">
        <v>9197</v>
      </c>
      <c r="I4407" s="1930" t="s">
        <v>168</v>
      </c>
      <c r="J4407" s="1930" t="s">
        <v>320</v>
      </c>
      <c r="K4407" s="1933">
        <v>40.090000000000003</v>
      </c>
      <c r="L4407" s="1930" t="s">
        <v>138</v>
      </c>
    </row>
    <row r="4408" spans="1:12" ht="13.5" x14ac:dyDescent="0.25">
      <c r="A4408" s="1930" t="s">
        <v>4646</v>
      </c>
      <c r="B4408" s="1930" t="s">
        <v>4647</v>
      </c>
      <c r="C4408" s="1930" t="s">
        <v>4656</v>
      </c>
      <c r="D4408" s="1930" t="s">
        <v>4657</v>
      </c>
      <c r="E4408" s="1931" t="s">
        <v>33</v>
      </c>
      <c r="F4408" s="1930" t="s">
        <v>33</v>
      </c>
      <c r="G4408" s="1932">
        <v>86913</v>
      </c>
      <c r="H4408" s="1930" t="s">
        <v>9198</v>
      </c>
      <c r="I4408" s="1930" t="s">
        <v>168</v>
      </c>
      <c r="J4408" s="1930" t="s">
        <v>320</v>
      </c>
      <c r="K4408" s="1933">
        <v>17.989999999999998</v>
      </c>
      <c r="L4408" s="1930" t="s">
        <v>138</v>
      </c>
    </row>
    <row r="4409" spans="1:12" ht="13.5" x14ac:dyDescent="0.25">
      <c r="A4409" s="1930" t="s">
        <v>4646</v>
      </c>
      <c r="B4409" s="1930" t="s">
        <v>4647</v>
      </c>
      <c r="C4409" s="1930" t="s">
        <v>4656</v>
      </c>
      <c r="D4409" s="1930" t="s">
        <v>4657</v>
      </c>
      <c r="E4409" s="1931" t="s">
        <v>33</v>
      </c>
      <c r="F4409" s="1930" t="s">
        <v>33</v>
      </c>
      <c r="G4409" s="1932">
        <v>86914</v>
      </c>
      <c r="H4409" s="1930" t="s">
        <v>9199</v>
      </c>
      <c r="I4409" s="1930" t="s">
        <v>168</v>
      </c>
      <c r="J4409" s="1930" t="s">
        <v>320</v>
      </c>
      <c r="K4409" s="1933">
        <v>36.590000000000003</v>
      </c>
      <c r="L4409" s="1930" t="s">
        <v>138</v>
      </c>
    </row>
    <row r="4410" spans="1:12" ht="13.5" x14ac:dyDescent="0.25">
      <c r="A4410" s="1930" t="s">
        <v>4646</v>
      </c>
      <c r="B4410" s="1930" t="s">
        <v>4647</v>
      </c>
      <c r="C4410" s="1930" t="s">
        <v>4656</v>
      </c>
      <c r="D4410" s="1930" t="s">
        <v>4657</v>
      </c>
      <c r="E4410" s="1931" t="s">
        <v>33</v>
      </c>
      <c r="F4410" s="1930" t="s">
        <v>33</v>
      </c>
      <c r="G4410" s="1932">
        <v>86915</v>
      </c>
      <c r="H4410" s="1930" t="s">
        <v>9200</v>
      </c>
      <c r="I4410" s="1930" t="s">
        <v>168</v>
      </c>
      <c r="J4410" s="1930" t="s">
        <v>320</v>
      </c>
      <c r="K4410" s="1933">
        <v>79.650000000000006</v>
      </c>
      <c r="L4410" s="1930" t="s">
        <v>138</v>
      </c>
    </row>
    <row r="4411" spans="1:12" ht="13.5" x14ac:dyDescent="0.25">
      <c r="A4411" s="1930" t="s">
        <v>4646</v>
      </c>
      <c r="B4411" s="1930" t="s">
        <v>4647</v>
      </c>
      <c r="C4411" s="1930" t="s">
        <v>4656</v>
      </c>
      <c r="D4411" s="1930" t="s">
        <v>4657</v>
      </c>
      <c r="E4411" s="1931" t="s">
        <v>33</v>
      </c>
      <c r="F4411" s="1930" t="s">
        <v>33</v>
      </c>
      <c r="G4411" s="1932">
        <v>86916</v>
      </c>
      <c r="H4411" s="1930" t="s">
        <v>9201</v>
      </c>
      <c r="I4411" s="1930" t="s">
        <v>168</v>
      </c>
      <c r="J4411" s="1930" t="s">
        <v>320</v>
      </c>
      <c r="K4411" s="1933">
        <v>21.37</v>
      </c>
      <c r="L4411" s="1930" t="s">
        <v>138</v>
      </c>
    </row>
    <row r="4412" spans="1:12" ht="13.5" x14ac:dyDescent="0.25">
      <c r="A4412" s="1930" t="s">
        <v>4646</v>
      </c>
      <c r="B4412" s="1930" t="s">
        <v>4647</v>
      </c>
      <c r="C4412" s="1930" t="s">
        <v>4656</v>
      </c>
      <c r="D4412" s="1930" t="s">
        <v>4657</v>
      </c>
      <c r="E4412" s="1931" t="s">
        <v>33</v>
      </c>
      <c r="F4412" s="1930" t="s">
        <v>33</v>
      </c>
      <c r="G4412" s="1932">
        <v>86919</v>
      </c>
      <c r="H4412" s="1930" t="s">
        <v>9202</v>
      </c>
      <c r="I4412" s="1930" t="s">
        <v>168</v>
      </c>
      <c r="J4412" s="1930" t="s">
        <v>320</v>
      </c>
      <c r="K4412" s="1933">
        <v>681.84</v>
      </c>
      <c r="L4412" s="1930" t="s">
        <v>138</v>
      </c>
    </row>
    <row r="4413" spans="1:12" ht="13.5" x14ac:dyDescent="0.25">
      <c r="A4413" s="1930" t="s">
        <v>4646</v>
      </c>
      <c r="B4413" s="1930" t="s">
        <v>4647</v>
      </c>
      <c r="C4413" s="1930" t="s">
        <v>4656</v>
      </c>
      <c r="D4413" s="1930" t="s">
        <v>4657</v>
      </c>
      <c r="E4413" s="1931" t="s">
        <v>33</v>
      </c>
      <c r="F4413" s="1930" t="s">
        <v>33</v>
      </c>
      <c r="G4413" s="1932">
        <v>86920</v>
      </c>
      <c r="H4413" s="1930" t="s">
        <v>9203</v>
      </c>
      <c r="I4413" s="1930" t="s">
        <v>168</v>
      </c>
      <c r="J4413" s="1930" t="s">
        <v>320</v>
      </c>
      <c r="K4413" s="1933">
        <v>644.13</v>
      </c>
      <c r="L4413" s="1930" t="s">
        <v>138</v>
      </c>
    </row>
    <row r="4414" spans="1:12" ht="13.5" x14ac:dyDescent="0.25">
      <c r="A4414" s="1930" t="s">
        <v>4646</v>
      </c>
      <c r="B4414" s="1930" t="s">
        <v>4647</v>
      </c>
      <c r="C4414" s="1930" t="s">
        <v>4656</v>
      </c>
      <c r="D4414" s="1930" t="s">
        <v>4657</v>
      </c>
      <c r="E4414" s="1931" t="s">
        <v>33</v>
      </c>
      <c r="F4414" s="1930" t="s">
        <v>33</v>
      </c>
      <c r="G4414" s="1932">
        <v>86921</v>
      </c>
      <c r="H4414" s="1930" t="s">
        <v>9204</v>
      </c>
      <c r="I4414" s="1930" t="s">
        <v>168</v>
      </c>
      <c r="J4414" s="1930" t="s">
        <v>320</v>
      </c>
      <c r="K4414" s="1933">
        <v>647.51</v>
      </c>
      <c r="L4414" s="1930" t="s">
        <v>138</v>
      </c>
    </row>
    <row r="4415" spans="1:12" ht="13.5" x14ac:dyDescent="0.25">
      <c r="A4415" s="1930" t="s">
        <v>4646</v>
      </c>
      <c r="B4415" s="1930" t="s">
        <v>4647</v>
      </c>
      <c r="C4415" s="1930" t="s">
        <v>4656</v>
      </c>
      <c r="D4415" s="1930" t="s">
        <v>4657</v>
      </c>
      <c r="E4415" s="1931" t="s">
        <v>33</v>
      </c>
      <c r="F4415" s="1930" t="s">
        <v>33</v>
      </c>
      <c r="G4415" s="1932">
        <v>86922</v>
      </c>
      <c r="H4415" s="1930" t="s">
        <v>9205</v>
      </c>
      <c r="I4415" s="1930" t="s">
        <v>168</v>
      </c>
      <c r="J4415" s="1930" t="s">
        <v>320</v>
      </c>
      <c r="K4415" s="1933">
        <v>555.42999999999995</v>
      </c>
      <c r="L4415" s="1930" t="s">
        <v>138</v>
      </c>
    </row>
    <row r="4416" spans="1:12" ht="13.5" x14ac:dyDescent="0.25">
      <c r="A4416" s="1930" t="s">
        <v>4646</v>
      </c>
      <c r="B4416" s="1930" t="s">
        <v>4647</v>
      </c>
      <c r="C4416" s="1930" t="s">
        <v>4656</v>
      </c>
      <c r="D4416" s="1930" t="s">
        <v>4657</v>
      </c>
      <c r="E4416" s="1931" t="s">
        <v>33</v>
      </c>
      <c r="F4416" s="1930" t="s">
        <v>33</v>
      </c>
      <c r="G4416" s="1932">
        <v>86923</v>
      </c>
      <c r="H4416" s="1930" t="s">
        <v>9206</v>
      </c>
      <c r="I4416" s="1930" t="s">
        <v>168</v>
      </c>
      <c r="J4416" s="1930" t="s">
        <v>320</v>
      </c>
      <c r="K4416" s="1933">
        <v>415.09</v>
      </c>
      <c r="L4416" s="1930" t="s">
        <v>138</v>
      </c>
    </row>
    <row r="4417" spans="1:12" ht="13.5" x14ac:dyDescent="0.25">
      <c r="A4417" s="1930" t="s">
        <v>4646</v>
      </c>
      <c r="B4417" s="1930" t="s">
        <v>4647</v>
      </c>
      <c r="C4417" s="1930" t="s">
        <v>4656</v>
      </c>
      <c r="D4417" s="1930" t="s">
        <v>4657</v>
      </c>
      <c r="E4417" s="1931" t="s">
        <v>33</v>
      </c>
      <c r="F4417" s="1930" t="s">
        <v>33</v>
      </c>
      <c r="G4417" s="1932">
        <v>86924</v>
      </c>
      <c r="H4417" s="1930" t="s">
        <v>9207</v>
      </c>
      <c r="I4417" s="1930" t="s">
        <v>168</v>
      </c>
      <c r="J4417" s="1930" t="s">
        <v>320</v>
      </c>
      <c r="K4417" s="1933">
        <v>418.47</v>
      </c>
      <c r="L4417" s="1930" t="s">
        <v>138</v>
      </c>
    </row>
    <row r="4418" spans="1:12" ht="13.5" x14ac:dyDescent="0.25">
      <c r="A4418" s="1930" t="s">
        <v>4646</v>
      </c>
      <c r="B4418" s="1930" t="s">
        <v>4647</v>
      </c>
      <c r="C4418" s="1930" t="s">
        <v>4656</v>
      </c>
      <c r="D4418" s="1930" t="s">
        <v>4657</v>
      </c>
      <c r="E4418" s="1931" t="s">
        <v>33</v>
      </c>
      <c r="F4418" s="1930" t="s">
        <v>33</v>
      </c>
      <c r="G4418" s="1932">
        <v>86925</v>
      </c>
      <c r="H4418" s="1930" t="s">
        <v>9208</v>
      </c>
      <c r="I4418" s="1930" t="s">
        <v>168</v>
      </c>
      <c r="J4418" s="1930" t="s">
        <v>320</v>
      </c>
      <c r="K4418" s="1933">
        <v>385.91</v>
      </c>
      <c r="L4418" s="1930" t="s">
        <v>138</v>
      </c>
    </row>
    <row r="4419" spans="1:12" ht="13.5" x14ac:dyDescent="0.25">
      <c r="A4419" s="1930" t="s">
        <v>4646</v>
      </c>
      <c r="B4419" s="1930" t="s">
        <v>4647</v>
      </c>
      <c r="C4419" s="1930" t="s">
        <v>4656</v>
      </c>
      <c r="D4419" s="1930" t="s">
        <v>4657</v>
      </c>
      <c r="E4419" s="1931" t="s">
        <v>33</v>
      </c>
      <c r="F4419" s="1930" t="s">
        <v>33</v>
      </c>
      <c r="G4419" s="1932">
        <v>86926</v>
      </c>
      <c r="H4419" s="1930" t="s">
        <v>9209</v>
      </c>
      <c r="I4419" s="1930" t="s">
        <v>168</v>
      </c>
      <c r="J4419" s="1930" t="s">
        <v>320</v>
      </c>
      <c r="K4419" s="1933">
        <v>389.29</v>
      </c>
      <c r="L4419" s="1930" t="s">
        <v>138</v>
      </c>
    </row>
    <row r="4420" spans="1:12" ht="13.5" x14ac:dyDescent="0.25">
      <c r="A4420" s="1930" t="s">
        <v>4646</v>
      </c>
      <c r="B4420" s="1930" t="s">
        <v>4647</v>
      </c>
      <c r="C4420" s="1930" t="s">
        <v>4656</v>
      </c>
      <c r="D4420" s="1930" t="s">
        <v>4657</v>
      </c>
      <c r="E4420" s="1931" t="s">
        <v>33</v>
      </c>
      <c r="F4420" s="1930" t="s">
        <v>33</v>
      </c>
      <c r="G4420" s="1932">
        <v>86927</v>
      </c>
      <c r="H4420" s="1930" t="s">
        <v>9210</v>
      </c>
      <c r="I4420" s="1930" t="s">
        <v>168</v>
      </c>
      <c r="J4420" s="1930" t="s">
        <v>320</v>
      </c>
      <c r="K4420" s="1933">
        <v>242.35</v>
      </c>
      <c r="L4420" s="1930" t="s">
        <v>138</v>
      </c>
    </row>
    <row r="4421" spans="1:12" ht="13.5" x14ac:dyDescent="0.25">
      <c r="A4421" s="1930" t="s">
        <v>4646</v>
      </c>
      <c r="B4421" s="1930" t="s">
        <v>4647</v>
      </c>
      <c r="C4421" s="1930" t="s">
        <v>4656</v>
      </c>
      <c r="D4421" s="1930" t="s">
        <v>4657</v>
      </c>
      <c r="E4421" s="1931" t="s">
        <v>33</v>
      </c>
      <c r="F4421" s="1930" t="s">
        <v>33</v>
      </c>
      <c r="G4421" s="1932">
        <v>86928</v>
      </c>
      <c r="H4421" s="1930" t="s">
        <v>9211</v>
      </c>
      <c r="I4421" s="1930" t="s">
        <v>168</v>
      </c>
      <c r="J4421" s="1930" t="s">
        <v>320</v>
      </c>
      <c r="K4421" s="1933">
        <v>245.73</v>
      </c>
      <c r="L4421" s="1930" t="s">
        <v>138</v>
      </c>
    </row>
    <row r="4422" spans="1:12" ht="13.5" x14ac:dyDescent="0.25">
      <c r="A4422" s="1930" t="s">
        <v>4646</v>
      </c>
      <c r="B4422" s="1930" t="s">
        <v>4647</v>
      </c>
      <c r="C4422" s="1930" t="s">
        <v>4656</v>
      </c>
      <c r="D4422" s="1930" t="s">
        <v>4657</v>
      </c>
      <c r="E4422" s="1931" t="s">
        <v>33</v>
      </c>
      <c r="F4422" s="1930" t="s">
        <v>33</v>
      </c>
      <c r="G4422" s="1932">
        <v>86929</v>
      </c>
      <c r="H4422" s="1930" t="s">
        <v>9212</v>
      </c>
      <c r="I4422" s="1930" t="s">
        <v>168</v>
      </c>
      <c r="J4422" s="1930" t="s">
        <v>320</v>
      </c>
      <c r="K4422" s="1933">
        <v>235.56</v>
      </c>
      <c r="L4422" s="1930" t="s">
        <v>138</v>
      </c>
    </row>
    <row r="4423" spans="1:12" ht="13.5" x14ac:dyDescent="0.25">
      <c r="A4423" s="1930" t="s">
        <v>4646</v>
      </c>
      <c r="B4423" s="1930" t="s">
        <v>4647</v>
      </c>
      <c r="C4423" s="1930" t="s">
        <v>4656</v>
      </c>
      <c r="D4423" s="1930" t="s">
        <v>4657</v>
      </c>
      <c r="E4423" s="1931" t="s">
        <v>33</v>
      </c>
      <c r="F4423" s="1930" t="s">
        <v>33</v>
      </c>
      <c r="G4423" s="1932">
        <v>86930</v>
      </c>
      <c r="H4423" s="1930" t="s">
        <v>9213</v>
      </c>
      <c r="I4423" s="1930" t="s">
        <v>168</v>
      </c>
      <c r="J4423" s="1930" t="s">
        <v>320</v>
      </c>
      <c r="K4423" s="1933">
        <v>238.94</v>
      </c>
      <c r="L4423" s="1930" t="s">
        <v>138</v>
      </c>
    </row>
    <row r="4424" spans="1:12" ht="13.5" x14ac:dyDescent="0.25">
      <c r="A4424" s="1930" t="s">
        <v>4646</v>
      </c>
      <c r="B4424" s="1930" t="s">
        <v>4647</v>
      </c>
      <c r="C4424" s="1930" t="s">
        <v>4656</v>
      </c>
      <c r="D4424" s="1930" t="s">
        <v>4657</v>
      </c>
      <c r="E4424" s="1931" t="s">
        <v>33</v>
      </c>
      <c r="F4424" s="1930" t="s">
        <v>33</v>
      </c>
      <c r="G4424" s="1932">
        <v>86931</v>
      </c>
      <c r="H4424" s="1930" t="s">
        <v>9214</v>
      </c>
      <c r="I4424" s="1930" t="s">
        <v>168</v>
      </c>
      <c r="J4424" s="1930" t="s">
        <v>320</v>
      </c>
      <c r="K4424" s="1933">
        <v>366.86</v>
      </c>
      <c r="L4424" s="1930" t="s">
        <v>138</v>
      </c>
    </row>
    <row r="4425" spans="1:12" ht="13.5" x14ac:dyDescent="0.25">
      <c r="A4425" s="1930" t="s">
        <v>4646</v>
      </c>
      <c r="B4425" s="1930" t="s">
        <v>4647</v>
      </c>
      <c r="C4425" s="1930" t="s">
        <v>4656</v>
      </c>
      <c r="D4425" s="1930" t="s">
        <v>4657</v>
      </c>
      <c r="E4425" s="1931" t="s">
        <v>33</v>
      </c>
      <c r="F4425" s="1930" t="s">
        <v>33</v>
      </c>
      <c r="G4425" s="1932">
        <v>86932</v>
      </c>
      <c r="H4425" s="1930" t="s">
        <v>9215</v>
      </c>
      <c r="I4425" s="1930" t="s">
        <v>168</v>
      </c>
      <c r="J4425" s="1930" t="s">
        <v>320</v>
      </c>
      <c r="K4425" s="1933">
        <v>390.94</v>
      </c>
      <c r="L4425" s="1930" t="s">
        <v>138</v>
      </c>
    </row>
    <row r="4426" spans="1:12" ht="13.5" x14ac:dyDescent="0.25">
      <c r="A4426" s="1930" t="s">
        <v>4646</v>
      </c>
      <c r="B4426" s="1930" t="s">
        <v>4647</v>
      </c>
      <c r="C4426" s="1930" t="s">
        <v>4656</v>
      </c>
      <c r="D4426" s="1930" t="s">
        <v>4657</v>
      </c>
      <c r="E4426" s="1931" t="s">
        <v>33</v>
      </c>
      <c r="F4426" s="1930" t="s">
        <v>33</v>
      </c>
      <c r="G4426" s="1932">
        <v>86933</v>
      </c>
      <c r="H4426" s="1930" t="s">
        <v>9216</v>
      </c>
      <c r="I4426" s="1930" t="s">
        <v>168</v>
      </c>
      <c r="J4426" s="1930" t="s">
        <v>137</v>
      </c>
      <c r="K4426" s="1933">
        <v>263.98</v>
      </c>
      <c r="L4426" s="1930" t="s">
        <v>138</v>
      </c>
    </row>
    <row r="4427" spans="1:12" ht="13.5" x14ac:dyDescent="0.25">
      <c r="A4427" s="1930" t="s">
        <v>4646</v>
      </c>
      <c r="B4427" s="1930" t="s">
        <v>4647</v>
      </c>
      <c r="C4427" s="1930" t="s">
        <v>4656</v>
      </c>
      <c r="D4427" s="1930" t="s">
        <v>4657</v>
      </c>
      <c r="E4427" s="1931" t="s">
        <v>33</v>
      </c>
      <c r="F4427" s="1930" t="s">
        <v>33</v>
      </c>
      <c r="G4427" s="1932">
        <v>86934</v>
      </c>
      <c r="H4427" s="1930" t="s">
        <v>9217</v>
      </c>
      <c r="I4427" s="1930" t="s">
        <v>168</v>
      </c>
      <c r="J4427" s="1930" t="s">
        <v>137</v>
      </c>
      <c r="K4427" s="1933">
        <v>257.19</v>
      </c>
      <c r="L4427" s="1930" t="s">
        <v>138</v>
      </c>
    </row>
    <row r="4428" spans="1:12" ht="13.5" x14ac:dyDescent="0.25">
      <c r="A4428" s="1930" t="s">
        <v>4646</v>
      </c>
      <c r="B4428" s="1930" t="s">
        <v>4647</v>
      </c>
      <c r="C4428" s="1930" t="s">
        <v>4656</v>
      </c>
      <c r="D4428" s="1930" t="s">
        <v>4657</v>
      </c>
      <c r="E4428" s="1931" t="s">
        <v>33</v>
      </c>
      <c r="F4428" s="1930" t="s">
        <v>33</v>
      </c>
      <c r="G4428" s="1932">
        <v>86935</v>
      </c>
      <c r="H4428" s="1930" t="s">
        <v>9218</v>
      </c>
      <c r="I4428" s="1930" t="s">
        <v>168</v>
      </c>
      <c r="J4428" s="1930" t="s">
        <v>320</v>
      </c>
      <c r="K4428" s="1933">
        <v>193.65</v>
      </c>
      <c r="L4428" s="1930" t="s">
        <v>138</v>
      </c>
    </row>
    <row r="4429" spans="1:12" ht="13.5" x14ac:dyDescent="0.25">
      <c r="A4429" s="1930" t="s">
        <v>4646</v>
      </c>
      <c r="B4429" s="1930" t="s">
        <v>4647</v>
      </c>
      <c r="C4429" s="1930" t="s">
        <v>4656</v>
      </c>
      <c r="D4429" s="1930" t="s">
        <v>4657</v>
      </c>
      <c r="E4429" s="1931" t="s">
        <v>33</v>
      </c>
      <c r="F4429" s="1930" t="s">
        <v>33</v>
      </c>
      <c r="G4429" s="1932">
        <v>86936</v>
      </c>
      <c r="H4429" s="1930" t="s">
        <v>9219</v>
      </c>
      <c r="I4429" s="1930" t="s">
        <v>168</v>
      </c>
      <c r="J4429" s="1930" t="s">
        <v>320</v>
      </c>
      <c r="K4429" s="1933">
        <v>303.07</v>
      </c>
      <c r="L4429" s="1930" t="s">
        <v>138</v>
      </c>
    </row>
    <row r="4430" spans="1:12" ht="13.5" x14ac:dyDescent="0.25">
      <c r="A4430" s="1930" t="s">
        <v>4646</v>
      </c>
      <c r="B4430" s="1930" t="s">
        <v>4647</v>
      </c>
      <c r="C4430" s="1930" t="s">
        <v>4656</v>
      </c>
      <c r="D4430" s="1930" t="s">
        <v>4657</v>
      </c>
      <c r="E4430" s="1931" t="s">
        <v>33</v>
      </c>
      <c r="F4430" s="1930" t="s">
        <v>33</v>
      </c>
      <c r="G4430" s="1932">
        <v>86937</v>
      </c>
      <c r="H4430" s="1930" t="s">
        <v>9220</v>
      </c>
      <c r="I4430" s="1930" t="s">
        <v>168</v>
      </c>
      <c r="J4430" s="1930" t="s">
        <v>320</v>
      </c>
      <c r="K4430" s="1933">
        <v>138.94</v>
      </c>
      <c r="L4430" s="1930" t="s">
        <v>138</v>
      </c>
    </row>
    <row r="4431" spans="1:12" ht="13.5" x14ac:dyDescent="0.25">
      <c r="A4431" s="1930" t="s">
        <v>4646</v>
      </c>
      <c r="B4431" s="1930" t="s">
        <v>4647</v>
      </c>
      <c r="C4431" s="1930" t="s">
        <v>4656</v>
      </c>
      <c r="D4431" s="1930" t="s">
        <v>4657</v>
      </c>
      <c r="E4431" s="1931" t="s">
        <v>33</v>
      </c>
      <c r="F4431" s="1930" t="s">
        <v>33</v>
      </c>
      <c r="G4431" s="1932">
        <v>86938</v>
      </c>
      <c r="H4431" s="1930" t="s">
        <v>9221</v>
      </c>
      <c r="I4431" s="1930" t="s">
        <v>168</v>
      </c>
      <c r="J4431" s="1930" t="s">
        <v>320</v>
      </c>
      <c r="K4431" s="1933">
        <v>248.36</v>
      </c>
      <c r="L4431" s="1930" t="s">
        <v>138</v>
      </c>
    </row>
    <row r="4432" spans="1:12" ht="13.5" x14ac:dyDescent="0.25">
      <c r="A4432" s="1930" t="s">
        <v>4646</v>
      </c>
      <c r="B4432" s="1930" t="s">
        <v>4647</v>
      </c>
      <c r="C4432" s="1930" t="s">
        <v>4656</v>
      </c>
      <c r="D4432" s="1930" t="s">
        <v>4657</v>
      </c>
      <c r="E4432" s="1931" t="s">
        <v>33</v>
      </c>
      <c r="F4432" s="1930" t="s">
        <v>33</v>
      </c>
      <c r="G4432" s="1932">
        <v>86939</v>
      </c>
      <c r="H4432" s="1930" t="s">
        <v>9222</v>
      </c>
      <c r="I4432" s="1930" t="s">
        <v>168</v>
      </c>
      <c r="J4432" s="1930" t="s">
        <v>320</v>
      </c>
      <c r="K4432" s="1933">
        <v>284.72000000000003</v>
      </c>
      <c r="L4432" s="1930" t="s">
        <v>138</v>
      </c>
    </row>
    <row r="4433" spans="1:12" ht="13.5" x14ac:dyDescent="0.25">
      <c r="A4433" s="1930" t="s">
        <v>4646</v>
      </c>
      <c r="B4433" s="1930" t="s">
        <v>4647</v>
      </c>
      <c r="C4433" s="1930" t="s">
        <v>4656</v>
      </c>
      <c r="D4433" s="1930" t="s">
        <v>4657</v>
      </c>
      <c r="E4433" s="1931" t="s">
        <v>33</v>
      </c>
      <c r="F4433" s="1930" t="s">
        <v>33</v>
      </c>
      <c r="G4433" s="1932">
        <v>86940</v>
      </c>
      <c r="H4433" s="1930" t="s">
        <v>9223</v>
      </c>
      <c r="I4433" s="1930" t="s">
        <v>168</v>
      </c>
      <c r="J4433" s="1930" t="s">
        <v>320</v>
      </c>
      <c r="K4433" s="1933">
        <v>691.19</v>
      </c>
      <c r="L4433" s="1930" t="s">
        <v>138</v>
      </c>
    </row>
    <row r="4434" spans="1:12" ht="13.5" x14ac:dyDescent="0.25">
      <c r="A4434" s="1930" t="s">
        <v>4646</v>
      </c>
      <c r="B4434" s="1930" t="s">
        <v>4647</v>
      </c>
      <c r="C4434" s="1930" t="s">
        <v>4656</v>
      </c>
      <c r="D4434" s="1930" t="s">
        <v>4657</v>
      </c>
      <c r="E4434" s="1931" t="s">
        <v>33</v>
      </c>
      <c r="F4434" s="1930" t="s">
        <v>33</v>
      </c>
      <c r="G4434" s="1932">
        <v>86941</v>
      </c>
      <c r="H4434" s="1930" t="s">
        <v>9224</v>
      </c>
      <c r="I4434" s="1930" t="s">
        <v>168</v>
      </c>
      <c r="J4434" s="1930" t="s">
        <v>320</v>
      </c>
      <c r="K4434" s="1933">
        <v>536.29</v>
      </c>
      <c r="L4434" s="1930" t="s">
        <v>138</v>
      </c>
    </row>
    <row r="4435" spans="1:12" ht="13.5" x14ac:dyDescent="0.25">
      <c r="A4435" s="1930" t="s">
        <v>4646</v>
      </c>
      <c r="B4435" s="1930" t="s">
        <v>4647</v>
      </c>
      <c r="C4435" s="1930" t="s">
        <v>4656</v>
      </c>
      <c r="D4435" s="1930" t="s">
        <v>4657</v>
      </c>
      <c r="E4435" s="1931" t="s">
        <v>33</v>
      </c>
      <c r="F4435" s="1930" t="s">
        <v>33</v>
      </c>
      <c r="G4435" s="1932">
        <v>86942</v>
      </c>
      <c r="H4435" s="1930" t="s">
        <v>9225</v>
      </c>
      <c r="I4435" s="1930" t="s">
        <v>168</v>
      </c>
      <c r="J4435" s="1930" t="s">
        <v>320</v>
      </c>
      <c r="K4435" s="1933">
        <v>185</v>
      </c>
      <c r="L4435" s="1930" t="s">
        <v>138</v>
      </c>
    </row>
    <row r="4436" spans="1:12" ht="13.5" x14ac:dyDescent="0.25">
      <c r="A4436" s="1930" t="s">
        <v>4646</v>
      </c>
      <c r="B4436" s="1930" t="s">
        <v>4647</v>
      </c>
      <c r="C4436" s="1930" t="s">
        <v>4656</v>
      </c>
      <c r="D4436" s="1930" t="s">
        <v>4657</v>
      </c>
      <c r="E4436" s="1931" t="s">
        <v>33</v>
      </c>
      <c r="F4436" s="1930" t="s">
        <v>33</v>
      </c>
      <c r="G4436" s="1932">
        <v>86943</v>
      </c>
      <c r="H4436" s="1930" t="s">
        <v>9226</v>
      </c>
      <c r="I4436" s="1930" t="s">
        <v>168</v>
      </c>
      <c r="J4436" s="1930" t="s">
        <v>320</v>
      </c>
      <c r="K4436" s="1933">
        <v>178.21</v>
      </c>
      <c r="L4436" s="1930" t="s">
        <v>138</v>
      </c>
    </row>
    <row r="4437" spans="1:12" ht="13.5" x14ac:dyDescent="0.25">
      <c r="A4437" s="1930" t="s">
        <v>4646</v>
      </c>
      <c r="B4437" s="1930" t="s">
        <v>4647</v>
      </c>
      <c r="C4437" s="1930" t="s">
        <v>4656</v>
      </c>
      <c r="D4437" s="1930" t="s">
        <v>4657</v>
      </c>
      <c r="E4437" s="1931" t="s">
        <v>33</v>
      </c>
      <c r="F4437" s="1930" t="s">
        <v>33</v>
      </c>
      <c r="G4437" s="1932">
        <v>86947</v>
      </c>
      <c r="H4437" s="1930" t="s">
        <v>9227</v>
      </c>
      <c r="I4437" s="1930" t="s">
        <v>168</v>
      </c>
      <c r="J4437" s="1930" t="s">
        <v>137</v>
      </c>
      <c r="K4437" s="1933">
        <v>691.58</v>
      </c>
      <c r="L4437" s="1930" t="s">
        <v>138</v>
      </c>
    </row>
    <row r="4438" spans="1:12" ht="13.5" x14ac:dyDescent="0.25">
      <c r="A4438" s="1930" t="s">
        <v>4646</v>
      </c>
      <c r="B4438" s="1930" t="s">
        <v>4647</v>
      </c>
      <c r="C4438" s="1930" t="s">
        <v>4656</v>
      </c>
      <c r="D4438" s="1930" t="s">
        <v>4657</v>
      </c>
      <c r="E4438" s="1931" t="s">
        <v>33</v>
      </c>
      <c r="F4438" s="1930" t="s">
        <v>33</v>
      </c>
      <c r="G4438" s="1932">
        <v>93396</v>
      </c>
      <c r="H4438" s="1930" t="s">
        <v>9228</v>
      </c>
      <c r="I4438" s="1930" t="s">
        <v>168</v>
      </c>
      <c r="J4438" s="1930" t="s">
        <v>137</v>
      </c>
      <c r="K4438" s="1933">
        <v>462.56</v>
      </c>
      <c r="L4438" s="1930" t="s">
        <v>138</v>
      </c>
    </row>
    <row r="4439" spans="1:12" ht="13.5" x14ac:dyDescent="0.25">
      <c r="A4439" s="1930" t="s">
        <v>4646</v>
      </c>
      <c r="B4439" s="1930" t="s">
        <v>4647</v>
      </c>
      <c r="C4439" s="1930" t="s">
        <v>4656</v>
      </c>
      <c r="D4439" s="1930" t="s">
        <v>4657</v>
      </c>
      <c r="E4439" s="1931" t="s">
        <v>33</v>
      </c>
      <c r="F4439" s="1930" t="s">
        <v>33</v>
      </c>
      <c r="G4439" s="1932">
        <v>93441</v>
      </c>
      <c r="H4439" s="1930" t="s">
        <v>9229</v>
      </c>
      <c r="I4439" s="1930" t="s">
        <v>168</v>
      </c>
      <c r="J4439" s="1930" t="s">
        <v>137</v>
      </c>
      <c r="K4439" s="1933">
        <v>823.67</v>
      </c>
      <c r="L4439" s="1930" t="s">
        <v>138</v>
      </c>
    </row>
    <row r="4440" spans="1:12" ht="13.5" x14ac:dyDescent="0.25">
      <c r="A4440" s="1930" t="s">
        <v>4646</v>
      </c>
      <c r="B4440" s="1930" t="s">
        <v>4647</v>
      </c>
      <c r="C4440" s="1930" t="s">
        <v>4656</v>
      </c>
      <c r="D4440" s="1930" t="s">
        <v>4657</v>
      </c>
      <c r="E4440" s="1931" t="s">
        <v>33</v>
      </c>
      <c r="F4440" s="1930" t="s">
        <v>33</v>
      </c>
      <c r="G4440" s="1932">
        <v>93442</v>
      </c>
      <c r="H4440" s="1930" t="s">
        <v>9230</v>
      </c>
      <c r="I4440" s="1930" t="s">
        <v>168</v>
      </c>
      <c r="J4440" s="1930" t="s">
        <v>137</v>
      </c>
      <c r="K4440" s="1933">
        <v>740.92</v>
      </c>
      <c r="L4440" s="1930" t="s">
        <v>138</v>
      </c>
    </row>
    <row r="4441" spans="1:12" ht="13.5" x14ac:dyDescent="0.25">
      <c r="A4441" s="1930" t="s">
        <v>4646</v>
      </c>
      <c r="B4441" s="1930" t="s">
        <v>4647</v>
      </c>
      <c r="C4441" s="1930" t="s">
        <v>4656</v>
      </c>
      <c r="D4441" s="1930" t="s">
        <v>4657</v>
      </c>
      <c r="E4441" s="1931" t="s">
        <v>33</v>
      </c>
      <c r="F4441" s="1930" t="s">
        <v>33</v>
      </c>
      <c r="G4441" s="1932">
        <v>95469</v>
      </c>
      <c r="H4441" s="1930" t="s">
        <v>9231</v>
      </c>
      <c r="I4441" s="1930" t="s">
        <v>168</v>
      </c>
      <c r="J4441" s="1930" t="s">
        <v>320</v>
      </c>
      <c r="K4441" s="1933">
        <v>165.42</v>
      </c>
      <c r="L4441" s="1930" t="s">
        <v>138</v>
      </c>
    </row>
    <row r="4442" spans="1:12" ht="13.5" x14ac:dyDescent="0.25">
      <c r="A4442" s="1930" t="s">
        <v>4646</v>
      </c>
      <c r="B4442" s="1930" t="s">
        <v>4647</v>
      </c>
      <c r="C4442" s="1930" t="s">
        <v>4656</v>
      </c>
      <c r="D4442" s="1930" t="s">
        <v>4657</v>
      </c>
      <c r="E4442" s="1931" t="s">
        <v>33</v>
      </c>
      <c r="F4442" s="1930" t="s">
        <v>33</v>
      </c>
      <c r="G4442" s="1932">
        <v>95470</v>
      </c>
      <c r="H4442" s="1930" t="s">
        <v>3238</v>
      </c>
      <c r="I4442" s="1930" t="s">
        <v>168</v>
      </c>
      <c r="J4442" s="1930" t="s">
        <v>320</v>
      </c>
      <c r="K4442" s="1933">
        <v>170.66</v>
      </c>
      <c r="L4442" s="1930" t="s">
        <v>138</v>
      </c>
    </row>
    <row r="4443" spans="1:12" ht="13.5" x14ac:dyDescent="0.25">
      <c r="A4443" s="1930" t="s">
        <v>4646</v>
      </c>
      <c r="B4443" s="1930" t="s">
        <v>4647</v>
      </c>
      <c r="C4443" s="1930" t="s">
        <v>4656</v>
      </c>
      <c r="D4443" s="1930" t="s">
        <v>4657</v>
      </c>
      <c r="E4443" s="1931" t="s">
        <v>33</v>
      </c>
      <c r="F4443" s="1930" t="s">
        <v>33</v>
      </c>
      <c r="G4443" s="1932">
        <v>95471</v>
      </c>
      <c r="H4443" s="1930" t="s">
        <v>9232</v>
      </c>
      <c r="I4443" s="1930" t="s">
        <v>168</v>
      </c>
      <c r="J4443" s="1930" t="s">
        <v>320</v>
      </c>
      <c r="K4443" s="1933">
        <v>627.89</v>
      </c>
      <c r="L4443" s="1930" t="s">
        <v>138</v>
      </c>
    </row>
    <row r="4444" spans="1:12" ht="13.5" x14ac:dyDescent="0.25">
      <c r="A4444" s="1930" t="s">
        <v>4646</v>
      </c>
      <c r="B4444" s="1930" t="s">
        <v>4647</v>
      </c>
      <c r="C4444" s="1930" t="s">
        <v>4656</v>
      </c>
      <c r="D4444" s="1930" t="s">
        <v>4657</v>
      </c>
      <c r="E4444" s="1931" t="s">
        <v>33</v>
      </c>
      <c r="F4444" s="1930" t="s">
        <v>33</v>
      </c>
      <c r="G4444" s="1932">
        <v>95472</v>
      </c>
      <c r="H4444" s="1930" t="s">
        <v>9233</v>
      </c>
      <c r="I4444" s="1930" t="s">
        <v>168</v>
      </c>
      <c r="J4444" s="1930" t="s">
        <v>320</v>
      </c>
      <c r="K4444" s="1933">
        <v>633.13</v>
      </c>
      <c r="L4444" s="1930" t="s">
        <v>138</v>
      </c>
    </row>
    <row r="4445" spans="1:12" ht="13.5" x14ac:dyDescent="0.25">
      <c r="A4445" s="1930" t="s">
        <v>4646</v>
      </c>
      <c r="B4445" s="1930" t="s">
        <v>4647</v>
      </c>
      <c r="C4445" s="1930" t="s">
        <v>4656</v>
      </c>
      <c r="D4445" s="1930" t="s">
        <v>4657</v>
      </c>
      <c r="E4445" s="1931" t="s">
        <v>33</v>
      </c>
      <c r="F4445" s="1930" t="s">
        <v>33</v>
      </c>
      <c r="G4445" s="1932">
        <v>95542</v>
      </c>
      <c r="H4445" s="1930" t="s">
        <v>9234</v>
      </c>
      <c r="I4445" s="1930" t="s">
        <v>168</v>
      </c>
      <c r="J4445" s="1930" t="s">
        <v>320</v>
      </c>
      <c r="K4445" s="1933">
        <v>26.46</v>
      </c>
      <c r="L4445" s="1930" t="s">
        <v>138</v>
      </c>
    </row>
    <row r="4446" spans="1:12" ht="13.5" x14ac:dyDescent="0.25">
      <c r="A4446" s="1930" t="s">
        <v>4646</v>
      </c>
      <c r="B4446" s="1930" t="s">
        <v>4647</v>
      </c>
      <c r="C4446" s="1930" t="s">
        <v>4656</v>
      </c>
      <c r="D4446" s="1930" t="s">
        <v>4657</v>
      </c>
      <c r="E4446" s="1931" t="s">
        <v>33</v>
      </c>
      <c r="F4446" s="1930" t="s">
        <v>33</v>
      </c>
      <c r="G4446" s="1932">
        <v>95543</v>
      </c>
      <c r="H4446" s="1930" t="s">
        <v>9235</v>
      </c>
      <c r="I4446" s="1930" t="s">
        <v>168</v>
      </c>
      <c r="J4446" s="1930" t="s">
        <v>320</v>
      </c>
      <c r="K4446" s="1933">
        <v>44.63</v>
      </c>
      <c r="L4446" s="1930" t="s">
        <v>138</v>
      </c>
    </row>
    <row r="4447" spans="1:12" ht="13.5" x14ac:dyDescent="0.25">
      <c r="A4447" s="1930" t="s">
        <v>4646</v>
      </c>
      <c r="B4447" s="1930" t="s">
        <v>4647</v>
      </c>
      <c r="C4447" s="1930" t="s">
        <v>4656</v>
      </c>
      <c r="D4447" s="1930" t="s">
        <v>4657</v>
      </c>
      <c r="E4447" s="1931" t="s">
        <v>33</v>
      </c>
      <c r="F4447" s="1930" t="s">
        <v>33</v>
      </c>
      <c r="G4447" s="1932">
        <v>95544</v>
      </c>
      <c r="H4447" s="1930" t="s">
        <v>9236</v>
      </c>
      <c r="I4447" s="1930" t="s">
        <v>168</v>
      </c>
      <c r="J4447" s="1930" t="s">
        <v>320</v>
      </c>
      <c r="K4447" s="1933">
        <v>32.24</v>
      </c>
      <c r="L4447" s="1930" t="s">
        <v>138</v>
      </c>
    </row>
    <row r="4448" spans="1:12" ht="13.5" x14ac:dyDescent="0.25">
      <c r="A4448" s="1930" t="s">
        <v>4646</v>
      </c>
      <c r="B4448" s="1930" t="s">
        <v>4647</v>
      </c>
      <c r="C4448" s="1930" t="s">
        <v>4656</v>
      </c>
      <c r="D4448" s="1930" t="s">
        <v>4657</v>
      </c>
      <c r="E4448" s="1931" t="s">
        <v>33</v>
      </c>
      <c r="F4448" s="1930" t="s">
        <v>33</v>
      </c>
      <c r="G4448" s="1932">
        <v>95545</v>
      </c>
      <c r="H4448" s="1930" t="s">
        <v>9237</v>
      </c>
      <c r="I4448" s="1930" t="s">
        <v>168</v>
      </c>
      <c r="J4448" s="1930" t="s">
        <v>346</v>
      </c>
      <c r="K4448" s="1933">
        <v>31.63</v>
      </c>
      <c r="L4448" s="1930" t="s">
        <v>138</v>
      </c>
    </row>
    <row r="4449" spans="1:12" ht="13.5" x14ac:dyDescent="0.25">
      <c r="A4449" s="1930" t="s">
        <v>4646</v>
      </c>
      <c r="B4449" s="1930" t="s">
        <v>4647</v>
      </c>
      <c r="C4449" s="1930" t="s">
        <v>4656</v>
      </c>
      <c r="D4449" s="1930" t="s">
        <v>4657</v>
      </c>
      <c r="E4449" s="1931" t="s">
        <v>33</v>
      </c>
      <c r="F4449" s="1930" t="s">
        <v>33</v>
      </c>
      <c r="G4449" s="1932">
        <v>95546</v>
      </c>
      <c r="H4449" s="1930" t="s">
        <v>9238</v>
      </c>
      <c r="I4449" s="1930" t="s">
        <v>168</v>
      </c>
      <c r="J4449" s="1930" t="s">
        <v>320</v>
      </c>
      <c r="K4449" s="1933">
        <v>109.43</v>
      </c>
      <c r="L4449" s="1930" t="s">
        <v>138</v>
      </c>
    </row>
    <row r="4450" spans="1:12" ht="13.5" x14ac:dyDescent="0.25">
      <c r="A4450" s="1930" t="s">
        <v>4646</v>
      </c>
      <c r="B4450" s="1930" t="s">
        <v>4647</v>
      </c>
      <c r="C4450" s="1930" t="s">
        <v>4656</v>
      </c>
      <c r="D4450" s="1930" t="s">
        <v>4657</v>
      </c>
      <c r="E4450" s="1931" t="s">
        <v>33</v>
      </c>
      <c r="F4450" s="1930" t="s">
        <v>33</v>
      </c>
      <c r="G4450" s="1932">
        <v>95547</v>
      </c>
      <c r="H4450" s="1930" t="s">
        <v>9239</v>
      </c>
      <c r="I4450" s="1930" t="s">
        <v>168</v>
      </c>
      <c r="J4450" s="1930" t="s">
        <v>346</v>
      </c>
      <c r="K4450" s="1933">
        <v>39.99</v>
      </c>
      <c r="L4450" s="1930" t="s">
        <v>138</v>
      </c>
    </row>
    <row r="4451" spans="1:12" ht="13.5" x14ac:dyDescent="0.25">
      <c r="A4451" s="1930" t="s">
        <v>4646</v>
      </c>
      <c r="B4451" s="1930" t="s">
        <v>4647</v>
      </c>
      <c r="C4451" s="1930" t="s">
        <v>4656</v>
      </c>
      <c r="D4451" s="1930" t="s">
        <v>4657</v>
      </c>
      <c r="E4451" s="1931" t="s">
        <v>33</v>
      </c>
      <c r="F4451" s="1930" t="s">
        <v>33</v>
      </c>
      <c r="G4451" s="1932">
        <v>100848</v>
      </c>
      <c r="H4451" s="1930" t="s">
        <v>9240</v>
      </c>
      <c r="I4451" s="1930" t="s">
        <v>168</v>
      </c>
      <c r="J4451" s="1930" t="s">
        <v>320</v>
      </c>
      <c r="K4451" s="1933">
        <v>305.81</v>
      </c>
      <c r="L4451" s="1930" t="s">
        <v>138</v>
      </c>
    </row>
    <row r="4452" spans="1:12" ht="13.5" x14ac:dyDescent="0.25">
      <c r="A4452" s="1930" t="s">
        <v>4646</v>
      </c>
      <c r="B4452" s="1930" t="s">
        <v>4647</v>
      </c>
      <c r="C4452" s="1930" t="s">
        <v>4656</v>
      </c>
      <c r="D4452" s="1930" t="s">
        <v>4657</v>
      </c>
      <c r="E4452" s="1931" t="s">
        <v>33</v>
      </c>
      <c r="F4452" s="1930" t="s">
        <v>33</v>
      </c>
      <c r="G4452" s="1932">
        <v>100849</v>
      </c>
      <c r="H4452" s="1930" t="s">
        <v>9241</v>
      </c>
      <c r="I4452" s="1930" t="s">
        <v>168</v>
      </c>
      <c r="J4452" s="1930" t="s">
        <v>346</v>
      </c>
      <c r="K4452" s="1933">
        <v>27.69</v>
      </c>
      <c r="L4452" s="1930" t="s">
        <v>138</v>
      </c>
    </row>
    <row r="4453" spans="1:12" ht="13.5" x14ac:dyDescent="0.25">
      <c r="A4453" s="1930" t="s">
        <v>4646</v>
      </c>
      <c r="B4453" s="1930" t="s">
        <v>4647</v>
      </c>
      <c r="C4453" s="1930" t="s">
        <v>4656</v>
      </c>
      <c r="D4453" s="1930" t="s">
        <v>4657</v>
      </c>
      <c r="E4453" s="1931" t="s">
        <v>33</v>
      </c>
      <c r="F4453" s="1930" t="s">
        <v>33</v>
      </c>
      <c r="G4453" s="1932">
        <v>100851</v>
      </c>
      <c r="H4453" s="1930" t="s">
        <v>9242</v>
      </c>
      <c r="I4453" s="1930" t="s">
        <v>168</v>
      </c>
      <c r="J4453" s="1930" t="s">
        <v>320</v>
      </c>
      <c r="K4453" s="1933">
        <v>54.69</v>
      </c>
      <c r="L4453" s="1930" t="s">
        <v>138</v>
      </c>
    </row>
    <row r="4454" spans="1:12" ht="13.5" x14ac:dyDescent="0.25">
      <c r="A4454" s="1930" t="s">
        <v>4646</v>
      </c>
      <c r="B4454" s="1930" t="s">
        <v>4647</v>
      </c>
      <c r="C4454" s="1930" t="s">
        <v>4656</v>
      </c>
      <c r="D4454" s="1930" t="s">
        <v>4657</v>
      </c>
      <c r="E4454" s="1931" t="s">
        <v>33</v>
      </c>
      <c r="F4454" s="1930" t="s">
        <v>33</v>
      </c>
      <c r="G4454" s="1932">
        <v>100852</v>
      </c>
      <c r="H4454" s="1930" t="s">
        <v>9243</v>
      </c>
      <c r="I4454" s="1930" t="s">
        <v>168</v>
      </c>
      <c r="J4454" s="1930" t="s">
        <v>320</v>
      </c>
      <c r="K4454" s="1933">
        <v>155.65</v>
      </c>
      <c r="L4454" s="1930" t="s">
        <v>138</v>
      </c>
    </row>
    <row r="4455" spans="1:12" ht="13.5" x14ac:dyDescent="0.25">
      <c r="A4455" s="1930" t="s">
        <v>4646</v>
      </c>
      <c r="B4455" s="1930" t="s">
        <v>4647</v>
      </c>
      <c r="C4455" s="1930" t="s">
        <v>4656</v>
      </c>
      <c r="D4455" s="1930" t="s">
        <v>4657</v>
      </c>
      <c r="E4455" s="1931" t="s">
        <v>33</v>
      </c>
      <c r="F4455" s="1930" t="s">
        <v>33</v>
      </c>
      <c r="G4455" s="1932">
        <v>100854</v>
      </c>
      <c r="H4455" s="1930" t="s">
        <v>9244</v>
      </c>
      <c r="I4455" s="1930" t="s">
        <v>168</v>
      </c>
      <c r="J4455" s="1930" t="s">
        <v>320</v>
      </c>
      <c r="K4455" s="1933">
        <v>598.14</v>
      </c>
      <c r="L4455" s="1930" t="s">
        <v>138</v>
      </c>
    </row>
    <row r="4456" spans="1:12" ht="13.5" x14ac:dyDescent="0.25">
      <c r="A4456" s="1930" t="s">
        <v>4646</v>
      </c>
      <c r="B4456" s="1930" t="s">
        <v>4647</v>
      </c>
      <c r="C4456" s="1930" t="s">
        <v>4656</v>
      </c>
      <c r="D4456" s="1930" t="s">
        <v>4657</v>
      </c>
      <c r="E4456" s="1931" t="s">
        <v>33</v>
      </c>
      <c r="F4456" s="1930" t="s">
        <v>33</v>
      </c>
      <c r="G4456" s="1932">
        <v>100855</v>
      </c>
      <c r="H4456" s="1930" t="s">
        <v>9245</v>
      </c>
      <c r="I4456" s="1930" t="s">
        <v>168</v>
      </c>
      <c r="J4456" s="1930" t="s">
        <v>346</v>
      </c>
      <c r="K4456" s="1933">
        <v>31.63</v>
      </c>
      <c r="L4456" s="1930" t="s">
        <v>138</v>
      </c>
    </row>
    <row r="4457" spans="1:12" ht="13.5" x14ac:dyDescent="0.25">
      <c r="A4457" s="1930" t="s">
        <v>4646</v>
      </c>
      <c r="B4457" s="1930" t="s">
        <v>4647</v>
      </c>
      <c r="C4457" s="1930" t="s">
        <v>4656</v>
      </c>
      <c r="D4457" s="1930" t="s">
        <v>4657</v>
      </c>
      <c r="E4457" s="1931" t="s">
        <v>33</v>
      </c>
      <c r="F4457" s="1930" t="s">
        <v>33</v>
      </c>
      <c r="G4457" s="1932">
        <v>100856</v>
      </c>
      <c r="H4457" s="1930" t="s">
        <v>9246</v>
      </c>
      <c r="I4457" s="1930" t="s">
        <v>168</v>
      </c>
      <c r="J4457" s="1930" t="s">
        <v>320</v>
      </c>
      <c r="K4457" s="1933">
        <v>22.61</v>
      </c>
      <c r="L4457" s="1930" t="s">
        <v>138</v>
      </c>
    </row>
    <row r="4458" spans="1:12" ht="13.5" x14ac:dyDescent="0.25">
      <c r="A4458" s="1930" t="s">
        <v>4646</v>
      </c>
      <c r="B4458" s="1930" t="s">
        <v>4647</v>
      </c>
      <c r="C4458" s="1930" t="s">
        <v>4656</v>
      </c>
      <c r="D4458" s="1930" t="s">
        <v>4657</v>
      </c>
      <c r="E4458" s="1931" t="s">
        <v>33</v>
      </c>
      <c r="F4458" s="1930" t="s">
        <v>33</v>
      </c>
      <c r="G4458" s="1932">
        <v>100857</v>
      </c>
      <c r="H4458" s="1930" t="s">
        <v>9247</v>
      </c>
      <c r="I4458" s="1930" t="s">
        <v>168</v>
      </c>
      <c r="J4458" s="1930" t="s">
        <v>320</v>
      </c>
      <c r="K4458" s="1933">
        <v>224.18</v>
      </c>
      <c r="L4458" s="1930" t="s">
        <v>138</v>
      </c>
    </row>
    <row r="4459" spans="1:12" ht="13.5" x14ac:dyDescent="0.25">
      <c r="A4459" s="1930" t="s">
        <v>4646</v>
      </c>
      <c r="B4459" s="1930" t="s">
        <v>4647</v>
      </c>
      <c r="C4459" s="1930" t="s">
        <v>4656</v>
      </c>
      <c r="D4459" s="1930" t="s">
        <v>4657</v>
      </c>
      <c r="E4459" s="1931" t="s">
        <v>33</v>
      </c>
      <c r="F4459" s="1930" t="s">
        <v>33</v>
      </c>
      <c r="G4459" s="1932">
        <v>100858</v>
      </c>
      <c r="H4459" s="1930" t="s">
        <v>9248</v>
      </c>
      <c r="I4459" s="1930" t="s">
        <v>168</v>
      </c>
      <c r="J4459" s="1930" t="s">
        <v>320</v>
      </c>
      <c r="K4459" s="1933">
        <v>462.09</v>
      </c>
      <c r="L4459" s="1930" t="s">
        <v>138</v>
      </c>
    </row>
    <row r="4460" spans="1:12" ht="13.5" x14ac:dyDescent="0.25">
      <c r="A4460" s="1930" t="s">
        <v>4646</v>
      </c>
      <c r="B4460" s="1930" t="s">
        <v>4647</v>
      </c>
      <c r="C4460" s="1930" t="s">
        <v>4656</v>
      </c>
      <c r="D4460" s="1930" t="s">
        <v>4657</v>
      </c>
      <c r="E4460" s="1931" t="s">
        <v>33</v>
      </c>
      <c r="F4460" s="1930" t="s">
        <v>33</v>
      </c>
      <c r="G4460" s="1932">
        <v>100860</v>
      </c>
      <c r="H4460" s="1930" t="s">
        <v>9249</v>
      </c>
      <c r="I4460" s="1930" t="s">
        <v>168</v>
      </c>
      <c r="J4460" s="1930" t="s">
        <v>346</v>
      </c>
      <c r="K4460" s="1933">
        <v>63.4</v>
      </c>
      <c r="L4460" s="1930" t="s">
        <v>138</v>
      </c>
    </row>
    <row r="4461" spans="1:12" ht="13.5" x14ac:dyDescent="0.25">
      <c r="A4461" s="1930" t="s">
        <v>4646</v>
      </c>
      <c r="B4461" s="1930" t="s">
        <v>4647</v>
      </c>
      <c r="C4461" s="1930" t="s">
        <v>4656</v>
      </c>
      <c r="D4461" s="1930" t="s">
        <v>4657</v>
      </c>
      <c r="E4461" s="1931" t="s">
        <v>33</v>
      </c>
      <c r="F4461" s="1930" t="s">
        <v>33</v>
      </c>
      <c r="G4461" s="1932">
        <v>100861</v>
      </c>
      <c r="H4461" s="1930" t="s">
        <v>9250</v>
      </c>
      <c r="I4461" s="1930" t="s">
        <v>168</v>
      </c>
      <c r="J4461" s="1930" t="s">
        <v>137</v>
      </c>
      <c r="K4461" s="1933">
        <v>23.04</v>
      </c>
      <c r="L4461" s="1930" t="s">
        <v>138</v>
      </c>
    </row>
    <row r="4462" spans="1:12" ht="13.5" x14ac:dyDescent="0.25">
      <c r="A4462" s="1930" t="s">
        <v>4646</v>
      </c>
      <c r="B4462" s="1930" t="s">
        <v>4647</v>
      </c>
      <c r="C4462" s="1930" t="s">
        <v>4656</v>
      </c>
      <c r="D4462" s="1930" t="s">
        <v>4657</v>
      </c>
      <c r="E4462" s="1931" t="s">
        <v>33</v>
      </c>
      <c r="F4462" s="1930" t="s">
        <v>33</v>
      </c>
      <c r="G4462" s="1932">
        <v>100862</v>
      </c>
      <c r="H4462" s="1930" t="s">
        <v>9251</v>
      </c>
      <c r="I4462" s="1930" t="s">
        <v>168</v>
      </c>
      <c r="J4462" s="1930" t="s">
        <v>137</v>
      </c>
      <c r="K4462" s="1933">
        <v>24.98</v>
      </c>
      <c r="L4462" s="1930" t="s">
        <v>138</v>
      </c>
    </row>
    <row r="4463" spans="1:12" ht="13.5" x14ac:dyDescent="0.25">
      <c r="A4463" s="1930" t="s">
        <v>4646</v>
      </c>
      <c r="B4463" s="1930" t="s">
        <v>4647</v>
      </c>
      <c r="C4463" s="1930" t="s">
        <v>4656</v>
      </c>
      <c r="D4463" s="1930" t="s">
        <v>4657</v>
      </c>
      <c r="E4463" s="1931" t="s">
        <v>33</v>
      </c>
      <c r="F4463" s="1930" t="s">
        <v>33</v>
      </c>
      <c r="G4463" s="1932">
        <v>100863</v>
      </c>
      <c r="H4463" s="1930" t="s">
        <v>9252</v>
      </c>
      <c r="I4463" s="1930" t="s">
        <v>168</v>
      </c>
      <c r="J4463" s="1930" t="s">
        <v>320</v>
      </c>
      <c r="K4463" s="1933">
        <v>421.93</v>
      </c>
      <c r="L4463" s="1930" t="s">
        <v>138</v>
      </c>
    </row>
    <row r="4464" spans="1:12" ht="13.5" x14ac:dyDescent="0.25">
      <c r="A4464" s="1930" t="s">
        <v>4646</v>
      </c>
      <c r="B4464" s="1930" t="s">
        <v>4647</v>
      </c>
      <c r="C4464" s="1930" t="s">
        <v>4656</v>
      </c>
      <c r="D4464" s="1930" t="s">
        <v>4657</v>
      </c>
      <c r="E4464" s="1931" t="s">
        <v>33</v>
      </c>
      <c r="F4464" s="1930" t="s">
        <v>33</v>
      </c>
      <c r="G4464" s="1932">
        <v>100864</v>
      </c>
      <c r="H4464" s="1930" t="s">
        <v>9253</v>
      </c>
      <c r="I4464" s="1930" t="s">
        <v>168</v>
      </c>
      <c r="J4464" s="1930" t="s">
        <v>320</v>
      </c>
      <c r="K4464" s="1933">
        <v>462.72</v>
      </c>
      <c r="L4464" s="1930" t="s">
        <v>138</v>
      </c>
    </row>
    <row r="4465" spans="1:12" ht="13.5" x14ac:dyDescent="0.25">
      <c r="A4465" s="1930" t="s">
        <v>4646</v>
      </c>
      <c r="B4465" s="1930" t="s">
        <v>4647</v>
      </c>
      <c r="C4465" s="1930" t="s">
        <v>4656</v>
      </c>
      <c r="D4465" s="1930" t="s">
        <v>4657</v>
      </c>
      <c r="E4465" s="1931" t="s">
        <v>33</v>
      </c>
      <c r="F4465" s="1930" t="s">
        <v>33</v>
      </c>
      <c r="G4465" s="1932">
        <v>100865</v>
      </c>
      <c r="H4465" s="1930" t="s">
        <v>9254</v>
      </c>
      <c r="I4465" s="1930" t="s">
        <v>168</v>
      </c>
      <c r="J4465" s="1930" t="s">
        <v>320</v>
      </c>
      <c r="K4465" s="1933">
        <v>407.74</v>
      </c>
      <c r="L4465" s="1930" t="s">
        <v>138</v>
      </c>
    </row>
    <row r="4466" spans="1:12" ht="13.5" x14ac:dyDescent="0.25">
      <c r="A4466" s="1930" t="s">
        <v>4646</v>
      </c>
      <c r="B4466" s="1930" t="s">
        <v>4647</v>
      </c>
      <c r="C4466" s="1930" t="s">
        <v>4656</v>
      </c>
      <c r="D4466" s="1930" t="s">
        <v>4657</v>
      </c>
      <c r="E4466" s="1931" t="s">
        <v>33</v>
      </c>
      <c r="F4466" s="1930" t="s">
        <v>33</v>
      </c>
      <c r="G4466" s="1932">
        <v>100866</v>
      </c>
      <c r="H4466" s="1930" t="s">
        <v>9255</v>
      </c>
      <c r="I4466" s="1930" t="s">
        <v>168</v>
      </c>
      <c r="J4466" s="1930" t="s">
        <v>320</v>
      </c>
      <c r="K4466" s="1933">
        <v>218.74</v>
      </c>
      <c r="L4466" s="1930" t="s">
        <v>138</v>
      </c>
    </row>
    <row r="4467" spans="1:12" ht="13.5" x14ac:dyDescent="0.25">
      <c r="A4467" s="1930" t="s">
        <v>4646</v>
      </c>
      <c r="B4467" s="1930" t="s">
        <v>4647</v>
      </c>
      <c r="C4467" s="1930" t="s">
        <v>4656</v>
      </c>
      <c r="D4467" s="1930" t="s">
        <v>4657</v>
      </c>
      <c r="E4467" s="1931" t="s">
        <v>33</v>
      </c>
      <c r="F4467" s="1930" t="s">
        <v>33</v>
      </c>
      <c r="G4467" s="1932">
        <v>100867</v>
      </c>
      <c r="H4467" s="1930" t="s">
        <v>9256</v>
      </c>
      <c r="I4467" s="1930" t="s">
        <v>168</v>
      </c>
      <c r="J4467" s="1930" t="s">
        <v>320</v>
      </c>
      <c r="K4467" s="1933">
        <v>232.19</v>
      </c>
      <c r="L4467" s="1930" t="s">
        <v>138</v>
      </c>
    </row>
    <row r="4468" spans="1:12" ht="13.5" x14ac:dyDescent="0.25">
      <c r="A4468" s="1930" t="s">
        <v>4646</v>
      </c>
      <c r="B4468" s="1930" t="s">
        <v>4647</v>
      </c>
      <c r="C4468" s="1930" t="s">
        <v>4656</v>
      </c>
      <c r="D4468" s="1930" t="s">
        <v>4657</v>
      </c>
      <c r="E4468" s="1931" t="s">
        <v>33</v>
      </c>
      <c r="F4468" s="1930" t="s">
        <v>33</v>
      </c>
      <c r="G4468" s="1932">
        <v>100868</v>
      </c>
      <c r="H4468" s="1930" t="s">
        <v>9257</v>
      </c>
      <c r="I4468" s="1930" t="s">
        <v>168</v>
      </c>
      <c r="J4468" s="1930" t="s">
        <v>320</v>
      </c>
      <c r="K4468" s="1933">
        <v>241.14</v>
      </c>
      <c r="L4468" s="1930" t="s">
        <v>138</v>
      </c>
    </row>
    <row r="4469" spans="1:12" ht="13.5" x14ac:dyDescent="0.25">
      <c r="A4469" s="1930" t="s">
        <v>4646</v>
      </c>
      <c r="B4469" s="1930" t="s">
        <v>4647</v>
      </c>
      <c r="C4469" s="1930" t="s">
        <v>4656</v>
      </c>
      <c r="D4469" s="1930" t="s">
        <v>4657</v>
      </c>
      <c r="E4469" s="1931" t="s">
        <v>33</v>
      </c>
      <c r="F4469" s="1930" t="s">
        <v>33</v>
      </c>
      <c r="G4469" s="1932">
        <v>100869</v>
      </c>
      <c r="H4469" s="1930" t="s">
        <v>9258</v>
      </c>
      <c r="I4469" s="1930" t="s">
        <v>168</v>
      </c>
      <c r="J4469" s="1930" t="s">
        <v>320</v>
      </c>
      <c r="K4469" s="1933">
        <v>248</v>
      </c>
      <c r="L4469" s="1930" t="s">
        <v>138</v>
      </c>
    </row>
    <row r="4470" spans="1:12" ht="13.5" x14ac:dyDescent="0.25">
      <c r="A4470" s="1930" t="s">
        <v>4646</v>
      </c>
      <c r="B4470" s="1930" t="s">
        <v>4647</v>
      </c>
      <c r="C4470" s="1930" t="s">
        <v>4656</v>
      </c>
      <c r="D4470" s="1930" t="s">
        <v>4657</v>
      </c>
      <c r="E4470" s="1931" t="s">
        <v>33</v>
      </c>
      <c r="F4470" s="1930" t="s">
        <v>33</v>
      </c>
      <c r="G4470" s="1932">
        <v>100870</v>
      </c>
      <c r="H4470" s="1930" t="s">
        <v>9259</v>
      </c>
      <c r="I4470" s="1930" t="s">
        <v>168</v>
      </c>
      <c r="J4470" s="1930" t="s">
        <v>137</v>
      </c>
      <c r="K4470" s="1933">
        <v>192.59</v>
      </c>
      <c r="L4470" s="1930" t="s">
        <v>138</v>
      </c>
    </row>
    <row r="4471" spans="1:12" ht="13.5" x14ac:dyDescent="0.25">
      <c r="A4471" s="1930" t="s">
        <v>4646</v>
      </c>
      <c r="B4471" s="1930" t="s">
        <v>4647</v>
      </c>
      <c r="C4471" s="1930" t="s">
        <v>4656</v>
      </c>
      <c r="D4471" s="1930" t="s">
        <v>4657</v>
      </c>
      <c r="E4471" s="1931" t="s">
        <v>33</v>
      </c>
      <c r="F4471" s="1930" t="s">
        <v>33</v>
      </c>
      <c r="G4471" s="1932">
        <v>100871</v>
      </c>
      <c r="H4471" s="1930" t="s">
        <v>9260</v>
      </c>
      <c r="I4471" s="1930" t="s">
        <v>168</v>
      </c>
      <c r="J4471" s="1930" t="s">
        <v>137</v>
      </c>
      <c r="K4471" s="1933">
        <v>206.59</v>
      </c>
      <c r="L4471" s="1930" t="s">
        <v>138</v>
      </c>
    </row>
    <row r="4472" spans="1:12" ht="13.5" x14ac:dyDescent="0.25">
      <c r="A4472" s="1930" t="s">
        <v>4646</v>
      </c>
      <c r="B4472" s="1930" t="s">
        <v>4647</v>
      </c>
      <c r="C4472" s="1930" t="s">
        <v>4656</v>
      </c>
      <c r="D4472" s="1930" t="s">
        <v>4657</v>
      </c>
      <c r="E4472" s="1931" t="s">
        <v>33</v>
      </c>
      <c r="F4472" s="1930" t="s">
        <v>33</v>
      </c>
      <c r="G4472" s="1932">
        <v>100872</v>
      </c>
      <c r="H4472" s="1930" t="s">
        <v>9261</v>
      </c>
      <c r="I4472" s="1930" t="s">
        <v>168</v>
      </c>
      <c r="J4472" s="1930" t="s">
        <v>137</v>
      </c>
      <c r="K4472" s="1933">
        <v>215.53</v>
      </c>
      <c r="L4472" s="1930" t="s">
        <v>138</v>
      </c>
    </row>
    <row r="4473" spans="1:12" ht="13.5" x14ac:dyDescent="0.25">
      <c r="A4473" s="1930" t="s">
        <v>4646</v>
      </c>
      <c r="B4473" s="1930" t="s">
        <v>4647</v>
      </c>
      <c r="C4473" s="1930" t="s">
        <v>4656</v>
      </c>
      <c r="D4473" s="1930" t="s">
        <v>4657</v>
      </c>
      <c r="E4473" s="1931" t="s">
        <v>33</v>
      </c>
      <c r="F4473" s="1930" t="s">
        <v>33</v>
      </c>
      <c r="G4473" s="1932">
        <v>100873</v>
      </c>
      <c r="H4473" s="1930" t="s">
        <v>9262</v>
      </c>
      <c r="I4473" s="1930" t="s">
        <v>168</v>
      </c>
      <c r="J4473" s="1930" t="s">
        <v>137</v>
      </c>
      <c r="K4473" s="1933">
        <v>221.11</v>
      </c>
      <c r="L4473" s="1930" t="s">
        <v>138</v>
      </c>
    </row>
    <row r="4474" spans="1:12" ht="13.5" x14ac:dyDescent="0.25">
      <c r="A4474" s="1930" t="s">
        <v>4646</v>
      </c>
      <c r="B4474" s="1930" t="s">
        <v>4647</v>
      </c>
      <c r="C4474" s="1930" t="s">
        <v>4656</v>
      </c>
      <c r="D4474" s="1930" t="s">
        <v>4657</v>
      </c>
      <c r="E4474" s="1931" t="s">
        <v>33</v>
      </c>
      <c r="F4474" s="1930" t="s">
        <v>33</v>
      </c>
      <c r="G4474" s="1932">
        <v>100874</v>
      </c>
      <c r="H4474" s="1930" t="s">
        <v>9263</v>
      </c>
      <c r="I4474" s="1930" t="s">
        <v>168</v>
      </c>
      <c r="J4474" s="1930" t="s">
        <v>320</v>
      </c>
      <c r="K4474" s="1933">
        <v>218.74</v>
      </c>
      <c r="L4474" s="1930" t="s">
        <v>138</v>
      </c>
    </row>
    <row r="4475" spans="1:12" ht="13.5" x14ac:dyDescent="0.25">
      <c r="A4475" s="1930" t="s">
        <v>4646</v>
      </c>
      <c r="B4475" s="1930" t="s">
        <v>4647</v>
      </c>
      <c r="C4475" s="1930" t="s">
        <v>4656</v>
      </c>
      <c r="D4475" s="1930" t="s">
        <v>4657</v>
      </c>
      <c r="E4475" s="1931" t="s">
        <v>33</v>
      </c>
      <c r="F4475" s="1930" t="s">
        <v>33</v>
      </c>
      <c r="G4475" s="1932">
        <v>100875</v>
      </c>
      <c r="H4475" s="1930" t="s">
        <v>9264</v>
      </c>
      <c r="I4475" s="1930" t="s">
        <v>168</v>
      </c>
      <c r="J4475" s="1930" t="s">
        <v>320</v>
      </c>
      <c r="K4475" s="1933">
        <v>753.13</v>
      </c>
      <c r="L4475" s="1930" t="s">
        <v>138</v>
      </c>
    </row>
    <row r="4476" spans="1:12" ht="13.5" x14ac:dyDescent="0.25">
      <c r="A4476" s="1930" t="s">
        <v>4646</v>
      </c>
      <c r="B4476" s="1930" t="s">
        <v>4647</v>
      </c>
      <c r="C4476" s="1930" t="s">
        <v>4658</v>
      </c>
      <c r="D4476" s="1930" t="s">
        <v>4659</v>
      </c>
      <c r="E4476" s="1931" t="s">
        <v>33</v>
      </c>
      <c r="F4476" s="1930" t="s">
        <v>33</v>
      </c>
      <c r="G4476" s="1932">
        <v>6087</v>
      </c>
      <c r="H4476" s="1930" t="s">
        <v>3239</v>
      </c>
      <c r="I4476" s="1930" t="s">
        <v>168</v>
      </c>
      <c r="J4476" s="1930" t="s">
        <v>320</v>
      </c>
      <c r="K4476" s="1933">
        <v>22.89</v>
      </c>
      <c r="L4476" s="1930" t="s">
        <v>138</v>
      </c>
    </row>
    <row r="4477" spans="1:12" ht="13.5" x14ac:dyDescent="0.25">
      <c r="A4477" s="1930" t="s">
        <v>4646</v>
      </c>
      <c r="B4477" s="1930" t="s">
        <v>4647</v>
      </c>
      <c r="C4477" s="1930" t="s">
        <v>4658</v>
      </c>
      <c r="D4477" s="1930" t="s">
        <v>4659</v>
      </c>
      <c r="E4477" s="1931" t="s">
        <v>33</v>
      </c>
      <c r="F4477" s="1930" t="s">
        <v>33</v>
      </c>
      <c r="G4477" s="1932">
        <v>98052</v>
      </c>
      <c r="H4477" s="1930" t="s">
        <v>5592</v>
      </c>
      <c r="I4477" s="1930" t="s">
        <v>168</v>
      </c>
      <c r="J4477" s="1930" t="s">
        <v>137</v>
      </c>
      <c r="K4477" s="1933">
        <v>1333.58</v>
      </c>
      <c r="L4477" s="1930" t="s">
        <v>138</v>
      </c>
    </row>
    <row r="4478" spans="1:12" ht="13.5" x14ac:dyDescent="0.25">
      <c r="A4478" s="1930" t="s">
        <v>4646</v>
      </c>
      <c r="B4478" s="1930" t="s">
        <v>4647</v>
      </c>
      <c r="C4478" s="1930" t="s">
        <v>4658</v>
      </c>
      <c r="D4478" s="1930" t="s">
        <v>4659</v>
      </c>
      <c r="E4478" s="1931" t="s">
        <v>33</v>
      </c>
      <c r="F4478" s="1930" t="s">
        <v>33</v>
      </c>
      <c r="G4478" s="1932">
        <v>98053</v>
      </c>
      <c r="H4478" s="1930" t="s">
        <v>5593</v>
      </c>
      <c r="I4478" s="1930" t="s">
        <v>168</v>
      </c>
      <c r="J4478" s="1930" t="s">
        <v>137</v>
      </c>
      <c r="K4478" s="1933">
        <v>1980.71</v>
      </c>
      <c r="L4478" s="1930" t="s">
        <v>138</v>
      </c>
    </row>
    <row r="4479" spans="1:12" ht="13.5" x14ac:dyDescent="0.25">
      <c r="A4479" s="1930" t="s">
        <v>4646</v>
      </c>
      <c r="B4479" s="1930" t="s">
        <v>4647</v>
      </c>
      <c r="C4479" s="1930" t="s">
        <v>4658</v>
      </c>
      <c r="D4479" s="1930" t="s">
        <v>4659</v>
      </c>
      <c r="E4479" s="1931" t="s">
        <v>33</v>
      </c>
      <c r="F4479" s="1930" t="s">
        <v>33</v>
      </c>
      <c r="G4479" s="1932">
        <v>98054</v>
      </c>
      <c r="H4479" s="1930" t="s">
        <v>5594</v>
      </c>
      <c r="I4479" s="1930" t="s">
        <v>168</v>
      </c>
      <c r="J4479" s="1930" t="s">
        <v>137</v>
      </c>
      <c r="K4479" s="1933">
        <v>2953.71</v>
      </c>
      <c r="L4479" s="1930" t="s">
        <v>138</v>
      </c>
    </row>
    <row r="4480" spans="1:12" ht="13.5" x14ac:dyDescent="0.25">
      <c r="A4480" s="1930" t="s">
        <v>4646</v>
      </c>
      <c r="B4480" s="1930" t="s">
        <v>4647</v>
      </c>
      <c r="C4480" s="1930" t="s">
        <v>4658</v>
      </c>
      <c r="D4480" s="1930" t="s">
        <v>4659</v>
      </c>
      <c r="E4480" s="1931" t="s">
        <v>33</v>
      </c>
      <c r="F4480" s="1930" t="s">
        <v>33</v>
      </c>
      <c r="G4480" s="1932">
        <v>98055</v>
      </c>
      <c r="H4480" s="1930" t="s">
        <v>5595</v>
      </c>
      <c r="I4480" s="1930" t="s">
        <v>168</v>
      </c>
      <c r="J4480" s="1930" t="s">
        <v>137</v>
      </c>
      <c r="K4480" s="1933">
        <v>3909.93</v>
      </c>
      <c r="L4480" s="1930" t="s">
        <v>138</v>
      </c>
    </row>
    <row r="4481" spans="1:12" ht="13.5" x14ac:dyDescent="0.25">
      <c r="A4481" s="1930" t="s">
        <v>4646</v>
      </c>
      <c r="B4481" s="1930" t="s">
        <v>4647</v>
      </c>
      <c r="C4481" s="1930" t="s">
        <v>4658</v>
      </c>
      <c r="D4481" s="1930" t="s">
        <v>4659</v>
      </c>
      <c r="E4481" s="1931" t="s">
        <v>33</v>
      </c>
      <c r="F4481" s="1930" t="s">
        <v>33</v>
      </c>
      <c r="G4481" s="1932">
        <v>98056</v>
      </c>
      <c r="H4481" s="1930" t="s">
        <v>5596</v>
      </c>
      <c r="I4481" s="1930" t="s">
        <v>168</v>
      </c>
      <c r="J4481" s="1930" t="s">
        <v>137</v>
      </c>
      <c r="K4481" s="1933">
        <v>4546.8999999999996</v>
      </c>
      <c r="L4481" s="1930" t="s">
        <v>138</v>
      </c>
    </row>
    <row r="4482" spans="1:12" ht="13.5" x14ac:dyDescent="0.25">
      <c r="A4482" s="1930" t="s">
        <v>4646</v>
      </c>
      <c r="B4482" s="1930" t="s">
        <v>4647</v>
      </c>
      <c r="C4482" s="1930" t="s">
        <v>4658</v>
      </c>
      <c r="D4482" s="1930" t="s">
        <v>4659</v>
      </c>
      <c r="E4482" s="1931" t="s">
        <v>33</v>
      </c>
      <c r="F4482" s="1930" t="s">
        <v>33</v>
      </c>
      <c r="G4482" s="1932">
        <v>98057</v>
      </c>
      <c r="H4482" s="1930" t="s">
        <v>5597</v>
      </c>
      <c r="I4482" s="1930" t="s">
        <v>168</v>
      </c>
      <c r="J4482" s="1930" t="s">
        <v>137</v>
      </c>
      <c r="K4482" s="1933">
        <v>6054.83</v>
      </c>
      <c r="L4482" s="1930" t="s">
        <v>138</v>
      </c>
    </row>
    <row r="4483" spans="1:12" ht="13.5" x14ac:dyDescent="0.25">
      <c r="A4483" s="1930" t="s">
        <v>4646</v>
      </c>
      <c r="B4483" s="1930" t="s">
        <v>4647</v>
      </c>
      <c r="C4483" s="1930" t="s">
        <v>4658</v>
      </c>
      <c r="D4483" s="1930" t="s">
        <v>4659</v>
      </c>
      <c r="E4483" s="1931" t="s">
        <v>33</v>
      </c>
      <c r="F4483" s="1930" t="s">
        <v>33</v>
      </c>
      <c r="G4483" s="1932">
        <v>98066</v>
      </c>
      <c r="H4483" s="1930" t="s">
        <v>5598</v>
      </c>
      <c r="I4483" s="1930" t="s">
        <v>168</v>
      </c>
      <c r="J4483" s="1930" t="s">
        <v>137</v>
      </c>
      <c r="K4483" s="1933">
        <v>3621.11</v>
      </c>
      <c r="L4483" s="1930" t="s">
        <v>138</v>
      </c>
    </row>
    <row r="4484" spans="1:12" ht="13.5" x14ac:dyDescent="0.25">
      <c r="A4484" s="1930" t="s">
        <v>4646</v>
      </c>
      <c r="B4484" s="1930" t="s">
        <v>4647</v>
      </c>
      <c r="C4484" s="1930" t="s">
        <v>4658</v>
      </c>
      <c r="D4484" s="1930" t="s">
        <v>4659</v>
      </c>
      <c r="E4484" s="1931" t="s">
        <v>33</v>
      </c>
      <c r="F4484" s="1930" t="s">
        <v>33</v>
      </c>
      <c r="G4484" s="1932">
        <v>98067</v>
      </c>
      <c r="H4484" s="1930" t="s">
        <v>5599</v>
      </c>
      <c r="I4484" s="1930" t="s">
        <v>168</v>
      </c>
      <c r="J4484" s="1930" t="s">
        <v>137</v>
      </c>
      <c r="K4484" s="1933">
        <v>4837.0600000000004</v>
      </c>
      <c r="L4484" s="1930" t="s">
        <v>138</v>
      </c>
    </row>
    <row r="4485" spans="1:12" ht="13.5" x14ac:dyDescent="0.25">
      <c r="A4485" s="1930" t="s">
        <v>4646</v>
      </c>
      <c r="B4485" s="1930" t="s">
        <v>4647</v>
      </c>
      <c r="C4485" s="1930" t="s">
        <v>4658</v>
      </c>
      <c r="D4485" s="1930" t="s">
        <v>4659</v>
      </c>
      <c r="E4485" s="1931" t="s">
        <v>33</v>
      </c>
      <c r="F4485" s="1930" t="s">
        <v>33</v>
      </c>
      <c r="G4485" s="1932">
        <v>98068</v>
      </c>
      <c r="H4485" s="1930" t="s">
        <v>5600</v>
      </c>
      <c r="I4485" s="1930" t="s">
        <v>168</v>
      </c>
      <c r="J4485" s="1930" t="s">
        <v>137</v>
      </c>
      <c r="K4485" s="1933">
        <v>6839.89</v>
      </c>
      <c r="L4485" s="1930" t="s">
        <v>138</v>
      </c>
    </row>
    <row r="4486" spans="1:12" ht="13.5" x14ac:dyDescent="0.25">
      <c r="A4486" s="1930" t="s">
        <v>4646</v>
      </c>
      <c r="B4486" s="1930" t="s">
        <v>4647</v>
      </c>
      <c r="C4486" s="1930" t="s">
        <v>4658</v>
      </c>
      <c r="D4486" s="1930" t="s">
        <v>4659</v>
      </c>
      <c r="E4486" s="1931" t="s">
        <v>33</v>
      </c>
      <c r="F4486" s="1930" t="s">
        <v>33</v>
      </c>
      <c r="G4486" s="1932">
        <v>98069</v>
      </c>
      <c r="H4486" s="1930" t="s">
        <v>5601</v>
      </c>
      <c r="I4486" s="1930" t="s">
        <v>168</v>
      </c>
      <c r="J4486" s="1930" t="s">
        <v>137</v>
      </c>
      <c r="K4486" s="1933">
        <v>9175.2099999999991</v>
      </c>
      <c r="L4486" s="1930" t="s">
        <v>138</v>
      </c>
    </row>
    <row r="4487" spans="1:12" ht="13.5" x14ac:dyDescent="0.25">
      <c r="A4487" s="1930" t="s">
        <v>4646</v>
      </c>
      <c r="B4487" s="1930" t="s">
        <v>4647</v>
      </c>
      <c r="C4487" s="1930" t="s">
        <v>4658</v>
      </c>
      <c r="D4487" s="1930" t="s">
        <v>4659</v>
      </c>
      <c r="E4487" s="1931" t="s">
        <v>33</v>
      </c>
      <c r="F4487" s="1930" t="s">
        <v>33</v>
      </c>
      <c r="G4487" s="1932">
        <v>98070</v>
      </c>
      <c r="H4487" s="1930" t="s">
        <v>5602</v>
      </c>
      <c r="I4487" s="1930" t="s">
        <v>168</v>
      </c>
      <c r="J4487" s="1930" t="s">
        <v>137</v>
      </c>
      <c r="K4487" s="1933">
        <v>10510.05</v>
      </c>
      <c r="L4487" s="1930" t="s">
        <v>138</v>
      </c>
    </row>
    <row r="4488" spans="1:12" ht="13.5" x14ac:dyDescent="0.25">
      <c r="A4488" s="1930" t="s">
        <v>4646</v>
      </c>
      <c r="B4488" s="1930" t="s">
        <v>4647</v>
      </c>
      <c r="C4488" s="1930" t="s">
        <v>4658</v>
      </c>
      <c r="D4488" s="1930" t="s">
        <v>4659</v>
      </c>
      <c r="E4488" s="1931" t="s">
        <v>33</v>
      </c>
      <c r="F4488" s="1930" t="s">
        <v>33</v>
      </c>
      <c r="G4488" s="1932">
        <v>98071</v>
      </c>
      <c r="H4488" s="1930" t="s">
        <v>5603</v>
      </c>
      <c r="I4488" s="1930" t="s">
        <v>168</v>
      </c>
      <c r="J4488" s="1930" t="s">
        <v>137</v>
      </c>
      <c r="K4488" s="1933">
        <v>11524.42</v>
      </c>
      <c r="L4488" s="1930" t="s">
        <v>138</v>
      </c>
    </row>
    <row r="4489" spans="1:12" ht="13.5" x14ac:dyDescent="0.25">
      <c r="A4489" s="1930" t="s">
        <v>4646</v>
      </c>
      <c r="B4489" s="1930" t="s">
        <v>4647</v>
      </c>
      <c r="C4489" s="1930" t="s">
        <v>4658</v>
      </c>
      <c r="D4489" s="1930" t="s">
        <v>4659</v>
      </c>
      <c r="E4489" s="1931" t="s">
        <v>33</v>
      </c>
      <c r="F4489" s="1930" t="s">
        <v>33</v>
      </c>
      <c r="G4489" s="1932">
        <v>98072</v>
      </c>
      <c r="H4489" s="1930" t="s">
        <v>5604</v>
      </c>
      <c r="I4489" s="1930" t="s">
        <v>168</v>
      </c>
      <c r="J4489" s="1930" t="s">
        <v>137</v>
      </c>
      <c r="K4489" s="1933">
        <v>3028.19</v>
      </c>
      <c r="L4489" s="1930" t="s">
        <v>138</v>
      </c>
    </row>
    <row r="4490" spans="1:12" ht="13.5" x14ac:dyDescent="0.25">
      <c r="A4490" s="1930" t="s">
        <v>4646</v>
      </c>
      <c r="B4490" s="1930" t="s">
        <v>4647</v>
      </c>
      <c r="C4490" s="1930" t="s">
        <v>4658</v>
      </c>
      <c r="D4490" s="1930" t="s">
        <v>4659</v>
      </c>
      <c r="E4490" s="1931" t="s">
        <v>33</v>
      </c>
      <c r="F4490" s="1930" t="s">
        <v>33</v>
      </c>
      <c r="G4490" s="1932">
        <v>98073</v>
      </c>
      <c r="H4490" s="1930" t="s">
        <v>5605</v>
      </c>
      <c r="I4490" s="1930" t="s">
        <v>168</v>
      </c>
      <c r="J4490" s="1930" t="s">
        <v>137</v>
      </c>
      <c r="K4490" s="1933">
        <v>4737.41</v>
      </c>
      <c r="L4490" s="1930" t="s">
        <v>138</v>
      </c>
    </row>
    <row r="4491" spans="1:12" ht="13.5" x14ac:dyDescent="0.25">
      <c r="A4491" s="1930" t="s">
        <v>4646</v>
      </c>
      <c r="B4491" s="1930" t="s">
        <v>4647</v>
      </c>
      <c r="C4491" s="1930" t="s">
        <v>4658</v>
      </c>
      <c r="D4491" s="1930" t="s">
        <v>4659</v>
      </c>
      <c r="E4491" s="1931" t="s">
        <v>33</v>
      </c>
      <c r="F4491" s="1930" t="s">
        <v>33</v>
      </c>
      <c r="G4491" s="1932">
        <v>98074</v>
      </c>
      <c r="H4491" s="1930" t="s">
        <v>5606</v>
      </c>
      <c r="I4491" s="1930" t="s">
        <v>168</v>
      </c>
      <c r="J4491" s="1930" t="s">
        <v>137</v>
      </c>
      <c r="K4491" s="1933">
        <v>7360.37</v>
      </c>
      <c r="L4491" s="1930" t="s">
        <v>138</v>
      </c>
    </row>
    <row r="4492" spans="1:12" ht="13.5" x14ac:dyDescent="0.25">
      <c r="A4492" s="1930" t="s">
        <v>4646</v>
      </c>
      <c r="B4492" s="1930" t="s">
        <v>4647</v>
      </c>
      <c r="C4492" s="1930" t="s">
        <v>4658</v>
      </c>
      <c r="D4492" s="1930" t="s">
        <v>4659</v>
      </c>
      <c r="E4492" s="1931" t="s">
        <v>33</v>
      </c>
      <c r="F4492" s="1930" t="s">
        <v>33</v>
      </c>
      <c r="G4492" s="1932">
        <v>98075</v>
      </c>
      <c r="H4492" s="1930" t="s">
        <v>5607</v>
      </c>
      <c r="I4492" s="1930" t="s">
        <v>168</v>
      </c>
      <c r="J4492" s="1930" t="s">
        <v>137</v>
      </c>
      <c r="K4492" s="1933">
        <v>9573.9599999999991</v>
      </c>
      <c r="L4492" s="1930" t="s">
        <v>138</v>
      </c>
    </row>
    <row r="4493" spans="1:12" ht="13.5" x14ac:dyDescent="0.25">
      <c r="A4493" s="1930" t="s">
        <v>4646</v>
      </c>
      <c r="B4493" s="1930" t="s">
        <v>4647</v>
      </c>
      <c r="C4493" s="1930" t="s">
        <v>4658</v>
      </c>
      <c r="D4493" s="1930" t="s">
        <v>4659</v>
      </c>
      <c r="E4493" s="1931" t="s">
        <v>33</v>
      </c>
      <c r="F4493" s="1930" t="s">
        <v>33</v>
      </c>
      <c r="G4493" s="1932">
        <v>98076</v>
      </c>
      <c r="H4493" s="1930" t="s">
        <v>5608</v>
      </c>
      <c r="I4493" s="1930" t="s">
        <v>168</v>
      </c>
      <c r="J4493" s="1930" t="s">
        <v>137</v>
      </c>
      <c r="K4493" s="1933">
        <v>11035.29</v>
      </c>
      <c r="L4493" s="1930" t="s">
        <v>138</v>
      </c>
    </row>
    <row r="4494" spans="1:12" ht="13.5" x14ac:dyDescent="0.25">
      <c r="A4494" s="1930" t="s">
        <v>4646</v>
      </c>
      <c r="B4494" s="1930" t="s">
        <v>4647</v>
      </c>
      <c r="C4494" s="1930" t="s">
        <v>4658</v>
      </c>
      <c r="D4494" s="1930" t="s">
        <v>4659</v>
      </c>
      <c r="E4494" s="1931" t="s">
        <v>33</v>
      </c>
      <c r="F4494" s="1930" t="s">
        <v>33</v>
      </c>
      <c r="G4494" s="1932">
        <v>98077</v>
      </c>
      <c r="H4494" s="1930" t="s">
        <v>5609</v>
      </c>
      <c r="I4494" s="1930" t="s">
        <v>168</v>
      </c>
      <c r="J4494" s="1930" t="s">
        <v>137</v>
      </c>
      <c r="K4494" s="1933">
        <v>12994</v>
      </c>
      <c r="L4494" s="1930" t="s">
        <v>138</v>
      </c>
    </row>
    <row r="4495" spans="1:12" ht="13.5" x14ac:dyDescent="0.25">
      <c r="A4495" s="1930" t="s">
        <v>4646</v>
      </c>
      <c r="B4495" s="1930" t="s">
        <v>4647</v>
      </c>
      <c r="C4495" s="1930" t="s">
        <v>4658</v>
      </c>
      <c r="D4495" s="1930" t="s">
        <v>4659</v>
      </c>
      <c r="E4495" s="1931" t="s">
        <v>33</v>
      </c>
      <c r="F4495" s="1930" t="s">
        <v>33</v>
      </c>
      <c r="G4495" s="1932">
        <v>98078</v>
      </c>
      <c r="H4495" s="1930" t="s">
        <v>5610</v>
      </c>
      <c r="I4495" s="1930" t="s">
        <v>168</v>
      </c>
      <c r="J4495" s="1930" t="s">
        <v>137</v>
      </c>
      <c r="K4495" s="1933">
        <v>3011.85</v>
      </c>
      <c r="L4495" s="1930" t="s">
        <v>138</v>
      </c>
    </row>
    <row r="4496" spans="1:12" ht="13.5" x14ac:dyDescent="0.25">
      <c r="A4496" s="1930" t="s">
        <v>4646</v>
      </c>
      <c r="B4496" s="1930" t="s">
        <v>4647</v>
      </c>
      <c r="C4496" s="1930" t="s">
        <v>4658</v>
      </c>
      <c r="D4496" s="1930" t="s">
        <v>4659</v>
      </c>
      <c r="E4496" s="1931" t="s">
        <v>33</v>
      </c>
      <c r="F4496" s="1930" t="s">
        <v>33</v>
      </c>
      <c r="G4496" s="1932">
        <v>98079</v>
      </c>
      <c r="H4496" s="1930" t="s">
        <v>5611</v>
      </c>
      <c r="I4496" s="1930" t="s">
        <v>168</v>
      </c>
      <c r="J4496" s="1930" t="s">
        <v>137</v>
      </c>
      <c r="K4496" s="1933">
        <v>5288.64</v>
      </c>
      <c r="L4496" s="1930" t="s">
        <v>138</v>
      </c>
    </row>
    <row r="4497" spans="1:12" ht="13.5" x14ac:dyDescent="0.25">
      <c r="A4497" s="1930" t="s">
        <v>4646</v>
      </c>
      <c r="B4497" s="1930" t="s">
        <v>4647</v>
      </c>
      <c r="C4497" s="1930" t="s">
        <v>4658</v>
      </c>
      <c r="D4497" s="1930" t="s">
        <v>4659</v>
      </c>
      <c r="E4497" s="1931" t="s">
        <v>33</v>
      </c>
      <c r="F4497" s="1930" t="s">
        <v>33</v>
      </c>
      <c r="G4497" s="1932">
        <v>98080</v>
      </c>
      <c r="H4497" s="1930" t="s">
        <v>5612</v>
      </c>
      <c r="I4497" s="1930" t="s">
        <v>168</v>
      </c>
      <c r="J4497" s="1930" t="s">
        <v>137</v>
      </c>
      <c r="K4497" s="1933">
        <v>6819.57</v>
      </c>
      <c r="L4497" s="1930" t="s">
        <v>138</v>
      </c>
    </row>
    <row r="4498" spans="1:12" ht="13.5" x14ac:dyDescent="0.25">
      <c r="A4498" s="1930" t="s">
        <v>4646</v>
      </c>
      <c r="B4498" s="1930" t="s">
        <v>4647</v>
      </c>
      <c r="C4498" s="1930" t="s">
        <v>4658</v>
      </c>
      <c r="D4498" s="1930" t="s">
        <v>4659</v>
      </c>
      <c r="E4498" s="1931" t="s">
        <v>33</v>
      </c>
      <c r="F4498" s="1930" t="s">
        <v>33</v>
      </c>
      <c r="G4498" s="1932">
        <v>98081</v>
      </c>
      <c r="H4498" s="1930" t="s">
        <v>5613</v>
      </c>
      <c r="I4498" s="1930" t="s">
        <v>168</v>
      </c>
      <c r="J4498" s="1930" t="s">
        <v>137</v>
      </c>
      <c r="K4498" s="1933">
        <v>10117.42</v>
      </c>
      <c r="L4498" s="1930" t="s">
        <v>138</v>
      </c>
    </row>
    <row r="4499" spans="1:12" ht="13.5" x14ac:dyDescent="0.25">
      <c r="A4499" s="1930" t="s">
        <v>4646</v>
      </c>
      <c r="B4499" s="1930" t="s">
        <v>4647</v>
      </c>
      <c r="C4499" s="1930" t="s">
        <v>4658</v>
      </c>
      <c r="D4499" s="1930" t="s">
        <v>4659</v>
      </c>
      <c r="E4499" s="1931" t="s">
        <v>33</v>
      </c>
      <c r="F4499" s="1930" t="s">
        <v>33</v>
      </c>
      <c r="G4499" s="1932">
        <v>98082</v>
      </c>
      <c r="H4499" s="1930" t="s">
        <v>5614</v>
      </c>
      <c r="I4499" s="1930" t="s">
        <v>168</v>
      </c>
      <c r="J4499" s="1930" t="s">
        <v>137</v>
      </c>
      <c r="K4499" s="1933">
        <v>2842.26</v>
      </c>
      <c r="L4499" s="1930" t="s">
        <v>138</v>
      </c>
    </row>
    <row r="4500" spans="1:12" ht="13.5" x14ac:dyDescent="0.25">
      <c r="A4500" s="1930" t="s">
        <v>4646</v>
      </c>
      <c r="B4500" s="1930" t="s">
        <v>4647</v>
      </c>
      <c r="C4500" s="1930" t="s">
        <v>4658</v>
      </c>
      <c r="D4500" s="1930" t="s">
        <v>4659</v>
      </c>
      <c r="E4500" s="1931" t="s">
        <v>33</v>
      </c>
      <c r="F4500" s="1930" t="s">
        <v>33</v>
      </c>
      <c r="G4500" s="1932">
        <v>98083</v>
      </c>
      <c r="H4500" s="1930" t="s">
        <v>5615</v>
      </c>
      <c r="I4500" s="1930" t="s">
        <v>168</v>
      </c>
      <c r="J4500" s="1930" t="s">
        <v>137</v>
      </c>
      <c r="K4500" s="1933">
        <v>3760.06</v>
      </c>
      <c r="L4500" s="1930" t="s">
        <v>138</v>
      </c>
    </row>
    <row r="4501" spans="1:12" ht="13.5" x14ac:dyDescent="0.25">
      <c r="A4501" s="1930" t="s">
        <v>4646</v>
      </c>
      <c r="B4501" s="1930" t="s">
        <v>4647</v>
      </c>
      <c r="C4501" s="1930" t="s">
        <v>4658</v>
      </c>
      <c r="D4501" s="1930" t="s">
        <v>4659</v>
      </c>
      <c r="E4501" s="1931" t="s">
        <v>33</v>
      </c>
      <c r="F4501" s="1930" t="s">
        <v>33</v>
      </c>
      <c r="G4501" s="1932">
        <v>98084</v>
      </c>
      <c r="H4501" s="1930" t="s">
        <v>5616</v>
      </c>
      <c r="I4501" s="1930" t="s">
        <v>168</v>
      </c>
      <c r="J4501" s="1930" t="s">
        <v>137</v>
      </c>
      <c r="K4501" s="1933">
        <v>5284.77</v>
      </c>
      <c r="L4501" s="1930" t="s">
        <v>138</v>
      </c>
    </row>
    <row r="4502" spans="1:12" ht="13.5" x14ac:dyDescent="0.25">
      <c r="A4502" s="1930" t="s">
        <v>4646</v>
      </c>
      <c r="B4502" s="1930" t="s">
        <v>4647</v>
      </c>
      <c r="C4502" s="1930" t="s">
        <v>4658</v>
      </c>
      <c r="D4502" s="1930" t="s">
        <v>4659</v>
      </c>
      <c r="E4502" s="1931" t="s">
        <v>33</v>
      </c>
      <c r="F4502" s="1930" t="s">
        <v>33</v>
      </c>
      <c r="G4502" s="1932">
        <v>98085</v>
      </c>
      <c r="H4502" s="1930" t="s">
        <v>5617</v>
      </c>
      <c r="I4502" s="1930" t="s">
        <v>168</v>
      </c>
      <c r="J4502" s="1930" t="s">
        <v>137</v>
      </c>
      <c r="K4502" s="1933">
        <v>7160.34</v>
      </c>
      <c r="L4502" s="1930" t="s">
        <v>138</v>
      </c>
    </row>
    <row r="4503" spans="1:12" ht="13.5" x14ac:dyDescent="0.25">
      <c r="A4503" s="1930" t="s">
        <v>4646</v>
      </c>
      <c r="B4503" s="1930" t="s">
        <v>4647</v>
      </c>
      <c r="C4503" s="1930" t="s">
        <v>4658</v>
      </c>
      <c r="D4503" s="1930" t="s">
        <v>4659</v>
      </c>
      <c r="E4503" s="1931" t="s">
        <v>33</v>
      </c>
      <c r="F4503" s="1930" t="s">
        <v>33</v>
      </c>
      <c r="G4503" s="1932">
        <v>98086</v>
      </c>
      <c r="H4503" s="1930" t="s">
        <v>5618</v>
      </c>
      <c r="I4503" s="1930" t="s">
        <v>168</v>
      </c>
      <c r="J4503" s="1930" t="s">
        <v>137</v>
      </c>
      <c r="K4503" s="1933">
        <v>8102.4</v>
      </c>
      <c r="L4503" s="1930" t="s">
        <v>138</v>
      </c>
    </row>
    <row r="4504" spans="1:12" ht="13.5" x14ac:dyDescent="0.25">
      <c r="A4504" s="1930" t="s">
        <v>4646</v>
      </c>
      <c r="B4504" s="1930" t="s">
        <v>4647</v>
      </c>
      <c r="C4504" s="1930" t="s">
        <v>4658</v>
      </c>
      <c r="D4504" s="1930" t="s">
        <v>4659</v>
      </c>
      <c r="E4504" s="1931" t="s">
        <v>33</v>
      </c>
      <c r="F4504" s="1930" t="s">
        <v>33</v>
      </c>
      <c r="G4504" s="1932">
        <v>98087</v>
      </c>
      <c r="H4504" s="1930" t="s">
        <v>5619</v>
      </c>
      <c r="I4504" s="1930" t="s">
        <v>168</v>
      </c>
      <c r="J4504" s="1930" t="s">
        <v>137</v>
      </c>
      <c r="K4504" s="1933">
        <v>8685.09</v>
      </c>
      <c r="L4504" s="1930" t="s">
        <v>138</v>
      </c>
    </row>
    <row r="4505" spans="1:12" ht="13.5" x14ac:dyDescent="0.25">
      <c r="A4505" s="1930" t="s">
        <v>4646</v>
      </c>
      <c r="B4505" s="1930" t="s">
        <v>4647</v>
      </c>
      <c r="C4505" s="1930" t="s">
        <v>4658</v>
      </c>
      <c r="D4505" s="1930" t="s">
        <v>4659</v>
      </c>
      <c r="E4505" s="1931" t="s">
        <v>33</v>
      </c>
      <c r="F4505" s="1930" t="s">
        <v>33</v>
      </c>
      <c r="G4505" s="1932">
        <v>98088</v>
      </c>
      <c r="H4505" s="1930" t="s">
        <v>5620</v>
      </c>
      <c r="I4505" s="1930" t="s">
        <v>168</v>
      </c>
      <c r="J4505" s="1930" t="s">
        <v>137</v>
      </c>
      <c r="K4505" s="1933">
        <v>2428.16</v>
      </c>
      <c r="L4505" s="1930" t="s">
        <v>138</v>
      </c>
    </row>
    <row r="4506" spans="1:12" ht="13.5" x14ac:dyDescent="0.25">
      <c r="A4506" s="1930" t="s">
        <v>4646</v>
      </c>
      <c r="B4506" s="1930" t="s">
        <v>4647</v>
      </c>
      <c r="C4506" s="1930" t="s">
        <v>4658</v>
      </c>
      <c r="D4506" s="1930" t="s">
        <v>4659</v>
      </c>
      <c r="E4506" s="1931" t="s">
        <v>33</v>
      </c>
      <c r="F4506" s="1930" t="s">
        <v>33</v>
      </c>
      <c r="G4506" s="1932">
        <v>98089</v>
      </c>
      <c r="H4506" s="1930" t="s">
        <v>5621</v>
      </c>
      <c r="I4506" s="1930" t="s">
        <v>168</v>
      </c>
      <c r="J4506" s="1930" t="s">
        <v>137</v>
      </c>
      <c r="K4506" s="1933">
        <v>3846.37</v>
      </c>
      <c r="L4506" s="1930" t="s">
        <v>138</v>
      </c>
    </row>
    <row r="4507" spans="1:12" ht="13.5" x14ac:dyDescent="0.25">
      <c r="A4507" s="1930" t="s">
        <v>4646</v>
      </c>
      <c r="B4507" s="1930" t="s">
        <v>4647</v>
      </c>
      <c r="C4507" s="1930" t="s">
        <v>4658</v>
      </c>
      <c r="D4507" s="1930" t="s">
        <v>4659</v>
      </c>
      <c r="E4507" s="1931" t="s">
        <v>33</v>
      </c>
      <c r="F4507" s="1930" t="s">
        <v>33</v>
      </c>
      <c r="G4507" s="1932">
        <v>98090</v>
      </c>
      <c r="H4507" s="1930" t="s">
        <v>5622</v>
      </c>
      <c r="I4507" s="1930" t="s">
        <v>168</v>
      </c>
      <c r="J4507" s="1930" t="s">
        <v>137</v>
      </c>
      <c r="K4507" s="1933">
        <v>6051.47</v>
      </c>
      <c r="L4507" s="1930" t="s">
        <v>138</v>
      </c>
    </row>
    <row r="4508" spans="1:12" ht="13.5" x14ac:dyDescent="0.25">
      <c r="A4508" s="1930" t="s">
        <v>4646</v>
      </c>
      <c r="B4508" s="1930" t="s">
        <v>4647</v>
      </c>
      <c r="C4508" s="1930" t="s">
        <v>4658</v>
      </c>
      <c r="D4508" s="1930" t="s">
        <v>4659</v>
      </c>
      <c r="E4508" s="1931" t="s">
        <v>33</v>
      </c>
      <c r="F4508" s="1930" t="s">
        <v>33</v>
      </c>
      <c r="G4508" s="1932">
        <v>98091</v>
      </c>
      <c r="H4508" s="1930" t="s">
        <v>5623</v>
      </c>
      <c r="I4508" s="1930" t="s">
        <v>168</v>
      </c>
      <c r="J4508" s="1930" t="s">
        <v>137</v>
      </c>
      <c r="K4508" s="1933">
        <v>7828.47</v>
      </c>
      <c r="L4508" s="1930" t="s">
        <v>138</v>
      </c>
    </row>
    <row r="4509" spans="1:12" ht="13.5" x14ac:dyDescent="0.25">
      <c r="A4509" s="1930" t="s">
        <v>4646</v>
      </c>
      <c r="B4509" s="1930" t="s">
        <v>4647</v>
      </c>
      <c r="C4509" s="1930" t="s">
        <v>4658</v>
      </c>
      <c r="D4509" s="1930" t="s">
        <v>4659</v>
      </c>
      <c r="E4509" s="1931" t="s">
        <v>33</v>
      </c>
      <c r="F4509" s="1930" t="s">
        <v>33</v>
      </c>
      <c r="G4509" s="1932">
        <v>98092</v>
      </c>
      <c r="H4509" s="1930" t="s">
        <v>5624</v>
      </c>
      <c r="I4509" s="1930" t="s">
        <v>168</v>
      </c>
      <c r="J4509" s="1930" t="s">
        <v>137</v>
      </c>
      <c r="K4509" s="1933">
        <v>9189.2999999999993</v>
      </c>
      <c r="L4509" s="1930" t="s">
        <v>138</v>
      </c>
    </row>
    <row r="4510" spans="1:12" ht="13.5" x14ac:dyDescent="0.25">
      <c r="A4510" s="1930" t="s">
        <v>4646</v>
      </c>
      <c r="B4510" s="1930" t="s">
        <v>4647</v>
      </c>
      <c r="C4510" s="1930" t="s">
        <v>4658</v>
      </c>
      <c r="D4510" s="1930" t="s">
        <v>4659</v>
      </c>
      <c r="E4510" s="1931" t="s">
        <v>33</v>
      </c>
      <c r="F4510" s="1930" t="s">
        <v>33</v>
      </c>
      <c r="G4510" s="1932">
        <v>98093</v>
      </c>
      <c r="H4510" s="1930" t="s">
        <v>5625</v>
      </c>
      <c r="I4510" s="1930" t="s">
        <v>168</v>
      </c>
      <c r="J4510" s="1930" t="s">
        <v>137</v>
      </c>
      <c r="K4510" s="1933">
        <v>10850.83</v>
      </c>
      <c r="L4510" s="1930" t="s">
        <v>138</v>
      </c>
    </row>
    <row r="4511" spans="1:12" ht="13.5" x14ac:dyDescent="0.25">
      <c r="A4511" s="1930" t="s">
        <v>4646</v>
      </c>
      <c r="B4511" s="1930" t="s">
        <v>4647</v>
      </c>
      <c r="C4511" s="1930" t="s">
        <v>4658</v>
      </c>
      <c r="D4511" s="1930" t="s">
        <v>4659</v>
      </c>
      <c r="E4511" s="1931" t="s">
        <v>33</v>
      </c>
      <c r="F4511" s="1930" t="s">
        <v>33</v>
      </c>
      <c r="G4511" s="1932">
        <v>98094</v>
      </c>
      <c r="H4511" s="1930" t="s">
        <v>5626</v>
      </c>
      <c r="I4511" s="1930" t="s">
        <v>168</v>
      </c>
      <c r="J4511" s="1930" t="s">
        <v>137</v>
      </c>
      <c r="K4511" s="1933">
        <v>2012.82</v>
      </c>
      <c r="L4511" s="1930" t="s">
        <v>138</v>
      </c>
    </row>
    <row r="4512" spans="1:12" ht="13.5" x14ac:dyDescent="0.25">
      <c r="A4512" s="1930" t="s">
        <v>4646</v>
      </c>
      <c r="B4512" s="1930" t="s">
        <v>4647</v>
      </c>
      <c r="C4512" s="1930" t="s">
        <v>4658</v>
      </c>
      <c r="D4512" s="1930" t="s">
        <v>4659</v>
      </c>
      <c r="E4512" s="1931" t="s">
        <v>33</v>
      </c>
      <c r="F4512" s="1930" t="s">
        <v>33</v>
      </c>
      <c r="G4512" s="1932">
        <v>98099</v>
      </c>
      <c r="H4512" s="1930" t="s">
        <v>5627</v>
      </c>
      <c r="I4512" s="1930" t="s">
        <v>168</v>
      </c>
      <c r="J4512" s="1930" t="s">
        <v>137</v>
      </c>
      <c r="K4512" s="1933">
        <v>3461.51</v>
      </c>
      <c r="L4512" s="1930" t="s">
        <v>138</v>
      </c>
    </row>
    <row r="4513" spans="1:12" ht="13.5" x14ac:dyDescent="0.25">
      <c r="A4513" s="1930" t="s">
        <v>4646</v>
      </c>
      <c r="B4513" s="1930" t="s">
        <v>4647</v>
      </c>
      <c r="C4513" s="1930" t="s">
        <v>4658</v>
      </c>
      <c r="D4513" s="1930" t="s">
        <v>4659</v>
      </c>
      <c r="E4513" s="1931" t="s">
        <v>33</v>
      </c>
      <c r="F4513" s="1930" t="s">
        <v>33</v>
      </c>
      <c r="G4513" s="1932">
        <v>98100</v>
      </c>
      <c r="H4513" s="1930" t="s">
        <v>5628</v>
      </c>
      <c r="I4513" s="1930" t="s">
        <v>168</v>
      </c>
      <c r="J4513" s="1930" t="s">
        <v>137</v>
      </c>
      <c r="K4513" s="1933">
        <v>4532.37</v>
      </c>
      <c r="L4513" s="1930" t="s">
        <v>138</v>
      </c>
    </row>
    <row r="4514" spans="1:12" ht="13.5" x14ac:dyDescent="0.25">
      <c r="A4514" s="1930" t="s">
        <v>4646</v>
      </c>
      <c r="B4514" s="1930" t="s">
        <v>4647</v>
      </c>
      <c r="C4514" s="1930" t="s">
        <v>4658</v>
      </c>
      <c r="D4514" s="1930" t="s">
        <v>4659</v>
      </c>
      <c r="E4514" s="1931" t="s">
        <v>33</v>
      </c>
      <c r="F4514" s="1930" t="s">
        <v>33</v>
      </c>
      <c r="G4514" s="1932">
        <v>98101</v>
      </c>
      <c r="H4514" s="1930" t="s">
        <v>5629</v>
      </c>
      <c r="I4514" s="1930" t="s">
        <v>168</v>
      </c>
      <c r="J4514" s="1930" t="s">
        <v>137</v>
      </c>
      <c r="K4514" s="1933">
        <v>6713.25</v>
      </c>
      <c r="L4514" s="1930" t="s">
        <v>138</v>
      </c>
    </row>
    <row r="4515" spans="1:12" ht="13.5" x14ac:dyDescent="0.25">
      <c r="A4515" s="1930" t="s">
        <v>4646</v>
      </c>
      <c r="B4515" s="1930" t="s">
        <v>4647</v>
      </c>
      <c r="C4515" s="1930" t="s">
        <v>4658</v>
      </c>
      <c r="D4515" s="1930" t="s">
        <v>4659</v>
      </c>
      <c r="E4515" s="1931" t="s">
        <v>33</v>
      </c>
      <c r="F4515" s="1930" t="s">
        <v>33</v>
      </c>
      <c r="G4515" s="1932">
        <v>98109</v>
      </c>
      <c r="H4515" s="1930" t="s">
        <v>5630</v>
      </c>
      <c r="I4515" s="1930" t="s">
        <v>168</v>
      </c>
      <c r="J4515" s="1930" t="s">
        <v>137</v>
      </c>
      <c r="K4515" s="1933">
        <v>602.84</v>
      </c>
      <c r="L4515" s="1930" t="s">
        <v>138</v>
      </c>
    </row>
    <row r="4516" spans="1:12" ht="13.5" x14ac:dyDescent="0.25">
      <c r="A4516" s="1930" t="s">
        <v>4646</v>
      </c>
      <c r="B4516" s="1930" t="s">
        <v>4647</v>
      </c>
      <c r="C4516" s="1930" t="s">
        <v>4658</v>
      </c>
      <c r="D4516" s="1930" t="s">
        <v>4659</v>
      </c>
      <c r="E4516" s="1931" t="s">
        <v>33</v>
      </c>
      <c r="F4516" s="1930" t="s">
        <v>33</v>
      </c>
      <c r="G4516" s="1932">
        <v>98110</v>
      </c>
      <c r="H4516" s="1930" t="s">
        <v>5631</v>
      </c>
      <c r="I4516" s="1930" t="s">
        <v>168</v>
      </c>
      <c r="J4516" s="1930" t="s">
        <v>320</v>
      </c>
      <c r="K4516" s="1933">
        <v>408.86</v>
      </c>
      <c r="L4516" s="1930" t="s">
        <v>138</v>
      </c>
    </row>
    <row r="4517" spans="1:12" ht="13.5" x14ac:dyDescent="0.25">
      <c r="A4517" s="1930" t="s">
        <v>4646</v>
      </c>
      <c r="B4517" s="1930" t="s">
        <v>4647</v>
      </c>
      <c r="C4517" s="1930" t="s">
        <v>4658</v>
      </c>
      <c r="D4517" s="1930" t="s">
        <v>4659</v>
      </c>
      <c r="E4517" s="1931" t="s">
        <v>33</v>
      </c>
      <c r="F4517" s="1930" t="s">
        <v>33</v>
      </c>
      <c r="G4517" s="1932">
        <v>98111</v>
      </c>
      <c r="H4517" s="1930" t="s">
        <v>5632</v>
      </c>
      <c r="I4517" s="1930" t="s">
        <v>168</v>
      </c>
      <c r="J4517" s="1930" t="s">
        <v>320</v>
      </c>
      <c r="K4517" s="1933">
        <v>21.46</v>
      </c>
      <c r="L4517" s="1930" t="s">
        <v>138</v>
      </c>
    </row>
    <row r="4518" spans="1:12" ht="13.5" x14ac:dyDescent="0.25">
      <c r="A4518" s="1930" t="s">
        <v>4646</v>
      </c>
      <c r="B4518" s="1930" t="s">
        <v>4647</v>
      </c>
      <c r="C4518" s="1930" t="s">
        <v>4658</v>
      </c>
      <c r="D4518" s="1930" t="s">
        <v>4659</v>
      </c>
      <c r="E4518" s="1931" t="s">
        <v>33</v>
      </c>
      <c r="F4518" s="1930" t="s">
        <v>33</v>
      </c>
      <c r="G4518" s="1932">
        <v>98114</v>
      </c>
      <c r="H4518" s="1930" t="s">
        <v>5633</v>
      </c>
      <c r="I4518" s="1930" t="s">
        <v>168</v>
      </c>
      <c r="J4518" s="1930" t="s">
        <v>137</v>
      </c>
      <c r="K4518" s="1933">
        <v>373.53</v>
      </c>
      <c r="L4518" s="1930" t="s">
        <v>138</v>
      </c>
    </row>
    <row r="4519" spans="1:12" ht="13.5" x14ac:dyDescent="0.25">
      <c r="A4519" s="1930" t="s">
        <v>4646</v>
      </c>
      <c r="B4519" s="1930" t="s">
        <v>4647</v>
      </c>
      <c r="C4519" s="1930" t="s">
        <v>4658</v>
      </c>
      <c r="D4519" s="1930" t="s">
        <v>4659</v>
      </c>
      <c r="E4519" s="1931" t="s">
        <v>33</v>
      </c>
      <c r="F4519" s="1930" t="s">
        <v>33</v>
      </c>
      <c r="G4519" s="1932">
        <v>98115</v>
      </c>
      <c r="H4519" s="1930" t="s">
        <v>5634</v>
      </c>
      <c r="I4519" s="1930" t="s">
        <v>168</v>
      </c>
      <c r="J4519" s="1930" t="s">
        <v>137</v>
      </c>
      <c r="K4519" s="1933">
        <v>88.11</v>
      </c>
      <c r="L4519" s="1930" t="s">
        <v>138</v>
      </c>
    </row>
    <row r="4520" spans="1:12" ht="13.5" x14ac:dyDescent="0.25">
      <c r="A4520" s="1930" t="s">
        <v>4646</v>
      </c>
      <c r="B4520" s="1930" t="s">
        <v>4647</v>
      </c>
      <c r="C4520" s="1930" t="s">
        <v>4660</v>
      </c>
      <c r="D4520" s="1930" t="s">
        <v>4661</v>
      </c>
      <c r="E4520" s="1931" t="s">
        <v>33</v>
      </c>
      <c r="F4520" s="1930" t="s">
        <v>33</v>
      </c>
      <c r="G4520" s="1932">
        <v>89957</v>
      </c>
      <c r="H4520" s="1930" t="s">
        <v>3240</v>
      </c>
      <c r="I4520" s="1930" t="s">
        <v>168</v>
      </c>
      <c r="J4520" s="1930" t="s">
        <v>320</v>
      </c>
      <c r="K4520" s="1933">
        <v>104.63</v>
      </c>
      <c r="L4520" s="1930" t="s">
        <v>138</v>
      </c>
    </row>
    <row r="4521" spans="1:12" ht="13.5" x14ac:dyDescent="0.25">
      <c r="A4521" s="1930" t="s">
        <v>4646</v>
      </c>
      <c r="B4521" s="1930" t="s">
        <v>4647</v>
      </c>
      <c r="C4521" s="1930" t="s">
        <v>4660</v>
      </c>
      <c r="D4521" s="1930" t="s">
        <v>4661</v>
      </c>
      <c r="E4521" s="1931" t="s">
        <v>33</v>
      </c>
      <c r="F4521" s="1930" t="s">
        <v>33</v>
      </c>
      <c r="G4521" s="1932">
        <v>89959</v>
      </c>
      <c r="H4521" s="1930" t="s">
        <v>3241</v>
      </c>
      <c r="I4521" s="1930" t="s">
        <v>168</v>
      </c>
      <c r="J4521" s="1930" t="s">
        <v>320</v>
      </c>
      <c r="K4521" s="1933">
        <v>155.47999999999999</v>
      </c>
      <c r="L4521" s="1930" t="s">
        <v>138</v>
      </c>
    </row>
    <row r="4522" spans="1:12" ht="13.5" x14ac:dyDescent="0.25">
      <c r="A4522" s="1930" t="s">
        <v>4646</v>
      </c>
      <c r="B4522" s="1930" t="s">
        <v>4647</v>
      </c>
      <c r="C4522" s="1930" t="s">
        <v>4662</v>
      </c>
      <c r="D4522" s="1930" t="s">
        <v>4663</v>
      </c>
      <c r="E4522" s="1931" t="s">
        <v>33</v>
      </c>
      <c r="F4522" s="1930" t="s">
        <v>33</v>
      </c>
      <c r="G4522" s="1932">
        <v>89349</v>
      </c>
      <c r="H4522" s="1930" t="s">
        <v>3242</v>
      </c>
      <c r="I4522" s="1930" t="s">
        <v>168</v>
      </c>
      <c r="J4522" s="1930" t="s">
        <v>320</v>
      </c>
      <c r="K4522" s="1933">
        <v>26.06</v>
      </c>
      <c r="L4522" s="1930" t="s">
        <v>138</v>
      </c>
    </row>
    <row r="4523" spans="1:12" ht="13.5" x14ac:dyDescent="0.25">
      <c r="A4523" s="1930" t="s">
        <v>4646</v>
      </c>
      <c r="B4523" s="1930" t="s">
        <v>4647</v>
      </c>
      <c r="C4523" s="1930" t="s">
        <v>4662</v>
      </c>
      <c r="D4523" s="1930" t="s">
        <v>4663</v>
      </c>
      <c r="E4523" s="1931" t="s">
        <v>33</v>
      </c>
      <c r="F4523" s="1930" t="s">
        <v>33</v>
      </c>
      <c r="G4523" s="1932">
        <v>89351</v>
      </c>
      <c r="H4523" s="1930" t="s">
        <v>8106</v>
      </c>
      <c r="I4523" s="1930" t="s">
        <v>168</v>
      </c>
      <c r="J4523" s="1930" t="s">
        <v>320</v>
      </c>
      <c r="K4523" s="1933">
        <v>29.71</v>
      </c>
      <c r="L4523" s="1930" t="s">
        <v>138</v>
      </c>
    </row>
    <row r="4524" spans="1:12" ht="13.5" x14ac:dyDescent="0.25">
      <c r="A4524" s="1930" t="s">
        <v>4646</v>
      </c>
      <c r="B4524" s="1930" t="s">
        <v>4647</v>
      </c>
      <c r="C4524" s="1930" t="s">
        <v>4662</v>
      </c>
      <c r="D4524" s="1930" t="s">
        <v>4663</v>
      </c>
      <c r="E4524" s="1931" t="s">
        <v>33</v>
      </c>
      <c r="F4524" s="1930" t="s">
        <v>33</v>
      </c>
      <c r="G4524" s="1932">
        <v>89352</v>
      </c>
      <c r="H4524" s="1930" t="s">
        <v>3243</v>
      </c>
      <c r="I4524" s="1930" t="s">
        <v>168</v>
      </c>
      <c r="J4524" s="1930" t="s">
        <v>320</v>
      </c>
      <c r="K4524" s="1933">
        <v>33.799999999999997</v>
      </c>
      <c r="L4524" s="1930" t="s">
        <v>138</v>
      </c>
    </row>
    <row r="4525" spans="1:12" ht="13.5" x14ac:dyDescent="0.25">
      <c r="A4525" s="1930" t="s">
        <v>4646</v>
      </c>
      <c r="B4525" s="1930" t="s">
        <v>4647</v>
      </c>
      <c r="C4525" s="1930" t="s">
        <v>4662</v>
      </c>
      <c r="D4525" s="1930" t="s">
        <v>4663</v>
      </c>
      <c r="E4525" s="1931" t="s">
        <v>33</v>
      </c>
      <c r="F4525" s="1930" t="s">
        <v>33</v>
      </c>
      <c r="G4525" s="1932">
        <v>89353</v>
      </c>
      <c r="H4525" s="1930" t="s">
        <v>3244</v>
      </c>
      <c r="I4525" s="1930" t="s">
        <v>168</v>
      </c>
      <c r="J4525" s="1930" t="s">
        <v>320</v>
      </c>
      <c r="K4525" s="1933">
        <v>35.26</v>
      </c>
      <c r="L4525" s="1930" t="s">
        <v>138</v>
      </c>
    </row>
    <row r="4526" spans="1:12" ht="13.5" x14ac:dyDescent="0.25">
      <c r="A4526" s="1930" t="s">
        <v>4646</v>
      </c>
      <c r="B4526" s="1930" t="s">
        <v>4647</v>
      </c>
      <c r="C4526" s="1930" t="s">
        <v>4662</v>
      </c>
      <c r="D4526" s="1930" t="s">
        <v>4663</v>
      </c>
      <c r="E4526" s="1931" t="s">
        <v>33</v>
      </c>
      <c r="F4526" s="1930" t="s">
        <v>33</v>
      </c>
      <c r="G4526" s="1932">
        <v>89354</v>
      </c>
      <c r="H4526" s="1930" t="s">
        <v>3245</v>
      </c>
      <c r="I4526" s="1930" t="s">
        <v>168</v>
      </c>
      <c r="J4526" s="1930" t="s">
        <v>320</v>
      </c>
      <c r="K4526" s="1933">
        <v>230.13</v>
      </c>
      <c r="L4526" s="1930" t="s">
        <v>138</v>
      </c>
    </row>
    <row r="4527" spans="1:12" ht="13.5" x14ac:dyDescent="0.25">
      <c r="A4527" s="1930" t="s">
        <v>4646</v>
      </c>
      <c r="B4527" s="1930" t="s">
        <v>4647</v>
      </c>
      <c r="C4527" s="1930" t="s">
        <v>4662</v>
      </c>
      <c r="D4527" s="1930" t="s">
        <v>4663</v>
      </c>
      <c r="E4527" s="1931" t="s">
        <v>33</v>
      </c>
      <c r="F4527" s="1930" t="s">
        <v>33</v>
      </c>
      <c r="G4527" s="1932">
        <v>89969</v>
      </c>
      <c r="H4527" s="1930" t="s">
        <v>3246</v>
      </c>
      <c r="I4527" s="1930" t="s">
        <v>168</v>
      </c>
      <c r="J4527" s="1930" t="s">
        <v>320</v>
      </c>
      <c r="K4527" s="1933">
        <v>36.64</v>
      </c>
      <c r="L4527" s="1930" t="s">
        <v>138</v>
      </c>
    </row>
    <row r="4528" spans="1:12" ht="13.5" x14ac:dyDescent="0.25">
      <c r="A4528" s="1930" t="s">
        <v>4646</v>
      </c>
      <c r="B4528" s="1930" t="s">
        <v>4647</v>
      </c>
      <c r="C4528" s="1930" t="s">
        <v>4662</v>
      </c>
      <c r="D4528" s="1930" t="s">
        <v>4663</v>
      </c>
      <c r="E4528" s="1931" t="s">
        <v>33</v>
      </c>
      <c r="F4528" s="1930" t="s">
        <v>33</v>
      </c>
      <c r="G4528" s="1932">
        <v>89970</v>
      </c>
      <c r="H4528" s="1930" t="s">
        <v>3247</v>
      </c>
      <c r="I4528" s="1930" t="s">
        <v>168</v>
      </c>
      <c r="J4528" s="1930" t="s">
        <v>320</v>
      </c>
      <c r="K4528" s="1933">
        <v>40.35</v>
      </c>
      <c r="L4528" s="1930" t="s">
        <v>138</v>
      </c>
    </row>
    <row r="4529" spans="1:12" ht="13.5" x14ac:dyDescent="0.25">
      <c r="A4529" s="1930" t="s">
        <v>4646</v>
      </c>
      <c r="B4529" s="1930" t="s">
        <v>4647</v>
      </c>
      <c r="C4529" s="1930" t="s">
        <v>4662</v>
      </c>
      <c r="D4529" s="1930" t="s">
        <v>4663</v>
      </c>
      <c r="E4529" s="1931" t="s">
        <v>33</v>
      </c>
      <c r="F4529" s="1930" t="s">
        <v>33</v>
      </c>
      <c r="G4529" s="1932">
        <v>89971</v>
      </c>
      <c r="H4529" s="1930" t="s">
        <v>3248</v>
      </c>
      <c r="I4529" s="1930" t="s">
        <v>168</v>
      </c>
      <c r="J4529" s="1930" t="s">
        <v>320</v>
      </c>
      <c r="K4529" s="1933">
        <v>42.3</v>
      </c>
      <c r="L4529" s="1930" t="s">
        <v>138</v>
      </c>
    </row>
    <row r="4530" spans="1:12" ht="13.5" x14ac:dyDescent="0.25">
      <c r="A4530" s="1930" t="s">
        <v>4646</v>
      </c>
      <c r="B4530" s="1930" t="s">
        <v>4647</v>
      </c>
      <c r="C4530" s="1930" t="s">
        <v>4662</v>
      </c>
      <c r="D4530" s="1930" t="s">
        <v>4663</v>
      </c>
      <c r="E4530" s="1931" t="s">
        <v>33</v>
      </c>
      <c r="F4530" s="1930" t="s">
        <v>33</v>
      </c>
      <c r="G4530" s="1932">
        <v>89972</v>
      </c>
      <c r="H4530" s="1930" t="s">
        <v>3249</v>
      </c>
      <c r="I4530" s="1930" t="s">
        <v>168</v>
      </c>
      <c r="J4530" s="1930" t="s">
        <v>320</v>
      </c>
      <c r="K4530" s="1933">
        <v>45.34</v>
      </c>
      <c r="L4530" s="1930" t="s">
        <v>138</v>
      </c>
    </row>
    <row r="4531" spans="1:12" ht="13.5" x14ac:dyDescent="0.25">
      <c r="A4531" s="1930" t="s">
        <v>4646</v>
      </c>
      <c r="B4531" s="1930" t="s">
        <v>4647</v>
      </c>
      <c r="C4531" s="1930" t="s">
        <v>4662</v>
      </c>
      <c r="D4531" s="1930" t="s">
        <v>4663</v>
      </c>
      <c r="E4531" s="1931" t="s">
        <v>33</v>
      </c>
      <c r="F4531" s="1930" t="s">
        <v>33</v>
      </c>
      <c r="G4531" s="1932">
        <v>89973</v>
      </c>
      <c r="H4531" s="1930" t="s">
        <v>3250</v>
      </c>
      <c r="I4531" s="1930" t="s">
        <v>168</v>
      </c>
      <c r="J4531" s="1930" t="s">
        <v>320</v>
      </c>
      <c r="K4531" s="1933">
        <v>353.65</v>
      </c>
      <c r="L4531" s="1930" t="s">
        <v>138</v>
      </c>
    </row>
    <row r="4532" spans="1:12" ht="13.5" x14ac:dyDescent="0.25">
      <c r="A4532" s="1930" t="s">
        <v>4646</v>
      </c>
      <c r="B4532" s="1930" t="s">
        <v>4647</v>
      </c>
      <c r="C4532" s="1930" t="s">
        <v>4662</v>
      </c>
      <c r="D4532" s="1930" t="s">
        <v>4663</v>
      </c>
      <c r="E4532" s="1931" t="s">
        <v>33</v>
      </c>
      <c r="F4532" s="1930" t="s">
        <v>33</v>
      </c>
      <c r="G4532" s="1932">
        <v>89974</v>
      </c>
      <c r="H4532" s="1930" t="s">
        <v>3251</v>
      </c>
      <c r="I4532" s="1930" t="s">
        <v>168</v>
      </c>
      <c r="J4532" s="1930" t="s">
        <v>320</v>
      </c>
      <c r="K4532" s="1933">
        <v>192</v>
      </c>
      <c r="L4532" s="1930" t="s">
        <v>138</v>
      </c>
    </row>
    <row r="4533" spans="1:12" ht="13.5" x14ac:dyDescent="0.25">
      <c r="A4533" s="1930" t="s">
        <v>4646</v>
      </c>
      <c r="B4533" s="1930" t="s">
        <v>4647</v>
      </c>
      <c r="C4533" s="1930" t="s">
        <v>4662</v>
      </c>
      <c r="D4533" s="1930" t="s">
        <v>4663</v>
      </c>
      <c r="E4533" s="1931" t="s">
        <v>33</v>
      </c>
      <c r="F4533" s="1930" t="s">
        <v>33</v>
      </c>
      <c r="G4533" s="1932">
        <v>89984</v>
      </c>
      <c r="H4533" s="1930" t="s">
        <v>3252</v>
      </c>
      <c r="I4533" s="1930" t="s">
        <v>168</v>
      </c>
      <c r="J4533" s="1930" t="s">
        <v>320</v>
      </c>
      <c r="K4533" s="1933">
        <v>72.069999999999993</v>
      </c>
      <c r="L4533" s="1930" t="s">
        <v>138</v>
      </c>
    </row>
    <row r="4534" spans="1:12" ht="13.5" x14ac:dyDescent="0.25">
      <c r="A4534" s="1930" t="s">
        <v>4646</v>
      </c>
      <c r="B4534" s="1930" t="s">
        <v>4647</v>
      </c>
      <c r="C4534" s="1930" t="s">
        <v>4662</v>
      </c>
      <c r="D4534" s="1930" t="s">
        <v>4663</v>
      </c>
      <c r="E4534" s="1931" t="s">
        <v>33</v>
      </c>
      <c r="F4534" s="1930" t="s">
        <v>33</v>
      </c>
      <c r="G4534" s="1932">
        <v>89985</v>
      </c>
      <c r="H4534" s="1930" t="s">
        <v>3253</v>
      </c>
      <c r="I4534" s="1930" t="s">
        <v>168</v>
      </c>
      <c r="J4534" s="1930" t="s">
        <v>320</v>
      </c>
      <c r="K4534" s="1933">
        <v>74.17</v>
      </c>
      <c r="L4534" s="1930" t="s">
        <v>138</v>
      </c>
    </row>
    <row r="4535" spans="1:12" ht="13.5" x14ac:dyDescent="0.25">
      <c r="A4535" s="1930" t="s">
        <v>4646</v>
      </c>
      <c r="B4535" s="1930" t="s">
        <v>4647</v>
      </c>
      <c r="C4535" s="1930" t="s">
        <v>4662</v>
      </c>
      <c r="D4535" s="1930" t="s">
        <v>4663</v>
      </c>
      <c r="E4535" s="1931" t="s">
        <v>33</v>
      </c>
      <c r="F4535" s="1930" t="s">
        <v>33</v>
      </c>
      <c r="G4535" s="1932">
        <v>89986</v>
      </c>
      <c r="H4535" s="1930" t="s">
        <v>3254</v>
      </c>
      <c r="I4535" s="1930" t="s">
        <v>168</v>
      </c>
      <c r="J4535" s="1930" t="s">
        <v>320</v>
      </c>
      <c r="K4535" s="1933">
        <v>70.290000000000006</v>
      </c>
      <c r="L4535" s="1930" t="s">
        <v>138</v>
      </c>
    </row>
    <row r="4536" spans="1:12" ht="13.5" x14ac:dyDescent="0.25">
      <c r="A4536" s="1930" t="s">
        <v>4646</v>
      </c>
      <c r="B4536" s="1930" t="s">
        <v>4647</v>
      </c>
      <c r="C4536" s="1930" t="s">
        <v>4662</v>
      </c>
      <c r="D4536" s="1930" t="s">
        <v>4663</v>
      </c>
      <c r="E4536" s="1931" t="s">
        <v>33</v>
      </c>
      <c r="F4536" s="1930" t="s">
        <v>33</v>
      </c>
      <c r="G4536" s="1932">
        <v>89987</v>
      </c>
      <c r="H4536" s="1930" t="s">
        <v>3255</v>
      </c>
      <c r="I4536" s="1930" t="s">
        <v>168</v>
      </c>
      <c r="J4536" s="1930" t="s">
        <v>320</v>
      </c>
      <c r="K4536" s="1933">
        <v>78.06</v>
      </c>
      <c r="L4536" s="1930" t="s">
        <v>138</v>
      </c>
    </row>
    <row r="4537" spans="1:12" ht="13.5" x14ac:dyDescent="0.25">
      <c r="A4537" s="1930" t="s">
        <v>4646</v>
      </c>
      <c r="B4537" s="1930" t="s">
        <v>4647</v>
      </c>
      <c r="C4537" s="1930" t="s">
        <v>4662</v>
      </c>
      <c r="D4537" s="1930" t="s">
        <v>4663</v>
      </c>
      <c r="E4537" s="1931" t="s">
        <v>33</v>
      </c>
      <c r="F4537" s="1930" t="s">
        <v>33</v>
      </c>
      <c r="G4537" s="1932">
        <v>90371</v>
      </c>
      <c r="H4537" s="1930" t="s">
        <v>3256</v>
      </c>
      <c r="I4537" s="1930" t="s">
        <v>168</v>
      </c>
      <c r="J4537" s="1930" t="s">
        <v>320</v>
      </c>
      <c r="K4537" s="1933">
        <v>36.17</v>
      </c>
      <c r="L4537" s="1930" t="s">
        <v>138</v>
      </c>
    </row>
    <row r="4538" spans="1:12" ht="13.5" x14ac:dyDescent="0.25">
      <c r="A4538" s="1930" t="s">
        <v>4646</v>
      </c>
      <c r="B4538" s="1930" t="s">
        <v>4647</v>
      </c>
      <c r="C4538" s="1930" t="s">
        <v>4662</v>
      </c>
      <c r="D4538" s="1930" t="s">
        <v>4663</v>
      </c>
      <c r="E4538" s="1931" t="s">
        <v>33</v>
      </c>
      <c r="F4538" s="1930" t="s">
        <v>33</v>
      </c>
      <c r="G4538" s="1932">
        <v>94489</v>
      </c>
      <c r="H4538" s="1930" t="s">
        <v>3257</v>
      </c>
      <c r="I4538" s="1930" t="s">
        <v>168</v>
      </c>
      <c r="J4538" s="1930" t="s">
        <v>320</v>
      </c>
      <c r="K4538" s="1933">
        <v>33.020000000000003</v>
      </c>
      <c r="L4538" s="1930" t="s">
        <v>138</v>
      </c>
    </row>
    <row r="4539" spans="1:12" ht="13.5" x14ac:dyDescent="0.25">
      <c r="A4539" s="1930" t="s">
        <v>4646</v>
      </c>
      <c r="B4539" s="1930" t="s">
        <v>4647</v>
      </c>
      <c r="C4539" s="1930" t="s">
        <v>4662</v>
      </c>
      <c r="D4539" s="1930" t="s">
        <v>4663</v>
      </c>
      <c r="E4539" s="1931" t="s">
        <v>33</v>
      </c>
      <c r="F4539" s="1930" t="s">
        <v>33</v>
      </c>
      <c r="G4539" s="1932">
        <v>94490</v>
      </c>
      <c r="H4539" s="1930" t="s">
        <v>3258</v>
      </c>
      <c r="I4539" s="1930" t="s">
        <v>168</v>
      </c>
      <c r="J4539" s="1930" t="s">
        <v>320</v>
      </c>
      <c r="K4539" s="1933">
        <v>54.02</v>
      </c>
      <c r="L4539" s="1930" t="s">
        <v>138</v>
      </c>
    </row>
    <row r="4540" spans="1:12" ht="13.5" x14ac:dyDescent="0.25">
      <c r="A4540" s="1930" t="s">
        <v>4646</v>
      </c>
      <c r="B4540" s="1930" t="s">
        <v>4647</v>
      </c>
      <c r="C4540" s="1930" t="s">
        <v>4662</v>
      </c>
      <c r="D4540" s="1930" t="s">
        <v>4663</v>
      </c>
      <c r="E4540" s="1931" t="s">
        <v>33</v>
      </c>
      <c r="F4540" s="1930" t="s">
        <v>33</v>
      </c>
      <c r="G4540" s="1932">
        <v>94491</v>
      </c>
      <c r="H4540" s="1930" t="s">
        <v>3259</v>
      </c>
      <c r="I4540" s="1930" t="s">
        <v>168</v>
      </c>
      <c r="J4540" s="1930" t="s">
        <v>320</v>
      </c>
      <c r="K4540" s="1933">
        <v>73.63</v>
      </c>
      <c r="L4540" s="1930" t="s">
        <v>138</v>
      </c>
    </row>
    <row r="4541" spans="1:12" ht="13.5" x14ac:dyDescent="0.25">
      <c r="A4541" s="1930" t="s">
        <v>4646</v>
      </c>
      <c r="B4541" s="1930" t="s">
        <v>4647</v>
      </c>
      <c r="C4541" s="1930" t="s">
        <v>4662</v>
      </c>
      <c r="D4541" s="1930" t="s">
        <v>4663</v>
      </c>
      <c r="E4541" s="1931" t="s">
        <v>33</v>
      </c>
      <c r="F4541" s="1930" t="s">
        <v>33</v>
      </c>
      <c r="G4541" s="1932">
        <v>94492</v>
      </c>
      <c r="H4541" s="1930" t="s">
        <v>3260</v>
      </c>
      <c r="I4541" s="1930" t="s">
        <v>168</v>
      </c>
      <c r="J4541" s="1930" t="s">
        <v>320</v>
      </c>
      <c r="K4541" s="1933">
        <v>75.67</v>
      </c>
      <c r="L4541" s="1930" t="s">
        <v>138</v>
      </c>
    </row>
    <row r="4542" spans="1:12" ht="13.5" x14ac:dyDescent="0.25">
      <c r="A4542" s="1930" t="s">
        <v>4646</v>
      </c>
      <c r="B4542" s="1930" t="s">
        <v>4647</v>
      </c>
      <c r="C4542" s="1930" t="s">
        <v>4662</v>
      </c>
      <c r="D4542" s="1930" t="s">
        <v>4663</v>
      </c>
      <c r="E4542" s="1931" t="s">
        <v>33</v>
      </c>
      <c r="F4542" s="1930" t="s">
        <v>33</v>
      </c>
      <c r="G4542" s="1932">
        <v>94493</v>
      </c>
      <c r="H4542" s="1930" t="s">
        <v>3261</v>
      </c>
      <c r="I4542" s="1930" t="s">
        <v>168</v>
      </c>
      <c r="J4542" s="1930" t="s">
        <v>320</v>
      </c>
      <c r="K4542" s="1933">
        <v>138.19</v>
      </c>
      <c r="L4542" s="1930" t="s">
        <v>138</v>
      </c>
    </row>
    <row r="4543" spans="1:12" ht="13.5" x14ac:dyDescent="0.25">
      <c r="A4543" s="1930" t="s">
        <v>4646</v>
      </c>
      <c r="B4543" s="1930" t="s">
        <v>4647</v>
      </c>
      <c r="C4543" s="1930" t="s">
        <v>4662</v>
      </c>
      <c r="D4543" s="1930" t="s">
        <v>4663</v>
      </c>
      <c r="E4543" s="1931" t="s">
        <v>33</v>
      </c>
      <c r="F4543" s="1930" t="s">
        <v>33</v>
      </c>
      <c r="G4543" s="1932">
        <v>94494</v>
      </c>
      <c r="H4543" s="1930" t="s">
        <v>3262</v>
      </c>
      <c r="I4543" s="1930" t="s">
        <v>168</v>
      </c>
      <c r="J4543" s="1930" t="s">
        <v>320</v>
      </c>
      <c r="K4543" s="1933">
        <v>55.48</v>
      </c>
      <c r="L4543" s="1930" t="s">
        <v>138</v>
      </c>
    </row>
    <row r="4544" spans="1:12" ht="13.5" x14ac:dyDescent="0.25">
      <c r="A4544" s="1930" t="s">
        <v>4646</v>
      </c>
      <c r="B4544" s="1930" t="s">
        <v>4647</v>
      </c>
      <c r="C4544" s="1930" t="s">
        <v>4662</v>
      </c>
      <c r="D4544" s="1930" t="s">
        <v>4663</v>
      </c>
      <c r="E4544" s="1931" t="s">
        <v>33</v>
      </c>
      <c r="F4544" s="1930" t="s">
        <v>33</v>
      </c>
      <c r="G4544" s="1932">
        <v>94495</v>
      </c>
      <c r="H4544" s="1930" t="s">
        <v>3263</v>
      </c>
      <c r="I4544" s="1930" t="s">
        <v>168</v>
      </c>
      <c r="J4544" s="1930" t="s">
        <v>320</v>
      </c>
      <c r="K4544" s="1933">
        <v>71.7</v>
      </c>
      <c r="L4544" s="1930" t="s">
        <v>138</v>
      </c>
    </row>
    <row r="4545" spans="1:12" ht="13.5" x14ac:dyDescent="0.25">
      <c r="A4545" s="1930" t="s">
        <v>4646</v>
      </c>
      <c r="B4545" s="1930" t="s">
        <v>4647</v>
      </c>
      <c r="C4545" s="1930" t="s">
        <v>4662</v>
      </c>
      <c r="D4545" s="1930" t="s">
        <v>4663</v>
      </c>
      <c r="E4545" s="1931" t="s">
        <v>33</v>
      </c>
      <c r="F4545" s="1930" t="s">
        <v>33</v>
      </c>
      <c r="G4545" s="1932">
        <v>94496</v>
      </c>
      <c r="H4545" s="1930" t="s">
        <v>3264</v>
      </c>
      <c r="I4545" s="1930" t="s">
        <v>168</v>
      </c>
      <c r="J4545" s="1930" t="s">
        <v>320</v>
      </c>
      <c r="K4545" s="1933">
        <v>88.39</v>
      </c>
      <c r="L4545" s="1930" t="s">
        <v>138</v>
      </c>
    </row>
    <row r="4546" spans="1:12" ht="13.5" x14ac:dyDescent="0.25">
      <c r="A4546" s="1930" t="s">
        <v>4646</v>
      </c>
      <c r="B4546" s="1930" t="s">
        <v>4647</v>
      </c>
      <c r="C4546" s="1930" t="s">
        <v>4662</v>
      </c>
      <c r="D4546" s="1930" t="s">
        <v>4663</v>
      </c>
      <c r="E4546" s="1931" t="s">
        <v>33</v>
      </c>
      <c r="F4546" s="1930" t="s">
        <v>33</v>
      </c>
      <c r="G4546" s="1932">
        <v>94497</v>
      </c>
      <c r="H4546" s="1930" t="s">
        <v>3265</v>
      </c>
      <c r="I4546" s="1930" t="s">
        <v>168</v>
      </c>
      <c r="J4546" s="1930" t="s">
        <v>320</v>
      </c>
      <c r="K4546" s="1933">
        <v>104.23</v>
      </c>
      <c r="L4546" s="1930" t="s">
        <v>138</v>
      </c>
    </row>
    <row r="4547" spans="1:12" ht="13.5" x14ac:dyDescent="0.25">
      <c r="A4547" s="1930" t="s">
        <v>4646</v>
      </c>
      <c r="B4547" s="1930" t="s">
        <v>4647</v>
      </c>
      <c r="C4547" s="1930" t="s">
        <v>4662</v>
      </c>
      <c r="D4547" s="1930" t="s">
        <v>4663</v>
      </c>
      <c r="E4547" s="1931" t="s">
        <v>33</v>
      </c>
      <c r="F4547" s="1930" t="s">
        <v>33</v>
      </c>
      <c r="G4547" s="1932">
        <v>94498</v>
      </c>
      <c r="H4547" s="1930" t="s">
        <v>3266</v>
      </c>
      <c r="I4547" s="1930" t="s">
        <v>168</v>
      </c>
      <c r="J4547" s="1930" t="s">
        <v>320</v>
      </c>
      <c r="K4547" s="1933">
        <v>135.41999999999999</v>
      </c>
      <c r="L4547" s="1930" t="s">
        <v>138</v>
      </c>
    </row>
    <row r="4548" spans="1:12" ht="13.5" x14ac:dyDescent="0.25">
      <c r="A4548" s="1930" t="s">
        <v>4646</v>
      </c>
      <c r="B4548" s="1930" t="s">
        <v>4647</v>
      </c>
      <c r="C4548" s="1930" t="s">
        <v>4662</v>
      </c>
      <c r="D4548" s="1930" t="s">
        <v>4663</v>
      </c>
      <c r="E4548" s="1931" t="s">
        <v>33</v>
      </c>
      <c r="F4548" s="1930" t="s">
        <v>33</v>
      </c>
      <c r="G4548" s="1932">
        <v>94499</v>
      </c>
      <c r="H4548" s="1930" t="s">
        <v>3267</v>
      </c>
      <c r="I4548" s="1930" t="s">
        <v>168</v>
      </c>
      <c r="J4548" s="1930" t="s">
        <v>320</v>
      </c>
      <c r="K4548" s="1933">
        <v>249.34</v>
      </c>
      <c r="L4548" s="1930" t="s">
        <v>138</v>
      </c>
    </row>
    <row r="4549" spans="1:12" ht="13.5" x14ac:dyDescent="0.25">
      <c r="A4549" s="1930" t="s">
        <v>4646</v>
      </c>
      <c r="B4549" s="1930" t="s">
        <v>4647</v>
      </c>
      <c r="C4549" s="1930" t="s">
        <v>4662</v>
      </c>
      <c r="D4549" s="1930" t="s">
        <v>4663</v>
      </c>
      <c r="E4549" s="1931" t="s">
        <v>33</v>
      </c>
      <c r="F4549" s="1930" t="s">
        <v>33</v>
      </c>
      <c r="G4549" s="1932">
        <v>94500</v>
      </c>
      <c r="H4549" s="1930" t="s">
        <v>3268</v>
      </c>
      <c r="I4549" s="1930" t="s">
        <v>168</v>
      </c>
      <c r="J4549" s="1930" t="s">
        <v>320</v>
      </c>
      <c r="K4549" s="1933">
        <v>296.97000000000003</v>
      </c>
      <c r="L4549" s="1930" t="s">
        <v>138</v>
      </c>
    </row>
    <row r="4550" spans="1:12" ht="13.5" x14ac:dyDescent="0.25">
      <c r="A4550" s="1930" t="s">
        <v>4646</v>
      </c>
      <c r="B4550" s="1930" t="s">
        <v>4647</v>
      </c>
      <c r="C4550" s="1930" t="s">
        <v>4662</v>
      </c>
      <c r="D4550" s="1930" t="s">
        <v>4663</v>
      </c>
      <c r="E4550" s="1931" t="s">
        <v>33</v>
      </c>
      <c r="F4550" s="1930" t="s">
        <v>33</v>
      </c>
      <c r="G4550" s="1932">
        <v>94501</v>
      </c>
      <c r="H4550" s="1930" t="s">
        <v>3269</v>
      </c>
      <c r="I4550" s="1930" t="s">
        <v>168</v>
      </c>
      <c r="J4550" s="1930" t="s">
        <v>320</v>
      </c>
      <c r="K4550" s="1933">
        <v>585.6</v>
      </c>
      <c r="L4550" s="1930" t="s">
        <v>138</v>
      </c>
    </row>
    <row r="4551" spans="1:12" ht="13.5" x14ac:dyDescent="0.25">
      <c r="A4551" s="1930" t="s">
        <v>4646</v>
      </c>
      <c r="B4551" s="1930" t="s">
        <v>4647</v>
      </c>
      <c r="C4551" s="1930" t="s">
        <v>4662</v>
      </c>
      <c r="D4551" s="1930" t="s">
        <v>4663</v>
      </c>
      <c r="E4551" s="1931" t="s">
        <v>33</v>
      </c>
      <c r="F4551" s="1930" t="s">
        <v>33</v>
      </c>
      <c r="G4551" s="1932">
        <v>94792</v>
      </c>
      <c r="H4551" s="1930" t="s">
        <v>3270</v>
      </c>
      <c r="I4551" s="1930" t="s">
        <v>168</v>
      </c>
      <c r="J4551" s="1930" t="s">
        <v>320</v>
      </c>
      <c r="K4551" s="1933">
        <v>111.18</v>
      </c>
      <c r="L4551" s="1930" t="s">
        <v>138</v>
      </c>
    </row>
    <row r="4552" spans="1:12" ht="13.5" x14ac:dyDescent="0.25">
      <c r="A4552" s="1930" t="s">
        <v>4646</v>
      </c>
      <c r="B4552" s="1930" t="s">
        <v>4647</v>
      </c>
      <c r="C4552" s="1930" t="s">
        <v>4662</v>
      </c>
      <c r="D4552" s="1930" t="s">
        <v>4663</v>
      </c>
      <c r="E4552" s="1931" t="s">
        <v>33</v>
      </c>
      <c r="F4552" s="1930" t="s">
        <v>33</v>
      </c>
      <c r="G4552" s="1932">
        <v>94793</v>
      </c>
      <c r="H4552" s="1930" t="s">
        <v>3271</v>
      </c>
      <c r="I4552" s="1930" t="s">
        <v>168</v>
      </c>
      <c r="J4552" s="1930" t="s">
        <v>320</v>
      </c>
      <c r="K4552" s="1933">
        <v>144.5</v>
      </c>
      <c r="L4552" s="1930" t="s">
        <v>138</v>
      </c>
    </row>
    <row r="4553" spans="1:12" ht="13.5" x14ac:dyDescent="0.25">
      <c r="A4553" s="1930" t="s">
        <v>4646</v>
      </c>
      <c r="B4553" s="1930" t="s">
        <v>4647</v>
      </c>
      <c r="C4553" s="1930" t="s">
        <v>4662</v>
      </c>
      <c r="D4553" s="1930" t="s">
        <v>4663</v>
      </c>
      <c r="E4553" s="1931" t="s">
        <v>33</v>
      </c>
      <c r="F4553" s="1930" t="s">
        <v>33</v>
      </c>
      <c r="G4553" s="1932">
        <v>94794</v>
      </c>
      <c r="H4553" s="1930" t="s">
        <v>3272</v>
      </c>
      <c r="I4553" s="1930" t="s">
        <v>168</v>
      </c>
      <c r="J4553" s="1930" t="s">
        <v>320</v>
      </c>
      <c r="K4553" s="1933">
        <v>149.85</v>
      </c>
      <c r="L4553" s="1930" t="s">
        <v>138</v>
      </c>
    </row>
    <row r="4554" spans="1:12" ht="13.5" x14ac:dyDescent="0.25">
      <c r="A4554" s="1930" t="s">
        <v>4646</v>
      </c>
      <c r="B4554" s="1930" t="s">
        <v>4647</v>
      </c>
      <c r="C4554" s="1930" t="s">
        <v>4662</v>
      </c>
      <c r="D4554" s="1930" t="s">
        <v>4663</v>
      </c>
      <c r="E4554" s="1931" t="s">
        <v>33</v>
      </c>
      <c r="F4554" s="1930" t="s">
        <v>33</v>
      </c>
      <c r="G4554" s="1932">
        <v>94795</v>
      </c>
      <c r="H4554" s="1930" t="s">
        <v>8107</v>
      </c>
      <c r="I4554" s="1930" t="s">
        <v>168</v>
      </c>
      <c r="J4554" s="1930" t="s">
        <v>320</v>
      </c>
      <c r="K4554" s="1933">
        <v>36.700000000000003</v>
      </c>
      <c r="L4554" s="1930" t="s">
        <v>138</v>
      </c>
    </row>
    <row r="4555" spans="1:12" ht="13.5" x14ac:dyDescent="0.25">
      <c r="A4555" s="1930" t="s">
        <v>4646</v>
      </c>
      <c r="B4555" s="1930" t="s">
        <v>4647</v>
      </c>
      <c r="C4555" s="1930" t="s">
        <v>4662</v>
      </c>
      <c r="D4555" s="1930" t="s">
        <v>4663</v>
      </c>
      <c r="E4555" s="1931" t="s">
        <v>33</v>
      </c>
      <c r="F4555" s="1930" t="s">
        <v>33</v>
      </c>
      <c r="G4555" s="1932">
        <v>94796</v>
      </c>
      <c r="H4555" s="1930" t="s">
        <v>8108</v>
      </c>
      <c r="I4555" s="1930" t="s">
        <v>168</v>
      </c>
      <c r="J4555" s="1930" t="s">
        <v>320</v>
      </c>
      <c r="K4555" s="1933">
        <v>41.68</v>
      </c>
      <c r="L4555" s="1930" t="s">
        <v>138</v>
      </c>
    </row>
    <row r="4556" spans="1:12" ht="13.5" x14ac:dyDescent="0.25">
      <c r="A4556" s="1930" t="s">
        <v>4646</v>
      </c>
      <c r="B4556" s="1930" t="s">
        <v>4647</v>
      </c>
      <c r="C4556" s="1930" t="s">
        <v>4662</v>
      </c>
      <c r="D4556" s="1930" t="s">
        <v>4663</v>
      </c>
      <c r="E4556" s="1931" t="s">
        <v>33</v>
      </c>
      <c r="F4556" s="1930" t="s">
        <v>33</v>
      </c>
      <c r="G4556" s="1932">
        <v>94797</v>
      </c>
      <c r="H4556" s="1930" t="s">
        <v>8109</v>
      </c>
      <c r="I4556" s="1930" t="s">
        <v>168</v>
      </c>
      <c r="J4556" s="1930" t="s">
        <v>320</v>
      </c>
      <c r="K4556" s="1933">
        <v>64.3</v>
      </c>
      <c r="L4556" s="1930" t="s">
        <v>138</v>
      </c>
    </row>
    <row r="4557" spans="1:12" ht="13.5" x14ac:dyDescent="0.25">
      <c r="A4557" s="1930" t="s">
        <v>4646</v>
      </c>
      <c r="B4557" s="1930" t="s">
        <v>4647</v>
      </c>
      <c r="C4557" s="1930" t="s">
        <v>4662</v>
      </c>
      <c r="D4557" s="1930" t="s">
        <v>4663</v>
      </c>
      <c r="E4557" s="1931" t="s">
        <v>33</v>
      </c>
      <c r="F4557" s="1930" t="s">
        <v>33</v>
      </c>
      <c r="G4557" s="1932">
        <v>94798</v>
      </c>
      <c r="H4557" s="1930" t="s">
        <v>8110</v>
      </c>
      <c r="I4557" s="1930" t="s">
        <v>168</v>
      </c>
      <c r="J4557" s="1930" t="s">
        <v>320</v>
      </c>
      <c r="K4557" s="1933">
        <v>145.12</v>
      </c>
      <c r="L4557" s="1930" t="s">
        <v>138</v>
      </c>
    </row>
    <row r="4558" spans="1:12" ht="13.5" x14ac:dyDescent="0.25">
      <c r="A4558" s="1930" t="s">
        <v>4646</v>
      </c>
      <c r="B4558" s="1930" t="s">
        <v>4647</v>
      </c>
      <c r="C4558" s="1930" t="s">
        <v>4662</v>
      </c>
      <c r="D4558" s="1930" t="s">
        <v>4663</v>
      </c>
      <c r="E4558" s="1931" t="s">
        <v>33</v>
      </c>
      <c r="F4558" s="1930" t="s">
        <v>33</v>
      </c>
      <c r="G4558" s="1932">
        <v>94799</v>
      </c>
      <c r="H4558" s="1930" t="s">
        <v>8111</v>
      </c>
      <c r="I4558" s="1930" t="s">
        <v>168</v>
      </c>
      <c r="J4558" s="1930" t="s">
        <v>320</v>
      </c>
      <c r="K4558" s="1933">
        <v>139.04</v>
      </c>
      <c r="L4558" s="1930" t="s">
        <v>138</v>
      </c>
    </row>
    <row r="4559" spans="1:12" ht="13.5" x14ac:dyDescent="0.25">
      <c r="A4559" s="1930" t="s">
        <v>4646</v>
      </c>
      <c r="B4559" s="1930" t="s">
        <v>4647</v>
      </c>
      <c r="C4559" s="1930" t="s">
        <v>4662</v>
      </c>
      <c r="D4559" s="1930" t="s">
        <v>4663</v>
      </c>
      <c r="E4559" s="1931" t="s">
        <v>33</v>
      </c>
      <c r="F4559" s="1930" t="s">
        <v>33</v>
      </c>
      <c r="G4559" s="1932">
        <v>94800</v>
      </c>
      <c r="H4559" s="1930" t="s">
        <v>8112</v>
      </c>
      <c r="I4559" s="1930" t="s">
        <v>168</v>
      </c>
      <c r="J4559" s="1930" t="s">
        <v>320</v>
      </c>
      <c r="K4559" s="1933">
        <v>240.15</v>
      </c>
      <c r="L4559" s="1930" t="s">
        <v>138</v>
      </c>
    </row>
    <row r="4560" spans="1:12" ht="13.5" x14ac:dyDescent="0.25">
      <c r="A4560" s="1930" t="s">
        <v>4646</v>
      </c>
      <c r="B4560" s="1930" t="s">
        <v>4647</v>
      </c>
      <c r="C4560" s="1930" t="s">
        <v>4662</v>
      </c>
      <c r="D4560" s="1930" t="s">
        <v>4663</v>
      </c>
      <c r="E4560" s="1931" t="s">
        <v>33</v>
      </c>
      <c r="F4560" s="1930" t="s">
        <v>33</v>
      </c>
      <c r="G4560" s="1932">
        <v>95248</v>
      </c>
      <c r="H4560" s="1930" t="s">
        <v>3273</v>
      </c>
      <c r="I4560" s="1930" t="s">
        <v>168</v>
      </c>
      <c r="J4560" s="1930" t="s">
        <v>320</v>
      </c>
      <c r="K4560" s="1933">
        <v>67.290000000000006</v>
      </c>
      <c r="L4560" s="1930" t="s">
        <v>138</v>
      </c>
    </row>
    <row r="4561" spans="1:12" ht="13.5" x14ac:dyDescent="0.25">
      <c r="A4561" s="1930" t="s">
        <v>4646</v>
      </c>
      <c r="B4561" s="1930" t="s">
        <v>4647</v>
      </c>
      <c r="C4561" s="1930" t="s">
        <v>4662</v>
      </c>
      <c r="D4561" s="1930" t="s">
        <v>4663</v>
      </c>
      <c r="E4561" s="1931" t="s">
        <v>33</v>
      </c>
      <c r="F4561" s="1930" t="s">
        <v>33</v>
      </c>
      <c r="G4561" s="1932">
        <v>95249</v>
      </c>
      <c r="H4561" s="1930" t="s">
        <v>3274</v>
      </c>
      <c r="I4561" s="1930" t="s">
        <v>168</v>
      </c>
      <c r="J4561" s="1930" t="s">
        <v>320</v>
      </c>
      <c r="K4561" s="1933">
        <v>73.44</v>
      </c>
      <c r="L4561" s="1930" t="s">
        <v>138</v>
      </c>
    </row>
    <row r="4562" spans="1:12" ht="13.5" x14ac:dyDescent="0.25">
      <c r="A4562" s="1930" t="s">
        <v>4646</v>
      </c>
      <c r="B4562" s="1930" t="s">
        <v>4647</v>
      </c>
      <c r="C4562" s="1930" t="s">
        <v>4662</v>
      </c>
      <c r="D4562" s="1930" t="s">
        <v>4663</v>
      </c>
      <c r="E4562" s="1931" t="s">
        <v>33</v>
      </c>
      <c r="F4562" s="1930" t="s">
        <v>33</v>
      </c>
      <c r="G4562" s="1932">
        <v>95250</v>
      </c>
      <c r="H4562" s="1930" t="s">
        <v>3275</v>
      </c>
      <c r="I4562" s="1930" t="s">
        <v>168</v>
      </c>
      <c r="J4562" s="1930" t="s">
        <v>320</v>
      </c>
      <c r="K4562" s="1933">
        <v>89.54</v>
      </c>
      <c r="L4562" s="1930" t="s">
        <v>138</v>
      </c>
    </row>
    <row r="4563" spans="1:12" ht="13.5" x14ac:dyDescent="0.25">
      <c r="A4563" s="1930" t="s">
        <v>4646</v>
      </c>
      <c r="B4563" s="1930" t="s">
        <v>4647</v>
      </c>
      <c r="C4563" s="1930" t="s">
        <v>4662</v>
      </c>
      <c r="D4563" s="1930" t="s">
        <v>4663</v>
      </c>
      <c r="E4563" s="1931" t="s">
        <v>33</v>
      </c>
      <c r="F4563" s="1930" t="s">
        <v>33</v>
      </c>
      <c r="G4563" s="1932">
        <v>95251</v>
      </c>
      <c r="H4563" s="1930" t="s">
        <v>3276</v>
      </c>
      <c r="I4563" s="1930" t="s">
        <v>168</v>
      </c>
      <c r="J4563" s="1930" t="s">
        <v>320</v>
      </c>
      <c r="K4563" s="1933">
        <v>120.63</v>
      </c>
      <c r="L4563" s="1930" t="s">
        <v>138</v>
      </c>
    </row>
    <row r="4564" spans="1:12" ht="13.5" x14ac:dyDescent="0.25">
      <c r="A4564" s="1930" t="s">
        <v>4646</v>
      </c>
      <c r="B4564" s="1930" t="s">
        <v>4647</v>
      </c>
      <c r="C4564" s="1930" t="s">
        <v>4662</v>
      </c>
      <c r="D4564" s="1930" t="s">
        <v>4663</v>
      </c>
      <c r="E4564" s="1931" t="s">
        <v>33</v>
      </c>
      <c r="F4564" s="1930" t="s">
        <v>33</v>
      </c>
      <c r="G4564" s="1932">
        <v>95252</v>
      </c>
      <c r="H4564" s="1930" t="s">
        <v>3277</v>
      </c>
      <c r="I4564" s="1930" t="s">
        <v>168</v>
      </c>
      <c r="J4564" s="1930" t="s">
        <v>320</v>
      </c>
      <c r="K4564" s="1933">
        <v>139.6</v>
      </c>
      <c r="L4564" s="1930" t="s">
        <v>138</v>
      </c>
    </row>
    <row r="4565" spans="1:12" ht="13.5" x14ac:dyDescent="0.25">
      <c r="A4565" s="1930" t="s">
        <v>4646</v>
      </c>
      <c r="B4565" s="1930" t="s">
        <v>4647</v>
      </c>
      <c r="C4565" s="1930" t="s">
        <v>4662</v>
      </c>
      <c r="D4565" s="1930" t="s">
        <v>4663</v>
      </c>
      <c r="E4565" s="1931" t="s">
        <v>33</v>
      </c>
      <c r="F4565" s="1930" t="s">
        <v>33</v>
      </c>
      <c r="G4565" s="1932">
        <v>95253</v>
      </c>
      <c r="H4565" s="1930" t="s">
        <v>3278</v>
      </c>
      <c r="I4565" s="1930" t="s">
        <v>168</v>
      </c>
      <c r="J4565" s="1930" t="s">
        <v>320</v>
      </c>
      <c r="K4565" s="1933">
        <v>201.32</v>
      </c>
      <c r="L4565" s="1930" t="s">
        <v>138</v>
      </c>
    </row>
    <row r="4566" spans="1:12" ht="13.5" x14ac:dyDescent="0.25">
      <c r="A4566" s="1930" t="s">
        <v>4646</v>
      </c>
      <c r="B4566" s="1930" t="s">
        <v>4647</v>
      </c>
      <c r="C4566" s="1930" t="s">
        <v>4662</v>
      </c>
      <c r="D4566" s="1930" t="s">
        <v>4663</v>
      </c>
      <c r="E4566" s="1931" t="s">
        <v>33</v>
      </c>
      <c r="F4566" s="1930" t="s">
        <v>33</v>
      </c>
      <c r="G4566" s="1932">
        <v>99619</v>
      </c>
      <c r="H4566" s="1930" t="s">
        <v>8113</v>
      </c>
      <c r="I4566" s="1930" t="s">
        <v>168</v>
      </c>
      <c r="J4566" s="1930" t="s">
        <v>137</v>
      </c>
      <c r="K4566" s="1933">
        <v>60.15</v>
      </c>
      <c r="L4566" s="1930" t="s">
        <v>138</v>
      </c>
    </row>
    <row r="4567" spans="1:12" ht="13.5" x14ac:dyDescent="0.25">
      <c r="A4567" s="1930" t="s">
        <v>4646</v>
      </c>
      <c r="B4567" s="1930" t="s">
        <v>4647</v>
      </c>
      <c r="C4567" s="1930" t="s">
        <v>4662</v>
      </c>
      <c r="D4567" s="1930" t="s">
        <v>4663</v>
      </c>
      <c r="E4567" s="1931" t="s">
        <v>33</v>
      </c>
      <c r="F4567" s="1930" t="s">
        <v>33</v>
      </c>
      <c r="G4567" s="1932">
        <v>99620</v>
      </c>
      <c r="H4567" s="1930" t="s">
        <v>8114</v>
      </c>
      <c r="I4567" s="1930" t="s">
        <v>168</v>
      </c>
      <c r="J4567" s="1930" t="s">
        <v>137</v>
      </c>
      <c r="K4567" s="1933">
        <v>99.39</v>
      </c>
      <c r="L4567" s="1930" t="s">
        <v>138</v>
      </c>
    </row>
    <row r="4568" spans="1:12" ht="13.5" x14ac:dyDescent="0.25">
      <c r="A4568" s="1930" t="s">
        <v>4646</v>
      </c>
      <c r="B4568" s="1930" t="s">
        <v>4647</v>
      </c>
      <c r="C4568" s="1930" t="s">
        <v>4662</v>
      </c>
      <c r="D4568" s="1930" t="s">
        <v>4663</v>
      </c>
      <c r="E4568" s="1931" t="s">
        <v>33</v>
      </c>
      <c r="F4568" s="1930" t="s">
        <v>33</v>
      </c>
      <c r="G4568" s="1932">
        <v>99621</v>
      </c>
      <c r="H4568" s="1930" t="s">
        <v>8115</v>
      </c>
      <c r="I4568" s="1930" t="s">
        <v>168</v>
      </c>
      <c r="J4568" s="1930" t="s">
        <v>137</v>
      </c>
      <c r="K4568" s="1933">
        <v>135.78</v>
      </c>
      <c r="L4568" s="1930" t="s">
        <v>138</v>
      </c>
    </row>
    <row r="4569" spans="1:12" ht="13.5" x14ac:dyDescent="0.25">
      <c r="A4569" s="1930" t="s">
        <v>4646</v>
      </c>
      <c r="B4569" s="1930" t="s">
        <v>4647</v>
      </c>
      <c r="C4569" s="1930" t="s">
        <v>4662</v>
      </c>
      <c r="D4569" s="1930" t="s">
        <v>4663</v>
      </c>
      <c r="E4569" s="1931" t="s">
        <v>33</v>
      </c>
      <c r="F4569" s="1930" t="s">
        <v>33</v>
      </c>
      <c r="G4569" s="1932">
        <v>99622</v>
      </c>
      <c r="H4569" s="1930" t="s">
        <v>8116</v>
      </c>
      <c r="I4569" s="1930" t="s">
        <v>168</v>
      </c>
      <c r="J4569" s="1930" t="s">
        <v>137</v>
      </c>
      <c r="K4569" s="1933">
        <v>148.44</v>
      </c>
      <c r="L4569" s="1930" t="s">
        <v>138</v>
      </c>
    </row>
    <row r="4570" spans="1:12" ht="13.5" x14ac:dyDescent="0.25">
      <c r="A4570" s="1930" t="s">
        <v>4646</v>
      </c>
      <c r="B4570" s="1930" t="s">
        <v>4647</v>
      </c>
      <c r="C4570" s="1930" t="s">
        <v>4662</v>
      </c>
      <c r="D4570" s="1930" t="s">
        <v>4663</v>
      </c>
      <c r="E4570" s="1931" t="s">
        <v>33</v>
      </c>
      <c r="F4570" s="1930" t="s">
        <v>33</v>
      </c>
      <c r="G4570" s="1932">
        <v>99623</v>
      </c>
      <c r="H4570" s="1930" t="s">
        <v>8117</v>
      </c>
      <c r="I4570" s="1930" t="s">
        <v>168</v>
      </c>
      <c r="J4570" s="1930" t="s">
        <v>137</v>
      </c>
      <c r="K4570" s="1933">
        <v>197.98</v>
      </c>
      <c r="L4570" s="1930" t="s">
        <v>138</v>
      </c>
    </row>
    <row r="4571" spans="1:12" ht="13.5" x14ac:dyDescent="0.25">
      <c r="A4571" s="1930" t="s">
        <v>4646</v>
      </c>
      <c r="B4571" s="1930" t="s">
        <v>4647</v>
      </c>
      <c r="C4571" s="1930" t="s">
        <v>4662</v>
      </c>
      <c r="D4571" s="1930" t="s">
        <v>4663</v>
      </c>
      <c r="E4571" s="1931" t="s">
        <v>33</v>
      </c>
      <c r="F4571" s="1930" t="s">
        <v>33</v>
      </c>
      <c r="G4571" s="1932">
        <v>99624</v>
      </c>
      <c r="H4571" s="1930" t="s">
        <v>8118</v>
      </c>
      <c r="I4571" s="1930" t="s">
        <v>168</v>
      </c>
      <c r="J4571" s="1930" t="s">
        <v>137</v>
      </c>
      <c r="K4571" s="1933">
        <v>270.5</v>
      </c>
      <c r="L4571" s="1930" t="s">
        <v>138</v>
      </c>
    </row>
    <row r="4572" spans="1:12" ht="13.5" x14ac:dyDescent="0.25">
      <c r="A4572" s="1930" t="s">
        <v>4646</v>
      </c>
      <c r="B4572" s="1930" t="s">
        <v>4647</v>
      </c>
      <c r="C4572" s="1930" t="s">
        <v>4662</v>
      </c>
      <c r="D4572" s="1930" t="s">
        <v>4663</v>
      </c>
      <c r="E4572" s="1931" t="s">
        <v>33</v>
      </c>
      <c r="F4572" s="1930" t="s">
        <v>33</v>
      </c>
      <c r="G4572" s="1932">
        <v>99625</v>
      </c>
      <c r="H4572" s="1930" t="s">
        <v>8119</v>
      </c>
      <c r="I4572" s="1930" t="s">
        <v>168</v>
      </c>
      <c r="J4572" s="1930" t="s">
        <v>137</v>
      </c>
      <c r="K4572" s="1933">
        <v>363.73</v>
      </c>
      <c r="L4572" s="1930" t="s">
        <v>138</v>
      </c>
    </row>
    <row r="4573" spans="1:12" ht="13.5" x14ac:dyDescent="0.25">
      <c r="A4573" s="1930" t="s">
        <v>4646</v>
      </c>
      <c r="B4573" s="1930" t="s">
        <v>4647</v>
      </c>
      <c r="C4573" s="1930" t="s">
        <v>4662</v>
      </c>
      <c r="D4573" s="1930" t="s">
        <v>4663</v>
      </c>
      <c r="E4573" s="1931" t="s">
        <v>33</v>
      </c>
      <c r="F4573" s="1930" t="s">
        <v>33</v>
      </c>
      <c r="G4573" s="1932">
        <v>99626</v>
      </c>
      <c r="H4573" s="1930" t="s">
        <v>8120</v>
      </c>
      <c r="I4573" s="1930" t="s">
        <v>168</v>
      </c>
      <c r="J4573" s="1930" t="s">
        <v>137</v>
      </c>
      <c r="K4573" s="1933">
        <v>547.26</v>
      </c>
      <c r="L4573" s="1930" t="s">
        <v>138</v>
      </c>
    </row>
    <row r="4574" spans="1:12" ht="13.5" x14ac:dyDescent="0.25">
      <c r="A4574" s="1930" t="s">
        <v>4646</v>
      </c>
      <c r="B4574" s="1930" t="s">
        <v>4647</v>
      </c>
      <c r="C4574" s="1930" t="s">
        <v>4662</v>
      </c>
      <c r="D4574" s="1930" t="s">
        <v>4663</v>
      </c>
      <c r="E4574" s="1931" t="s">
        <v>33</v>
      </c>
      <c r="F4574" s="1930" t="s">
        <v>33</v>
      </c>
      <c r="G4574" s="1932">
        <v>99627</v>
      </c>
      <c r="H4574" s="1930" t="s">
        <v>8121</v>
      </c>
      <c r="I4574" s="1930" t="s">
        <v>168</v>
      </c>
      <c r="J4574" s="1930" t="s">
        <v>137</v>
      </c>
      <c r="K4574" s="1933">
        <v>59.87</v>
      </c>
      <c r="L4574" s="1930" t="s">
        <v>138</v>
      </c>
    </row>
    <row r="4575" spans="1:12" ht="13.5" x14ac:dyDescent="0.25">
      <c r="A4575" s="1930" t="s">
        <v>4646</v>
      </c>
      <c r="B4575" s="1930" t="s">
        <v>4647</v>
      </c>
      <c r="C4575" s="1930" t="s">
        <v>4662</v>
      </c>
      <c r="D4575" s="1930" t="s">
        <v>4663</v>
      </c>
      <c r="E4575" s="1931" t="s">
        <v>33</v>
      </c>
      <c r="F4575" s="1930" t="s">
        <v>33</v>
      </c>
      <c r="G4575" s="1932">
        <v>99628</v>
      </c>
      <c r="H4575" s="1930" t="s">
        <v>8122</v>
      </c>
      <c r="I4575" s="1930" t="s">
        <v>168</v>
      </c>
      <c r="J4575" s="1930" t="s">
        <v>137</v>
      </c>
      <c r="K4575" s="1933">
        <v>41.15</v>
      </c>
      <c r="L4575" s="1930" t="s">
        <v>138</v>
      </c>
    </row>
    <row r="4576" spans="1:12" ht="13.5" x14ac:dyDescent="0.25">
      <c r="A4576" s="1930" t="s">
        <v>4646</v>
      </c>
      <c r="B4576" s="1930" t="s">
        <v>4647</v>
      </c>
      <c r="C4576" s="1930" t="s">
        <v>4662</v>
      </c>
      <c r="D4576" s="1930" t="s">
        <v>4663</v>
      </c>
      <c r="E4576" s="1931" t="s">
        <v>33</v>
      </c>
      <c r="F4576" s="1930" t="s">
        <v>33</v>
      </c>
      <c r="G4576" s="1932">
        <v>99629</v>
      </c>
      <c r="H4576" s="1930" t="s">
        <v>8123</v>
      </c>
      <c r="I4576" s="1930" t="s">
        <v>168</v>
      </c>
      <c r="J4576" s="1930" t="s">
        <v>137</v>
      </c>
      <c r="K4576" s="1933">
        <v>64.510000000000005</v>
      </c>
      <c r="L4576" s="1930" t="s">
        <v>138</v>
      </c>
    </row>
    <row r="4577" spans="1:12" ht="13.5" x14ac:dyDescent="0.25">
      <c r="A4577" s="1930" t="s">
        <v>4646</v>
      </c>
      <c r="B4577" s="1930" t="s">
        <v>4647</v>
      </c>
      <c r="C4577" s="1930" t="s">
        <v>4662</v>
      </c>
      <c r="D4577" s="1930" t="s">
        <v>4663</v>
      </c>
      <c r="E4577" s="1931" t="s">
        <v>33</v>
      </c>
      <c r="F4577" s="1930" t="s">
        <v>33</v>
      </c>
      <c r="G4577" s="1932">
        <v>99630</v>
      </c>
      <c r="H4577" s="1930" t="s">
        <v>8124</v>
      </c>
      <c r="I4577" s="1930" t="s">
        <v>168</v>
      </c>
      <c r="J4577" s="1930" t="s">
        <v>137</v>
      </c>
      <c r="K4577" s="1933">
        <v>83.69</v>
      </c>
      <c r="L4577" s="1930" t="s">
        <v>138</v>
      </c>
    </row>
    <row r="4578" spans="1:12" ht="13.5" x14ac:dyDescent="0.25">
      <c r="A4578" s="1930" t="s">
        <v>4646</v>
      </c>
      <c r="B4578" s="1930" t="s">
        <v>4647</v>
      </c>
      <c r="C4578" s="1930" t="s">
        <v>4662</v>
      </c>
      <c r="D4578" s="1930" t="s">
        <v>4663</v>
      </c>
      <c r="E4578" s="1931" t="s">
        <v>33</v>
      </c>
      <c r="F4578" s="1930" t="s">
        <v>33</v>
      </c>
      <c r="G4578" s="1932">
        <v>99631</v>
      </c>
      <c r="H4578" s="1930" t="s">
        <v>8125</v>
      </c>
      <c r="I4578" s="1930" t="s">
        <v>168</v>
      </c>
      <c r="J4578" s="1930" t="s">
        <v>137</v>
      </c>
      <c r="K4578" s="1933">
        <v>92.15</v>
      </c>
      <c r="L4578" s="1930" t="s">
        <v>138</v>
      </c>
    </row>
    <row r="4579" spans="1:12" ht="13.5" x14ac:dyDescent="0.25">
      <c r="A4579" s="1930" t="s">
        <v>4646</v>
      </c>
      <c r="B4579" s="1930" t="s">
        <v>4647</v>
      </c>
      <c r="C4579" s="1930" t="s">
        <v>4662</v>
      </c>
      <c r="D4579" s="1930" t="s">
        <v>4663</v>
      </c>
      <c r="E4579" s="1931" t="s">
        <v>33</v>
      </c>
      <c r="F4579" s="1930" t="s">
        <v>33</v>
      </c>
      <c r="G4579" s="1932">
        <v>99632</v>
      </c>
      <c r="H4579" s="1930" t="s">
        <v>8126</v>
      </c>
      <c r="I4579" s="1930" t="s">
        <v>168</v>
      </c>
      <c r="J4579" s="1930" t="s">
        <v>137</v>
      </c>
      <c r="K4579" s="1933">
        <v>122.71</v>
      </c>
      <c r="L4579" s="1930" t="s">
        <v>138</v>
      </c>
    </row>
    <row r="4580" spans="1:12" ht="13.5" x14ac:dyDescent="0.25">
      <c r="A4580" s="1930" t="s">
        <v>4646</v>
      </c>
      <c r="B4580" s="1930" t="s">
        <v>4647</v>
      </c>
      <c r="C4580" s="1930" t="s">
        <v>4662</v>
      </c>
      <c r="D4580" s="1930" t="s">
        <v>4663</v>
      </c>
      <c r="E4580" s="1931" t="s">
        <v>33</v>
      </c>
      <c r="F4580" s="1930" t="s">
        <v>33</v>
      </c>
      <c r="G4580" s="1932">
        <v>99633</v>
      </c>
      <c r="H4580" s="1930" t="s">
        <v>8127</v>
      </c>
      <c r="I4580" s="1930" t="s">
        <v>168</v>
      </c>
      <c r="J4580" s="1930" t="s">
        <v>137</v>
      </c>
      <c r="K4580" s="1933">
        <v>234.94</v>
      </c>
      <c r="L4580" s="1930" t="s">
        <v>138</v>
      </c>
    </row>
    <row r="4581" spans="1:12" ht="13.5" x14ac:dyDescent="0.25">
      <c r="A4581" s="1930" t="s">
        <v>4646</v>
      </c>
      <c r="B4581" s="1930" t="s">
        <v>4647</v>
      </c>
      <c r="C4581" s="1930" t="s">
        <v>4662</v>
      </c>
      <c r="D4581" s="1930" t="s">
        <v>4663</v>
      </c>
      <c r="E4581" s="1931" t="s">
        <v>33</v>
      </c>
      <c r="F4581" s="1930" t="s">
        <v>33</v>
      </c>
      <c r="G4581" s="1932">
        <v>99634</v>
      </c>
      <c r="H4581" s="1930" t="s">
        <v>8128</v>
      </c>
      <c r="I4581" s="1930" t="s">
        <v>168</v>
      </c>
      <c r="J4581" s="1930" t="s">
        <v>137</v>
      </c>
      <c r="K4581" s="1933">
        <v>385.23</v>
      </c>
      <c r="L4581" s="1930" t="s">
        <v>138</v>
      </c>
    </row>
    <row r="4582" spans="1:12" ht="13.5" x14ac:dyDescent="0.25">
      <c r="A4582" s="1930" t="s">
        <v>4646</v>
      </c>
      <c r="B4582" s="1930" t="s">
        <v>4647</v>
      </c>
      <c r="C4582" s="1930" t="s">
        <v>4662</v>
      </c>
      <c r="D4582" s="1930" t="s">
        <v>4663</v>
      </c>
      <c r="E4582" s="1931" t="s">
        <v>33</v>
      </c>
      <c r="F4582" s="1930" t="s">
        <v>33</v>
      </c>
      <c r="G4582" s="1932">
        <v>99635</v>
      </c>
      <c r="H4582" s="1930" t="s">
        <v>8129</v>
      </c>
      <c r="I4582" s="1930" t="s">
        <v>168</v>
      </c>
      <c r="J4582" s="1930" t="s">
        <v>320</v>
      </c>
      <c r="K4582" s="1933">
        <v>205.29</v>
      </c>
      <c r="L4582" s="1930" t="s">
        <v>138</v>
      </c>
    </row>
    <row r="4583" spans="1:12" ht="13.5" x14ac:dyDescent="0.25">
      <c r="A4583" s="1930" t="s">
        <v>4646</v>
      </c>
      <c r="B4583" s="1930" t="s">
        <v>4647</v>
      </c>
      <c r="C4583" s="1930" t="s">
        <v>4664</v>
      </c>
      <c r="D4583" s="1930" t="s">
        <v>4665</v>
      </c>
      <c r="E4583" s="1931" t="s">
        <v>33</v>
      </c>
      <c r="F4583" s="1930" t="s">
        <v>33</v>
      </c>
      <c r="G4583" s="1932">
        <v>95634</v>
      </c>
      <c r="H4583" s="1930" t="s">
        <v>7590</v>
      </c>
      <c r="I4583" s="1930" t="s">
        <v>168</v>
      </c>
      <c r="J4583" s="1930" t="s">
        <v>320</v>
      </c>
      <c r="K4583" s="1933">
        <v>118.07</v>
      </c>
      <c r="L4583" s="1930" t="s">
        <v>138</v>
      </c>
    </row>
    <row r="4584" spans="1:12" ht="13.5" x14ac:dyDescent="0.25">
      <c r="A4584" s="1930" t="s">
        <v>4646</v>
      </c>
      <c r="B4584" s="1930" t="s">
        <v>4647</v>
      </c>
      <c r="C4584" s="1930" t="s">
        <v>4664</v>
      </c>
      <c r="D4584" s="1930" t="s">
        <v>4665</v>
      </c>
      <c r="E4584" s="1931" t="s">
        <v>33</v>
      </c>
      <c r="F4584" s="1930" t="s">
        <v>33</v>
      </c>
      <c r="G4584" s="1932">
        <v>95635</v>
      </c>
      <c r="H4584" s="1930" t="s">
        <v>7591</v>
      </c>
      <c r="I4584" s="1930" t="s">
        <v>168</v>
      </c>
      <c r="J4584" s="1930" t="s">
        <v>320</v>
      </c>
      <c r="K4584" s="1933">
        <v>128.03</v>
      </c>
      <c r="L4584" s="1930" t="s">
        <v>138</v>
      </c>
    </row>
    <row r="4585" spans="1:12" ht="13.5" x14ac:dyDescent="0.25">
      <c r="A4585" s="1930" t="s">
        <v>4646</v>
      </c>
      <c r="B4585" s="1930" t="s">
        <v>4647</v>
      </c>
      <c r="C4585" s="1930" t="s">
        <v>4664</v>
      </c>
      <c r="D4585" s="1930" t="s">
        <v>4665</v>
      </c>
      <c r="E4585" s="1931" t="s">
        <v>33</v>
      </c>
      <c r="F4585" s="1930" t="s">
        <v>33</v>
      </c>
      <c r="G4585" s="1932">
        <v>95637</v>
      </c>
      <c r="H4585" s="1930" t="s">
        <v>3279</v>
      </c>
      <c r="I4585" s="1930" t="s">
        <v>168</v>
      </c>
      <c r="J4585" s="1930" t="s">
        <v>320</v>
      </c>
      <c r="K4585" s="1933">
        <v>387.79</v>
      </c>
      <c r="L4585" s="1930" t="s">
        <v>138</v>
      </c>
    </row>
    <row r="4586" spans="1:12" ht="13.5" x14ac:dyDescent="0.25">
      <c r="A4586" s="1930" t="s">
        <v>4646</v>
      </c>
      <c r="B4586" s="1930" t="s">
        <v>4647</v>
      </c>
      <c r="C4586" s="1930" t="s">
        <v>4664</v>
      </c>
      <c r="D4586" s="1930" t="s">
        <v>4665</v>
      </c>
      <c r="E4586" s="1931" t="s">
        <v>33</v>
      </c>
      <c r="F4586" s="1930" t="s">
        <v>33</v>
      </c>
      <c r="G4586" s="1932">
        <v>95638</v>
      </c>
      <c r="H4586" s="1930" t="s">
        <v>3280</v>
      </c>
      <c r="I4586" s="1930" t="s">
        <v>168</v>
      </c>
      <c r="J4586" s="1930" t="s">
        <v>320</v>
      </c>
      <c r="K4586" s="1933">
        <v>469.18</v>
      </c>
      <c r="L4586" s="1930" t="s">
        <v>138</v>
      </c>
    </row>
    <row r="4587" spans="1:12" ht="13.5" x14ac:dyDescent="0.25">
      <c r="A4587" s="1930" t="s">
        <v>4646</v>
      </c>
      <c r="B4587" s="1930" t="s">
        <v>4647</v>
      </c>
      <c r="C4587" s="1930" t="s">
        <v>4664</v>
      </c>
      <c r="D4587" s="1930" t="s">
        <v>4665</v>
      </c>
      <c r="E4587" s="1931" t="s">
        <v>33</v>
      </c>
      <c r="F4587" s="1930" t="s">
        <v>33</v>
      </c>
      <c r="G4587" s="1932">
        <v>95639</v>
      </c>
      <c r="H4587" s="1930" t="s">
        <v>3281</v>
      </c>
      <c r="I4587" s="1930" t="s">
        <v>168</v>
      </c>
      <c r="J4587" s="1930" t="s">
        <v>320</v>
      </c>
      <c r="K4587" s="1933">
        <v>590.71</v>
      </c>
      <c r="L4587" s="1930" t="s">
        <v>138</v>
      </c>
    </row>
    <row r="4588" spans="1:12" ht="13.5" x14ac:dyDescent="0.25">
      <c r="A4588" s="1930" t="s">
        <v>4646</v>
      </c>
      <c r="B4588" s="1930" t="s">
        <v>4647</v>
      </c>
      <c r="C4588" s="1930" t="s">
        <v>4664</v>
      </c>
      <c r="D4588" s="1930" t="s">
        <v>4665</v>
      </c>
      <c r="E4588" s="1931" t="s">
        <v>33</v>
      </c>
      <c r="F4588" s="1930" t="s">
        <v>33</v>
      </c>
      <c r="G4588" s="1932">
        <v>95641</v>
      </c>
      <c r="H4588" s="1930" t="s">
        <v>3282</v>
      </c>
      <c r="I4588" s="1930" t="s">
        <v>168</v>
      </c>
      <c r="J4588" s="1930" t="s">
        <v>320</v>
      </c>
      <c r="K4588" s="1933">
        <v>226.45</v>
      </c>
      <c r="L4588" s="1930" t="s">
        <v>138</v>
      </c>
    </row>
    <row r="4589" spans="1:12" ht="13.5" x14ac:dyDescent="0.25">
      <c r="A4589" s="1930" t="s">
        <v>4646</v>
      </c>
      <c r="B4589" s="1930" t="s">
        <v>4647</v>
      </c>
      <c r="C4589" s="1930" t="s">
        <v>4664</v>
      </c>
      <c r="D4589" s="1930" t="s">
        <v>4665</v>
      </c>
      <c r="E4589" s="1931" t="s">
        <v>33</v>
      </c>
      <c r="F4589" s="1930" t="s">
        <v>33</v>
      </c>
      <c r="G4589" s="1932">
        <v>95642</v>
      </c>
      <c r="H4589" s="1930" t="s">
        <v>3283</v>
      </c>
      <c r="I4589" s="1930" t="s">
        <v>168</v>
      </c>
      <c r="J4589" s="1930" t="s">
        <v>320</v>
      </c>
      <c r="K4589" s="1933">
        <v>334.98</v>
      </c>
      <c r="L4589" s="1930" t="s">
        <v>138</v>
      </c>
    </row>
    <row r="4590" spans="1:12" ht="13.5" x14ac:dyDescent="0.25">
      <c r="A4590" s="1930" t="s">
        <v>4646</v>
      </c>
      <c r="B4590" s="1930" t="s">
        <v>4647</v>
      </c>
      <c r="C4590" s="1930" t="s">
        <v>4664</v>
      </c>
      <c r="D4590" s="1930" t="s">
        <v>4665</v>
      </c>
      <c r="E4590" s="1931" t="s">
        <v>33</v>
      </c>
      <c r="F4590" s="1930" t="s">
        <v>33</v>
      </c>
      <c r="G4590" s="1932">
        <v>95643</v>
      </c>
      <c r="H4590" s="1930" t="s">
        <v>3284</v>
      </c>
      <c r="I4590" s="1930" t="s">
        <v>168</v>
      </c>
      <c r="J4590" s="1930" t="s">
        <v>320</v>
      </c>
      <c r="K4590" s="1933">
        <v>438.87</v>
      </c>
      <c r="L4590" s="1930" t="s">
        <v>138</v>
      </c>
    </row>
    <row r="4591" spans="1:12" ht="13.5" x14ac:dyDescent="0.25">
      <c r="A4591" s="1930" t="s">
        <v>4646</v>
      </c>
      <c r="B4591" s="1930" t="s">
        <v>4647</v>
      </c>
      <c r="C4591" s="1930" t="s">
        <v>4664</v>
      </c>
      <c r="D4591" s="1930" t="s">
        <v>4665</v>
      </c>
      <c r="E4591" s="1931" t="s">
        <v>33</v>
      </c>
      <c r="F4591" s="1930" t="s">
        <v>33</v>
      </c>
      <c r="G4591" s="1932">
        <v>95644</v>
      </c>
      <c r="H4591" s="1930" t="s">
        <v>3285</v>
      </c>
      <c r="I4591" s="1930" t="s">
        <v>168</v>
      </c>
      <c r="J4591" s="1930" t="s">
        <v>320</v>
      </c>
      <c r="K4591" s="1933">
        <v>164.7</v>
      </c>
      <c r="L4591" s="1930" t="s">
        <v>138</v>
      </c>
    </row>
    <row r="4592" spans="1:12" ht="13.5" x14ac:dyDescent="0.25">
      <c r="A4592" s="1930" t="s">
        <v>4646</v>
      </c>
      <c r="B4592" s="1930" t="s">
        <v>4647</v>
      </c>
      <c r="C4592" s="1930" t="s">
        <v>4664</v>
      </c>
      <c r="D4592" s="1930" t="s">
        <v>4665</v>
      </c>
      <c r="E4592" s="1931" t="s">
        <v>33</v>
      </c>
      <c r="F4592" s="1930" t="s">
        <v>33</v>
      </c>
      <c r="G4592" s="1932">
        <v>95645</v>
      </c>
      <c r="H4592" s="1930" t="s">
        <v>3286</v>
      </c>
      <c r="I4592" s="1930" t="s">
        <v>168</v>
      </c>
      <c r="J4592" s="1930" t="s">
        <v>320</v>
      </c>
      <c r="K4592" s="1933">
        <v>303.55</v>
      </c>
      <c r="L4592" s="1930" t="s">
        <v>138</v>
      </c>
    </row>
    <row r="4593" spans="1:12" ht="13.5" x14ac:dyDescent="0.25">
      <c r="A4593" s="1930" t="s">
        <v>4646</v>
      </c>
      <c r="B4593" s="1930" t="s">
        <v>4647</v>
      </c>
      <c r="C4593" s="1930" t="s">
        <v>4664</v>
      </c>
      <c r="D4593" s="1930" t="s">
        <v>4665</v>
      </c>
      <c r="E4593" s="1931" t="s">
        <v>33</v>
      </c>
      <c r="F4593" s="1930" t="s">
        <v>33</v>
      </c>
      <c r="G4593" s="1932">
        <v>95646</v>
      </c>
      <c r="H4593" s="1930" t="s">
        <v>3287</v>
      </c>
      <c r="I4593" s="1930" t="s">
        <v>168</v>
      </c>
      <c r="J4593" s="1930" t="s">
        <v>320</v>
      </c>
      <c r="K4593" s="1933">
        <v>452.43</v>
      </c>
      <c r="L4593" s="1930" t="s">
        <v>138</v>
      </c>
    </row>
    <row r="4594" spans="1:12" ht="13.5" x14ac:dyDescent="0.25">
      <c r="A4594" s="1930" t="s">
        <v>4646</v>
      </c>
      <c r="B4594" s="1930" t="s">
        <v>4647</v>
      </c>
      <c r="C4594" s="1930" t="s">
        <v>4664</v>
      </c>
      <c r="D4594" s="1930" t="s">
        <v>4665</v>
      </c>
      <c r="E4594" s="1931" t="s">
        <v>33</v>
      </c>
      <c r="F4594" s="1930" t="s">
        <v>33</v>
      </c>
      <c r="G4594" s="1932">
        <v>95647</v>
      </c>
      <c r="H4594" s="1930" t="s">
        <v>3288</v>
      </c>
      <c r="I4594" s="1930" t="s">
        <v>168</v>
      </c>
      <c r="J4594" s="1930" t="s">
        <v>320</v>
      </c>
      <c r="K4594" s="1933">
        <v>594.03</v>
      </c>
      <c r="L4594" s="1930" t="s">
        <v>138</v>
      </c>
    </row>
    <row r="4595" spans="1:12" ht="13.5" x14ac:dyDescent="0.25">
      <c r="A4595" s="1930" t="s">
        <v>4646</v>
      </c>
      <c r="B4595" s="1930" t="s">
        <v>4647</v>
      </c>
      <c r="C4595" s="1930" t="s">
        <v>4664</v>
      </c>
      <c r="D4595" s="1930" t="s">
        <v>4665</v>
      </c>
      <c r="E4595" s="1931" t="s">
        <v>33</v>
      </c>
      <c r="F4595" s="1930" t="s">
        <v>33</v>
      </c>
      <c r="G4595" s="1932">
        <v>95673</v>
      </c>
      <c r="H4595" s="1930" t="s">
        <v>3289</v>
      </c>
      <c r="I4595" s="1930" t="s">
        <v>168</v>
      </c>
      <c r="J4595" s="1930" t="s">
        <v>137</v>
      </c>
      <c r="K4595" s="1933">
        <v>101.22</v>
      </c>
      <c r="L4595" s="1930" t="s">
        <v>138</v>
      </c>
    </row>
    <row r="4596" spans="1:12" ht="13.5" x14ac:dyDescent="0.25">
      <c r="A4596" s="1930" t="s">
        <v>4646</v>
      </c>
      <c r="B4596" s="1930" t="s">
        <v>4647</v>
      </c>
      <c r="C4596" s="1930" t="s">
        <v>4664</v>
      </c>
      <c r="D4596" s="1930" t="s">
        <v>4665</v>
      </c>
      <c r="E4596" s="1931" t="s">
        <v>33</v>
      </c>
      <c r="F4596" s="1930" t="s">
        <v>33</v>
      </c>
      <c r="G4596" s="1932">
        <v>95674</v>
      </c>
      <c r="H4596" s="1930" t="s">
        <v>3290</v>
      </c>
      <c r="I4596" s="1930" t="s">
        <v>168</v>
      </c>
      <c r="J4596" s="1930" t="s">
        <v>137</v>
      </c>
      <c r="K4596" s="1933">
        <v>107.46</v>
      </c>
      <c r="L4596" s="1930" t="s">
        <v>138</v>
      </c>
    </row>
    <row r="4597" spans="1:12" ht="13.5" x14ac:dyDescent="0.25">
      <c r="A4597" s="1930" t="s">
        <v>4646</v>
      </c>
      <c r="B4597" s="1930" t="s">
        <v>4647</v>
      </c>
      <c r="C4597" s="1930" t="s">
        <v>4664</v>
      </c>
      <c r="D4597" s="1930" t="s">
        <v>4665</v>
      </c>
      <c r="E4597" s="1931" t="s">
        <v>33</v>
      </c>
      <c r="F4597" s="1930" t="s">
        <v>33</v>
      </c>
      <c r="G4597" s="1932">
        <v>95675</v>
      </c>
      <c r="H4597" s="1930" t="s">
        <v>3291</v>
      </c>
      <c r="I4597" s="1930" t="s">
        <v>168</v>
      </c>
      <c r="J4597" s="1930" t="s">
        <v>137</v>
      </c>
      <c r="K4597" s="1933">
        <v>131.29</v>
      </c>
      <c r="L4597" s="1930" t="s">
        <v>138</v>
      </c>
    </row>
    <row r="4598" spans="1:12" ht="13.5" x14ac:dyDescent="0.25">
      <c r="A4598" s="1930" t="s">
        <v>4646</v>
      </c>
      <c r="B4598" s="1930" t="s">
        <v>4647</v>
      </c>
      <c r="C4598" s="1930" t="s">
        <v>4664</v>
      </c>
      <c r="D4598" s="1930" t="s">
        <v>4665</v>
      </c>
      <c r="E4598" s="1931" t="s">
        <v>33</v>
      </c>
      <c r="F4598" s="1930" t="s">
        <v>33</v>
      </c>
      <c r="G4598" s="1932">
        <v>95676</v>
      </c>
      <c r="H4598" s="1930" t="s">
        <v>3292</v>
      </c>
      <c r="I4598" s="1930" t="s">
        <v>168</v>
      </c>
      <c r="J4598" s="1930" t="s">
        <v>320</v>
      </c>
      <c r="K4598" s="1933">
        <v>95.79</v>
      </c>
      <c r="L4598" s="1930" t="s">
        <v>138</v>
      </c>
    </row>
    <row r="4599" spans="1:12" ht="13.5" x14ac:dyDescent="0.25">
      <c r="A4599" s="1930" t="s">
        <v>4646</v>
      </c>
      <c r="B4599" s="1930" t="s">
        <v>4647</v>
      </c>
      <c r="C4599" s="1930" t="s">
        <v>4664</v>
      </c>
      <c r="D4599" s="1930" t="s">
        <v>4665</v>
      </c>
      <c r="E4599" s="1931" t="s">
        <v>33</v>
      </c>
      <c r="F4599" s="1930" t="s">
        <v>33</v>
      </c>
      <c r="G4599" s="1932">
        <v>97741</v>
      </c>
      <c r="H4599" s="1930" t="s">
        <v>5045</v>
      </c>
      <c r="I4599" s="1930" t="s">
        <v>168</v>
      </c>
      <c r="J4599" s="1930" t="s">
        <v>320</v>
      </c>
      <c r="K4599" s="1933">
        <v>125.8</v>
      </c>
      <c r="L4599" s="1930" t="s">
        <v>138</v>
      </c>
    </row>
    <row r="4600" spans="1:12" ht="13.5" x14ac:dyDescent="0.25">
      <c r="A4600" s="1930" t="s">
        <v>4646</v>
      </c>
      <c r="B4600" s="1930" t="s">
        <v>4647</v>
      </c>
      <c r="C4600" s="1930" t="s">
        <v>4628</v>
      </c>
      <c r="D4600" s="1930" t="s">
        <v>4666</v>
      </c>
      <c r="E4600" s="1931" t="s">
        <v>33</v>
      </c>
      <c r="F4600" s="1930" t="s">
        <v>33</v>
      </c>
      <c r="G4600" s="1932">
        <v>72285</v>
      </c>
      <c r="H4600" s="1930" t="s">
        <v>3293</v>
      </c>
      <c r="I4600" s="1930" t="s">
        <v>168</v>
      </c>
      <c r="J4600" s="1930" t="s">
        <v>320</v>
      </c>
      <c r="K4600" s="1933">
        <v>81.77</v>
      </c>
      <c r="L4600" s="1930" t="s">
        <v>138</v>
      </c>
    </row>
    <row r="4601" spans="1:12" ht="13.5" x14ac:dyDescent="0.25">
      <c r="A4601" s="1930" t="s">
        <v>4646</v>
      </c>
      <c r="B4601" s="1930" t="s">
        <v>4647</v>
      </c>
      <c r="C4601" s="1930" t="s">
        <v>4628</v>
      </c>
      <c r="D4601" s="1930" t="s">
        <v>4666</v>
      </c>
      <c r="E4601" s="1931" t="s">
        <v>33</v>
      </c>
      <c r="F4601" s="1930" t="s">
        <v>33</v>
      </c>
      <c r="G4601" s="1932">
        <v>90436</v>
      </c>
      <c r="H4601" s="1930" t="s">
        <v>3294</v>
      </c>
      <c r="I4601" s="1930" t="s">
        <v>168</v>
      </c>
      <c r="J4601" s="1930" t="s">
        <v>320</v>
      </c>
      <c r="K4601" s="1933">
        <v>10.93</v>
      </c>
      <c r="L4601" s="1930" t="s">
        <v>138</v>
      </c>
    </row>
    <row r="4602" spans="1:12" ht="13.5" x14ac:dyDescent="0.25">
      <c r="A4602" s="1930" t="s">
        <v>4646</v>
      </c>
      <c r="B4602" s="1930" t="s">
        <v>4647</v>
      </c>
      <c r="C4602" s="1930" t="s">
        <v>4628</v>
      </c>
      <c r="D4602" s="1930" t="s">
        <v>4666</v>
      </c>
      <c r="E4602" s="1931" t="s">
        <v>33</v>
      </c>
      <c r="F4602" s="1930" t="s">
        <v>33</v>
      </c>
      <c r="G4602" s="1932">
        <v>90437</v>
      </c>
      <c r="H4602" s="1930" t="s">
        <v>3295</v>
      </c>
      <c r="I4602" s="1930" t="s">
        <v>168</v>
      </c>
      <c r="J4602" s="1930" t="s">
        <v>320</v>
      </c>
      <c r="K4602" s="1933">
        <v>26.57</v>
      </c>
      <c r="L4602" s="1930" t="s">
        <v>138</v>
      </c>
    </row>
    <row r="4603" spans="1:12" ht="13.5" x14ac:dyDescent="0.25">
      <c r="A4603" s="1930" t="s">
        <v>4646</v>
      </c>
      <c r="B4603" s="1930" t="s">
        <v>4647</v>
      </c>
      <c r="C4603" s="1930" t="s">
        <v>4628</v>
      </c>
      <c r="D4603" s="1930" t="s">
        <v>4666</v>
      </c>
      <c r="E4603" s="1931" t="s">
        <v>33</v>
      </c>
      <c r="F4603" s="1930" t="s">
        <v>33</v>
      </c>
      <c r="G4603" s="1932">
        <v>90438</v>
      </c>
      <c r="H4603" s="1930" t="s">
        <v>3296</v>
      </c>
      <c r="I4603" s="1930" t="s">
        <v>168</v>
      </c>
      <c r="J4603" s="1930" t="s">
        <v>320</v>
      </c>
      <c r="K4603" s="1933">
        <v>38.090000000000003</v>
      </c>
      <c r="L4603" s="1930" t="s">
        <v>138</v>
      </c>
    </row>
    <row r="4604" spans="1:12" ht="13.5" x14ac:dyDescent="0.25">
      <c r="A4604" s="1930" t="s">
        <v>4646</v>
      </c>
      <c r="B4604" s="1930" t="s">
        <v>4647</v>
      </c>
      <c r="C4604" s="1930" t="s">
        <v>4628</v>
      </c>
      <c r="D4604" s="1930" t="s">
        <v>4666</v>
      </c>
      <c r="E4604" s="1931" t="s">
        <v>33</v>
      </c>
      <c r="F4604" s="1930" t="s">
        <v>33</v>
      </c>
      <c r="G4604" s="1932">
        <v>90439</v>
      </c>
      <c r="H4604" s="1930" t="s">
        <v>3297</v>
      </c>
      <c r="I4604" s="1930" t="s">
        <v>168</v>
      </c>
      <c r="J4604" s="1930" t="s">
        <v>137</v>
      </c>
      <c r="K4604" s="1933">
        <v>46.55</v>
      </c>
      <c r="L4604" s="1930" t="s">
        <v>138</v>
      </c>
    </row>
    <row r="4605" spans="1:12" ht="13.5" x14ac:dyDescent="0.25">
      <c r="A4605" s="1930" t="s">
        <v>4646</v>
      </c>
      <c r="B4605" s="1930" t="s">
        <v>4647</v>
      </c>
      <c r="C4605" s="1930" t="s">
        <v>4628</v>
      </c>
      <c r="D4605" s="1930" t="s">
        <v>4666</v>
      </c>
      <c r="E4605" s="1931" t="s">
        <v>33</v>
      </c>
      <c r="F4605" s="1930" t="s">
        <v>33</v>
      </c>
      <c r="G4605" s="1932">
        <v>90440</v>
      </c>
      <c r="H4605" s="1930" t="s">
        <v>3298</v>
      </c>
      <c r="I4605" s="1930" t="s">
        <v>168</v>
      </c>
      <c r="J4605" s="1930" t="s">
        <v>137</v>
      </c>
      <c r="K4605" s="1933">
        <v>74.56</v>
      </c>
      <c r="L4605" s="1930" t="s">
        <v>138</v>
      </c>
    </row>
    <row r="4606" spans="1:12" ht="13.5" x14ac:dyDescent="0.25">
      <c r="A4606" s="1930" t="s">
        <v>4646</v>
      </c>
      <c r="B4606" s="1930" t="s">
        <v>4647</v>
      </c>
      <c r="C4606" s="1930" t="s">
        <v>4628</v>
      </c>
      <c r="D4606" s="1930" t="s">
        <v>4666</v>
      </c>
      <c r="E4606" s="1931" t="s">
        <v>33</v>
      </c>
      <c r="F4606" s="1930" t="s">
        <v>33</v>
      </c>
      <c r="G4606" s="1932">
        <v>90441</v>
      </c>
      <c r="H4606" s="1930" t="s">
        <v>3299</v>
      </c>
      <c r="I4606" s="1930" t="s">
        <v>168</v>
      </c>
      <c r="J4606" s="1930" t="s">
        <v>137</v>
      </c>
      <c r="K4606" s="1933">
        <v>95.24</v>
      </c>
      <c r="L4606" s="1930" t="s">
        <v>138</v>
      </c>
    </row>
    <row r="4607" spans="1:12" ht="13.5" x14ac:dyDescent="0.25">
      <c r="A4607" s="1930" t="s">
        <v>4646</v>
      </c>
      <c r="B4607" s="1930" t="s">
        <v>4647</v>
      </c>
      <c r="C4607" s="1930" t="s">
        <v>4628</v>
      </c>
      <c r="D4607" s="1930" t="s">
        <v>4666</v>
      </c>
      <c r="E4607" s="1931" t="s">
        <v>33</v>
      </c>
      <c r="F4607" s="1930" t="s">
        <v>33</v>
      </c>
      <c r="G4607" s="1932">
        <v>90443</v>
      </c>
      <c r="H4607" s="1930" t="s">
        <v>3300</v>
      </c>
      <c r="I4607" s="1930" t="s">
        <v>136</v>
      </c>
      <c r="J4607" s="1930" t="s">
        <v>320</v>
      </c>
      <c r="K4607" s="1933">
        <v>9.93</v>
      </c>
      <c r="L4607" s="1930" t="s">
        <v>138</v>
      </c>
    </row>
    <row r="4608" spans="1:12" ht="13.5" x14ac:dyDescent="0.25">
      <c r="A4608" s="1930" t="s">
        <v>4646</v>
      </c>
      <c r="B4608" s="1930" t="s">
        <v>4647</v>
      </c>
      <c r="C4608" s="1930" t="s">
        <v>4628</v>
      </c>
      <c r="D4608" s="1930" t="s">
        <v>4666</v>
      </c>
      <c r="E4608" s="1931" t="s">
        <v>33</v>
      </c>
      <c r="F4608" s="1930" t="s">
        <v>33</v>
      </c>
      <c r="G4608" s="1932">
        <v>90444</v>
      </c>
      <c r="H4608" s="1930" t="s">
        <v>3301</v>
      </c>
      <c r="I4608" s="1930" t="s">
        <v>136</v>
      </c>
      <c r="J4608" s="1930" t="s">
        <v>137</v>
      </c>
      <c r="K4608" s="1933">
        <v>19.98</v>
      </c>
      <c r="L4608" s="1930" t="s">
        <v>138</v>
      </c>
    </row>
    <row r="4609" spans="1:12" ht="13.5" x14ac:dyDescent="0.25">
      <c r="A4609" s="1930" t="s">
        <v>4646</v>
      </c>
      <c r="B4609" s="1930" t="s">
        <v>4647</v>
      </c>
      <c r="C4609" s="1930" t="s">
        <v>4628</v>
      </c>
      <c r="D4609" s="1930" t="s">
        <v>4666</v>
      </c>
      <c r="E4609" s="1931" t="s">
        <v>33</v>
      </c>
      <c r="F4609" s="1930" t="s">
        <v>33</v>
      </c>
      <c r="G4609" s="1932">
        <v>90445</v>
      </c>
      <c r="H4609" s="1930" t="s">
        <v>3302</v>
      </c>
      <c r="I4609" s="1930" t="s">
        <v>136</v>
      </c>
      <c r="J4609" s="1930" t="s">
        <v>137</v>
      </c>
      <c r="K4609" s="1933">
        <v>21.32</v>
      </c>
      <c r="L4609" s="1930" t="s">
        <v>138</v>
      </c>
    </row>
    <row r="4610" spans="1:12" ht="13.5" x14ac:dyDescent="0.25">
      <c r="A4610" s="1930" t="s">
        <v>4646</v>
      </c>
      <c r="B4610" s="1930" t="s">
        <v>4647</v>
      </c>
      <c r="C4610" s="1930" t="s">
        <v>4628</v>
      </c>
      <c r="D4610" s="1930" t="s">
        <v>4666</v>
      </c>
      <c r="E4610" s="1931" t="s">
        <v>33</v>
      </c>
      <c r="F4610" s="1930" t="s">
        <v>33</v>
      </c>
      <c r="G4610" s="1932">
        <v>90446</v>
      </c>
      <c r="H4610" s="1930" t="s">
        <v>3303</v>
      </c>
      <c r="I4610" s="1930" t="s">
        <v>136</v>
      </c>
      <c r="J4610" s="1930" t="s">
        <v>137</v>
      </c>
      <c r="K4610" s="1933">
        <v>23.16</v>
      </c>
      <c r="L4610" s="1930" t="s">
        <v>138</v>
      </c>
    </row>
    <row r="4611" spans="1:12" ht="13.5" x14ac:dyDescent="0.25">
      <c r="A4611" s="1930" t="s">
        <v>4646</v>
      </c>
      <c r="B4611" s="1930" t="s">
        <v>4647</v>
      </c>
      <c r="C4611" s="1930" t="s">
        <v>4628</v>
      </c>
      <c r="D4611" s="1930" t="s">
        <v>4666</v>
      </c>
      <c r="E4611" s="1931" t="s">
        <v>33</v>
      </c>
      <c r="F4611" s="1930" t="s">
        <v>33</v>
      </c>
      <c r="G4611" s="1932">
        <v>90447</v>
      </c>
      <c r="H4611" s="1930" t="s">
        <v>3304</v>
      </c>
      <c r="I4611" s="1930" t="s">
        <v>136</v>
      </c>
      <c r="J4611" s="1930" t="s">
        <v>320</v>
      </c>
      <c r="K4611" s="1933">
        <v>4.93</v>
      </c>
      <c r="L4611" s="1930" t="s">
        <v>138</v>
      </c>
    </row>
    <row r="4612" spans="1:12" ht="13.5" x14ac:dyDescent="0.25">
      <c r="A4612" s="1930" t="s">
        <v>4646</v>
      </c>
      <c r="B4612" s="1930" t="s">
        <v>4647</v>
      </c>
      <c r="C4612" s="1930" t="s">
        <v>4628</v>
      </c>
      <c r="D4612" s="1930" t="s">
        <v>4666</v>
      </c>
      <c r="E4612" s="1931" t="s">
        <v>33</v>
      </c>
      <c r="F4612" s="1930" t="s">
        <v>33</v>
      </c>
      <c r="G4612" s="1932">
        <v>90451</v>
      </c>
      <c r="H4612" s="1930" t="s">
        <v>3305</v>
      </c>
      <c r="I4612" s="1930" t="s">
        <v>168</v>
      </c>
      <c r="J4612" s="1930" t="s">
        <v>137</v>
      </c>
      <c r="K4612" s="1933">
        <v>3.28</v>
      </c>
      <c r="L4612" s="1930" t="s">
        <v>138</v>
      </c>
    </row>
    <row r="4613" spans="1:12" ht="13.5" x14ac:dyDescent="0.25">
      <c r="A4613" s="1930" t="s">
        <v>4646</v>
      </c>
      <c r="B4613" s="1930" t="s">
        <v>4647</v>
      </c>
      <c r="C4613" s="1930" t="s">
        <v>4628</v>
      </c>
      <c r="D4613" s="1930" t="s">
        <v>4666</v>
      </c>
      <c r="E4613" s="1931" t="s">
        <v>33</v>
      </c>
      <c r="F4613" s="1930" t="s">
        <v>33</v>
      </c>
      <c r="G4613" s="1932">
        <v>90452</v>
      </c>
      <c r="H4613" s="1930" t="s">
        <v>3306</v>
      </c>
      <c r="I4613" s="1930" t="s">
        <v>168</v>
      </c>
      <c r="J4613" s="1930" t="s">
        <v>137</v>
      </c>
      <c r="K4613" s="1933">
        <v>13.44</v>
      </c>
      <c r="L4613" s="1930" t="s">
        <v>138</v>
      </c>
    </row>
    <row r="4614" spans="1:12" ht="13.5" x14ac:dyDescent="0.25">
      <c r="A4614" s="1930" t="s">
        <v>4646</v>
      </c>
      <c r="B4614" s="1930" t="s">
        <v>4647</v>
      </c>
      <c r="C4614" s="1930" t="s">
        <v>4628</v>
      </c>
      <c r="D4614" s="1930" t="s">
        <v>4666</v>
      </c>
      <c r="E4614" s="1931" t="s">
        <v>33</v>
      </c>
      <c r="F4614" s="1930" t="s">
        <v>33</v>
      </c>
      <c r="G4614" s="1932">
        <v>90453</v>
      </c>
      <c r="H4614" s="1930" t="s">
        <v>3307</v>
      </c>
      <c r="I4614" s="1930" t="s">
        <v>168</v>
      </c>
      <c r="J4614" s="1930" t="s">
        <v>320</v>
      </c>
      <c r="K4614" s="1933">
        <v>2.02</v>
      </c>
      <c r="L4614" s="1930" t="s">
        <v>138</v>
      </c>
    </row>
    <row r="4615" spans="1:12" ht="13.5" x14ac:dyDescent="0.25">
      <c r="A4615" s="1930" t="s">
        <v>4646</v>
      </c>
      <c r="B4615" s="1930" t="s">
        <v>4647</v>
      </c>
      <c r="C4615" s="1930" t="s">
        <v>4628</v>
      </c>
      <c r="D4615" s="1930" t="s">
        <v>4666</v>
      </c>
      <c r="E4615" s="1931" t="s">
        <v>33</v>
      </c>
      <c r="F4615" s="1930" t="s">
        <v>33</v>
      </c>
      <c r="G4615" s="1932">
        <v>90454</v>
      </c>
      <c r="H4615" s="1930" t="s">
        <v>3308</v>
      </c>
      <c r="I4615" s="1930" t="s">
        <v>168</v>
      </c>
      <c r="J4615" s="1930" t="s">
        <v>320</v>
      </c>
      <c r="K4615" s="1933">
        <v>3.56</v>
      </c>
      <c r="L4615" s="1930" t="s">
        <v>138</v>
      </c>
    </row>
    <row r="4616" spans="1:12" ht="13.5" x14ac:dyDescent="0.25">
      <c r="A4616" s="1930" t="s">
        <v>4646</v>
      </c>
      <c r="B4616" s="1930" t="s">
        <v>4647</v>
      </c>
      <c r="C4616" s="1930" t="s">
        <v>4628</v>
      </c>
      <c r="D4616" s="1930" t="s">
        <v>4666</v>
      </c>
      <c r="E4616" s="1931" t="s">
        <v>33</v>
      </c>
      <c r="F4616" s="1930" t="s">
        <v>33</v>
      </c>
      <c r="G4616" s="1932">
        <v>90455</v>
      </c>
      <c r="H4616" s="1930" t="s">
        <v>3309</v>
      </c>
      <c r="I4616" s="1930" t="s">
        <v>168</v>
      </c>
      <c r="J4616" s="1930" t="s">
        <v>320</v>
      </c>
      <c r="K4616" s="1933">
        <v>4.74</v>
      </c>
      <c r="L4616" s="1930" t="s">
        <v>138</v>
      </c>
    </row>
    <row r="4617" spans="1:12" ht="13.5" x14ac:dyDescent="0.25">
      <c r="A4617" s="1930" t="s">
        <v>4646</v>
      </c>
      <c r="B4617" s="1930" t="s">
        <v>4647</v>
      </c>
      <c r="C4617" s="1930" t="s">
        <v>4628</v>
      </c>
      <c r="D4617" s="1930" t="s">
        <v>4666</v>
      </c>
      <c r="E4617" s="1931" t="s">
        <v>33</v>
      </c>
      <c r="F4617" s="1930" t="s">
        <v>33</v>
      </c>
      <c r="G4617" s="1932">
        <v>90456</v>
      </c>
      <c r="H4617" s="1930" t="s">
        <v>3310</v>
      </c>
      <c r="I4617" s="1930" t="s">
        <v>168</v>
      </c>
      <c r="J4617" s="1930" t="s">
        <v>320</v>
      </c>
      <c r="K4617" s="1933">
        <v>3.19</v>
      </c>
      <c r="L4617" s="1930" t="s">
        <v>138</v>
      </c>
    </row>
    <row r="4618" spans="1:12" ht="13.5" x14ac:dyDescent="0.25">
      <c r="A4618" s="1930" t="s">
        <v>4646</v>
      </c>
      <c r="B4618" s="1930" t="s">
        <v>4647</v>
      </c>
      <c r="C4618" s="1930" t="s">
        <v>4628</v>
      </c>
      <c r="D4618" s="1930" t="s">
        <v>4666</v>
      </c>
      <c r="E4618" s="1931" t="s">
        <v>33</v>
      </c>
      <c r="F4618" s="1930" t="s">
        <v>33</v>
      </c>
      <c r="G4618" s="1932">
        <v>90457</v>
      </c>
      <c r="H4618" s="1930" t="s">
        <v>3311</v>
      </c>
      <c r="I4618" s="1930" t="s">
        <v>168</v>
      </c>
      <c r="J4618" s="1930" t="s">
        <v>320</v>
      </c>
      <c r="K4618" s="1933">
        <v>7.28</v>
      </c>
      <c r="L4618" s="1930" t="s">
        <v>138</v>
      </c>
    </row>
    <row r="4619" spans="1:12" ht="13.5" x14ac:dyDescent="0.25">
      <c r="A4619" s="1930" t="s">
        <v>4646</v>
      </c>
      <c r="B4619" s="1930" t="s">
        <v>4647</v>
      </c>
      <c r="C4619" s="1930" t="s">
        <v>4628</v>
      </c>
      <c r="D4619" s="1930" t="s">
        <v>4666</v>
      </c>
      <c r="E4619" s="1931" t="s">
        <v>33</v>
      </c>
      <c r="F4619" s="1930" t="s">
        <v>33</v>
      </c>
      <c r="G4619" s="1932">
        <v>90458</v>
      </c>
      <c r="H4619" s="1930" t="s">
        <v>3312</v>
      </c>
      <c r="I4619" s="1930" t="s">
        <v>168</v>
      </c>
      <c r="J4619" s="1930" t="s">
        <v>320</v>
      </c>
      <c r="K4619" s="1933">
        <v>20.65</v>
      </c>
      <c r="L4619" s="1930" t="s">
        <v>138</v>
      </c>
    </row>
    <row r="4620" spans="1:12" ht="13.5" x14ac:dyDescent="0.25">
      <c r="A4620" s="1930" t="s">
        <v>4646</v>
      </c>
      <c r="B4620" s="1930" t="s">
        <v>4647</v>
      </c>
      <c r="C4620" s="1930" t="s">
        <v>4628</v>
      </c>
      <c r="D4620" s="1930" t="s">
        <v>4666</v>
      </c>
      <c r="E4620" s="1931" t="s">
        <v>33</v>
      </c>
      <c r="F4620" s="1930" t="s">
        <v>33</v>
      </c>
      <c r="G4620" s="1932">
        <v>90459</v>
      </c>
      <c r="H4620" s="1930" t="s">
        <v>3313</v>
      </c>
      <c r="I4620" s="1930" t="s">
        <v>168</v>
      </c>
      <c r="J4620" s="1930" t="s">
        <v>320</v>
      </c>
      <c r="K4620" s="1933">
        <v>29.12</v>
      </c>
      <c r="L4620" s="1930" t="s">
        <v>138</v>
      </c>
    </row>
    <row r="4621" spans="1:12" ht="13.5" x14ac:dyDescent="0.25">
      <c r="A4621" s="1930" t="s">
        <v>4646</v>
      </c>
      <c r="B4621" s="1930" t="s">
        <v>4647</v>
      </c>
      <c r="C4621" s="1930" t="s">
        <v>4628</v>
      </c>
      <c r="D4621" s="1930" t="s">
        <v>4666</v>
      </c>
      <c r="E4621" s="1931" t="s">
        <v>33</v>
      </c>
      <c r="F4621" s="1930" t="s">
        <v>33</v>
      </c>
      <c r="G4621" s="1932">
        <v>90460</v>
      </c>
      <c r="H4621" s="1930" t="s">
        <v>3314</v>
      </c>
      <c r="I4621" s="1930" t="s">
        <v>136</v>
      </c>
      <c r="J4621" s="1930" t="s">
        <v>137</v>
      </c>
      <c r="K4621" s="1933">
        <v>26.81</v>
      </c>
      <c r="L4621" s="1930" t="s">
        <v>138</v>
      </c>
    </row>
    <row r="4622" spans="1:12" ht="13.5" x14ac:dyDescent="0.25">
      <c r="A4622" s="1930" t="s">
        <v>4646</v>
      </c>
      <c r="B4622" s="1930" t="s">
        <v>4647</v>
      </c>
      <c r="C4622" s="1930" t="s">
        <v>4628</v>
      </c>
      <c r="D4622" s="1930" t="s">
        <v>4666</v>
      </c>
      <c r="E4622" s="1931" t="s">
        <v>33</v>
      </c>
      <c r="F4622" s="1930" t="s">
        <v>33</v>
      </c>
      <c r="G4622" s="1932">
        <v>90461</v>
      </c>
      <c r="H4622" s="1930" t="s">
        <v>3315</v>
      </c>
      <c r="I4622" s="1930" t="s">
        <v>136</v>
      </c>
      <c r="J4622" s="1930" t="s">
        <v>137</v>
      </c>
      <c r="K4622" s="1933">
        <v>14.45</v>
      </c>
      <c r="L4622" s="1930" t="s">
        <v>138</v>
      </c>
    </row>
    <row r="4623" spans="1:12" ht="13.5" x14ac:dyDescent="0.25">
      <c r="A4623" s="1930" t="s">
        <v>4646</v>
      </c>
      <c r="B4623" s="1930" t="s">
        <v>4647</v>
      </c>
      <c r="C4623" s="1930" t="s">
        <v>4628</v>
      </c>
      <c r="D4623" s="1930" t="s">
        <v>4666</v>
      </c>
      <c r="E4623" s="1931" t="s">
        <v>33</v>
      </c>
      <c r="F4623" s="1930" t="s">
        <v>33</v>
      </c>
      <c r="G4623" s="1932">
        <v>90462</v>
      </c>
      <c r="H4623" s="1930" t="s">
        <v>3316</v>
      </c>
      <c r="I4623" s="1930" t="s">
        <v>136</v>
      </c>
      <c r="J4623" s="1930" t="s">
        <v>137</v>
      </c>
      <c r="K4623" s="1933">
        <v>3.2</v>
      </c>
      <c r="L4623" s="1930" t="s">
        <v>138</v>
      </c>
    </row>
    <row r="4624" spans="1:12" ht="13.5" x14ac:dyDescent="0.25">
      <c r="A4624" s="1930" t="s">
        <v>4646</v>
      </c>
      <c r="B4624" s="1930" t="s">
        <v>4647</v>
      </c>
      <c r="C4624" s="1930" t="s">
        <v>4628</v>
      </c>
      <c r="D4624" s="1930" t="s">
        <v>4666</v>
      </c>
      <c r="E4624" s="1931" t="s">
        <v>33</v>
      </c>
      <c r="F4624" s="1930" t="s">
        <v>33</v>
      </c>
      <c r="G4624" s="1932">
        <v>90463</v>
      </c>
      <c r="H4624" s="1930" t="s">
        <v>3317</v>
      </c>
      <c r="I4624" s="1930" t="s">
        <v>136</v>
      </c>
      <c r="J4624" s="1930" t="s">
        <v>137</v>
      </c>
      <c r="K4624" s="1933">
        <v>2.5299999999999998</v>
      </c>
      <c r="L4624" s="1930" t="s">
        <v>138</v>
      </c>
    </row>
    <row r="4625" spans="1:12" ht="13.5" x14ac:dyDescent="0.25">
      <c r="A4625" s="1930" t="s">
        <v>4646</v>
      </c>
      <c r="B4625" s="1930" t="s">
        <v>4647</v>
      </c>
      <c r="C4625" s="1930" t="s">
        <v>4628</v>
      </c>
      <c r="D4625" s="1930" t="s">
        <v>4666</v>
      </c>
      <c r="E4625" s="1931" t="s">
        <v>33</v>
      </c>
      <c r="F4625" s="1930" t="s">
        <v>33</v>
      </c>
      <c r="G4625" s="1932">
        <v>90466</v>
      </c>
      <c r="H4625" s="1930" t="s">
        <v>3318</v>
      </c>
      <c r="I4625" s="1930" t="s">
        <v>136</v>
      </c>
      <c r="J4625" s="1930" t="s">
        <v>320</v>
      </c>
      <c r="K4625" s="1933">
        <v>9.83</v>
      </c>
      <c r="L4625" s="1930" t="s">
        <v>138</v>
      </c>
    </row>
    <row r="4626" spans="1:12" ht="13.5" x14ac:dyDescent="0.25">
      <c r="A4626" s="1930" t="s">
        <v>4646</v>
      </c>
      <c r="B4626" s="1930" t="s">
        <v>4647</v>
      </c>
      <c r="C4626" s="1930" t="s">
        <v>4628</v>
      </c>
      <c r="D4626" s="1930" t="s">
        <v>4666</v>
      </c>
      <c r="E4626" s="1931" t="s">
        <v>33</v>
      </c>
      <c r="F4626" s="1930" t="s">
        <v>33</v>
      </c>
      <c r="G4626" s="1932">
        <v>90467</v>
      </c>
      <c r="H4626" s="1930" t="s">
        <v>3319</v>
      </c>
      <c r="I4626" s="1930" t="s">
        <v>136</v>
      </c>
      <c r="J4626" s="1930" t="s">
        <v>320</v>
      </c>
      <c r="K4626" s="1933">
        <v>15.54</v>
      </c>
      <c r="L4626" s="1930" t="s">
        <v>138</v>
      </c>
    </row>
    <row r="4627" spans="1:12" ht="13.5" x14ac:dyDescent="0.25">
      <c r="A4627" s="1930" t="s">
        <v>4646</v>
      </c>
      <c r="B4627" s="1930" t="s">
        <v>4647</v>
      </c>
      <c r="C4627" s="1930" t="s">
        <v>4628</v>
      </c>
      <c r="D4627" s="1930" t="s">
        <v>4666</v>
      </c>
      <c r="E4627" s="1931" t="s">
        <v>33</v>
      </c>
      <c r="F4627" s="1930" t="s">
        <v>33</v>
      </c>
      <c r="G4627" s="1932">
        <v>90468</v>
      </c>
      <c r="H4627" s="1930" t="s">
        <v>3320</v>
      </c>
      <c r="I4627" s="1930" t="s">
        <v>136</v>
      </c>
      <c r="J4627" s="1930" t="s">
        <v>320</v>
      </c>
      <c r="K4627" s="1933">
        <v>4.26</v>
      </c>
      <c r="L4627" s="1930" t="s">
        <v>138</v>
      </c>
    </row>
    <row r="4628" spans="1:12" ht="13.5" x14ac:dyDescent="0.25">
      <c r="A4628" s="1930" t="s">
        <v>4646</v>
      </c>
      <c r="B4628" s="1930" t="s">
        <v>4647</v>
      </c>
      <c r="C4628" s="1930" t="s">
        <v>4628</v>
      </c>
      <c r="D4628" s="1930" t="s">
        <v>4666</v>
      </c>
      <c r="E4628" s="1931" t="s">
        <v>33</v>
      </c>
      <c r="F4628" s="1930" t="s">
        <v>33</v>
      </c>
      <c r="G4628" s="1932">
        <v>90469</v>
      </c>
      <c r="H4628" s="1930" t="s">
        <v>3321</v>
      </c>
      <c r="I4628" s="1930" t="s">
        <v>136</v>
      </c>
      <c r="J4628" s="1930" t="s">
        <v>320</v>
      </c>
      <c r="K4628" s="1933">
        <v>6.82</v>
      </c>
      <c r="L4628" s="1930" t="s">
        <v>138</v>
      </c>
    </row>
    <row r="4629" spans="1:12" ht="13.5" x14ac:dyDescent="0.25">
      <c r="A4629" s="1930" t="s">
        <v>4646</v>
      </c>
      <c r="B4629" s="1930" t="s">
        <v>4647</v>
      </c>
      <c r="C4629" s="1930" t="s">
        <v>4628</v>
      </c>
      <c r="D4629" s="1930" t="s">
        <v>4666</v>
      </c>
      <c r="E4629" s="1931" t="s">
        <v>33</v>
      </c>
      <c r="F4629" s="1930" t="s">
        <v>33</v>
      </c>
      <c r="G4629" s="1932">
        <v>90470</v>
      </c>
      <c r="H4629" s="1930" t="s">
        <v>3322</v>
      </c>
      <c r="I4629" s="1930" t="s">
        <v>136</v>
      </c>
      <c r="J4629" s="1930" t="s">
        <v>320</v>
      </c>
      <c r="K4629" s="1933">
        <v>9.34</v>
      </c>
      <c r="L4629" s="1930" t="s">
        <v>138</v>
      </c>
    </row>
    <row r="4630" spans="1:12" ht="13.5" x14ac:dyDescent="0.25">
      <c r="A4630" s="1930" t="s">
        <v>4646</v>
      </c>
      <c r="B4630" s="1930" t="s">
        <v>4647</v>
      </c>
      <c r="C4630" s="1930" t="s">
        <v>4628</v>
      </c>
      <c r="D4630" s="1930" t="s">
        <v>4666</v>
      </c>
      <c r="E4630" s="1931" t="s">
        <v>33</v>
      </c>
      <c r="F4630" s="1930" t="s">
        <v>33</v>
      </c>
      <c r="G4630" s="1932">
        <v>91166</v>
      </c>
      <c r="H4630" s="1930" t="s">
        <v>3323</v>
      </c>
      <c r="I4630" s="1930" t="s">
        <v>136</v>
      </c>
      <c r="J4630" s="1930" t="s">
        <v>320</v>
      </c>
      <c r="K4630" s="1933">
        <v>3.08</v>
      </c>
      <c r="L4630" s="1930" t="s">
        <v>138</v>
      </c>
    </row>
    <row r="4631" spans="1:12" ht="13.5" x14ac:dyDescent="0.25">
      <c r="A4631" s="1930" t="s">
        <v>4646</v>
      </c>
      <c r="B4631" s="1930" t="s">
        <v>4647</v>
      </c>
      <c r="C4631" s="1930" t="s">
        <v>4628</v>
      </c>
      <c r="D4631" s="1930" t="s">
        <v>4666</v>
      </c>
      <c r="E4631" s="1931" t="s">
        <v>33</v>
      </c>
      <c r="F4631" s="1930" t="s">
        <v>33</v>
      </c>
      <c r="G4631" s="1932">
        <v>91167</v>
      </c>
      <c r="H4631" s="1930" t="s">
        <v>3324</v>
      </c>
      <c r="I4631" s="1930" t="s">
        <v>136</v>
      </c>
      <c r="J4631" s="1930" t="s">
        <v>320</v>
      </c>
      <c r="K4631" s="1933">
        <v>8.6</v>
      </c>
      <c r="L4631" s="1930" t="s">
        <v>138</v>
      </c>
    </row>
    <row r="4632" spans="1:12" ht="13.5" x14ac:dyDescent="0.25">
      <c r="A4632" s="1930" t="s">
        <v>4646</v>
      </c>
      <c r="B4632" s="1930" t="s">
        <v>4647</v>
      </c>
      <c r="C4632" s="1930" t="s">
        <v>4628</v>
      </c>
      <c r="D4632" s="1930" t="s">
        <v>4666</v>
      </c>
      <c r="E4632" s="1931" t="s">
        <v>33</v>
      </c>
      <c r="F4632" s="1930" t="s">
        <v>33</v>
      </c>
      <c r="G4632" s="1932">
        <v>91168</v>
      </c>
      <c r="H4632" s="1930" t="s">
        <v>3325</v>
      </c>
      <c r="I4632" s="1930" t="s">
        <v>136</v>
      </c>
      <c r="J4632" s="1930" t="s">
        <v>320</v>
      </c>
      <c r="K4632" s="1933">
        <v>6.5</v>
      </c>
      <c r="L4632" s="1930" t="s">
        <v>138</v>
      </c>
    </row>
    <row r="4633" spans="1:12" ht="13.5" x14ac:dyDescent="0.25">
      <c r="A4633" s="1930" t="s">
        <v>4646</v>
      </c>
      <c r="B4633" s="1930" t="s">
        <v>4647</v>
      </c>
      <c r="C4633" s="1930" t="s">
        <v>4628</v>
      </c>
      <c r="D4633" s="1930" t="s">
        <v>4666</v>
      </c>
      <c r="E4633" s="1931" t="s">
        <v>33</v>
      </c>
      <c r="F4633" s="1930" t="s">
        <v>33</v>
      </c>
      <c r="G4633" s="1932">
        <v>91169</v>
      </c>
      <c r="H4633" s="1930" t="s">
        <v>3326</v>
      </c>
      <c r="I4633" s="1930" t="s">
        <v>136</v>
      </c>
      <c r="J4633" s="1930" t="s">
        <v>320</v>
      </c>
      <c r="K4633" s="1933">
        <v>7.7</v>
      </c>
      <c r="L4633" s="1930" t="s">
        <v>138</v>
      </c>
    </row>
    <row r="4634" spans="1:12" ht="13.5" x14ac:dyDescent="0.25">
      <c r="A4634" s="1930" t="s">
        <v>4646</v>
      </c>
      <c r="B4634" s="1930" t="s">
        <v>4647</v>
      </c>
      <c r="C4634" s="1930" t="s">
        <v>4628</v>
      </c>
      <c r="D4634" s="1930" t="s">
        <v>4666</v>
      </c>
      <c r="E4634" s="1931" t="s">
        <v>33</v>
      </c>
      <c r="F4634" s="1930" t="s">
        <v>33</v>
      </c>
      <c r="G4634" s="1932">
        <v>91170</v>
      </c>
      <c r="H4634" s="1930" t="s">
        <v>3327</v>
      </c>
      <c r="I4634" s="1930" t="s">
        <v>136</v>
      </c>
      <c r="J4634" s="1930" t="s">
        <v>320</v>
      </c>
      <c r="K4634" s="1933">
        <v>2.21</v>
      </c>
      <c r="L4634" s="1930" t="s">
        <v>138</v>
      </c>
    </row>
    <row r="4635" spans="1:12" ht="13.5" x14ac:dyDescent="0.25">
      <c r="A4635" s="1930" t="s">
        <v>4646</v>
      </c>
      <c r="B4635" s="1930" t="s">
        <v>4647</v>
      </c>
      <c r="C4635" s="1930" t="s">
        <v>4628</v>
      </c>
      <c r="D4635" s="1930" t="s">
        <v>4666</v>
      </c>
      <c r="E4635" s="1931" t="s">
        <v>33</v>
      </c>
      <c r="F4635" s="1930" t="s">
        <v>33</v>
      </c>
      <c r="G4635" s="1932">
        <v>91171</v>
      </c>
      <c r="H4635" s="1930" t="s">
        <v>3328</v>
      </c>
      <c r="I4635" s="1930" t="s">
        <v>136</v>
      </c>
      <c r="J4635" s="1930" t="s">
        <v>320</v>
      </c>
      <c r="K4635" s="1933">
        <v>2.76</v>
      </c>
      <c r="L4635" s="1930" t="s">
        <v>138</v>
      </c>
    </row>
    <row r="4636" spans="1:12" ht="13.5" x14ac:dyDescent="0.25">
      <c r="A4636" s="1930" t="s">
        <v>4646</v>
      </c>
      <c r="B4636" s="1930" t="s">
        <v>4647</v>
      </c>
      <c r="C4636" s="1930" t="s">
        <v>4628</v>
      </c>
      <c r="D4636" s="1930" t="s">
        <v>4666</v>
      </c>
      <c r="E4636" s="1931" t="s">
        <v>33</v>
      </c>
      <c r="F4636" s="1930" t="s">
        <v>33</v>
      </c>
      <c r="G4636" s="1932">
        <v>91172</v>
      </c>
      <c r="H4636" s="1930" t="s">
        <v>3329</v>
      </c>
      <c r="I4636" s="1930" t="s">
        <v>136</v>
      </c>
      <c r="J4636" s="1930" t="s">
        <v>320</v>
      </c>
      <c r="K4636" s="1933">
        <v>4.0599999999999996</v>
      </c>
      <c r="L4636" s="1930" t="s">
        <v>138</v>
      </c>
    </row>
    <row r="4637" spans="1:12" ht="13.5" x14ac:dyDescent="0.25">
      <c r="A4637" s="1930" t="s">
        <v>4646</v>
      </c>
      <c r="B4637" s="1930" t="s">
        <v>4647</v>
      </c>
      <c r="C4637" s="1930" t="s">
        <v>4628</v>
      </c>
      <c r="D4637" s="1930" t="s">
        <v>4666</v>
      </c>
      <c r="E4637" s="1931" t="s">
        <v>33</v>
      </c>
      <c r="F4637" s="1930" t="s">
        <v>33</v>
      </c>
      <c r="G4637" s="1932">
        <v>91173</v>
      </c>
      <c r="H4637" s="1930" t="s">
        <v>3330</v>
      </c>
      <c r="I4637" s="1930" t="s">
        <v>136</v>
      </c>
      <c r="J4637" s="1930" t="s">
        <v>320</v>
      </c>
      <c r="K4637" s="1933">
        <v>1.1200000000000001</v>
      </c>
      <c r="L4637" s="1930" t="s">
        <v>138</v>
      </c>
    </row>
    <row r="4638" spans="1:12" ht="13.5" x14ac:dyDescent="0.25">
      <c r="A4638" s="1930" t="s">
        <v>4646</v>
      </c>
      <c r="B4638" s="1930" t="s">
        <v>4647</v>
      </c>
      <c r="C4638" s="1930" t="s">
        <v>4628</v>
      </c>
      <c r="D4638" s="1930" t="s">
        <v>4666</v>
      </c>
      <c r="E4638" s="1931" t="s">
        <v>33</v>
      </c>
      <c r="F4638" s="1930" t="s">
        <v>33</v>
      </c>
      <c r="G4638" s="1932">
        <v>91174</v>
      </c>
      <c r="H4638" s="1930" t="s">
        <v>3331</v>
      </c>
      <c r="I4638" s="1930" t="s">
        <v>136</v>
      </c>
      <c r="J4638" s="1930" t="s">
        <v>320</v>
      </c>
      <c r="K4638" s="1933">
        <v>2.19</v>
      </c>
      <c r="L4638" s="1930" t="s">
        <v>138</v>
      </c>
    </row>
    <row r="4639" spans="1:12" ht="13.5" x14ac:dyDescent="0.25">
      <c r="A4639" s="1930" t="s">
        <v>4646</v>
      </c>
      <c r="B4639" s="1930" t="s">
        <v>4647</v>
      </c>
      <c r="C4639" s="1930" t="s">
        <v>4628</v>
      </c>
      <c r="D4639" s="1930" t="s">
        <v>4666</v>
      </c>
      <c r="E4639" s="1931" t="s">
        <v>33</v>
      </c>
      <c r="F4639" s="1930" t="s">
        <v>33</v>
      </c>
      <c r="G4639" s="1932">
        <v>91175</v>
      </c>
      <c r="H4639" s="1930" t="s">
        <v>3332</v>
      </c>
      <c r="I4639" s="1930" t="s">
        <v>136</v>
      </c>
      <c r="J4639" s="1930" t="s">
        <v>320</v>
      </c>
      <c r="K4639" s="1933">
        <v>3.58</v>
      </c>
      <c r="L4639" s="1930" t="s">
        <v>138</v>
      </c>
    </row>
    <row r="4640" spans="1:12" ht="13.5" x14ac:dyDescent="0.25">
      <c r="A4640" s="1930" t="s">
        <v>4646</v>
      </c>
      <c r="B4640" s="1930" t="s">
        <v>4647</v>
      </c>
      <c r="C4640" s="1930" t="s">
        <v>4628</v>
      </c>
      <c r="D4640" s="1930" t="s">
        <v>4666</v>
      </c>
      <c r="E4640" s="1931" t="s">
        <v>33</v>
      </c>
      <c r="F4640" s="1930" t="s">
        <v>33</v>
      </c>
      <c r="G4640" s="1932">
        <v>91176</v>
      </c>
      <c r="H4640" s="1930" t="s">
        <v>3333</v>
      </c>
      <c r="I4640" s="1930" t="s">
        <v>136</v>
      </c>
      <c r="J4640" s="1930" t="s">
        <v>137</v>
      </c>
      <c r="K4640" s="1933">
        <v>36.65</v>
      </c>
      <c r="L4640" s="1930" t="s">
        <v>138</v>
      </c>
    </row>
    <row r="4641" spans="1:12" ht="13.5" x14ac:dyDescent="0.25">
      <c r="A4641" s="1930" t="s">
        <v>4646</v>
      </c>
      <c r="B4641" s="1930" t="s">
        <v>4647</v>
      </c>
      <c r="C4641" s="1930" t="s">
        <v>4628</v>
      </c>
      <c r="D4641" s="1930" t="s">
        <v>4666</v>
      </c>
      <c r="E4641" s="1931" t="s">
        <v>33</v>
      </c>
      <c r="F4641" s="1930" t="s">
        <v>33</v>
      </c>
      <c r="G4641" s="1932">
        <v>91177</v>
      </c>
      <c r="H4641" s="1930" t="s">
        <v>3334</v>
      </c>
      <c r="I4641" s="1930" t="s">
        <v>136</v>
      </c>
      <c r="J4641" s="1930" t="s">
        <v>137</v>
      </c>
      <c r="K4641" s="1933">
        <v>16.22</v>
      </c>
      <c r="L4641" s="1930" t="s">
        <v>138</v>
      </c>
    </row>
    <row r="4642" spans="1:12" ht="13.5" x14ac:dyDescent="0.25">
      <c r="A4642" s="1930" t="s">
        <v>4646</v>
      </c>
      <c r="B4642" s="1930" t="s">
        <v>4647</v>
      </c>
      <c r="C4642" s="1930" t="s">
        <v>4628</v>
      </c>
      <c r="D4642" s="1930" t="s">
        <v>4666</v>
      </c>
      <c r="E4642" s="1931" t="s">
        <v>33</v>
      </c>
      <c r="F4642" s="1930" t="s">
        <v>33</v>
      </c>
      <c r="G4642" s="1932">
        <v>91178</v>
      </c>
      <c r="H4642" s="1930" t="s">
        <v>3335</v>
      </c>
      <c r="I4642" s="1930" t="s">
        <v>136</v>
      </c>
      <c r="J4642" s="1930" t="s">
        <v>137</v>
      </c>
      <c r="K4642" s="1933">
        <v>15.61</v>
      </c>
      <c r="L4642" s="1930" t="s">
        <v>138</v>
      </c>
    </row>
    <row r="4643" spans="1:12" ht="13.5" x14ac:dyDescent="0.25">
      <c r="A4643" s="1930" t="s">
        <v>4646</v>
      </c>
      <c r="B4643" s="1930" t="s">
        <v>4647</v>
      </c>
      <c r="C4643" s="1930" t="s">
        <v>4628</v>
      </c>
      <c r="D4643" s="1930" t="s">
        <v>4666</v>
      </c>
      <c r="E4643" s="1931" t="s">
        <v>33</v>
      </c>
      <c r="F4643" s="1930" t="s">
        <v>33</v>
      </c>
      <c r="G4643" s="1932">
        <v>91179</v>
      </c>
      <c r="H4643" s="1930" t="s">
        <v>3336</v>
      </c>
      <c r="I4643" s="1930" t="s">
        <v>136</v>
      </c>
      <c r="J4643" s="1930" t="s">
        <v>137</v>
      </c>
      <c r="K4643" s="1933">
        <v>9.41</v>
      </c>
      <c r="L4643" s="1930" t="s">
        <v>138</v>
      </c>
    </row>
    <row r="4644" spans="1:12" ht="13.5" x14ac:dyDescent="0.25">
      <c r="A4644" s="1930" t="s">
        <v>4646</v>
      </c>
      <c r="B4644" s="1930" t="s">
        <v>4647</v>
      </c>
      <c r="C4644" s="1930" t="s">
        <v>4628</v>
      </c>
      <c r="D4644" s="1930" t="s">
        <v>4666</v>
      </c>
      <c r="E4644" s="1931" t="s">
        <v>33</v>
      </c>
      <c r="F4644" s="1930" t="s">
        <v>33</v>
      </c>
      <c r="G4644" s="1932">
        <v>91180</v>
      </c>
      <c r="H4644" s="1930" t="s">
        <v>3337</v>
      </c>
      <c r="I4644" s="1930" t="s">
        <v>136</v>
      </c>
      <c r="J4644" s="1930" t="s">
        <v>137</v>
      </c>
      <c r="K4644" s="1933">
        <v>7.37</v>
      </c>
      <c r="L4644" s="1930" t="s">
        <v>138</v>
      </c>
    </row>
    <row r="4645" spans="1:12" ht="13.5" x14ac:dyDescent="0.25">
      <c r="A4645" s="1930" t="s">
        <v>4646</v>
      </c>
      <c r="B4645" s="1930" t="s">
        <v>4647</v>
      </c>
      <c r="C4645" s="1930" t="s">
        <v>4628</v>
      </c>
      <c r="D4645" s="1930" t="s">
        <v>4666</v>
      </c>
      <c r="E4645" s="1931" t="s">
        <v>33</v>
      </c>
      <c r="F4645" s="1930" t="s">
        <v>33</v>
      </c>
      <c r="G4645" s="1932">
        <v>91181</v>
      </c>
      <c r="H4645" s="1930" t="s">
        <v>3338</v>
      </c>
      <c r="I4645" s="1930" t="s">
        <v>136</v>
      </c>
      <c r="J4645" s="1930" t="s">
        <v>137</v>
      </c>
      <c r="K4645" s="1933">
        <v>7.74</v>
      </c>
      <c r="L4645" s="1930" t="s">
        <v>138</v>
      </c>
    </row>
    <row r="4646" spans="1:12" ht="13.5" x14ac:dyDescent="0.25">
      <c r="A4646" s="1930" t="s">
        <v>4646</v>
      </c>
      <c r="B4646" s="1930" t="s">
        <v>4647</v>
      </c>
      <c r="C4646" s="1930" t="s">
        <v>4628</v>
      </c>
      <c r="D4646" s="1930" t="s">
        <v>4666</v>
      </c>
      <c r="E4646" s="1931" t="s">
        <v>33</v>
      </c>
      <c r="F4646" s="1930" t="s">
        <v>33</v>
      </c>
      <c r="G4646" s="1932">
        <v>91182</v>
      </c>
      <c r="H4646" s="1930" t="s">
        <v>3339</v>
      </c>
      <c r="I4646" s="1930" t="s">
        <v>136</v>
      </c>
      <c r="J4646" s="1930" t="s">
        <v>137</v>
      </c>
      <c r="K4646" s="1933">
        <v>21.05</v>
      </c>
      <c r="L4646" s="1930" t="s">
        <v>138</v>
      </c>
    </row>
    <row r="4647" spans="1:12" ht="13.5" x14ac:dyDescent="0.25">
      <c r="A4647" s="1930" t="s">
        <v>4646</v>
      </c>
      <c r="B4647" s="1930" t="s">
        <v>4647</v>
      </c>
      <c r="C4647" s="1930" t="s">
        <v>4628</v>
      </c>
      <c r="D4647" s="1930" t="s">
        <v>4666</v>
      </c>
      <c r="E4647" s="1931" t="s">
        <v>33</v>
      </c>
      <c r="F4647" s="1930" t="s">
        <v>33</v>
      </c>
      <c r="G4647" s="1932">
        <v>91183</v>
      </c>
      <c r="H4647" s="1930" t="s">
        <v>3340</v>
      </c>
      <c r="I4647" s="1930" t="s">
        <v>136</v>
      </c>
      <c r="J4647" s="1930" t="s">
        <v>137</v>
      </c>
      <c r="K4647" s="1933">
        <v>10.34</v>
      </c>
      <c r="L4647" s="1930" t="s">
        <v>138</v>
      </c>
    </row>
    <row r="4648" spans="1:12" ht="13.5" x14ac:dyDescent="0.25">
      <c r="A4648" s="1930" t="s">
        <v>4646</v>
      </c>
      <c r="B4648" s="1930" t="s">
        <v>4647</v>
      </c>
      <c r="C4648" s="1930" t="s">
        <v>4628</v>
      </c>
      <c r="D4648" s="1930" t="s">
        <v>4666</v>
      </c>
      <c r="E4648" s="1931" t="s">
        <v>33</v>
      </c>
      <c r="F4648" s="1930" t="s">
        <v>33</v>
      </c>
      <c r="G4648" s="1932">
        <v>91184</v>
      </c>
      <c r="H4648" s="1930" t="s">
        <v>3341</v>
      </c>
      <c r="I4648" s="1930" t="s">
        <v>136</v>
      </c>
      <c r="J4648" s="1930" t="s">
        <v>137</v>
      </c>
      <c r="K4648" s="1933">
        <v>9.6300000000000008</v>
      </c>
      <c r="L4648" s="1930" t="s">
        <v>138</v>
      </c>
    </row>
    <row r="4649" spans="1:12" ht="13.5" x14ac:dyDescent="0.25">
      <c r="A4649" s="1930" t="s">
        <v>4646</v>
      </c>
      <c r="B4649" s="1930" t="s">
        <v>4647</v>
      </c>
      <c r="C4649" s="1930" t="s">
        <v>4628</v>
      </c>
      <c r="D4649" s="1930" t="s">
        <v>4666</v>
      </c>
      <c r="E4649" s="1931" t="s">
        <v>33</v>
      </c>
      <c r="F4649" s="1930" t="s">
        <v>33</v>
      </c>
      <c r="G4649" s="1932">
        <v>91185</v>
      </c>
      <c r="H4649" s="1930" t="s">
        <v>3342</v>
      </c>
      <c r="I4649" s="1930" t="s">
        <v>136</v>
      </c>
      <c r="J4649" s="1930" t="s">
        <v>137</v>
      </c>
      <c r="K4649" s="1933">
        <v>5.41</v>
      </c>
      <c r="L4649" s="1930" t="s">
        <v>138</v>
      </c>
    </row>
    <row r="4650" spans="1:12" ht="13.5" x14ac:dyDescent="0.25">
      <c r="A4650" s="1930" t="s">
        <v>4646</v>
      </c>
      <c r="B4650" s="1930" t="s">
        <v>4647</v>
      </c>
      <c r="C4650" s="1930" t="s">
        <v>4628</v>
      </c>
      <c r="D4650" s="1930" t="s">
        <v>4666</v>
      </c>
      <c r="E4650" s="1931" t="s">
        <v>33</v>
      </c>
      <c r="F4650" s="1930" t="s">
        <v>33</v>
      </c>
      <c r="G4650" s="1932">
        <v>91186</v>
      </c>
      <c r="H4650" s="1930" t="s">
        <v>3343</v>
      </c>
      <c r="I4650" s="1930" t="s">
        <v>136</v>
      </c>
      <c r="J4650" s="1930" t="s">
        <v>137</v>
      </c>
      <c r="K4650" s="1933">
        <v>4.41</v>
      </c>
      <c r="L4650" s="1930" t="s">
        <v>138</v>
      </c>
    </row>
    <row r="4651" spans="1:12" ht="13.5" x14ac:dyDescent="0.25">
      <c r="A4651" s="1930" t="s">
        <v>4646</v>
      </c>
      <c r="B4651" s="1930" t="s">
        <v>4647</v>
      </c>
      <c r="C4651" s="1930" t="s">
        <v>4628</v>
      </c>
      <c r="D4651" s="1930" t="s">
        <v>4666</v>
      </c>
      <c r="E4651" s="1931" t="s">
        <v>33</v>
      </c>
      <c r="F4651" s="1930" t="s">
        <v>33</v>
      </c>
      <c r="G4651" s="1932">
        <v>91187</v>
      </c>
      <c r="H4651" s="1930" t="s">
        <v>3344</v>
      </c>
      <c r="I4651" s="1930" t="s">
        <v>136</v>
      </c>
      <c r="J4651" s="1930" t="s">
        <v>137</v>
      </c>
      <c r="K4651" s="1933">
        <v>5.09</v>
      </c>
      <c r="L4651" s="1930" t="s">
        <v>138</v>
      </c>
    </row>
    <row r="4652" spans="1:12" ht="13.5" x14ac:dyDescent="0.25">
      <c r="A4652" s="1930" t="s">
        <v>4646</v>
      </c>
      <c r="B4652" s="1930" t="s">
        <v>4647</v>
      </c>
      <c r="C4652" s="1930" t="s">
        <v>4628</v>
      </c>
      <c r="D4652" s="1930" t="s">
        <v>4666</v>
      </c>
      <c r="E4652" s="1931" t="s">
        <v>33</v>
      </c>
      <c r="F4652" s="1930" t="s">
        <v>33</v>
      </c>
      <c r="G4652" s="1932">
        <v>91188</v>
      </c>
      <c r="H4652" s="1930" t="s">
        <v>3345</v>
      </c>
      <c r="I4652" s="1930" t="s">
        <v>168</v>
      </c>
      <c r="J4652" s="1930" t="s">
        <v>320</v>
      </c>
      <c r="K4652" s="1933">
        <v>5.25</v>
      </c>
      <c r="L4652" s="1930" t="s">
        <v>138</v>
      </c>
    </row>
    <row r="4653" spans="1:12" ht="13.5" x14ac:dyDescent="0.25">
      <c r="A4653" s="1930" t="s">
        <v>4646</v>
      </c>
      <c r="B4653" s="1930" t="s">
        <v>4647</v>
      </c>
      <c r="C4653" s="1930" t="s">
        <v>4628</v>
      </c>
      <c r="D4653" s="1930" t="s">
        <v>4666</v>
      </c>
      <c r="E4653" s="1931" t="s">
        <v>33</v>
      </c>
      <c r="F4653" s="1930" t="s">
        <v>33</v>
      </c>
      <c r="G4653" s="1932">
        <v>91189</v>
      </c>
      <c r="H4653" s="1930" t="s">
        <v>3346</v>
      </c>
      <c r="I4653" s="1930" t="s">
        <v>168</v>
      </c>
      <c r="J4653" s="1930" t="s">
        <v>320</v>
      </c>
      <c r="K4653" s="1933">
        <v>34.79</v>
      </c>
      <c r="L4653" s="1930" t="s">
        <v>138</v>
      </c>
    </row>
    <row r="4654" spans="1:12" ht="13.5" x14ac:dyDescent="0.25">
      <c r="A4654" s="1930" t="s">
        <v>4646</v>
      </c>
      <c r="B4654" s="1930" t="s">
        <v>4647</v>
      </c>
      <c r="C4654" s="1930" t="s">
        <v>4628</v>
      </c>
      <c r="D4654" s="1930" t="s">
        <v>4666</v>
      </c>
      <c r="E4654" s="1931" t="s">
        <v>33</v>
      </c>
      <c r="F4654" s="1930" t="s">
        <v>33</v>
      </c>
      <c r="G4654" s="1932">
        <v>91190</v>
      </c>
      <c r="H4654" s="1930" t="s">
        <v>3347</v>
      </c>
      <c r="I4654" s="1930" t="s">
        <v>168</v>
      </c>
      <c r="J4654" s="1930" t="s">
        <v>320</v>
      </c>
      <c r="K4654" s="1933">
        <v>3.81</v>
      </c>
      <c r="L4654" s="1930" t="s">
        <v>138</v>
      </c>
    </row>
    <row r="4655" spans="1:12" ht="13.5" x14ac:dyDescent="0.25">
      <c r="A4655" s="1930" t="s">
        <v>4646</v>
      </c>
      <c r="B4655" s="1930" t="s">
        <v>4647</v>
      </c>
      <c r="C4655" s="1930" t="s">
        <v>4628</v>
      </c>
      <c r="D4655" s="1930" t="s">
        <v>4666</v>
      </c>
      <c r="E4655" s="1931" t="s">
        <v>33</v>
      </c>
      <c r="F4655" s="1930" t="s">
        <v>33</v>
      </c>
      <c r="G4655" s="1932">
        <v>91191</v>
      </c>
      <c r="H4655" s="1930" t="s">
        <v>3348</v>
      </c>
      <c r="I4655" s="1930" t="s">
        <v>168</v>
      </c>
      <c r="J4655" s="1930" t="s">
        <v>320</v>
      </c>
      <c r="K4655" s="1933">
        <v>4.04</v>
      </c>
      <c r="L4655" s="1930" t="s">
        <v>138</v>
      </c>
    </row>
    <row r="4656" spans="1:12" ht="13.5" x14ac:dyDescent="0.25">
      <c r="A4656" s="1930" t="s">
        <v>4646</v>
      </c>
      <c r="B4656" s="1930" t="s">
        <v>4647</v>
      </c>
      <c r="C4656" s="1930" t="s">
        <v>4628</v>
      </c>
      <c r="D4656" s="1930" t="s">
        <v>4666</v>
      </c>
      <c r="E4656" s="1931" t="s">
        <v>33</v>
      </c>
      <c r="F4656" s="1930" t="s">
        <v>33</v>
      </c>
      <c r="G4656" s="1932">
        <v>91192</v>
      </c>
      <c r="H4656" s="1930" t="s">
        <v>3349</v>
      </c>
      <c r="I4656" s="1930" t="s">
        <v>168</v>
      </c>
      <c r="J4656" s="1930" t="s">
        <v>320</v>
      </c>
      <c r="K4656" s="1933">
        <v>4.4800000000000004</v>
      </c>
      <c r="L4656" s="1930" t="s">
        <v>138</v>
      </c>
    </row>
    <row r="4657" spans="1:12" ht="13.5" x14ac:dyDescent="0.25">
      <c r="A4657" s="1930" t="s">
        <v>4646</v>
      </c>
      <c r="B4657" s="1930" t="s">
        <v>4647</v>
      </c>
      <c r="C4657" s="1930" t="s">
        <v>4628</v>
      </c>
      <c r="D4657" s="1930" t="s">
        <v>4666</v>
      </c>
      <c r="E4657" s="1931" t="s">
        <v>33</v>
      </c>
      <c r="F4657" s="1930" t="s">
        <v>33</v>
      </c>
      <c r="G4657" s="1932">
        <v>91222</v>
      </c>
      <c r="H4657" s="1930" t="s">
        <v>3350</v>
      </c>
      <c r="I4657" s="1930" t="s">
        <v>136</v>
      </c>
      <c r="J4657" s="1930" t="s">
        <v>320</v>
      </c>
      <c r="K4657" s="1933">
        <v>10.7</v>
      </c>
      <c r="L4657" s="1930" t="s">
        <v>138</v>
      </c>
    </row>
    <row r="4658" spans="1:12" ht="13.5" x14ac:dyDescent="0.25">
      <c r="A4658" s="1930" t="s">
        <v>4646</v>
      </c>
      <c r="B4658" s="1930" t="s">
        <v>4647</v>
      </c>
      <c r="C4658" s="1930" t="s">
        <v>4628</v>
      </c>
      <c r="D4658" s="1930" t="s">
        <v>4666</v>
      </c>
      <c r="E4658" s="1931" t="s">
        <v>33</v>
      </c>
      <c r="F4658" s="1930" t="s">
        <v>33</v>
      </c>
      <c r="G4658" s="1932">
        <v>94480</v>
      </c>
      <c r="H4658" s="1930" t="s">
        <v>3351</v>
      </c>
      <c r="I4658" s="1930" t="s">
        <v>168</v>
      </c>
      <c r="J4658" s="1930" t="s">
        <v>137</v>
      </c>
      <c r="K4658" s="1933">
        <v>1776.2</v>
      </c>
      <c r="L4658" s="1930" t="s">
        <v>138</v>
      </c>
    </row>
    <row r="4659" spans="1:12" ht="13.5" x14ac:dyDescent="0.25">
      <c r="A4659" s="1930" t="s">
        <v>4646</v>
      </c>
      <c r="B4659" s="1930" t="s">
        <v>4647</v>
      </c>
      <c r="C4659" s="1930" t="s">
        <v>4628</v>
      </c>
      <c r="D4659" s="1930" t="s">
        <v>4666</v>
      </c>
      <c r="E4659" s="1931" t="s">
        <v>33</v>
      </c>
      <c r="F4659" s="1930" t="s">
        <v>33</v>
      </c>
      <c r="G4659" s="1932">
        <v>94481</v>
      </c>
      <c r="H4659" s="1930" t="s">
        <v>3352</v>
      </c>
      <c r="I4659" s="1930" t="s">
        <v>168</v>
      </c>
      <c r="J4659" s="1930" t="s">
        <v>137</v>
      </c>
      <c r="K4659" s="1933">
        <v>1262.9000000000001</v>
      </c>
      <c r="L4659" s="1930" t="s">
        <v>138</v>
      </c>
    </row>
    <row r="4660" spans="1:12" ht="13.5" x14ac:dyDescent="0.25">
      <c r="A4660" s="1930" t="s">
        <v>4646</v>
      </c>
      <c r="B4660" s="1930" t="s">
        <v>4647</v>
      </c>
      <c r="C4660" s="1930" t="s">
        <v>4628</v>
      </c>
      <c r="D4660" s="1930" t="s">
        <v>4666</v>
      </c>
      <c r="E4660" s="1931" t="s">
        <v>33</v>
      </c>
      <c r="F4660" s="1930" t="s">
        <v>33</v>
      </c>
      <c r="G4660" s="1932">
        <v>94482</v>
      </c>
      <c r="H4660" s="1930" t="s">
        <v>3353</v>
      </c>
      <c r="I4660" s="1930" t="s">
        <v>168</v>
      </c>
      <c r="J4660" s="1930" t="s">
        <v>137</v>
      </c>
      <c r="K4660" s="1933">
        <v>1012.07</v>
      </c>
      <c r="L4660" s="1930" t="s">
        <v>138</v>
      </c>
    </row>
    <row r="4661" spans="1:12" ht="13.5" x14ac:dyDescent="0.25">
      <c r="A4661" s="1930" t="s">
        <v>4646</v>
      </c>
      <c r="B4661" s="1930" t="s">
        <v>4647</v>
      </c>
      <c r="C4661" s="1930" t="s">
        <v>4628</v>
      </c>
      <c r="D4661" s="1930" t="s">
        <v>4666</v>
      </c>
      <c r="E4661" s="1931" t="s">
        <v>33</v>
      </c>
      <c r="F4661" s="1930" t="s">
        <v>33</v>
      </c>
      <c r="G4661" s="1932">
        <v>94483</v>
      </c>
      <c r="H4661" s="1930" t="s">
        <v>3354</v>
      </c>
      <c r="I4661" s="1930" t="s">
        <v>168</v>
      </c>
      <c r="J4661" s="1930" t="s">
        <v>137</v>
      </c>
      <c r="K4661" s="1933">
        <v>858.18</v>
      </c>
      <c r="L4661" s="1930" t="s">
        <v>138</v>
      </c>
    </row>
    <row r="4662" spans="1:12" ht="13.5" x14ac:dyDescent="0.25">
      <c r="A4662" s="1930" t="s">
        <v>4646</v>
      </c>
      <c r="B4662" s="1930" t="s">
        <v>4647</v>
      </c>
      <c r="C4662" s="1930" t="s">
        <v>4628</v>
      </c>
      <c r="D4662" s="1930" t="s">
        <v>4666</v>
      </c>
      <c r="E4662" s="1931" t="s">
        <v>33</v>
      </c>
      <c r="F4662" s="1930" t="s">
        <v>33</v>
      </c>
      <c r="G4662" s="1932">
        <v>95541</v>
      </c>
      <c r="H4662" s="1930" t="s">
        <v>3355</v>
      </c>
      <c r="I4662" s="1930" t="s">
        <v>168</v>
      </c>
      <c r="J4662" s="1930" t="s">
        <v>320</v>
      </c>
      <c r="K4662" s="1933">
        <v>3.54</v>
      </c>
      <c r="L4662" s="1930" t="s">
        <v>138</v>
      </c>
    </row>
    <row r="4663" spans="1:12" ht="13.5" x14ac:dyDescent="0.25">
      <c r="A4663" s="1930" t="s">
        <v>4646</v>
      </c>
      <c r="B4663" s="1930" t="s">
        <v>4647</v>
      </c>
      <c r="C4663" s="1930" t="s">
        <v>4628</v>
      </c>
      <c r="D4663" s="1930" t="s">
        <v>4666</v>
      </c>
      <c r="E4663" s="1931" t="s">
        <v>33</v>
      </c>
      <c r="F4663" s="1930" t="s">
        <v>33</v>
      </c>
      <c r="G4663" s="1932">
        <v>96559</v>
      </c>
      <c r="H4663" s="1930" t="s">
        <v>3356</v>
      </c>
      <c r="I4663" s="1930" t="s">
        <v>306</v>
      </c>
      <c r="J4663" s="1930" t="s">
        <v>137</v>
      </c>
      <c r="K4663" s="1933">
        <v>75.86</v>
      </c>
      <c r="L4663" s="1930" t="s">
        <v>138</v>
      </c>
    </row>
    <row r="4664" spans="1:12" ht="13.5" x14ac:dyDescent="0.25">
      <c r="A4664" s="1930" t="s">
        <v>4646</v>
      </c>
      <c r="B4664" s="1930" t="s">
        <v>4647</v>
      </c>
      <c r="C4664" s="1930" t="s">
        <v>4628</v>
      </c>
      <c r="D4664" s="1930" t="s">
        <v>4666</v>
      </c>
      <c r="E4664" s="1931" t="s">
        <v>33</v>
      </c>
      <c r="F4664" s="1930" t="s">
        <v>33</v>
      </c>
      <c r="G4664" s="1932">
        <v>96560</v>
      </c>
      <c r="H4664" s="1930" t="s">
        <v>3357</v>
      </c>
      <c r="I4664" s="1930" t="s">
        <v>306</v>
      </c>
      <c r="J4664" s="1930" t="s">
        <v>137</v>
      </c>
      <c r="K4664" s="1933">
        <v>37.79</v>
      </c>
      <c r="L4664" s="1930" t="s">
        <v>138</v>
      </c>
    </row>
    <row r="4665" spans="1:12" ht="13.5" x14ac:dyDescent="0.25">
      <c r="A4665" s="1930" t="s">
        <v>4646</v>
      </c>
      <c r="B4665" s="1930" t="s">
        <v>4647</v>
      </c>
      <c r="C4665" s="1930" t="s">
        <v>4628</v>
      </c>
      <c r="D4665" s="1930" t="s">
        <v>4666</v>
      </c>
      <c r="E4665" s="1931" t="s">
        <v>33</v>
      </c>
      <c r="F4665" s="1930" t="s">
        <v>33</v>
      </c>
      <c r="G4665" s="1932">
        <v>96561</v>
      </c>
      <c r="H4665" s="1930" t="s">
        <v>3358</v>
      </c>
      <c r="I4665" s="1930" t="s">
        <v>306</v>
      </c>
      <c r="J4665" s="1930" t="s">
        <v>137</v>
      </c>
      <c r="K4665" s="1933">
        <v>22.82</v>
      </c>
      <c r="L4665" s="1930" t="s">
        <v>138</v>
      </c>
    </row>
    <row r="4666" spans="1:12" ht="13.5" x14ac:dyDescent="0.25">
      <c r="A4666" s="1930" t="s">
        <v>4646</v>
      </c>
      <c r="B4666" s="1930" t="s">
        <v>4647</v>
      </c>
      <c r="C4666" s="1930" t="s">
        <v>4628</v>
      </c>
      <c r="D4666" s="1930" t="s">
        <v>4666</v>
      </c>
      <c r="E4666" s="1931" t="s">
        <v>33</v>
      </c>
      <c r="F4666" s="1930" t="s">
        <v>33</v>
      </c>
      <c r="G4666" s="1932">
        <v>96562</v>
      </c>
      <c r="H4666" s="1930" t="s">
        <v>3359</v>
      </c>
      <c r="I4666" s="1930" t="s">
        <v>136</v>
      </c>
      <c r="J4666" s="1930" t="s">
        <v>137</v>
      </c>
      <c r="K4666" s="1933">
        <v>38.64</v>
      </c>
      <c r="L4666" s="1930" t="s">
        <v>138</v>
      </c>
    </row>
    <row r="4667" spans="1:12" ht="13.5" x14ac:dyDescent="0.25">
      <c r="A4667" s="1930" t="s">
        <v>4646</v>
      </c>
      <c r="B4667" s="1930" t="s">
        <v>4647</v>
      </c>
      <c r="C4667" s="1930" t="s">
        <v>4628</v>
      </c>
      <c r="D4667" s="1930" t="s">
        <v>4666</v>
      </c>
      <c r="E4667" s="1931" t="s">
        <v>33</v>
      </c>
      <c r="F4667" s="1930" t="s">
        <v>33</v>
      </c>
      <c r="G4667" s="1932">
        <v>96563</v>
      </c>
      <c r="H4667" s="1930" t="s">
        <v>3360</v>
      </c>
      <c r="I4667" s="1930" t="s">
        <v>136</v>
      </c>
      <c r="J4667" s="1930" t="s">
        <v>137</v>
      </c>
      <c r="K4667" s="1933">
        <v>41.08</v>
      </c>
      <c r="L4667" s="1930" t="s">
        <v>138</v>
      </c>
    </row>
    <row r="4668" spans="1:12" ht="13.5" x14ac:dyDescent="0.25">
      <c r="A4668" s="1930" t="s">
        <v>4667</v>
      </c>
      <c r="B4668" s="1930" t="s">
        <v>4668</v>
      </c>
      <c r="C4668" s="1930" t="s">
        <v>4669</v>
      </c>
      <c r="D4668" s="1930" t="s">
        <v>4670</v>
      </c>
      <c r="E4668" s="1931">
        <v>73826</v>
      </c>
      <c r="F4668" s="1930" t="s">
        <v>4671</v>
      </c>
      <c r="G4668" s="1932" t="s">
        <v>3361</v>
      </c>
      <c r="H4668" s="1930" t="s">
        <v>3362</v>
      </c>
      <c r="I4668" s="1930" t="s">
        <v>168</v>
      </c>
      <c r="J4668" s="1930" t="s">
        <v>137</v>
      </c>
      <c r="K4668" s="1933">
        <v>388.5</v>
      </c>
      <c r="L4668" s="1930" t="s">
        <v>138</v>
      </c>
    </row>
    <row r="4669" spans="1:12" ht="13.5" x14ac:dyDescent="0.25">
      <c r="A4669" s="1930" t="s">
        <v>4667</v>
      </c>
      <c r="B4669" s="1930" t="s">
        <v>4668</v>
      </c>
      <c r="C4669" s="1930" t="s">
        <v>4669</v>
      </c>
      <c r="D4669" s="1930" t="s">
        <v>4670</v>
      </c>
      <c r="E4669" s="1931">
        <v>73826</v>
      </c>
      <c r="F4669" s="1930" t="s">
        <v>4671</v>
      </c>
      <c r="G4669" s="1932" t="s">
        <v>3363</v>
      </c>
      <c r="H4669" s="1930" t="s">
        <v>3364</v>
      </c>
      <c r="I4669" s="1930" t="s">
        <v>168</v>
      </c>
      <c r="J4669" s="1930" t="s">
        <v>137</v>
      </c>
      <c r="K4669" s="1933">
        <v>505.05</v>
      </c>
      <c r="L4669" s="1930" t="s">
        <v>138</v>
      </c>
    </row>
    <row r="4670" spans="1:12" ht="13.5" x14ac:dyDescent="0.25">
      <c r="A4670" s="1930" t="s">
        <v>4667</v>
      </c>
      <c r="B4670" s="1930" t="s">
        <v>4668</v>
      </c>
      <c r="C4670" s="1930" t="s">
        <v>4669</v>
      </c>
      <c r="D4670" s="1930" t="s">
        <v>4670</v>
      </c>
      <c r="E4670" s="1931">
        <v>73834</v>
      </c>
      <c r="F4670" s="1930" t="s">
        <v>4672</v>
      </c>
      <c r="G4670" s="1932" t="s">
        <v>3365</v>
      </c>
      <c r="H4670" s="1930" t="s">
        <v>3366</v>
      </c>
      <c r="I4670" s="1930" t="s">
        <v>168</v>
      </c>
      <c r="J4670" s="1930" t="s">
        <v>137</v>
      </c>
      <c r="K4670" s="1933">
        <v>164.92</v>
      </c>
      <c r="L4670" s="1930" t="s">
        <v>138</v>
      </c>
    </row>
    <row r="4671" spans="1:12" ht="13.5" x14ac:dyDescent="0.25">
      <c r="A4671" s="1930" t="s">
        <v>4667</v>
      </c>
      <c r="B4671" s="1930" t="s">
        <v>4668</v>
      </c>
      <c r="C4671" s="1930" t="s">
        <v>4669</v>
      </c>
      <c r="D4671" s="1930" t="s">
        <v>4670</v>
      </c>
      <c r="E4671" s="1931">
        <v>73834</v>
      </c>
      <c r="F4671" s="1930" t="s">
        <v>4672</v>
      </c>
      <c r="G4671" s="1932" t="s">
        <v>3367</v>
      </c>
      <c r="H4671" s="1930" t="s">
        <v>3368</v>
      </c>
      <c r="I4671" s="1930" t="s">
        <v>168</v>
      </c>
      <c r="J4671" s="1930" t="s">
        <v>137</v>
      </c>
      <c r="K4671" s="1933">
        <v>263.88</v>
      </c>
      <c r="L4671" s="1930" t="s">
        <v>138</v>
      </c>
    </row>
    <row r="4672" spans="1:12" ht="13.5" x14ac:dyDescent="0.25">
      <c r="A4672" s="1930" t="s">
        <v>4667</v>
      </c>
      <c r="B4672" s="1930" t="s">
        <v>4668</v>
      </c>
      <c r="C4672" s="1930" t="s">
        <v>4669</v>
      </c>
      <c r="D4672" s="1930" t="s">
        <v>4670</v>
      </c>
      <c r="E4672" s="1931">
        <v>73834</v>
      </c>
      <c r="F4672" s="1930" t="s">
        <v>4672</v>
      </c>
      <c r="G4672" s="1932" t="s">
        <v>3369</v>
      </c>
      <c r="H4672" s="1930" t="s">
        <v>3370</v>
      </c>
      <c r="I4672" s="1930" t="s">
        <v>168</v>
      </c>
      <c r="J4672" s="1930" t="s">
        <v>137</v>
      </c>
      <c r="K4672" s="1933">
        <v>527.76</v>
      </c>
      <c r="L4672" s="1930" t="s">
        <v>138</v>
      </c>
    </row>
    <row r="4673" spans="1:12" ht="13.5" x14ac:dyDescent="0.25">
      <c r="A4673" s="1930" t="s">
        <v>4667</v>
      </c>
      <c r="B4673" s="1930" t="s">
        <v>4668</v>
      </c>
      <c r="C4673" s="1930" t="s">
        <v>4669</v>
      </c>
      <c r="D4673" s="1930" t="s">
        <v>4670</v>
      </c>
      <c r="E4673" s="1931">
        <v>73834</v>
      </c>
      <c r="F4673" s="1930" t="s">
        <v>4672</v>
      </c>
      <c r="G4673" s="1932" t="s">
        <v>3371</v>
      </c>
      <c r="H4673" s="1930" t="s">
        <v>3372</v>
      </c>
      <c r="I4673" s="1930" t="s">
        <v>168</v>
      </c>
      <c r="J4673" s="1930" t="s">
        <v>137</v>
      </c>
      <c r="K4673" s="1933">
        <v>791.64</v>
      </c>
      <c r="L4673" s="1930" t="s">
        <v>138</v>
      </c>
    </row>
    <row r="4674" spans="1:12" ht="13.5" x14ac:dyDescent="0.25">
      <c r="A4674" s="1930" t="s">
        <v>4667</v>
      </c>
      <c r="B4674" s="1930" t="s">
        <v>4668</v>
      </c>
      <c r="C4674" s="1930" t="s">
        <v>4669</v>
      </c>
      <c r="D4674" s="1930" t="s">
        <v>4670</v>
      </c>
      <c r="E4674" s="1931">
        <v>73835</v>
      </c>
      <c r="F4674" s="1930" t="s">
        <v>4673</v>
      </c>
      <c r="G4674" s="1932" t="s">
        <v>3373</v>
      </c>
      <c r="H4674" s="1930" t="s">
        <v>3374</v>
      </c>
      <c r="I4674" s="1930" t="s">
        <v>168</v>
      </c>
      <c r="J4674" s="1930" t="s">
        <v>137</v>
      </c>
      <c r="K4674" s="1933">
        <v>1024.8699999999999</v>
      </c>
      <c r="L4674" s="1930" t="s">
        <v>138</v>
      </c>
    </row>
    <row r="4675" spans="1:12" ht="13.5" x14ac:dyDescent="0.25">
      <c r="A4675" s="1930" t="s">
        <v>4667</v>
      </c>
      <c r="B4675" s="1930" t="s">
        <v>4668</v>
      </c>
      <c r="C4675" s="1930" t="s">
        <v>4669</v>
      </c>
      <c r="D4675" s="1930" t="s">
        <v>4670</v>
      </c>
      <c r="E4675" s="1931">
        <v>73835</v>
      </c>
      <c r="F4675" s="1930" t="s">
        <v>4673</v>
      </c>
      <c r="G4675" s="1932" t="s">
        <v>3375</v>
      </c>
      <c r="H4675" s="1930" t="s">
        <v>3376</v>
      </c>
      <c r="I4675" s="1930" t="s">
        <v>168</v>
      </c>
      <c r="J4675" s="1930" t="s">
        <v>137</v>
      </c>
      <c r="K4675" s="1933">
        <v>1393.83</v>
      </c>
      <c r="L4675" s="1930" t="s">
        <v>138</v>
      </c>
    </row>
    <row r="4676" spans="1:12" ht="13.5" x14ac:dyDescent="0.25">
      <c r="A4676" s="1930" t="s">
        <v>4667</v>
      </c>
      <c r="B4676" s="1930" t="s">
        <v>4668</v>
      </c>
      <c r="C4676" s="1930" t="s">
        <v>4669</v>
      </c>
      <c r="D4676" s="1930" t="s">
        <v>4670</v>
      </c>
      <c r="E4676" s="1931">
        <v>73835</v>
      </c>
      <c r="F4676" s="1930" t="s">
        <v>4673</v>
      </c>
      <c r="G4676" s="1932" t="s">
        <v>3377</v>
      </c>
      <c r="H4676" s="1930" t="s">
        <v>3378</v>
      </c>
      <c r="I4676" s="1930" t="s">
        <v>168</v>
      </c>
      <c r="J4676" s="1930" t="s">
        <v>137</v>
      </c>
      <c r="K4676" s="1933">
        <v>1557.81</v>
      </c>
      <c r="L4676" s="1930" t="s">
        <v>138</v>
      </c>
    </row>
    <row r="4677" spans="1:12" ht="13.5" x14ac:dyDescent="0.25">
      <c r="A4677" s="1930" t="s">
        <v>4667</v>
      </c>
      <c r="B4677" s="1930" t="s">
        <v>4668</v>
      </c>
      <c r="C4677" s="1930" t="s">
        <v>4669</v>
      </c>
      <c r="D4677" s="1930" t="s">
        <v>4670</v>
      </c>
      <c r="E4677" s="1931">
        <v>73836</v>
      </c>
      <c r="F4677" s="1930" t="s">
        <v>4674</v>
      </c>
      <c r="G4677" s="1932" t="s">
        <v>3379</v>
      </c>
      <c r="H4677" s="1930" t="s">
        <v>3380</v>
      </c>
      <c r="I4677" s="1930" t="s">
        <v>168</v>
      </c>
      <c r="J4677" s="1930" t="s">
        <v>137</v>
      </c>
      <c r="K4677" s="1933">
        <v>409.95</v>
      </c>
      <c r="L4677" s="1930" t="s">
        <v>138</v>
      </c>
    </row>
    <row r="4678" spans="1:12" ht="13.5" x14ac:dyDescent="0.25">
      <c r="A4678" s="1930" t="s">
        <v>4667</v>
      </c>
      <c r="B4678" s="1930" t="s">
        <v>4668</v>
      </c>
      <c r="C4678" s="1930" t="s">
        <v>4669</v>
      </c>
      <c r="D4678" s="1930" t="s">
        <v>4670</v>
      </c>
      <c r="E4678" s="1931">
        <v>73836</v>
      </c>
      <c r="F4678" s="1930" t="s">
        <v>4674</v>
      </c>
      <c r="G4678" s="1932" t="s">
        <v>3381</v>
      </c>
      <c r="H4678" s="1930" t="s">
        <v>3382</v>
      </c>
      <c r="I4678" s="1930" t="s">
        <v>168</v>
      </c>
      <c r="J4678" s="1930" t="s">
        <v>137</v>
      </c>
      <c r="K4678" s="1933">
        <v>532.92999999999995</v>
      </c>
      <c r="L4678" s="1930" t="s">
        <v>138</v>
      </c>
    </row>
    <row r="4679" spans="1:12" ht="13.5" x14ac:dyDescent="0.25">
      <c r="A4679" s="1930" t="s">
        <v>4667</v>
      </c>
      <c r="B4679" s="1930" t="s">
        <v>4668</v>
      </c>
      <c r="C4679" s="1930" t="s">
        <v>4669</v>
      </c>
      <c r="D4679" s="1930" t="s">
        <v>4670</v>
      </c>
      <c r="E4679" s="1931">
        <v>73836</v>
      </c>
      <c r="F4679" s="1930" t="s">
        <v>4674</v>
      </c>
      <c r="G4679" s="1932" t="s">
        <v>3383</v>
      </c>
      <c r="H4679" s="1930" t="s">
        <v>3384</v>
      </c>
      <c r="I4679" s="1930" t="s">
        <v>168</v>
      </c>
      <c r="J4679" s="1930" t="s">
        <v>137</v>
      </c>
      <c r="K4679" s="1933">
        <v>819.9</v>
      </c>
      <c r="L4679" s="1930" t="s">
        <v>138</v>
      </c>
    </row>
    <row r="4680" spans="1:12" ht="13.5" x14ac:dyDescent="0.25">
      <c r="A4680" s="1930" t="s">
        <v>4667</v>
      </c>
      <c r="B4680" s="1930" t="s">
        <v>4668</v>
      </c>
      <c r="C4680" s="1930" t="s">
        <v>4669</v>
      </c>
      <c r="D4680" s="1930" t="s">
        <v>4670</v>
      </c>
      <c r="E4680" s="1931">
        <v>73836</v>
      </c>
      <c r="F4680" s="1930" t="s">
        <v>4674</v>
      </c>
      <c r="G4680" s="1932" t="s">
        <v>3385</v>
      </c>
      <c r="H4680" s="1930" t="s">
        <v>3386</v>
      </c>
      <c r="I4680" s="1930" t="s">
        <v>168</v>
      </c>
      <c r="J4680" s="1930" t="s">
        <v>137</v>
      </c>
      <c r="K4680" s="1933">
        <v>1311.84</v>
      </c>
      <c r="L4680" s="1930" t="s">
        <v>138</v>
      </c>
    </row>
    <row r="4681" spans="1:12" ht="13.5" x14ac:dyDescent="0.25">
      <c r="A4681" s="1930" t="s">
        <v>4667</v>
      </c>
      <c r="B4681" s="1930" t="s">
        <v>4668</v>
      </c>
      <c r="C4681" s="1930" t="s">
        <v>4669</v>
      </c>
      <c r="D4681" s="1930" t="s">
        <v>4670</v>
      </c>
      <c r="E4681" s="1931">
        <v>73837</v>
      </c>
      <c r="F4681" s="1930" t="s">
        <v>4675</v>
      </c>
      <c r="G4681" s="1932" t="s">
        <v>3387</v>
      </c>
      <c r="H4681" s="1930" t="s">
        <v>3388</v>
      </c>
      <c r="I4681" s="1930" t="s">
        <v>168</v>
      </c>
      <c r="J4681" s="1930" t="s">
        <v>137</v>
      </c>
      <c r="K4681" s="1933">
        <v>164.92</v>
      </c>
      <c r="L4681" s="1930" t="s">
        <v>138</v>
      </c>
    </row>
    <row r="4682" spans="1:12" ht="13.5" x14ac:dyDescent="0.25">
      <c r="A4682" s="1930" t="s">
        <v>4667</v>
      </c>
      <c r="B4682" s="1930" t="s">
        <v>4668</v>
      </c>
      <c r="C4682" s="1930" t="s">
        <v>4669</v>
      </c>
      <c r="D4682" s="1930" t="s">
        <v>4670</v>
      </c>
      <c r="E4682" s="1931">
        <v>73837</v>
      </c>
      <c r="F4682" s="1930" t="s">
        <v>4675</v>
      </c>
      <c r="G4682" s="1932" t="s">
        <v>3389</v>
      </c>
      <c r="H4682" s="1930" t="s">
        <v>3390</v>
      </c>
      <c r="I4682" s="1930" t="s">
        <v>168</v>
      </c>
      <c r="J4682" s="1930" t="s">
        <v>137</v>
      </c>
      <c r="K4682" s="1933">
        <v>329.85</v>
      </c>
      <c r="L4682" s="1930" t="s">
        <v>138</v>
      </c>
    </row>
    <row r="4683" spans="1:12" ht="13.5" x14ac:dyDescent="0.25">
      <c r="A4683" s="1930" t="s">
        <v>4667</v>
      </c>
      <c r="B4683" s="1930" t="s">
        <v>4668</v>
      </c>
      <c r="C4683" s="1930" t="s">
        <v>4669</v>
      </c>
      <c r="D4683" s="1930" t="s">
        <v>4670</v>
      </c>
      <c r="E4683" s="1931">
        <v>73837</v>
      </c>
      <c r="F4683" s="1930" t="s">
        <v>4675</v>
      </c>
      <c r="G4683" s="1932" t="s">
        <v>3391</v>
      </c>
      <c r="H4683" s="1930" t="s">
        <v>3392</v>
      </c>
      <c r="I4683" s="1930" t="s">
        <v>168</v>
      </c>
      <c r="J4683" s="1930" t="s">
        <v>137</v>
      </c>
      <c r="K4683" s="1933">
        <v>659.7</v>
      </c>
      <c r="L4683" s="1930" t="s">
        <v>138</v>
      </c>
    </row>
    <row r="4684" spans="1:12" ht="13.5" x14ac:dyDescent="0.25">
      <c r="A4684" s="1930" t="s">
        <v>4676</v>
      </c>
      <c r="B4684" s="1930" t="s">
        <v>4677</v>
      </c>
      <c r="C4684" s="1930" t="s">
        <v>4678</v>
      </c>
      <c r="D4684" s="1930" t="s">
        <v>4679</v>
      </c>
      <c r="E4684" s="1931" t="s">
        <v>33</v>
      </c>
      <c r="F4684" s="1930" t="s">
        <v>33</v>
      </c>
      <c r="G4684" s="1932">
        <v>93350</v>
      </c>
      <c r="H4684" s="1930" t="s">
        <v>3394</v>
      </c>
      <c r="I4684" s="1930" t="s">
        <v>168</v>
      </c>
      <c r="J4684" s="1930" t="s">
        <v>137</v>
      </c>
      <c r="K4684" s="1933">
        <v>780.49</v>
      </c>
      <c r="L4684" s="1930" t="s">
        <v>138</v>
      </c>
    </row>
    <row r="4685" spans="1:12" ht="13.5" x14ac:dyDescent="0.25">
      <c r="A4685" s="1930" t="s">
        <v>4676</v>
      </c>
      <c r="B4685" s="1930" t="s">
        <v>4677</v>
      </c>
      <c r="C4685" s="1930" t="s">
        <v>4678</v>
      </c>
      <c r="D4685" s="1930" t="s">
        <v>4679</v>
      </c>
      <c r="E4685" s="1931" t="s">
        <v>33</v>
      </c>
      <c r="F4685" s="1930" t="s">
        <v>33</v>
      </c>
      <c r="G4685" s="1932">
        <v>93351</v>
      </c>
      <c r="H4685" s="1930" t="s">
        <v>3395</v>
      </c>
      <c r="I4685" s="1930" t="s">
        <v>168</v>
      </c>
      <c r="J4685" s="1930" t="s">
        <v>137</v>
      </c>
      <c r="K4685" s="1933">
        <v>636.67999999999995</v>
      </c>
      <c r="L4685" s="1930" t="s">
        <v>138</v>
      </c>
    </row>
    <row r="4686" spans="1:12" ht="13.5" x14ac:dyDescent="0.25">
      <c r="A4686" s="1930" t="s">
        <v>4676</v>
      </c>
      <c r="B4686" s="1930" t="s">
        <v>4677</v>
      </c>
      <c r="C4686" s="1930" t="s">
        <v>4678</v>
      </c>
      <c r="D4686" s="1930" t="s">
        <v>4679</v>
      </c>
      <c r="E4686" s="1931" t="s">
        <v>33</v>
      </c>
      <c r="F4686" s="1930" t="s">
        <v>33</v>
      </c>
      <c r="G4686" s="1932">
        <v>93352</v>
      </c>
      <c r="H4686" s="1930" t="s">
        <v>3396</v>
      </c>
      <c r="I4686" s="1930" t="s">
        <v>168</v>
      </c>
      <c r="J4686" s="1930" t="s">
        <v>137</v>
      </c>
      <c r="K4686" s="1933">
        <v>493.69</v>
      </c>
      <c r="L4686" s="1930" t="s">
        <v>138</v>
      </c>
    </row>
    <row r="4687" spans="1:12" ht="13.5" x14ac:dyDescent="0.25">
      <c r="A4687" s="1930" t="s">
        <v>4676</v>
      </c>
      <c r="B4687" s="1930" t="s">
        <v>4677</v>
      </c>
      <c r="C4687" s="1930" t="s">
        <v>4678</v>
      </c>
      <c r="D4687" s="1930" t="s">
        <v>4679</v>
      </c>
      <c r="E4687" s="1931" t="s">
        <v>33</v>
      </c>
      <c r="F4687" s="1930" t="s">
        <v>33</v>
      </c>
      <c r="G4687" s="1932">
        <v>93353</v>
      </c>
      <c r="H4687" s="1930" t="s">
        <v>3397</v>
      </c>
      <c r="I4687" s="1930" t="s">
        <v>168</v>
      </c>
      <c r="J4687" s="1930" t="s">
        <v>137</v>
      </c>
      <c r="K4687" s="1933">
        <v>354.08</v>
      </c>
      <c r="L4687" s="1930" t="s">
        <v>138</v>
      </c>
    </row>
    <row r="4688" spans="1:12" ht="13.5" x14ac:dyDescent="0.25">
      <c r="A4688" s="1930" t="s">
        <v>4676</v>
      </c>
      <c r="B4688" s="1930" t="s">
        <v>4677</v>
      </c>
      <c r="C4688" s="1930" t="s">
        <v>4678</v>
      </c>
      <c r="D4688" s="1930" t="s">
        <v>4679</v>
      </c>
      <c r="E4688" s="1931" t="s">
        <v>33</v>
      </c>
      <c r="F4688" s="1930" t="s">
        <v>33</v>
      </c>
      <c r="G4688" s="1932">
        <v>93354</v>
      </c>
      <c r="H4688" s="1930" t="s">
        <v>3398</v>
      </c>
      <c r="I4688" s="1930" t="s">
        <v>168</v>
      </c>
      <c r="J4688" s="1930" t="s">
        <v>137</v>
      </c>
      <c r="K4688" s="1933">
        <v>511.38</v>
      </c>
      <c r="L4688" s="1930" t="s">
        <v>138</v>
      </c>
    </row>
    <row r="4689" spans="1:12" ht="13.5" x14ac:dyDescent="0.25">
      <c r="A4689" s="1930" t="s">
        <v>4676</v>
      </c>
      <c r="B4689" s="1930" t="s">
        <v>4677</v>
      </c>
      <c r="C4689" s="1930" t="s">
        <v>4678</v>
      </c>
      <c r="D4689" s="1930" t="s">
        <v>4679</v>
      </c>
      <c r="E4689" s="1931" t="s">
        <v>33</v>
      </c>
      <c r="F4689" s="1930" t="s">
        <v>33</v>
      </c>
      <c r="G4689" s="1932">
        <v>93355</v>
      </c>
      <c r="H4689" s="1930" t="s">
        <v>3399</v>
      </c>
      <c r="I4689" s="1930" t="s">
        <v>168</v>
      </c>
      <c r="J4689" s="1930" t="s">
        <v>137</v>
      </c>
      <c r="K4689" s="1933">
        <v>424.53</v>
      </c>
      <c r="L4689" s="1930" t="s">
        <v>138</v>
      </c>
    </row>
    <row r="4690" spans="1:12" ht="13.5" x14ac:dyDescent="0.25">
      <c r="A4690" s="1930" t="s">
        <v>4676</v>
      </c>
      <c r="B4690" s="1930" t="s">
        <v>4677</v>
      </c>
      <c r="C4690" s="1930" t="s">
        <v>4678</v>
      </c>
      <c r="D4690" s="1930" t="s">
        <v>4679</v>
      </c>
      <c r="E4690" s="1931" t="s">
        <v>33</v>
      </c>
      <c r="F4690" s="1930" t="s">
        <v>33</v>
      </c>
      <c r="G4690" s="1932">
        <v>93356</v>
      </c>
      <c r="H4690" s="1930" t="s">
        <v>3400</v>
      </c>
      <c r="I4690" s="1930" t="s">
        <v>168</v>
      </c>
      <c r="J4690" s="1930" t="s">
        <v>137</v>
      </c>
      <c r="K4690" s="1933">
        <v>336.93</v>
      </c>
      <c r="L4690" s="1930" t="s">
        <v>138</v>
      </c>
    </row>
    <row r="4691" spans="1:12" ht="13.5" x14ac:dyDescent="0.25">
      <c r="A4691" s="1930" t="s">
        <v>4676</v>
      </c>
      <c r="B4691" s="1930" t="s">
        <v>4677</v>
      </c>
      <c r="C4691" s="1930" t="s">
        <v>4678</v>
      </c>
      <c r="D4691" s="1930" t="s">
        <v>4679</v>
      </c>
      <c r="E4691" s="1931" t="s">
        <v>33</v>
      </c>
      <c r="F4691" s="1930" t="s">
        <v>33</v>
      </c>
      <c r="G4691" s="1932">
        <v>93357</v>
      </c>
      <c r="H4691" s="1930" t="s">
        <v>3401</v>
      </c>
      <c r="I4691" s="1930" t="s">
        <v>168</v>
      </c>
      <c r="J4691" s="1930" t="s">
        <v>137</v>
      </c>
      <c r="K4691" s="1933">
        <v>251.15</v>
      </c>
      <c r="L4691" s="1930" t="s">
        <v>138</v>
      </c>
    </row>
    <row r="4692" spans="1:12" ht="13.5" x14ac:dyDescent="0.25">
      <c r="A4692" s="1930" t="s">
        <v>4680</v>
      </c>
      <c r="B4692" s="1930" t="s">
        <v>4681</v>
      </c>
      <c r="C4692" s="1930" t="s">
        <v>4682</v>
      </c>
      <c r="D4692" s="1930" t="s">
        <v>4683</v>
      </c>
      <c r="E4692" s="1931">
        <v>74151</v>
      </c>
      <c r="F4692" s="1930" t="s">
        <v>4684</v>
      </c>
      <c r="G4692" s="1932" t="s">
        <v>3402</v>
      </c>
      <c r="H4692" s="1930" t="s">
        <v>3403</v>
      </c>
      <c r="I4692" s="1930" t="s">
        <v>1208</v>
      </c>
      <c r="J4692" s="1930" t="s">
        <v>137</v>
      </c>
      <c r="K4692" s="1933">
        <v>2.5299999999999998</v>
      </c>
      <c r="L4692" s="1930" t="s">
        <v>138</v>
      </c>
    </row>
    <row r="4693" spans="1:12" ht="13.5" x14ac:dyDescent="0.25">
      <c r="A4693" s="1930" t="s">
        <v>4680</v>
      </c>
      <c r="B4693" s="1930" t="s">
        <v>4681</v>
      </c>
      <c r="C4693" s="1930" t="s">
        <v>4682</v>
      </c>
      <c r="D4693" s="1930" t="s">
        <v>4683</v>
      </c>
      <c r="E4693" s="1931">
        <v>74154</v>
      </c>
      <c r="F4693" s="1930" t="s">
        <v>4685</v>
      </c>
      <c r="G4693" s="1932" t="s">
        <v>3404</v>
      </c>
      <c r="H4693" s="1930" t="s">
        <v>3405</v>
      </c>
      <c r="I4693" s="1930" t="s">
        <v>1208</v>
      </c>
      <c r="J4693" s="1930" t="s">
        <v>137</v>
      </c>
      <c r="K4693" s="1933">
        <v>3.74</v>
      </c>
      <c r="L4693" s="1930" t="s">
        <v>138</v>
      </c>
    </row>
    <row r="4694" spans="1:12" ht="13.5" x14ac:dyDescent="0.25">
      <c r="A4694" s="1930" t="s">
        <v>4680</v>
      </c>
      <c r="B4694" s="1930" t="s">
        <v>4681</v>
      </c>
      <c r="C4694" s="1930" t="s">
        <v>4682</v>
      </c>
      <c r="D4694" s="1930" t="s">
        <v>4683</v>
      </c>
      <c r="E4694" s="1931">
        <v>74155</v>
      </c>
      <c r="F4694" s="1930" t="s">
        <v>4686</v>
      </c>
      <c r="G4694" s="1932" t="s">
        <v>3406</v>
      </c>
      <c r="H4694" s="1930" t="s">
        <v>3407</v>
      </c>
      <c r="I4694" s="1930" t="s">
        <v>1208</v>
      </c>
      <c r="J4694" s="1930" t="s">
        <v>137</v>
      </c>
      <c r="K4694" s="1933">
        <v>1.35</v>
      </c>
      <c r="L4694" s="1930" t="s">
        <v>138</v>
      </c>
    </row>
    <row r="4695" spans="1:12" ht="13.5" x14ac:dyDescent="0.25">
      <c r="A4695" s="1930" t="s">
        <v>4680</v>
      </c>
      <c r="B4695" s="1930" t="s">
        <v>4681</v>
      </c>
      <c r="C4695" s="1930" t="s">
        <v>4682</v>
      </c>
      <c r="D4695" s="1930" t="s">
        <v>4683</v>
      </c>
      <c r="E4695" s="1931">
        <v>74155</v>
      </c>
      <c r="F4695" s="1930" t="s">
        <v>4686</v>
      </c>
      <c r="G4695" s="1932" t="s">
        <v>3408</v>
      </c>
      <c r="H4695" s="1930" t="s">
        <v>3409</v>
      </c>
      <c r="I4695" s="1930" t="s">
        <v>1208</v>
      </c>
      <c r="J4695" s="1930" t="s">
        <v>137</v>
      </c>
      <c r="K4695" s="1933">
        <v>2.62</v>
      </c>
      <c r="L4695" s="1930" t="s">
        <v>138</v>
      </c>
    </row>
    <row r="4696" spans="1:12" ht="13.5" x14ac:dyDescent="0.25">
      <c r="A4696" s="1930" t="s">
        <v>4680</v>
      </c>
      <c r="B4696" s="1930" t="s">
        <v>4681</v>
      </c>
      <c r="C4696" s="1930" t="s">
        <v>4682</v>
      </c>
      <c r="D4696" s="1930" t="s">
        <v>4683</v>
      </c>
      <c r="E4696" s="1931">
        <v>74205</v>
      </c>
      <c r="F4696" s="1930" t="s">
        <v>4687</v>
      </c>
      <c r="G4696" s="1932" t="s">
        <v>3410</v>
      </c>
      <c r="H4696" s="1930" t="s">
        <v>3411</v>
      </c>
      <c r="I4696" s="1930" t="s">
        <v>1208</v>
      </c>
      <c r="J4696" s="1930" t="s">
        <v>137</v>
      </c>
      <c r="K4696" s="1933">
        <v>1.3</v>
      </c>
      <c r="L4696" s="1930" t="s">
        <v>138</v>
      </c>
    </row>
    <row r="4697" spans="1:12" ht="13.5" x14ac:dyDescent="0.25">
      <c r="A4697" s="1930" t="s">
        <v>4680</v>
      </c>
      <c r="B4697" s="1930" t="s">
        <v>4681</v>
      </c>
      <c r="C4697" s="1930" t="s">
        <v>4682</v>
      </c>
      <c r="D4697" s="1930" t="s">
        <v>4683</v>
      </c>
      <c r="E4697" s="1931" t="s">
        <v>33</v>
      </c>
      <c r="F4697" s="1930" t="s">
        <v>33</v>
      </c>
      <c r="G4697" s="1932">
        <v>79480</v>
      </c>
      <c r="H4697" s="1930" t="s">
        <v>3412</v>
      </c>
      <c r="I4697" s="1930" t="s">
        <v>1208</v>
      </c>
      <c r="J4697" s="1930" t="s">
        <v>137</v>
      </c>
      <c r="K4697" s="1933">
        <v>1.9</v>
      </c>
      <c r="L4697" s="1930" t="s">
        <v>138</v>
      </c>
    </row>
    <row r="4698" spans="1:12" ht="13.5" x14ac:dyDescent="0.25">
      <c r="A4698" s="1930" t="s">
        <v>4680</v>
      </c>
      <c r="B4698" s="1930" t="s">
        <v>4681</v>
      </c>
      <c r="C4698" s="1930" t="s">
        <v>4682</v>
      </c>
      <c r="D4698" s="1930" t="s">
        <v>4683</v>
      </c>
      <c r="E4698" s="1931" t="s">
        <v>33</v>
      </c>
      <c r="F4698" s="1930" t="s">
        <v>33</v>
      </c>
      <c r="G4698" s="1932">
        <v>83336</v>
      </c>
      <c r="H4698" s="1930" t="s">
        <v>3413</v>
      </c>
      <c r="I4698" s="1930" t="s">
        <v>1208</v>
      </c>
      <c r="J4698" s="1930" t="s">
        <v>137</v>
      </c>
      <c r="K4698" s="1933">
        <v>3.73</v>
      </c>
      <c r="L4698" s="1930" t="s">
        <v>138</v>
      </c>
    </row>
    <row r="4699" spans="1:12" ht="13.5" x14ac:dyDescent="0.25">
      <c r="A4699" s="1930" t="s">
        <v>4680</v>
      </c>
      <c r="B4699" s="1930" t="s">
        <v>4681</v>
      </c>
      <c r="C4699" s="1930" t="s">
        <v>4682</v>
      </c>
      <c r="D4699" s="1930" t="s">
        <v>4683</v>
      </c>
      <c r="E4699" s="1931" t="s">
        <v>33</v>
      </c>
      <c r="F4699" s="1930" t="s">
        <v>33</v>
      </c>
      <c r="G4699" s="1932">
        <v>83338</v>
      </c>
      <c r="H4699" s="1930" t="s">
        <v>3414</v>
      </c>
      <c r="I4699" s="1930" t="s">
        <v>1208</v>
      </c>
      <c r="J4699" s="1930" t="s">
        <v>137</v>
      </c>
      <c r="K4699" s="1933">
        <v>2.02</v>
      </c>
      <c r="L4699" s="1930" t="s">
        <v>138</v>
      </c>
    </row>
    <row r="4700" spans="1:12" ht="13.5" x14ac:dyDescent="0.25">
      <c r="A4700" s="1930" t="s">
        <v>4680</v>
      </c>
      <c r="B4700" s="1930" t="s">
        <v>4681</v>
      </c>
      <c r="C4700" s="1930" t="s">
        <v>4682</v>
      </c>
      <c r="D4700" s="1930" t="s">
        <v>4683</v>
      </c>
      <c r="E4700" s="1931" t="s">
        <v>33</v>
      </c>
      <c r="F4700" s="1930" t="s">
        <v>33</v>
      </c>
      <c r="G4700" s="1932">
        <v>89885</v>
      </c>
      <c r="H4700" s="1930" t="s">
        <v>3415</v>
      </c>
      <c r="I4700" s="1930" t="s">
        <v>1208</v>
      </c>
      <c r="J4700" s="1930" t="s">
        <v>137</v>
      </c>
      <c r="K4700" s="1933">
        <v>6.84</v>
      </c>
      <c r="L4700" s="1930" t="s">
        <v>138</v>
      </c>
    </row>
    <row r="4701" spans="1:12" ht="13.5" x14ac:dyDescent="0.25">
      <c r="A4701" s="1930" t="s">
        <v>4680</v>
      </c>
      <c r="B4701" s="1930" t="s">
        <v>4681</v>
      </c>
      <c r="C4701" s="1930" t="s">
        <v>4682</v>
      </c>
      <c r="D4701" s="1930" t="s">
        <v>4683</v>
      </c>
      <c r="E4701" s="1931" t="s">
        <v>33</v>
      </c>
      <c r="F4701" s="1930" t="s">
        <v>33</v>
      </c>
      <c r="G4701" s="1932">
        <v>89886</v>
      </c>
      <c r="H4701" s="1930" t="s">
        <v>3416</v>
      </c>
      <c r="I4701" s="1930" t="s">
        <v>1208</v>
      </c>
      <c r="J4701" s="1930" t="s">
        <v>137</v>
      </c>
      <c r="K4701" s="1933">
        <v>6.87</v>
      </c>
      <c r="L4701" s="1930" t="s">
        <v>138</v>
      </c>
    </row>
    <row r="4702" spans="1:12" ht="13.5" x14ac:dyDescent="0.25">
      <c r="A4702" s="1930" t="s">
        <v>4680</v>
      </c>
      <c r="B4702" s="1930" t="s">
        <v>4681</v>
      </c>
      <c r="C4702" s="1930" t="s">
        <v>4682</v>
      </c>
      <c r="D4702" s="1930" t="s">
        <v>4683</v>
      </c>
      <c r="E4702" s="1931" t="s">
        <v>33</v>
      </c>
      <c r="F4702" s="1930" t="s">
        <v>33</v>
      </c>
      <c r="G4702" s="1932">
        <v>89887</v>
      </c>
      <c r="H4702" s="1930" t="s">
        <v>3417</v>
      </c>
      <c r="I4702" s="1930" t="s">
        <v>1208</v>
      </c>
      <c r="J4702" s="1930" t="s">
        <v>137</v>
      </c>
      <c r="K4702" s="1933">
        <v>7.11</v>
      </c>
      <c r="L4702" s="1930" t="s">
        <v>138</v>
      </c>
    </row>
    <row r="4703" spans="1:12" ht="13.5" x14ac:dyDescent="0.25">
      <c r="A4703" s="1930" t="s">
        <v>4680</v>
      </c>
      <c r="B4703" s="1930" t="s">
        <v>4681</v>
      </c>
      <c r="C4703" s="1930" t="s">
        <v>4682</v>
      </c>
      <c r="D4703" s="1930" t="s">
        <v>4683</v>
      </c>
      <c r="E4703" s="1931" t="s">
        <v>33</v>
      </c>
      <c r="F4703" s="1930" t="s">
        <v>33</v>
      </c>
      <c r="G4703" s="1932">
        <v>89888</v>
      </c>
      <c r="H4703" s="1930" t="s">
        <v>3418</v>
      </c>
      <c r="I4703" s="1930" t="s">
        <v>1208</v>
      </c>
      <c r="J4703" s="1930" t="s">
        <v>137</v>
      </c>
      <c r="K4703" s="1933">
        <v>7.04</v>
      </c>
      <c r="L4703" s="1930" t="s">
        <v>138</v>
      </c>
    </row>
    <row r="4704" spans="1:12" ht="13.5" x14ac:dyDescent="0.25">
      <c r="A4704" s="1930" t="s">
        <v>4680</v>
      </c>
      <c r="B4704" s="1930" t="s">
        <v>4681</v>
      </c>
      <c r="C4704" s="1930" t="s">
        <v>4682</v>
      </c>
      <c r="D4704" s="1930" t="s">
        <v>4683</v>
      </c>
      <c r="E4704" s="1931" t="s">
        <v>33</v>
      </c>
      <c r="F4704" s="1930" t="s">
        <v>33</v>
      </c>
      <c r="G4704" s="1932">
        <v>89889</v>
      </c>
      <c r="H4704" s="1930" t="s">
        <v>3419</v>
      </c>
      <c r="I4704" s="1930" t="s">
        <v>1208</v>
      </c>
      <c r="J4704" s="1930" t="s">
        <v>137</v>
      </c>
      <c r="K4704" s="1933">
        <v>7.29</v>
      </c>
      <c r="L4704" s="1930" t="s">
        <v>138</v>
      </c>
    </row>
    <row r="4705" spans="1:12" ht="13.5" x14ac:dyDescent="0.25">
      <c r="A4705" s="1930" t="s">
        <v>4680</v>
      </c>
      <c r="B4705" s="1930" t="s">
        <v>4681</v>
      </c>
      <c r="C4705" s="1930" t="s">
        <v>4682</v>
      </c>
      <c r="D4705" s="1930" t="s">
        <v>4683</v>
      </c>
      <c r="E4705" s="1931" t="s">
        <v>33</v>
      </c>
      <c r="F4705" s="1930" t="s">
        <v>33</v>
      </c>
      <c r="G4705" s="1932">
        <v>89890</v>
      </c>
      <c r="H4705" s="1930" t="s">
        <v>3420</v>
      </c>
      <c r="I4705" s="1930" t="s">
        <v>1208</v>
      </c>
      <c r="J4705" s="1930" t="s">
        <v>137</v>
      </c>
      <c r="K4705" s="1933">
        <v>10.130000000000001</v>
      </c>
      <c r="L4705" s="1930" t="s">
        <v>138</v>
      </c>
    </row>
    <row r="4706" spans="1:12" ht="13.5" x14ac:dyDescent="0.25">
      <c r="A4706" s="1930" t="s">
        <v>4680</v>
      </c>
      <c r="B4706" s="1930" t="s">
        <v>4681</v>
      </c>
      <c r="C4706" s="1930" t="s">
        <v>4682</v>
      </c>
      <c r="D4706" s="1930" t="s">
        <v>4683</v>
      </c>
      <c r="E4706" s="1931" t="s">
        <v>33</v>
      </c>
      <c r="F4706" s="1930" t="s">
        <v>33</v>
      </c>
      <c r="G4706" s="1932">
        <v>89893</v>
      </c>
      <c r="H4706" s="1930" t="s">
        <v>3421</v>
      </c>
      <c r="I4706" s="1930" t="s">
        <v>1208</v>
      </c>
      <c r="J4706" s="1930" t="s">
        <v>137</v>
      </c>
      <c r="K4706" s="1933">
        <v>12.48</v>
      </c>
      <c r="L4706" s="1930" t="s">
        <v>138</v>
      </c>
    </row>
    <row r="4707" spans="1:12" ht="13.5" x14ac:dyDescent="0.25">
      <c r="A4707" s="1930" t="s">
        <v>4680</v>
      </c>
      <c r="B4707" s="1930" t="s">
        <v>4681</v>
      </c>
      <c r="C4707" s="1930" t="s">
        <v>4682</v>
      </c>
      <c r="D4707" s="1930" t="s">
        <v>4683</v>
      </c>
      <c r="E4707" s="1931" t="s">
        <v>33</v>
      </c>
      <c r="F4707" s="1930" t="s">
        <v>33</v>
      </c>
      <c r="G4707" s="1932">
        <v>89894</v>
      </c>
      <c r="H4707" s="1930" t="s">
        <v>3422</v>
      </c>
      <c r="I4707" s="1930" t="s">
        <v>1208</v>
      </c>
      <c r="J4707" s="1930" t="s">
        <v>137</v>
      </c>
      <c r="K4707" s="1933">
        <v>13.92</v>
      </c>
      <c r="L4707" s="1930" t="s">
        <v>138</v>
      </c>
    </row>
    <row r="4708" spans="1:12" ht="13.5" x14ac:dyDescent="0.25">
      <c r="A4708" s="1930" t="s">
        <v>4680</v>
      </c>
      <c r="B4708" s="1930" t="s">
        <v>4681</v>
      </c>
      <c r="C4708" s="1930" t="s">
        <v>4682</v>
      </c>
      <c r="D4708" s="1930" t="s">
        <v>4683</v>
      </c>
      <c r="E4708" s="1931" t="s">
        <v>33</v>
      </c>
      <c r="F4708" s="1930" t="s">
        <v>33</v>
      </c>
      <c r="G4708" s="1932">
        <v>89895</v>
      </c>
      <c r="H4708" s="1930" t="s">
        <v>3423</v>
      </c>
      <c r="I4708" s="1930" t="s">
        <v>1208</v>
      </c>
      <c r="J4708" s="1930" t="s">
        <v>137</v>
      </c>
      <c r="K4708" s="1933">
        <v>16.899999999999999</v>
      </c>
      <c r="L4708" s="1930" t="s">
        <v>138</v>
      </c>
    </row>
    <row r="4709" spans="1:12" ht="13.5" x14ac:dyDescent="0.25">
      <c r="A4709" s="1930" t="s">
        <v>4680</v>
      </c>
      <c r="B4709" s="1930" t="s">
        <v>4681</v>
      </c>
      <c r="C4709" s="1930" t="s">
        <v>4682</v>
      </c>
      <c r="D4709" s="1930" t="s">
        <v>4683</v>
      </c>
      <c r="E4709" s="1931" t="s">
        <v>33</v>
      </c>
      <c r="F4709" s="1930" t="s">
        <v>33</v>
      </c>
      <c r="G4709" s="1932">
        <v>89903</v>
      </c>
      <c r="H4709" s="1930" t="s">
        <v>3424</v>
      </c>
      <c r="I4709" s="1930" t="s">
        <v>1208</v>
      </c>
      <c r="J4709" s="1930" t="s">
        <v>137</v>
      </c>
      <c r="K4709" s="1933">
        <v>5.99</v>
      </c>
      <c r="L4709" s="1930" t="s">
        <v>138</v>
      </c>
    </row>
    <row r="4710" spans="1:12" ht="13.5" x14ac:dyDescent="0.25">
      <c r="A4710" s="1930" t="s">
        <v>4680</v>
      </c>
      <c r="B4710" s="1930" t="s">
        <v>4681</v>
      </c>
      <c r="C4710" s="1930" t="s">
        <v>4682</v>
      </c>
      <c r="D4710" s="1930" t="s">
        <v>4683</v>
      </c>
      <c r="E4710" s="1931" t="s">
        <v>33</v>
      </c>
      <c r="F4710" s="1930" t="s">
        <v>33</v>
      </c>
      <c r="G4710" s="1932">
        <v>89904</v>
      </c>
      <c r="H4710" s="1930" t="s">
        <v>3425</v>
      </c>
      <c r="I4710" s="1930" t="s">
        <v>1208</v>
      </c>
      <c r="J4710" s="1930" t="s">
        <v>137</v>
      </c>
      <c r="K4710" s="1933">
        <v>6.02</v>
      </c>
      <c r="L4710" s="1930" t="s">
        <v>138</v>
      </c>
    </row>
    <row r="4711" spans="1:12" ht="13.5" x14ac:dyDescent="0.25">
      <c r="A4711" s="1930" t="s">
        <v>4680</v>
      </c>
      <c r="B4711" s="1930" t="s">
        <v>4681</v>
      </c>
      <c r="C4711" s="1930" t="s">
        <v>4682</v>
      </c>
      <c r="D4711" s="1930" t="s">
        <v>4683</v>
      </c>
      <c r="E4711" s="1931" t="s">
        <v>33</v>
      </c>
      <c r="F4711" s="1930" t="s">
        <v>33</v>
      </c>
      <c r="G4711" s="1932">
        <v>89905</v>
      </c>
      <c r="H4711" s="1930" t="s">
        <v>3426</v>
      </c>
      <c r="I4711" s="1930" t="s">
        <v>1208</v>
      </c>
      <c r="J4711" s="1930" t="s">
        <v>137</v>
      </c>
      <c r="K4711" s="1933">
        <v>6.22</v>
      </c>
      <c r="L4711" s="1930" t="s">
        <v>138</v>
      </c>
    </row>
    <row r="4712" spans="1:12" ht="13.5" x14ac:dyDescent="0.25">
      <c r="A4712" s="1930" t="s">
        <v>4680</v>
      </c>
      <c r="B4712" s="1930" t="s">
        <v>4681</v>
      </c>
      <c r="C4712" s="1930" t="s">
        <v>4682</v>
      </c>
      <c r="D4712" s="1930" t="s">
        <v>4683</v>
      </c>
      <c r="E4712" s="1931" t="s">
        <v>33</v>
      </c>
      <c r="F4712" s="1930" t="s">
        <v>33</v>
      </c>
      <c r="G4712" s="1932">
        <v>89906</v>
      </c>
      <c r="H4712" s="1930" t="s">
        <v>3427</v>
      </c>
      <c r="I4712" s="1930" t="s">
        <v>1208</v>
      </c>
      <c r="J4712" s="1930" t="s">
        <v>137</v>
      </c>
      <c r="K4712" s="1933">
        <v>6.15</v>
      </c>
      <c r="L4712" s="1930" t="s">
        <v>138</v>
      </c>
    </row>
    <row r="4713" spans="1:12" ht="13.5" x14ac:dyDescent="0.25">
      <c r="A4713" s="1930" t="s">
        <v>4680</v>
      </c>
      <c r="B4713" s="1930" t="s">
        <v>4681</v>
      </c>
      <c r="C4713" s="1930" t="s">
        <v>4682</v>
      </c>
      <c r="D4713" s="1930" t="s">
        <v>4683</v>
      </c>
      <c r="E4713" s="1931" t="s">
        <v>33</v>
      </c>
      <c r="F4713" s="1930" t="s">
        <v>33</v>
      </c>
      <c r="G4713" s="1932">
        <v>89907</v>
      </c>
      <c r="H4713" s="1930" t="s">
        <v>3428</v>
      </c>
      <c r="I4713" s="1930" t="s">
        <v>1208</v>
      </c>
      <c r="J4713" s="1930" t="s">
        <v>137</v>
      </c>
      <c r="K4713" s="1933">
        <v>6.96</v>
      </c>
      <c r="L4713" s="1930" t="s">
        <v>138</v>
      </c>
    </row>
    <row r="4714" spans="1:12" ht="13.5" x14ac:dyDescent="0.25">
      <c r="A4714" s="1930" t="s">
        <v>4680</v>
      </c>
      <c r="B4714" s="1930" t="s">
        <v>4681</v>
      </c>
      <c r="C4714" s="1930" t="s">
        <v>4682</v>
      </c>
      <c r="D4714" s="1930" t="s">
        <v>4683</v>
      </c>
      <c r="E4714" s="1931" t="s">
        <v>33</v>
      </c>
      <c r="F4714" s="1930" t="s">
        <v>33</v>
      </c>
      <c r="G4714" s="1932">
        <v>89908</v>
      </c>
      <c r="H4714" s="1930" t="s">
        <v>3429</v>
      </c>
      <c r="I4714" s="1930" t="s">
        <v>1208</v>
      </c>
      <c r="J4714" s="1930" t="s">
        <v>137</v>
      </c>
      <c r="K4714" s="1933">
        <v>9.51</v>
      </c>
      <c r="L4714" s="1930" t="s">
        <v>138</v>
      </c>
    </row>
    <row r="4715" spans="1:12" ht="13.5" x14ac:dyDescent="0.25">
      <c r="A4715" s="1930" t="s">
        <v>4680</v>
      </c>
      <c r="B4715" s="1930" t="s">
        <v>4681</v>
      </c>
      <c r="C4715" s="1930" t="s">
        <v>4682</v>
      </c>
      <c r="D4715" s="1930" t="s">
        <v>4683</v>
      </c>
      <c r="E4715" s="1931" t="s">
        <v>33</v>
      </c>
      <c r="F4715" s="1930" t="s">
        <v>33</v>
      </c>
      <c r="G4715" s="1932">
        <v>89911</v>
      </c>
      <c r="H4715" s="1930" t="s">
        <v>3430</v>
      </c>
      <c r="I4715" s="1930" t="s">
        <v>1208</v>
      </c>
      <c r="J4715" s="1930" t="s">
        <v>137</v>
      </c>
      <c r="K4715" s="1933">
        <v>11.61</v>
      </c>
      <c r="L4715" s="1930" t="s">
        <v>138</v>
      </c>
    </row>
    <row r="4716" spans="1:12" ht="13.5" x14ac:dyDescent="0.25">
      <c r="A4716" s="1930" t="s">
        <v>4680</v>
      </c>
      <c r="B4716" s="1930" t="s">
        <v>4681</v>
      </c>
      <c r="C4716" s="1930" t="s">
        <v>4682</v>
      </c>
      <c r="D4716" s="1930" t="s">
        <v>4683</v>
      </c>
      <c r="E4716" s="1931" t="s">
        <v>33</v>
      </c>
      <c r="F4716" s="1930" t="s">
        <v>33</v>
      </c>
      <c r="G4716" s="1932">
        <v>89912</v>
      </c>
      <c r="H4716" s="1930" t="s">
        <v>3431</v>
      </c>
      <c r="I4716" s="1930" t="s">
        <v>1208</v>
      </c>
      <c r="J4716" s="1930" t="s">
        <v>137</v>
      </c>
      <c r="K4716" s="1933">
        <v>12.37</v>
      </c>
      <c r="L4716" s="1930" t="s">
        <v>138</v>
      </c>
    </row>
    <row r="4717" spans="1:12" ht="13.5" x14ac:dyDescent="0.25">
      <c r="A4717" s="1930" t="s">
        <v>4680</v>
      </c>
      <c r="B4717" s="1930" t="s">
        <v>4681</v>
      </c>
      <c r="C4717" s="1930" t="s">
        <v>4682</v>
      </c>
      <c r="D4717" s="1930" t="s">
        <v>4683</v>
      </c>
      <c r="E4717" s="1931" t="s">
        <v>33</v>
      </c>
      <c r="F4717" s="1930" t="s">
        <v>33</v>
      </c>
      <c r="G4717" s="1932">
        <v>89913</v>
      </c>
      <c r="H4717" s="1930" t="s">
        <v>3432</v>
      </c>
      <c r="I4717" s="1930" t="s">
        <v>1208</v>
      </c>
      <c r="J4717" s="1930" t="s">
        <v>137</v>
      </c>
      <c r="K4717" s="1933">
        <v>15.04</v>
      </c>
      <c r="L4717" s="1930" t="s">
        <v>138</v>
      </c>
    </row>
    <row r="4718" spans="1:12" ht="13.5" x14ac:dyDescent="0.25">
      <c r="A4718" s="1930" t="s">
        <v>4680</v>
      </c>
      <c r="B4718" s="1930" t="s">
        <v>4681</v>
      </c>
      <c r="C4718" s="1930" t="s">
        <v>4682</v>
      </c>
      <c r="D4718" s="1930" t="s">
        <v>4683</v>
      </c>
      <c r="E4718" s="1931" t="s">
        <v>33</v>
      </c>
      <c r="F4718" s="1930" t="s">
        <v>33</v>
      </c>
      <c r="G4718" s="1932">
        <v>89921</v>
      </c>
      <c r="H4718" s="1930" t="s">
        <v>3433</v>
      </c>
      <c r="I4718" s="1930" t="s">
        <v>1208</v>
      </c>
      <c r="J4718" s="1930" t="s">
        <v>137</v>
      </c>
      <c r="K4718" s="1933">
        <v>5.55</v>
      </c>
      <c r="L4718" s="1930" t="s">
        <v>138</v>
      </c>
    </row>
    <row r="4719" spans="1:12" ht="13.5" x14ac:dyDescent="0.25">
      <c r="A4719" s="1930" t="s">
        <v>4680</v>
      </c>
      <c r="B4719" s="1930" t="s">
        <v>4681</v>
      </c>
      <c r="C4719" s="1930" t="s">
        <v>4682</v>
      </c>
      <c r="D4719" s="1930" t="s">
        <v>4683</v>
      </c>
      <c r="E4719" s="1931" t="s">
        <v>33</v>
      </c>
      <c r="F4719" s="1930" t="s">
        <v>33</v>
      </c>
      <c r="G4719" s="1932">
        <v>89922</v>
      </c>
      <c r="H4719" s="1930" t="s">
        <v>3434</v>
      </c>
      <c r="I4719" s="1930" t="s">
        <v>1208</v>
      </c>
      <c r="J4719" s="1930" t="s">
        <v>137</v>
      </c>
      <c r="K4719" s="1933">
        <v>5.57</v>
      </c>
      <c r="L4719" s="1930" t="s">
        <v>138</v>
      </c>
    </row>
    <row r="4720" spans="1:12" ht="13.5" x14ac:dyDescent="0.25">
      <c r="A4720" s="1930" t="s">
        <v>4680</v>
      </c>
      <c r="B4720" s="1930" t="s">
        <v>4681</v>
      </c>
      <c r="C4720" s="1930" t="s">
        <v>4682</v>
      </c>
      <c r="D4720" s="1930" t="s">
        <v>4683</v>
      </c>
      <c r="E4720" s="1931" t="s">
        <v>33</v>
      </c>
      <c r="F4720" s="1930" t="s">
        <v>33</v>
      </c>
      <c r="G4720" s="1932">
        <v>89923</v>
      </c>
      <c r="H4720" s="1930" t="s">
        <v>3435</v>
      </c>
      <c r="I4720" s="1930" t="s">
        <v>1208</v>
      </c>
      <c r="J4720" s="1930" t="s">
        <v>137</v>
      </c>
      <c r="K4720" s="1933">
        <v>5.82</v>
      </c>
      <c r="L4720" s="1930" t="s">
        <v>138</v>
      </c>
    </row>
    <row r="4721" spans="1:12" ht="13.5" x14ac:dyDescent="0.25">
      <c r="A4721" s="1930" t="s">
        <v>4680</v>
      </c>
      <c r="B4721" s="1930" t="s">
        <v>4681</v>
      </c>
      <c r="C4721" s="1930" t="s">
        <v>4682</v>
      </c>
      <c r="D4721" s="1930" t="s">
        <v>4683</v>
      </c>
      <c r="E4721" s="1931" t="s">
        <v>33</v>
      </c>
      <c r="F4721" s="1930" t="s">
        <v>33</v>
      </c>
      <c r="G4721" s="1932">
        <v>89924</v>
      </c>
      <c r="H4721" s="1930" t="s">
        <v>3436</v>
      </c>
      <c r="I4721" s="1930" t="s">
        <v>1208</v>
      </c>
      <c r="J4721" s="1930" t="s">
        <v>137</v>
      </c>
      <c r="K4721" s="1933">
        <v>5.74</v>
      </c>
      <c r="L4721" s="1930" t="s">
        <v>138</v>
      </c>
    </row>
    <row r="4722" spans="1:12" ht="13.5" x14ac:dyDescent="0.25">
      <c r="A4722" s="1930" t="s">
        <v>4680</v>
      </c>
      <c r="B4722" s="1930" t="s">
        <v>4681</v>
      </c>
      <c r="C4722" s="1930" t="s">
        <v>4682</v>
      </c>
      <c r="D4722" s="1930" t="s">
        <v>4683</v>
      </c>
      <c r="E4722" s="1931" t="s">
        <v>33</v>
      </c>
      <c r="F4722" s="1930" t="s">
        <v>33</v>
      </c>
      <c r="G4722" s="1932">
        <v>89925</v>
      </c>
      <c r="H4722" s="1930" t="s">
        <v>3437</v>
      </c>
      <c r="I4722" s="1930" t="s">
        <v>1208</v>
      </c>
      <c r="J4722" s="1930" t="s">
        <v>137</v>
      </c>
      <c r="K4722" s="1933">
        <v>5.99</v>
      </c>
      <c r="L4722" s="1930" t="s">
        <v>138</v>
      </c>
    </row>
    <row r="4723" spans="1:12" ht="13.5" x14ac:dyDescent="0.25">
      <c r="A4723" s="1930" t="s">
        <v>4680</v>
      </c>
      <c r="B4723" s="1930" t="s">
        <v>4681</v>
      </c>
      <c r="C4723" s="1930" t="s">
        <v>4682</v>
      </c>
      <c r="D4723" s="1930" t="s">
        <v>4683</v>
      </c>
      <c r="E4723" s="1931" t="s">
        <v>33</v>
      </c>
      <c r="F4723" s="1930" t="s">
        <v>33</v>
      </c>
      <c r="G4723" s="1932">
        <v>89926</v>
      </c>
      <c r="H4723" s="1930" t="s">
        <v>3438</v>
      </c>
      <c r="I4723" s="1930" t="s">
        <v>1208</v>
      </c>
      <c r="J4723" s="1930" t="s">
        <v>137</v>
      </c>
      <c r="K4723" s="1933">
        <v>9.08</v>
      </c>
      <c r="L4723" s="1930" t="s">
        <v>138</v>
      </c>
    </row>
    <row r="4724" spans="1:12" ht="13.5" x14ac:dyDescent="0.25">
      <c r="A4724" s="1930" t="s">
        <v>4680</v>
      </c>
      <c r="B4724" s="1930" t="s">
        <v>4681</v>
      </c>
      <c r="C4724" s="1930" t="s">
        <v>4682</v>
      </c>
      <c r="D4724" s="1930" t="s">
        <v>4683</v>
      </c>
      <c r="E4724" s="1931" t="s">
        <v>33</v>
      </c>
      <c r="F4724" s="1930" t="s">
        <v>33</v>
      </c>
      <c r="G4724" s="1932">
        <v>89929</v>
      </c>
      <c r="H4724" s="1930" t="s">
        <v>3439</v>
      </c>
      <c r="I4724" s="1930" t="s">
        <v>1208</v>
      </c>
      <c r="J4724" s="1930" t="s">
        <v>137</v>
      </c>
      <c r="K4724" s="1933">
        <v>11.71</v>
      </c>
      <c r="L4724" s="1930" t="s">
        <v>138</v>
      </c>
    </row>
    <row r="4725" spans="1:12" ht="13.5" x14ac:dyDescent="0.25">
      <c r="A4725" s="1930" t="s">
        <v>4680</v>
      </c>
      <c r="B4725" s="1930" t="s">
        <v>4681</v>
      </c>
      <c r="C4725" s="1930" t="s">
        <v>4682</v>
      </c>
      <c r="D4725" s="1930" t="s">
        <v>4683</v>
      </c>
      <c r="E4725" s="1931" t="s">
        <v>33</v>
      </c>
      <c r="F4725" s="1930" t="s">
        <v>33</v>
      </c>
      <c r="G4725" s="1932">
        <v>89930</v>
      </c>
      <c r="H4725" s="1930" t="s">
        <v>3440</v>
      </c>
      <c r="I4725" s="1930" t="s">
        <v>1208</v>
      </c>
      <c r="J4725" s="1930" t="s">
        <v>137</v>
      </c>
      <c r="K4725" s="1933">
        <v>12.53</v>
      </c>
      <c r="L4725" s="1930" t="s">
        <v>138</v>
      </c>
    </row>
    <row r="4726" spans="1:12" ht="13.5" x14ac:dyDescent="0.25">
      <c r="A4726" s="1930" t="s">
        <v>4680</v>
      </c>
      <c r="B4726" s="1930" t="s">
        <v>4681</v>
      </c>
      <c r="C4726" s="1930" t="s">
        <v>4682</v>
      </c>
      <c r="D4726" s="1930" t="s">
        <v>4683</v>
      </c>
      <c r="E4726" s="1931" t="s">
        <v>33</v>
      </c>
      <c r="F4726" s="1930" t="s">
        <v>33</v>
      </c>
      <c r="G4726" s="1932">
        <v>89931</v>
      </c>
      <c r="H4726" s="1930" t="s">
        <v>3441</v>
      </c>
      <c r="I4726" s="1930" t="s">
        <v>1208</v>
      </c>
      <c r="J4726" s="1930" t="s">
        <v>137</v>
      </c>
      <c r="K4726" s="1933">
        <v>15.78</v>
      </c>
      <c r="L4726" s="1930" t="s">
        <v>138</v>
      </c>
    </row>
    <row r="4727" spans="1:12" ht="13.5" x14ac:dyDescent="0.25">
      <c r="A4727" s="1930" t="s">
        <v>4680</v>
      </c>
      <c r="B4727" s="1930" t="s">
        <v>4681</v>
      </c>
      <c r="C4727" s="1930" t="s">
        <v>4682</v>
      </c>
      <c r="D4727" s="1930" t="s">
        <v>4683</v>
      </c>
      <c r="E4727" s="1931" t="s">
        <v>33</v>
      </c>
      <c r="F4727" s="1930" t="s">
        <v>33</v>
      </c>
      <c r="G4727" s="1932">
        <v>89939</v>
      </c>
      <c r="H4727" s="1930" t="s">
        <v>3442</v>
      </c>
      <c r="I4727" s="1930" t="s">
        <v>1208</v>
      </c>
      <c r="J4727" s="1930" t="s">
        <v>137</v>
      </c>
      <c r="K4727" s="1933">
        <v>5.2</v>
      </c>
      <c r="L4727" s="1930" t="s">
        <v>138</v>
      </c>
    </row>
    <row r="4728" spans="1:12" ht="13.5" x14ac:dyDescent="0.25">
      <c r="A4728" s="1930" t="s">
        <v>4680</v>
      </c>
      <c r="B4728" s="1930" t="s">
        <v>4681</v>
      </c>
      <c r="C4728" s="1930" t="s">
        <v>4682</v>
      </c>
      <c r="D4728" s="1930" t="s">
        <v>4683</v>
      </c>
      <c r="E4728" s="1931" t="s">
        <v>33</v>
      </c>
      <c r="F4728" s="1930" t="s">
        <v>33</v>
      </c>
      <c r="G4728" s="1932">
        <v>89940</v>
      </c>
      <c r="H4728" s="1930" t="s">
        <v>3443</v>
      </c>
      <c r="I4728" s="1930" t="s">
        <v>1208</v>
      </c>
      <c r="J4728" s="1930" t="s">
        <v>137</v>
      </c>
      <c r="K4728" s="1933">
        <v>5.22</v>
      </c>
      <c r="L4728" s="1930" t="s">
        <v>138</v>
      </c>
    </row>
    <row r="4729" spans="1:12" ht="13.5" x14ac:dyDescent="0.25">
      <c r="A4729" s="1930" t="s">
        <v>4680</v>
      </c>
      <c r="B4729" s="1930" t="s">
        <v>4681</v>
      </c>
      <c r="C4729" s="1930" t="s">
        <v>4682</v>
      </c>
      <c r="D4729" s="1930" t="s">
        <v>4683</v>
      </c>
      <c r="E4729" s="1931" t="s">
        <v>33</v>
      </c>
      <c r="F4729" s="1930" t="s">
        <v>33</v>
      </c>
      <c r="G4729" s="1932">
        <v>89941</v>
      </c>
      <c r="H4729" s="1930" t="s">
        <v>3444</v>
      </c>
      <c r="I4729" s="1930" t="s">
        <v>1208</v>
      </c>
      <c r="J4729" s="1930" t="s">
        <v>137</v>
      </c>
      <c r="K4729" s="1933">
        <v>5.43</v>
      </c>
      <c r="L4729" s="1930" t="s">
        <v>138</v>
      </c>
    </row>
    <row r="4730" spans="1:12" ht="13.5" x14ac:dyDescent="0.25">
      <c r="A4730" s="1930" t="s">
        <v>4680</v>
      </c>
      <c r="B4730" s="1930" t="s">
        <v>4681</v>
      </c>
      <c r="C4730" s="1930" t="s">
        <v>4682</v>
      </c>
      <c r="D4730" s="1930" t="s">
        <v>4683</v>
      </c>
      <c r="E4730" s="1931" t="s">
        <v>33</v>
      </c>
      <c r="F4730" s="1930" t="s">
        <v>33</v>
      </c>
      <c r="G4730" s="1932">
        <v>89942</v>
      </c>
      <c r="H4730" s="1930" t="s">
        <v>3445</v>
      </c>
      <c r="I4730" s="1930" t="s">
        <v>1208</v>
      </c>
      <c r="J4730" s="1930" t="s">
        <v>137</v>
      </c>
      <c r="K4730" s="1933">
        <v>5.37</v>
      </c>
      <c r="L4730" s="1930" t="s">
        <v>138</v>
      </c>
    </row>
    <row r="4731" spans="1:12" ht="13.5" x14ac:dyDescent="0.25">
      <c r="A4731" s="1930" t="s">
        <v>4680</v>
      </c>
      <c r="B4731" s="1930" t="s">
        <v>4681</v>
      </c>
      <c r="C4731" s="1930" t="s">
        <v>4682</v>
      </c>
      <c r="D4731" s="1930" t="s">
        <v>4683</v>
      </c>
      <c r="E4731" s="1931" t="s">
        <v>33</v>
      </c>
      <c r="F4731" s="1930" t="s">
        <v>33</v>
      </c>
      <c r="G4731" s="1932">
        <v>89943</v>
      </c>
      <c r="H4731" s="1930" t="s">
        <v>3446</v>
      </c>
      <c r="I4731" s="1930" t="s">
        <v>1208</v>
      </c>
      <c r="J4731" s="1930" t="s">
        <v>137</v>
      </c>
      <c r="K4731" s="1933">
        <v>5.58</v>
      </c>
      <c r="L4731" s="1930" t="s">
        <v>138</v>
      </c>
    </row>
    <row r="4732" spans="1:12" ht="13.5" x14ac:dyDescent="0.25">
      <c r="A4732" s="1930" t="s">
        <v>4680</v>
      </c>
      <c r="B4732" s="1930" t="s">
        <v>4681</v>
      </c>
      <c r="C4732" s="1930" t="s">
        <v>4682</v>
      </c>
      <c r="D4732" s="1930" t="s">
        <v>4683</v>
      </c>
      <c r="E4732" s="1931" t="s">
        <v>33</v>
      </c>
      <c r="F4732" s="1930" t="s">
        <v>33</v>
      </c>
      <c r="G4732" s="1932">
        <v>89944</v>
      </c>
      <c r="H4732" s="1930" t="s">
        <v>3447</v>
      </c>
      <c r="I4732" s="1930" t="s">
        <v>1208</v>
      </c>
      <c r="J4732" s="1930" t="s">
        <v>137</v>
      </c>
      <c r="K4732" s="1933">
        <v>8.35</v>
      </c>
      <c r="L4732" s="1930" t="s">
        <v>138</v>
      </c>
    </row>
    <row r="4733" spans="1:12" ht="13.5" x14ac:dyDescent="0.25">
      <c r="A4733" s="1930" t="s">
        <v>4680</v>
      </c>
      <c r="B4733" s="1930" t="s">
        <v>4681</v>
      </c>
      <c r="C4733" s="1930" t="s">
        <v>4682</v>
      </c>
      <c r="D4733" s="1930" t="s">
        <v>4683</v>
      </c>
      <c r="E4733" s="1931" t="s">
        <v>33</v>
      </c>
      <c r="F4733" s="1930" t="s">
        <v>33</v>
      </c>
      <c r="G4733" s="1932">
        <v>89947</v>
      </c>
      <c r="H4733" s="1930" t="s">
        <v>3448</v>
      </c>
      <c r="I4733" s="1930" t="s">
        <v>1208</v>
      </c>
      <c r="J4733" s="1930" t="s">
        <v>137</v>
      </c>
      <c r="K4733" s="1933">
        <v>10.3</v>
      </c>
      <c r="L4733" s="1930" t="s">
        <v>138</v>
      </c>
    </row>
    <row r="4734" spans="1:12" ht="13.5" x14ac:dyDescent="0.25">
      <c r="A4734" s="1930" t="s">
        <v>4680</v>
      </c>
      <c r="B4734" s="1930" t="s">
        <v>4681</v>
      </c>
      <c r="C4734" s="1930" t="s">
        <v>4682</v>
      </c>
      <c r="D4734" s="1930" t="s">
        <v>4683</v>
      </c>
      <c r="E4734" s="1931" t="s">
        <v>33</v>
      </c>
      <c r="F4734" s="1930" t="s">
        <v>33</v>
      </c>
      <c r="G4734" s="1932">
        <v>89948</v>
      </c>
      <c r="H4734" s="1930" t="s">
        <v>3449</v>
      </c>
      <c r="I4734" s="1930" t="s">
        <v>1208</v>
      </c>
      <c r="J4734" s="1930" t="s">
        <v>137</v>
      </c>
      <c r="K4734" s="1933">
        <v>11.43</v>
      </c>
      <c r="L4734" s="1930" t="s">
        <v>138</v>
      </c>
    </row>
    <row r="4735" spans="1:12" ht="13.5" x14ac:dyDescent="0.25">
      <c r="A4735" s="1930" t="s">
        <v>4680</v>
      </c>
      <c r="B4735" s="1930" t="s">
        <v>4681</v>
      </c>
      <c r="C4735" s="1930" t="s">
        <v>4682</v>
      </c>
      <c r="D4735" s="1930" t="s">
        <v>4683</v>
      </c>
      <c r="E4735" s="1931" t="s">
        <v>33</v>
      </c>
      <c r="F4735" s="1930" t="s">
        <v>33</v>
      </c>
      <c r="G4735" s="1932">
        <v>89949</v>
      </c>
      <c r="H4735" s="1930" t="s">
        <v>3450</v>
      </c>
      <c r="I4735" s="1930" t="s">
        <v>1208</v>
      </c>
      <c r="J4735" s="1930" t="s">
        <v>137</v>
      </c>
      <c r="K4735" s="1933">
        <v>13.93</v>
      </c>
      <c r="L4735" s="1930" t="s">
        <v>138</v>
      </c>
    </row>
    <row r="4736" spans="1:12" ht="13.5" x14ac:dyDescent="0.25">
      <c r="A4736" s="1930" t="s">
        <v>4680</v>
      </c>
      <c r="B4736" s="1930" t="s">
        <v>4681</v>
      </c>
      <c r="C4736" s="1930" t="s">
        <v>4682</v>
      </c>
      <c r="D4736" s="1930" t="s">
        <v>4683</v>
      </c>
      <c r="E4736" s="1931" t="s">
        <v>33</v>
      </c>
      <c r="F4736" s="1930" t="s">
        <v>33</v>
      </c>
      <c r="G4736" s="1932">
        <v>96520</v>
      </c>
      <c r="H4736" s="1930" t="s">
        <v>3451</v>
      </c>
      <c r="I4736" s="1930" t="s">
        <v>1208</v>
      </c>
      <c r="J4736" s="1930" t="s">
        <v>137</v>
      </c>
      <c r="K4736" s="1933">
        <v>67.97</v>
      </c>
      <c r="L4736" s="1930" t="s">
        <v>138</v>
      </c>
    </row>
    <row r="4737" spans="1:12" ht="13.5" x14ac:dyDescent="0.25">
      <c r="A4737" s="1930" t="s">
        <v>4680</v>
      </c>
      <c r="B4737" s="1930" t="s">
        <v>4681</v>
      </c>
      <c r="C4737" s="1930" t="s">
        <v>4682</v>
      </c>
      <c r="D4737" s="1930" t="s">
        <v>4683</v>
      </c>
      <c r="E4737" s="1931" t="s">
        <v>33</v>
      </c>
      <c r="F4737" s="1930" t="s">
        <v>33</v>
      </c>
      <c r="G4737" s="1932">
        <v>96521</v>
      </c>
      <c r="H4737" s="1930" t="s">
        <v>3452</v>
      </c>
      <c r="I4737" s="1930" t="s">
        <v>1208</v>
      </c>
      <c r="J4737" s="1930" t="s">
        <v>137</v>
      </c>
      <c r="K4737" s="1933">
        <v>27.65</v>
      </c>
      <c r="L4737" s="1930" t="s">
        <v>138</v>
      </c>
    </row>
    <row r="4738" spans="1:12" ht="13.5" x14ac:dyDescent="0.25">
      <c r="A4738" s="1930" t="s">
        <v>4680</v>
      </c>
      <c r="B4738" s="1930" t="s">
        <v>4681</v>
      </c>
      <c r="C4738" s="1930" t="s">
        <v>4682</v>
      </c>
      <c r="D4738" s="1930" t="s">
        <v>4683</v>
      </c>
      <c r="E4738" s="1931" t="s">
        <v>33</v>
      </c>
      <c r="F4738" s="1930" t="s">
        <v>33</v>
      </c>
      <c r="G4738" s="1932">
        <v>96522</v>
      </c>
      <c r="H4738" s="1930" t="s">
        <v>3453</v>
      </c>
      <c r="I4738" s="1930" t="s">
        <v>1208</v>
      </c>
      <c r="J4738" s="1930" t="s">
        <v>346</v>
      </c>
      <c r="K4738" s="1933">
        <v>110.1</v>
      </c>
      <c r="L4738" s="1930" t="s">
        <v>138</v>
      </c>
    </row>
    <row r="4739" spans="1:12" ht="13.5" x14ac:dyDescent="0.25">
      <c r="A4739" s="1930" t="s">
        <v>4680</v>
      </c>
      <c r="B4739" s="1930" t="s">
        <v>4681</v>
      </c>
      <c r="C4739" s="1930" t="s">
        <v>4682</v>
      </c>
      <c r="D4739" s="1930" t="s">
        <v>4683</v>
      </c>
      <c r="E4739" s="1931" t="s">
        <v>33</v>
      </c>
      <c r="F4739" s="1930" t="s">
        <v>33</v>
      </c>
      <c r="G4739" s="1932">
        <v>96523</v>
      </c>
      <c r="H4739" s="1930" t="s">
        <v>3454</v>
      </c>
      <c r="I4739" s="1930" t="s">
        <v>1208</v>
      </c>
      <c r="J4739" s="1930" t="s">
        <v>346</v>
      </c>
      <c r="K4739" s="1933">
        <v>69.98</v>
      </c>
      <c r="L4739" s="1930" t="s">
        <v>138</v>
      </c>
    </row>
    <row r="4740" spans="1:12" ht="13.5" x14ac:dyDescent="0.25">
      <c r="A4740" s="1930" t="s">
        <v>4680</v>
      </c>
      <c r="B4740" s="1930" t="s">
        <v>4681</v>
      </c>
      <c r="C4740" s="1930" t="s">
        <v>4682</v>
      </c>
      <c r="D4740" s="1930" t="s">
        <v>4683</v>
      </c>
      <c r="E4740" s="1931" t="s">
        <v>33</v>
      </c>
      <c r="F4740" s="1930" t="s">
        <v>33</v>
      </c>
      <c r="G4740" s="1932">
        <v>96524</v>
      </c>
      <c r="H4740" s="1930" t="s">
        <v>3455</v>
      </c>
      <c r="I4740" s="1930" t="s">
        <v>1208</v>
      </c>
      <c r="J4740" s="1930" t="s">
        <v>137</v>
      </c>
      <c r="K4740" s="1933">
        <v>129.04</v>
      </c>
      <c r="L4740" s="1930" t="s">
        <v>138</v>
      </c>
    </row>
    <row r="4741" spans="1:12" ht="13.5" x14ac:dyDescent="0.25">
      <c r="A4741" s="1930" t="s">
        <v>4680</v>
      </c>
      <c r="B4741" s="1930" t="s">
        <v>4681</v>
      </c>
      <c r="C4741" s="1930" t="s">
        <v>4682</v>
      </c>
      <c r="D4741" s="1930" t="s">
        <v>4683</v>
      </c>
      <c r="E4741" s="1931" t="s">
        <v>33</v>
      </c>
      <c r="F4741" s="1930" t="s">
        <v>33</v>
      </c>
      <c r="G4741" s="1932">
        <v>96525</v>
      </c>
      <c r="H4741" s="1930" t="s">
        <v>3456</v>
      </c>
      <c r="I4741" s="1930" t="s">
        <v>1208</v>
      </c>
      <c r="J4741" s="1930" t="s">
        <v>137</v>
      </c>
      <c r="K4741" s="1933">
        <v>25.68</v>
      </c>
      <c r="L4741" s="1930" t="s">
        <v>138</v>
      </c>
    </row>
    <row r="4742" spans="1:12" ht="13.5" x14ac:dyDescent="0.25">
      <c r="A4742" s="1930" t="s">
        <v>4680</v>
      </c>
      <c r="B4742" s="1930" t="s">
        <v>4681</v>
      </c>
      <c r="C4742" s="1930" t="s">
        <v>4682</v>
      </c>
      <c r="D4742" s="1930" t="s">
        <v>4683</v>
      </c>
      <c r="E4742" s="1931" t="s">
        <v>33</v>
      </c>
      <c r="F4742" s="1930" t="s">
        <v>33</v>
      </c>
      <c r="G4742" s="1932">
        <v>96526</v>
      </c>
      <c r="H4742" s="1930" t="s">
        <v>3457</v>
      </c>
      <c r="I4742" s="1930" t="s">
        <v>1208</v>
      </c>
      <c r="J4742" s="1930" t="s">
        <v>346</v>
      </c>
      <c r="K4742" s="1933">
        <v>222.62</v>
      </c>
      <c r="L4742" s="1930" t="s">
        <v>138</v>
      </c>
    </row>
    <row r="4743" spans="1:12" ht="13.5" x14ac:dyDescent="0.25">
      <c r="A4743" s="1930" t="s">
        <v>4680</v>
      </c>
      <c r="B4743" s="1930" t="s">
        <v>4681</v>
      </c>
      <c r="C4743" s="1930" t="s">
        <v>4682</v>
      </c>
      <c r="D4743" s="1930" t="s">
        <v>4683</v>
      </c>
      <c r="E4743" s="1931" t="s">
        <v>33</v>
      </c>
      <c r="F4743" s="1930" t="s">
        <v>33</v>
      </c>
      <c r="G4743" s="1932">
        <v>96527</v>
      </c>
      <c r="H4743" s="1930" t="s">
        <v>3458</v>
      </c>
      <c r="I4743" s="1930" t="s">
        <v>1208</v>
      </c>
      <c r="J4743" s="1930" t="s">
        <v>346</v>
      </c>
      <c r="K4743" s="1933">
        <v>91.79</v>
      </c>
      <c r="L4743" s="1930" t="s">
        <v>138</v>
      </c>
    </row>
    <row r="4744" spans="1:12" ht="13.5" x14ac:dyDescent="0.25">
      <c r="A4744" s="1930" t="s">
        <v>4680</v>
      </c>
      <c r="B4744" s="1930" t="s">
        <v>4681</v>
      </c>
      <c r="C4744" s="1930" t="s">
        <v>4682</v>
      </c>
      <c r="D4744" s="1930" t="s">
        <v>4683</v>
      </c>
      <c r="E4744" s="1931" t="s">
        <v>33</v>
      </c>
      <c r="F4744" s="1930" t="s">
        <v>33</v>
      </c>
      <c r="G4744" s="1932">
        <v>96528</v>
      </c>
      <c r="H4744" s="1930" t="s">
        <v>3459</v>
      </c>
      <c r="I4744" s="1930" t="s">
        <v>306</v>
      </c>
      <c r="J4744" s="1930" t="s">
        <v>320</v>
      </c>
      <c r="K4744" s="1933">
        <v>124.42</v>
      </c>
      <c r="L4744" s="1930" t="s">
        <v>138</v>
      </c>
    </row>
    <row r="4745" spans="1:12" ht="13.5" x14ac:dyDescent="0.25">
      <c r="A4745" s="1930" t="s">
        <v>4680</v>
      </c>
      <c r="B4745" s="1930" t="s">
        <v>4681</v>
      </c>
      <c r="C4745" s="1930" t="s">
        <v>4682</v>
      </c>
      <c r="D4745" s="1930" t="s">
        <v>4683</v>
      </c>
      <c r="E4745" s="1931" t="s">
        <v>33</v>
      </c>
      <c r="F4745" s="1930" t="s">
        <v>33</v>
      </c>
      <c r="G4745" s="1932">
        <v>98116</v>
      </c>
      <c r="H4745" s="1930" t="s">
        <v>5162</v>
      </c>
      <c r="I4745" s="1930" t="s">
        <v>1208</v>
      </c>
      <c r="J4745" s="1930" t="s">
        <v>137</v>
      </c>
      <c r="K4745" s="1933">
        <v>10.58</v>
      </c>
      <c r="L4745" s="1930" t="s">
        <v>138</v>
      </c>
    </row>
    <row r="4746" spans="1:12" ht="13.5" x14ac:dyDescent="0.25">
      <c r="A4746" s="1930" t="s">
        <v>4680</v>
      </c>
      <c r="B4746" s="1930" t="s">
        <v>4681</v>
      </c>
      <c r="C4746" s="1930" t="s">
        <v>4682</v>
      </c>
      <c r="D4746" s="1930" t="s">
        <v>4683</v>
      </c>
      <c r="E4746" s="1931" t="s">
        <v>33</v>
      </c>
      <c r="F4746" s="1930" t="s">
        <v>33</v>
      </c>
      <c r="G4746" s="1932">
        <v>98117</v>
      </c>
      <c r="H4746" s="1930" t="s">
        <v>5163</v>
      </c>
      <c r="I4746" s="1930" t="s">
        <v>1208</v>
      </c>
      <c r="J4746" s="1930" t="s">
        <v>137</v>
      </c>
      <c r="K4746" s="1933">
        <v>9.9</v>
      </c>
      <c r="L4746" s="1930" t="s">
        <v>138</v>
      </c>
    </row>
    <row r="4747" spans="1:12" ht="13.5" x14ac:dyDescent="0.25">
      <c r="A4747" s="1930" t="s">
        <v>4680</v>
      </c>
      <c r="B4747" s="1930" t="s">
        <v>4681</v>
      </c>
      <c r="C4747" s="1930" t="s">
        <v>4682</v>
      </c>
      <c r="D4747" s="1930" t="s">
        <v>4683</v>
      </c>
      <c r="E4747" s="1931" t="s">
        <v>33</v>
      </c>
      <c r="F4747" s="1930" t="s">
        <v>33</v>
      </c>
      <c r="G4747" s="1932">
        <v>98118</v>
      </c>
      <c r="H4747" s="1930" t="s">
        <v>5164</v>
      </c>
      <c r="I4747" s="1930" t="s">
        <v>1208</v>
      </c>
      <c r="J4747" s="1930" t="s">
        <v>137</v>
      </c>
      <c r="K4747" s="1933">
        <v>9.9499999999999993</v>
      </c>
      <c r="L4747" s="1930" t="s">
        <v>138</v>
      </c>
    </row>
    <row r="4748" spans="1:12" ht="13.5" x14ac:dyDescent="0.25">
      <c r="A4748" s="1930" t="s">
        <v>4680</v>
      </c>
      <c r="B4748" s="1930" t="s">
        <v>4681</v>
      </c>
      <c r="C4748" s="1930" t="s">
        <v>4682</v>
      </c>
      <c r="D4748" s="1930" t="s">
        <v>4683</v>
      </c>
      <c r="E4748" s="1931" t="s">
        <v>33</v>
      </c>
      <c r="F4748" s="1930" t="s">
        <v>33</v>
      </c>
      <c r="G4748" s="1932">
        <v>98119</v>
      </c>
      <c r="H4748" s="1930" t="s">
        <v>5165</v>
      </c>
      <c r="I4748" s="1930" t="s">
        <v>1208</v>
      </c>
      <c r="J4748" s="1930" t="s">
        <v>137</v>
      </c>
      <c r="K4748" s="1933">
        <v>8.75</v>
      </c>
      <c r="L4748" s="1930" t="s">
        <v>138</v>
      </c>
    </row>
    <row r="4749" spans="1:12" ht="13.5" x14ac:dyDescent="0.25">
      <c r="A4749" s="1930" t="s">
        <v>4680</v>
      </c>
      <c r="B4749" s="1930" t="s">
        <v>4681</v>
      </c>
      <c r="C4749" s="1930" t="s">
        <v>4688</v>
      </c>
      <c r="D4749" s="1930" t="s">
        <v>4689</v>
      </c>
      <c r="E4749" s="1931" t="s">
        <v>33</v>
      </c>
      <c r="F4749" s="1930" t="s">
        <v>33</v>
      </c>
      <c r="G4749" s="1932">
        <v>72915</v>
      </c>
      <c r="H4749" s="1930" t="s">
        <v>3460</v>
      </c>
      <c r="I4749" s="1930" t="s">
        <v>1208</v>
      </c>
      <c r="J4749" s="1930" t="s">
        <v>137</v>
      </c>
      <c r="K4749" s="1933">
        <v>8.8699999999999992</v>
      </c>
      <c r="L4749" s="1930" t="s">
        <v>138</v>
      </c>
    </row>
    <row r="4750" spans="1:12" ht="13.5" x14ac:dyDescent="0.25">
      <c r="A4750" s="1930" t="s">
        <v>4680</v>
      </c>
      <c r="B4750" s="1930" t="s">
        <v>4681</v>
      </c>
      <c r="C4750" s="1930" t="s">
        <v>4688</v>
      </c>
      <c r="D4750" s="1930" t="s">
        <v>4689</v>
      </c>
      <c r="E4750" s="1931" t="s">
        <v>33</v>
      </c>
      <c r="F4750" s="1930" t="s">
        <v>33</v>
      </c>
      <c r="G4750" s="1932">
        <v>72917</v>
      </c>
      <c r="H4750" s="1930" t="s">
        <v>3461</v>
      </c>
      <c r="I4750" s="1930" t="s">
        <v>1208</v>
      </c>
      <c r="J4750" s="1930" t="s">
        <v>137</v>
      </c>
      <c r="K4750" s="1933">
        <v>10.130000000000001</v>
      </c>
      <c r="L4750" s="1930" t="s">
        <v>138</v>
      </c>
    </row>
    <row r="4751" spans="1:12" ht="13.5" x14ac:dyDescent="0.25">
      <c r="A4751" s="1930" t="s">
        <v>4680</v>
      </c>
      <c r="B4751" s="1930" t="s">
        <v>4681</v>
      </c>
      <c r="C4751" s="1930" t="s">
        <v>4688</v>
      </c>
      <c r="D4751" s="1930" t="s">
        <v>4689</v>
      </c>
      <c r="E4751" s="1931" t="s">
        <v>33</v>
      </c>
      <c r="F4751" s="1930" t="s">
        <v>33</v>
      </c>
      <c r="G4751" s="1932">
        <v>72918</v>
      </c>
      <c r="H4751" s="1930" t="s">
        <v>3462</v>
      </c>
      <c r="I4751" s="1930" t="s">
        <v>1208</v>
      </c>
      <c r="J4751" s="1930" t="s">
        <v>137</v>
      </c>
      <c r="K4751" s="1933">
        <v>11.82</v>
      </c>
      <c r="L4751" s="1930" t="s">
        <v>138</v>
      </c>
    </row>
    <row r="4752" spans="1:12" ht="13.5" x14ac:dyDescent="0.25">
      <c r="A4752" s="1930" t="s">
        <v>4680</v>
      </c>
      <c r="B4752" s="1930" t="s">
        <v>4681</v>
      </c>
      <c r="C4752" s="1930" t="s">
        <v>4688</v>
      </c>
      <c r="D4752" s="1930" t="s">
        <v>4689</v>
      </c>
      <c r="E4752" s="1931">
        <v>73965</v>
      </c>
      <c r="F4752" s="1930" t="s">
        <v>4690</v>
      </c>
      <c r="G4752" s="1932" t="s">
        <v>3463</v>
      </c>
      <c r="H4752" s="1930" t="s">
        <v>3464</v>
      </c>
      <c r="I4752" s="1930" t="s">
        <v>1208</v>
      </c>
      <c r="J4752" s="1930" t="s">
        <v>346</v>
      </c>
      <c r="K4752" s="1933">
        <v>150.80000000000001</v>
      </c>
      <c r="L4752" s="1930" t="s">
        <v>138</v>
      </c>
    </row>
    <row r="4753" spans="1:12" ht="13.5" x14ac:dyDescent="0.25">
      <c r="A4753" s="1930" t="s">
        <v>4680</v>
      </c>
      <c r="B4753" s="1930" t="s">
        <v>4681</v>
      </c>
      <c r="C4753" s="1930" t="s">
        <v>4688</v>
      </c>
      <c r="D4753" s="1930" t="s">
        <v>4689</v>
      </c>
      <c r="E4753" s="1931">
        <v>79506</v>
      </c>
      <c r="F4753" s="1930" t="s">
        <v>4690</v>
      </c>
      <c r="G4753" s="1932" t="s">
        <v>3465</v>
      </c>
      <c r="H4753" s="1930" t="s">
        <v>3466</v>
      </c>
      <c r="I4753" s="1930" t="s">
        <v>1208</v>
      </c>
      <c r="J4753" s="1930" t="s">
        <v>346</v>
      </c>
      <c r="K4753" s="1933">
        <v>226.2</v>
      </c>
      <c r="L4753" s="1930" t="s">
        <v>138</v>
      </c>
    </row>
    <row r="4754" spans="1:12" ht="13.5" x14ac:dyDescent="0.25">
      <c r="A4754" s="1930" t="s">
        <v>4680</v>
      </c>
      <c r="B4754" s="1930" t="s">
        <v>4681</v>
      </c>
      <c r="C4754" s="1930" t="s">
        <v>4688</v>
      </c>
      <c r="D4754" s="1930" t="s">
        <v>4689</v>
      </c>
      <c r="E4754" s="1931" t="s">
        <v>33</v>
      </c>
      <c r="F4754" s="1930" t="s">
        <v>33</v>
      </c>
      <c r="G4754" s="1932">
        <v>83343</v>
      </c>
      <c r="H4754" s="1930" t="s">
        <v>3467</v>
      </c>
      <c r="I4754" s="1930" t="s">
        <v>1208</v>
      </c>
      <c r="J4754" s="1930" t="s">
        <v>137</v>
      </c>
      <c r="K4754" s="1933">
        <v>11.29</v>
      </c>
      <c r="L4754" s="1930" t="s">
        <v>138</v>
      </c>
    </row>
    <row r="4755" spans="1:12" ht="13.5" x14ac:dyDescent="0.25">
      <c r="A4755" s="1930" t="s">
        <v>4680</v>
      </c>
      <c r="B4755" s="1930" t="s">
        <v>4681</v>
      </c>
      <c r="C4755" s="1930" t="s">
        <v>4688</v>
      </c>
      <c r="D4755" s="1930" t="s">
        <v>4689</v>
      </c>
      <c r="E4755" s="1931" t="s">
        <v>33</v>
      </c>
      <c r="F4755" s="1930" t="s">
        <v>33</v>
      </c>
      <c r="G4755" s="1932">
        <v>90082</v>
      </c>
      <c r="H4755" s="1930" t="s">
        <v>6629</v>
      </c>
      <c r="I4755" s="1930" t="s">
        <v>1208</v>
      </c>
      <c r="J4755" s="1930" t="s">
        <v>137</v>
      </c>
      <c r="K4755" s="1933">
        <v>6.95</v>
      </c>
      <c r="L4755" s="1930" t="s">
        <v>138</v>
      </c>
    </row>
    <row r="4756" spans="1:12" ht="13.5" x14ac:dyDescent="0.25">
      <c r="A4756" s="1930" t="s">
        <v>4680</v>
      </c>
      <c r="B4756" s="1930" t="s">
        <v>4681</v>
      </c>
      <c r="C4756" s="1930" t="s">
        <v>4688</v>
      </c>
      <c r="D4756" s="1930" t="s">
        <v>4689</v>
      </c>
      <c r="E4756" s="1931" t="s">
        <v>33</v>
      </c>
      <c r="F4756" s="1930" t="s">
        <v>33</v>
      </c>
      <c r="G4756" s="1932">
        <v>90084</v>
      </c>
      <c r="H4756" s="1930" t="s">
        <v>3468</v>
      </c>
      <c r="I4756" s="1930" t="s">
        <v>1208</v>
      </c>
      <c r="J4756" s="1930" t="s">
        <v>137</v>
      </c>
      <c r="K4756" s="1933">
        <v>6.76</v>
      </c>
      <c r="L4756" s="1930" t="s">
        <v>138</v>
      </c>
    </row>
    <row r="4757" spans="1:12" ht="13.5" x14ac:dyDescent="0.25">
      <c r="A4757" s="1930" t="s">
        <v>4680</v>
      </c>
      <c r="B4757" s="1930" t="s">
        <v>4681</v>
      </c>
      <c r="C4757" s="1930" t="s">
        <v>4688</v>
      </c>
      <c r="D4757" s="1930" t="s">
        <v>4689</v>
      </c>
      <c r="E4757" s="1931" t="s">
        <v>33</v>
      </c>
      <c r="F4757" s="1930" t="s">
        <v>33</v>
      </c>
      <c r="G4757" s="1932">
        <v>90085</v>
      </c>
      <c r="H4757" s="1930" t="s">
        <v>3469</v>
      </c>
      <c r="I4757" s="1930" t="s">
        <v>1208</v>
      </c>
      <c r="J4757" s="1930" t="s">
        <v>137</v>
      </c>
      <c r="K4757" s="1933">
        <v>6.36</v>
      </c>
      <c r="L4757" s="1930" t="s">
        <v>138</v>
      </c>
    </row>
    <row r="4758" spans="1:12" ht="13.5" x14ac:dyDescent="0.25">
      <c r="A4758" s="1930" t="s">
        <v>4680</v>
      </c>
      <c r="B4758" s="1930" t="s">
        <v>4681</v>
      </c>
      <c r="C4758" s="1930" t="s">
        <v>4688</v>
      </c>
      <c r="D4758" s="1930" t="s">
        <v>4689</v>
      </c>
      <c r="E4758" s="1931" t="s">
        <v>33</v>
      </c>
      <c r="F4758" s="1930" t="s">
        <v>33</v>
      </c>
      <c r="G4758" s="1932">
        <v>90086</v>
      </c>
      <c r="H4758" s="1930" t="s">
        <v>3470</v>
      </c>
      <c r="I4758" s="1930" t="s">
        <v>1208</v>
      </c>
      <c r="J4758" s="1930" t="s">
        <v>137</v>
      </c>
      <c r="K4758" s="1933">
        <v>6.43</v>
      </c>
      <c r="L4758" s="1930" t="s">
        <v>138</v>
      </c>
    </row>
    <row r="4759" spans="1:12" ht="13.5" x14ac:dyDescent="0.25">
      <c r="A4759" s="1930" t="s">
        <v>4680</v>
      </c>
      <c r="B4759" s="1930" t="s">
        <v>4681</v>
      </c>
      <c r="C4759" s="1930" t="s">
        <v>4688</v>
      </c>
      <c r="D4759" s="1930" t="s">
        <v>4689</v>
      </c>
      <c r="E4759" s="1931" t="s">
        <v>33</v>
      </c>
      <c r="F4759" s="1930" t="s">
        <v>33</v>
      </c>
      <c r="G4759" s="1932">
        <v>90087</v>
      </c>
      <c r="H4759" s="1930" t="s">
        <v>3471</v>
      </c>
      <c r="I4759" s="1930" t="s">
        <v>1208</v>
      </c>
      <c r="J4759" s="1930" t="s">
        <v>137</v>
      </c>
      <c r="K4759" s="1933">
        <v>5.53</v>
      </c>
      <c r="L4759" s="1930" t="s">
        <v>138</v>
      </c>
    </row>
    <row r="4760" spans="1:12" ht="13.5" x14ac:dyDescent="0.25">
      <c r="A4760" s="1930" t="s">
        <v>4680</v>
      </c>
      <c r="B4760" s="1930" t="s">
        <v>4681</v>
      </c>
      <c r="C4760" s="1930" t="s">
        <v>4688</v>
      </c>
      <c r="D4760" s="1930" t="s">
        <v>4689</v>
      </c>
      <c r="E4760" s="1931" t="s">
        <v>33</v>
      </c>
      <c r="F4760" s="1930" t="s">
        <v>33</v>
      </c>
      <c r="G4760" s="1932">
        <v>90088</v>
      </c>
      <c r="H4760" s="1930" t="s">
        <v>3472</v>
      </c>
      <c r="I4760" s="1930" t="s">
        <v>1208</v>
      </c>
      <c r="J4760" s="1930" t="s">
        <v>137</v>
      </c>
      <c r="K4760" s="1933">
        <v>5.65</v>
      </c>
      <c r="L4760" s="1930" t="s">
        <v>138</v>
      </c>
    </row>
    <row r="4761" spans="1:12" ht="13.5" x14ac:dyDescent="0.25">
      <c r="A4761" s="1930" t="s">
        <v>4680</v>
      </c>
      <c r="B4761" s="1930" t="s">
        <v>4681</v>
      </c>
      <c r="C4761" s="1930" t="s">
        <v>4688</v>
      </c>
      <c r="D4761" s="1930" t="s">
        <v>4689</v>
      </c>
      <c r="E4761" s="1931" t="s">
        <v>33</v>
      </c>
      <c r="F4761" s="1930" t="s">
        <v>33</v>
      </c>
      <c r="G4761" s="1932">
        <v>90090</v>
      </c>
      <c r="H4761" s="1930" t="s">
        <v>3473</v>
      </c>
      <c r="I4761" s="1930" t="s">
        <v>1208</v>
      </c>
      <c r="J4761" s="1930" t="s">
        <v>137</v>
      </c>
      <c r="K4761" s="1933">
        <v>5.42</v>
      </c>
      <c r="L4761" s="1930" t="s">
        <v>138</v>
      </c>
    </row>
    <row r="4762" spans="1:12" ht="13.5" x14ac:dyDescent="0.25">
      <c r="A4762" s="1930" t="s">
        <v>4680</v>
      </c>
      <c r="B4762" s="1930" t="s">
        <v>4681</v>
      </c>
      <c r="C4762" s="1930" t="s">
        <v>4688</v>
      </c>
      <c r="D4762" s="1930" t="s">
        <v>4689</v>
      </c>
      <c r="E4762" s="1931" t="s">
        <v>33</v>
      </c>
      <c r="F4762" s="1930" t="s">
        <v>33</v>
      </c>
      <c r="G4762" s="1932">
        <v>90091</v>
      </c>
      <c r="H4762" s="1930" t="s">
        <v>6630</v>
      </c>
      <c r="I4762" s="1930" t="s">
        <v>1208</v>
      </c>
      <c r="J4762" s="1930" t="s">
        <v>137</v>
      </c>
      <c r="K4762" s="1933">
        <v>4.1500000000000004</v>
      </c>
      <c r="L4762" s="1930" t="s">
        <v>138</v>
      </c>
    </row>
    <row r="4763" spans="1:12" ht="13.5" x14ac:dyDescent="0.25">
      <c r="A4763" s="1930" t="s">
        <v>4680</v>
      </c>
      <c r="B4763" s="1930" t="s">
        <v>4681</v>
      </c>
      <c r="C4763" s="1930" t="s">
        <v>4688</v>
      </c>
      <c r="D4763" s="1930" t="s">
        <v>4689</v>
      </c>
      <c r="E4763" s="1931" t="s">
        <v>33</v>
      </c>
      <c r="F4763" s="1930" t="s">
        <v>33</v>
      </c>
      <c r="G4763" s="1932">
        <v>90092</v>
      </c>
      <c r="H4763" s="1930" t="s">
        <v>3474</v>
      </c>
      <c r="I4763" s="1930" t="s">
        <v>1208</v>
      </c>
      <c r="J4763" s="1930" t="s">
        <v>137</v>
      </c>
      <c r="K4763" s="1933">
        <v>4.0199999999999996</v>
      </c>
      <c r="L4763" s="1930" t="s">
        <v>138</v>
      </c>
    </row>
    <row r="4764" spans="1:12" ht="13.5" x14ac:dyDescent="0.25">
      <c r="A4764" s="1930" t="s">
        <v>4680</v>
      </c>
      <c r="B4764" s="1930" t="s">
        <v>4681</v>
      </c>
      <c r="C4764" s="1930" t="s">
        <v>4688</v>
      </c>
      <c r="D4764" s="1930" t="s">
        <v>4689</v>
      </c>
      <c r="E4764" s="1931" t="s">
        <v>33</v>
      </c>
      <c r="F4764" s="1930" t="s">
        <v>33</v>
      </c>
      <c r="G4764" s="1932">
        <v>90093</v>
      </c>
      <c r="H4764" s="1930" t="s">
        <v>3475</v>
      </c>
      <c r="I4764" s="1930" t="s">
        <v>1208</v>
      </c>
      <c r="J4764" s="1930" t="s">
        <v>137</v>
      </c>
      <c r="K4764" s="1933">
        <v>3.79</v>
      </c>
      <c r="L4764" s="1930" t="s">
        <v>138</v>
      </c>
    </row>
    <row r="4765" spans="1:12" ht="13.5" x14ac:dyDescent="0.25">
      <c r="A4765" s="1930" t="s">
        <v>4680</v>
      </c>
      <c r="B4765" s="1930" t="s">
        <v>4681</v>
      </c>
      <c r="C4765" s="1930" t="s">
        <v>4688</v>
      </c>
      <c r="D4765" s="1930" t="s">
        <v>4689</v>
      </c>
      <c r="E4765" s="1931" t="s">
        <v>33</v>
      </c>
      <c r="F4765" s="1930" t="s">
        <v>33</v>
      </c>
      <c r="G4765" s="1932">
        <v>90094</v>
      </c>
      <c r="H4765" s="1930" t="s">
        <v>3476</v>
      </c>
      <c r="I4765" s="1930" t="s">
        <v>1208</v>
      </c>
      <c r="J4765" s="1930" t="s">
        <v>137</v>
      </c>
      <c r="K4765" s="1933">
        <v>3.82</v>
      </c>
      <c r="L4765" s="1930" t="s">
        <v>138</v>
      </c>
    </row>
    <row r="4766" spans="1:12" ht="13.5" x14ac:dyDescent="0.25">
      <c r="A4766" s="1930" t="s">
        <v>4680</v>
      </c>
      <c r="B4766" s="1930" t="s">
        <v>4681</v>
      </c>
      <c r="C4766" s="1930" t="s">
        <v>4688</v>
      </c>
      <c r="D4766" s="1930" t="s">
        <v>4689</v>
      </c>
      <c r="E4766" s="1931" t="s">
        <v>33</v>
      </c>
      <c r="F4766" s="1930" t="s">
        <v>33</v>
      </c>
      <c r="G4766" s="1932">
        <v>90095</v>
      </c>
      <c r="H4766" s="1930" t="s">
        <v>3477</v>
      </c>
      <c r="I4766" s="1930" t="s">
        <v>1208</v>
      </c>
      <c r="J4766" s="1930" t="s">
        <v>137</v>
      </c>
      <c r="K4766" s="1933">
        <v>3.31</v>
      </c>
      <c r="L4766" s="1930" t="s">
        <v>138</v>
      </c>
    </row>
    <row r="4767" spans="1:12" ht="13.5" x14ac:dyDescent="0.25">
      <c r="A4767" s="1930" t="s">
        <v>4680</v>
      </c>
      <c r="B4767" s="1930" t="s">
        <v>4681</v>
      </c>
      <c r="C4767" s="1930" t="s">
        <v>4688</v>
      </c>
      <c r="D4767" s="1930" t="s">
        <v>4689</v>
      </c>
      <c r="E4767" s="1931" t="s">
        <v>33</v>
      </c>
      <c r="F4767" s="1930" t="s">
        <v>33</v>
      </c>
      <c r="G4767" s="1932">
        <v>90096</v>
      </c>
      <c r="H4767" s="1930" t="s">
        <v>3478</v>
      </c>
      <c r="I4767" s="1930" t="s">
        <v>1208</v>
      </c>
      <c r="J4767" s="1930" t="s">
        <v>137</v>
      </c>
      <c r="K4767" s="1933">
        <v>3.37</v>
      </c>
      <c r="L4767" s="1930" t="s">
        <v>138</v>
      </c>
    </row>
    <row r="4768" spans="1:12" ht="13.5" x14ac:dyDescent="0.25">
      <c r="A4768" s="1930" t="s">
        <v>4680</v>
      </c>
      <c r="B4768" s="1930" t="s">
        <v>4681</v>
      </c>
      <c r="C4768" s="1930" t="s">
        <v>4688</v>
      </c>
      <c r="D4768" s="1930" t="s">
        <v>4689</v>
      </c>
      <c r="E4768" s="1931" t="s">
        <v>33</v>
      </c>
      <c r="F4768" s="1930" t="s">
        <v>33</v>
      </c>
      <c r="G4768" s="1932">
        <v>90098</v>
      </c>
      <c r="H4768" s="1930" t="s">
        <v>3479</v>
      </c>
      <c r="I4768" s="1930" t="s">
        <v>1208</v>
      </c>
      <c r="J4768" s="1930" t="s">
        <v>137</v>
      </c>
      <c r="K4768" s="1933">
        <v>3.24</v>
      </c>
      <c r="L4768" s="1930" t="s">
        <v>138</v>
      </c>
    </row>
    <row r="4769" spans="1:12" ht="13.5" x14ac:dyDescent="0.25">
      <c r="A4769" s="1930" t="s">
        <v>4680</v>
      </c>
      <c r="B4769" s="1930" t="s">
        <v>4681</v>
      </c>
      <c r="C4769" s="1930" t="s">
        <v>4688</v>
      </c>
      <c r="D4769" s="1930" t="s">
        <v>4689</v>
      </c>
      <c r="E4769" s="1931" t="s">
        <v>33</v>
      </c>
      <c r="F4769" s="1930" t="s">
        <v>33</v>
      </c>
      <c r="G4769" s="1932">
        <v>90099</v>
      </c>
      <c r="H4769" s="1930" t="s">
        <v>3480</v>
      </c>
      <c r="I4769" s="1930" t="s">
        <v>1208</v>
      </c>
      <c r="J4769" s="1930" t="s">
        <v>137</v>
      </c>
      <c r="K4769" s="1933">
        <v>9.5399999999999991</v>
      </c>
      <c r="L4769" s="1930" t="s">
        <v>138</v>
      </c>
    </row>
    <row r="4770" spans="1:12" ht="13.5" x14ac:dyDescent="0.25">
      <c r="A4770" s="1930" t="s">
        <v>4680</v>
      </c>
      <c r="B4770" s="1930" t="s">
        <v>4681</v>
      </c>
      <c r="C4770" s="1930" t="s">
        <v>4688</v>
      </c>
      <c r="D4770" s="1930" t="s">
        <v>4689</v>
      </c>
      <c r="E4770" s="1931" t="s">
        <v>33</v>
      </c>
      <c r="F4770" s="1930" t="s">
        <v>33</v>
      </c>
      <c r="G4770" s="1932">
        <v>90100</v>
      </c>
      <c r="H4770" s="1930" t="s">
        <v>3481</v>
      </c>
      <c r="I4770" s="1930" t="s">
        <v>1208</v>
      </c>
      <c r="J4770" s="1930" t="s">
        <v>137</v>
      </c>
      <c r="K4770" s="1933">
        <v>8.11</v>
      </c>
      <c r="L4770" s="1930" t="s">
        <v>138</v>
      </c>
    </row>
    <row r="4771" spans="1:12" ht="13.5" x14ac:dyDescent="0.25">
      <c r="A4771" s="1930" t="s">
        <v>4680</v>
      </c>
      <c r="B4771" s="1930" t="s">
        <v>4681</v>
      </c>
      <c r="C4771" s="1930" t="s">
        <v>4688</v>
      </c>
      <c r="D4771" s="1930" t="s">
        <v>4689</v>
      </c>
      <c r="E4771" s="1931" t="s">
        <v>33</v>
      </c>
      <c r="F4771" s="1930" t="s">
        <v>33</v>
      </c>
      <c r="G4771" s="1932">
        <v>90101</v>
      </c>
      <c r="H4771" s="1930" t="s">
        <v>3482</v>
      </c>
      <c r="I4771" s="1930" t="s">
        <v>1208</v>
      </c>
      <c r="J4771" s="1930" t="s">
        <v>137</v>
      </c>
      <c r="K4771" s="1933">
        <v>8.01</v>
      </c>
      <c r="L4771" s="1930" t="s">
        <v>138</v>
      </c>
    </row>
    <row r="4772" spans="1:12" ht="13.5" x14ac:dyDescent="0.25">
      <c r="A4772" s="1930" t="s">
        <v>4680</v>
      </c>
      <c r="B4772" s="1930" t="s">
        <v>4681</v>
      </c>
      <c r="C4772" s="1930" t="s">
        <v>4688</v>
      </c>
      <c r="D4772" s="1930" t="s">
        <v>4689</v>
      </c>
      <c r="E4772" s="1931" t="s">
        <v>33</v>
      </c>
      <c r="F4772" s="1930" t="s">
        <v>33</v>
      </c>
      <c r="G4772" s="1932">
        <v>90102</v>
      </c>
      <c r="H4772" s="1930" t="s">
        <v>3483</v>
      </c>
      <c r="I4772" s="1930" t="s">
        <v>1208</v>
      </c>
      <c r="J4772" s="1930" t="s">
        <v>137</v>
      </c>
      <c r="K4772" s="1933">
        <v>7.29</v>
      </c>
      <c r="L4772" s="1930" t="s">
        <v>138</v>
      </c>
    </row>
    <row r="4773" spans="1:12" ht="13.5" x14ac:dyDescent="0.25">
      <c r="A4773" s="1930" t="s">
        <v>4680</v>
      </c>
      <c r="B4773" s="1930" t="s">
        <v>4681</v>
      </c>
      <c r="C4773" s="1930" t="s">
        <v>4688</v>
      </c>
      <c r="D4773" s="1930" t="s">
        <v>4689</v>
      </c>
      <c r="E4773" s="1931" t="s">
        <v>33</v>
      </c>
      <c r="F4773" s="1930" t="s">
        <v>33</v>
      </c>
      <c r="G4773" s="1932">
        <v>90105</v>
      </c>
      <c r="H4773" s="1930" t="s">
        <v>3484</v>
      </c>
      <c r="I4773" s="1930" t="s">
        <v>1208</v>
      </c>
      <c r="J4773" s="1930" t="s">
        <v>137</v>
      </c>
      <c r="K4773" s="1933">
        <v>5.69</v>
      </c>
      <c r="L4773" s="1930" t="s">
        <v>138</v>
      </c>
    </row>
    <row r="4774" spans="1:12" ht="13.5" x14ac:dyDescent="0.25">
      <c r="A4774" s="1930" t="s">
        <v>4680</v>
      </c>
      <c r="B4774" s="1930" t="s">
        <v>4681</v>
      </c>
      <c r="C4774" s="1930" t="s">
        <v>4688</v>
      </c>
      <c r="D4774" s="1930" t="s">
        <v>4689</v>
      </c>
      <c r="E4774" s="1931" t="s">
        <v>33</v>
      </c>
      <c r="F4774" s="1930" t="s">
        <v>33</v>
      </c>
      <c r="G4774" s="1932">
        <v>90106</v>
      </c>
      <c r="H4774" s="1930" t="s">
        <v>3485</v>
      </c>
      <c r="I4774" s="1930" t="s">
        <v>1208</v>
      </c>
      <c r="J4774" s="1930" t="s">
        <v>137</v>
      </c>
      <c r="K4774" s="1933">
        <v>4.84</v>
      </c>
      <c r="L4774" s="1930" t="s">
        <v>138</v>
      </c>
    </row>
    <row r="4775" spans="1:12" ht="13.5" x14ac:dyDescent="0.25">
      <c r="A4775" s="1930" t="s">
        <v>4680</v>
      </c>
      <c r="B4775" s="1930" t="s">
        <v>4681</v>
      </c>
      <c r="C4775" s="1930" t="s">
        <v>4688</v>
      </c>
      <c r="D4775" s="1930" t="s">
        <v>4689</v>
      </c>
      <c r="E4775" s="1931" t="s">
        <v>33</v>
      </c>
      <c r="F4775" s="1930" t="s">
        <v>33</v>
      </c>
      <c r="G4775" s="1932">
        <v>90107</v>
      </c>
      <c r="H4775" s="1930" t="s">
        <v>5274</v>
      </c>
      <c r="I4775" s="1930" t="s">
        <v>1208</v>
      </c>
      <c r="J4775" s="1930" t="s">
        <v>137</v>
      </c>
      <c r="K4775" s="1933">
        <v>4.78</v>
      </c>
      <c r="L4775" s="1930" t="s">
        <v>138</v>
      </c>
    </row>
    <row r="4776" spans="1:12" ht="13.5" x14ac:dyDescent="0.25">
      <c r="A4776" s="1930" t="s">
        <v>4680</v>
      </c>
      <c r="B4776" s="1930" t="s">
        <v>4681</v>
      </c>
      <c r="C4776" s="1930" t="s">
        <v>4688</v>
      </c>
      <c r="D4776" s="1930" t="s">
        <v>4689</v>
      </c>
      <c r="E4776" s="1931" t="s">
        <v>33</v>
      </c>
      <c r="F4776" s="1930" t="s">
        <v>33</v>
      </c>
      <c r="G4776" s="1932">
        <v>90108</v>
      </c>
      <c r="H4776" s="1930" t="s">
        <v>3486</v>
      </c>
      <c r="I4776" s="1930" t="s">
        <v>1208</v>
      </c>
      <c r="J4776" s="1930" t="s">
        <v>137</v>
      </c>
      <c r="K4776" s="1933">
        <v>4.3499999999999996</v>
      </c>
      <c r="L4776" s="1930" t="s">
        <v>138</v>
      </c>
    </row>
    <row r="4777" spans="1:12" ht="13.5" x14ac:dyDescent="0.25">
      <c r="A4777" s="1930" t="s">
        <v>4680</v>
      </c>
      <c r="B4777" s="1930" t="s">
        <v>4681</v>
      </c>
      <c r="C4777" s="1930" t="s">
        <v>4688</v>
      </c>
      <c r="D4777" s="1930" t="s">
        <v>4689</v>
      </c>
      <c r="E4777" s="1931" t="s">
        <v>33</v>
      </c>
      <c r="F4777" s="1930" t="s">
        <v>33</v>
      </c>
      <c r="G4777" s="1932">
        <v>93358</v>
      </c>
      <c r="H4777" s="1930" t="s">
        <v>5275</v>
      </c>
      <c r="I4777" s="1930" t="s">
        <v>1208</v>
      </c>
      <c r="J4777" s="1930" t="s">
        <v>346</v>
      </c>
      <c r="K4777" s="1933">
        <v>59.65</v>
      </c>
      <c r="L4777" s="1930" t="s">
        <v>138</v>
      </c>
    </row>
    <row r="4778" spans="1:12" ht="13.5" x14ac:dyDescent="0.25">
      <c r="A4778" s="1930" t="s">
        <v>4680</v>
      </c>
      <c r="B4778" s="1930" t="s">
        <v>4681</v>
      </c>
      <c r="C4778" s="1930" t="s">
        <v>4691</v>
      </c>
      <c r="D4778" s="1930" t="s">
        <v>4692</v>
      </c>
      <c r="E4778" s="1931" t="s">
        <v>33</v>
      </c>
      <c r="F4778" s="1930" t="s">
        <v>33</v>
      </c>
      <c r="G4778" s="1932">
        <v>94304</v>
      </c>
      <c r="H4778" s="1930" t="s">
        <v>3487</v>
      </c>
      <c r="I4778" s="1930" t="s">
        <v>1208</v>
      </c>
      <c r="J4778" s="1930" t="s">
        <v>137</v>
      </c>
      <c r="K4778" s="1933">
        <v>24.09</v>
      </c>
      <c r="L4778" s="1930" t="s">
        <v>138</v>
      </c>
    </row>
    <row r="4779" spans="1:12" ht="13.5" x14ac:dyDescent="0.25">
      <c r="A4779" s="1930" t="s">
        <v>4680</v>
      </c>
      <c r="B4779" s="1930" t="s">
        <v>4681</v>
      </c>
      <c r="C4779" s="1930" t="s">
        <v>4691</v>
      </c>
      <c r="D4779" s="1930" t="s">
        <v>4692</v>
      </c>
      <c r="E4779" s="1931" t="s">
        <v>33</v>
      </c>
      <c r="F4779" s="1930" t="s">
        <v>33</v>
      </c>
      <c r="G4779" s="1932">
        <v>94305</v>
      </c>
      <c r="H4779" s="1930" t="s">
        <v>3488</v>
      </c>
      <c r="I4779" s="1930" t="s">
        <v>1208</v>
      </c>
      <c r="J4779" s="1930" t="s">
        <v>137</v>
      </c>
      <c r="K4779" s="1933">
        <v>21.75</v>
      </c>
      <c r="L4779" s="1930" t="s">
        <v>138</v>
      </c>
    </row>
    <row r="4780" spans="1:12" ht="13.5" x14ac:dyDescent="0.25">
      <c r="A4780" s="1930" t="s">
        <v>4680</v>
      </c>
      <c r="B4780" s="1930" t="s">
        <v>4681</v>
      </c>
      <c r="C4780" s="1930" t="s">
        <v>4691</v>
      </c>
      <c r="D4780" s="1930" t="s">
        <v>4692</v>
      </c>
      <c r="E4780" s="1931" t="s">
        <v>33</v>
      </c>
      <c r="F4780" s="1930" t="s">
        <v>33</v>
      </c>
      <c r="G4780" s="1932">
        <v>94306</v>
      </c>
      <c r="H4780" s="1930" t="s">
        <v>3489</v>
      </c>
      <c r="I4780" s="1930" t="s">
        <v>1208</v>
      </c>
      <c r="J4780" s="1930" t="s">
        <v>137</v>
      </c>
      <c r="K4780" s="1933">
        <v>18.79</v>
      </c>
      <c r="L4780" s="1930" t="s">
        <v>138</v>
      </c>
    </row>
    <row r="4781" spans="1:12" ht="13.5" x14ac:dyDescent="0.25">
      <c r="A4781" s="1930" t="s">
        <v>4680</v>
      </c>
      <c r="B4781" s="1930" t="s">
        <v>4681</v>
      </c>
      <c r="C4781" s="1930" t="s">
        <v>4691</v>
      </c>
      <c r="D4781" s="1930" t="s">
        <v>4692</v>
      </c>
      <c r="E4781" s="1931" t="s">
        <v>33</v>
      </c>
      <c r="F4781" s="1930" t="s">
        <v>33</v>
      </c>
      <c r="G4781" s="1932">
        <v>94307</v>
      </c>
      <c r="H4781" s="1930" t="s">
        <v>3490</v>
      </c>
      <c r="I4781" s="1930" t="s">
        <v>1208</v>
      </c>
      <c r="J4781" s="1930" t="s">
        <v>137</v>
      </c>
      <c r="K4781" s="1933">
        <v>19.46</v>
      </c>
      <c r="L4781" s="1930" t="s">
        <v>138</v>
      </c>
    </row>
    <row r="4782" spans="1:12" ht="13.5" x14ac:dyDescent="0.25">
      <c r="A4782" s="1930" t="s">
        <v>4680</v>
      </c>
      <c r="B4782" s="1930" t="s">
        <v>4681</v>
      </c>
      <c r="C4782" s="1930" t="s">
        <v>4691</v>
      </c>
      <c r="D4782" s="1930" t="s">
        <v>4692</v>
      </c>
      <c r="E4782" s="1931" t="s">
        <v>33</v>
      </c>
      <c r="F4782" s="1930" t="s">
        <v>33</v>
      </c>
      <c r="G4782" s="1932">
        <v>94308</v>
      </c>
      <c r="H4782" s="1930" t="s">
        <v>3491</v>
      </c>
      <c r="I4782" s="1930" t="s">
        <v>1208</v>
      </c>
      <c r="J4782" s="1930" t="s">
        <v>137</v>
      </c>
      <c r="K4782" s="1933">
        <v>17.670000000000002</v>
      </c>
      <c r="L4782" s="1930" t="s">
        <v>138</v>
      </c>
    </row>
    <row r="4783" spans="1:12" ht="13.5" x14ac:dyDescent="0.25">
      <c r="A4783" s="1930" t="s">
        <v>4680</v>
      </c>
      <c r="B4783" s="1930" t="s">
        <v>4681</v>
      </c>
      <c r="C4783" s="1930" t="s">
        <v>4691</v>
      </c>
      <c r="D4783" s="1930" t="s">
        <v>4692</v>
      </c>
      <c r="E4783" s="1931" t="s">
        <v>33</v>
      </c>
      <c r="F4783" s="1930" t="s">
        <v>33</v>
      </c>
      <c r="G4783" s="1932">
        <v>94309</v>
      </c>
      <c r="H4783" s="1930" t="s">
        <v>3492</v>
      </c>
      <c r="I4783" s="1930" t="s">
        <v>1208</v>
      </c>
      <c r="J4783" s="1930" t="s">
        <v>137</v>
      </c>
      <c r="K4783" s="1933">
        <v>18.46</v>
      </c>
      <c r="L4783" s="1930" t="s">
        <v>138</v>
      </c>
    </row>
    <row r="4784" spans="1:12" ht="13.5" x14ac:dyDescent="0.25">
      <c r="A4784" s="1930" t="s">
        <v>4680</v>
      </c>
      <c r="B4784" s="1930" t="s">
        <v>4681</v>
      </c>
      <c r="C4784" s="1930" t="s">
        <v>4691</v>
      </c>
      <c r="D4784" s="1930" t="s">
        <v>4692</v>
      </c>
      <c r="E4784" s="1931" t="s">
        <v>33</v>
      </c>
      <c r="F4784" s="1930" t="s">
        <v>33</v>
      </c>
      <c r="G4784" s="1932">
        <v>94310</v>
      </c>
      <c r="H4784" s="1930" t="s">
        <v>3493</v>
      </c>
      <c r="I4784" s="1930" t="s">
        <v>1208</v>
      </c>
      <c r="J4784" s="1930" t="s">
        <v>137</v>
      </c>
      <c r="K4784" s="1933">
        <v>17.100000000000001</v>
      </c>
      <c r="L4784" s="1930" t="s">
        <v>138</v>
      </c>
    </row>
    <row r="4785" spans="1:12" ht="13.5" x14ac:dyDescent="0.25">
      <c r="A4785" s="1930" t="s">
        <v>4680</v>
      </c>
      <c r="B4785" s="1930" t="s">
        <v>4681</v>
      </c>
      <c r="C4785" s="1930" t="s">
        <v>4691</v>
      </c>
      <c r="D4785" s="1930" t="s">
        <v>4692</v>
      </c>
      <c r="E4785" s="1931" t="s">
        <v>33</v>
      </c>
      <c r="F4785" s="1930" t="s">
        <v>33</v>
      </c>
      <c r="G4785" s="1932">
        <v>94315</v>
      </c>
      <c r="H4785" s="1930" t="s">
        <v>3494</v>
      </c>
      <c r="I4785" s="1930" t="s">
        <v>1208</v>
      </c>
      <c r="J4785" s="1930" t="s">
        <v>137</v>
      </c>
      <c r="K4785" s="1933">
        <v>29.49</v>
      </c>
      <c r="L4785" s="1930" t="s">
        <v>138</v>
      </c>
    </row>
    <row r="4786" spans="1:12" ht="13.5" x14ac:dyDescent="0.25">
      <c r="A4786" s="1930" t="s">
        <v>4680</v>
      </c>
      <c r="B4786" s="1930" t="s">
        <v>4681</v>
      </c>
      <c r="C4786" s="1930" t="s">
        <v>4691</v>
      </c>
      <c r="D4786" s="1930" t="s">
        <v>4692</v>
      </c>
      <c r="E4786" s="1931" t="s">
        <v>33</v>
      </c>
      <c r="F4786" s="1930" t="s">
        <v>33</v>
      </c>
      <c r="G4786" s="1932">
        <v>94316</v>
      </c>
      <c r="H4786" s="1930" t="s">
        <v>3495</v>
      </c>
      <c r="I4786" s="1930" t="s">
        <v>1208</v>
      </c>
      <c r="J4786" s="1930" t="s">
        <v>137</v>
      </c>
      <c r="K4786" s="1933">
        <v>23.86</v>
      </c>
      <c r="L4786" s="1930" t="s">
        <v>138</v>
      </c>
    </row>
    <row r="4787" spans="1:12" ht="13.5" x14ac:dyDescent="0.25">
      <c r="A4787" s="1930" t="s">
        <v>4680</v>
      </c>
      <c r="B4787" s="1930" t="s">
        <v>4681</v>
      </c>
      <c r="C4787" s="1930" t="s">
        <v>4691</v>
      </c>
      <c r="D4787" s="1930" t="s">
        <v>4692</v>
      </c>
      <c r="E4787" s="1931" t="s">
        <v>33</v>
      </c>
      <c r="F4787" s="1930" t="s">
        <v>33</v>
      </c>
      <c r="G4787" s="1932">
        <v>94317</v>
      </c>
      <c r="H4787" s="1930" t="s">
        <v>3496</v>
      </c>
      <c r="I4787" s="1930" t="s">
        <v>1208</v>
      </c>
      <c r="J4787" s="1930" t="s">
        <v>137</v>
      </c>
      <c r="K4787" s="1933">
        <v>21.38</v>
      </c>
      <c r="L4787" s="1930" t="s">
        <v>138</v>
      </c>
    </row>
    <row r="4788" spans="1:12" ht="13.5" x14ac:dyDescent="0.25">
      <c r="A4788" s="1930" t="s">
        <v>4680</v>
      </c>
      <c r="B4788" s="1930" t="s">
        <v>4681</v>
      </c>
      <c r="C4788" s="1930" t="s">
        <v>4691</v>
      </c>
      <c r="D4788" s="1930" t="s">
        <v>4692</v>
      </c>
      <c r="E4788" s="1931" t="s">
        <v>33</v>
      </c>
      <c r="F4788" s="1930" t="s">
        <v>33</v>
      </c>
      <c r="G4788" s="1932">
        <v>94318</v>
      </c>
      <c r="H4788" s="1930" t="s">
        <v>3497</v>
      </c>
      <c r="I4788" s="1930" t="s">
        <v>1208</v>
      </c>
      <c r="J4788" s="1930" t="s">
        <v>137</v>
      </c>
      <c r="K4788" s="1933">
        <v>18.170000000000002</v>
      </c>
      <c r="L4788" s="1930" t="s">
        <v>138</v>
      </c>
    </row>
    <row r="4789" spans="1:12" ht="13.5" x14ac:dyDescent="0.25">
      <c r="A4789" s="1930" t="s">
        <v>4680</v>
      </c>
      <c r="B4789" s="1930" t="s">
        <v>4681</v>
      </c>
      <c r="C4789" s="1930" t="s">
        <v>4691</v>
      </c>
      <c r="D4789" s="1930" t="s">
        <v>4692</v>
      </c>
      <c r="E4789" s="1931" t="s">
        <v>33</v>
      </c>
      <c r="F4789" s="1930" t="s">
        <v>33</v>
      </c>
      <c r="G4789" s="1932">
        <v>94319</v>
      </c>
      <c r="H4789" s="1930" t="s">
        <v>3498</v>
      </c>
      <c r="I4789" s="1930" t="s">
        <v>1208</v>
      </c>
      <c r="J4789" s="1930" t="s">
        <v>137</v>
      </c>
      <c r="K4789" s="1933">
        <v>33.270000000000003</v>
      </c>
      <c r="L4789" s="1930" t="s">
        <v>138</v>
      </c>
    </row>
    <row r="4790" spans="1:12" ht="13.5" x14ac:dyDescent="0.25">
      <c r="A4790" s="1930" t="s">
        <v>4680</v>
      </c>
      <c r="B4790" s="1930" t="s">
        <v>4681</v>
      </c>
      <c r="C4790" s="1930" t="s">
        <v>4691</v>
      </c>
      <c r="D4790" s="1930" t="s">
        <v>4692</v>
      </c>
      <c r="E4790" s="1931" t="s">
        <v>33</v>
      </c>
      <c r="F4790" s="1930" t="s">
        <v>33</v>
      </c>
      <c r="G4790" s="1932">
        <v>94327</v>
      </c>
      <c r="H4790" s="1930" t="s">
        <v>3499</v>
      </c>
      <c r="I4790" s="1930" t="s">
        <v>1208</v>
      </c>
      <c r="J4790" s="1930" t="s">
        <v>137</v>
      </c>
      <c r="K4790" s="1933">
        <v>121.26</v>
      </c>
      <c r="L4790" s="1930" t="s">
        <v>138</v>
      </c>
    </row>
    <row r="4791" spans="1:12" ht="13.5" x14ac:dyDescent="0.25">
      <c r="A4791" s="1930" t="s">
        <v>4680</v>
      </c>
      <c r="B4791" s="1930" t="s">
        <v>4681</v>
      </c>
      <c r="C4791" s="1930" t="s">
        <v>4691</v>
      </c>
      <c r="D4791" s="1930" t="s">
        <v>4692</v>
      </c>
      <c r="E4791" s="1931" t="s">
        <v>33</v>
      </c>
      <c r="F4791" s="1930" t="s">
        <v>33</v>
      </c>
      <c r="G4791" s="1932">
        <v>94328</v>
      </c>
      <c r="H4791" s="1930" t="s">
        <v>3500</v>
      </c>
      <c r="I4791" s="1930" t="s">
        <v>1208</v>
      </c>
      <c r="J4791" s="1930" t="s">
        <v>137</v>
      </c>
      <c r="K4791" s="1933">
        <v>118.92</v>
      </c>
      <c r="L4791" s="1930" t="s">
        <v>138</v>
      </c>
    </row>
    <row r="4792" spans="1:12" ht="13.5" x14ac:dyDescent="0.25">
      <c r="A4792" s="1930" t="s">
        <v>4680</v>
      </c>
      <c r="B4792" s="1930" t="s">
        <v>4681</v>
      </c>
      <c r="C4792" s="1930" t="s">
        <v>4691</v>
      </c>
      <c r="D4792" s="1930" t="s">
        <v>4692</v>
      </c>
      <c r="E4792" s="1931" t="s">
        <v>33</v>
      </c>
      <c r="F4792" s="1930" t="s">
        <v>33</v>
      </c>
      <c r="G4792" s="1932">
        <v>94329</v>
      </c>
      <c r="H4792" s="1930" t="s">
        <v>3501</v>
      </c>
      <c r="I4792" s="1930" t="s">
        <v>1208</v>
      </c>
      <c r="J4792" s="1930" t="s">
        <v>137</v>
      </c>
      <c r="K4792" s="1933">
        <v>115.96</v>
      </c>
      <c r="L4792" s="1930" t="s">
        <v>138</v>
      </c>
    </row>
    <row r="4793" spans="1:12" ht="13.5" x14ac:dyDescent="0.25">
      <c r="A4793" s="1930" t="s">
        <v>4680</v>
      </c>
      <c r="B4793" s="1930" t="s">
        <v>4681</v>
      </c>
      <c r="C4793" s="1930" t="s">
        <v>4691</v>
      </c>
      <c r="D4793" s="1930" t="s">
        <v>4692</v>
      </c>
      <c r="E4793" s="1931" t="s">
        <v>33</v>
      </c>
      <c r="F4793" s="1930" t="s">
        <v>33</v>
      </c>
      <c r="G4793" s="1932">
        <v>94330</v>
      </c>
      <c r="H4793" s="1930" t="s">
        <v>3502</v>
      </c>
      <c r="I4793" s="1930" t="s">
        <v>1208</v>
      </c>
      <c r="J4793" s="1930" t="s">
        <v>137</v>
      </c>
      <c r="K4793" s="1933">
        <v>116.63</v>
      </c>
      <c r="L4793" s="1930" t="s">
        <v>138</v>
      </c>
    </row>
    <row r="4794" spans="1:12" ht="13.5" x14ac:dyDescent="0.25">
      <c r="A4794" s="1930" t="s">
        <v>4680</v>
      </c>
      <c r="B4794" s="1930" t="s">
        <v>4681</v>
      </c>
      <c r="C4794" s="1930" t="s">
        <v>4691</v>
      </c>
      <c r="D4794" s="1930" t="s">
        <v>4692</v>
      </c>
      <c r="E4794" s="1931" t="s">
        <v>33</v>
      </c>
      <c r="F4794" s="1930" t="s">
        <v>33</v>
      </c>
      <c r="G4794" s="1932">
        <v>94331</v>
      </c>
      <c r="H4794" s="1930" t="s">
        <v>3503</v>
      </c>
      <c r="I4794" s="1930" t="s">
        <v>1208</v>
      </c>
      <c r="J4794" s="1930" t="s">
        <v>137</v>
      </c>
      <c r="K4794" s="1933">
        <v>114.84</v>
      </c>
      <c r="L4794" s="1930" t="s">
        <v>138</v>
      </c>
    </row>
    <row r="4795" spans="1:12" ht="13.5" x14ac:dyDescent="0.25">
      <c r="A4795" s="1930" t="s">
        <v>4680</v>
      </c>
      <c r="B4795" s="1930" t="s">
        <v>4681</v>
      </c>
      <c r="C4795" s="1930" t="s">
        <v>4691</v>
      </c>
      <c r="D4795" s="1930" t="s">
        <v>4692</v>
      </c>
      <c r="E4795" s="1931" t="s">
        <v>33</v>
      </c>
      <c r="F4795" s="1930" t="s">
        <v>33</v>
      </c>
      <c r="G4795" s="1932">
        <v>94332</v>
      </c>
      <c r="H4795" s="1930" t="s">
        <v>3504</v>
      </c>
      <c r="I4795" s="1930" t="s">
        <v>1208</v>
      </c>
      <c r="J4795" s="1930" t="s">
        <v>137</v>
      </c>
      <c r="K4795" s="1933">
        <v>115.63</v>
      </c>
      <c r="L4795" s="1930" t="s">
        <v>138</v>
      </c>
    </row>
    <row r="4796" spans="1:12" ht="13.5" x14ac:dyDescent="0.25">
      <c r="A4796" s="1930" t="s">
        <v>4680</v>
      </c>
      <c r="B4796" s="1930" t="s">
        <v>4681</v>
      </c>
      <c r="C4796" s="1930" t="s">
        <v>4691</v>
      </c>
      <c r="D4796" s="1930" t="s">
        <v>4692</v>
      </c>
      <c r="E4796" s="1931" t="s">
        <v>33</v>
      </c>
      <c r="F4796" s="1930" t="s">
        <v>33</v>
      </c>
      <c r="G4796" s="1932">
        <v>94333</v>
      </c>
      <c r="H4796" s="1930" t="s">
        <v>3505</v>
      </c>
      <c r="I4796" s="1930" t="s">
        <v>1208</v>
      </c>
      <c r="J4796" s="1930" t="s">
        <v>137</v>
      </c>
      <c r="K4796" s="1933">
        <v>114.27</v>
      </c>
      <c r="L4796" s="1930" t="s">
        <v>138</v>
      </c>
    </row>
    <row r="4797" spans="1:12" ht="13.5" x14ac:dyDescent="0.25">
      <c r="A4797" s="1930" t="s">
        <v>4680</v>
      </c>
      <c r="B4797" s="1930" t="s">
        <v>4681</v>
      </c>
      <c r="C4797" s="1930" t="s">
        <v>4691</v>
      </c>
      <c r="D4797" s="1930" t="s">
        <v>4692</v>
      </c>
      <c r="E4797" s="1931" t="s">
        <v>33</v>
      </c>
      <c r="F4797" s="1930" t="s">
        <v>33</v>
      </c>
      <c r="G4797" s="1932">
        <v>94338</v>
      </c>
      <c r="H4797" s="1930" t="s">
        <v>3506</v>
      </c>
      <c r="I4797" s="1930" t="s">
        <v>1208</v>
      </c>
      <c r="J4797" s="1930" t="s">
        <v>137</v>
      </c>
      <c r="K4797" s="1933">
        <v>126.66</v>
      </c>
      <c r="L4797" s="1930" t="s">
        <v>138</v>
      </c>
    </row>
    <row r="4798" spans="1:12" ht="13.5" x14ac:dyDescent="0.25">
      <c r="A4798" s="1930" t="s">
        <v>4680</v>
      </c>
      <c r="B4798" s="1930" t="s">
        <v>4681</v>
      </c>
      <c r="C4798" s="1930" t="s">
        <v>4691</v>
      </c>
      <c r="D4798" s="1930" t="s">
        <v>4692</v>
      </c>
      <c r="E4798" s="1931" t="s">
        <v>33</v>
      </c>
      <c r="F4798" s="1930" t="s">
        <v>33</v>
      </c>
      <c r="G4798" s="1932">
        <v>94339</v>
      </c>
      <c r="H4798" s="1930" t="s">
        <v>3507</v>
      </c>
      <c r="I4798" s="1930" t="s">
        <v>1208</v>
      </c>
      <c r="J4798" s="1930" t="s">
        <v>137</v>
      </c>
      <c r="K4798" s="1933">
        <v>121.03</v>
      </c>
      <c r="L4798" s="1930" t="s">
        <v>138</v>
      </c>
    </row>
    <row r="4799" spans="1:12" ht="13.5" x14ac:dyDescent="0.25">
      <c r="A4799" s="1930" t="s">
        <v>4680</v>
      </c>
      <c r="B4799" s="1930" t="s">
        <v>4681</v>
      </c>
      <c r="C4799" s="1930" t="s">
        <v>4691</v>
      </c>
      <c r="D4799" s="1930" t="s">
        <v>4692</v>
      </c>
      <c r="E4799" s="1931" t="s">
        <v>33</v>
      </c>
      <c r="F4799" s="1930" t="s">
        <v>33</v>
      </c>
      <c r="G4799" s="1932">
        <v>94340</v>
      </c>
      <c r="H4799" s="1930" t="s">
        <v>3508</v>
      </c>
      <c r="I4799" s="1930" t="s">
        <v>1208</v>
      </c>
      <c r="J4799" s="1930" t="s">
        <v>137</v>
      </c>
      <c r="K4799" s="1933">
        <v>118.55</v>
      </c>
      <c r="L4799" s="1930" t="s">
        <v>138</v>
      </c>
    </row>
    <row r="4800" spans="1:12" ht="13.5" x14ac:dyDescent="0.25">
      <c r="A4800" s="1930" t="s">
        <v>4680</v>
      </c>
      <c r="B4800" s="1930" t="s">
        <v>4681</v>
      </c>
      <c r="C4800" s="1930" t="s">
        <v>4691</v>
      </c>
      <c r="D4800" s="1930" t="s">
        <v>4692</v>
      </c>
      <c r="E4800" s="1931" t="s">
        <v>33</v>
      </c>
      <c r="F4800" s="1930" t="s">
        <v>33</v>
      </c>
      <c r="G4800" s="1932">
        <v>94341</v>
      </c>
      <c r="H4800" s="1930" t="s">
        <v>3509</v>
      </c>
      <c r="I4800" s="1930" t="s">
        <v>1208</v>
      </c>
      <c r="J4800" s="1930" t="s">
        <v>137</v>
      </c>
      <c r="K4800" s="1933">
        <v>115.34</v>
      </c>
      <c r="L4800" s="1930" t="s">
        <v>138</v>
      </c>
    </row>
    <row r="4801" spans="1:12" ht="13.5" x14ac:dyDescent="0.25">
      <c r="A4801" s="1930" t="s">
        <v>4680</v>
      </c>
      <c r="B4801" s="1930" t="s">
        <v>4681</v>
      </c>
      <c r="C4801" s="1930" t="s">
        <v>4691</v>
      </c>
      <c r="D4801" s="1930" t="s">
        <v>4692</v>
      </c>
      <c r="E4801" s="1931" t="s">
        <v>33</v>
      </c>
      <c r="F4801" s="1930" t="s">
        <v>33</v>
      </c>
      <c r="G4801" s="1932">
        <v>94342</v>
      </c>
      <c r="H4801" s="1930" t="s">
        <v>3510</v>
      </c>
      <c r="I4801" s="1930" t="s">
        <v>1208</v>
      </c>
      <c r="J4801" s="1930" t="s">
        <v>137</v>
      </c>
      <c r="K4801" s="1933">
        <v>130.44</v>
      </c>
      <c r="L4801" s="1930" t="s">
        <v>138</v>
      </c>
    </row>
    <row r="4802" spans="1:12" ht="13.5" x14ac:dyDescent="0.25">
      <c r="A4802" s="1930" t="s">
        <v>4680</v>
      </c>
      <c r="B4802" s="1930" t="s">
        <v>4681</v>
      </c>
      <c r="C4802" s="1930" t="s">
        <v>4691</v>
      </c>
      <c r="D4802" s="1930" t="s">
        <v>4692</v>
      </c>
      <c r="E4802" s="1931" t="s">
        <v>33</v>
      </c>
      <c r="F4802" s="1930" t="s">
        <v>33</v>
      </c>
      <c r="G4802" s="1932">
        <v>96385</v>
      </c>
      <c r="H4802" s="1930" t="s">
        <v>8852</v>
      </c>
      <c r="I4802" s="1930" t="s">
        <v>1208</v>
      </c>
      <c r="J4802" s="1930" t="s">
        <v>137</v>
      </c>
      <c r="K4802" s="1933">
        <v>6.19</v>
      </c>
      <c r="L4802" s="1930" t="s">
        <v>138</v>
      </c>
    </row>
    <row r="4803" spans="1:12" ht="13.5" x14ac:dyDescent="0.25">
      <c r="A4803" s="1930" t="s">
        <v>4680</v>
      </c>
      <c r="B4803" s="1930" t="s">
        <v>4681</v>
      </c>
      <c r="C4803" s="1930" t="s">
        <v>4691</v>
      </c>
      <c r="D4803" s="1930" t="s">
        <v>4692</v>
      </c>
      <c r="E4803" s="1931" t="s">
        <v>33</v>
      </c>
      <c r="F4803" s="1930" t="s">
        <v>33</v>
      </c>
      <c r="G4803" s="1932">
        <v>96386</v>
      </c>
      <c r="H4803" s="1930" t="s">
        <v>8853</v>
      </c>
      <c r="I4803" s="1930" t="s">
        <v>1208</v>
      </c>
      <c r="J4803" s="1930" t="s">
        <v>137</v>
      </c>
      <c r="K4803" s="1933">
        <v>4.37</v>
      </c>
      <c r="L4803" s="1930" t="s">
        <v>138</v>
      </c>
    </row>
    <row r="4804" spans="1:12" ht="13.5" x14ac:dyDescent="0.25">
      <c r="A4804" s="1930" t="s">
        <v>4680</v>
      </c>
      <c r="B4804" s="1930" t="s">
        <v>4681</v>
      </c>
      <c r="C4804" s="1930" t="s">
        <v>4693</v>
      </c>
      <c r="D4804" s="1930" t="s">
        <v>4694</v>
      </c>
      <c r="E4804" s="1931" t="s">
        <v>33</v>
      </c>
      <c r="F4804" s="1930" t="s">
        <v>33</v>
      </c>
      <c r="G4804" s="1932">
        <v>93360</v>
      </c>
      <c r="H4804" s="1930" t="s">
        <v>6631</v>
      </c>
      <c r="I4804" s="1930" t="s">
        <v>1208</v>
      </c>
      <c r="J4804" s="1930" t="s">
        <v>137</v>
      </c>
      <c r="K4804" s="1933">
        <v>13</v>
      </c>
      <c r="L4804" s="1930" t="s">
        <v>138</v>
      </c>
    </row>
    <row r="4805" spans="1:12" ht="13.5" x14ac:dyDescent="0.25">
      <c r="A4805" s="1930" t="s">
        <v>4680</v>
      </c>
      <c r="B4805" s="1930" t="s">
        <v>4681</v>
      </c>
      <c r="C4805" s="1930" t="s">
        <v>4693</v>
      </c>
      <c r="D4805" s="1930" t="s">
        <v>4694</v>
      </c>
      <c r="E4805" s="1931" t="s">
        <v>33</v>
      </c>
      <c r="F4805" s="1930" t="s">
        <v>33</v>
      </c>
      <c r="G4805" s="1932">
        <v>93361</v>
      </c>
      <c r="H4805" s="1930" t="s">
        <v>6632</v>
      </c>
      <c r="I4805" s="1930" t="s">
        <v>1208</v>
      </c>
      <c r="J4805" s="1930" t="s">
        <v>137</v>
      </c>
      <c r="K4805" s="1933">
        <v>10.73</v>
      </c>
      <c r="L4805" s="1930" t="s">
        <v>138</v>
      </c>
    </row>
    <row r="4806" spans="1:12" ht="13.5" x14ac:dyDescent="0.25">
      <c r="A4806" s="1930" t="s">
        <v>4680</v>
      </c>
      <c r="B4806" s="1930" t="s">
        <v>4681</v>
      </c>
      <c r="C4806" s="1930" t="s">
        <v>4693</v>
      </c>
      <c r="D4806" s="1930" t="s">
        <v>4694</v>
      </c>
      <c r="E4806" s="1931" t="s">
        <v>33</v>
      </c>
      <c r="F4806" s="1930" t="s">
        <v>33</v>
      </c>
      <c r="G4806" s="1932">
        <v>93362</v>
      </c>
      <c r="H4806" s="1930" t="s">
        <v>6633</v>
      </c>
      <c r="I4806" s="1930" t="s">
        <v>1208</v>
      </c>
      <c r="J4806" s="1930" t="s">
        <v>137</v>
      </c>
      <c r="K4806" s="1933">
        <v>7.7</v>
      </c>
      <c r="L4806" s="1930" t="s">
        <v>138</v>
      </c>
    </row>
    <row r="4807" spans="1:12" ht="13.5" x14ac:dyDescent="0.25">
      <c r="A4807" s="1930" t="s">
        <v>4680</v>
      </c>
      <c r="B4807" s="1930" t="s">
        <v>4681</v>
      </c>
      <c r="C4807" s="1930" t="s">
        <v>4693</v>
      </c>
      <c r="D4807" s="1930" t="s">
        <v>4694</v>
      </c>
      <c r="E4807" s="1931" t="s">
        <v>33</v>
      </c>
      <c r="F4807" s="1930" t="s">
        <v>33</v>
      </c>
      <c r="G4807" s="1932">
        <v>93363</v>
      </c>
      <c r="H4807" s="1930" t="s">
        <v>6634</v>
      </c>
      <c r="I4807" s="1930" t="s">
        <v>1208</v>
      </c>
      <c r="J4807" s="1930" t="s">
        <v>137</v>
      </c>
      <c r="K4807" s="1933">
        <v>8.36</v>
      </c>
      <c r="L4807" s="1930" t="s">
        <v>138</v>
      </c>
    </row>
    <row r="4808" spans="1:12" ht="13.5" x14ac:dyDescent="0.25">
      <c r="A4808" s="1930" t="s">
        <v>4680</v>
      </c>
      <c r="B4808" s="1930" t="s">
        <v>4681</v>
      </c>
      <c r="C4808" s="1930" t="s">
        <v>4693</v>
      </c>
      <c r="D4808" s="1930" t="s">
        <v>4694</v>
      </c>
      <c r="E4808" s="1931" t="s">
        <v>33</v>
      </c>
      <c r="F4808" s="1930" t="s">
        <v>33</v>
      </c>
      <c r="G4808" s="1932">
        <v>93364</v>
      </c>
      <c r="H4808" s="1930" t="s">
        <v>3511</v>
      </c>
      <c r="I4808" s="1930" t="s">
        <v>1208</v>
      </c>
      <c r="J4808" s="1930" t="s">
        <v>137</v>
      </c>
      <c r="K4808" s="1933">
        <v>6.57</v>
      </c>
      <c r="L4808" s="1930" t="s">
        <v>138</v>
      </c>
    </row>
    <row r="4809" spans="1:12" ht="13.5" x14ac:dyDescent="0.25">
      <c r="A4809" s="1930" t="s">
        <v>4680</v>
      </c>
      <c r="B4809" s="1930" t="s">
        <v>4681</v>
      </c>
      <c r="C4809" s="1930" t="s">
        <v>4693</v>
      </c>
      <c r="D4809" s="1930" t="s">
        <v>4694</v>
      </c>
      <c r="E4809" s="1931" t="s">
        <v>33</v>
      </c>
      <c r="F4809" s="1930" t="s">
        <v>33</v>
      </c>
      <c r="G4809" s="1932">
        <v>93365</v>
      </c>
      <c r="H4809" s="1930" t="s">
        <v>6635</v>
      </c>
      <c r="I4809" s="1930" t="s">
        <v>1208</v>
      </c>
      <c r="J4809" s="1930" t="s">
        <v>137</v>
      </c>
      <c r="K4809" s="1933">
        <v>7.32</v>
      </c>
      <c r="L4809" s="1930" t="s">
        <v>138</v>
      </c>
    </row>
    <row r="4810" spans="1:12" ht="13.5" x14ac:dyDescent="0.25">
      <c r="A4810" s="1930" t="s">
        <v>4680</v>
      </c>
      <c r="B4810" s="1930" t="s">
        <v>4681</v>
      </c>
      <c r="C4810" s="1930" t="s">
        <v>4693</v>
      </c>
      <c r="D4810" s="1930" t="s">
        <v>4694</v>
      </c>
      <c r="E4810" s="1931" t="s">
        <v>33</v>
      </c>
      <c r="F4810" s="1930" t="s">
        <v>33</v>
      </c>
      <c r="G4810" s="1932">
        <v>93366</v>
      </c>
      <c r="H4810" s="1930" t="s">
        <v>6636</v>
      </c>
      <c r="I4810" s="1930" t="s">
        <v>1208</v>
      </c>
      <c r="J4810" s="1930" t="s">
        <v>137</v>
      </c>
      <c r="K4810" s="1933">
        <v>6.02</v>
      </c>
      <c r="L4810" s="1930" t="s">
        <v>138</v>
      </c>
    </row>
    <row r="4811" spans="1:12" ht="13.5" x14ac:dyDescent="0.25">
      <c r="A4811" s="1930" t="s">
        <v>4680</v>
      </c>
      <c r="B4811" s="1930" t="s">
        <v>4681</v>
      </c>
      <c r="C4811" s="1930" t="s">
        <v>4693</v>
      </c>
      <c r="D4811" s="1930" t="s">
        <v>4694</v>
      </c>
      <c r="E4811" s="1931" t="s">
        <v>33</v>
      </c>
      <c r="F4811" s="1930" t="s">
        <v>33</v>
      </c>
      <c r="G4811" s="1932">
        <v>93367</v>
      </c>
      <c r="H4811" s="1930" t="s">
        <v>6637</v>
      </c>
      <c r="I4811" s="1930" t="s">
        <v>1208</v>
      </c>
      <c r="J4811" s="1930" t="s">
        <v>137</v>
      </c>
      <c r="K4811" s="1933">
        <v>12.17</v>
      </c>
      <c r="L4811" s="1930" t="s">
        <v>138</v>
      </c>
    </row>
    <row r="4812" spans="1:12" ht="13.5" x14ac:dyDescent="0.25">
      <c r="A4812" s="1930" t="s">
        <v>4680</v>
      </c>
      <c r="B4812" s="1930" t="s">
        <v>4681</v>
      </c>
      <c r="C4812" s="1930" t="s">
        <v>4693</v>
      </c>
      <c r="D4812" s="1930" t="s">
        <v>4694</v>
      </c>
      <c r="E4812" s="1931" t="s">
        <v>33</v>
      </c>
      <c r="F4812" s="1930" t="s">
        <v>33</v>
      </c>
      <c r="G4812" s="1932">
        <v>93368</v>
      </c>
      <c r="H4812" s="1930" t="s">
        <v>6638</v>
      </c>
      <c r="I4812" s="1930" t="s">
        <v>1208</v>
      </c>
      <c r="J4812" s="1930" t="s">
        <v>137</v>
      </c>
      <c r="K4812" s="1933">
        <v>9.84</v>
      </c>
      <c r="L4812" s="1930" t="s">
        <v>138</v>
      </c>
    </row>
    <row r="4813" spans="1:12" ht="13.5" x14ac:dyDescent="0.25">
      <c r="A4813" s="1930" t="s">
        <v>4680</v>
      </c>
      <c r="B4813" s="1930" t="s">
        <v>4681</v>
      </c>
      <c r="C4813" s="1930" t="s">
        <v>4693</v>
      </c>
      <c r="D4813" s="1930" t="s">
        <v>4694</v>
      </c>
      <c r="E4813" s="1931" t="s">
        <v>33</v>
      </c>
      <c r="F4813" s="1930" t="s">
        <v>33</v>
      </c>
      <c r="G4813" s="1932">
        <v>93369</v>
      </c>
      <c r="H4813" s="1930" t="s">
        <v>3512</v>
      </c>
      <c r="I4813" s="1930" t="s">
        <v>1208</v>
      </c>
      <c r="J4813" s="1930" t="s">
        <v>137</v>
      </c>
      <c r="K4813" s="1933">
        <v>6.88</v>
      </c>
      <c r="L4813" s="1930" t="s">
        <v>138</v>
      </c>
    </row>
    <row r="4814" spans="1:12" ht="13.5" x14ac:dyDescent="0.25">
      <c r="A4814" s="1930" t="s">
        <v>4680</v>
      </c>
      <c r="B4814" s="1930" t="s">
        <v>4681</v>
      </c>
      <c r="C4814" s="1930" t="s">
        <v>4693</v>
      </c>
      <c r="D4814" s="1930" t="s">
        <v>4694</v>
      </c>
      <c r="E4814" s="1931" t="s">
        <v>33</v>
      </c>
      <c r="F4814" s="1930" t="s">
        <v>33</v>
      </c>
      <c r="G4814" s="1932">
        <v>93370</v>
      </c>
      <c r="H4814" s="1930" t="s">
        <v>6639</v>
      </c>
      <c r="I4814" s="1930" t="s">
        <v>1208</v>
      </c>
      <c r="J4814" s="1930" t="s">
        <v>137</v>
      </c>
      <c r="K4814" s="1933">
        <v>7.56</v>
      </c>
      <c r="L4814" s="1930" t="s">
        <v>138</v>
      </c>
    </row>
    <row r="4815" spans="1:12" ht="13.5" x14ac:dyDescent="0.25">
      <c r="A4815" s="1930" t="s">
        <v>4680</v>
      </c>
      <c r="B4815" s="1930" t="s">
        <v>4681</v>
      </c>
      <c r="C4815" s="1930" t="s">
        <v>4693</v>
      </c>
      <c r="D4815" s="1930" t="s">
        <v>4694</v>
      </c>
      <c r="E4815" s="1931" t="s">
        <v>33</v>
      </c>
      <c r="F4815" s="1930" t="s">
        <v>33</v>
      </c>
      <c r="G4815" s="1932">
        <v>93371</v>
      </c>
      <c r="H4815" s="1930" t="s">
        <v>3513</v>
      </c>
      <c r="I4815" s="1930" t="s">
        <v>1208</v>
      </c>
      <c r="J4815" s="1930" t="s">
        <v>137</v>
      </c>
      <c r="K4815" s="1933">
        <v>5.76</v>
      </c>
      <c r="L4815" s="1930" t="s">
        <v>138</v>
      </c>
    </row>
    <row r="4816" spans="1:12" ht="13.5" x14ac:dyDescent="0.25">
      <c r="A4816" s="1930" t="s">
        <v>4680</v>
      </c>
      <c r="B4816" s="1930" t="s">
        <v>4681</v>
      </c>
      <c r="C4816" s="1930" t="s">
        <v>4693</v>
      </c>
      <c r="D4816" s="1930" t="s">
        <v>4694</v>
      </c>
      <c r="E4816" s="1931" t="s">
        <v>33</v>
      </c>
      <c r="F4816" s="1930" t="s">
        <v>33</v>
      </c>
      <c r="G4816" s="1932">
        <v>93372</v>
      </c>
      <c r="H4816" s="1930" t="s">
        <v>6640</v>
      </c>
      <c r="I4816" s="1930" t="s">
        <v>1208</v>
      </c>
      <c r="J4816" s="1930" t="s">
        <v>137</v>
      </c>
      <c r="K4816" s="1933">
        <v>6.56</v>
      </c>
      <c r="L4816" s="1930" t="s">
        <v>138</v>
      </c>
    </row>
    <row r="4817" spans="1:12" ht="13.5" x14ac:dyDescent="0.25">
      <c r="A4817" s="1930" t="s">
        <v>4680</v>
      </c>
      <c r="B4817" s="1930" t="s">
        <v>4681</v>
      </c>
      <c r="C4817" s="1930" t="s">
        <v>4693</v>
      </c>
      <c r="D4817" s="1930" t="s">
        <v>4694</v>
      </c>
      <c r="E4817" s="1931" t="s">
        <v>33</v>
      </c>
      <c r="F4817" s="1930" t="s">
        <v>33</v>
      </c>
      <c r="G4817" s="1932">
        <v>93373</v>
      </c>
      <c r="H4817" s="1930" t="s">
        <v>3514</v>
      </c>
      <c r="I4817" s="1930" t="s">
        <v>1208</v>
      </c>
      <c r="J4817" s="1930" t="s">
        <v>137</v>
      </c>
      <c r="K4817" s="1933">
        <v>5.21</v>
      </c>
      <c r="L4817" s="1930" t="s">
        <v>138</v>
      </c>
    </row>
    <row r="4818" spans="1:12" ht="13.5" x14ac:dyDescent="0.25">
      <c r="A4818" s="1930" t="s">
        <v>4680</v>
      </c>
      <c r="B4818" s="1930" t="s">
        <v>4681</v>
      </c>
      <c r="C4818" s="1930" t="s">
        <v>4693</v>
      </c>
      <c r="D4818" s="1930" t="s">
        <v>4694</v>
      </c>
      <c r="E4818" s="1931" t="s">
        <v>33</v>
      </c>
      <c r="F4818" s="1930" t="s">
        <v>33</v>
      </c>
      <c r="G4818" s="1932">
        <v>93374</v>
      </c>
      <c r="H4818" s="1930" t="s">
        <v>3515</v>
      </c>
      <c r="I4818" s="1930" t="s">
        <v>1208</v>
      </c>
      <c r="J4818" s="1930" t="s">
        <v>137</v>
      </c>
      <c r="K4818" s="1933">
        <v>15.98</v>
      </c>
      <c r="L4818" s="1930" t="s">
        <v>138</v>
      </c>
    </row>
    <row r="4819" spans="1:12" ht="13.5" x14ac:dyDescent="0.25">
      <c r="A4819" s="1930" t="s">
        <v>4680</v>
      </c>
      <c r="B4819" s="1930" t="s">
        <v>4681</v>
      </c>
      <c r="C4819" s="1930" t="s">
        <v>4693</v>
      </c>
      <c r="D4819" s="1930" t="s">
        <v>4694</v>
      </c>
      <c r="E4819" s="1931" t="s">
        <v>33</v>
      </c>
      <c r="F4819" s="1930" t="s">
        <v>33</v>
      </c>
      <c r="G4819" s="1932">
        <v>93375</v>
      </c>
      <c r="H4819" s="1930" t="s">
        <v>6641</v>
      </c>
      <c r="I4819" s="1930" t="s">
        <v>1208</v>
      </c>
      <c r="J4819" s="1930" t="s">
        <v>137</v>
      </c>
      <c r="K4819" s="1933">
        <v>12.3</v>
      </c>
      <c r="L4819" s="1930" t="s">
        <v>138</v>
      </c>
    </row>
    <row r="4820" spans="1:12" ht="13.5" x14ac:dyDescent="0.25">
      <c r="A4820" s="1930" t="s">
        <v>4680</v>
      </c>
      <c r="B4820" s="1930" t="s">
        <v>4681</v>
      </c>
      <c r="C4820" s="1930" t="s">
        <v>4693</v>
      </c>
      <c r="D4820" s="1930" t="s">
        <v>4694</v>
      </c>
      <c r="E4820" s="1931" t="s">
        <v>33</v>
      </c>
      <c r="F4820" s="1930" t="s">
        <v>33</v>
      </c>
      <c r="G4820" s="1932">
        <v>93376</v>
      </c>
      <c r="H4820" s="1930" t="s">
        <v>6642</v>
      </c>
      <c r="I4820" s="1930" t="s">
        <v>1208</v>
      </c>
      <c r="J4820" s="1930" t="s">
        <v>137</v>
      </c>
      <c r="K4820" s="1933">
        <v>10.039999999999999</v>
      </c>
      <c r="L4820" s="1930" t="s">
        <v>138</v>
      </c>
    </row>
    <row r="4821" spans="1:12" ht="13.5" x14ac:dyDescent="0.25">
      <c r="A4821" s="1930" t="s">
        <v>4680</v>
      </c>
      <c r="B4821" s="1930" t="s">
        <v>4681</v>
      </c>
      <c r="C4821" s="1930" t="s">
        <v>4693</v>
      </c>
      <c r="D4821" s="1930" t="s">
        <v>4694</v>
      </c>
      <c r="E4821" s="1931" t="s">
        <v>33</v>
      </c>
      <c r="F4821" s="1930" t="s">
        <v>33</v>
      </c>
      <c r="G4821" s="1932">
        <v>93377</v>
      </c>
      <c r="H4821" s="1930" t="s">
        <v>3516</v>
      </c>
      <c r="I4821" s="1930" t="s">
        <v>1208</v>
      </c>
      <c r="J4821" s="1930" t="s">
        <v>137</v>
      </c>
      <c r="K4821" s="1933">
        <v>6.68</v>
      </c>
      <c r="L4821" s="1930" t="s">
        <v>138</v>
      </c>
    </row>
    <row r="4822" spans="1:12" ht="13.5" x14ac:dyDescent="0.25">
      <c r="A4822" s="1930" t="s">
        <v>4680</v>
      </c>
      <c r="B4822" s="1930" t="s">
        <v>4681</v>
      </c>
      <c r="C4822" s="1930" t="s">
        <v>4693</v>
      </c>
      <c r="D4822" s="1930" t="s">
        <v>4694</v>
      </c>
      <c r="E4822" s="1931" t="s">
        <v>33</v>
      </c>
      <c r="F4822" s="1930" t="s">
        <v>33</v>
      </c>
      <c r="G4822" s="1932">
        <v>93378</v>
      </c>
      <c r="H4822" s="1930" t="s">
        <v>6643</v>
      </c>
      <c r="I4822" s="1930" t="s">
        <v>1208</v>
      </c>
      <c r="J4822" s="1930" t="s">
        <v>137</v>
      </c>
      <c r="K4822" s="1933">
        <v>14.98</v>
      </c>
      <c r="L4822" s="1930" t="s">
        <v>138</v>
      </c>
    </row>
    <row r="4823" spans="1:12" ht="13.5" x14ac:dyDescent="0.25">
      <c r="A4823" s="1930" t="s">
        <v>4680</v>
      </c>
      <c r="B4823" s="1930" t="s">
        <v>4681</v>
      </c>
      <c r="C4823" s="1930" t="s">
        <v>4693</v>
      </c>
      <c r="D4823" s="1930" t="s">
        <v>4694</v>
      </c>
      <c r="E4823" s="1931" t="s">
        <v>33</v>
      </c>
      <c r="F4823" s="1930" t="s">
        <v>33</v>
      </c>
      <c r="G4823" s="1932">
        <v>93379</v>
      </c>
      <c r="H4823" s="1930" t="s">
        <v>6644</v>
      </c>
      <c r="I4823" s="1930" t="s">
        <v>1208</v>
      </c>
      <c r="J4823" s="1930" t="s">
        <v>137</v>
      </c>
      <c r="K4823" s="1933">
        <v>11.54</v>
      </c>
      <c r="L4823" s="1930" t="s">
        <v>138</v>
      </c>
    </row>
    <row r="4824" spans="1:12" ht="13.5" x14ac:dyDescent="0.25">
      <c r="A4824" s="1930" t="s">
        <v>4680</v>
      </c>
      <c r="B4824" s="1930" t="s">
        <v>4681</v>
      </c>
      <c r="C4824" s="1930" t="s">
        <v>4693</v>
      </c>
      <c r="D4824" s="1930" t="s">
        <v>4694</v>
      </c>
      <c r="E4824" s="1931" t="s">
        <v>33</v>
      </c>
      <c r="F4824" s="1930" t="s">
        <v>33</v>
      </c>
      <c r="G4824" s="1932">
        <v>93380</v>
      </c>
      <c r="H4824" s="1930" t="s">
        <v>6645</v>
      </c>
      <c r="I4824" s="1930" t="s">
        <v>1208</v>
      </c>
      <c r="J4824" s="1930" t="s">
        <v>137</v>
      </c>
      <c r="K4824" s="1933">
        <v>9.4600000000000009</v>
      </c>
      <c r="L4824" s="1930" t="s">
        <v>138</v>
      </c>
    </row>
    <row r="4825" spans="1:12" ht="13.5" x14ac:dyDescent="0.25">
      <c r="A4825" s="1930" t="s">
        <v>4680</v>
      </c>
      <c r="B4825" s="1930" t="s">
        <v>4681</v>
      </c>
      <c r="C4825" s="1930" t="s">
        <v>4693</v>
      </c>
      <c r="D4825" s="1930" t="s">
        <v>4694</v>
      </c>
      <c r="E4825" s="1931" t="s">
        <v>33</v>
      </c>
      <c r="F4825" s="1930" t="s">
        <v>33</v>
      </c>
      <c r="G4825" s="1932">
        <v>93381</v>
      </c>
      <c r="H4825" s="1930" t="s">
        <v>3517</v>
      </c>
      <c r="I4825" s="1930" t="s">
        <v>1208</v>
      </c>
      <c r="J4825" s="1930" t="s">
        <v>137</v>
      </c>
      <c r="K4825" s="1933">
        <v>6.27</v>
      </c>
      <c r="L4825" s="1930" t="s">
        <v>138</v>
      </c>
    </row>
    <row r="4826" spans="1:12" ht="13.5" x14ac:dyDescent="0.25">
      <c r="A4826" s="1930" t="s">
        <v>4680</v>
      </c>
      <c r="B4826" s="1930" t="s">
        <v>4681</v>
      </c>
      <c r="C4826" s="1930" t="s">
        <v>4693</v>
      </c>
      <c r="D4826" s="1930" t="s">
        <v>4694</v>
      </c>
      <c r="E4826" s="1931" t="s">
        <v>33</v>
      </c>
      <c r="F4826" s="1930" t="s">
        <v>33</v>
      </c>
      <c r="G4826" s="1932">
        <v>93382</v>
      </c>
      <c r="H4826" s="1930" t="s">
        <v>3518</v>
      </c>
      <c r="I4826" s="1930" t="s">
        <v>1208</v>
      </c>
      <c r="J4826" s="1930" t="s">
        <v>137</v>
      </c>
      <c r="K4826" s="1933">
        <v>21.37</v>
      </c>
      <c r="L4826" s="1930" t="s">
        <v>138</v>
      </c>
    </row>
    <row r="4827" spans="1:12" ht="13.5" x14ac:dyDescent="0.25">
      <c r="A4827" s="1930" t="s">
        <v>4680</v>
      </c>
      <c r="B4827" s="1930" t="s">
        <v>4681</v>
      </c>
      <c r="C4827" s="1930" t="s">
        <v>4693</v>
      </c>
      <c r="D4827" s="1930" t="s">
        <v>4694</v>
      </c>
      <c r="E4827" s="1931" t="s">
        <v>33</v>
      </c>
      <c r="F4827" s="1930" t="s">
        <v>33</v>
      </c>
      <c r="G4827" s="1932">
        <v>96995</v>
      </c>
      <c r="H4827" s="1930" t="s">
        <v>4956</v>
      </c>
      <c r="I4827" s="1930" t="s">
        <v>1208</v>
      </c>
      <c r="J4827" s="1930" t="s">
        <v>346</v>
      </c>
      <c r="K4827" s="1933">
        <v>36.17</v>
      </c>
      <c r="L4827" s="1930" t="s">
        <v>138</v>
      </c>
    </row>
    <row r="4828" spans="1:12" ht="13.5" x14ac:dyDescent="0.25">
      <c r="A4828" s="1930" t="s">
        <v>4680</v>
      </c>
      <c r="B4828" s="1930" t="s">
        <v>4681</v>
      </c>
      <c r="C4828" s="1930" t="s">
        <v>4695</v>
      </c>
      <c r="D4828" s="1930" t="s">
        <v>4696</v>
      </c>
      <c r="E4828" s="1931" t="s">
        <v>33</v>
      </c>
      <c r="F4828" s="1930" t="s">
        <v>33</v>
      </c>
      <c r="G4828" s="1932">
        <v>72838</v>
      </c>
      <c r="H4828" s="1930" t="s">
        <v>3519</v>
      </c>
      <c r="I4828" s="1930" t="s">
        <v>3520</v>
      </c>
      <c r="J4828" s="1930" t="s">
        <v>137</v>
      </c>
      <c r="K4828" s="1933">
        <v>0.76</v>
      </c>
      <c r="L4828" s="1930" t="s">
        <v>138</v>
      </c>
    </row>
    <row r="4829" spans="1:12" ht="13.5" x14ac:dyDescent="0.25">
      <c r="A4829" s="1930" t="s">
        <v>4680</v>
      </c>
      <c r="B4829" s="1930" t="s">
        <v>4681</v>
      </c>
      <c r="C4829" s="1930" t="s">
        <v>4695</v>
      </c>
      <c r="D4829" s="1930" t="s">
        <v>4696</v>
      </c>
      <c r="E4829" s="1931" t="s">
        <v>33</v>
      </c>
      <c r="F4829" s="1930" t="s">
        <v>33</v>
      </c>
      <c r="G4829" s="1932">
        <v>72839</v>
      </c>
      <c r="H4829" s="1930" t="s">
        <v>3521</v>
      </c>
      <c r="I4829" s="1930" t="s">
        <v>3520</v>
      </c>
      <c r="J4829" s="1930" t="s">
        <v>137</v>
      </c>
      <c r="K4829" s="1933">
        <v>0.61</v>
      </c>
      <c r="L4829" s="1930" t="s">
        <v>138</v>
      </c>
    </row>
    <row r="4830" spans="1:12" ht="13.5" x14ac:dyDescent="0.25">
      <c r="A4830" s="1930" t="s">
        <v>4680</v>
      </c>
      <c r="B4830" s="1930" t="s">
        <v>4681</v>
      </c>
      <c r="C4830" s="1930" t="s">
        <v>4695</v>
      </c>
      <c r="D4830" s="1930" t="s">
        <v>4696</v>
      </c>
      <c r="E4830" s="1931" t="s">
        <v>33</v>
      </c>
      <c r="F4830" s="1930" t="s">
        <v>33</v>
      </c>
      <c r="G4830" s="1932">
        <v>72840</v>
      </c>
      <c r="H4830" s="1930" t="s">
        <v>3522</v>
      </c>
      <c r="I4830" s="1930" t="s">
        <v>3520</v>
      </c>
      <c r="J4830" s="1930" t="s">
        <v>137</v>
      </c>
      <c r="K4830" s="1933">
        <v>0.51</v>
      </c>
      <c r="L4830" s="1930" t="s">
        <v>138</v>
      </c>
    </row>
    <row r="4831" spans="1:12" ht="13.5" x14ac:dyDescent="0.25">
      <c r="A4831" s="1930" t="s">
        <v>4680</v>
      </c>
      <c r="B4831" s="1930" t="s">
        <v>4681</v>
      </c>
      <c r="C4831" s="1930" t="s">
        <v>4695</v>
      </c>
      <c r="D4831" s="1930" t="s">
        <v>4696</v>
      </c>
      <c r="E4831" s="1931" t="s">
        <v>33</v>
      </c>
      <c r="F4831" s="1930" t="s">
        <v>33</v>
      </c>
      <c r="G4831" s="1932">
        <v>72844</v>
      </c>
      <c r="H4831" s="1930" t="s">
        <v>3523</v>
      </c>
      <c r="I4831" s="1930" t="s">
        <v>3524</v>
      </c>
      <c r="J4831" s="1930" t="s">
        <v>137</v>
      </c>
      <c r="K4831" s="1933">
        <v>0.56000000000000005</v>
      </c>
      <c r="L4831" s="1930" t="s">
        <v>138</v>
      </c>
    </row>
    <row r="4832" spans="1:12" ht="13.5" x14ac:dyDescent="0.25">
      <c r="A4832" s="1930" t="s">
        <v>4680</v>
      </c>
      <c r="B4832" s="1930" t="s">
        <v>4681</v>
      </c>
      <c r="C4832" s="1930" t="s">
        <v>4695</v>
      </c>
      <c r="D4832" s="1930" t="s">
        <v>4696</v>
      </c>
      <c r="E4832" s="1931" t="s">
        <v>33</v>
      </c>
      <c r="F4832" s="1930" t="s">
        <v>33</v>
      </c>
      <c r="G4832" s="1932">
        <v>72845</v>
      </c>
      <c r="H4832" s="1930" t="s">
        <v>3525</v>
      </c>
      <c r="I4832" s="1930" t="s">
        <v>3524</v>
      </c>
      <c r="J4832" s="1930" t="s">
        <v>137</v>
      </c>
      <c r="K4832" s="1933">
        <v>3.36</v>
      </c>
      <c r="L4832" s="1930" t="s">
        <v>138</v>
      </c>
    </row>
    <row r="4833" spans="1:12" ht="13.5" x14ac:dyDescent="0.25">
      <c r="A4833" s="1930" t="s">
        <v>4680</v>
      </c>
      <c r="B4833" s="1930" t="s">
        <v>4681</v>
      </c>
      <c r="C4833" s="1930" t="s">
        <v>4695</v>
      </c>
      <c r="D4833" s="1930" t="s">
        <v>4696</v>
      </c>
      <c r="E4833" s="1931" t="s">
        <v>33</v>
      </c>
      <c r="F4833" s="1930" t="s">
        <v>33</v>
      </c>
      <c r="G4833" s="1932">
        <v>72846</v>
      </c>
      <c r="H4833" s="1930" t="s">
        <v>3526</v>
      </c>
      <c r="I4833" s="1930" t="s">
        <v>3524</v>
      </c>
      <c r="J4833" s="1930" t="s">
        <v>137</v>
      </c>
      <c r="K4833" s="1933">
        <v>2.77</v>
      </c>
      <c r="L4833" s="1930" t="s">
        <v>138</v>
      </c>
    </row>
    <row r="4834" spans="1:12" ht="13.5" x14ac:dyDescent="0.25">
      <c r="A4834" s="1930" t="s">
        <v>4680</v>
      </c>
      <c r="B4834" s="1930" t="s">
        <v>4681</v>
      </c>
      <c r="C4834" s="1930" t="s">
        <v>4695</v>
      </c>
      <c r="D4834" s="1930" t="s">
        <v>4696</v>
      </c>
      <c r="E4834" s="1931" t="s">
        <v>33</v>
      </c>
      <c r="F4834" s="1930" t="s">
        <v>33</v>
      </c>
      <c r="G4834" s="1932">
        <v>72847</v>
      </c>
      <c r="H4834" s="1930" t="s">
        <v>3527</v>
      </c>
      <c r="I4834" s="1930" t="s">
        <v>3524</v>
      </c>
      <c r="J4834" s="1930" t="s">
        <v>137</v>
      </c>
      <c r="K4834" s="1933">
        <v>5.98</v>
      </c>
      <c r="L4834" s="1930" t="s">
        <v>138</v>
      </c>
    </row>
    <row r="4835" spans="1:12" ht="13.5" x14ac:dyDescent="0.25">
      <c r="A4835" s="1930" t="s">
        <v>4680</v>
      </c>
      <c r="B4835" s="1930" t="s">
        <v>4681</v>
      </c>
      <c r="C4835" s="1930" t="s">
        <v>4695</v>
      </c>
      <c r="D4835" s="1930" t="s">
        <v>4696</v>
      </c>
      <c r="E4835" s="1931" t="s">
        <v>33</v>
      </c>
      <c r="F4835" s="1930" t="s">
        <v>33</v>
      </c>
      <c r="G4835" s="1932">
        <v>72848</v>
      </c>
      <c r="H4835" s="1930" t="s">
        <v>3528</v>
      </c>
      <c r="I4835" s="1930" t="s">
        <v>3524</v>
      </c>
      <c r="J4835" s="1930" t="s">
        <v>137</v>
      </c>
      <c r="K4835" s="1933">
        <v>1.49</v>
      </c>
      <c r="L4835" s="1930" t="s">
        <v>138</v>
      </c>
    </row>
    <row r="4836" spans="1:12" ht="13.5" x14ac:dyDescent="0.25">
      <c r="A4836" s="1930" t="s">
        <v>4680</v>
      </c>
      <c r="B4836" s="1930" t="s">
        <v>4681</v>
      </c>
      <c r="C4836" s="1930" t="s">
        <v>4695</v>
      </c>
      <c r="D4836" s="1930" t="s">
        <v>4696</v>
      </c>
      <c r="E4836" s="1931" t="s">
        <v>33</v>
      </c>
      <c r="F4836" s="1930" t="s">
        <v>33</v>
      </c>
      <c r="G4836" s="1932">
        <v>72849</v>
      </c>
      <c r="H4836" s="1930" t="s">
        <v>3529</v>
      </c>
      <c r="I4836" s="1930" t="s">
        <v>3524</v>
      </c>
      <c r="J4836" s="1930" t="s">
        <v>137</v>
      </c>
      <c r="K4836" s="1933">
        <v>1.91</v>
      </c>
      <c r="L4836" s="1930" t="s">
        <v>138</v>
      </c>
    </row>
    <row r="4837" spans="1:12" ht="13.5" x14ac:dyDescent="0.25">
      <c r="A4837" s="1930" t="s">
        <v>4680</v>
      </c>
      <c r="B4837" s="1930" t="s">
        <v>4681</v>
      </c>
      <c r="C4837" s="1930" t="s">
        <v>4695</v>
      </c>
      <c r="D4837" s="1930" t="s">
        <v>4696</v>
      </c>
      <c r="E4837" s="1931" t="s">
        <v>33</v>
      </c>
      <c r="F4837" s="1930" t="s">
        <v>33</v>
      </c>
      <c r="G4837" s="1932">
        <v>72850</v>
      </c>
      <c r="H4837" s="1930" t="s">
        <v>3530</v>
      </c>
      <c r="I4837" s="1930" t="s">
        <v>3524</v>
      </c>
      <c r="J4837" s="1930" t="s">
        <v>137</v>
      </c>
      <c r="K4837" s="1933">
        <v>9.66</v>
      </c>
      <c r="L4837" s="1930" t="s">
        <v>138</v>
      </c>
    </row>
    <row r="4838" spans="1:12" ht="13.5" x14ac:dyDescent="0.25">
      <c r="A4838" s="1930" t="s">
        <v>4680</v>
      </c>
      <c r="B4838" s="1930" t="s">
        <v>4681</v>
      </c>
      <c r="C4838" s="1930" t="s">
        <v>4695</v>
      </c>
      <c r="D4838" s="1930" t="s">
        <v>4696</v>
      </c>
      <c r="E4838" s="1931" t="s">
        <v>33</v>
      </c>
      <c r="F4838" s="1930" t="s">
        <v>33</v>
      </c>
      <c r="G4838" s="1932">
        <v>72882</v>
      </c>
      <c r="H4838" s="1930" t="s">
        <v>3519</v>
      </c>
      <c r="I4838" s="1930" t="s">
        <v>3531</v>
      </c>
      <c r="J4838" s="1930" t="s">
        <v>137</v>
      </c>
      <c r="K4838" s="1933">
        <v>1.1399999999999999</v>
      </c>
      <c r="L4838" s="1930" t="s">
        <v>138</v>
      </c>
    </row>
    <row r="4839" spans="1:12" ht="13.5" x14ac:dyDescent="0.25">
      <c r="A4839" s="1930" t="s">
        <v>4680</v>
      </c>
      <c r="B4839" s="1930" t="s">
        <v>4681</v>
      </c>
      <c r="C4839" s="1930" t="s">
        <v>4695</v>
      </c>
      <c r="D4839" s="1930" t="s">
        <v>4696</v>
      </c>
      <c r="E4839" s="1931" t="s">
        <v>33</v>
      </c>
      <c r="F4839" s="1930" t="s">
        <v>33</v>
      </c>
      <c r="G4839" s="1932">
        <v>72883</v>
      </c>
      <c r="H4839" s="1930" t="s">
        <v>3521</v>
      </c>
      <c r="I4839" s="1930" t="s">
        <v>3531</v>
      </c>
      <c r="J4839" s="1930" t="s">
        <v>137</v>
      </c>
      <c r="K4839" s="1933">
        <v>0.91</v>
      </c>
      <c r="L4839" s="1930" t="s">
        <v>138</v>
      </c>
    </row>
    <row r="4840" spans="1:12" ht="13.5" x14ac:dyDescent="0.25">
      <c r="A4840" s="1930" t="s">
        <v>4680</v>
      </c>
      <c r="B4840" s="1930" t="s">
        <v>4681</v>
      </c>
      <c r="C4840" s="1930" t="s">
        <v>4695</v>
      </c>
      <c r="D4840" s="1930" t="s">
        <v>4696</v>
      </c>
      <c r="E4840" s="1931" t="s">
        <v>33</v>
      </c>
      <c r="F4840" s="1930" t="s">
        <v>33</v>
      </c>
      <c r="G4840" s="1932">
        <v>72884</v>
      </c>
      <c r="H4840" s="1930" t="s">
        <v>3522</v>
      </c>
      <c r="I4840" s="1930" t="s">
        <v>3531</v>
      </c>
      <c r="J4840" s="1930" t="s">
        <v>137</v>
      </c>
      <c r="K4840" s="1933">
        <v>0.76</v>
      </c>
      <c r="L4840" s="1930" t="s">
        <v>138</v>
      </c>
    </row>
    <row r="4841" spans="1:12" ht="13.5" x14ac:dyDescent="0.25">
      <c r="A4841" s="1930" t="s">
        <v>4680</v>
      </c>
      <c r="B4841" s="1930" t="s">
        <v>4681</v>
      </c>
      <c r="C4841" s="1930" t="s">
        <v>4695</v>
      </c>
      <c r="D4841" s="1930" t="s">
        <v>4696</v>
      </c>
      <c r="E4841" s="1931" t="s">
        <v>33</v>
      </c>
      <c r="F4841" s="1930" t="s">
        <v>33</v>
      </c>
      <c r="G4841" s="1932">
        <v>72888</v>
      </c>
      <c r="H4841" s="1930" t="s">
        <v>3523</v>
      </c>
      <c r="I4841" s="1930" t="s">
        <v>1208</v>
      </c>
      <c r="J4841" s="1930" t="s">
        <v>137</v>
      </c>
      <c r="K4841" s="1933">
        <v>0.83</v>
      </c>
      <c r="L4841" s="1930" t="s">
        <v>138</v>
      </c>
    </row>
    <row r="4842" spans="1:12" ht="13.5" x14ac:dyDescent="0.25">
      <c r="A4842" s="1930" t="s">
        <v>4680</v>
      </c>
      <c r="B4842" s="1930" t="s">
        <v>4681</v>
      </c>
      <c r="C4842" s="1930" t="s">
        <v>4695</v>
      </c>
      <c r="D4842" s="1930" t="s">
        <v>4696</v>
      </c>
      <c r="E4842" s="1931" t="s">
        <v>33</v>
      </c>
      <c r="F4842" s="1930" t="s">
        <v>33</v>
      </c>
      <c r="G4842" s="1932">
        <v>72890</v>
      </c>
      <c r="H4842" s="1930" t="s">
        <v>3532</v>
      </c>
      <c r="I4842" s="1930" t="s">
        <v>1208</v>
      </c>
      <c r="J4842" s="1930" t="s">
        <v>137</v>
      </c>
      <c r="K4842" s="1933">
        <v>5.04</v>
      </c>
      <c r="L4842" s="1930" t="s">
        <v>138</v>
      </c>
    </row>
    <row r="4843" spans="1:12" ht="13.5" x14ac:dyDescent="0.25">
      <c r="A4843" s="1930" t="s">
        <v>4680</v>
      </c>
      <c r="B4843" s="1930" t="s">
        <v>4681</v>
      </c>
      <c r="C4843" s="1930" t="s">
        <v>4695</v>
      </c>
      <c r="D4843" s="1930" t="s">
        <v>4696</v>
      </c>
      <c r="E4843" s="1931" t="s">
        <v>33</v>
      </c>
      <c r="F4843" s="1930" t="s">
        <v>33</v>
      </c>
      <c r="G4843" s="1932">
        <v>72891</v>
      </c>
      <c r="H4843" s="1930" t="s">
        <v>3533</v>
      </c>
      <c r="I4843" s="1930" t="s">
        <v>1208</v>
      </c>
      <c r="J4843" s="1930" t="s">
        <v>137</v>
      </c>
      <c r="K4843" s="1933">
        <v>4.16</v>
      </c>
      <c r="L4843" s="1930" t="s">
        <v>138</v>
      </c>
    </row>
    <row r="4844" spans="1:12" ht="13.5" x14ac:dyDescent="0.25">
      <c r="A4844" s="1930" t="s">
        <v>4680</v>
      </c>
      <c r="B4844" s="1930" t="s">
        <v>4681</v>
      </c>
      <c r="C4844" s="1930" t="s">
        <v>4695</v>
      </c>
      <c r="D4844" s="1930" t="s">
        <v>4696</v>
      </c>
      <c r="E4844" s="1931" t="s">
        <v>33</v>
      </c>
      <c r="F4844" s="1930" t="s">
        <v>33</v>
      </c>
      <c r="G4844" s="1932">
        <v>72892</v>
      </c>
      <c r="H4844" s="1930" t="s">
        <v>3534</v>
      </c>
      <c r="I4844" s="1930" t="s">
        <v>1208</v>
      </c>
      <c r="J4844" s="1930" t="s">
        <v>137</v>
      </c>
      <c r="K4844" s="1933">
        <v>8.9700000000000006</v>
      </c>
      <c r="L4844" s="1930" t="s">
        <v>138</v>
      </c>
    </row>
    <row r="4845" spans="1:12" ht="13.5" x14ac:dyDescent="0.25">
      <c r="A4845" s="1930" t="s">
        <v>4680</v>
      </c>
      <c r="B4845" s="1930" t="s">
        <v>4681</v>
      </c>
      <c r="C4845" s="1930" t="s">
        <v>4695</v>
      </c>
      <c r="D4845" s="1930" t="s">
        <v>4696</v>
      </c>
      <c r="E4845" s="1931" t="s">
        <v>33</v>
      </c>
      <c r="F4845" s="1930" t="s">
        <v>33</v>
      </c>
      <c r="G4845" s="1932">
        <v>72893</v>
      </c>
      <c r="H4845" s="1930" t="s">
        <v>3535</v>
      </c>
      <c r="I4845" s="1930" t="s">
        <v>1208</v>
      </c>
      <c r="J4845" s="1930" t="s">
        <v>137</v>
      </c>
      <c r="K4845" s="1933">
        <v>2.23</v>
      </c>
      <c r="L4845" s="1930" t="s">
        <v>138</v>
      </c>
    </row>
    <row r="4846" spans="1:12" ht="13.5" x14ac:dyDescent="0.25">
      <c r="A4846" s="1930" t="s">
        <v>4680</v>
      </c>
      <c r="B4846" s="1930" t="s">
        <v>4681</v>
      </c>
      <c r="C4846" s="1930" t="s">
        <v>4695</v>
      </c>
      <c r="D4846" s="1930" t="s">
        <v>4696</v>
      </c>
      <c r="E4846" s="1931" t="s">
        <v>33</v>
      </c>
      <c r="F4846" s="1930" t="s">
        <v>33</v>
      </c>
      <c r="G4846" s="1932">
        <v>72894</v>
      </c>
      <c r="H4846" s="1930" t="s">
        <v>3536</v>
      </c>
      <c r="I4846" s="1930" t="s">
        <v>1208</v>
      </c>
      <c r="J4846" s="1930" t="s">
        <v>137</v>
      </c>
      <c r="K4846" s="1933">
        <v>2.87</v>
      </c>
      <c r="L4846" s="1930" t="s">
        <v>138</v>
      </c>
    </row>
    <row r="4847" spans="1:12" ht="13.5" x14ac:dyDescent="0.25">
      <c r="A4847" s="1930" t="s">
        <v>4680</v>
      </c>
      <c r="B4847" s="1930" t="s">
        <v>4681</v>
      </c>
      <c r="C4847" s="1930" t="s">
        <v>4695</v>
      </c>
      <c r="D4847" s="1930" t="s">
        <v>4696</v>
      </c>
      <c r="E4847" s="1931" t="s">
        <v>33</v>
      </c>
      <c r="F4847" s="1930" t="s">
        <v>33</v>
      </c>
      <c r="G4847" s="1932">
        <v>72895</v>
      </c>
      <c r="H4847" s="1930" t="s">
        <v>3537</v>
      </c>
      <c r="I4847" s="1930" t="s">
        <v>1208</v>
      </c>
      <c r="J4847" s="1930" t="s">
        <v>137</v>
      </c>
      <c r="K4847" s="1933">
        <v>15.13</v>
      </c>
      <c r="L4847" s="1930" t="s">
        <v>138</v>
      </c>
    </row>
    <row r="4848" spans="1:12" ht="13.5" x14ac:dyDescent="0.25">
      <c r="A4848" s="1930" t="s">
        <v>4680</v>
      </c>
      <c r="B4848" s="1930" t="s">
        <v>4681</v>
      </c>
      <c r="C4848" s="1930" t="s">
        <v>4695</v>
      </c>
      <c r="D4848" s="1930" t="s">
        <v>4696</v>
      </c>
      <c r="E4848" s="1931" t="s">
        <v>33</v>
      </c>
      <c r="F4848" s="1930" t="s">
        <v>33</v>
      </c>
      <c r="G4848" s="1932">
        <v>72897</v>
      </c>
      <c r="H4848" s="1930" t="s">
        <v>3538</v>
      </c>
      <c r="I4848" s="1930" t="s">
        <v>1208</v>
      </c>
      <c r="J4848" s="1930" t="s">
        <v>137</v>
      </c>
      <c r="K4848" s="1933">
        <v>18.63</v>
      </c>
      <c r="L4848" s="1930" t="s">
        <v>138</v>
      </c>
    </row>
    <row r="4849" spans="1:12" ht="13.5" x14ac:dyDescent="0.25">
      <c r="A4849" s="1930" t="s">
        <v>4680</v>
      </c>
      <c r="B4849" s="1930" t="s">
        <v>4681</v>
      </c>
      <c r="C4849" s="1930" t="s">
        <v>4695</v>
      </c>
      <c r="D4849" s="1930" t="s">
        <v>4696</v>
      </c>
      <c r="E4849" s="1931" t="s">
        <v>33</v>
      </c>
      <c r="F4849" s="1930" t="s">
        <v>33</v>
      </c>
      <c r="G4849" s="1932">
        <v>72898</v>
      </c>
      <c r="H4849" s="1930" t="s">
        <v>3539</v>
      </c>
      <c r="I4849" s="1930" t="s">
        <v>1208</v>
      </c>
      <c r="J4849" s="1930" t="s">
        <v>137</v>
      </c>
      <c r="K4849" s="1933">
        <v>3.23</v>
      </c>
      <c r="L4849" s="1930" t="s">
        <v>138</v>
      </c>
    </row>
    <row r="4850" spans="1:12" ht="13.5" x14ac:dyDescent="0.25">
      <c r="A4850" s="1930" t="s">
        <v>4680</v>
      </c>
      <c r="B4850" s="1930" t="s">
        <v>4681</v>
      </c>
      <c r="C4850" s="1930" t="s">
        <v>4695</v>
      </c>
      <c r="D4850" s="1930" t="s">
        <v>4696</v>
      </c>
      <c r="E4850" s="1931" t="s">
        <v>33</v>
      </c>
      <c r="F4850" s="1930" t="s">
        <v>33</v>
      </c>
      <c r="G4850" s="1932">
        <v>72899</v>
      </c>
      <c r="H4850" s="1930" t="s">
        <v>3540</v>
      </c>
      <c r="I4850" s="1930" t="s">
        <v>1208</v>
      </c>
      <c r="J4850" s="1930" t="s">
        <v>137</v>
      </c>
      <c r="K4850" s="1933">
        <v>3.91</v>
      </c>
      <c r="L4850" s="1930" t="s">
        <v>138</v>
      </c>
    </row>
    <row r="4851" spans="1:12" ht="13.5" x14ac:dyDescent="0.25">
      <c r="A4851" s="1930" t="s">
        <v>4680</v>
      </c>
      <c r="B4851" s="1930" t="s">
        <v>4681</v>
      </c>
      <c r="C4851" s="1930" t="s">
        <v>4695</v>
      </c>
      <c r="D4851" s="1930" t="s">
        <v>4696</v>
      </c>
      <c r="E4851" s="1931" t="s">
        <v>33</v>
      </c>
      <c r="F4851" s="1930" t="s">
        <v>33</v>
      </c>
      <c r="G4851" s="1932">
        <v>72900</v>
      </c>
      <c r="H4851" s="1930" t="s">
        <v>3541</v>
      </c>
      <c r="I4851" s="1930" t="s">
        <v>1208</v>
      </c>
      <c r="J4851" s="1930" t="s">
        <v>137</v>
      </c>
      <c r="K4851" s="1933">
        <v>4.3</v>
      </c>
      <c r="L4851" s="1930" t="s">
        <v>138</v>
      </c>
    </row>
    <row r="4852" spans="1:12" ht="13.5" x14ac:dyDescent="0.25">
      <c r="A4852" s="1930" t="s">
        <v>4680</v>
      </c>
      <c r="B4852" s="1930" t="s">
        <v>4681</v>
      </c>
      <c r="C4852" s="1930" t="s">
        <v>4695</v>
      </c>
      <c r="D4852" s="1930" t="s">
        <v>4696</v>
      </c>
      <c r="E4852" s="1931">
        <v>74010</v>
      </c>
      <c r="F4852" s="1930" t="s">
        <v>4697</v>
      </c>
      <c r="G4852" s="1932" t="s">
        <v>3542</v>
      </c>
      <c r="H4852" s="1930" t="s">
        <v>3543</v>
      </c>
      <c r="I4852" s="1930" t="s">
        <v>1208</v>
      </c>
      <c r="J4852" s="1930" t="s">
        <v>137</v>
      </c>
      <c r="K4852" s="1933">
        <v>1.41</v>
      </c>
      <c r="L4852" s="1930" t="s">
        <v>138</v>
      </c>
    </row>
    <row r="4853" spans="1:12" ht="13.5" x14ac:dyDescent="0.25">
      <c r="A4853" s="1930" t="s">
        <v>4680</v>
      </c>
      <c r="B4853" s="1930" t="s">
        <v>4681</v>
      </c>
      <c r="C4853" s="1930" t="s">
        <v>4695</v>
      </c>
      <c r="D4853" s="1930" t="s">
        <v>4696</v>
      </c>
      <c r="E4853" s="1931" t="s">
        <v>33</v>
      </c>
      <c r="F4853" s="1930" t="s">
        <v>33</v>
      </c>
      <c r="G4853" s="1932">
        <v>83356</v>
      </c>
      <c r="H4853" s="1930" t="s">
        <v>3544</v>
      </c>
      <c r="I4853" s="1930" t="s">
        <v>3531</v>
      </c>
      <c r="J4853" s="1930" t="s">
        <v>137</v>
      </c>
      <c r="K4853" s="1933">
        <v>0.69</v>
      </c>
      <c r="L4853" s="1930" t="s">
        <v>138</v>
      </c>
    </row>
    <row r="4854" spans="1:12" ht="13.5" x14ac:dyDescent="0.25">
      <c r="A4854" s="1930" t="s">
        <v>4680</v>
      </c>
      <c r="B4854" s="1930" t="s">
        <v>4681</v>
      </c>
      <c r="C4854" s="1930" t="s">
        <v>4695</v>
      </c>
      <c r="D4854" s="1930" t="s">
        <v>4696</v>
      </c>
      <c r="E4854" s="1931" t="s">
        <v>33</v>
      </c>
      <c r="F4854" s="1930" t="s">
        <v>33</v>
      </c>
      <c r="G4854" s="1932">
        <v>83358</v>
      </c>
      <c r="H4854" s="1930" t="s">
        <v>3545</v>
      </c>
      <c r="I4854" s="1930" t="s">
        <v>3531</v>
      </c>
      <c r="J4854" s="1930" t="s">
        <v>137</v>
      </c>
      <c r="K4854" s="1933">
        <v>1.43</v>
      </c>
      <c r="L4854" s="1930" t="s">
        <v>138</v>
      </c>
    </row>
    <row r="4855" spans="1:12" ht="13.5" x14ac:dyDescent="0.25">
      <c r="A4855" s="1930" t="s">
        <v>4680</v>
      </c>
      <c r="B4855" s="1930" t="s">
        <v>4681</v>
      </c>
      <c r="C4855" s="1930" t="s">
        <v>4695</v>
      </c>
      <c r="D4855" s="1930" t="s">
        <v>4696</v>
      </c>
      <c r="E4855" s="1931" t="s">
        <v>33</v>
      </c>
      <c r="F4855" s="1930" t="s">
        <v>33</v>
      </c>
      <c r="G4855" s="1932">
        <v>95303</v>
      </c>
      <c r="H4855" s="1930" t="s">
        <v>3546</v>
      </c>
      <c r="I4855" s="1930" t="s">
        <v>3531</v>
      </c>
      <c r="J4855" s="1930" t="s">
        <v>137</v>
      </c>
      <c r="K4855" s="1933">
        <v>0.88</v>
      </c>
      <c r="L4855" s="1930" t="s">
        <v>138</v>
      </c>
    </row>
    <row r="4856" spans="1:12" ht="13.5" x14ac:dyDescent="0.25">
      <c r="A4856" s="1930" t="s">
        <v>4680</v>
      </c>
      <c r="B4856" s="1930" t="s">
        <v>4681</v>
      </c>
      <c r="C4856" s="1930" t="s">
        <v>4695</v>
      </c>
      <c r="D4856" s="1930" t="s">
        <v>4696</v>
      </c>
      <c r="E4856" s="1931" t="s">
        <v>33</v>
      </c>
      <c r="F4856" s="1930" t="s">
        <v>33</v>
      </c>
      <c r="G4856" s="1932">
        <v>97916</v>
      </c>
      <c r="H4856" s="1930" t="s">
        <v>5146</v>
      </c>
      <c r="I4856" s="1930" t="s">
        <v>3520</v>
      </c>
      <c r="J4856" s="1930" t="s">
        <v>137</v>
      </c>
      <c r="K4856" s="1933">
        <v>1.08</v>
      </c>
      <c r="L4856" s="1930" t="s">
        <v>138</v>
      </c>
    </row>
    <row r="4857" spans="1:12" ht="13.5" x14ac:dyDescent="0.25">
      <c r="A4857" s="1930" t="s">
        <v>4680</v>
      </c>
      <c r="B4857" s="1930" t="s">
        <v>4681</v>
      </c>
      <c r="C4857" s="1930" t="s">
        <v>4695</v>
      </c>
      <c r="D4857" s="1930" t="s">
        <v>4696</v>
      </c>
      <c r="E4857" s="1931" t="s">
        <v>33</v>
      </c>
      <c r="F4857" s="1930" t="s">
        <v>33</v>
      </c>
      <c r="G4857" s="1932">
        <v>97917</v>
      </c>
      <c r="H4857" s="1930" t="s">
        <v>5147</v>
      </c>
      <c r="I4857" s="1930" t="s">
        <v>3520</v>
      </c>
      <c r="J4857" s="1930" t="s">
        <v>137</v>
      </c>
      <c r="K4857" s="1933">
        <v>0.83</v>
      </c>
      <c r="L4857" s="1930" t="s">
        <v>138</v>
      </c>
    </row>
    <row r="4858" spans="1:12" ht="13.5" x14ac:dyDescent="0.25">
      <c r="A4858" s="1930" t="s">
        <v>4680</v>
      </c>
      <c r="B4858" s="1930" t="s">
        <v>4681</v>
      </c>
      <c r="C4858" s="1930" t="s">
        <v>4695</v>
      </c>
      <c r="D4858" s="1930" t="s">
        <v>4696</v>
      </c>
      <c r="E4858" s="1931" t="s">
        <v>33</v>
      </c>
      <c r="F4858" s="1930" t="s">
        <v>33</v>
      </c>
      <c r="G4858" s="1932">
        <v>97918</v>
      </c>
      <c r="H4858" s="1930" t="s">
        <v>5148</v>
      </c>
      <c r="I4858" s="1930" t="s">
        <v>3520</v>
      </c>
      <c r="J4858" s="1930" t="s">
        <v>137</v>
      </c>
      <c r="K4858" s="1933">
        <v>0.78</v>
      </c>
      <c r="L4858" s="1930" t="s">
        <v>138</v>
      </c>
    </row>
    <row r="4859" spans="1:12" ht="13.5" x14ac:dyDescent="0.25">
      <c r="A4859" s="1930" t="s">
        <v>4680</v>
      </c>
      <c r="B4859" s="1930" t="s">
        <v>4681</v>
      </c>
      <c r="C4859" s="1930" t="s">
        <v>4695</v>
      </c>
      <c r="D4859" s="1930" t="s">
        <v>4696</v>
      </c>
      <c r="E4859" s="1931" t="s">
        <v>33</v>
      </c>
      <c r="F4859" s="1930" t="s">
        <v>33</v>
      </c>
      <c r="G4859" s="1932">
        <v>97919</v>
      </c>
      <c r="H4859" s="1930" t="s">
        <v>5149</v>
      </c>
      <c r="I4859" s="1930" t="s">
        <v>3520</v>
      </c>
      <c r="J4859" s="1930" t="s">
        <v>137</v>
      </c>
      <c r="K4859" s="1933">
        <v>0.55000000000000004</v>
      </c>
      <c r="L4859" s="1930" t="s">
        <v>138</v>
      </c>
    </row>
    <row r="4860" spans="1:12" ht="13.5" x14ac:dyDescent="0.25">
      <c r="A4860" s="1930" t="s">
        <v>4680</v>
      </c>
      <c r="B4860" s="1930" t="s">
        <v>4681</v>
      </c>
      <c r="C4860" s="1930" t="s">
        <v>4698</v>
      </c>
      <c r="D4860" s="1930" t="s">
        <v>4699</v>
      </c>
      <c r="E4860" s="1931" t="s">
        <v>33</v>
      </c>
      <c r="F4860" s="1930" t="s">
        <v>33</v>
      </c>
      <c r="G4860" s="1932">
        <v>94097</v>
      </c>
      <c r="H4860" s="1930" t="s">
        <v>3547</v>
      </c>
      <c r="I4860" s="1930" t="s">
        <v>306</v>
      </c>
      <c r="J4860" s="1930" t="s">
        <v>320</v>
      </c>
      <c r="K4860" s="1933">
        <v>4.55</v>
      </c>
      <c r="L4860" s="1930" t="s">
        <v>138</v>
      </c>
    </row>
    <row r="4861" spans="1:12" ht="13.5" x14ac:dyDescent="0.25">
      <c r="A4861" s="1930" t="s">
        <v>4680</v>
      </c>
      <c r="B4861" s="1930" t="s">
        <v>4681</v>
      </c>
      <c r="C4861" s="1930" t="s">
        <v>4698</v>
      </c>
      <c r="D4861" s="1930" t="s">
        <v>4699</v>
      </c>
      <c r="E4861" s="1931" t="s">
        <v>33</v>
      </c>
      <c r="F4861" s="1930" t="s">
        <v>33</v>
      </c>
      <c r="G4861" s="1932">
        <v>94098</v>
      </c>
      <c r="H4861" s="1930" t="s">
        <v>3548</v>
      </c>
      <c r="I4861" s="1930" t="s">
        <v>306</v>
      </c>
      <c r="J4861" s="1930" t="s">
        <v>320</v>
      </c>
      <c r="K4861" s="1933">
        <v>5.19</v>
      </c>
      <c r="L4861" s="1930" t="s">
        <v>138</v>
      </c>
    </row>
    <row r="4862" spans="1:12" ht="13.5" x14ac:dyDescent="0.25">
      <c r="A4862" s="1930" t="s">
        <v>4680</v>
      </c>
      <c r="B4862" s="1930" t="s">
        <v>4681</v>
      </c>
      <c r="C4862" s="1930" t="s">
        <v>4698</v>
      </c>
      <c r="D4862" s="1930" t="s">
        <v>4699</v>
      </c>
      <c r="E4862" s="1931" t="s">
        <v>33</v>
      </c>
      <c r="F4862" s="1930" t="s">
        <v>33</v>
      </c>
      <c r="G4862" s="1932">
        <v>94099</v>
      </c>
      <c r="H4862" s="1930" t="s">
        <v>3549</v>
      </c>
      <c r="I4862" s="1930" t="s">
        <v>306</v>
      </c>
      <c r="J4862" s="1930" t="s">
        <v>320</v>
      </c>
      <c r="K4862" s="1933">
        <v>2.2799999999999998</v>
      </c>
      <c r="L4862" s="1930" t="s">
        <v>138</v>
      </c>
    </row>
    <row r="4863" spans="1:12" ht="13.5" x14ac:dyDescent="0.25">
      <c r="A4863" s="1930" t="s">
        <v>4680</v>
      </c>
      <c r="B4863" s="1930" t="s">
        <v>4681</v>
      </c>
      <c r="C4863" s="1930" t="s">
        <v>4698</v>
      </c>
      <c r="D4863" s="1930" t="s">
        <v>4699</v>
      </c>
      <c r="E4863" s="1931" t="s">
        <v>33</v>
      </c>
      <c r="F4863" s="1930" t="s">
        <v>33</v>
      </c>
      <c r="G4863" s="1932">
        <v>94100</v>
      </c>
      <c r="H4863" s="1930" t="s">
        <v>3550</v>
      </c>
      <c r="I4863" s="1930" t="s">
        <v>306</v>
      </c>
      <c r="J4863" s="1930" t="s">
        <v>320</v>
      </c>
      <c r="K4863" s="1933">
        <v>2.92</v>
      </c>
      <c r="L4863" s="1930" t="s">
        <v>138</v>
      </c>
    </row>
    <row r="4864" spans="1:12" ht="13.5" x14ac:dyDescent="0.25">
      <c r="A4864" s="1930" t="s">
        <v>4680</v>
      </c>
      <c r="B4864" s="1930" t="s">
        <v>4681</v>
      </c>
      <c r="C4864" s="1930" t="s">
        <v>4698</v>
      </c>
      <c r="D4864" s="1930" t="s">
        <v>4699</v>
      </c>
      <c r="E4864" s="1931" t="s">
        <v>33</v>
      </c>
      <c r="F4864" s="1930" t="s">
        <v>33</v>
      </c>
      <c r="G4864" s="1932">
        <v>94102</v>
      </c>
      <c r="H4864" s="1930" t="s">
        <v>3551</v>
      </c>
      <c r="I4864" s="1930" t="s">
        <v>1208</v>
      </c>
      <c r="J4864" s="1930" t="s">
        <v>320</v>
      </c>
      <c r="K4864" s="1933">
        <v>195.38</v>
      </c>
      <c r="L4864" s="1930" t="s">
        <v>138</v>
      </c>
    </row>
    <row r="4865" spans="1:12" ht="13.5" x14ac:dyDescent="0.25">
      <c r="A4865" s="1930" t="s">
        <v>4680</v>
      </c>
      <c r="B4865" s="1930" t="s">
        <v>4681</v>
      </c>
      <c r="C4865" s="1930" t="s">
        <v>4698</v>
      </c>
      <c r="D4865" s="1930" t="s">
        <v>4699</v>
      </c>
      <c r="E4865" s="1931" t="s">
        <v>33</v>
      </c>
      <c r="F4865" s="1930" t="s">
        <v>33</v>
      </c>
      <c r="G4865" s="1932">
        <v>94103</v>
      </c>
      <c r="H4865" s="1930" t="s">
        <v>3552</v>
      </c>
      <c r="I4865" s="1930" t="s">
        <v>1208</v>
      </c>
      <c r="J4865" s="1930" t="s">
        <v>320</v>
      </c>
      <c r="K4865" s="1933">
        <v>225.11</v>
      </c>
      <c r="L4865" s="1930" t="s">
        <v>138</v>
      </c>
    </row>
    <row r="4866" spans="1:12" ht="13.5" x14ac:dyDescent="0.25">
      <c r="A4866" s="1930" t="s">
        <v>4680</v>
      </c>
      <c r="B4866" s="1930" t="s">
        <v>4681</v>
      </c>
      <c r="C4866" s="1930" t="s">
        <v>4698</v>
      </c>
      <c r="D4866" s="1930" t="s">
        <v>4699</v>
      </c>
      <c r="E4866" s="1931" t="s">
        <v>33</v>
      </c>
      <c r="F4866" s="1930" t="s">
        <v>33</v>
      </c>
      <c r="G4866" s="1932">
        <v>94104</v>
      </c>
      <c r="H4866" s="1930" t="s">
        <v>3553</v>
      </c>
      <c r="I4866" s="1930" t="s">
        <v>1208</v>
      </c>
      <c r="J4866" s="1930" t="s">
        <v>320</v>
      </c>
      <c r="K4866" s="1933">
        <v>198.99</v>
      </c>
      <c r="L4866" s="1930" t="s">
        <v>138</v>
      </c>
    </row>
    <row r="4867" spans="1:12" ht="13.5" x14ac:dyDescent="0.25">
      <c r="A4867" s="1930" t="s">
        <v>4680</v>
      </c>
      <c r="B4867" s="1930" t="s">
        <v>4681</v>
      </c>
      <c r="C4867" s="1930" t="s">
        <v>4698</v>
      </c>
      <c r="D4867" s="1930" t="s">
        <v>4699</v>
      </c>
      <c r="E4867" s="1931" t="s">
        <v>33</v>
      </c>
      <c r="F4867" s="1930" t="s">
        <v>33</v>
      </c>
      <c r="G4867" s="1932">
        <v>94105</v>
      </c>
      <c r="H4867" s="1930" t="s">
        <v>3554</v>
      </c>
      <c r="I4867" s="1930" t="s">
        <v>1208</v>
      </c>
      <c r="J4867" s="1930" t="s">
        <v>320</v>
      </c>
      <c r="K4867" s="1933">
        <v>228.75</v>
      </c>
      <c r="L4867" s="1930" t="s">
        <v>138</v>
      </c>
    </row>
    <row r="4868" spans="1:12" ht="13.5" x14ac:dyDescent="0.25">
      <c r="A4868" s="1930" t="s">
        <v>4680</v>
      </c>
      <c r="B4868" s="1930" t="s">
        <v>4681</v>
      </c>
      <c r="C4868" s="1930" t="s">
        <v>4698</v>
      </c>
      <c r="D4868" s="1930" t="s">
        <v>4699</v>
      </c>
      <c r="E4868" s="1931" t="s">
        <v>33</v>
      </c>
      <c r="F4868" s="1930" t="s">
        <v>33</v>
      </c>
      <c r="G4868" s="1932">
        <v>94106</v>
      </c>
      <c r="H4868" s="1930" t="s">
        <v>3555</v>
      </c>
      <c r="I4868" s="1930" t="s">
        <v>1208</v>
      </c>
      <c r="J4868" s="1930" t="s">
        <v>320</v>
      </c>
      <c r="K4868" s="1933">
        <v>177.21</v>
      </c>
      <c r="L4868" s="1930" t="s">
        <v>138</v>
      </c>
    </row>
    <row r="4869" spans="1:12" ht="13.5" x14ac:dyDescent="0.25">
      <c r="A4869" s="1930" t="s">
        <v>4680</v>
      </c>
      <c r="B4869" s="1930" t="s">
        <v>4681</v>
      </c>
      <c r="C4869" s="1930" t="s">
        <v>4698</v>
      </c>
      <c r="D4869" s="1930" t="s">
        <v>4699</v>
      </c>
      <c r="E4869" s="1931" t="s">
        <v>33</v>
      </c>
      <c r="F4869" s="1930" t="s">
        <v>33</v>
      </c>
      <c r="G4869" s="1932">
        <v>94107</v>
      </c>
      <c r="H4869" s="1930" t="s">
        <v>3556</v>
      </c>
      <c r="I4869" s="1930" t="s">
        <v>1208</v>
      </c>
      <c r="J4869" s="1930" t="s">
        <v>320</v>
      </c>
      <c r="K4869" s="1933">
        <v>206.94</v>
      </c>
      <c r="L4869" s="1930" t="s">
        <v>138</v>
      </c>
    </row>
    <row r="4870" spans="1:12" ht="13.5" x14ac:dyDescent="0.25">
      <c r="A4870" s="1930" t="s">
        <v>4680</v>
      </c>
      <c r="B4870" s="1930" t="s">
        <v>4681</v>
      </c>
      <c r="C4870" s="1930" t="s">
        <v>4698</v>
      </c>
      <c r="D4870" s="1930" t="s">
        <v>4699</v>
      </c>
      <c r="E4870" s="1931" t="s">
        <v>33</v>
      </c>
      <c r="F4870" s="1930" t="s">
        <v>33</v>
      </c>
      <c r="G4870" s="1932">
        <v>94108</v>
      </c>
      <c r="H4870" s="1930" t="s">
        <v>3557</v>
      </c>
      <c r="I4870" s="1930" t="s">
        <v>1208</v>
      </c>
      <c r="J4870" s="1930" t="s">
        <v>320</v>
      </c>
      <c r="K4870" s="1933">
        <v>180.83</v>
      </c>
      <c r="L4870" s="1930" t="s">
        <v>138</v>
      </c>
    </row>
    <row r="4871" spans="1:12" ht="13.5" x14ac:dyDescent="0.25">
      <c r="A4871" s="1930" t="s">
        <v>4680</v>
      </c>
      <c r="B4871" s="1930" t="s">
        <v>4681</v>
      </c>
      <c r="C4871" s="1930" t="s">
        <v>4698</v>
      </c>
      <c r="D4871" s="1930" t="s">
        <v>4699</v>
      </c>
      <c r="E4871" s="1931" t="s">
        <v>33</v>
      </c>
      <c r="F4871" s="1930" t="s">
        <v>33</v>
      </c>
      <c r="G4871" s="1932">
        <v>94110</v>
      </c>
      <c r="H4871" s="1930" t="s">
        <v>3558</v>
      </c>
      <c r="I4871" s="1930" t="s">
        <v>1208</v>
      </c>
      <c r="J4871" s="1930" t="s">
        <v>320</v>
      </c>
      <c r="K4871" s="1933">
        <v>210.55</v>
      </c>
      <c r="L4871" s="1930" t="s">
        <v>138</v>
      </c>
    </row>
    <row r="4872" spans="1:12" ht="13.5" x14ac:dyDescent="0.25">
      <c r="A4872" s="1930" t="s">
        <v>4680</v>
      </c>
      <c r="B4872" s="1930" t="s">
        <v>4681</v>
      </c>
      <c r="C4872" s="1930" t="s">
        <v>4698</v>
      </c>
      <c r="D4872" s="1930" t="s">
        <v>4699</v>
      </c>
      <c r="E4872" s="1931" t="s">
        <v>33</v>
      </c>
      <c r="F4872" s="1930" t="s">
        <v>33</v>
      </c>
      <c r="G4872" s="1932">
        <v>94111</v>
      </c>
      <c r="H4872" s="1930" t="s">
        <v>3559</v>
      </c>
      <c r="I4872" s="1930" t="s">
        <v>1208</v>
      </c>
      <c r="J4872" s="1930" t="s">
        <v>137</v>
      </c>
      <c r="K4872" s="1933">
        <v>167.24</v>
      </c>
      <c r="L4872" s="1930" t="s">
        <v>138</v>
      </c>
    </row>
    <row r="4873" spans="1:12" ht="13.5" x14ac:dyDescent="0.25">
      <c r="A4873" s="1930" t="s">
        <v>4680</v>
      </c>
      <c r="B4873" s="1930" t="s">
        <v>4681</v>
      </c>
      <c r="C4873" s="1930" t="s">
        <v>4698</v>
      </c>
      <c r="D4873" s="1930" t="s">
        <v>4699</v>
      </c>
      <c r="E4873" s="1931" t="s">
        <v>33</v>
      </c>
      <c r="F4873" s="1930" t="s">
        <v>33</v>
      </c>
      <c r="G4873" s="1932">
        <v>94112</v>
      </c>
      <c r="H4873" s="1930" t="s">
        <v>3560</v>
      </c>
      <c r="I4873" s="1930" t="s">
        <v>1208</v>
      </c>
      <c r="J4873" s="1930" t="s">
        <v>137</v>
      </c>
      <c r="K4873" s="1933">
        <v>190.42</v>
      </c>
      <c r="L4873" s="1930" t="s">
        <v>138</v>
      </c>
    </row>
    <row r="4874" spans="1:12" ht="13.5" x14ac:dyDescent="0.25">
      <c r="A4874" s="1930" t="s">
        <v>4680</v>
      </c>
      <c r="B4874" s="1930" t="s">
        <v>4681</v>
      </c>
      <c r="C4874" s="1930" t="s">
        <v>4698</v>
      </c>
      <c r="D4874" s="1930" t="s">
        <v>4699</v>
      </c>
      <c r="E4874" s="1931" t="s">
        <v>33</v>
      </c>
      <c r="F4874" s="1930" t="s">
        <v>33</v>
      </c>
      <c r="G4874" s="1932">
        <v>94113</v>
      </c>
      <c r="H4874" s="1930" t="s">
        <v>3561</v>
      </c>
      <c r="I4874" s="1930" t="s">
        <v>1208</v>
      </c>
      <c r="J4874" s="1930" t="s">
        <v>137</v>
      </c>
      <c r="K4874" s="1933">
        <v>172.72</v>
      </c>
      <c r="L4874" s="1930" t="s">
        <v>138</v>
      </c>
    </row>
    <row r="4875" spans="1:12" ht="13.5" x14ac:dyDescent="0.25">
      <c r="A4875" s="1930" t="s">
        <v>4680</v>
      </c>
      <c r="B4875" s="1930" t="s">
        <v>4681</v>
      </c>
      <c r="C4875" s="1930" t="s">
        <v>4698</v>
      </c>
      <c r="D4875" s="1930" t="s">
        <v>4699</v>
      </c>
      <c r="E4875" s="1931" t="s">
        <v>33</v>
      </c>
      <c r="F4875" s="1930" t="s">
        <v>33</v>
      </c>
      <c r="G4875" s="1932">
        <v>94114</v>
      </c>
      <c r="H4875" s="1930" t="s">
        <v>3562</v>
      </c>
      <c r="I4875" s="1930" t="s">
        <v>1208</v>
      </c>
      <c r="J4875" s="1930" t="s">
        <v>137</v>
      </c>
      <c r="K4875" s="1933">
        <v>196.62</v>
      </c>
      <c r="L4875" s="1930" t="s">
        <v>138</v>
      </c>
    </row>
    <row r="4876" spans="1:12" ht="13.5" x14ac:dyDescent="0.25">
      <c r="A4876" s="1930" t="s">
        <v>4680</v>
      </c>
      <c r="B4876" s="1930" t="s">
        <v>4681</v>
      </c>
      <c r="C4876" s="1930" t="s">
        <v>4698</v>
      </c>
      <c r="D4876" s="1930" t="s">
        <v>4699</v>
      </c>
      <c r="E4876" s="1931" t="s">
        <v>33</v>
      </c>
      <c r="F4876" s="1930" t="s">
        <v>33</v>
      </c>
      <c r="G4876" s="1932">
        <v>94115</v>
      </c>
      <c r="H4876" s="1930" t="s">
        <v>3563</v>
      </c>
      <c r="I4876" s="1930" t="s">
        <v>1208</v>
      </c>
      <c r="J4876" s="1930" t="s">
        <v>137</v>
      </c>
      <c r="K4876" s="1933">
        <v>141.43</v>
      </c>
      <c r="L4876" s="1930" t="s">
        <v>138</v>
      </c>
    </row>
    <row r="4877" spans="1:12" ht="13.5" x14ac:dyDescent="0.25">
      <c r="A4877" s="1930" t="s">
        <v>4680</v>
      </c>
      <c r="B4877" s="1930" t="s">
        <v>4681</v>
      </c>
      <c r="C4877" s="1930" t="s">
        <v>4698</v>
      </c>
      <c r="D4877" s="1930" t="s">
        <v>4699</v>
      </c>
      <c r="E4877" s="1931" t="s">
        <v>33</v>
      </c>
      <c r="F4877" s="1930" t="s">
        <v>33</v>
      </c>
      <c r="G4877" s="1932">
        <v>94116</v>
      </c>
      <c r="H4877" s="1930" t="s">
        <v>3564</v>
      </c>
      <c r="I4877" s="1930" t="s">
        <v>1208</v>
      </c>
      <c r="J4877" s="1930" t="s">
        <v>137</v>
      </c>
      <c r="K4877" s="1933">
        <v>160.88999999999999</v>
      </c>
      <c r="L4877" s="1930" t="s">
        <v>138</v>
      </c>
    </row>
    <row r="4878" spans="1:12" ht="13.5" x14ac:dyDescent="0.25">
      <c r="A4878" s="1930" t="s">
        <v>4680</v>
      </c>
      <c r="B4878" s="1930" t="s">
        <v>4681</v>
      </c>
      <c r="C4878" s="1930" t="s">
        <v>4698</v>
      </c>
      <c r="D4878" s="1930" t="s">
        <v>4699</v>
      </c>
      <c r="E4878" s="1931" t="s">
        <v>33</v>
      </c>
      <c r="F4878" s="1930" t="s">
        <v>33</v>
      </c>
      <c r="G4878" s="1932">
        <v>94117</v>
      </c>
      <c r="H4878" s="1930" t="s">
        <v>3565</v>
      </c>
      <c r="I4878" s="1930" t="s">
        <v>1208</v>
      </c>
      <c r="J4878" s="1930" t="s">
        <v>137</v>
      </c>
      <c r="K4878" s="1933">
        <v>146.55000000000001</v>
      </c>
      <c r="L4878" s="1930" t="s">
        <v>138</v>
      </c>
    </row>
    <row r="4879" spans="1:12" ht="13.5" x14ac:dyDescent="0.25">
      <c r="A4879" s="1930" t="s">
        <v>4680</v>
      </c>
      <c r="B4879" s="1930" t="s">
        <v>4681</v>
      </c>
      <c r="C4879" s="1930" t="s">
        <v>4698</v>
      </c>
      <c r="D4879" s="1930" t="s">
        <v>4699</v>
      </c>
      <c r="E4879" s="1931" t="s">
        <v>33</v>
      </c>
      <c r="F4879" s="1930" t="s">
        <v>33</v>
      </c>
      <c r="G4879" s="1932">
        <v>94118</v>
      </c>
      <c r="H4879" s="1930" t="s">
        <v>3566</v>
      </c>
      <c r="I4879" s="1930" t="s">
        <v>1208</v>
      </c>
      <c r="J4879" s="1930" t="s">
        <v>137</v>
      </c>
      <c r="K4879" s="1933">
        <v>166.89</v>
      </c>
      <c r="L4879" s="1930" t="s">
        <v>138</v>
      </c>
    </row>
    <row r="4880" spans="1:12" ht="13.5" x14ac:dyDescent="0.25">
      <c r="A4880" s="1930" t="s">
        <v>4680</v>
      </c>
      <c r="B4880" s="1930" t="s">
        <v>4681</v>
      </c>
      <c r="C4880" s="1930" t="s">
        <v>4700</v>
      </c>
      <c r="D4880" s="1930" t="s">
        <v>4701</v>
      </c>
      <c r="E4880" s="1931" t="s">
        <v>33</v>
      </c>
      <c r="F4880" s="1930" t="s">
        <v>33</v>
      </c>
      <c r="G4880" s="1932">
        <v>95606</v>
      </c>
      <c r="H4880" s="1930" t="s">
        <v>3567</v>
      </c>
      <c r="I4880" s="1930" t="s">
        <v>1208</v>
      </c>
      <c r="J4880" s="1930" t="s">
        <v>137</v>
      </c>
      <c r="K4880" s="1933">
        <v>1.27</v>
      </c>
      <c r="L4880" s="1930" t="s">
        <v>138</v>
      </c>
    </row>
    <row r="4881" spans="1:12" ht="13.5" x14ac:dyDescent="0.25">
      <c r="A4881" s="1930" t="s">
        <v>4702</v>
      </c>
      <c r="B4881" s="1930" t="s">
        <v>4703</v>
      </c>
      <c r="C4881" s="1930" t="s">
        <v>4704</v>
      </c>
      <c r="D4881" s="1930" t="s">
        <v>4705</v>
      </c>
      <c r="E4881" s="1931" t="s">
        <v>33</v>
      </c>
      <c r="F4881" s="1930" t="s">
        <v>33</v>
      </c>
      <c r="G4881" s="1932">
        <v>72131</v>
      </c>
      <c r="H4881" s="1930" t="s">
        <v>3568</v>
      </c>
      <c r="I4881" s="1930" t="s">
        <v>306</v>
      </c>
      <c r="J4881" s="1930" t="s">
        <v>320</v>
      </c>
      <c r="K4881" s="1933">
        <v>115.76</v>
      </c>
      <c r="L4881" s="1930" t="s">
        <v>138</v>
      </c>
    </row>
    <row r="4882" spans="1:12" ht="13.5" x14ac:dyDescent="0.25">
      <c r="A4882" s="1930" t="s">
        <v>4702</v>
      </c>
      <c r="B4882" s="1930" t="s">
        <v>4703</v>
      </c>
      <c r="C4882" s="1930" t="s">
        <v>4704</v>
      </c>
      <c r="D4882" s="1930" t="s">
        <v>4705</v>
      </c>
      <c r="E4882" s="1931" t="s">
        <v>33</v>
      </c>
      <c r="F4882" s="1930" t="s">
        <v>33</v>
      </c>
      <c r="G4882" s="1932">
        <v>72132</v>
      </c>
      <c r="H4882" s="1930" t="s">
        <v>3569</v>
      </c>
      <c r="I4882" s="1930" t="s">
        <v>306</v>
      </c>
      <c r="J4882" s="1930" t="s">
        <v>320</v>
      </c>
      <c r="K4882" s="1933">
        <v>59.66</v>
      </c>
      <c r="L4882" s="1930" t="s">
        <v>138</v>
      </c>
    </row>
    <row r="4883" spans="1:12" ht="13.5" x14ac:dyDescent="0.25">
      <c r="A4883" s="1930" t="s">
        <v>4702</v>
      </c>
      <c r="B4883" s="1930" t="s">
        <v>4703</v>
      </c>
      <c r="C4883" s="1930" t="s">
        <v>4704</v>
      </c>
      <c r="D4883" s="1930" t="s">
        <v>4705</v>
      </c>
      <c r="E4883" s="1931" t="s">
        <v>33</v>
      </c>
      <c r="F4883" s="1930" t="s">
        <v>33</v>
      </c>
      <c r="G4883" s="1932">
        <v>72133</v>
      </c>
      <c r="H4883" s="1930" t="s">
        <v>3570</v>
      </c>
      <c r="I4883" s="1930" t="s">
        <v>306</v>
      </c>
      <c r="J4883" s="1930" t="s">
        <v>320</v>
      </c>
      <c r="K4883" s="1933">
        <v>206.03</v>
      </c>
      <c r="L4883" s="1930" t="s">
        <v>138</v>
      </c>
    </row>
    <row r="4884" spans="1:12" ht="13.5" x14ac:dyDescent="0.25">
      <c r="A4884" s="1930" t="s">
        <v>4702</v>
      </c>
      <c r="B4884" s="1930" t="s">
        <v>4703</v>
      </c>
      <c r="C4884" s="1930" t="s">
        <v>4704</v>
      </c>
      <c r="D4884" s="1930" t="s">
        <v>4705</v>
      </c>
      <c r="E4884" s="1931" t="s">
        <v>33</v>
      </c>
      <c r="F4884" s="1930" t="s">
        <v>33</v>
      </c>
      <c r="G4884" s="1932">
        <v>87471</v>
      </c>
      <c r="H4884" s="1930" t="s">
        <v>3571</v>
      </c>
      <c r="I4884" s="1930" t="s">
        <v>306</v>
      </c>
      <c r="J4884" s="1930" t="s">
        <v>137</v>
      </c>
      <c r="K4884" s="1933">
        <v>37.82</v>
      </c>
      <c r="L4884" s="1930" t="s">
        <v>138</v>
      </c>
    </row>
    <row r="4885" spans="1:12" ht="13.5" x14ac:dyDescent="0.25">
      <c r="A4885" s="1930" t="s">
        <v>4702</v>
      </c>
      <c r="B4885" s="1930" t="s">
        <v>4703</v>
      </c>
      <c r="C4885" s="1930" t="s">
        <v>4704</v>
      </c>
      <c r="D4885" s="1930" t="s">
        <v>4705</v>
      </c>
      <c r="E4885" s="1931" t="s">
        <v>33</v>
      </c>
      <c r="F4885" s="1930" t="s">
        <v>33</v>
      </c>
      <c r="G4885" s="1932">
        <v>87472</v>
      </c>
      <c r="H4885" s="1930" t="s">
        <v>3572</v>
      </c>
      <c r="I4885" s="1930" t="s">
        <v>306</v>
      </c>
      <c r="J4885" s="1930" t="s">
        <v>137</v>
      </c>
      <c r="K4885" s="1933">
        <v>38.770000000000003</v>
      </c>
      <c r="L4885" s="1930" t="s">
        <v>138</v>
      </c>
    </row>
    <row r="4886" spans="1:12" ht="13.5" x14ac:dyDescent="0.25">
      <c r="A4886" s="1930" t="s">
        <v>4702</v>
      </c>
      <c r="B4886" s="1930" t="s">
        <v>4703</v>
      </c>
      <c r="C4886" s="1930" t="s">
        <v>4704</v>
      </c>
      <c r="D4886" s="1930" t="s">
        <v>4705</v>
      </c>
      <c r="E4886" s="1931" t="s">
        <v>33</v>
      </c>
      <c r="F4886" s="1930" t="s">
        <v>33</v>
      </c>
      <c r="G4886" s="1932">
        <v>87473</v>
      </c>
      <c r="H4886" s="1930" t="s">
        <v>3573</v>
      </c>
      <c r="I4886" s="1930" t="s">
        <v>306</v>
      </c>
      <c r="J4886" s="1930" t="s">
        <v>137</v>
      </c>
      <c r="K4886" s="1933">
        <v>52.36</v>
      </c>
      <c r="L4886" s="1930" t="s">
        <v>138</v>
      </c>
    </row>
    <row r="4887" spans="1:12" ht="13.5" x14ac:dyDescent="0.25">
      <c r="A4887" s="1930" t="s">
        <v>4702</v>
      </c>
      <c r="B4887" s="1930" t="s">
        <v>4703</v>
      </c>
      <c r="C4887" s="1930" t="s">
        <v>4704</v>
      </c>
      <c r="D4887" s="1930" t="s">
        <v>4705</v>
      </c>
      <c r="E4887" s="1931" t="s">
        <v>33</v>
      </c>
      <c r="F4887" s="1930" t="s">
        <v>33</v>
      </c>
      <c r="G4887" s="1932">
        <v>87474</v>
      </c>
      <c r="H4887" s="1930" t="s">
        <v>3574</v>
      </c>
      <c r="I4887" s="1930" t="s">
        <v>306</v>
      </c>
      <c r="J4887" s="1930" t="s">
        <v>137</v>
      </c>
      <c r="K4887" s="1933">
        <v>53.44</v>
      </c>
      <c r="L4887" s="1930" t="s">
        <v>138</v>
      </c>
    </row>
    <row r="4888" spans="1:12" ht="13.5" x14ac:dyDescent="0.25">
      <c r="A4888" s="1930" t="s">
        <v>4702</v>
      </c>
      <c r="B4888" s="1930" t="s">
        <v>4703</v>
      </c>
      <c r="C4888" s="1930" t="s">
        <v>4704</v>
      </c>
      <c r="D4888" s="1930" t="s">
        <v>4705</v>
      </c>
      <c r="E4888" s="1931" t="s">
        <v>33</v>
      </c>
      <c r="F4888" s="1930" t="s">
        <v>33</v>
      </c>
      <c r="G4888" s="1932">
        <v>87475</v>
      </c>
      <c r="H4888" s="1930" t="s">
        <v>3575</v>
      </c>
      <c r="I4888" s="1930" t="s">
        <v>306</v>
      </c>
      <c r="J4888" s="1930" t="s">
        <v>137</v>
      </c>
      <c r="K4888" s="1933">
        <v>62.88</v>
      </c>
      <c r="L4888" s="1930" t="s">
        <v>138</v>
      </c>
    </row>
    <row r="4889" spans="1:12" ht="13.5" x14ac:dyDescent="0.25">
      <c r="A4889" s="1930" t="s">
        <v>4702</v>
      </c>
      <c r="B4889" s="1930" t="s">
        <v>4703</v>
      </c>
      <c r="C4889" s="1930" t="s">
        <v>4704</v>
      </c>
      <c r="D4889" s="1930" t="s">
        <v>4705</v>
      </c>
      <c r="E4889" s="1931" t="s">
        <v>33</v>
      </c>
      <c r="F4889" s="1930" t="s">
        <v>33</v>
      </c>
      <c r="G4889" s="1932">
        <v>87476</v>
      </c>
      <c r="H4889" s="1930" t="s">
        <v>3576</v>
      </c>
      <c r="I4889" s="1930" t="s">
        <v>306</v>
      </c>
      <c r="J4889" s="1930" t="s">
        <v>137</v>
      </c>
      <c r="K4889" s="1933">
        <v>64.14</v>
      </c>
      <c r="L4889" s="1930" t="s">
        <v>138</v>
      </c>
    </row>
    <row r="4890" spans="1:12" ht="13.5" x14ac:dyDescent="0.25">
      <c r="A4890" s="1930" t="s">
        <v>4702</v>
      </c>
      <c r="B4890" s="1930" t="s">
        <v>4703</v>
      </c>
      <c r="C4890" s="1930" t="s">
        <v>4704</v>
      </c>
      <c r="D4890" s="1930" t="s">
        <v>4705</v>
      </c>
      <c r="E4890" s="1931" t="s">
        <v>33</v>
      </c>
      <c r="F4890" s="1930" t="s">
        <v>33</v>
      </c>
      <c r="G4890" s="1932">
        <v>87477</v>
      </c>
      <c r="H4890" s="1930" t="s">
        <v>3577</v>
      </c>
      <c r="I4890" s="1930" t="s">
        <v>306</v>
      </c>
      <c r="J4890" s="1930" t="s">
        <v>137</v>
      </c>
      <c r="K4890" s="1933">
        <v>34.049999999999997</v>
      </c>
      <c r="L4890" s="1930" t="s">
        <v>138</v>
      </c>
    </row>
    <row r="4891" spans="1:12" ht="13.5" x14ac:dyDescent="0.25">
      <c r="A4891" s="1930" t="s">
        <v>4702</v>
      </c>
      <c r="B4891" s="1930" t="s">
        <v>4703</v>
      </c>
      <c r="C4891" s="1930" t="s">
        <v>4704</v>
      </c>
      <c r="D4891" s="1930" t="s">
        <v>4705</v>
      </c>
      <c r="E4891" s="1931" t="s">
        <v>33</v>
      </c>
      <c r="F4891" s="1930" t="s">
        <v>33</v>
      </c>
      <c r="G4891" s="1932">
        <v>87478</v>
      </c>
      <c r="H4891" s="1930" t="s">
        <v>3578</v>
      </c>
      <c r="I4891" s="1930" t="s">
        <v>306</v>
      </c>
      <c r="J4891" s="1930" t="s">
        <v>137</v>
      </c>
      <c r="K4891" s="1933">
        <v>35</v>
      </c>
      <c r="L4891" s="1930" t="s">
        <v>138</v>
      </c>
    </row>
    <row r="4892" spans="1:12" ht="13.5" x14ac:dyDescent="0.25">
      <c r="A4892" s="1930" t="s">
        <v>4702</v>
      </c>
      <c r="B4892" s="1930" t="s">
        <v>4703</v>
      </c>
      <c r="C4892" s="1930" t="s">
        <v>4704</v>
      </c>
      <c r="D4892" s="1930" t="s">
        <v>4705</v>
      </c>
      <c r="E4892" s="1931" t="s">
        <v>33</v>
      </c>
      <c r="F4892" s="1930" t="s">
        <v>33</v>
      </c>
      <c r="G4892" s="1932">
        <v>87479</v>
      </c>
      <c r="H4892" s="1930" t="s">
        <v>3579</v>
      </c>
      <c r="I4892" s="1930" t="s">
        <v>306</v>
      </c>
      <c r="J4892" s="1930" t="s">
        <v>137</v>
      </c>
      <c r="K4892" s="1933">
        <v>48.1</v>
      </c>
      <c r="L4892" s="1930" t="s">
        <v>138</v>
      </c>
    </row>
    <row r="4893" spans="1:12" ht="13.5" x14ac:dyDescent="0.25">
      <c r="A4893" s="1930" t="s">
        <v>4702</v>
      </c>
      <c r="B4893" s="1930" t="s">
        <v>4703</v>
      </c>
      <c r="C4893" s="1930" t="s">
        <v>4704</v>
      </c>
      <c r="D4893" s="1930" t="s">
        <v>4705</v>
      </c>
      <c r="E4893" s="1931" t="s">
        <v>33</v>
      </c>
      <c r="F4893" s="1930" t="s">
        <v>33</v>
      </c>
      <c r="G4893" s="1932">
        <v>87480</v>
      </c>
      <c r="H4893" s="1930" t="s">
        <v>3580</v>
      </c>
      <c r="I4893" s="1930" t="s">
        <v>306</v>
      </c>
      <c r="J4893" s="1930" t="s">
        <v>137</v>
      </c>
      <c r="K4893" s="1933">
        <v>49.18</v>
      </c>
      <c r="L4893" s="1930" t="s">
        <v>138</v>
      </c>
    </row>
    <row r="4894" spans="1:12" ht="13.5" x14ac:dyDescent="0.25">
      <c r="A4894" s="1930" t="s">
        <v>4702</v>
      </c>
      <c r="B4894" s="1930" t="s">
        <v>4703</v>
      </c>
      <c r="C4894" s="1930" t="s">
        <v>4704</v>
      </c>
      <c r="D4894" s="1930" t="s">
        <v>4705</v>
      </c>
      <c r="E4894" s="1931" t="s">
        <v>33</v>
      </c>
      <c r="F4894" s="1930" t="s">
        <v>33</v>
      </c>
      <c r="G4894" s="1932">
        <v>87481</v>
      </c>
      <c r="H4894" s="1930" t="s">
        <v>3581</v>
      </c>
      <c r="I4894" s="1930" t="s">
        <v>306</v>
      </c>
      <c r="J4894" s="1930" t="s">
        <v>137</v>
      </c>
      <c r="K4894" s="1933">
        <v>58</v>
      </c>
      <c r="L4894" s="1930" t="s">
        <v>138</v>
      </c>
    </row>
    <row r="4895" spans="1:12" ht="13.5" x14ac:dyDescent="0.25">
      <c r="A4895" s="1930" t="s">
        <v>4702</v>
      </c>
      <c r="B4895" s="1930" t="s">
        <v>4703</v>
      </c>
      <c r="C4895" s="1930" t="s">
        <v>4704</v>
      </c>
      <c r="D4895" s="1930" t="s">
        <v>4705</v>
      </c>
      <c r="E4895" s="1931" t="s">
        <v>33</v>
      </c>
      <c r="F4895" s="1930" t="s">
        <v>33</v>
      </c>
      <c r="G4895" s="1932">
        <v>87482</v>
      </c>
      <c r="H4895" s="1930" t="s">
        <v>3582</v>
      </c>
      <c r="I4895" s="1930" t="s">
        <v>306</v>
      </c>
      <c r="J4895" s="1930" t="s">
        <v>137</v>
      </c>
      <c r="K4895" s="1933">
        <v>59.26</v>
      </c>
      <c r="L4895" s="1930" t="s">
        <v>138</v>
      </c>
    </row>
    <row r="4896" spans="1:12" ht="13.5" x14ac:dyDescent="0.25">
      <c r="A4896" s="1930" t="s">
        <v>4702</v>
      </c>
      <c r="B4896" s="1930" t="s">
        <v>4703</v>
      </c>
      <c r="C4896" s="1930" t="s">
        <v>4704</v>
      </c>
      <c r="D4896" s="1930" t="s">
        <v>4705</v>
      </c>
      <c r="E4896" s="1931" t="s">
        <v>33</v>
      </c>
      <c r="F4896" s="1930" t="s">
        <v>33</v>
      </c>
      <c r="G4896" s="1932">
        <v>87483</v>
      </c>
      <c r="H4896" s="1930" t="s">
        <v>3583</v>
      </c>
      <c r="I4896" s="1930" t="s">
        <v>306</v>
      </c>
      <c r="J4896" s="1930" t="s">
        <v>137</v>
      </c>
      <c r="K4896" s="1933">
        <v>43.66</v>
      </c>
      <c r="L4896" s="1930" t="s">
        <v>138</v>
      </c>
    </row>
    <row r="4897" spans="1:12" ht="13.5" x14ac:dyDescent="0.25">
      <c r="A4897" s="1930" t="s">
        <v>4702</v>
      </c>
      <c r="B4897" s="1930" t="s">
        <v>4703</v>
      </c>
      <c r="C4897" s="1930" t="s">
        <v>4704</v>
      </c>
      <c r="D4897" s="1930" t="s">
        <v>4705</v>
      </c>
      <c r="E4897" s="1931" t="s">
        <v>33</v>
      </c>
      <c r="F4897" s="1930" t="s">
        <v>33</v>
      </c>
      <c r="G4897" s="1932">
        <v>87484</v>
      </c>
      <c r="H4897" s="1930" t="s">
        <v>3584</v>
      </c>
      <c r="I4897" s="1930" t="s">
        <v>306</v>
      </c>
      <c r="J4897" s="1930" t="s">
        <v>137</v>
      </c>
      <c r="K4897" s="1933">
        <v>44.61</v>
      </c>
      <c r="L4897" s="1930" t="s">
        <v>138</v>
      </c>
    </row>
    <row r="4898" spans="1:12" ht="13.5" x14ac:dyDescent="0.25">
      <c r="A4898" s="1930" t="s">
        <v>4702</v>
      </c>
      <c r="B4898" s="1930" t="s">
        <v>4703</v>
      </c>
      <c r="C4898" s="1930" t="s">
        <v>4704</v>
      </c>
      <c r="D4898" s="1930" t="s">
        <v>4705</v>
      </c>
      <c r="E4898" s="1931" t="s">
        <v>33</v>
      </c>
      <c r="F4898" s="1930" t="s">
        <v>33</v>
      </c>
      <c r="G4898" s="1932">
        <v>87485</v>
      </c>
      <c r="H4898" s="1930" t="s">
        <v>3585</v>
      </c>
      <c r="I4898" s="1930" t="s">
        <v>306</v>
      </c>
      <c r="J4898" s="1930" t="s">
        <v>137</v>
      </c>
      <c r="K4898" s="1933">
        <v>58.3</v>
      </c>
      <c r="L4898" s="1930" t="s">
        <v>138</v>
      </c>
    </row>
    <row r="4899" spans="1:12" ht="13.5" x14ac:dyDescent="0.25">
      <c r="A4899" s="1930" t="s">
        <v>4702</v>
      </c>
      <c r="B4899" s="1930" t="s">
        <v>4703</v>
      </c>
      <c r="C4899" s="1930" t="s">
        <v>4704</v>
      </c>
      <c r="D4899" s="1930" t="s">
        <v>4705</v>
      </c>
      <c r="E4899" s="1931" t="s">
        <v>33</v>
      </c>
      <c r="F4899" s="1930" t="s">
        <v>33</v>
      </c>
      <c r="G4899" s="1932">
        <v>87487</v>
      </c>
      <c r="H4899" s="1930" t="s">
        <v>3586</v>
      </c>
      <c r="I4899" s="1930" t="s">
        <v>306</v>
      </c>
      <c r="J4899" s="1930" t="s">
        <v>137</v>
      </c>
      <c r="K4899" s="1933">
        <v>68.63</v>
      </c>
      <c r="L4899" s="1930" t="s">
        <v>138</v>
      </c>
    </row>
    <row r="4900" spans="1:12" ht="13.5" x14ac:dyDescent="0.25">
      <c r="A4900" s="1930" t="s">
        <v>4702</v>
      </c>
      <c r="B4900" s="1930" t="s">
        <v>4703</v>
      </c>
      <c r="C4900" s="1930" t="s">
        <v>4704</v>
      </c>
      <c r="D4900" s="1930" t="s">
        <v>4705</v>
      </c>
      <c r="E4900" s="1931" t="s">
        <v>33</v>
      </c>
      <c r="F4900" s="1930" t="s">
        <v>33</v>
      </c>
      <c r="G4900" s="1932">
        <v>87488</v>
      </c>
      <c r="H4900" s="1930" t="s">
        <v>3587</v>
      </c>
      <c r="I4900" s="1930" t="s">
        <v>306</v>
      </c>
      <c r="J4900" s="1930" t="s">
        <v>137</v>
      </c>
      <c r="K4900" s="1933">
        <v>69.89</v>
      </c>
      <c r="L4900" s="1930" t="s">
        <v>138</v>
      </c>
    </row>
    <row r="4901" spans="1:12" ht="13.5" x14ac:dyDescent="0.25">
      <c r="A4901" s="1930" t="s">
        <v>4702</v>
      </c>
      <c r="B4901" s="1930" t="s">
        <v>4703</v>
      </c>
      <c r="C4901" s="1930" t="s">
        <v>4704</v>
      </c>
      <c r="D4901" s="1930" t="s">
        <v>4705</v>
      </c>
      <c r="E4901" s="1931" t="s">
        <v>33</v>
      </c>
      <c r="F4901" s="1930" t="s">
        <v>33</v>
      </c>
      <c r="G4901" s="1932">
        <v>87489</v>
      </c>
      <c r="H4901" s="1930" t="s">
        <v>3588</v>
      </c>
      <c r="I4901" s="1930" t="s">
        <v>306</v>
      </c>
      <c r="J4901" s="1930" t="s">
        <v>137</v>
      </c>
      <c r="K4901" s="1933">
        <v>37.39</v>
      </c>
      <c r="L4901" s="1930" t="s">
        <v>138</v>
      </c>
    </row>
    <row r="4902" spans="1:12" ht="13.5" x14ac:dyDescent="0.25">
      <c r="A4902" s="1930" t="s">
        <v>4702</v>
      </c>
      <c r="B4902" s="1930" t="s">
        <v>4703</v>
      </c>
      <c r="C4902" s="1930" t="s">
        <v>4704</v>
      </c>
      <c r="D4902" s="1930" t="s">
        <v>4705</v>
      </c>
      <c r="E4902" s="1931" t="s">
        <v>33</v>
      </c>
      <c r="F4902" s="1930" t="s">
        <v>33</v>
      </c>
      <c r="G4902" s="1932">
        <v>87490</v>
      </c>
      <c r="H4902" s="1930" t="s">
        <v>3589</v>
      </c>
      <c r="I4902" s="1930" t="s">
        <v>306</v>
      </c>
      <c r="J4902" s="1930" t="s">
        <v>137</v>
      </c>
      <c r="K4902" s="1933">
        <v>38.340000000000003</v>
      </c>
      <c r="L4902" s="1930" t="s">
        <v>138</v>
      </c>
    </row>
    <row r="4903" spans="1:12" ht="13.5" x14ac:dyDescent="0.25">
      <c r="A4903" s="1930" t="s">
        <v>4702</v>
      </c>
      <c r="B4903" s="1930" t="s">
        <v>4703</v>
      </c>
      <c r="C4903" s="1930" t="s">
        <v>4704</v>
      </c>
      <c r="D4903" s="1930" t="s">
        <v>4705</v>
      </c>
      <c r="E4903" s="1931" t="s">
        <v>33</v>
      </c>
      <c r="F4903" s="1930" t="s">
        <v>33</v>
      </c>
      <c r="G4903" s="1932">
        <v>87491</v>
      </c>
      <c r="H4903" s="1930" t="s">
        <v>3590</v>
      </c>
      <c r="I4903" s="1930" t="s">
        <v>306</v>
      </c>
      <c r="J4903" s="1930" t="s">
        <v>137</v>
      </c>
      <c r="K4903" s="1933">
        <v>51.54</v>
      </c>
      <c r="L4903" s="1930" t="s">
        <v>138</v>
      </c>
    </row>
    <row r="4904" spans="1:12" ht="13.5" x14ac:dyDescent="0.25">
      <c r="A4904" s="1930" t="s">
        <v>4702</v>
      </c>
      <c r="B4904" s="1930" t="s">
        <v>4703</v>
      </c>
      <c r="C4904" s="1930" t="s">
        <v>4704</v>
      </c>
      <c r="D4904" s="1930" t="s">
        <v>4705</v>
      </c>
      <c r="E4904" s="1931" t="s">
        <v>33</v>
      </c>
      <c r="F4904" s="1930" t="s">
        <v>33</v>
      </c>
      <c r="G4904" s="1932">
        <v>87492</v>
      </c>
      <c r="H4904" s="1930" t="s">
        <v>3591</v>
      </c>
      <c r="I4904" s="1930" t="s">
        <v>306</v>
      </c>
      <c r="J4904" s="1930" t="s">
        <v>137</v>
      </c>
      <c r="K4904" s="1933">
        <v>52.62</v>
      </c>
      <c r="L4904" s="1930" t="s">
        <v>138</v>
      </c>
    </row>
    <row r="4905" spans="1:12" ht="13.5" x14ac:dyDescent="0.25">
      <c r="A4905" s="1930" t="s">
        <v>4702</v>
      </c>
      <c r="B4905" s="1930" t="s">
        <v>4703</v>
      </c>
      <c r="C4905" s="1930" t="s">
        <v>4704</v>
      </c>
      <c r="D4905" s="1930" t="s">
        <v>4705</v>
      </c>
      <c r="E4905" s="1931" t="s">
        <v>33</v>
      </c>
      <c r="F4905" s="1930" t="s">
        <v>33</v>
      </c>
      <c r="G4905" s="1932">
        <v>87493</v>
      </c>
      <c r="H4905" s="1930" t="s">
        <v>3592</v>
      </c>
      <c r="I4905" s="1930" t="s">
        <v>306</v>
      </c>
      <c r="J4905" s="1930" t="s">
        <v>137</v>
      </c>
      <c r="K4905" s="1933">
        <v>61.53</v>
      </c>
      <c r="L4905" s="1930" t="s">
        <v>138</v>
      </c>
    </row>
    <row r="4906" spans="1:12" ht="13.5" x14ac:dyDescent="0.25">
      <c r="A4906" s="1930" t="s">
        <v>4702</v>
      </c>
      <c r="B4906" s="1930" t="s">
        <v>4703</v>
      </c>
      <c r="C4906" s="1930" t="s">
        <v>4704</v>
      </c>
      <c r="D4906" s="1930" t="s">
        <v>4705</v>
      </c>
      <c r="E4906" s="1931" t="s">
        <v>33</v>
      </c>
      <c r="F4906" s="1930" t="s">
        <v>33</v>
      </c>
      <c r="G4906" s="1932">
        <v>87494</v>
      </c>
      <c r="H4906" s="1930" t="s">
        <v>3593</v>
      </c>
      <c r="I4906" s="1930" t="s">
        <v>306</v>
      </c>
      <c r="J4906" s="1930" t="s">
        <v>137</v>
      </c>
      <c r="K4906" s="1933">
        <v>62.79</v>
      </c>
      <c r="L4906" s="1930" t="s">
        <v>138</v>
      </c>
    </row>
    <row r="4907" spans="1:12" ht="13.5" x14ac:dyDescent="0.25">
      <c r="A4907" s="1930" t="s">
        <v>4702</v>
      </c>
      <c r="B4907" s="1930" t="s">
        <v>4703</v>
      </c>
      <c r="C4907" s="1930" t="s">
        <v>4704</v>
      </c>
      <c r="D4907" s="1930" t="s">
        <v>4705</v>
      </c>
      <c r="E4907" s="1931" t="s">
        <v>33</v>
      </c>
      <c r="F4907" s="1930" t="s">
        <v>33</v>
      </c>
      <c r="G4907" s="1932">
        <v>87495</v>
      </c>
      <c r="H4907" s="1930" t="s">
        <v>3594</v>
      </c>
      <c r="I4907" s="1930" t="s">
        <v>306</v>
      </c>
      <c r="J4907" s="1930" t="s">
        <v>137</v>
      </c>
      <c r="K4907" s="1933">
        <v>65.849999999999994</v>
      </c>
      <c r="L4907" s="1930" t="s">
        <v>138</v>
      </c>
    </row>
    <row r="4908" spans="1:12" ht="13.5" x14ac:dyDescent="0.25">
      <c r="A4908" s="1930" t="s">
        <v>4702</v>
      </c>
      <c r="B4908" s="1930" t="s">
        <v>4703</v>
      </c>
      <c r="C4908" s="1930" t="s">
        <v>4704</v>
      </c>
      <c r="D4908" s="1930" t="s">
        <v>4705</v>
      </c>
      <c r="E4908" s="1931" t="s">
        <v>33</v>
      </c>
      <c r="F4908" s="1930" t="s">
        <v>33</v>
      </c>
      <c r="G4908" s="1932">
        <v>87496</v>
      </c>
      <c r="H4908" s="1930" t="s">
        <v>3595</v>
      </c>
      <c r="I4908" s="1930" t="s">
        <v>306</v>
      </c>
      <c r="J4908" s="1930" t="s">
        <v>137</v>
      </c>
      <c r="K4908" s="1933">
        <v>66.75</v>
      </c>
      <c r="L4908" s="1930" t="s">
        <v>138</v>
      </c>
    </row>
    <row r="4909" spans="1:12" ht="13.5" x14ac:dyDescent="0.25">
      <c r="A4909" s="1930" t="s">
        <v>4702</v>
      </c>
      <c r="B4909" s="1930" t="s">
        <v>4703</v>
      </c>
      <c r="C4909" s="1930" t="s">
        <v>4704</v>
      </c>
      <c r="D4909" s="1930" t="s">
        <v>4705</v>
      </c>
      <c r="E4909" s="1931" t="s">
        <v>33</v>
      </c>
      <c r="F4909" s="1930" t="s">
        <v>33</v>
      </c>
      <c r="G4909" s="1932">
        <v>87497</v>
      </c>
      <c r="H4909" s="1930" t="s">
        <v>3596</v>
      </c>
      <c r="I4909" s="1930" t="s">
        <v>306</v>
      </c>
      <c r="J4909" s="1930" t="s">
        <v>137</v>
      </c>
      <c r="K4909" s="1933">
        <v>63.42</v>
      </c>
      <c r="L4909" s="1930" t="s">
        <v>138</v>
      </c>
    </row>
    <row r="4910" spans="1:12" ht="13.5" x14ac:dyDescent="0.25">
      <c r="A4910" s="1930" t="s">
        <v>4702</v>
      </c>
      <c r="B4910" s="1930" t="s">
        <v>4703</v>
      </c>
      <c r="C4910" s="1930" t="s">
        <v>4704</v>
      </c>
      <c r="D4910" s="1930" t="s">
        <v>4705</v>
      </c>
      <c r="E4910" s="1931" t="s">
        <v>33</v>
      </c>
      <c r="F4910" s="1930" t="s">
        <v>33</v>
      </c>
      <c r="G4910" s="1932">
        <v>87498</v>
      </c>
      <c r="H4910" s="1930" t="s">
        <v>3597</v>
      </c>
      <c r="I4910" s="1930" t="s">
        <v>306</v>
      </c>
      <c r="J4910" s="1930" t="s">
        <v>137</v>
      </c>
      <c r="K4910" s="1933">
        <v>64.569999999999993</v>
      </c>
      <c r="L4910" s="1930" t="s">
        <v>138</v>
      </c>
    </row>
    <row r="4911" spans="1:12" ht="13.5" x14ac:dyDescent="0.25">
      <c r="A4911" s="1930" t="s">
        <v>4702</v>
      </c>
      <c r="B4911" s="1930" t="s">
        <v>4703</v>
      </c>
      <c r="C4911" s="1930" t="s">
        <v>4704</v>
      </c>
      <c r="D4911" s="1930" t="s">
        <v>4705</v>
      </c>
      <c r="E4911" s="1931" t="s">
        <v>33</v>
      </c>
      <c r="F4911" s="1930" t="s">
        <v>33</v>
      </c>
      <c r="G4911" s="1932">
        <v>87499</v>
      </c>
      <c r="H4911" s="1930" t="s">
        <v>3598</v>
      </c>
      <c r="I4911" s="1930" t="s">
        <v>306</v>
      </c>
      <c r="J4911" s="1930" t="s">
        <v>137</v>
      </c>
      <c r="K4911" s="1933">
        <v>72.319999999999993</v>
      </c>
      <c r="L4911" s="1930" t="s">
        <v>138</v>
      </c>
    </row>
    <row r="4912" spans="1:12" ht="13.5" x14ac:dyDescent="0.25">
      <c r="A4912" s="1930" t="s">
        <v>4702</v>
      </c>
      <c r="B4912" s="1930" t="s">
        <v>4703</v>
      </c>
      <c r="C4912" s="1930" t="s">
        <v>4704</v>
      </c>
      <c r="D4912" s="1930" t="s">
        <v>4705</v>
      </c>
      <c r="E4912" s="1931" t="s">
        <v>33</v>
      </c>
      <c r="F4912" s="1930" t="s">
        <v>33</v>
      </c>
      <c r="G4912" s="1932">
        <v>87500</v>
      </c>
      <c r="H4912" s="1930" t="s">
        <v>3599</v>
      </c>
      <c r="I4912" s="1930" t="s">
        <v>306</v>
      </c>
      <c r="J4912" s="1930" t="s">
        <v>137</v>
      </c>
      <c r="K4912" s="1933">
        <v>73.290000000000006</v>
      </c>
      <c r="L4912" s="1930" t="s">
        <v>138</v>
      </c>
    </row>
    <row r="4913" spans="1:12" ht="13.5" x14ac:dyDescent="0.25">
      <c r="A4913" s="1930" t="s">
        <v>4702</v>
      </c>
      <c r="B4913" s="1930" t="s">
        <v>4703</v>
      </c>
      <c r="C4913" s="1930" t="s">
        <v>4704</v>
      </c>
      <c r="D4913" s="1930" t="s">
        <v>4705</v>
      </c>
      <c r="E4913" s="1931" t="s">
        <v>33</v>
      </c>
      <c r="F4913" s="1930" t="s">
        <v>33</v>
      </c>
      <c r="G4913" s="1932">
        <v>87501</v>
      </c>
      <c r="H4913" s="1930" t="s">
        <v>3600</v>
      </c>
      <c r="I4913" s="1930" t="s">
        <v>306</v>
      </c>
      <c r="J4913" s="1930" t="s">
        <v>137</v>
      </c>
      <c r="K4913" s="1933">
        <v>112.25</v>
      </c>
      <c r="L4913" s="1930" t="s">
        <v>138</v>
      </c>
    </row>
    <row r="4914" spans="1:12" ht="13.5" x14ac:dyDescent="0.25">
      <c r="A4914" s="1930" t="s">
        <v>4702</v>
      </c>
      <c r="B4914" s="1930" t="s">
        <v>4703</v>
      </c>
      <c r="C4914" s="1930" t="s">
        <v>4704</v>
      </c>
      <c r="D4914" s="1930" t="s">
        <v>4705</v>
      </c>
      <c r="E4914" s="1931" t="s">
        <v>33</v>
      </c>
      <c r="F4914" s="1930" t="s">
        <v>33</v>
      </c>
      <c r="G4914" s="1932">
        <v>87502</v>
      </c>
      <c r="H4914" s="1930" t="s">
        <v>3601</v>
      </c>
      <c r="I4914" s="1930" t="s">
        <v>306</v>
      </c>
      <c r="J4914" s="1930" t="s">
        <v>137</v>
      </c>
      <c r="K4914" s="1933">
        <v>113.49</v>
      </c>
      <c r="L4914" s="1930" t="s">
        <v>138</v>
      </c>
    </row>
    <row r="4915" spans="1:12" ht="13.5" x14ac:dyDescent="0.25">
      <c r="A4915" s="1930" t="s">
        <v>4702</v>
      </c>
      <c r="B4915" s="1930" t="s">
        <v>4703</v>
      </c>
      <c r="C4915" s="1930" t="s">
        <v>4704</v>
      </c>
      <c r="D4915" s="1930" t="s">
        <v>4705</v>
      </c>
      <c r="E4915" s="1931" t="s">
        <v>33</v>
      </c>
      <c r="F4915" s="1930" t="s">
        <v>33</v>
      </c>
      <c r="G4915" s="1932">
        <v>87503</v>
      </c>
      <c r="H4915" s="1930" t="s">
        <v>3602</v>
      </c>
      <c r="I4915" s="1930" t="s">
        <v>306</v>
      </c>
      <c r="J4915" s="1930" t="s">
        <v>137</v>
      </c>
      <c r="K4915" s="1933">
        <v>56.25</v>
      </c>
      <c r="L4915" s="1930" t="s">
        <v>138</v>
      </c>
    </row>
    <row r="4916" spans="1:12" ht="13.5" x14ac:dyDescent="0.25">
      <c r="A4916" s="1930" t="s">
        <v>4702</v>
      </c>
      <c r="B4916" s="1930" t="s">
        <v>4703</v>
      </c>
      <c r="C4916" s="1930" t="s">
        <v>4704</v>
      </c>
      <c r="D4916" s="1930" t="s">
        <v>4705</v>
      </c>
      <c r="E4916" s="1931" t="s">
        <v>33</v>
      </c>
      <c r="F4916" s="1930" t="s">
        <v>33</v>
      </c>
      <c r="G4916" s="1932">
        <v>87504</v>
      </c>
      <c r="H4916" s="1930" t="s">
        <v>3603</v>
      </c>
      <c r="I4916" s="1930" t="s">
        <v>306</v>
      </c>
      <c r="J4916" s="1930" t="s">
        <v>137</v>
      </c>
      <c r="K4916" s="1933">
        <v>57.15</v>
      </c>
      <c r="L4916" s="1930" t="s">
        <v>138</v>
      </c>
    </row>
    <row r="4917" spans="1:12" ht="13.5" x14ac:dyDescent="0.25">
      <c r="A4917" s="1930" t="s">
        <v>4702</v>
      </c>
      <c r="B4917" s="1930" t="s">
        <v>4703</v>
      </c>
      <c r="C4917" s="1930" t="s">
        <v>4704</v>
      </c>
      <c r="D4917" s="1930" t="s">
        <v>4705</v>
      </c>
      <c r="E4917" s="1931" t="s">
        <v>33</v>
      </c>
      <c r="F4917" s="1930" t="s">
        <v>33</v>
      </c>
      <c r="G4917" s="1932">
        <v>87505</v>
      </c>
      <c r="H4917" s="1930" t="s">
        <v>3604</v>
      </c>
      <c r="I4917" s="1930" t="s">
        <v>306</v>
      </c>
      <c r="J4917" s="1930" t="s">
        <v>137</v>
      </c>
      <c r="K4917" s="1933">
        <v>53.79</v>
      </c>
      <c r="L4917" s="1930" t="s">
        <v>138</v>
      </c>
    </row>
    <row r="4918" spans="1:12" ht="13.5" x14ac:dyDescent="0.25">
      <c r="A4918" s="1930" t="s">
        <v>4702</v>
      </c>
      <c r="B4918" s="1930" t="s">
        <v>4703</v>
      </c>
      <c r="C4918" s="1930" t="s">
        <v>4704</v>
      </c>
      <c r="D4918" s="1930" t="s">
        <v>4705</v>
      </c>
      <c r="E4918" s="1931" t="s">
        <v>33</v>
      </c>
      <c r="F4918" s="1930" t="s">
        <v>33</v>
      </c>
      <c r="G4918" s="1932">
        <v>87506</v>
      </c>
      <c r="H4918" s="1930" t="s">
        <v>3605</v>
      </c>
      <c r="I4918" s="1930" t="s">
        <v>306</v>
      </c>
      <c r="J4918" s="1930" t="s">
        <v>137</v>
      </c>
      <c r="K4918" s="1933">
        <v>54.94</v>
      </c>
      <c r="L4918" s="1930" t="s">
        <v>138</v>
      </c>
    </row>
    <row r="4919" spans="1:12" ht="13.5" x14ac:dyDescent="0.25">
      <c r="A4919" s="1930" t="s">
        <v>4702</v>
      </c>
      <c r="B4919" s="1930" t="s">
        <v>4703</v>
      </c>
      <c r="C4919" s="1930" t="s">
        <v>4704</v>
      </c>
      <c r="D4919" s="1930" t="s">
        <v>4705</v>
      </c>
      <c r="E4919" s="1931" t="s">
        <v>33</v>
      </c>
      <c r="F4919" s="1930" t="s">
        <v>33</v>
      </c>
      <c r="G4919" s="1932">
        <v>87507</v>
      </c>
      <c r="H4919" s="1930" t="s">
        <v>3606</v>
      </c>
      <c r="I4919" s="1930" t="s">
        <v>306</v>
      </c>
      <c r="J4919" s="1930" t="s">
        <v>137</v>
      </c>
      <c r="K4919" s="1933">
        <v>59.63</v>
      </c>
      <c r="L4919" s="1930" t="s">
        <v>138</v>
      </c>
    </row>
    <row r="4920" spans="1:12" ht="13.5" x14ac:dyDescent="0.25">
      <c r="A4920" s="1930" t="s">
        <v>4702</v>
      </c>
      <c r="B4920" s="1930" t="s">
        <v>4703</v>
      </c>
      <c r="C4920" s="1930" t="s">
        <v>4704</v>
      </c>
      <c r="D4920" s="1930" t="s">
        <v>4705</v>
      </c>
      <c r="E4920" s="1931" t="s">
        <v>33</v>
      </c>
      <c r="F4920" s="1930" t="s">
        <v>33</v>
      </c>
      <c r="G4920" s="1932">
        <v>87508</v>
      </c>
      <c r="H4920" s="1930" t="s">
        <v>3607</v>
      </c>
      <c r="I4920" s="1930" t="s">
        <v>306</v>
      </c>
      <c r="J4920" s="1930" t="s">
        <v>137</v>
      </c>
      <c r="K4920" s="1933">
        <v>60.6</v>
      </c>
      <c r="L4920" s="1930" t="s">
        <v>138</v>
      </c>
    </row>
    <row r="4921" spans="1:12" ht="13.5" x14ac:dyDescent="0.25">
      <c r="A4921" s="1930" t="s">
        <v>4702</v>
      </c>
      <c r="B4921" s="1930" t="s">
        <v>4703</v>
      </c>
      <c r="C4921" s="1930" t="s">
        <v>4704</v>
      </c>
      <c r="D4921" s="1930" t="s">
        <v>4705</v>
      </c>
      <c r="E4921" s="1931" t="s">
        <v>33</v>
      </c>
      <c r="F4921" s="1930" t="s">
        <v>33</v>
      </c>
      <c r="G4921" s="1932">
        <v>87509</v>
      </c>
      <c r="H4921" s="1930" t="s">
        <v>3608</v>
      </c>
      <c r="I4921" s="1930" t="s">
        <v>306</v>
      </c>
      <c r="J4921" s="1930" t="s">
        <v>137</v>
      </c>
      <c r="K4921" s="1933">
        <v>91.79</v>
      </c>
      <c r="L4921" s="1930" t="s">
        <v>138</v>
      </c>
    </row>
    <row r="4922" spans="1:12" ht="13.5" x14ac:dyDescent="0.25">
      <c r="A4922" s="1930" t="s">
        <v>4702</v>
      </c>
      <c r="B4922" s="1930" t="s">
        <v>4703</v>
      </c>
      <c r="C4922" s="1930" t="s">
        <v>4704</v>
      </c>
      <c r="D4922" s="1930" t="s">
        <v>4705</v>
      </c>
      <c r="E4922" s="1931" t="s">
        <v>33</v>
      </c>
      <c r="F4922" s="1930" t="s">
        <v>33</v>
      </c>
      <c r="G4922" s="1932">
        <v>87510</v>
      </c>
      <c r="H4922" s="1930" t="s">
        <v>3609</v>
      </c>
      <c r="I4922" s="1930" t="s">
        <v>306</v>
      </c>
      <c r="J4922" s="1930" t="s">
        <v>137</v>
      </c>
      <c r="K4922" s="1933">
        <v>93.03</v>
      </c>
      <c r="L4922" s="1930" t="s">
        <v>138</v>
      </c>
    </row>
    <row r="4923" spans="1:12" ht="13.5" x14ac:dyDescent="0.25">
      <c r="A4923" s="1930" t="s">
        <v>4702</v>
      </c>
      <c r="B4923" s="1930" t="s">
        <v>4703</v>
      </c>
      <c r="C4923" s="1930" t="s">
        <v>4704</v>
      </c>
      <c r="D4923" s="1930" t="s">
        <v>4705</v>
      </c>
      <c r="E4923" s="1931" t="s">
        <v>33</v>
      </c>
      <c r="F4923" s="1930" t="s">
        <v>33</v>
      </c>
      <c r="G4923" s="1932">
        <v>87511</v>
      </c>
      <c r="H4923" s="1930" t="s">
        <v>3610</v>
      </c>
      <c r="I4923" s="1930" t="s">
        <v>306</v>
      </c>
      <c r="J4923" s="1930" t="s">
        <v>137</v>
      </c>
      <c r="K4923" s="1933">
        <v>74.06</v>
      </c>
      <c r="L4923" s="1930" t="s">
        <v>138</v>
      </c>
    </row>
    <row r="4924" spans="1:12" ht="13.5" x14ac:dyDescent="0.25">
      <c r="A4924" s="1930" t="s">
        <v>4702</v>
      </c>
      <c r="B4924" s="1930" t="s">
        <v>4703</v>
      </c>
      <c r="C4924" s="1930" t="s">
        <v>4704</v>
      </c>
      <c r="D4924" s="1930" t="s">
        <v>4705</v>
      </c>
      <c r="E4924" s="1931" t="s">
        <v>33</v>
      </c>
      <c r="F4924" s="1930" t="s">
        <v>33</v>
      </c>
      <c r="G4924" s="1932">
        <v>87512</v>
      </c>
      <c r="H4924" s="1930" t="s">
        <v>3611</v>
      </c>
      <c r="I4924" s="1930" t="s">
        <v>306</v>
      </c>
      <c r="J4924" s="1930" t="s">
        <v>137</v>
      </c>
      <c r="K4924" s="1933">
        <v>74.959999999999994</v>
      </c>
      <c r="L4924" s="1930" t="s">
        <v>138</v>
      </c>
    </row>
    <row r="4925" spans="1:12" ht="13.5" x14ac:dyDescent="0.25">
      <c r="A4925" s="1930" t="s">
        <v>4702</v>
      </c>
      <c r="B4925" s="1930" t="s">
        <v>4703</v>
      </c>
      <c r="C4925" s="1930" t="s">
        <v>4704</v>
      </c>
      <c r="D4925" s="1930" t="s">
        <v>4705</v>
      </c>
      <c r="E4925" s="1931" t="s">
        <v>33</v>
      </c>
      <c r="F4925" s="1930" t="s">
        <v>33</v>
      </c>
      <c r="G4925" s="1932">
        <v>87513</v>
      </c>
      <c r="H4925" s="1930" t="s">
        <v>3612</v>
      </c>
      <c r="I4925" s="1930" t="s">
        <v>306</v>
      </c>
      <c r="J4925" s="1930" t="s">
        <v>137</v>
      </c>
      <c r="K4925" s="1933">
        <v>71.95</v>
      </c>
      <c r="L4925" s="1930" t="s">
        <v>138</v>
      </c>
    </row>
    <row r="4926" spans="1:12" ht="13.5" x14ac:dyDescent="0.25">
      <c r="A4926" s="1930" t="s">
        <v>4702</v>
      </c>
      <c r="B4926" s="1930" t="s">
        <v>4703</v>
      </c>
      <c r="C4926" s="1930" t="s">
        <v>4704</v>
      </c>
      <c r="D4926" s="1930" t="s">
        <v>4705</v>
      </c>
      <c r="E4926" s="1931" t="s">
        <v>33</v>
      </c>
      <c r="F4926" s="1930" t="s">
        <v>33</v>
      </c>
      <c r="G4926" s="1932">
        <v>87514</v>
      </c>
      <c r="H4926" s="1930" t="s">
        <v>3613</v>
      </c>
      <c r="I4926" s="1930" t="s">
        <v>306</v>
      </c>
      <c r="J4926" s="1930" t="s">
        <v>137</v>
      </c>
      <c r="K4926" s="1933">
        <v>73.099999999999994</v>
      </c>
      <c r="L4926" s="1930" t="s">
        <v>138</v>
      </c>
    </row>
    <row r="4927" spans="1:12" ht="13.5" x14ac:dyDescent="0.25">
      <c r="A4927" s="1930" t="s">
        <v>4702</v>
      </c>
      <c r="B4927" s="1930" t="s">
        <v>4703</v>
      </c>
      <c r="C4927" s="1930" t="s">
        <v>4704</v>
      </c>
      <c r="D4927" s="1930" t="s">
        <v>4705</v>
      </c>
      <c r="E4927" s="1931" t="s">
        <v>33</v>
      </c>
      <c r="F4927" s="1930" t="s">
        <v>33</v>
      </c>
      <c r="G4927" s="1932">
        <v>87515</v>
      </c>
      <c r="H4927" s="1930" t="s">
        <v>3614</v>
      </c>
      <c r="I4927" s="1930" t="s">
        <v>306</v>
      </c>
      <c r="J4927" s="1930" t="s">
        <v>137</v>
      </c>
      <c r="K4927" s="1933">
        <v>83.76</v>
      </c>
      <c r="L4927" s="1930" t="s">
        <v>138</v>
      </c>
    </row>
    <row r="4928" spans="1:12" ht="13.5" x14ac:dyDescent="0.25">
      <c r="A4928" s="1930" t="s">
        <v>4702</v>
      </c>
      <c r="B4928" s="1930" t="s">
        <v>4703</v>
      </c>
      <c r="C4928" s="1930" t="s">
        <v>4704</v>
      </c>
      <c r="D4928" s="1930" t="s">
        <v>4705</v>
      </c>
      <c r="E4928" s="1931" t="s">
        <v>33</v>
      </c>
      <c r="F4928" s="1930" t="s">
        <v>33</v>
      </c>
      <c r="G4928" s="1932">
        <v>87516</v>
      </c>
      <c r="H4928" s="1930" t="s">
        <v>3615</v>
      </c>
      <c r="I4928" s="1930" t="s">
        <v>306</v>
      </c>
      <c r="J4928" s="1930" t="s">
        <v>137</v>
      </c>
      <c r="K4928" s="1933">
        <v>84.73</v>
      </c>
      <c r="L4928" s="1930" t="s">
        <v>138</v>
      </c>
    </row>
    <row r="4929" spans="1:12" ht="13.5" x14ac:dyDescent="0.25">
      <c r="A4929" s="1930" t="s">
        <v>4702</v>
      </c>
      <c r="B4929" s="1930" t="s">
        <v>4703</v>
      </c>
      <c r="C4929" s="1930" t="s">
        <v>4704</v>
      </c>
      <c r="D4929" s="1930" t="s">
        <v>4705</v>
      </c>
      <c r="E4929" s="1931" t="s">
        <v>33</v>
      </c>
      <c r="F4929" s="1930" t="s">
        <v>33</v>
      </c>
      <c r="G4929" s="1932">
        <v>87517</v>
      </c>
      <c r="H4929" s="1930" t="s">
        <v>3616</v>
      </c>
      <c r="I4929" s="1930" t="s">
        <v>306</v>
      </c>
      <c r="J4929" s="1930" t="s">
        <v>137</v>
      </c>
      <c r="K4929" s="1933">
        <v>130.06</v>
      </c>
      <c r="L4929" s="1930" t="s">
        <v>138</v>
      </c>
    </row>
    <row r="4930" spans="1:12" ht="13.5" x14ac:dyDescent="0.25">
      <c r="A4930" s="1930" t="s">
        <v>4702</v>
      </c>
      <c r="B4930" s="1930" t="s">
        <v>4703</v>
      </c>
      <c r="C4930" s="1930" t="s">
        <v>4704</v>
      </c>
      <c r="D4930" s="1930" t="s">
        <v>4705</v>
      </c>
      <c r="E4930" s="1931" t="s">
        <v>33</v>
      </c>
      <c r="F4930" s="1930" t="s">
        <v>33</v>
      </c>
      <c r="G4930" s="1932">
        <v>87518</v>
      </c>
      <c r="H4930" s="1930" t="s">
        <v>3617</v>
      </c>
      <c r="I4930" s="1930" t="s">
        <v>306</v>
      </c>
      <c r="J4930" s="1930" t="s">
        <v>137</v>
      </c>
      <c r="K4930" s="1933">
        <v>131.30000000000001</v>
      </c>
      <c r="L4930" s="1930" t="s">
        <v>138</v>
      </c>
    </row>
    <row r="4931" spans="1:12" ht="13.5" x14ac:dyDescent="0.25">
      <c r="A4931" s="1930" t="s">
        <v>4702</v>
      </c>
      <c r="B4931" s="1930" t="s">
        <v>4703</v>
      </c>
      <c r="C4931" s="1930" t="s">
        <v>4704</v>
      </c>
      <c r="D4931" s="1930" t="s">
        <v>4705</v>
      </c>
      <c r="E4931" s="1931" t="s">
        <v>33</v>
      </c>
      <c r="F4931" s="1930" t="s">
        <v>33</v>
      </c>
      <c r="G4931" s="1932">
        <v>87519</v>
      </c>
      <c r="H4931" s="1930" t="s">
        <v>3618</v>
      </c>
      <c r="I4931" s="1930" t="s">
        <v>306</v>
      </c>
      <c r="J4931" s="1930" t="s">
        <v>137</v>
      </c>
      <c r="K4931" s="1933">
        <v>61.43</v>
      </c>
      <c r="L4931" s="1930" t="s">
        <v>138</v>
      </c>
    </row>
    <row r="4932" spans="1:12" ht="13.5" x14ac:dyDescent="0.25">
      <c r="A4932" s="1930" t="s">
        <v>4702</v>
      </c>
      <c r="B4932" s="1930" t="s">
        <v>4703</v>
      </c>
      <c r="C4932" s="1930" t="s">
        <v>4704</v>
      </c>
      <c r="D4932" s="1930" t="s">
        <v>4705</v>
      </c>
      <c r="E4932" s="1931" t="s">
        <v>33</v>
      </c>
      <c r="F4932" s="1930" t="s">
        <v>33</v>
      </c>
      <c r="G4932" s="1932">
        <v>87520</v>
      </c>
      <c r="H4932" s="1930" t="s">
        <v>3619</v>
      </c>
      <c r="I4932" s="1930" t="s">
        <v>306</v>
      </c>
      <c r="J4932" s="1930" t="s">
        <v>137</v>
      </c>
      <c r="K4932" s="1933">
        <v>62.33</v>
      </c>
      <c r="L4932" s="1930" t="s">
        <v>138</v>
      </c>
    </row>
    <row r="4933" spans="1:12" ht="13.5" x14ac:dyDescent="0.25">
      <c r="A4933" s="1930" t="s">
        <v>4702</v>
      </c>
      <c r="B4933" s="1930" t="s">
        <v>4703</v>
      </c>
      <c r="C4933" s="1930" t="s">
        <v>4704</v>
      </c>
      <c r="D4933" s="1930" t="s">
        <v>4705</v>
      </c>
      <c r="E4933" s="1931" t="s">
        <v>33</v>
      </c>
      <c r="F4933" s="1930" t="s">
        <v>33</v>
      </c>
      <c r="G4933" s="1932">
        <v>87521</v>
      </c>
      <c r="H4933" s="1930" t="s">
        <v>3620</v>
      </c>
      <c r="I4933" s="1930" t="s">
        <v>306</v>
      </c>
      <c r="J4933" s="1930" t="s">
        <v>137</v>
      </c>
      <c r="K4933" s="1933">
        <v>59.01</v>
      </c>
      <c r="L4933" s="1930" t="s">
        <v>138</v>
      </c>
    </row>
    <row r="4934" spans="1:12" ht="13.5" x14ac:dyDescent="0.25">
      <c r="A4934" s="1930" t="s">
        <v>4702</v>
      </c>
      <c r="B4934" s="1930" t="s">
        <v>4703</v>
      </c>
      <c r="C4934" s="1930" t="s">
        <v>4704</v>
      </c>
      <c r="D4934" s="1930" t="s">
        <v>4705</v>
      </c>
      <c r="E4934" s="1931" t="s">
        <v>33</v>
      </c>
      <c r="F4934" s="1930" t="s">
        <v>33</v>
      </c>
      <c r="G4934" s="1932">
        <v>87522</v>
      </c>
      <c r="H4934" s="1930" t="s">
        <v>3621</v>
      </c>
      <c r="I4934" s="1930" t="s">
        <v>306</v>
      </c>
      <c r="J4934" s="1930" t="s">
        <v>137</v>
      </c>
      <c r="K4934" s="1933">
        <v>60.16</v>
      </c>
      <c r="L4934" s="1930" t="s">
        <v>138</v>
      </c>
    </row>
    <row r="4935" spans="1:12" ht="13.5" x14ac:dyDescent="0.25">
      <c r="A4935" s="1930" t="s">
        <v>4702</v>
      </c>
      <c r="B4935" s="1930" t="s">
        <v>4703</v>
      </c>
      <c r="C4935" s="1930" t="s">
        <v>4704</v>
      </c>
      <c r="D4935" s="1930" t="s">
        <v>4705</v>
      </c>
      <c r="E4935" s="1931" t="s">
        <v>33</v>
      </c>
      <c r="F4935" s="1930" t="s">
        <v>33</v>
      </c>
      <c r="G4935" s="1932">
        <v>87523</v>
      </c>
      <c r="H4935" s="1930" t="s">
        <v>3622</v>
      </c>
      <c r="I4935" s="1930" t="s">
        <v>306</v>
      </c>
      <c r="J4935" s="1930" t="s">
        <v>137</v>
      </c>
      <c r="K4935" s="1933">
        <v>66.599999999999994</v>
      </c>
      <c r="L4935" s="1930" t="s">
        <v>138</v>
      </c>
    </row>
    <row r="4936" spans="1:12" ht="13.5" x14ac:dyDescent="0.25">
      <c r="A4936" s="1930" t="s">
        <v>4702</v>
      </c>
      <c r="B4936" s="1930" t="s">
        <v>4703</v>
      </c>
      <c r="C4936" s="1930" t="s">
        <v>4704</v>
      </c>
      <c r="D4936" s="1930" t="s">
        <v>4705</v>
      </c>
      <c r="E4936" s="1931" t="s">
        <v>33</v>
      </c>
      <c r="F4936" s="1930" t="s">
        <v>33</v>
      </c>
      <c r="G4936" s="1932">
        <v>87524</v>
      </c>
      <c r="H4936" s="1930" t="s">
        <v>3623</v>
      </c>
      <c r="I4936" s="1930" t="s">
        <v>306</v>
      </c>
      <c r="J4936" s="1930" t="s">
        <v>137</v>
      </c>
      <c r="K4936" s="1933">
        <v>67.569999999999993</v>
      </c>
      <c r="L4936" s="1930" t="s">
        <v>138</v>
      </c>
    </row>
    <row r="4937" spans="1:12" ht="13.5" x14ac:dyDescent="0.25">
      <c r="A4937" s="1930" t="s">
        <v>4702</v>
      </c>
      <c r="B4937" s="1930" t="s">
        <v>4703</v>
      </c>
      <c r="C4937" s="1930" t="s">
        <v>4704</v>
      </c>
      <c r="D4937" s="1930" t="s">
        <v>4705</v>
      </c>
      <c r="E4937" s="1931" t="s">
        <v>33</v>
      </c>
      <c r="F4937" s="1930" t="s">
        <v>33</v>
      </c>
      <c r="G4937" s="1932">
        <v>87525</v>
      </c>
      <c r="H4937" s="1930" t="s">
        <v>3624</v>
      </c>
      <c r="I4937" s="1930" t="s">
        <v>306</v>
      </c>
      <c r="J4937" s="1930" t="s">
        <v>137</v>
      </c>
      <c r="K4937" s="1933">
        <v>102.57</v>
      </c>
      <c r="L4937" s="1930" t="s">
        <v>138</v>
      </c>
    </row>
    <row r="4938" spans="1:12" ht="13.5" x14ac:dyDescent="0.25">
      <c r="A4938" s="1930" t="s">
        <v>4702</v>
      </c>
      <c r="B4938" s="1930" t="s">
        <v>4703</v>
      </c>
      <c r="C4938" s="1930" t="s">
        <v>4704</v>
      </c>
      <c r="D4938" s="1930" t="s">
        <v>4705</v>
      </c>
      <c r="E4938" s="1931" t="s">
        <v>33</v>
      </c>
      <c r="F4938" s="1930" t="s">
        <v>33</v>
      </c>
      <c r="G4938" s="1932">
        <v>87526</v>
      </c>
      <c r="H4938" s="1930" t="s">
        <v>3625</v>
      </c>
      <c r="I4938" s="1930" t="s">
        <v>306</v>
      </c>
      <c r="J4938" s="1930" t="s">
        <v>137</v>
      </c>
      <c r="K4938" s="1933">
        <v>103.81</v>
      </c>
      <c r="L4938" s="1930" t="s">
        <v>138</v>
      </c>
    </row>
    <row r="4939" spans="1:12" ht="13.5" x14ac:dyDescent="0.25">
      <c r="A4939" s="1930" t="s">
        <v>4702</v>
      </c>
      <c r="B4939" s="1930" t="s">
        <v>4703</v>
      </c>
      <c r="C4939" s="1930" t="s">
        <v>4704</v>
      </c>
      <c r="D4939" s="1930" t="s">
        <v>4705</v>
      </c>
      <c r="E4939" s="1931" t="s">
        <v>33</v>
      </c>
      <c r="F4939" s="1930" t="s">
        <v>33</v>
      </c>
      <c r="G4939" s="1932">
        <v>89043</v>
      </c>
      <c r="H4939" s="1930" t="s">
        <v>3626</v>
      </c>
      <c r="I4939" s="1930" t="s">
        <v>306</v>
      </c>
      <c r="J4939" s="1930" t="s">
        <v>137</v>
      </c>
      <c r="K4939" s="1933">
        <v>62.64</v>
      </c>
      <c r="L4939" s="1930" t="s">
        <v>138</v>
      </c>
    </row>
    <row r="4940" spans="1:12" ht="13.5" x14ac:dyDescent="0.25">
      <c r="A4940" s="1930" t="s">
        <v>4702</v>
      </c>
      <c r="B4940" s="1930" t="s">
        <v>4703</v>
      </c>
      <c r="C4940" s="1930" t="s">
        <v>4704</v>
      </c>
      <c r="D4940" s="1930" t="s">
        <v>4705</v>
      </c>
      <c r="E4940" s="1931" t="s">
        <v>33</v>
      </c>
      <c r="F4940" s="1930" t="s">
        <v>33</v>
      </c>
      <c r="G4940" s="1932">
        <v>89168</v>
      </c>
      <c r="H4940" s="1930" t="s">
        <v>3627</v>
      </c>
      <c r="I4940" s="1930" t="s">
        <v>306</v>
      </c>
      <c r="J4940" s="1930" t="s">
        <v>137</v>
      </c>
      <c r="K4940" s="1933">
        <v>64.510000000000005</v>
      </c>
      <c r="L4940" s="1930" t="s">
        <v>138</v>
      </c>
    </row>
    <row r="4941" spans="1:12" ht="13.5" x14ac:dyDescent="0.25">
      <c r="A4941" s="1930" t="s">
        <v>4702</v>
      </c>
      <c r="B4941" s="1930" t="s">
        <v>4703</v>
      </c>
      <c r="C4941" s="1930" t="s">
        <v>4704</v>
      </c>
      <c r="D4941" s="1930" t="s">
        <v>4705</v>
      </c>
      <c r="E4941" s="1931" t="s">
        <v>33</v>
      </c>
      <c r="F4941" s="1930" t="s">
        <v>33</v>
      </c>
      <c r="G4941" s="1932">
        <v>89977</v>
      </c>
      <c r="H4941" s="1930" t="s">
        <v>3628</v>
      </c>
      <c r="I4941" s="1930" t="s">
        <v>306</v>
      </c>
      <c r="J4941" s="1930" t="s">
        <v>137</v>
      </c>
      <c r="K4941" s="1933">
        <v>109.41</v>
      </c>
      <c r="L4941" s="1930" t="s">
        <v>138</v>
      </c>
    </row>
    <row r="4942" spans="1:12" ht="13.5" x14ac:dyDescent="0.25">
      <c r="A4942" s="1930" t="s">
        <v>4702</v>
      </c>
      <c r="B4942" s="1930" t="s">
        <v>4703</v>
      </c>
      <c r="C4942" s="1930" t="s">
        <v>4704</v>
      </c>
      <c r="D4942" s="1930" t="s">
        <v>4705</v>
      </c>
      <c r="E4942" s="1931" t="s">
        <v>33</v>
      </c>
      <c r="F4942" s="1930" t="s">
        <v>33</v>
      </c>
      <c r="G4942" s="1932">
        <v>90112</v>
      </c>
      <c r="H4942" s="1930" t="s">
        <v>3629</v>
      </c>
      <c r="I4942" s="1930" t="s">
        <v>306</v>
      </c>
      <c r="J4942" s="1930" t="s">
        <v>137</v>
      </c>
      <c r="K4942" s="1933">
        <v>59.38</v>
      </c>
      <c r="L4942" s="1930" t="s">
        <v>138</v>
      </c>
    </row>
    <row r="4943" spans="1:12" ht="13.5" x14ac:dyDescent="0.25">
      <c r="A4943" s="1930" t="s">
        <v>4702</v>
      </c>
      <c r="B4943" s="1930" t="s">
        <v>4703</v>
      </c>
      <c r="C4943" s="1930" t="s">
        <v>4704</v>
      </c>
      <c r="D4943" s="1930" t="s">
        <v>4705</v>
      </c>
      <c r="E4943" s="1931" t="s">
        <v>33</v>
      </c>
      <c r="F4943" s="1930" t="s">
        <v>33</v>
      </c>
      <c r="G4943" s="1932">
        <v>95474</v>
      </c>
      <c r="H4943" s="1930" t="s">
        <v>3630</v>
      </c>
      <c r="I4943" s="1930" t="s">
        <v>1208</v>
      </c>
      <c r="J4943" s="1930" t="s">
        <v>320</v>
      </c>
      <c r="K4943" s="1933">
        <v>600.46</v>
      </c>
      <c r="L4943" s="1930" t="s">
        <v>138</v>
      </c>
    </row>
    <row r="4944" spans="1:12" ht="13.5" x14ac:dyDescent="0.25">
      <c r="A4944" s="1930" t="s">
        <v>4702</v>
      </c>
      <c r="B4944" s="1930" t="s">
        <v>4703</v>
      </c>
      <c r="C4944" s="1930" t="s">
        <v>4706</v>
      </c>
      <c r="D4944" s="1930" t="s">
        <v>4707</v>
      </c>
      <c r="E4944" s="1931" t="s">
        <v>33</v>
      </c>
      <c r="F4944" s="1930" t="s">
        <v>33</v>
      </c>
      <c r="G4944" s="1932">
        <v>89282</v>
      </c>
      <c r="H4944" s="1930" t="s">
        <v>3631</v>
      </c>
      <c r="I4944" s="1930" t="s">
        <v>306</v>
      </c>
      <c r="J4944" s="1930" t="s">
        <v>320</v>
      </c>
      <c r="K4944" s="1933">
        <v>49.11</v>
      </c>
      <c r="L4944" s="1930" t="s">
        <v>138</v>
      </c>
    </row>
    <row r="4945" spans="1:12" ht="13.5" x14ac:dyDescent="0.25">
      <c r="A4945" s="1930" t="s">
        <v>4702</v>
      </c>
      <c r="B4945" s="1930" t="s">
        <v>4703</v>
      </c>
      <c r="C4945" s="1930" t="s">
        <v>4706</v>
      </c>
      <c r="D4945" s="1930" t="s">
        <v>4707</v>
      </c>
      <c r="E4945" s="1931" t="s">
        <v>33</v>
      </c>
      <c r="F4945" s="1930" t="s">
        <v>33</v>
      </c>
      <c r="G4945" s="1932">
        <v>89283</v>
      </c>
      <c r="H4945" s="1930" t="s">
        <v>3632</v>
      </c>
      <c r="I4945" s="1930" t="s">
        <v>306</v>
      </c>
      <c r="J4945" s="1930" t="s">
        <v>320</v>
      </c>
      <c r="K4945" s="1933">
        <v>50.2</v>
      </c>
      <c r="L4945" s="1930" t="s">
        <v>138</v>
      </c>
    </row>
    <row r="4946" spans="1:12" ht="13.5" x14ac:dyDescent="0.25">
      <c r="A4946" s="1930" t="s">
        <v>4702</v>
      </c>
      <c r="B4946" s="1930" t="s">
        <v>4703</v>
      </c>
      <c r="C4946" s="1930" t="s">
        <v>4706</v>
      </c>
      <c r="D4946" s="1930" t="s">
        <v>4707</v>
      </c>
      <c r="E4946" s="1931" t="s">
        <v>33</v>
      </c>
      <c r="F4946" s="1930" t="s">
        <v>33</v>
      </c>
      <c r="G4946" s="1932">
        <v>89284</v>
      </c>
      <c r="H4946" s="1930" t="s">
        <v>3633</v>
      </c>
      <c r="I4946" s="1930" t="s">
        <v>306</v>
      </c>
      <c r="J4946" s="1930" t="s">
        <v>320</v>
      </c>
      <c r="K4946" s="1933">
        <v>44.64</v>
      </c>
      <c r="L4946" s="1930" t="s">
        <v>138</v>
      </c>
    </row>
    <row r="4947" spans="1:12" ht="13.5" x14ac:dyDescent="0.25">
      <c r="A4947" s="1930" t="s">
        <v>4702</v>
      </c>
      <c r="B4947" s="1930" t="s">
        <v>4703</v>
      </c>
      <c r="C4947" s="1930" t="s">
        <v>4706</v>
      </c>
      <c r="D4947" s="1930" t="s">
        <v>4707</v>
      </c>
      <c r="E4947" s="1931" t="s">
        <v>33</v>
      </c>
      <c r="F4947" s="1930" t="s">
        <v>33</v>
      </c>
      <c r="G4947" s="1932">
        <v>89285</v>
      </c>
      <c r="H4947" s="1930" t="s">
        <v>3634</v>
      </c>
      <c r="I4947" s="1930" t="s">
        <v>306</v>
      </c>
      <c r="J4947" s="1930" t="s">
        <v>320</v>
      </c>
      <c r="K4947" s="1933">
        <v>45.73</v>
      </c>
      <c r="L4947" s="1930" t="s">
        <v>138</v>
      </c>
    </row>
    <row r="4948" spans="1:12" ht="13.5" x14ac:dyDescent="0.25">
      <c r="A4948" s="1930" t="s">
        <v>4702</v>
      </c>
      <c r="B4948" s="1930" t="s">
        <v>4703</v>
      </c>
      <c r="C4948" s="1930" t="s">
        <v>4706</v>
      </c>
      <c r="D4948" s="1930" t="s">
        <v>4707</v>
      </c>
      <c r="E4948" s="1931" t="s">
        <v>33</v>
      </c>
      <c r="F4948" s="1930" t="s">
        <v>33</v>
      </c>
      <c r="G4948" s="1932">
        <v>89286</v>
      </c>
      <c r="H4948" s="1930" t="s">
        <v>3635</v>
      </c>
      <c r="I4948" s="1930" t="s">
        <v>306</v>
      </c>
      <c r="J4948" s="1930" t="s">
        <v>320</v>
      </c>
      <c r="K4948" s="1933">
        <v>53.26</v>
      </c>
      <c r="L4948" s="1930" t="s">
        <v>138</v>
      </c>
    </row>
    <row r="4949" spans="1:12" ht="13.5" x14ac:dyDescent="0.25">
      <c r="A4949" s="1930" t="s">
        <v>4702</v>
      </c>
      <c r="B4949" s="1930" t="s">
        <v>4703</v>
      </c>
      <c r="C4949" s="1930" t="s">
        <v>4706</v>
      </c>
      <c r="D4949" s="1930" t="s">
        <v>4707</v>
      </c>
      <c r="E4949" s="1931" t="s">
        <v>33</v>
      </c>
      <c r="F4949" s="1930" t="s">
        <v>33</v>
      </c>
      <c r="G4949" s="1932">
        <v>89287</v>
      </c>
      <c r="H4949" s="1930" t="s">
        <v>3636</v>
      </c>
      <c r="I4949" s="1930" t="s">
        <v>306</v>
      </c>
      <c r="J4949" s="1930" t="s">
        <v>320</v>
      </c>
      <c r="K4949" s="1933">
        <v>54.35</v>
      </c>
      <c r="L4949" s="1930" t="s">
        <v>138</v>
      </c>
    </row>
    <row r="4950" spans="1:12" ht="13.5" x14ac:dyDescent="0.25">
      <c r="A4950" s="1930" t="s">
        <v>4702</v>
      </c>
      <c r="B4950" s="1930" t="s">
        <v>4703</v>
      </c>
      <c r="C4950" s="1930" t="s">
        <v>4706</v>
      </c>
      <c r="D4950" s="1930" t="s">
        <v>4707</v>
      </c>
      <c r="E4950" s="1931" t="s">
        <v>33</v>
      </c>
      <c r="F4950" s="1930" t="s">
        <v>33</v>
      </c>
      <c r="G4950" s="1932">
        <v>89288</v>
      </c>
      <c r="H4950" s="1930" t="s">
        <v>3637</v>
      </c>
      <c r="I4950" s="1930" t="s">
        <v>306</v>
      </c>
      <c r="J4950" s="1930" t="s">
        <v>320</v>
      </c>
      <c r="K4950" s="1933">
        <v>47.1</v>
      </c>
      <c r="L4950" s="1930" t="s">
        <v>138</v>
      </c>
    </row>
    <row r="4951" spans="1:12" ht="13.5" x14ac:dyDescent="0.25">
      <c r="A4951" s="1930" t="s">
        <v>4702</v>
      </c>
      <c r="B4951" s="1930" t="s">
        <v>4703</v>
      </c>
      <c r="C4951" s="1930" t="s">
        <v>4706</v>
      </c>
      <c r="D4951" s="1930" t="s">
        <v>4707</v>
      </c>
      <c r="E4951" s="1931" t="s">
        <v>33</v>
      </c>
      <c r="F4951" s="1930" t="s">
        <v>33</v>
      </c>
      <c r="G4951" s="1932">
        <v>89289</v>
      </c>
      <c r="H4951" s="1930" t="s">
        <v>3638</v>
      </c>
      <c r="I4951" s="1930" t="s">
        <v>306</v>
      </c>
      <c r="J4951" s="1930" t="s">
        <v>320</v>
      </c>
      <c r="K4951" s="1933">
        <v>48.19</v>
      </c>
      <c r="L4951" s="1930" t="s">
        <v>138</v>
      </c>
    </row>
    <row r="4952" spans="1:12" ht="13.5" x14ac:dyDescent="0.25">
      <c r="A4952" s="1930" t="s">
        <v>4702</v>
      </c>
      <c r="B4952" s="1930" t="s">
        <v>4703</v>
      </c>
      <c r="C4952" s="1930" t="s">
        <v>4706</v>
      </c>
      <c r="D4952" s="1930" t="s">
        <v>4707</v>
      </c>
      <c r="E4952" s="1931" t="s">
        <v>33</v>
      </c>
      <c r="F4952" s="1930" t="s">
        <v>33</v>
      </c>
      <c r="G4952" s="1932">
        <v>89290</v>
      </c>
      <c r="H4952" s="1930" t="s">
        <v>3639</v>
      </c>
      <c r="I4952" s="1930" t="s">
        <v>306</v>
      </c>
      <c r="J4952" s="1930" t="s">
        <v>320</v>
      </c>
      <c r="K4952" s="1933">
        <v>57.58</v>
      </c>
      <c r="L4952" s="1930" t="s">
        <v>138</v>
      </c>
    </row>
    <row r="4953" spans="1:12" ht="13.5" x14ac:dyDescent="0.25">
      <c r="A4953" s="1930" t="s">
        <v>4702</v>
      </c>
      <c r="B4953" s="1930" t="s">
        <v>4703</v>
      </c>
      <c r="C4953" s="1930" t="s">
        <v>4706</v>
      </c>
      <c r="D4953" s="1930" t="s">
        <v>4707</v>
      </c>
      <c r="E4953" s="1931" t="s">
        <v>33</v>
      </c>
      <c r="F4953" s="1930" t="s">
        <v>33</v>
      </c>
      <c r="G4953" s="1932">
        <v>89291</v>
      </c>
      <c r="H4953" s="1930" t="s">
        <v>3640</v>
      </c>
      <c r="I4953" s="1930" t="s">
        <v>306</v>
      </c>
      <c r="J4953" s="1930" t="s">
        <v>320</v>
      </c>
      <c r="K4953" s="1933">
        <v>58.79</v>
      </c>
      <c r="L4953" s="1930" t="s">
        <v>138</v>
      </c>
    </row>
    <row r="4954" spans="1:12" ht="13.5" x14ac:dyDescent="0.25">
      <c r="A4954" s="1930" t="s">
        <v>4702</v>
      </c>
      <c r="B4954" s="1930" t="s">
        <v>4703</v>
      </c>
      <c r="C4954" s="1930" t="s">
        <v>4706</v>
      </c>
      <c r="D4954" s="1930" t="s">
        <v>4707</v>
      </c>
      <c r="E4954" s="1931" t="s">
        <v>33</v>
      </c>
      <c r="F4954" s="1930" t="s">
        <v>33</v>
      </c>
      <c r="G4954" s="1932">
        <v>89292</v>
      </c>
      <c r="H4954" s="1930" t="s">
        <v>3641</v>
      </c>
      <c r="I4954" s="1930" t="s">
        <v>306</v>
      </c>
      <c r="J4954" s="1930" t="s">
        <v>320</v>
      </c>
      <c r="K4954" s="1933">
        <v>53.15</v>
      </c>
      <c r="L4954" s="1930" t="s">
        <v>138</v>
      </c>
    </row>
    <row r="4955" spans="1:12" ht="13.5" x14ac:dyDescent="0.25">
      <c r="A4955" s="1930" t="s">
        <v>4702</v>
      </c>
      <c r="B4955" s="1930" t="s">
        <v>4703</v>
      </c>
      <c r="C4955" s="1930" t="s">
        <v>4706</v>
      </c>
      <c r="D4955" s="1930" t="s">
        <v>4707</v>
      </c>
      <c r="E4955" s="1931" t="s">
        <v>33</v>
      </c>
      <c r="F4955" s="1930" t="s">
        <v>33</v>
      </c>
      <c r="G4955" s="1932">
        <v>89293</v>
      </c>
      <c r="H4955" s="1930" t="s">
        <v>3642</v>
      </c>
      <c r="I4955" s="1930" t="s">
        <v>306</v>
      </c>
      <c r="J4955" s="1930" t="s">
        <v>320</v>
      </c>
      <c r="K4955" s="1933">
        <v>54.36</v>
      </c>
      <c r="L4955" s="1930" t="s">
        <v>138</v>
      </c>
    </row>
    <row r="4956" spans="1:12" ht="13.5" x14ac:dyDescent="0.25">
      <c r="A4956" s="1930" t="s">
        <v>4702</v>
      </c>
      <c r="B4956" s="1930" t="s">
        <v>4703</v>
      </c>
      <c r="C4956" s="1930" t="s">
        <v>4706</v>
      </c>
      <c r="D4956" s="1930" t="s">
        <v>4707</v>
      </c>
      <c r="E4956" s="1931" t="s">
        <v>33</v>
      </c>
      <c r="F4956" s="1930" t="s">
        <v>33</v>
      </c>
      <c r="G4956" s="1932">
        <v>89294</v>
      </c>
      <c r="H4956" s="1930" t="s">
        <v>3643</v>
      </c>
      <c r="I4956" s="1930" t="s">
        <v>306</v>
      </c>
      <c r="J4956" s="1930" t="s">
        <v>320</v>
      </c>
      <c r="K4956" s="1933">
        <v>63.23</v>
      </c>
      <c r="L4956" s="1930" t="s">
        <v>138</v>
      </c>
    </row>
    <row r="4957" spans="1:12" ht="13.5" x14ac:dyDescent="0.25">
      <c r="A4957" s="1930" t="s">
        <v>4702</v>
      </c>
      <c r="B4957" s="1930" t="s">
        <v>4703</v>
      </c>
      <c r="C4957" s="1930" t="s">
        <v>4706</v>
      </c>
      <c r="D4957" s="1930" t="s">
        <v>4707</v>
      </c>
      <c r="E4957" s="1931" t="s">
        <v>33</v>
      </c>
      <c r="F4957" s="1930" t="s">
        <v>33</v>
      </c>
      <c r="G4957" s="1932">
        <v>89295</v>
      </c>
      <c r="H4957" s="1930" t="s">
        <v>3644</v>
      </c>
      <c r="I4957" s="1930" t="s">
        <v>306</v>
      </c>
      <c r="J4957" s="1930" t="s">
        <v>320</v>
      </c>
      <c r="K4957" s="1933">
        <v>64.44</v>
      </c>
      <c r="L4957" s="1930" t="s">
        <v>138</v>
      </c>
    </row>
    <row r="4958" spans="1:12" ht="13.5" x14ac:dyDescent="0.25">
      <c r="A4958" s="1930" t="s">
        <v>4702</v>
      </c>
      <c r="B4958" s="1930" t="s">
        <v>4703</v>
      </c>
      <c r="C4958" s="1930" t="s">
        <v>4706</v>
      </c>
      <c r="D4958" s="1930" t="s">
        <v>4707</v>
      </c>
      <c r="E4958" s="1931" t="s">
        <v>33</v>
      </c>
      <c r="F4958" s="1930" t="s">
        <v>33</v>
      </c>
      <c r="G4958" s="1932">
        <v>89296</v>
      </c>
      <c r="H4958" s="1930" t="s">
        <v>3645</v>
      </c>
      <c r="I4958" s="1930" t="s">
        <v>306</v>
      </c>
      <c r="J4958" s="1930" t="s">
        <v>320</v>
      </c>
      <c r="K4958" s="1933">
        <v>56.39</v>
      </c>
      <c r="L4958" s="1930" t="s">
        <v>138</v>
      </c>
    </row>
    <row r="4959" spans="1:12" ht="13.5" x14ac:dyDescent="0.25">
      <c r="A4959" s="1930" t="s">
        <v>4702</v>
      </c>
      <c r="B4959" s="1930" t="s">
        <v>4703</v>
      </c>
      <c r="C4959" s="1930" t="s">
        <v>4706</v>
      </c>
      <c r="D4959" s="1930" t="s">
        <v>4707</v>
      </c>
      <c r="E4959" s="1931" t="s">
        <v>33</v>
      </c>
      <c r="F4959" s="1930" t="s">
        <v>33</v>
      </c>
      <c r="G4959" s="1932">
        <v>89297</v>
      </c>
      <c r="H4959" s="1930" t="s">
        <v>3646</v>
      </c>
      <c r="I4959" s="1930" t="s">
        <v>306</v>
      </c>
      <c r="J4959" s="1930" t="s">
        <v>320</v>
      </c>
      <c r="K4959" s="1933">
        <v>57.6</v>
      </c>
      <c r="L4959" s="1930" t="s">
        <v>138</v>
      </c>
    </row>
    <row r="4960" spans="1:12" ht="13.5" x14ac:dyDescent="0.25">
      <c r="A4960" s="1930" t="s">
        <v>4702</v>
      </c>
      <c r="B4960" s="1930" t="s">
        <v>4703</v>
      </c>
      <c r="C4960" s="1930" t="s">
        <v>4706</v>
      </c>
      <c r="D4960" s="1930" t="s">
        <v>4707</v>
      </c>
      <c r="E4960" s="1931" t="s">
        <v>33</v>
      </c>
      <c r="F4960" s="1930" t="s">
        <v>33</v>
      </c>
      <c r="G4960" s="1932">
        <v>89298</v>
      </c>
      <c r="H4960" s="1930" t="s">
        <v>3647</v>
      </c>
      <c r="I4960" s="1930" t="s">
        <v>306</v>
      </c>
      <c r="J4960" s="1930" t="s">
        <v>320</v>
      </c>
      <c r="K4960" s="1933">
        <v>59.11</v>
      </c>
      <c r="L4960" s="1930" t="s">
        <v>138</v>
      </c>
    </row>
    <row r="4961" spans="1:12" ht="13.5" x14ac:dyDescent="0.25">
      <c r="A4961" s="1930" t="s">
        <v>4702</v>
      </c>
      <c r="B4961" s="1930" t="s">
        <v>4703</v>
      </c>
      <c r="C4961" s="1930" t="s">
        <v>4706</v>
      </c>
      <c r="D4961" s="1930" t="s">
        <v>4707</v>
      </c>
      <c r="E4961" s="1931" t="s">
        <v>33</v>
      </c>
      <c r="F4961" s="1930" t="s">
        <v>33</v>
      </c>
      <c r="G4961" s="1932">
        <v>89299</v>
      </c>
      <c r="H4961" s="1930" t="s">
        <v>3648</v>
      </c>
      <c r="I4961" s="1930" t="s">
        <v>306</v>
      </c>
      <c r="J4961" s="1930" t="s">
        <v>320</v>
      </c>
      <c r="K4961" s="1933">
        <v>60.66</v>
      </c>
      <c r="L4961" s="1930" t="s">
        <v>138</v>
      </c>
    </row>
    <row r="4962" spans="1:12" ht="13.5" x14ac:dyDescent="0.25">
      <c r="A4962" s="1930" t="s">
        <v>4702</v>
      </c>
      <c r="B4962" s="1930" t="s">
        <v>4703</v>
      </c>
      <c r="C4962" s="1930" t="s">
        <v>4706</v>
      </c>
      <c r="D4962" s="1930" t="s">
        <v>4707</v>
      </c>
      <c r="E4962" s="1931" t="s">
        <v>33</v>
      </c>
      <c r="F4962" s="1930" t="s">
        <v>33</v>
      </c>
      <c r="G4962" s="1932">
        <v>89300</v>
      </c>
      <c r="H4962" s="1930" t="s">
        <v>3649</v>
      </c>
      <c r="I4962" s="1930" t="s">
        <v>306</v>
      </c>
      <c r="J4962" s="1930" t="s">
        <v>320</v>
      </c>
      <c r="K4962" s="1933">
        <v>54.63</v>
      </c>
      <c r="L4962" s="1930" t="s">
        <v>138</v>
      </c>
    </row>
    <row r="4963" spans="1:12" ht="13.5" x14ac:dyDescent="0.25">
      <c r="A4963" s="1930" t="s">
        <v>4702</v>
      </c>
      <c r="B4963" s="1930" t="s">
        <v>4703</v>
      </c>
      <c r="C4963" s="1930" t="s">
        <v>4706</v>
      </c>
      <c r="D4963" s="1930" t="s">
        <v>4707</v>
      </c>
      <c r="E4963" s="1931" t="s">
        <v>33</v>
      </c>
      <c r="F4963" s="1930" t="s">
        <v>33</v>
      </c>
      <c r="G4963" s="1932">
        <v>89301</v>
      </c>
      <c r="H4963" s="1930" t="s">
        <v>3650</v>
      </c>
      <c r="I4963" s="1930" t="s">
        <v>306</v>
      </c>
      <c r="J4963" s="1930" t="s">
        <v>320</v>
      </c>
      <c r="K4963" s="1933">
        <v>56.18</v>
      </c>
      <c r="L4963" s="1930" t="s">
        <v>138</v>
      </c>
    </row>
    <row r="4964" spans="1:12" ht="13.5" x14ac:dyDescent="0.25">
      <c r="A4964" s="1930" t="s">
        <v>4702</v>
      </c>
      <c r="B4964" s="1930" t="s">
        <v>4703</v>
      </c>
      <c r="C4964" s="1930" t="s">
        <v>4706</v>
      </c>
      <c r="D4964" s="1930" t="s">
        <v>4707</v>
      </c>
      <c r="E4964" s="1931" t="s">
        <v>33</v>
      </c>
      <c r="F4964" s="1930" t="s">
        <v>33</v>
      </c>
      <c r="G4964" s="1932">
        <v>89302</v>
      </c>
      <c r="H4964" s="1930" t="s">
        <v>3651</v>
      </c>
      <c r="I4964" s="1930" t="s">
        <v>306</v>
      </c>
      <c r="J4964" s="1930" t="s">
        <v>320</v>
      </c>
      <c r="K4964" s="1933">
        <v>66.17</v>
      </c>
      <c r="L4964" s="1930" t="s">
        <v>138</v>
      </c>
    </row>
    <row r="4965" spans="1:12" ht="13.5" x14ac:dyDescent="0.25">
      <c r="A4965" s="1930" t="s">
        <v>4702</v>
      </c>
      <c r="B4965" s="1930" t="s">
        <v>4703</v>
      </c>
      <c r="C4965" s="1930" t="s">
        <v>4706</v>
      </c>
      <c r="D4965" s="1930" t="s">
        <v>4707</v>
      </c>
      <c r="E4965" s="1931" t="s">
        <v>33</v>
      </c>
      <c r="F4965" s="1930" t="s">
        <v>33</v>
      </c>
      <c r="G4965" s="1932">
        <v>89303</v>
      </c>
      <c r="H4965" s="1930" t="s">
        <v>3652</v>
      </c>
      <c r="I4965" s="1930" t="s">
        <v>306</v>
      </c>
      <c r="J4965" s="1930" t="s">
        <v>320</v>
      </c>
      <c r="K4965" s="1933">
        <v>67.72</v>
      </c>
      <c r="L4965" s="1930" t="s">
        <v>138</v>
      </c>
    </row>
    <row r="4966" spans="1:12" ht="13.5" x14ac:dyDescent="0.25">
      <c r="A4966" s="1930" t="s">
        <v>4702</v>
      </c>
      <c r="B4966" s="1930" t="s">
        <v>4703</v>
      </c>
      <c r="C4966" s="1930" t="s">
        <v>4706</v>
      </c>
      <c r="D4966" s="1930" t="s">
        <v>4707</v>
      </c>
      <c r="E4966" s="1931" t="s">
        <v>33</v>
      </c>
      <c r="F4966" s="1930" t="s">
        <v>33</v>
      </c>
      <c r="G4966" s="1932">
        <v>89304</v>
      </c>
      <c r="H4966" s="1930" t="s">
        <v>3653</v>
      </c>
      <c r="I4966" s="1930" t="s">
        <v>306</v>
      </c>
      <c r="J4966" s="1930" t="s">
        <v>320</v>
      </c>
      <c r="K4966" s="1933">
        <v>58.9</v>
      </c>
      <c r="L4966" s="1930" t="s">
        <v>138</v>
      </c>
    </row>
    <row r="4967" spans="1:12" ht="13.5" x14ac:dyDescent="0.25">
      <c r="A4967" s="1930" t="s">
        <v>4702</v>
      </c>
      <c r="B4967" s="1930" t="s">
        <v>4703</v>
      </c>
      <c r="C4967" s="1930" t="s">
        <v>4706</v>
      </c>
      <c r="D4967" s="1930" t="s">
        <v>4707</v>
      </c>
      <c r="E4967" s="1931" t="s">
        <v>33</v>
      </c>
      <c r="F4967" s="1930" t="s">
        <v>33</v>
      </c>
      <c r="G4967" s="1932">
        <v>89305</v>
      </c>
      <c r="H4967" s="1930" t="s">
        <v>3654</v>
      </c>
      <c r="I4967" s="1930" t="s">
        <v>306</v>
      </c>
      <c r="J4967" s="1930" t="s">
        <v>320</v>
      </c>
      <c r="K4967" s="1933">
        <v>60.45</v>
      </c>
      <c r="L4967" s="1930" t="s">
        <v>138</v>
      </c>
    </row>
    <row r="4968" spans="1:12" ht="13.5" x14ac:dyDescent="0.25">
      <c r="A4968" s="1930" t="s">
        <v>4702</v>
      </c>
      <c r="B4968" s="1930" t="s">
        <v>4703</v>
      </c>
      <c r="C4968" s="1930" t="s">
        <v>4706</v>
      </c>
      <c r="D4968" s="1930" t="s">
        <v>4707</v>
      </c>
      <c r="E4968" s="1931" t="s">
        <v>33</v>
      </c>
      <c r="F4968" s="1930" t="s">
        <v>33</v>
      </c>
      <c r="G4968" s="1932">
        <v>89306</v>
      </c>
      <c r="H4968" s="1930" t="s">
        <v>3655</v>
      </c>
      <c r="I4968" s="1930" t="s">
        <v>306</v>
      </c>
      <c r="J4968" s="1930" t="s">
        <v>320</v>
      </c>
      <c r="K4968" s="1933">
        <v>67.81</v>
      </c>
      <c r="L4968" s="1930" t="s">
        <v>138</v>
      </c>
    </row>
    <row r="4969" spans="1:12" ht="13.5" x14ac:dyDescent="0.25">
      <c r="A4969" s="1930" t="s">
        <v>4702</v>
      </c>
      <c r="B4969" s="1930" t="s">
        <v>4703</v>
      </c>
      <c r="C4969" s="1930" t="s">
        <v>4706</v>
      </c>
      <c r="D4969" s="1930" t="s">
        <v>4707</v>
      </c>
      <c r="E4969" s="1931" t="s">
        <v>33</v>
      </c>
      <c r="F4969" s="1930" t="s">
        <v>33</v>
      </c>
      <c r="G4969" s="1932">
        <v>89307</v>
      </c>
      <c r="H4969" s="1930" t="s">
        <v>3656</v>
      </c>
      <c r="I4969" s="1930" t="s">
        <v>306</v>
      </c>
      <c r="J4969" s="1930" t="s">
        <v>320</v>
      </c>
      <c r="K4969" s="1933">
        <v>69.540000000000006</v>
      </c>
      <c r="L4969" s="1930" t="s">
        <v>138</v>
      </c>
    </row>
    <row r="4970" spans="1:12" ht="13.5" x14ac:dyDescent="0.25">
      <c r="A4970" s="1930" t="s">
        <v>4702</v>
      </c>
      <c r="B4970" s="1930" t="s">
        <v>4703</v>
      </c>
      <c r="C4970" s="1930" t="s">
        <v>4706</v>
      </c>
      <c r="D4970" s="1930" t="s">
        <v>4707</v>
      </c>
      <c r="E4970" s="1931" t="s">
        <v>33</v>
      </c>
      <c r="F4970" s="1930" t="s">
        <v>33</v>
      </c>
      <c r="G4970" s="1932">
        <v>89308</v>
      </c>
      <c r="H4970" s="1930" t="s">
        <v>3657</v>
      </c>
      <c r="I4970" s="1930" t="s">
        <v>306</v>
      </c>
      <c r="J4970" s="1930" t="s">
        <v>320</v>
      </c>
      <c r="K4970" s="1933">
        <v>63.37</v>
      </c>
      <c r="L4970" s="1930" t="s">
        <v>138</v>
      </c>
    </row>
    <row r="4971" spans="1:12" ht="13.5" x14ac:dyDescent="0.25">
      <c r="A4971" s="1930" t="s">
        <v>4702</v>
      </c>
      <c r="B4971" s="1930" t="s">
        <v>4703</v>
      </c>
      <c r="C4971" s="1930" t="s">
        <v>4706</v>
      </c>
      <c r="D4971" s="1930" t="s">
        <v>4707</v>
      </c>
      <c r="E4971" s="1931" t="s">
        <v>33</v>
      </c>
      <c r="F4971" s="1930" t="s">
        <v>33</v>
      </c>
      <c r="G4971" s="1932">
        <v>89309</v>
      </c>
      <c r="H4971" s="1930" t="s">
        <v>3658</v>
      </c>
      <c r="I4971" s="1930" t="s">
        <v>306</v>
      </c>
      <c r="J4971" s="1930" t="s">
        <v>320</v>
      </c>
      <c r="K4971" s="1933">
        <v>65.099999999999994</v>
      </c>
      <c r="L4971" s="1930" t="s">
        <v>138</v>
      </c>
    </row>
    <row r="4972" spans="1:12" ht="13.5" x14ac:dyDescent="0.25">
      <c r="A4972" s="1930" t="s">
        <v>4702</v>
      </c>
      <c r="B4972" s="1930" t="s">
        <v>4703</v>
      </c>
      <c r="C4972" s="1930" t="s">
        <v>4706</v>
      </c>
      <c r="D4972" s="1930" t="s">
        <v>4707</v>
      </c>
      <c r="E4972" s="1931" t="s">
        <v>33</v>
      </c>
      <c r="F4972" s="1930" t="s">
        <v>33</v>
      </c>
      <c r="G4972" s="1932">
        <v>89310</v>
      </c>
      <c r="H4972" s="1930" t="s">
        <v>3659</v>
      </c>
      <c r="I4972" s="1930" t="s">
        <v>306</v>
      </c>
      <c r="J4972" s="1930" t="s">
        <v>320</v>
      </c>
      <c r="K4972" s="1933">
        <v>77.849999999999994</v>
      </c>
      <c r="L4972" s="1930" t="s">
        <v>138</v>
      </c>
    </row>
    <row r="4973" spans="1:12" ht="13.5" x14ac:dyDescent="0.25">
      <c r="A4973" s="1930" t="s">
        <v>4702</v>
      </c>
      <c r="B4973" s="1930" t="s">
        <v>4703</v>
      </c>
      <c r="C4973" s="1930" t="s">
        <v>4706</v>
      </c>
      <c r="D4973" s="1930" t="s">
        <v>4707</v>
      </c>
      <c r="E4973" s="1931" t="s">
        <v>33</v>
      </c>
      <c r="F4973" s="1930" t="s">
        <v>33</v>
      </c>
      <c r="G4973" s="1932">
        <v>89311</v>
      </c>
      <c r="H4973" s="1930" t="s">
        <v>3660</v>
      </c>
      <c r="I4973" s="1930" t="s">
        <v>306</v>
      </c>
      <c r="J4973" s="1930" t="s">
        <v>320</v>
      </c>
      <c r="K4973" s="1933">
        <v>79.58</v>
      </c>
      <c r="L4973" s="1930" t="s">
        <v>138</v>
      </c>
    </row>
    <row r="4974" spans="1:12" ht="13.5" x14ac:dyDescent="0.25">
      <c r="A4974" s="1930" t="s">
        <v>4702</v>
      </c>
      <c r="B4974" s="1930" t="s">
        <v>4703</v>
      </c>
      <c r="C4974" s="1930" t="s">
        <v>4706</v>
      </c>
      <c r="D4974" s="1930" t="s">
        <v>4707</v>
      </c>
      <c r="E4974" s="1931" t="s">
        <v>33</v>
      </c>
      <c r="F4974" s="1930" t="s">
        <v>33</v>
      </c>
      <c r="G4974" s="1932">
        <v>89312</v>
      </c>
      <c r="H4974" s="1930" t="s">
        <v>3661</v>
      </c>
      <c r="I4974" s="1930" t="s">
        <v>306</v>
      </c>
      <c r="J4974" s="1930" t="s">
        <v>320</v>
      </c>
      <c r="K4974" s="1933">
        <v>68.430000000000007</v>
      </c>
      <c r="L4974" s="1930" t="s">
        <v>138</v>
      </c>
    </row>
    <row r="4975" spans="1:12" ht="13.5" x14ac:dyDescent="0.25">
      <c r="A4975" s="1930" t="s">
        <v>4702</v>
      </c>
      <c r="B4975" s="1930" t="s">
        <v>4703</v>
      </c>
      <c r="C4975" s="1930" t="s">
        <v>4706</v>
      </c>
      <c r="D4975" s="1930" t="s">
        <v>4707</v>
      </c>
      <c r="E4975" s="1931" t="s">
        <v>33</v>
      </c>
      <c r="F4975" s="1930" t="s">
        <v>33</v>
      </c>
      <c r="G4975" s="1932">
        <v>89313</v>
      </c>
      <c r="H4975" s="1930" t="s">
        <v>3662</v>
      </c>
      <c r="I4975" s="1930" t="s">
        <v>306</v>
      </c>
      <c r="J4975" s="1930" t="s">
        <v>320</v>
      </c>
      <c r="K4975" s="1933">
        <v>70.16</v>
      </c>
      <c r="L4975" s="1930" t="s">
        <v>138</v>
      </c>
    </row>
    <row r="4976" spans="1:12" ht="13.5" x14ac:dyDescent="0.25">
      <c r="A4976" s="1930" t="s">
        <v>4702</v>
      </c>
      <c r="B4976" s="1930" t="s">
        <v>4703</v>
      </c>
      <c r="C4976" s="1930" t="s">
        <v>4706</v>
      </c>
      <c r="D4976" s="1930" t="s">
        <v>4707</v>
      </c>
      <c r="E4976" s="1931" t="s">
        <v>33</v>
      </c>
      <c r="F4976" s="1930" t="s">
        <v>33</v>
      </c>
      <c r="G4976" s="1932">
        <v>95465</v>
      </c>
      <c r="H4976" s="1930" t="s">
        <v>3663</v>
      </c>
      <c r="I4976" s="1930" t="s">
        <v>306</v>
      </c>
      <c r="J4976" s="1930" t="s">
        <v>320</v>
      </c>
      <c r="K4976" s="1933">
        <v>122.49</v>
      </c>
      <c r="L4976" s="1930" t="s">
        <v>138</v>
      </c>
    </row>
    <row r="4977" spans="1:12" ht="13.5" x14ac:dyDescent="0.25">
      <c r="A4977" s="1930" t="s">
        <v>4702</v>
      </c>
      <c r="B4977" s="1930" t="s">
        <v>4703</v>
      </c>
      <c r="C4977" s="1930" t="s">
        <v>4708</v>
      </c>
      <c r="D4977" s="1930" t="s">
        <v>4709</v>
      </c>
      <c r="E4977" s="1931" t="s">
        <v>33</v>
      </c>
      <c r="F4977" s="1930" t="s">
        <v>33</v>
      </c>
      <c r="G4977" s="1932">
        <v>87447</v>
      </c>
      <c r="H4977" s="1930" t="s">
        <v>3664</v>
      </c>
      <c r="I4977" s="1930" t="s">
        <v>306</v>
      </c>
      <c r="J4977" s="1930" t="s">
        <v>137</v>
      </c>
      <c r="K4977" s="1933">
        <v>47.99</v>
      </c>
      <c r="L4977" s="1930" t="s">
        <v>138</v>
      </c>
    </row>
    <row r="4978" spans="1:12" ht="13.5" x14ac:dyDescent="0.25">
      <c r="A4978" s="1930" t="s">
        <v>4702</v>
      </c>
      <c r="B4978" s="1930" t="s">
        <v>4703</v>
      </c>
      <c r="C4978" s="1930" t="s">
        <v>4708</v>
      </c>
      <c r="D4978" s="1930" t="s">
        <v>4709</v>
      </c>
      <c r="E4978" s="1931" t="s">
        <v>33</v>
      </c>
      <c r="F4978" s="1930" t="s">
        <v>33</v>
      </c>
      <c r="G4978" s="1932">
        <v>87448</v>
      </c>
      <c r="H4978" s="1930" t="s">
        <v>3665</v>
      </c>
      <c r="I4978" s="1930" t="s">
        <v>306</v>
      </c>
      <c r="J4978" s="1930" t="s">
        <v>137</v>
      </c>
      <c r="K4978" s="1933">
        <v>48.41</v>
      </c>
      <c r="L4978" s="1930" t="s">
        <v>138</v>
      </c>
    </row>
    <row r="4979" spans="1:12" ht="13.5" x14ac:dyDescent="0.25">
      <c r="A4979" s="1930" t="s">
        <v>4702</v>
      </c>
      <c r="B4979" s="1930" t="s">
        <v>4703</v>
      </c>
      <c r="C4979" s="1930" t="s">
        <v>4708</v>
      </c>
      <c r="D4979" s="1930" t="s">
        <v>4709</v>
      </c>
      <c r="E4979" s="1931" t="s">
        <v>33</v>
      </c>
      <c r="F4979" s="1930" t="s">
        <v>33</v>
      </c>
      <c r="G4979" s="1932">
        <v>87449</v>
      </c>
      <c r="H4979" s="1930" t="s">
        <v>3666</v>
      </c>
      <c r="I4979" s="1930" t="s">
        <v>306</v>
      </c>
      <c r="J4979" s="1930" t="s">
        <v>137</v>
      </c>
      <c r="K4979" s="1933">
        <v>61.15</v>
      </c>
      <c r="L4979" s="1930" t="s">
        <v>138</v>
      </c>
    </row>
    <row r="4980" spans="1:12" ht="13.5" x14ac:dyDescent="0.25">
      <c r="A4980" s="1930" t="s">
        <v>4702</v>
      </c>
      <c r="B4980" s="1930" t="s">
        <v>4703</v>
      </c>
      <c r="C4980" s="1930" t="s">
        <v>4708</v>
      </c>
      <c r="D4980" s="1930" t="s">
        <v>4709</v>
      </c>
      <c r="E4980" s="1931" t="s">
        <v>33</v>
      </c>
      <c r="F4980" s="1930" t="s">
        <v>33</v>
      </c>
      <c r="G4980" s="1932">
        <v>87450</v>
      </c>
      <c r="H4980" s="1930" t="s">
        <v>3667</v>
      </c>
      <c r="I4980" s="1930" t="s">
        <v>306</v>
      </c>
      <c r="J4980" s="1930" t="s">
        <v>137</v>
      </c>
      <c r="K4980" s="1933">
        <v>62.09</v>
      </c>
      <c r="L4980" s="1930" t="s">
        <v>138</v>
      </c>
    </row>
    <row r="4981" spans="1:12" ht="13.5" x14ac:dyDescent="0.25">
      <c r="A4981" s="1930" t="s">
        <v>4702</v>
      </c>
      <c r="B4981" s="1930" t="s">
        <v>4703</v>
      </c>
      <c r="C4981" s="1930" t="s">
        <v>4708</v>
      </c>
      <c r="D4981" s="1930" t="s">
        <v>4709</v>
      </c>
      <c r="E4981" s="1931" t="s">
        <v>33</v>
      </c>
      <c r="F4981" s="1930" t="s">
        <v>33</v>
      </c>
      <c r="G4981" s="1932">
        <v>87451</v>
      </c>
      <c r="H4981" s="1930" t="s">
        <v>3668</v>
      </c>
      <c r="I4981" s="1930" t="s">
        <v>306</v>
      </c>
      <c r="J4981" s="1930" t="s">
        <v>137</v>
      </c>
      <c r="K4981" s="1933">
        <v>75.72</v>
      </c>
      <c r="L4981" s="1930" t="s">
        <v>138</v>
      </c>
    </row>
    <row r="4982" spans="1:12" ht="13.5" x14ac:dyDescent="0.25">
      <c r="A4982" s="1930" t="s">
        <v>4702</v>
      </c>
      <c r="B4982" s="1930" t="s">
        <v>4703</v>
      </c>
      <c r="C4982" s="1930" t="s">
        <v>4708</v>
      </c>
      <c r="D4982" s="1930" t="s">
        <v>4709</v>
      </c>
      <c r="E4982" s="1931" t="s">
        <v>33</v>
      </c>
      <c r="F4982" s="1930" t="s">
        <v>33</v>
      </c>
      <c r="G4982" s="1932">
        <v>87452</v>
      </c>
      <c r="H4982" s="1930" t="s">
        <v>3669</v>
      </c>
      <c r="I4982" s="1930" t="s">
        <v>306</v>
      </c>
      <c r="J4982" s="1930" t="s">
        <v>137</v>
      </c>
      <c r="K4982" s="1933">
        <v>76.11</v>
      </c>
      <c r="L4982" s="1930" t="s">
        <v>138</v>
      </c>
    </row>
    <row r="4983" spans="1:12" ht="13.5" x14ac:dyDescent="0.25">
      <c r="A4983" s="1930" t="s">
        <v>4702</v>
      </c>
      <c r="B4983" s="1930" t="s">
        <v>4703</v>
      </c>
      <c r="C4983" s="1930" t="s">
        <v>4708</v>
      </c>
      <c r="D4983" s="1930" t="s">
        <v>4709</v>
      </c>
      <c r="E4983" s="1931" t="s">
        <v>33</v>
      </c>
      <c r="F4983" s="1930" t="s">
        <v>33</v>
      </c>
      <c r="G4983" s="1932">
        <v>87453</v>
      </c>
      <c r="H4983" s="1930" t="s">
        <v>3670</v>
      </c>
      <c r="I4983" s="1930" t="s">
        <v>306</v>
      </c>
      <c r="J4983" s="1930" t="s">
        <v>137</v>
      </c>
      <c r="K4983" s="1933">
        <v>44.5</v>
      </c>
      <c r="L4983" s="1930" t="s">
        <v>138</v>
      </c>
    </row>
    <row r="4984" spans="1:12" ht="13.5" x14ac:dyDescent="0.25">
      <c r="A4984" s="1930" t="s">
        <v>4702</v>
      </c>
      <c r="B4984" s="1930" t="s">
        <v>4703</v>
      </c>
      <c r="C4984" s="1930" t="s">
        <v>4708</v>
      </c>
      <c r="D4984" s="1930" t="s">
        <v>4709</v>
      </c>
      <c r="E4984" s="1931" t="s">
        <v>33</v>
      </c>
      <c r="F4984" s="1930" t="s">
        <v>33</v>
      </c>
      <c r="G4984" s="1932">
        <v>87454</v>
      </c>
      <c r="H4984" s="1930" t="s">
        <v>3671</v>
      </c>
      <c r="I4984" s="1930" t="s">
        <v>306</v>
      </c>
      <c r="J4984" s="1930" t="s">
        <v>137</v>
      </c>
      <c r="K4984" s="1933">
        <v>45.31</v>
      </c>
      <c r="L4984" s="1930" t="s">
        <v>138</v>
      </c>
    </row>
    <row r="4985" spans="1:12" ht="13.5" x14ac:dyDescent="0.25">
      <c r="A4985" s="1930" t="s">
        <v>4702</v>
      </c>
      <c r="B4985" s="1930" t="s">
        <v>4703</v>
      </c>
      <c r="C4985" s="1930" t="s">
        <v>4708</v>
      </c>
      <c r="D4985" s="1930" t="s">
        <v>4709</v>
      </c>
      <c r="E4985" s="1931" t="s">
        <v>33</v>
      </c>
      <c r="F4985" s="1930" t="s">
        <v>33</v>
      </c>
      <c r="G4985" s="1932">
        <v>87455</v>
      </c>
      <c r="H4985" s="1930" t="s">
        <v>3672</v>
      </c>
      <c r="I4985" s="1930" t="s">
        <v>306</v>
      </c>
      <c r="J4985" s="1930" t="s">
        <v>137</v>
      </c>
      <c r="K4985" s="1933">
        <v>56.87</v>
      </c>
      <c r="L4985" s="1930" t="s">
        <v>138</v>
      </c>
    </row>
    <row r="4986" spans="1:12" ht="13.5" x14ac:dyDescent="0.25">
      <c r="A4986" s="1930" t="s">
        <v>4702</v>
      </c>
      <c r="B4986" s="1930" t="s">
        <v>4703</v>
      </c>
      <c r="C4986" s="1930" t="s">
        <v>4708</v>
      </c>
      <c r="D4986" s="1930" t="s">
        <v>4709</v>
      </c>
      <c r="E4986" s="1931" t="s">
        <v>33</v>
      </c>
      <c r="F4986" s="1930" t="s">
        <v>33</v>
      </c>
      <c r="G4986" s="1932">
        <v>87456</v>
      </c>
      <c r="H4986" s="1930" t="s">
        <v>3673</v>
      </c>
      <c r="I4986" s="1930" t="s">
        <v>306</v>
      </c>
      <c r="J4986" s="1930" t="s">
        <v>137</v>
      </c>
      <c r="K4986" s="1933">
        <v>58.11</v>
      </c>
      <c r="L4986" s="1930" t="s">
        <v>138</v>
      </c>
    </row>
    <row r="4987" spans="1:12" ht="13.5" x14ac:dyDescent="0.25">
      <c r="A4987" s="1930" t="s">
        <v>4702</v>
      </c>
      <c r="B4987" s="1930" t="s">
        <v>4703</v>
      </c>
      <c r="C4987" s="1930" t="s">
        <v>4708</v>
      </c>
      <c r="D4987" s="1930" t="s">
        <v>4709</v>
      </c>
      <c r="E4987" s="1931" t="s">
        <v>33</v>
      </c>
      <c r="F4987" s="1930" t="s">
        <v>33</v>
      </c>
      <c r="G4987" s="1932">
        <v>87457</v>
      </c>
      <c r="H4987" s="1930" t="s">
        <v>3674</v>
      </c>
      <c r="I4987" s="1930" t="s">
        <v>306</v>
      </c>
      <c r="J4987" s="1930" t="s">
        <v>137</v>
      </c>
      <c r="K4987" s="1933">
        <v>69.94</v>
      </c>
      <c r="L4987" s="1930" t="s">
        <v>138</v>
      </c>
    </row>
    <row r="4988" spans="1:12" ht="13.5" x14ac:dyDescent="0.25">
      <c r="A4988" s="1930" t="s">
        <v>4702</v>
      </c>
      <c r="B4988" s="1930" t="s">
        <v>4703</v>
      </c>
      <c r="C4988" s="1930" t="s">
        <v>4708</v>
      </c>
      <c r="D4988" s="1930" t="s">
        <v>4709</v>
      </c>
      <c r="E4988" s="1931" t="s">
        <v>33</v>
      </c>
      <c r="F4988" s="1930" t="s">
        <v>33</v>
      </c>
      <c r="G4988" s="1932">
        <v>87458</v>
      </c>
      <c r="H4988" s="1930" t="s">
        <v>3675</v>
      </c>
      <c r="I4988" s="1930" t="s">
        <v>306</v>
      </c>
      <c r="J4988" s="1930" t="s">
        <v>137</v>
      </c>
      <c r="K4988" s="1933">
        <v>71.12</v>
      </c>
      <c r="L4988" s="1930" t="s">
        <v>138</v>
      </c>
    </row>
    <row r="4989" spans="1:12" ht="13.5" x14ac:dyDescent="0.25">
      <c r="A4989" s="1930" t="s">
        <v>4702</v>
      </c>
      <c r="B4989" s="1930" t="s">
        <v>4703</v>
      </c>
      <c r="C4989" s="1930" t="s">
        <v>4708</v>
      </c>
      <c r="D4989" s="1930" t="s">
        <v>4709</v>
      </c>
      <c r="E4989" s="1931" t="s">
        <v>33</v>
      </c>
      <c r="F4989" s="1930" t="s">
        <v>33</v>
      </c>
      <c r="G4989" s="1932">
        <v>87459</v>
      </c>
      <c r="H4989" s="1930" t="s">
        <v>3676</v>
      </c>
      <c r="I4989" s="1930" t="s">
        <v>306</v>
      </c>
      <c r="J4989" s="1930" t="s">
        <v>137</v>
      </c>
      <c r="K4989" s="1933">
        <v>53.7</v>
      </c>
      <c r="L4989" s="1930" t="s">
        <v>138</v>
      </c>
    </row>
    <row r="4990" spans="1:12" ht="13.5" x14ac:dyDescent="0.25">
      <c r="A4990" s="1930" t="s">
        <v>4702</v>
      </c>
      <c r="B4990" s="1930" t="s">
        <v>4703</v>
      </c>
      <c r="C4990" s="1930" t="s">
        <v>4708</v>
      </c>
      <c r="D4990" s="1930" t="s">
        <v>4709</v>
      </c>
      <c r="E4990" s="1931" t="s">
        <v>33</v>
      </c>
      <c r="F4990" s="1930" t="s">
        <v>33</v>
      </c>
      <c r="G4990" s="1932">
        <v>87460</v>
      </c>
      <c r="H4990" s="1930" t="s">
        <v>3677</v>
      </c>
      <c r="I4990" s="1930" t="s">
        <v>306</v>
      </c>
      <c r="J4990" s="1930" t="s">
        <v>137</v>
      </c>
      <c r="K4990" s="1933">
        <v>54.51</v>
      </c>
      <c r="L4990" s="1930" t="s">
        <v>138</v>
      </c>
    </row>
    <row r="4991" spans="1:12" ht="13.5" x14ac:dyDescent="0.25">
      <c r="A4991" s="1930" t="s">
        <v>4702</v>
      </c>
      <c r="B4991" s="1930" t="s">
        <v>4703</v>
      </c>
      <c r="C4991" s="1930" t="s">
        <v>4708</v>
      </c>
      <c r="D4991" s="1930" t="s">
        <v>4709</v>
      </c>
      <c r="E4991" s="1931" t="s">
        <v>33</v>
      </c>
      <c r="F4991" s="1930" t="s">
        <v>33</v>
      </c>
      <c r="G4991" s="1932">
        <v>87461</v>
      </c>
      <c r="H4991" s="1930" t="s">
        <v>3678</v>
      </c>
      <c r="I4991" s="1930" t="s">
        <v>306</v>
      </c>
      <c r="J4991" s="1930" t="s">
        <v>137</v>
      </c>
      <c r="K4991" s="1933">
        <v>66.89</v>
      </c>
      <c r="L4991" s="1930" t="s">
        <v>138</v>
      </c>
    </row>
    <row r="4992" spans="1:12" ht="13.5" x14ac:dyDescent="0.25">
      <c r="A4992" s="1930" t="s">
        <v>4702</v>
      </c>
      <c r="B4992" s="1930" t="s">
        <v>4703</v>
      </c>
      <c r="C4992" s="1930" t="s">
        <v>4708</v>
      </c>
      <c r="D4992" s="1930" t="s">
        <v>4709</v>
      </c>
      <c r="E4992" s="1931" t="s">
        <v>33</v>
      </c>
      <c r="F4992" s="1930" t="s">
        <v>33</v>
      </c>
      <c r="G4992" s="1932">
        <v>87462</v>
      </c>
      <c r="H4992" s="1930" t="s">
        <v>3679</v>
      </c>
      <c r="I4992" s="1930" t="s">
        <v>306</v>
      </c>
      <c r="J4992" s="1930" t="s">
        <v>137</v>
      </c>
      <c r="K4992" s="1933">
        <v>67.83</v>
      </c>
      <c r="L4992" s="1930" t="s">
        <v>138</v>
      </c>
    </row>
    <row r="4993" spans="1:12" ht="13.5" x14ac:dyDescent="0.25">
      <c r="A4993" s="1930" t="s">
        <v>4702</v>
      </c>
      <c r="B4993" s="1930" t="s">
        <v>4703</v>
      </c>
      <c r="C4993" s="1930" t="s">
        <v>4708</v>
      </c>
      <c r="D4993" s="1930" t="s">
        <v>4709</v>
      </c>
      <c r="E4993" s="1931" t="s">
        <v>33</v>
      </c>
      <c r="F4993" s="1930" t="s">
        <v>33</v>
      </c>
      <c r="G4993" s="1932">
        <v>87463</v>
      </c>
      <c r="H4993" s="1930" t="s">
        <v>3680</v>
      </c>
      <c r="I4993" s="1930" t="s">
        <v>306</v>
      </c>
      <c r="J4993" s="1930" t="s">
        <v>137</v>
      </c>
      <c r="K4993" s="1933">
        <v>80.73</v>
      </c>
      <c r="L4993" s="1930" t="s">
        <v>138</v>
      </c>
    </row>
    <row r="4994" spans="1:12" ht="13.5" x14ac:dyDescent="0.25">
      <c r="A4994" s="1930" t="s">
        <v>4702</v>
      </c>
      <c r="B4994" s="1930" t="s">
        <v>4703</v>
      </c>
      <c r="C4994" s="1930" t="s">
        <v>4708</v>
      </c>
      <c r="D4994" s="1930" t="s">
        <v>4709</v>
      </c>
      <c r="E4994" s="1931" t="s">
        <v>33</v>
      </c>
      <c r="F4994" s="1930" t="s">
        <v>33</v>
      </c>
      <c r="G4994" s="1932">
        <v>87464</v>
      </c>
      <c r="H4994" s="1930" t="s">
        <v>3681</v>
      </c>
      <c r="I4994" s="1930" t="s">
        <v>306</v>
      </c>
      <c r="J4994" s="1930" t="s">
        <v>137</v>
      </c>
      <c r="K4994" s="1933">
        <v>81.91</v>
      </c>
      <c r="L4994" s="1930" t="s">
        <v>138</v>
      </c>
    </row>
    <row r="4995" spans="1:12" ht="13.5" x14ac:dyDescent="0.25">
      <c r="A4995" s="1930" t="s">
        <v>4702</v>
      </c>
      <c r="B4995" s="1930" t="s">
        <v>4703</v>
      </c>
      <c r="C4995" s="1930" t="s">
        <v>4708</v>
      </c>
      <c r="D4995" s="1930" t="s">
        <v>4709</v>
      </c>
      <c r="E4995" s="1931" t="s">
        <v>33</v>
      </c>
      <c r="F4995" s="1930" t="s">
        <v>33</v>
      </c>
      <c r="G4995" s="1932">
        <v>87465</v>
      </c>
      <c r="H4995" s="1930" t="s">
        <v>3682</v>
      </c>
      <c r="I4995" s="1930" t="s">
        <v>306</v>
      </c>
      <c r="J4995" s="1930" t="s">
        <v>137</v>
      </c>
      <c r="K4995" s="1933">
        <v>47.71</v>
      </c>
      <c r="L4995" s="1930" t="s">
        <v>138</v>
      </c>
    </row>
    <row r="4996" spans="1:12" ht="13.5" x14ac:dyDescent="0.25">
      <c r="A4996" s="1930" t="s">
        <v>4702</v>
      </c>
      <c r="B4996" s="1930" t="s">
        <v>4703</v>
      </c>
      <c r="C4996" s="1930" t="s">
        <v>4708</v>
      </c>
      <c r="D4996" s="1930" t="s">
        <v>4709</v>
      </c>
      <c r="E4996" s="1931" t="s">
        <v>33</v>
      </c>
      <c r="F4996" s="1930" t="s">
        <v>33</v>
      </c>
      <c r="G4996" s="1932">
        <v>87466</v>
      </c>
      <c r="H4996" s="1930" t="s">
        <v>3683</v>
      </c>
      <c r="I4996" s="1930" t="s">
        <v>306</v>
      </c>
      <c r="J4996" s="1930" t="s">
        <v>137</v>
      </c>
      <c r="K4996" s="1933">
        <v>48.52</v>
      </c>
      <c r="L4996" s="1930" t="s">
        <v>138</v>
      </c>
    </row>
    <row r="4997" spans="1:12" ht="13.5" x14ac:dyDescent="0.25">
      <c r="A4997" s="1930" t="s">
        <v>4702</v>
      </c>
      <c r="B4997" s="1930" t="s">
        <v>4703</v>
      </c>
      <c r="C4997" s="1930" t="s">
        <v>4708</v>
      </c>
      <c r="D4997" s="1930" t="s">
        <v>4709</v>
      </c>
      <c r="E4997" s="1931" t="s">
        <v>33</v>
      </c>
      <c r="F4997" s="1930" t="s">
        <v>33</v>
      </c>
      <c r="G4997" s="1932">
        <v>87467</v>
      </c>
      <c r="H4997" s="1930" t="s">
        <v>3684</v>
      </c>
      <c r="I4997" s="1930" t="s">
        <v>306</v>
      </c>
      <c r="J4997" s="1930" t="s">
        <v>137</v>
      </c>
      <c r="K4997" s="1933">
        <v>60.42</v>
      </c>
      <c r="L4997" s="1930" t="s">
        <v>138</v>
      </c>
    </row>
    <row r="4998" spans="1:12" ht="13.5" x14ac:dyDescent="0.25">
      <c r="A4998" s="1930" t="s">
        <v>4702</v>
      </c>
      <c r="B4998" s="1930" t="s">
        <v>4703</v>
      </c>
      <c r="C4998" s="1930" t="s">
        <v>4708</v>
      </c>
      <c r="D4998" s="1930" t="s">
        <v>4709</v>
      </c>
      <c r="E4998" s="1931" t="s">
        <v>33</v>
      </c>
      <c r="F4998" s="1930" t="s">
        <v>33</v>
      </c>
      <c r="G4998" s="1932">
        <v>87468</v>
      </c>
      <c r="H4998" s="1930" t="s">
        <v>3685</v>
      </c>
      <c r="I4998" s="1930" t="s">
        <v>306</v>
      </c>
      <c r="J4998" s="1930" t="s">
        <v>137</v>
      </c>
      <c r="K4998" s="1933">
        <v>61.36</v>
      </c>
      <c r="L4998" s="1930" t="s">
        <v>138</v>
      </c>
    </row>
    <row r="4999" spans="1:12" ht="13.5" x14ac:dyDescent="0.25">
      <c r="A4999" s="1930" t="s">
        <v>4702</v>
      </c>
      <c r="B4999" s="1930" t="s">
        <v>4703</v>
      </c>
      <c r="C4999" s="1930" t="s">
        <v>4708</v>
      </c>
      <c r="D4999" s="1930" t="s">
        <v>4709</v>
      </c>
      <c r="E4999" s="1931" t="s">
        <v>33</v>
      </c>
      <c r="F4999" s="1930" t="s">
        <v>33</v>
      </c>
      <c r="G4999" s="1932">
        <v>87469</v>
      </c>
      <c r="H4999" s="1930" t="s">
        <v>3686</v>
      </c>
      <c r="I4999" s="1930" t="s">
        <v>306</v>
      </c>
      <c r="J4999" s="1930" t="s">
        <v>137</v>
      </c>
      <c r="K4999" s="1933">
        <v>73.63</v>
      </c>
      <c r="L4999" s="1930" t="s">
        <v>138</v>
      </c>
    </row>
    <row r="5000" spans="1:12" ht="13.5" x14ac:dyDescent="0.25">
      <c r="A5000" s="1930" t="s">
        <v>4702</v>
      </c>
      <c r="B5000" s="1930" t="s">
        <v>4703</v>
      </c>
      <c r="C5000" s="1930" t="s">
        <v>4708</v>
      </c>
      <c r="D5000" s="1930" t="s">
        <v>4709</v>
      </c>
      <c r="E5000" s="1931" t="s">
        <v>33</v>
      </c>
      <c r="F5000" s="1930" t="s">
        <v>33</v>
      </c>
      <c r="G5000" s="1932">
        <v>87470</v>
      </c>
      <c r="H5000" s="1930" t="s">
        <v>3687</v>
      </c>
      <c r="I5000" s="1930" t="s">
        <v>306</v>
      </c>
      <c r="J5000" s="1930" t="s">
        <v>137</v>
      </c>
      <c r="K5000" s="1933">
        <v>74.81</v>
      </c>
      <c r="L5000" s="1930" t="s">
        <v>138</v>
      </c>
    </row>
    <row r="5001" spans="1:12" ht="13.5" x14ac:dyDescent="0.25">
      <c r="A5001" s="1930" t="s">
        <v>4702</v>
      </c>
      <c r="B5001" s="1930" t="s">
        <v>4703</v>
      </c>
      <c r="C5001" s="1930" t="s">
        <v>4708</v>
      </c>
      <c r="D5001" s="1930" t="s">
        <v>4709</v>
      </c>
      <c r="E5001" s="1931" t="s">
        <v>33</v>
      </c>
      <c r="F5001" s="1930" t="s">
        <v>33</v>
      </c>
      <c r="G5001" s="1932">
        <v>89044</v>
      </c>
      <c r="H5001" s="1930" t="s">
        <v>3688</v>
      </c>
      <c r="I5001" s="1930" t="s">
        <v>306</v>
      </c>
      <c r="J5001" s="1930" t="s">
        <v>137</v>
      </c>
      <c r="K5001" s="1933">
        <v>47.83</v>
      </c>
      <c r="L5001" s="1930" t="s">
        <v>138</v>
      </c>
    </row>
    <row r="5002" spans="1:12" ht="13.5" x14ac:dyDescent="0.25">
      <c r="A5002" s="1930" t="s">
        <v>4702</v>
      </c>
      <c r="B5002" s="1930" t="s">
        <v>4703</v>
      </c>
      <c r="C5002" s="1930" t="s">
        <v>4708</v>
      </c>
      <c r="D5002" s="1930" t="s">
        <v>4709</v>
      </c>
      <c r="E5002" s="1931" t="s">
        <v>33</v>
      </c>
      <c r="F5002" s="1930" t="s">
        <v>33</v>
      </c>
      <c r="G5002" s="1932">
        <v>89169</v>
      </c>
      <c r="H5002" s="1930" t="s">
        <v>3689</v>
      </c>
      <c r="I5002" s="1930" t="s">
        <v>306</v>
      </c>
      <c r="J5002" s="1930" t="s">
        <v>137</v>
      </c>
      <c r="K5002" s="1933">
        <v>48.59</v>
      </c>
      <c r="L5002" s="1930" t="s">
        <v>138</v>
      </c>
    </row>
    <row r="5003" spans="1:12" ht="13.5" x14ac:dyDescent="0.25">
      <c r="A5003" s="1930" t="s">
        <v>4702</v>
      </c>
      <c r="B5003" s="1930" t="s">
        <v>4703</v>
      </c>
      <c r="C5003" s="1930" t="s">
        <v>4708</v>
      </c>
      <c r="D5003" s="1930" t="s">
        <v>4709</v>
      </c>
      <c r="E5003" s="1931" t="s">
        <v>33</v>
      </c>
      <c r="F5003" s="1930" t="s">
        <v>33</v>
      </c>
      <c r="G5003" s="1932">
        <v>89978</v>
      </c>
      <c r="H5003" s="1930" t="s">
        <v>3690</v>
      </c>
      <c r="I5003" s="1930" t="s">
        <v>306</v>
      </c>
      <c r="J5003" s="1930" t="s">
        <v>137</v>
      </c>
      <c r="K5003" s="1933">
        <v>61.46</v>
      </c>
      <c r="L5003" s="1930" t="s">
        <v>138</v>
      </c>
    </row>
    <row r="5004" spans="1:12" ht="13.5" x14ac:dyDescent="0.25">
      <c r="A5004" s="1930" t="s">
        <v>4702</v>
      </c>
      <c r="B5004" s="1930" t="s">
        <v>4703</v>
      </c>
      <c r="C5004" s="1930" t="s">
        <v>4710</v>
      </c>
      <c r="D5004" s="1930" t="s">
        <v>4711</v>
      </c>
      <c r="E5004" s="1931">
        <v>73937</v>
      </c>
      <c r="F5004" s="1930" t="s">
        <v>4712</v>
      </c>
      <c r="G5004" s="1932" t="s">
        <v>3691</v>
      </c>
      <c r="H5004" s="1930" t="s">
        <v>3692</v>
      </c>
      <c r="I5004" s="1930" t="s">
        <v>306</v>
      </c>
      <c r="J5004" s="1930" t="s">
        <v>320</v>
      </c>
      <c r="K5004" s="1933">
        <v>108.92</v>
      </c>
      <c r="L5004" s="1930" t="s">
        <v>138</v>
      </c>
    </row>
    <row r="5005" spans="1:12" ht="13.5" x14ac:dyDescent="0.25">
      <c r="A5005" s="1930" t="s">
        <v>4702</v>
      </c>
      <c r="B5005" s="1930" t="s">
        <v>4703</v>
      </c>
      <c r="C5005" s="1930" t="s">
        <v>4710</v>
      </c>
      <c r="D5005" s="1930" t="s">
        <v>4711</v>
      </c>
      <c r="E5005" s="1931">
        <v>73937</v>
      </c>
      <c r="F5005" s="1930" t="s">
        <v>4712</v>
      </c>
      <c r="G5005" s="1932" t="s">
        <v>3693</v>
      </c>
      <c r="H5005" s="1930" t="s">
        <v>3694</v>
      </c>
      <c r="I5005" s="1930" t="s">
        <v>306</v>
      </c>
      <c r="J5005" s="1930" t="s">
        <v>320</v>
      </c>
      <c r="K5005" s="1933">
        <v>109.08</v>
      </c>
      <c r="L5005" s="1930" t="s">
        <v>138</v>
      </c>
    </row>
    <row r="5006" spans="1:12" ht="13.5" x14ac:dyDescent="0.25">
      <c r="A5006" s="1930" t="s">
        <v>4702</v>
      </c>
      <c r="B5006" s="1930" t="s">
        <v>4703</v>
      </c>
      <c r="C5006" s="1930" t="s">
        <v>4710</v>
      </c>
      <c r="D5006" s="1930" t="s">
        <v>4711</v>
      </c>
      <c r="E5006" s="1931">
        <v>73937</v>
      </c>
      <c r="F5006" s="1930" t="s">
        <v>4712</v>
      </c>
      <c r="G5006" s="1932" t="s">
        <v>3695</v>
      </c>
      <c r="H5006" s="1930" t="s">
        <v>3696</v>
      </c>
      <c r="I5006" s="1930" t="s">
        <v>306</v>
      </c>
      <c r="J5006" s="1930" t="s">
        <v>320</v>
      </c>
      <c r="K5006" s="1933">
        <v>190.15</v>
      </c>
      <c r="L5006" s="1930" t="s">
        <v>138</v>
      </c>
    </row>
    <row r="5007" spans="1:12" ht="13.5" x14ac:dyDescent="0.25">
      <c r="A5007" s="1930" t="s">
        <v>4702</v>
      </c>
      <c r="B5007" s="1930" t="s">
        <v>4703</v>
      </c>
      <c r="C5007" s="1930" t="s">
        <v>4710</v>
      </c>
      <c r="D5007" s="1930" t="s">
        <v>4711</v>
      </c>
      <c r="E5007" s="1931" t="s">
        <v>33</v>
      </c>
      <c r="F5007" s="1930" t="s">
        <v>33</v>
      </c>
      <c r="G5007" s="1932">
        <v>89453</v>
      </c>
      <c r="H5007" s="1930" t="s">
        <v>3697</v>
      </c>
      <c r="I5007" s="1930" t="s">
        <v>306</v>
      </c>
      <c r="J5007" s="1930" t="s">
        <v>320</v>
      </c>
      <c r="K5007" s="1933">
        <v>54.57</v>
      </c>
      <c r="L5007" s="1930" t="s">
        <v>138</v>
      </c>
    </row>
    <row r="5008" spans="1:12" ht="13.5" x14ac:dyDescent="0.25">
      <c r="A5008" s="1930" t="s">
        <v>4702</v>
      </c>
      <c r="B5008" s="1930" t="s">
        <v>4703</v>
      </c>
      <c r="C5008" s="1930" t="s">
        <v>4710</v>
      </c>
      <c r="D5008" s="1930" t="s">
        <v>4711</v>
      </c>
      <c r="E5008" s="1931" t="s">
        <v>33</v>
      </c>
      <c r="F5008" s="1930" t="s">
        <v>33</v>
      </c>
      <c r="G5008" s="1932">
        <v>89454</v>
      </c>
      <c r="H5008" s="1930" t="s">
        <v>3698</v>
      </c>
      <c r="I5008" s="1930" t="s">
        <v>306</v>
      </c>
      <c r="J5008" s="1930" t="s">
        <v>320</v>
      </c>
      <c r="K5008" s="1933">
        <v>51.93</v>
      </c>
      <c r="L5008" s="1930" t="s">
        <v>138</v>
      </c>
    </row>
    <row r="5009" spans="1:12" ht="13.5" x14ac:dyDescent="0.25">
      <c r="A5009" s="1930" t="s">
        <v>4702</v>
      </c>
      <c r="B5009" s="1930" t="s">
        <v>4703</v>
      </c>
      <c r="C5009" s="1930" t="s">
        <v>4710</v>
      </c>
      <c r="D5009" s="1930" t="s">
        <v>4711</v>
      </c>
      <c r="E5009" s="1931" t="s">
        <v>33</v>
      </c>
      <c r="F5009" s="1930" t="s">
        <v>33</v>
      </c>
      <c r="G5009" s="1932">
        <v>89455</v>
      </c>
      <c r="H5009" s="1930" t="s">
        <v>3699</v>
      </c>
      <c r="I5009" s="1930" t="s">
        <v>306</v>
      </c>
      <c r="J5009" s="1930" t="s">
        <v>320</v>
      </c>
      <c r="K5009" s="1933">
        <v>67.209999999999994</v>
      </c>
      <c r="L5009" s="1930" t="s">
        <v>138</v>
      </c>
    </row>
    <row r="5010" spans="1:12" ht="13.5" x14ac:dyDescent="0.25">
      <c r="A5010" s="1930" t="s">
        <v>4702</v>
      </c>
      <c r="B5010" s="1930" t="s">
        <v>4703</v>
      </c>
      <c r="C5010" s="1930" t="s">
        <v>4710</v>
      </c>
      <c r="D5010" s="1930" t="s">
        <v>4711</v>
      </c>
      <c r="E5010" s="1931" t="s">
        <v>33</v>
      </c>
      <c r="F5010" s="1930" t="s">
        <v>33</v>
      </c>
      <c r="G5010" s="1932">
        <v>89456</v>
      </c>
      <c r="H5010" s="1930" t="s">
        <v>3700</v>
      </c>
      <c r="I5010" s="1930" t="s">
        <v>306</v>
      </c>
      <c r="J5010" s="1930" t="s">
        <v>320</v>
      </c>
      <c r="K5010" s="1933">
        <v>64.02</v>
      </c>
      <c r="L5010" s="1930" t="s">
        <v>138</v>
      </c>
    </row>
    <row r="5011" spans="1:12" ht="13.5" x14ac:dyDescent="0.25">
      <c r="A5011" s="1930" t="s">
        <v>4702</v>
      </c>
      <c r="B5011" s="1930" t="s">
        <v>4703</v>
      </c>
      <c r="C5011" s="1930" t="s">
        <v>4710</v>
      </c>
      <c r="D5011" s="1930" t="s">
        <v>4711</v>
      </c>
      <c r="E5011" s="1931" t="s">
        <v>33</v>
      </c>
      <c r="F5011" s="1930" t="s">
        <v>33</v>
      </c>
      <c r="G5011" s="1932">
        <v>89457</v>
      </c>
      <c r="H5011" s="1930" t="s">
        <v>3701</v>
      </c>
      <c r="I5011" s="1930" t="s">
        <v>306</v>
      </c>
      <c r="J5011" s="1930" t="s">
        <v>320</v>
      </c>
      <c r="K5011" s="1933">
        <v>58.18</v>
      </c>
      <c r="L5011" s="1930" t="s">
        <v>138</v>
      </c>
    </row>
    <row r="5012" spans="1:12" ht="13.5" x14ac:dyDescent="0.25">
      <c r="A5012" s="1930" t="s">
        <v>4702</v>
      </c>
      <c r="B5012" s="1930" t="s">
        <v>4703</v>
      </c>
      <c r="C5012" s="1930" t="s">
        <v>4710</v>
      </c>
      <c r="D5012" s="1930" t="s">
        <v>4711</v>
      </c>
      <c r="E5012" s="1931" t="s">
        <v>33</v>
      </c>
      <c r="F5012" s="1930" t="s">
        <v>33</v>
      </c>
      <c r="G5012" s="1932">
        <v>89458</v>
      </c>
      <c r="H5012" s="1930" t="s">
        <v>3702</v>
      </c>
      <c r="I5012" s="1930" t="s">
        <v>306</v>
      </c>
      <c r="J5012" s="1930" t="s">
        <v>320</v>
      </c>
      <c r="K5012" s="1933">
        <v>53.99</v>
      </c>
      <c r="L5012" s="1930" t="s">
        <v>138</v>
      </c>
    </row>
    <row r="5013" spans="1:12" ht="13.5" x14ac:dyDescent="0.25">
      <c r="A5013" s="1930" t="s">
        <v>4702</v>
      </c>
      <c r="B5013" s="1930" t="s">
        <v>4703</v>
      </c>
      <c r="C5013" s="1930" t="s">
        <v>4710</v>
      </c>
      <c r="D5013" s="1930" t="s">
        <v>4711</v>
      </c>
      <c r="E5013" s="1931" t="s">
        <v>33</v>
      </c>
      <c r="F5013" s="1930" t="s">
        <v>33</v>
      </c>
      <c r="G5013" s="1932">
        <v>89459</v>
      </c>
      <c r="H5013" s="1930" t="s">
        <v>3703</v>
      </c>
      <c r="I5013" s="1930" t="s">
        <v>306</v>
      </c>
      <c r="J5013" s="1930" t="s">
        <v>320</v>
      </c>
      <c r="K5013" s="1933">
        <v>72.180000000000007</v>
      </c>
      <c r="L5013" s="1930" t="s">
        <v>138</v>
      </c>
    </row>
    <row r="5014" spans="1:12" ht="13.5" x14ac:dyDescent="0.25">
      <c r="A5014" s="1930" t="s">
        <v>4702</v>
      </c>
      <c r="B5014" s="1930" t="s">
        <v>4703</v>
      </c>
      <c r="C5014" s="1930" t="s">
        <v>4710</v>
      </c>
      <c r="D5014" s="1930" t="s">
        <v>4711</v>
      </c>
      <c r="E5014" s="1931" t="s">
        <v>33</v>
      </c>
      <c r="F5014" s="1930" t="s">
        <v>33</v>
      </c>
      <c r="G5014" s="1932">
        <v>89460</v>
      </c>
      <c r="H5014" s="1930" t="s">
        <v>3704</v>
      </c>
      <c r="I5014" s="1930" t="s">
        <v>306</v>
      </c>
      <c r="J5014" s="1930" t="s">
        <v>320</v>
      </c>
      <c r="K5014" s="1933">
        <v>67.03</v>
      </c>
      <c r="L5014" s="1930" t="s">
        <v>138</v>
      </c>
    </row>
    <row r="5015" spans="1:12" ht="13.5" x14ac:dyDescent="0.25">
      <c r="A5015" s="1930" t="s">
        <v>4702</v>
      </c>
      <c r="B5015" s="1930" t="s">
        <v>4703</v>
      </c>
      <c r="C5015" s="1930" t="s">
        <v>4710</v>
      </c>
      <c r="D5015" s="1930" t="s">
        <v>4711</v>
      </c>
      <c r="E5015" s="1931" t="s">
        <v>33</v>
      </c>
      <c r="F5015" s="1930" t="s">
        <v>33</v>
      </c>
      <c r="G5015" s="1932">
        <v>89462</v>
      </c>
      <c r="H5015" s="1930" t="s">
        <v>3705</v>
      </c>
      <c r="I5015" s="1930" t="s">
        <v>306</v>
      </c>
      <c r="J5015" s="1930" t="s">
        <v>320</v>
      </c>
      <c r="K5015" s="1933">
        <v>62.97</v>
      </c>
      <c r="L5015" s="1930" t="s">
        <v>138</v>
      </c>
    </row>
    <row r="5016" spans="1:12" ht="13.5" x14ac:dyDescent="0.25">
      <c r="A5016" s="1930" t="s">
        <v>4702</v>
      </c>
      <c r="B5016" s="1930" t="s">
        <v>4703</v>
      </c>
      <c r="C5016" s="1930" t="s">
        <v>4710</v>
      </c>
      <c r="D5016" s="1930" t="s">
        <v>4711</v>
      </c>
      <c r="E5016" s="1931" t="s">
        <v>33</v>
      </c>
      <c r="F5016" s="1930" t="s">
        <v>33</v>
      </c>
      <c r="G5016" s="1932">
        <v>89463</v>
      </c>
      <c r="H5016" s="1930" t="s">
        <v>3706</v>
      </c>
      <c r="I5016" s="1930" t="s">
        <v>306</v>
      </c>
      <c r="J5016" s="1930" t="s">
        <v>320</v>
      </c>
      <c r="K5016" s="1933">
        <v>60.56</v>
      </c>
      <c r="L5016" s="1930" t="s">
        <v>138</v>
      </c>
    </row>
    <row r="5017" spans="1:12" ht="13.5" x14ac:dyDescent="0.25">
      <c r="A5017" s="1930" t="s">
        <v>4702</v>
      </c>
      <c r="B5017" s="1930" t="s">
        <v>4703</v>
      </c>
      <c r="C5017" s="1930" t="s">
        <v>4710</v>
      </c>
      <c r="D5017" s="1930" t="s">
        <v>4711</v>
      </c>
      <c r="E5017" s="1931" t="s">
        <v>33</v>
      </c>
      <c r="F5017" s="1930" t="s">
        <v>33</v>
      </c>
      <c r="G5017" s="1932">
        <v>89464</v>
      </c>
      <c r="H5017" s="1930" t="s">
        <v>3707</v>
      </c>
      <c r="I5017" s="1930" t="s">
        <v>306</v>
      </c>
      <c r="J5017" s="1930" t="s">
        <v>320</v>
      </c>
      <c r="K5017" s="1933">
        <v>83.37</v>
      </c>
      <c r="L5017" s="1930" t="s">
        <v>138</v>
      </c>
    </row>
    <row r="5018" spans="1:12" ht="13.5" x14ac:dyDescent="0.25">
      <c r="A5018" s="1930" t="s">
        <v>4702</v>
      </c>
      <c r="B5018" s="1930" t="s">
        <v>4703</v>
      </c>
      <c r="C5018" s="1930" t="s">
        <v>4710</v>
      </c>
      <c r="D5018" s="1930" t="s">
        <v>4711</v>
      </c>
      <c r="E5018" s="1931" t="s">
        <v>33</v>
      </c>
      <c r="F5018" s="1930" t="s">
        <v>33</v>
      </c>
      <c r="G5018" s="1932">
        <v>89465</v>
      </c>
      <c r="H5018" s="1930" t="s">
        <v>3708</v>
      </c>
      <c r="I5018" s="1930" t="s">
        <v>306</v>
      </c>
      <c r="J5018" s="1930" t="s">
        <v>320</v>
      </c>
      <c r="K5018" s="1933">
        <v>80.53</v>
      </c>
      <c r="L5018" s="1930" t="s">
        <v>138</v>
      </c>
    </row>
    <row r="5019" spans="1:12" ht="13.5" x14ac:dyDescent="0.25">
      <c r="A5019" s="1930" t="s">
        <v>4702</v>
      </c>
      <c r="B5019" s="1930" t="s">
        <v>4703</v>
      </c>
      <c r="C5019" s="1930" t="s">
        <v>4710</v>
      </c>
      <c r="D5019" s="1930" t="s">
        <v>4711</v>
      </c>
      <c r="E5019" s="1931" t="s">
        <v>33</v>
      </c>
      <c r="F5019" s="1930" t="s">
        <v>33</v>
      </c>
      <c r="G5019" s="1932">
        <v>89466</v>
      </c>
      <c r="H5019" s="1930" t="s">
        <v>3709</v>
      </c>
      <c r="I5019" s="1930" t="s">
        <v>306</v>
      </c>
      <c r="J5019" s="1930" t="s">
        <v>320</v>
      </c>
      <c r="K5019" s="1933">
        <v>66.819999999999993</v>
      </c>
      <c r="L5019" s="1930" t="s">
        <v>138</v>
      </c>
    </row>
    <row r="5020" spans="1:12" ht="13.5" x14ac:dyDescent="0.25">
      <c r="A5020" s="1930" t="s">
        <v>4702</v>
      </c>
      <c r="B5020" s="1930" t="s">
        <v>4703</v>
      </c>
      <c r="C5020" s="1930" t="s">
        <v>4710</v>
      </c>
      <c r="D5020" s="1930" t="s">
        <v>4711</v>
      </c>
      <c r="E5020" s="1931" t="s">
        <v>33</v>
      </c>
      <c r="F5020" s="1930" t="s">
        <v>33</v>
      </c>
      <c r="G5020" s="1932">
        <v>89467</v>
      </c>
      <c r="H5020" s="1930" t="s">
        <v>3710</v>
      </c>
      <c r="I5020" s="1930" t="s">
        <v>306</v>
      </c>
      <c r="J5020" s="1930" t="s">
        <v>320</v>
      </c>
      <c r="K5020" s="1933">
        <v>62.62</v>
      </c>
      <c r="L5020" s="1930" t="s">
        <v>138</v>
      </c>
    </row>
    <row r="5021" spans="1:12" ht="13.5" x14ac:dyDescent="0.25">
      <c r="A5021" s="1930" t="s">
        <v>4702</v>
      </c>
      <c r="B5021" s="1930" t="s">
        <v>4703</v>
      </c>
      <c r="C5021" s="1930" t="s">
        <v>4710</v>
      </c>
      <c r="D5021" s="1930" t="s">
        <v>4711</v>
      </c>
      <c r="E5021" s="1931" t="s">
        <v>33</v>
      </c>
      <c r="F5021" s="1930" t="s">
        <v>33</v>
      </c>
      <c r="G5021" s="1932">
        <v>89468</v>
      </c>
      <c r="H5021" s="1930" t="s">
        <v>3711</v>
      </c>
      <c r="I5021" s="1930" t="s">
        <v>306</v>
      </c>
      <c r="J5021" s="1930" t="s">
        <v>320</v>
      </c>
      <c r="K5021" s="1933">
        <v>88.05</v>
      </c>
      <c r="L5021" s="1930" t="s">
        <v>138</v>
      </c>
    </row>
    <row r="5022" spans="1:12" ht="13.5" x14ac:dyDescent="0.25">
      <c r="A5022" s="1930" t="s">
        <v>4702</v>
      </c>
      <c r="B5022" s="1930" t="s">
        <v>4703</v>
      </c>
      <c r="C5022" s="1930" t="s">
        <v>4710</v>
      </c>
      <c r="D5022" s="1930" t="s">
        <v>4711</v>
      </c>
      <c r="E5022" s="1931" t="s">
        <v>33</v>
      </c>
      <c r="F5022" s="1930" t="s">
        <v>33</v>
      </c>
      <c r="G5022" s="1932">
        <v>89469</v>
      </c>
      <c r="H5022" s="1930" t="s">
        <v>3712</v>
      </c>
      <c r="I5022" s="1930" t="s">
        <v>306</v>
      </c>
      <c r="J5022" s="1930" t="s">
        <v>320</v>
      </c>
      <c r="K5022" s="1933">
        <v>83.06</v>
      </c>
      <c r="L5022" s="1930" t="s">
        <v>138</v>
      </c>
    </row>
    <row r="5023" spans="1:12" ht="13.5" x14ac:dyDescent="0.25">
      <c r="A5023" s="1930" t="s">
        <v>4702</v>
      </c>
      <c r="B5023" s="1930" t="s">
        <v>4703</v>
      </c>
      <c r="C5023" s="1930" t="s">
        <v>4710</v>
      </c>
      <c r="D5023" s="1930" t="s">
        <v>4711</v>
      </c>
      <c r="E5023" s="1931" t="s">
        <v>33</v>
      </c>
      <c r="F5023" s="1930" t="s">
        <v>33</v>
      </c>
      <c r="G5023" s="1932">
        <v>89470</v>
      </c>
      <c r="H5023" s="1930" t="s">
        <v>3713</v>
      </c>
      <c r="I5023" s="1930" t="s">
        <v>306</v>
      </c>
      <c r="J5023" s="1930" t="s">
        <v>320</v>
      </c>
      <c r="K5023" s="1933">
        <v>66.150000000000006</v>
      </c>
      <c r="L5023" s="1930" t="s">
        <v>138</v>
      </c>
    </row>
    <row r="5024" spans="1:12" ht="13.5" x14ac:dyDescent="0.25">
      <c r="A5024" s="1930" t="s">
        <v>4702</v>
      </c>
      <c r="B5024" s="1930" t="s">
        <v>4703</v>
      </c>
      <c r="C5024" s="1930" t="s">
        <v>4710</v>
      </c>
      <c r="D5024" s="1930" t="s">
        <v>4711</v>
      </c>
      <c r="E5024" s="1931" t="s">
        <v>33</v>
      </c>
      <c r="F5024" s="1930" t="s">
        <v>33</v>
      </c>
      <c r="G5024" s="1932">
        <v>89471</v>
      </c>
      <c r="H5024" s="1930" t="s">
        <v>3714</v>
      </c>
      <c r="I5024" s="1930" t="s">
        <v>306</v>
      </c>
      <c r="J5024" s="1930" t="s">
        <v>320</v>
      </c>
      <c r="K5024" s="1933">
        <v>63.52</v>
      </c>
      <c r="L5024" s="1930" t="s">
        <v>138</v>
      </c>
    </row>
    <row r="5025" spans="1:12" ht="13.5" x14ac:dyDescent="0.25">
      <c r="A5025" s="1930" t="s">
        <v>4702</v>
      </c>
      <c r="B5025" s="1930" t="s">
        <v>4703</v>
      </c>
      <c r="C5025" s="1930" t="s">
        <v>4710</v>
      </c>
      <c r="D5025" s="1930" t="s">
        <v>4711</v>
      </c>
      <c r="E5025" s="1931" t="s">
        <v>33</v>
      </c>
      <c r="F5025" s="1930" t="s">
        <v>33</v>
      </c>
      <c r="G5025" s="1932">
        <v>89472</v>
      </c>
      <c r="H5025" s="1930" t="s">
        <v>3715</v>
      </c>
      <c r="I5025" s="1930" t="s">
        <v>306</v>
      </c>
      <c r="J5025" s="1930" t="s">
        <v>320</v>
      </c>
      <c r="K5025" s="1933">
        <v>78.540000000000006</v>
      </c>
      <c r="L5025" s="1930" t="s">
        <v>138</v>
      </c>
    </row>
    <row r="5026" spans="1:12" ht="13.5" x14ac:dyDescent="0.25">
      <c r="A5026" s="1930" t="s">
        <v>4702</v>
      </c>
      <c r="B5026" s="1930" t="s">
        <v>4703</v>
      </c>
      <c r="C5026" s="1930" t="s">
        <v>4710</v>
      </c>
      <c r="D5026" s="1930" t="s">
        <v>4711</v>
      </c>
      <c r="E5026" s="1931" t="s">
        <v>33</v>
      </c>
      <c r="F5026" s="1930" t="s">
        <v>33</v>
      </c>
      <c r="G5026" s="1932">
        <v>89473</v>
      </c>
      <c r="H5026" s="1930" t="s">
        <v>3716</v>
      </c>
      <c r="I5026" s="1930" t="s">
        <v>306</v>
      </c>
      <c r="J5026" s="1930" t="s">
        <v>320</v>
      </c>
      <c r="K5026" s="1933">
        <v>75.55</v>
      </c>
      <c r="L5026" s="1930" t="s">
        <v>138</v>
      </c>
    </row>
    <row r="5027" spans="1:12" ht="13.5" x14ac:dyDescent="0.25">
      <c r="A5027" s="1930" t="s">
        <v>4702</v>
      </c>
      <c r="B5027" s="1930" t="s">
        <v>4703</v>
      </c>
      <c r="C5027" s="1930" t="s">
        <v>4710</v>
      </c>
      <c r="D5027" s="1930" t="s">
        <v>4711</v>
      </c>
      <c r="E5027" s="1931" t="s">
        <v>33</v>
      </c>
      <c r="F5027" s="1930" t="s">
        <v>33</v>
      </c>
      <c r="G5027" s="1932">
        <v>89474</v>
      </c>
      <c r="H5027" s="1930" t="s">
        <v>3717</v>
      </c>
      <c r="I5027" s="1930" t="s">
        <v>306</v>
      </c>
      <c r="J5027" s="1930" t="s">
        <v>320</v>
      </c>
      <c r="K5027" s="1933">
        <v>72.98</v>
      </c>
      <c r="L5027" s="1930" t="s">
        <v>138</v>
      </c>
    </row>
    <row r="5028" spans="1:12" ht="13.5" x14ac:dyDescent="0.25">
      <c r="A5028" s="1930" t="s">
        <v>4702</v>
      </c>
      <c r="B5028" s="1930" t="s">
        <v>4703</v>
      </c>
      <c r="C5028" s="1930" t="s">
        <v>4710</v>
      </c>
      <c r="D5028" s="1930" t="s">
        <v>4711</v>
      </c>
      <c r="E5028" s="1931" t="s">
        <v>33</v>
      </c>
      <c r="F5028" s="1930" t="s">
        <v>33</v>
      </c>
      <c r="G5028" s="1932">
        <v>89475</v>
      </c>
      <c r="H5028" s="1930" t="s">
        <v>3718</v>
      </c>
      <c r="I5028" s="1930" t="s">
        <v>306</v>
      </c>
      <c r="J5028" s="1930" t="s">
        <v>320</v>
      </c>
      <c r="K5028" s="1933">
        <v>67.33</v>
      </c>
      <c r="L5028" s="1930" t="s">
        <v>138</v>
      </c>
    </row>
    <row r="5029" spans="1:12" ht="13.5" x14ac:dyDescent="0.25">
      <c r="A5029" s="1930" t="s">
        <v>4702</v>
      </c>
      <c r="B5029" s="1930" t="s">
        <v>4703</v>
      </c>
      <c r="C5029" s="1930" t="s">
        <v>4710</v>
      </c>
      <c r="D5029" s="1930" t="s">
        <v>4711</v>
      </c>
      <c r="E5029" s="1931" t="s">
        <v>33</v>
      </c>
      <c r="F5029" s="1930" t="s">
        <v>33</v>
      </c>
      <c r="G5029" s="1932">
        <v>89476</v>
      </c>
      <c r="H5029" s="1930" t="s">
        <v>3719</v>
      </c>
      <c r="I5029" s="1930" t="s">
        <v>306</v>
      </c>
      <c r="J5029" s="1930" t="s">
        <v>320</v>
      </c>
      <c r="K5029" s="1933">
        <v>86.93</v>
      </c>
      <c r="L5029" s="1930" t="s">
        <v>138</v>
      </c>
    </row>
    <row r="5030" spans="1:12" ht="13.5" x14ac:dyDescent="0.25">
      <c r="A5030" s="1930" t="s">
        <v>4702</v>
      </c>
      <c r="B5030" s="1930" t="s">
        <v>4703</v>
      </c>
      <c r="C5030" s="1930" t="s">
        <v>4710</v>
      </c>
      <c r="D5030" s="1930" t="s">
        <v>4711</v>
      </c>
      <c r="E5030" s="1931" t="s">
        <v>33</v>
      </c>
      <c r="F5030" s="1930" t="s">
        <v>33</v>
      </c>
      <c r="G5030" s="1932">
        <v>89477</v>
      </c>
      <c r="H5030" s="1930" t="s">
        <v>3720</v>
      </c>
      <c r="I5030" s="1930" t="s">
        <v>306</v>
      </c>
      <c r="J5030" s="1930" t="s">
        <v>320</v>
      </c>
      <c r="K5030" s="1933">
        <v>80.52</v>
      </c>
      <c r="L5030" s="1930" t="s">
        <v>138</v>
      </c>
    </row>
    <row r="5031" spans="1:12" ht="13.5" x14ac:dyDescent="0.25">
      <c r="A5031" s="1930" t="s">
        <v>4702</v>
      </c>
      <c r="B5031" s="1930" t="s">
        <v>4703</v>
      </c>
      <c r="C5031" s="1930" t="s">
        <v>4710</v>
      </c>
      <c r="D5031" s="1930" t="s">
        <v>4711</v>
      </c>
      <c r="E5031" s="1931" t="s">
        <v>33</v>
      </c>
      <c r="F5031" s="1930" t="s">
        <v>33</v>
      </c>
      <c r="G5031" s="1932">
        <v>89478</v>
      </c>
      <c r="H5031" s="1930" t="s">
        <v>3721</v>
      </c>
      <c r="I5031" s="1930" t="s">
        <v>306</v>
      </c>
      <c r="J5031" s="1930" t="s">
        <v>320</v>
      </c>
      <c r="K5031" s="1933">
        <v>74.78</v>
      </c>
      <c r="L5031" s="1930" t="s">
        <v>138</v>
      </c>
    </row>
    <row r="5032" spans="1:12" ht="13.5" x14ac:dyDescent="0.25">
      <c r="A5032" s="1930" t="s">
        <v>4702</v>
      </c>
      <c r="B5032" s="1930" t="s">
        <v>4703</v>
      </c>
      <c r="C5032" s="1930" t="s">
        <v>4710</v>
      </c>
      <c r="D5032" s="1930" t="s">
        <v>4711</v>
      </c>
      <c r="E5032" s="1931" t="s">
        <v>33</v>
      </c>
      <c r="F5032" s="1930" t="s">
        <v>33</v>
      </c>
      <c r="G5032" s="1932">
        <v>89479</v>
      </c>
      <c r="H5032" s="1930" t="s">
        <v>3722</v>
      </c>
      <c r="I5032" s="1930" t="s">
        <v>306</v>
      </c>
      <c r="J5032" s="1930" t="s">
        <v>320</v>
      </c>
      <c r="K5032" s="1933">
        <v>72.38</v>
      </c>
      <c r="L5032" s="1930" t="s">
        <v>138</v>
      </c>
    </row>
    <row r="5033" spans="1:12" ht="13.5" x14ac:dyDescent="0.25">
      <c r="A5033" s="1930" t="s">
        <v>4702</v>
      </c>
      <c r="B5033" s="1930" t="s">
        <v>4703</v>
      </c>
      <c r="C5033" s="1930" t="s">
        <v>4710</v>
      </c>
      <c r="D5033" s="1930" t="s">
        <v>4711</v>
      </c>
      <c r="E5033" s="1931" t="s">
        <v>33</v>
      </c>
      <c r="F5033" s="1930" t="s">
        <v>33</v>
      </c>
      <c r="G5033" s="1932">
        <v>89480</v>
      </c>
      <c r="H5033" s="1930" t="s">
        <v>3723</v>
      </c>
      <c r="I5033" s="1930" t="s">
        <v>306</v>
      </c>
      <c r="J5033" s="1930" t="s">
        <v>320</v>
      </c>
      <c r="K5033" s="1933">
        <v>94.92</v>
      </c>
      <c r="L5033" s="1930" t="s">
        <v>138</v>
      </c>
    </row>
    <row r="5034" spans="1:12" ht="13.5" x14ac:dyDescent="0.25">
      <c r="A5034" s="1930" t="s">
        <v>4702</v>
      </c>
      <c r="B5034" s="1930" t="s">
        <v>4703</v>
      </c>
      <c r="C5034" s="1930" t="s">
        <v>4710</v>
      </c>
      <c r="D5034" s="1930" t="s">
        <v>4711</v>
      </c>
      <c r="E5034" s="1931" t="s">
        <v>33</v>
      </c>
      <c r="F5034" s="1930" t="s">
        <v>33</v>
      </c>
      <c r="G5034" s="1932">
        <v>89483</v>
      </c>
      <c r="H5034" s="1930" t="s">
        <v>3724</v>
      </c>
      <c r="I5034" s="1930" t="s">
        <v>306</v>
      </c>
      <c r="J5034" s="1930" t="s">
        <v>320</v>
      </c>
      <c r="K5034" s="1933">
        <v>92.26</v>
      </c>
      <c r="L5034" s="1930" t="s">
        <v>138</v>
      </c>
    </row>
    <row r="5035" spans="1:12" ht="13.5" x14ac:dyDescent="0.25">
      <c r="A5035" s="1930" t="s">
        <v>4702</v>
      </c>
      <c r="B5035" s="1930" t="s">
        <v>4703</v>
      </c>
      <c r="C5035" s="1930" t="s">
        <v>4710</v>
      </c>
      <c r="D5035" s="1930" t="s">
        <v>4711</v>
      </c>
      <c r="E5035" s="1931" t="s">
        <v>33</v>
      </c>
      <c r="F5035" s="1930" t="s">
        <v>33</v>
      </c>
      <c r="G5035" s="1932">
        <v>89484</v>
      </c>
      <c r="H5035" s="1930" t="s">
        <v>3725</v>
      </c>
      <c r="I5035" s="1930" t="s">
        <v>306</v>
      </c>
      <c r="J5035" s="1930" t="s">
        <v>320</v>
      </c>
      <c r="K5035" s="1933">
        <v>81.849999999999994</v>
      </c>
      <c r="L5035" s="1930" t="s">
        <v>138</v>
      </c>
    </row>
    <row r="5036" spans="1:12" ht="13.5" x14ac:dyDescent="0.25">
      <c r="A5036" s="1930" t="s">
        <v>4702</v>
      </c>
      <c r="B5036" s="1930" t="s">
        <v>4703</v>
      </c>
      <c r="C5036" s="1930" t="s">
        <v>4710</v>
      </c>
      <c r="D5036" s="1930" t="s">
        <v>4711</v>
      </c>
      <c r="E5036" s="1931" t="s">
        <v>33</v>
      </c>
      <c r="F5036" s="1930" t="s">
        <v>33</v>
      </c>
      <c r="G5036" s="1932">
        <v>89486</v>
      </c>
      <c r="H5036" s="1930" t="s">
        <v>3726</v>
      </c>
      <c r="I5036" s="1930" t="s">
        <v>306</v>
      </c>
      <c r="J5036" s="1930" t="s">
        <v>320</v>
      </c>
      <c r="K5036" s="1933">
        <v>76.39</v>
      </c>
      <c r="L5036" s="1930" t="s">
        <v>138</v>
      </c>
    </row>
    <row r="5037" spans="1:12" ht="13.5" x14ac:dyDescent="0.25">
      <c r="A5037" s="1930" t="s">
        <v>4702</v>
      </c>
      <c r="B5037" s="1930" t="s">
        <v>4703</v>
      </c>
      <c r="C5037" s="1930" t="s">
        <v>4710</v>
      </c>
      <c r="D5037" s="1930" t="s">
        <v>4711</v>
      </c>
      <c r="E5037" s="1931" t="s">
        <v>33</v>
      </c>
      <c r="F5037" s="1930" t="s">
        <v>33</v>
      </c>
      <c r="G5037" s="1932">
        <v>89487</v>
      </c>
      <c r="H5037" s="1930" t="s">
        <v>3727</v>
      </c>
      <c r="I5037" s="1930" t="s">
        <v>306</v>
      </c>
      <c r="J5037" s="1930" t="s">
        <v>320</v>
      </c>
      <c r="K5037" s="1933">
        <v>103.02</v>
      </c>
      <c r="L5037" s="1930" t="s">
        <v>138</v>
      </c>
    </row>
    <row r="5038" spans="1:12" ht="13.5" x14ac:dyDescent="0.25">
      <c r="A5038" s="1930" t="s">
        <v>4702</v>
      </c>
      <c r="B5038" s="1930" t="s">
        <v>4703</v>
      </c>
      <c r="C5038" s="1930" t="s">
        <v>4710</v>
      </c>
      <c r="D5038" s="1930" t="s">
        <v>4711</v>
      </c>
      <c r="E5038" s="1931" t="s">
        <v>33</v>
      </c>
      <c r="F5038" s="1930" t="s">
        <v>33</v>
      </c>
      <c r="G5038" s="1932">
        <v>89488</v>
      </c>
      <c r="H5038" s="1930" t="s">
        <v>3728</v>
      </c>
      <c r="I5038" s="1930" t="s">
        <v>306</v>
      </c>
      <c r="J5038" s="1930" t="s">
        <v>320</v>
      </c>
      <c r="K5038" s="1933">
        <v>96.76</v>
      </c>
      <c r="L5038" s="1930" t="s">
        <v>138</v>
      </c>
    </row>
    <row r="5039" spans="1:12" ht="13.5" x14ac:dyDescent="0.25">
      <c r="A5039" s="1930" t="s">
        <v>4702</v>
      </c>
      <c r="B5039" s="1930" t="s">
        <v>4703</v>
      </c>
      <c r="C5039" s="1930" t="s">
        <v>4710</v>
      </c>
      <c r="D5039" s="1930" t="s">
        <v>4711</v>
      </c>
      <c r="E5039" s="1931" t="s">
        <v>33</v>
      </c>
      <c r="F5039" s="1930" t="s">
        <v>33</v>
      </c>
      <c r="G5039" s="1932">
        <v>91815</v>
      </c>
      <c r="H5039" s="1930" t="s">
        <v>3729</v>
      </c>
      <c r="I5039" s="1930" t="s">
        <v>306</v>
      </c>
      <c r="J5039" s="1930" t="s">
        <v>320</v>
      </c>
      <c r="K5039" s="1933">
        <v>54.55</v>
      </c>
      <c r="L5039" s="1930" t="s">
        <v>138</v>
      </c>
    </row>
    <row r="5040" spans="1:12" ht="13.5" x14ac:dyDescent="0.25">
      <c r="A5040" s="1930" t="s">
        <v>4702</v>
      </c>
      <c r="B5040" s="1930" t="s">
        <v>4703</v>
      </c>
      <c r="C5040" s="1930" t="s">
        <v>4710</v>
      </c>
      <c r="D5040" s="1930" t="s">
        <v>4711</v>
      </c>
      <c r="E5040" s="1931" t="s">
        <v>33</v>
      </c>
      <c r="F5040" s="1930" t="s">
        <v>33</v>
      </c>
      <c r="G5040" s="1932">
        <v>91816</v>
      </c>
      <c r="H5040" s="1930" t="s">
        <v>3730</v>
      </c>
      <c r="I5040" s="1930" t="s">
        <v>306</v>
      </c>
      <c r="J5040" s="1930" t="s">
        <v>320</v>
      </c>
      <c r="K5040" s="1933">
        <v>63.12</v>
      </c>
      <c r="L5040" s="1930" t="s">
        <v>138</v>
      </c>
    </row>
    <row r="5041" spans="1:12" ht="13.5" x14ac:dyDescent="0.25">
      <c r="A5041" s="1930" t="s">
        <v>4702</v>
      </c>
      <c r="B5041" s="1930" t="s">
        <v>4703</v>
      </c>
      <c r="C5041" s="1930" t="s">
        <v>4713</v>
      </c>
      <c r="D5041" s="1930" t="s">
        <v>4714</v>
      </c>
      <c r="E5041" s="1931" t="s">
        <v>33</v>
      </c>
      <c r="F5041" s="1930" t="s">
        <v>33</v>
      </c>
      <c r="G5041" s="1932">
        <v>72139</v>
      </c>
      <c r="H5041" s="1930" t="s">
        <v>3731</v>
      </c>
      <c r="I5041" s="1930" t="s">
        <v>306</v>
      </c>
      <c r="J5041" s="1930" t="s">
        <v>320</v>
      </c>
      <c r="K5041" s="1933">
        <v>427.37</v>
      </c>
      <c r="L5041" s="1930" t="s">
        <v>138</v>
      </c>
    </row>
    <row r="5042" spans="1:12" ht="13.5" x14ac:dyDescent="0.25">
      <c r="A5042" s="1930" t="s">
        <v>4702</v>
      </c>
      <c r="B5042" s="1930" t="s">
        <v>4703</v>
      </c>
      <c r="C5042" s="1930" t="s">
        <v>4713</v>
      </c>
      <c r="D5042" s="1930" t="s">
        <v>4714</v>
      </c>
      <c r="E5042" s="1931" t="s">
        <v>33</v>
      </c>
      <c r="F5042" s="1930" t="s">
        <v>33</v>
      </c>
      <c r="G5042" s="1932">
        <v>72175</v>
      </c>
      <c r="H5042" s="1930" t="s">
        <v>3732</v>
      </c>
      <c r="I5042" s="1930" t="s">
        <v>306</v>
      </c>
      <c r="J5042" s="1930" t="s">
        <v>320</v>
      </c>
      <c r="K5042" s="1933">
        <v>430.36</v>
      </c>
      <c r="L5042" s="1930" t="s">
        <v>138</v>
      </c>
    </row>
    <row r="5043" spans="1:12" ht="13.5" x14ac:dyDescent="0.25">
      <c r="A5043" s="1930" t="s">
        <v>4702</v>
      </c>
      <c r="B5043" s="1930" t="s">
        <v>4703</v>
      </c>
      <c r="C5043" s="1930" t="s">
        <v>4713</v>
      </c>
      <c r="D5043" s="1930" t="s">
        <v>4714</v>
      </c>
      <c r="E5043" s="1931" t="s">
        <v>33</v>
      </c>
      <c r="F5043" s="1930" t="s">
        <v>33</v>
      </c>
      <c r="G5043" s="1932">
        <v>72176</v>
      </c>
      <c r="H5043" s="1930" t="s">
        <v>3733</v>
      </c>
      <c r="I5043" s="1930" t="s">
        <v>306</v>
      </c>
      <c r="J5043" s="1930" t="s">
        <v>320</v>
      </c>
      <c r="K5043" s="1933">
        <v>433.36</v>
      </c>
      <c r="L5043" s="1930" t="s">
        <v>138</v>
      </c>
    </row>
    <row r="5044" spans="1:12" ht="13.5" x14ac:dyDescent="0.25">
      <c r="A5044" s="1930" t="s">
        <v>4702</v>
      </c>
      <c r="B5044" s="1930" t="s">
        <v>4703</v>
      </c>
      <c r="C5044" s="1930" t="s">
        <v>4715</v>
      </c>
      <c r="D5044" s="1930" t="s">
        <v>4716</v>
      </c>
      <c r="E5044" s="1931" t="s">
        <v>33</v>
      </c>
      <c r="F5044" s="1930" t="s">
        <v>33</v>
      </c>
      <c r="G5044" s="1932">
        <v>72178</v>
      </c>
      <c r="H5044" s="1930" t="s">
        <v>3734</v>
      </c>
      <c r="I5044" s="1930" t="s">
        <v>306</v>
      </c>
      <c r="J5044" s="1930" t="s">
        <v>320</v>
      </c>
      <c r="K5044" s="1933">
        <v>24.06</v>
      </c>
      <c r="L5044" s="1930" t="s">
        <v>138</v>
      </c>
    </row>
    <row r="5045" spans="1:12" ht="13.5" x14ac:dyDescent="0.25">
      <c r="A5045" s="1930" t="s">
        <v>4702</v>
      </c>
      <c r="B5045" s="1930" t="s">
        <v>4703</v>
      </c>
      <c r="C5045" s="1930" t="s">
        <v>4715</v>
      </c>
      <c r="D5045" s="1930" t="s">
        <v>4716</v>
      </c>
      <c r="E5045" s="1931" t="s">
        <v>33</v>
      </c>
      <c r="F5045" s="1930" t="s">
        <v>33</v>
      </c>
      <c r="G5045" s="1932">
        <v>72179</v>
      </c>
      <c r="H5045" s="1930" t="s">
        <v>3735</v>
      </c>
      <c r="I5045" s="1930" t="s">
        <v>306</v>
      </c>
      <c r="J5045" s="1930" t="s">
        <v>346</v>
      </c>
      <c r="K5045" s="1933">
        <v>50.37</v>
      </c>
      <c r="L5045" s="1930" t="s">
        <v>138</v>
      </c>
    </row>
    <row r="5046" spans="1:12" ht="13.5" x14ac:dyDescent="0.25">
      <c r="A5046" s="1930" t="s">
        <v>4702</v>
      </c>
      <c r="B5046" s="1930" t="s">
        <v>4703</v>
      </c>
      <c r="C5046" s="1930" t="s">
        <v>4715</v>
      </c>
      <c r="D5046" s="1930" t="s">
        <v>4716</v>
      </c>
      <c r="E5046" s="1931" t="s">
        <v>33</v>
      </c>
      <c r="F5046" s="1930" t="s">
        <v>33</v>
      </c>
      <c r="G5046" s="1932">
        <v>72180</v>
      </c>
      <c r="H5046" s="1930" t="s">
        <v>3736</v>
      </c>
      <c r="I5046" s="1930" t="s">
        <v>306</v>
      </c>
      <c r="J5046" s="1930" t="s">
        <v>320</v>
      </c>
      <c r="K5046" s="1933">
        <v>14.84</v>
      </c>
      <c r="L5046" s="1930" t="s">
        <v>138</v>
      </c>
    </row>
    <row r="5047" spans="1:12" ht="13.5" x14ac:dyDescent="0.25">
      <c r="A5047" s="1930" t="s">
        <v>4702</v>
      </c>
      <c r="B5047" s="1930" t="s">
        <v>4703</v>
      </c>
      <c r="C5047" s="1930" t="s">
        <v>4715</v>
      </c>
      <c r="D5047" s="1930" t="s">
        <v>4716</v>
      </c>
      <c r="E5047" s="1931" t="s">
        <v>33</v>
      </c>
      <c r="F5047" s="1930" t="s">
        <v>33</v>
      </c>
      <c r="G5047" s="1932">
        <v>72181</v>
      </c>
      <c r="H5047" s="1930" t="s">
        <v>3737</v>
      </c>
      <c r="I5047" s="1930" t="s">
        <v>306</v>
      </c>
      <c r="J5047" s="1930" t="s">
        <v>320</v>
      </c>
      <c r="K5047" s="1933">
        <v>30.08</v>
      </c>
      <c r="L5047" s="1930" t="s">
        <v>138</v>
      </c>
    </row>
    <row r="5048" spans="1:12" ht="13.5" x14ac:dyDescent="0.25">
      <c r="A5048" s="1930" t="s">
        <v>4702</v>
      </c>
      <c r="B5048" s="1930" t="s">
        <v>4703</v>
      </c>
      <c r="C5048" s="1930" t="s">
        <v>4715</v>
      </c>
      <c r="D5048" s="1930" t="s">
        <v>4716</v>
      </c>
      <c r="E5048" s="1931">
        <v>73774</v>
      </c>
      <c r="F5048" s="1930" t="s">
        <v>4717</v>
      </c>
      <c r="G5048" s="1932" t="s">
        <v>3738</v>
      </c>
      <c r="H5048" s="1930" t="s">
        <v>3739</v>
      </c>
      <c r="I5048" s="1930" t="s">
        <v>306</v>
      </c>
      <c r="J5048" s="1930" t="s">
        <v>320</v>
      </c>
      <c r="K5048" s="1933">
        <v>261.07</v>
      </c>
      <c r="L5048" s="1930" t="s">
        <v>138</v>
      </c>
    </row>
    <row r="5049" spans="1:12" ht="13.5" x14ac:dyDescent="0.25">
      <c r="A5049" s="1930" t="s">
        <v>4702</v>
      </c>
      <c r="B5049" s="1930" t="s">
        <v>4703</v>
      </c>
      <c r="C5049" s="1930" t="s">
        <v>4715</v>
      </c>
      <c r="D5049" s="1930" t="s">
        <v>4716</v>
      </c>
      <c r="E5049" s="1931">
        <v>73909</v>
      </c>
      <c r="F5049" s="1930" t="s">
        <v>4718</v>
      </c>
      <c r="G5049" s="1932" t="s">
        <v>3740</v>
      </c>
      <c r="H5049" s="1930" t="s">
        <v>3741</v>
      </c>
      <c r="I5049" s="1930" t="s">
        <v>306</v>
      </c>
      <c r="J5049" s="1930" t="s">
        <v>320</v>
      </c>
      <c r="K5049" s="1933">
        <v>220.16</v>
      </c>
      <c r="L5049" s="1930" t="s">
        <v>138</v>
      </c>
    </row>
    <row r="5050" spans="1:12" ht="13.5" x14ac:dyDescent="0.25">
      <c r="A5050" s="1930" t="s">
        <v>4702</v>
      </c>
      <c r="B5050" s="1930" t="s">
        <v>4703</v>
      </c>
      <c r="C5050" s="1930" t="s">
        <v>4715</v>
      </c>
      <c r="D5050" s="1930" t="s">
        <v>4716</v>
      </c>
      <c r="E5050" s="1931">
        <v>74229</v>
      </c>
      <c r="F5050" s="1930" t="s">
        <v>4719</v>
      </c>
      <c r="G5050" s="1932" t="s">
        <v>3742</v>
      </c>
      <c r="H5050" s="1930" t="s">
        <v>3743</v>
      </c>
      <c r="I5050" s="1930" t="s">
        <v>306</v>
      </c>
      <c r="J5050" s="1930" t="s">
        <v>320</v>
      </c>
      <c r="K5050" s="1933">
        <v>439.05</v>
      </c>
      <c r="L5050" s="1930" t="s">
        <v>138</v>
      </c>
    </row>
    <row r="5051" spans="1:12" ht="13.5" x14ac:dyDescent="0.25">
      <c r="A5051" s="1930" t="s">
        <v>4702</v>
      </c>
      <c r="B5051" s="1930" t="s">
        <v>4703</v>
      </c>
      <c r="C5051" s="1930" t="s">
        <v>4715</v>
      </c>
      <c r="D5051" s="1930" t="s">
        <v>4716</v>
      </c>
      <c r="E5051" s="1931" t="s">
        <v>33</v>
      </c>
      <c r="F5051" s="1930" t="s">
        <v>33</v>
      </c>
      <c r="G5051" s="1932">
        <v>79627</v>
      </c>
      <c r="H5051" s="1930" t="s">
        <v>3744</v>
      </c>
      <c r="I5051" s="1930" t="s">
        <v>306</v>
      </c>
      <c r="J5051" s="1930" t="s">
        <v>320</v>
      </c>
      <c r="K5051" s="1933">
        <v>671.02</v>
      </c>
      <c r="L5051" s="1930" t="s">
        <v>138</v>
      </c>
    </row>
    <row r="5052" spans="1:12" ht="13.5" x14ac:dyDescent="0.25">
      <c r="A5052" s="1930" t="s">
        <v>4702</v>
      </c>
      <c r="B5052" s="1930" t="s">
        <v>4703</v>
      </c>
      <c r="C5052" s="1930" t="s">
        <v>4715</v>
      </c>
      <c r="D5052" s="1930" t="s">
        <v>4716</v>
      </c>
      <c r="E5052" s="1931" t="s">
        <v>33</v>
      </c>
      <c r="F5052" s="1930" t="s">
        <v>33</v>
      </c>
      <c r="G5052" s="1932">
        <v>96358</v>
      </c>
      <c r="H5052" s="1930" t="s">
        <v>3745</v>
      </c>
      <c r="I5052" s="1930" t="s">
        <v>306</v>
      </c>
      <c r="J5052" s="1930" t="s">
        <v>137</v>
      </c>
      <c r="K5052" s="1933">
        <v>78.010000000000005</v>
      </c>
      <c r="L5052" s="1930" t="s">
        <v>138</v>
      </c>
    </row>
    <row r="5053" spans="1:12" ht="13.5" x14ac:dyDescent="0.25">
      <c r="A5053" s="1930" t="s">
        <v>4702</v>
      </c>
      <c r="B5053" s="1930" t="s">
        <v>4703</v>
      </c>
      <c r="C5053" s="1930" t="s">
        <v>4715</v>
      </c>
      <c r="D5053" s="1930" t="s">
        <v>4716</v>
      </c>
      <c r="E5053" s="1931" t="s">
        <v>33</v>
      </c>
      <c r="F5053" s="1930" t="s">
        <v>33</v>
      </c>
      <c r="G5053" s="1932">
        <v>96359</v>
      </c>
      <c r="H5053" s="1930" t="s">
        <v>3746</v>
      </c>
      <c r="I5053" s="1930" t="s">
        <v>306</v>
      </c>
      <c r="J5053" s="1930" t="s">
        <v>137</v>
      </c>
      <c r="K5053" s="1933">
        <v>85.09</v>
      </c>
      <c r="L5053" s="1930" t="s">
        <v>138</v>
      </c>
    </row>
    <row r="5054" spans="1:12" ht="13.5" x14ac:dyDescent="0.25">
      <c r="A5054" s="1930" t="s">
        <v>4702</v>
      </c>
      <c r="B5054" s="1930" t="s">
        <v>4703</v>
      </c>
      <c r="C5054" s="1930" t="s">
        <v>4715</v>
      </c>
      <c r="D5054" s="1930" t="s">
        <v>4716</v>
      </c>
      <c r="E5054" s="1931" t="s">
        <v>33</v>
      </c>
      <c r="F5054" s="1930" t="s">
        <v>33</v>
      </c>
      <c r="G5054" s="1932">
        <v>96360</v>
      </c>
      <c r="H5054" s="1930" t="s">
        <v>3747</v>
      </c>
      <c r="I5054" s="1930" t="s">
        <v>306</v>
      </c>
      <c r="J5054" s="1930" t="s">
        <v>137</v>
      </c>
      <c r="K5054" s="1933">
        <v>97.12</v>
      </c>
      <c r="L5054" s="1930" t="s">
        <v>138</v>
      </c>
    </row>
    <row r="5055" spans="1:12" ht="13.5" x14ac:dyDescent="0.25">
      <c r="A5055" s="1930" t="s">
        <v>4702</v>
      </c>
      <c r="B5055" s="1930" t="s">
        <v>4703</v>
      </c>
      <c r="C5055" s="1930" t="s">
        <v>4715</v>
      </c>
      <c r="D5055" s="1930" t="s">
        <v>4716</v>
      </c>
      <c r="E5055" s="1931" t="s">
        <v>33</v>
      </c>
      <c r="F5055" s="1930" t="s">
        <v>33</v>
      </c>
      <c r="G5055" s="1932">
        <v>96361</v>
      </c>
      <c r="H5055" s="1930" t="s">
        <v>3748</v>
      </c>
      <c r="I5055" s="1930" t="s">
        <v>306</v>
      </c>
      <c r="J5055" s="1930" t="s">
        <v>137</v>
      </c>
      <c r="K5055" s="1933">
        <v>110.89</v>
      </c>
      <c r="L5055" s="1930" t="s">
        <v>138</v>
      </c>
    </row>
    <row r="5056" spans="1:12" ht="13.5" x14ac:dyDescent="0.25">
      <c r="A5056" s="1930" t="s">
        <v>4702</v>
      </c>
      <c r="B5056" s="1930" t="s">
        <v>4703</v>
      </c>
      <c r="C5056" s="1930" t="s">
        <v>4715</v>
      </c>
      <c r="D5056" s="1930" t="s">
        <v>4716</v>
      </c>
      <c r="E5056" s="1931" t="s">
        <v>33</v>
      </c>
      <c r="F5056" s="1930" t="s">
        <v>33</v>
      </c>
      <c r="G5056" s="1932">
        <v>96362</v>
      </c>
      <c r="H5056" s="1930" t="s">
        <v>3749</v>
      </c>
      <c r="I5056" s="1930" t="s">
        <v>306</v>
      </c>
      <c r="J5056" s="1930" t="s">
        <v>137</v>
      </c>
      <c r="K5056" s="1933">
        <v>103.91</v>
      </c>
      <c r="L5056" s="1930" t="s">
        <v>138</v>
      </c>
    </row>
    <row r="5057" spans="1:12" ht="13.5" x14ac:dyDescent="0.25">
      <c r="A5057" s="1930" t="s">
        <v>4702</v>
      </c>
      <c r="B5057" s="1930" t="s">
        <v>4703</v>
      </c>
      <c r="C5057" s="1930" t="s">
        <v>4715</v>
      </c>
      <c r="D5057" s="1930" t="s">
        <v>4716</v>
      </c>
      <c r="E5057" s="1931" t="s">
        <v>33</v>
      </c>
      <c r="F5057" s="1930" t="s">
        <v>33</v>
      </c>
      <c r="G5057" s="1932">
        <v>96363</v>
      </c>
      <c r="H5057" s="1930" t="s">
        <v>3750</v>
      </c>
      <c r="I5057" s="1930" t="s">
        <v>306</v>
      </c>
      <c r="J5057" s="1930" t="s">
        <v>137</v>
      </c>
      <c r="K5057" s="1933">
        <v>111.28</v>
      </c>
      <c r="L5057" s="1930" t="s">
        <v>138</v>
      </c>
    </row>
    <row r="5058" spans="1:12" ht="13.5" x14ac:dyDescent="0.25">
      <c r="A5058" s="1930" t="s">
        <v>4702</v>
      </c>
      <c r="B5058" s="1930" t="s">
        <v>4703</v>
      </c>
      <c r="C5058" s="1930" t="s">
        <v>4715</v>
      </c>
      <c r="D5058" s="1930" t="s">
        <v>4716</v>
      </c>
      <c r="E5058" s="1931" t="s">
        <v>33</v>
      </c>
      <c r="F5058" s="1930" t="s">
        <v>33</v>
      </c>
      <c r="G5058" s="1932">
        <v>96364</v>
      </c>
      <c r="H5058" s="1930" t="s">
        <v>3751</v>
      </c>
      <c r="I5058" s="1930" t="s">
        <v>306</v>
      </c>
      <c r="J5058" s="1930" t="s">
        <v>137</v>
      </c>
      <c r="K5058" s="1933">
        <v>123.03</v>
      </c>
      <c r="L5058" s="1930" t="s">
        <v>138</v>
      </c>
    </row>
    <row r="5059" spans="1:12" ht="13.5" x14ac:dyDescent="0.25">
      <c r="A5059" s="1930" t="s">
        <v>4702</v>
      </c>
      <c r="B5059" s="1930" t="s">
        <v>4703</v>
      </c>
      <c r="C5059" s="1930" t="s">
        <v>4715</v>
      </c>
      <c r="D5059" s="1930" t="s">
        <v>4716</v>
      </c>
      <c r="E5059" s="1931" t="s">
        <v>33</v>
      </c>
      <c r="F5059" s="1930" t="s">
        <v>33</v>
      </c>
      <c r="G5059" s="1932">
        <v>96365</v>
      </c>
      <c r="H5059" s="1930" t="s">
        <v>3752</v>
      </c>
      <c r="I5059" s="1930" t="s">
        <v>306</v>
      </c>
      <c r="J5059" s="1930" t="s">
        <v>137</v>
      </c>
      <c r="K5059" s="1933">
        <v>137.06</v>
      </c>
      <c r="L5059" s="1930" t="s">
        <v>138</v>
      </c>
    </row>
    <row r="5060" spans="1:12" ht="13.5" x14ac:dyDescent="0.25">
      <c r="A5060" s="1930" t="s">
        <v>4702</v>
      </c>
      <c r="B5060" s="1930" t="s">
        <v>4703</v>
      </c>
      <c r="C5060" s="1930" t="s">
        <v>4715</v>
      </c>
      <c r="D5060" s="1930" t="s">
        <v>4716</v>
      </c>
      <c r="E5060" s="1931" t="s">
        <v>33</v>
      </c>
      <c r="F5060" s="1930" t="s">
        <v>33</v>
      </c>
      <c r="G5060" s="1932">
        <v>96366</v>
      </c>
      <c r="H5060" s="1930" t="s">
        <v>3753</v>
      </c>
      <c r="I5060" s="1930" t="s">
        <v>306</v>
      </c>
      <c r="J5060" s="1930" t="s">
        <v>137</v>
      </c>
      <c r="K5060" s="1933">
        <v>129.83000000000001</v>
      </c>
      <c r="L5060" s="1930" t="s">
        <v>138</v>
      </c>
    </row>
    <row r="5061" spans="1:12" ht="13.5" x14ac:dyDescent="0.25">
      <c r="A5061" s="1930" t="s">
        <v>4702</v>
      </c>
      <c r="B5061" s="1930" t="s">
        <v>4703</v>
      </c>
      <c r="C5061" s="1930" t="s">
        <v>4715</v>
      </c>
      <c r="D5061" s="1930" t="s">
        <v>4716</v>
      </c>
      <c r="E5061" s="1931" t="s">
        <v>33</v>
      </c>
      <c r="F5061" s="1930" t="s">
        <v>33</v>
      </c>
      <c r="G5061" s="1932">
        <v>96367</v>
      </c>
      <c r="H5061" s="1930" t="s">
        <v>3754</v>
      </c>
      <c r="I5061" s="1930" t="s">
        <v>306</v>
      </c>
      <c r="J5061" s="1930" t="s">
        <v>137</v>
      </c>
      <c r="K5061" s="1933">
        <v>137.44999999999999</v>
      </c>
      <c r="L5061" s="1930" t="s">
        <v>138</v>
      </c>
    </row>
    <row r="5062" spans="1:12" ht="13.5" x14ac:dyDescent="0.25">
      <c r="A5062" s="1930" t="s">
        <v>4702</v>
      </c>
      <c r="B5062" s="1930" t="s">
        <v>4703</v>
      </c>
      <c r="C5062" s="1930" t="s">
        <v>4715</v>
      </c>
      <c r="D5062" s="1930" t="s">
        <v>4716</v>
      </c>
      <c r="E5062" s="1931" t="s">
        <v>33</v>
      </c>
      <c r="F5062" s="1930" t="s">
        <v>33</v>
      </c>
      <c r="G5062" s="1932">
        <v>96368</v>
      </c>
      <c r="H5062" s="1930" t="s">
        <v>3755</v>
      </c>
      <c r="I5062" s="1930" t="s">
        <v>306</v>
      </c>
      <c r="J5062" s="1930" t="s">
        <v>137</v>
      </c>
      <c r="K5062" s="1933">
        <v>148.94999999999999</v>
      </c>
      <c r="L5062" s="1930" t="s">
        <v>138</v>
      </c>
    </row>
    <row r="5063" spans="1:12" ht="13.5" x14ac:dyDescent="0.25">
      <c r="A5063" s="1930" t="s">
        <v>4702</v>
      </c>
      <c r="B5063" s="1930" t="s">
        <v>4703</v>
      </c>
      <c r="C5063" s="1930" t="s">
        <v>4715</v>
      </c>
      <c r="D5063" s="1930" t="s">
        <v>4716</v>
      </c>
      <c r="E5063" s="1931" t="s">
        <v>33</v>
      </c>
      <c r="F5063" s="1930" t="s">
        <v>33</v>
      </c>
      <c r="G5063" s="1932">
        <v>96369</v>
      </c>
      <c r="H5063" s="1930" t="s">
        <v>3756</v>
      </c>
      <c r="I5063" s="1930" t="s">
        <v>306</v>
      </c>
      <c r="J5063" s="1930" t="s">
        <v>137</v>
      </c>
      <c r="K5063" s="1933">
        <v>163.24</v>
      </c>
      <c r="L5063" s="1930" t="s">
        <v>138</v>
      </c>
    </row>
    <row r="5064" spans="1:12" ht="13.5" x14ac:dyDescent="0.25">
      <c r="A5064" s="1930" t="s">
        <v>4702</v>
      </c>
      <c r="B5064" s="1930" t="s">
        <v>4703</v>
      </c>
      <c r="C5064" s="1930" t="s">
        <v>4715</v>
      </c>
      <c r="D5064" s="1930" t="s">
        <v>4716</v>
      </c>
      <c r="E5064" s="1931" t="s">
        <v>33</v>
      </c>
      <c r="F5064" s="1930" t="s">
        <v>33</v>
      </c>
      <c r="G5064" s="1932">
        <v>96370</v>
      </c>
      <c r="H5064" s="1930" t="s">
        <v>3757</v>
      </c>
      <c r="I5064" s="1930" t="s">
        <v>306</v>
      </c>
      <c r="J5064" s="1930" t="s">
        <v>137</v>
      </c>
      <c r="K5064" s="1933">
        <v>48.97</v>
      </c>
      <c r="L5064" s="1930" t="s">
        <v>138</v>
      </c>
    </row>
    <row r="5065" spans="1:12" ht="13.5" x14ac:dyDescent="0.25">
      <c r="A5065" s="1930" t="s">
        <v>4702</v>
      </c>
      <c r="B5065" s="1930" t="s">
        <v>4703</v>
      </c>
      <c r="C5065" s="1930" t="s">
        <v>4715</v>
      </c>
      <c r="D5065" s="1930" t="s">
        <v>4716</v>
      </c>
      <c r="E5065" s="1931" t="s">
        <v>33</v>
      </c>
      <c r="F5065" s="1930" t="s">
        <v>33</v>
      </c>
      <c r="G5065" s="1932">
        <v>96371</v>
      </c>
      <c r="H5065" s="1930" t="s">
        <v>3758</v>
      </c>
      <c r="I5065" s="1930" t="s">
        <v>306</v>
      </c>
      <c r="J5065" s="1930" t="s">
        <v>137</v>
      </c>
      <c r="K5065" s="1933">
        <v>55.91</v>
      </c>
      <c r="L5065" s="1930" t="s">
        <v>138</v>
      </c>
    </row>
    <row r="5066" spans="1:12" ht="13.5" x14ac:dyDescent="0.25">
      <c r="A5066" s="1930" t="s">
        <v>4702</v>
      </c>
      <c r="B5066" s="1930" t="s">
        <v>4703</v>
      </c>
      <c r="C5066" s="1930" t="s">
        <v>4715</v>
      </c>
      <c r="D5066" s="1930" t="s">
        <v>4716</v>
      </c>
      <c r="E5066" s="1931" t="s">
        <v>33</v>
      </c>
      <c r="F5066" s="1930" t="s">
        <v>33</v>
      </c>
      <c r="G5066" s="1932">
        <v>96372</v>
      </c>
      <c r="H5066" s="1930" t="s">
        <v>3759</v>
      </c>
      <c r="I5066" s="1930" t="s">
        <v>306</v>
      </c>
      <c r="J5066" s="1930" t="s">
        <v>137</v>
      </c>
      <c r="K5066" s="1933">
        <v>22.49</v>
      </c>
      <c r="L5066" s="1930" t="s">
        <v>138</v>
      </c>
    </row>
    <row r="5067" spans="1:12" ht="13.5" x14ac:dyDescent="0.25">
      <c r="A5067" s="1930" t="s">
        <v>4702</v>
      </c>
      <c r="B5067" s="1930" t="s">
        <v>4703</v>
      </c>
      <c r="C5067" s="1930" t="s">
        <v>4715</v>
      </c>
      <c r="D5067" s="1930" t="s">
        <v>4716</v>
      </c>
      <c r="E5067" s="1931" t="s">
        <v>33</v>
      </c>
      <c r="F5067" s="1930" t="s">
        <v>33</v>
      </c>
      <c r="G5067" s="1932">
        <v>96373</v>
      </c>
      <c r="H5067" s="1930" t="s">
        <v>3760</v>
      </c>
      <c r="I5067" s="1930" t="s">
        <v>136</v>
      </c>
      <c r="J5067" s="1930" t="s">
        <v>320</v>
      </c>
      <c r="K5067" s="1933">
        <v>7.05</v>
      </c>
      <c r="L5067" s="1930" t="s">
        <v>138</v>
      </c>
    </row>
    <row r="5068" spans="1:12" ht="13.5" x14ac:dyDescent="0.25">
      <c r="A5068" s="1930" t="s">
        <v>4702</v>
      </c>
      <c r="B5068" s="1930" t="s">
        <v>4703</v>
      </c>
      <c r="C5068" s="1930" t="s">
        <v>4715</v>
      </c>
      <c r="D5068" s="1930" t="s">
        <v>4716</v>
      </c>
      <c r="E5068" s="1931" t="s">
        <v>33</v>
      </c>
      <c r="F5068" s="1930" t="s">
        <v>33</v>
      </c>
      <c r="G5068" s="1932">
        <v>96374</v>
      </c>
      <c r="H5068" s="1930" t="s">
        <v>3761</v>
      </c>
      <c r="I5068" s="1930" t="s">
        <v>136</v>
      </c>
      <c r="J5068" s="1930" t="s">
        <v>320</v>
      </c>
      <c r="K5068" s="1933">
        <v>27.17</v>
      </c>
      <c r="L5068" s="1930" t="s">
        <v>138</v>
      </c>
    </row>
    <row r="5069" spans="1:12" ht="13.5" x14ac:dyDescent="0.25">
      <c r="A5069" s="1930" t="s">
        <v>4702</v>
      </c>
      <c r="B5069" s="1930" t="s">
        <v>4703</v>
      </c>
      <c r="C5069" s="1930" t="s">
        <v>4720</v>
      </c>
      <c r="D5069" s="1930" t="s">
        <v>4721</v>
      </c>
      <c r="E5069" s="1931">
        <v>73863</v>
      </c>
      <c r="F5069" s="1930" t="s">
        <v>4722</v>
      </c>
      <c r="G5069" s="1932" t="s">
        <v>3762</v>
      </c>
      <c r="H5069" s="1930" t="s">
        <v>3763</v>
      </c>
      <c r="I5069" s="1930" t="s">
        <v>306</v>
      </c>
      <c r="J5069" s="1930" t="s">
        <v>137</v>
      </c>
      <c r="K5069" s="1933">
        <v>59.64</v>
      </c>
      <c r="L5069" s="1930" t="s">
        <v>138</v>
      </c>
    </row>
    <row r="5070" spans="1:12" ht="13.5" x14ac:dyDescent="0.25">
      <c r="A5070" s="1930" t="s">
        <v>4702</v>
      </c>
      <c r="B5070" s="1930" t="s">
        <v>4703</v>
      </c>
      <c r="C5070" s="1930" t="s">
        <v>4720</v>
      </c>
      <c r="D5070" s="1930" t="s">
        <v>4721</v>
      </c>
      <c r="E5070" s="1931">
        <v>73863</v>
      </c>
      <c r="F5070" s="1930" t="s">
        <v>4722</v>
      </c>
      <c r="G5070" s="1932" t="s">
        <v>3764</v>
      </c>
      <c r="H5070" s="1930" t="s">
        <v>3765</v>
      </c>
      <c r="I5070" s="1930" t="s">
        <v>306</v>
      </c>
      <c r="J5070" s="1930" t="s">
        <v>137</v>
      </c>
      <c r="K5070" s="1933">
        <v>122.03</v>
      </c>
      <c r="L5070" s="1930" t="s">
        <v>138</v>
      </c>
    </row>
    <row r="5071" spans="1:12" ht="13.5" x14ac:dyDescent="0.25">
      <c r="A5071" s="1930" t="s">
        <v>4723</v>
      </c>
      <c r="B5071" s="1930" t="s">
        <v>4724</v>
      </c>
      <c r="C5071" s="1930" t="s">
        <v>4725</v>
      </c>
      <c r="D5071" s="1930" t="s">
        <v>4726</v>
      </c>
      <c r="E5071" s="1931">
        <v>73790</v>
      </c>
      <c r="F5071" s="1930" t="s">
        <v>4727</v>
      </c>
      <c r="G5071" s="1932" t="s">
        <v>3766</v>
      </c>
      <c r="H5071" s="1930" t="s">
        <v>3767</v>
      </c>
      <c r="I5071" s="1930" t="s">
        <v>306</v>
      </c>
      <c r="J5071" s="1930" t="s">
        <v>137</v>
      </c>
      <c r="K5071" s="1933">
        <v>51.12</v>
      </c>
      <c r="L5071" s="1930" t="s">
        <v>138</v>
      </c>
    </row>
    <row r="5072" spans="1:12" ht="13.5" x14ac:dyDescent="0.25">
      <c r="A5072" s="1930" t="s">
        <v>4723</v>
      </c>
      <c r="B5072" s="1930" t="s">
        <v>4724</v>
      </c>
      <c r="C5072" s="1930" t="s">
        <v>4725</v>
      </c>
      <c r="D5072" s="1930" t="s">
        <v>4726</v>
      </c>
      <c r="E5072" s="1931">
        <v>73790</v>
      </c>
      <c r="F5072" s="1930" t="s">
        <v>4727</v>
      </c>
      <c r="G5072" s="1932" t="s">
        <v>3768</v>
      </c>
      <c r="H5072" s="1930" t="s">
        <v>3769</v>
      </c>
      <c r="I5072" s="1930" t="s">
        <v>306</v>
      </c>
      <c r="J5072" s="1930" t="s">
        <v>320</v>
      </c>
      <c r="K5072" s="1933">
        <v>42.12</v>
      </c>
      <c r="L5072" s="1930" t="s">
        <v>138</v>
      </c>
    </row>
    <row r="5073" spans="1:12" ht="13.5" x14ac:dyDescent="0.25">
      <c r="A5073" s="1930" t="s">
        <v>4723</v>
      </c>
      <c r="B5073" s="1930" t="s">
        <v>4724</v>
      </c>
      <c r="C5073" s="1930" t="s">
        <v>4725</v>
      </c>
      <c r="D5073" s="1930" t="s">
        <v>4726</v>
      </c>
      <c r="E5073" s="1931" t="s">
        <v>33</v>
      </c>
      <c r="F5073" s="1930" t="s">
        <v>33</v>
      </c>
      <c r="G5073" s="1932">
        <v>83694</v>
      </c>
      <c r="H5073" s="1930" t="s">
        <v>3770</v>
      </c>
      <c r="I5073" s="1930" t="s">
        <v>306</v>
      </c>
      <c r="J5073" s="1930" t="s">
        <v>320</v>
      </c>
      <c r="K5073" s="1933">
        <v>18.55</v>
      </c>
      <c r="L5073" s="1930" t="s">
        <v>138</v>
      </c>
    </row>
    <row r="5074" spans="1:12" ht="13.5" x14ac:dyDescent="0.25">
      <c r="A5074" s="1930" t="s">
        <v>4723</v>
      </c>
      <c r="B5074" s="1930" t="s">
        <v>4724</v>
      </c>
      <c r="C5074" s="1930" t="s">
        <v>4725</v>
      </c>
      <c r="D5074" s="1930" t="s">
        <v>4726</v>
      </c>
      <c r="E5074" s="1931">
        <v>83695</v>
      </c>
      <c r="F5074" s="1930" t="s">
        <v>4727</v>
      </c>
      <c r="G5074" s="1932" t="s">
        <v>3771</v>
      </c>
      <c r="H5074" s="1930" t="s">
        <v>3772</v>
      </c>
      <c r="I5074" s="1930" t="s">
        <v>306</v>
      </c>
      <c r="J5074" s="1930" t="s">
        <v>137</v>
      </c>
      <c r="K5074" s="1933">
        <v>23.75</v>
      </c>
      <c r="L5074" s="1930" t="s">
        <v>138</v>
      </c>
    </row>
    <row r="5075" spans="1:12" ht="13.5" x14ac:dyDescent="0.25">
      <c r="A5075" s="1930" t="s">
        <v>4723</v>
      </c>
      <c r="B5075" s="1930" t="s">
        <v>4724</v>
      </c>
      <c r="C5075" s="1930" t="s">
        <v>4725</v>
      </c>
      <c r="D5075" s="1930" t="s">
        <v>4726</v>
      </c>
      <c r="E5075" s="1931" t="s">
        <v>33</v>
      </c>
      <c r="F5075" s="1930" t="s">
        <v>33</v>
      </c>
      <c r="G5075" s="1932">
        <v>83771</v>
      </c>
      <c r="H5075" s="1930" t="s">
        <v>3773</v>
      </c>
      <c r="I5075" s="1930" t="s">
        <v>1208</v>
      </c>
      <c r="J5075" s="1930" t="s">
        <v>137</v>
      </c>
      <c r="K5075" s="1933">
        <v>6.64</v>
      </c>
      <c r="L5075" s="1930" t="s">
        <v>138</v>
      </c>
    </row>
    <row r="5076" spans="1:12" ht="13.5" x14ac:dyDescent="0.25">
      <c r="A5076" s="1930" t="s">
        <v>4723</v>
      </c>
      <c r="B5076" s="1930" t="s">
        <v>4724</v>
      </c>
      <c r="C5076" s="1930" t="s">
        <v>8854</v>
      </c>
      <c r="D5076" s="1930" t="s">
        <v>8855</v>
      </c>
      <c r="E5076" s="1931" t="s">
        <v>33</v>
      </c>
      <c r="F5076" s="1930" t="s">
        <v>33</v>
      </c>
      <c r="G5076" s="1932">
        <v>100576</v>
      </c>
      <c r="H5076" s="1930" t="s">
        <v>8856</v>
      </c>
      <c r="I5076" s="1930" t="s">
        <v>306</v>
      </c>
      <c r="J5076" s="1930" t="s">
        <v>137</v>
      </c>
      <c r="K5076" s="1933">
        <v>1.34</v>
      </c>
      <c r="L5076" s="1930" t="s">
        <v>138</v>
      </c>
    </row>
    <row r="5077" spans="1:12" ht="13.5" x14ac:dyDescent="0.25">
      <c r="A5077" s="1930" t="s">
        <v>4723</v>
      </c>
      <c r="B5077" s="1930" t="s">
        <v>4724</v>
      </c>
      <c r="C5077" s="1930" t="s">
        <v>8854</v>
      </c>
      <c r="D5077" s="1930" t="s">
        <v>8855</v>
      </c>
      <c r="E5077" s="1931" t="s">
        <v>33</v>
      </c>
      <c r="F5077" s="1930" t="s">
        <v>33</v>
      </c>
      <c r="G5077" s="1932">
        <v>100577</v>
      </c>
      <c r="H5077" s="1930" t="s">
        <v>8857</v>
      </c>
      <c r="I5077" s="1930" t="s">
        <v>306</v>
      </c>
      <c r="J5077" s="1930" t="s">
        <v>137</v>
      </c>
      <c r="K5077" s="1933">
        <v>0.6</v>
      </c>
      <c r="L5077" s="1930" t="s">
        <v>138</v>
      </c>
    </row>
    <row r="5078" spans="1:12" ht="13.5" x14ac:dyDescent="0.25">
      <c r="A5078" s="1930" t="s">
        <v>4723</v>
      </c>
      <c r="B5078" s="1930" t="s">
        <v>4724</v>
      </c>
      <c r="C5078" s="1930" t="s">
        <v>4728</v>
      </c>
      <c r="D5078" s="1930" t="s">
        <v>4729</v>
      </c>
      <c r="E5078" s="1931" t="s">
        <v>33</v>
      </c>
      <c r="F5078" s="1930" t="s">
        <v>33</v>
      </c>
      <c r="G5078" s="1932">
        <v>96388</v>
      </c>
      <c r="H5078" s="1930" t="s">
        <v>8858</v>
      </c>
      <c r="I5078" s="1930" t="s">
        <v>1208</v>
      </c>
      <c r="J5078" s="1930" t="s">
        <v>137</v>
      </c>
      <c r="K5078" s="1933">
        <v>6.2</v>
      </c>
      <c r="L5078" s="1930" t="s">
        <v>138</v>
      </c>
    </row>
    <row r="5079" spans="1:12" ht="13.5" x14ac:dyDescent="0.25">
      <c r="A5079" s="1930" t="s">
        <v>4723</v>
      </c>
      <c r="B5079" s="1930" t="s">
        <v>4724</v>
      </c>
      <c r="C5079" s="1930" t="s">
        <v>4728</v>
      </c>
      <c r="D5079" s="1930" t="s">
        <v>4729</v>
      </c>
      <c r="E5079" s="1931" t="s">
        <v>33</v>
      </c>
      <c r="F5079" s="1930" t="s">
        <v>33</v>
      </c>
      <c r="G5079" s="1932">
        <v>96389</v>
      </c>
      <c r="H5079" s="1930" t="s">
        <v>14944</v>
      </c>
      <c r="I5079" s="1930" t="s">
        <v>1208</v>
      </c>
      <c r="J5079" s="1930" t="s">
        <v>137</v>
      </c>
      <c r="K5079" s="1933">
        <v>28.63</v>
      </c>
      <c r="L5079" s="1930" t="s">
        <v>138</v>
      </c>
    </row>
    <row r="5080" spans="1:12" ht="13.5" x14ac:dyDescent="0.25">
      <c r="A5080" s="1930" t="s">
        <v>4723</v>
      </c>
      <c r="B5080" s="1930" t="s">
        <v>4724</v>
      </c>
      <c r="C5080" s="1930" t="s">
        <v>4728</v>
      </c>
      <c r="D5080" s="1930" t="s">
        <v>4729</v>
      </c>
      <c r="E5080" s="1931" t="s">
        <v>33</v>
      </c>
      <c r="F5080" s="1930" t="s">
        <v>33</v>
      </c>
      <c r="G5080" s="1932">
        <v>96390</v>
      </c>
      <c r="H5080" s="1930" t="s">
        <v>14945</v>
      </c>
      <c r="I5080" s="1930" t="s">
        <v>1208</v>
      </c>
      <c r="J5080" s="1930" t="s">
        <v>137</v>
      </c>
      <c r="K5080" s="1933">
        <v>45.51</v>
      </c>
      <c r="L5080" s="1930" t="s">
        <v>138</v>
      </c>
    </row>
    <row r="5081" spans="1:12" ht="13.5" x14ac:dyDescent="0.25">
      <c r="A5081" s="1930" t="s">
        <v>4723</v>
      </c>
      <c r="B5081" s="1930" t="s">
        <v>4724</v>
      </c>
      <c r="C5081" s="1930" t="s">
        <v>4728</v>
      </c>
      <c r="D5081" s="1930" t="s">
        <v>4729</v>
      </c>
      <c r="E5081" s="1931" t="s">
        <v>33</v>
      </c>
      <c r="F5081" s="1930" t="s">
        <v>33</v>
      </c>
      <c r="G5081" s="1932">
        <v>96391</v>
      </c>
      <c r="H5081" s="1930" t="s">
        <v>8859</v>
      </c>
      <c r="I5081" s="1930" t="s">
        <v>1208</v>
      </c>
      <c r="J5081" s="1930" t="s">
        <v>137</v>
      </c>
      <c r="K5081" s="1933">
        <v>63.44</v>
      </c>
      <c r="L5081" s="1930" t="s">
        <v>138</v>
      </c>
    </row>
    <row r="5082" spans="1:12" ht="13.5" x14ac:dyDescent="0.25">
      <c r="A5082" s="1930" t="s">
        <v>4723</v>
      </c>
      <c r="B5082" s="1930" t="s">
        <v>4724</v>
      </c>
      <c r="C5082" s="1930" t="s">
        <v>4728</v>
      </c>
      <c r="D5082" s="1930" t="s">
        <v>4729</v>
      </c>
      <c r="E5082" s="1931" t="s">
        <v>33</v>
      </c>
      <c r="F5082" s="1930" t="s">
        <v>33</v>
      </c>
      <c r="G5082" s="1932">
        <v>96392</v>
      </c>
      <c r="H5082" s="1930" t="s">
        <v>8860</v>
      </c>
      <c r="I5082" s="1930" t="s">
        <v>1208</v>
      </c>
      <c r="J5082" s="1930" t="s">
        <v>137</v>
      </c>
      <c r="K5082" s="1933">
        <v>80.67</v>
      </c>
      <c r="L5082" s="1930" t="s">
        <v>138</v>
      </c>
    </row>
    <row r="5083" spans="1:12" ht="13.5" x14ac:dyDescent="0.25">
      <c r="A5083" s="1930" t="s">
        <v>4723</v>
      </c>
      <c r="B5083" s="1930" t="s">
        <v>4724</v>
      </c>
      <c r="C5083" s="1930" t="s">
        <v>4728</v>
      </c>
      <c r="D5083" s="1930" t="s">
        <v>4729</v>
      </c>
      <c r="E5083" s="1931" t="s">
        <v>33</v>
      </c>
      <c r="F5083" s="1930" t="s">
        <v>33</v>
      </c>
      <c r="G5083" s="1932">
        <v>96396</v>
      </c>
      <c r="H5083" s="1930" t="s">
        <v>8861</v>
      </c>
      <c r="I5083" s="1930" t="s">
        <v>1208</v>
      </c>
      <c r="J5083" s="1930" t="s">
        <v>137</v>
      </c>
      <c r="K5083" s="1933">
        <v>139.47</v>
      </c>
      <c r="L5083" s="1930" t="s">
        <v>138</v>
      </c>
    </row>
    <row r="5084" spans="1:12" ht="13.5" x14ac:dyDescent="0.25">
      <c r="A5084" s="1930" t="s">
        <v>4723</v>
      </c>
      <c r="B5084" s="1930" t="s">
        <v>4724</v>
      </c>
      <c r="C5084" s="1930" t="s">
        <v>4728</v>
      </c>
      <c r="D5084" s="1930" t="s">
        <v>4729</v>
      </c>
      <c r="E5084" s="1931" t="s">
        <v>33</v>
      </c>
      <c r="F5084" s="1930" t="s">
        <v>33</v>
      </c>
      <c r="G5084" s="1932">
        <v>96397</v>
      </c>
      <c r="H5084" s="1930" t="s">
        <v>8862</v>
      </c>
      <c r="I5084" s="1930" t="s">
        <v>1208</v>
      </c>
      <c r="J5084" s="1930" t="s">
        <v>137</v>
      </c>
      <c r="K5084" s="1933">
        <v>170.39</v>
      </c>
      <c r="L5084" s="1930" t="s">
        <v>138</v>
      </c>
    </row>
    <row r="5085" spans="1:12" ht="13.5" x14ac:dyDescent="0.25">
      <c r="A5085" s="1930" t="s">
        <v>4723</v>
      </c>
      <c r="B5085" s="1930" t="s">
        <v>4724</v>
      </c>
      <c r="C5085" s="1930" t="s">
        <v>4728</v>
      </c>
      <c r="D5085" s="1930" t="s">
        <v>4729</v>
      </c>
      <c r="E5085" s="1931" t="s">
        <v>33</v>
      </c>
      <c r="F5085" s="1930" t="s">
        <v>33</v>
      </c>
      <c r="G5085" s="1932">
        <v>96398</v>
      </c>
      <c r="H5085" s="1930" t="s">
        <v>8863</v>
      </c>
      <c r="I5085" s="1930" t="s">
        <v>1208</v>
      </c>
      <c r="J5085" s="1930" t="s">
        <v>137</v>
      </c>
      <c r="K5085" s="1933">
        <v>213.35</v>
      </c>
      <c r="L5085" s="1930" t="s">
        <v>138</v>
      </c>
    </row>
    <row r="5086" spans="1:12" ht="13.5" x14ac:dyDescent="0.25">
      <c r="A5086" s="1930" t="s">
        <v>4723</v>
      </c>
      <c r="B5086" s="1930" t="s">
        <v>4724</v>
      </c>
      <c r="C5086" s="1930" t="s">
        <v>4728</v>
      </c>
      <c r="D5086" s="1930" t="s">
        <v>4729</v>
      </c>
      <c r="E5086" s="1931" t="s">
        <v>33</v>
      </c>
      <c r="F5086" s="1930" t="s">
        <v>33</v>
      </c>
      <c r="G5086" s="1932">
        <v>96399</v>
      </c>
      <c r="H5086" s="1930" t="s">
        <v>14946</v>
      </c>
      <c r="I5086" s="1930" t="s">
        <v>1208</v>
      </c>
      <c r="J5086" s="1930" t="s">
        <v>137</v>
      </c>
      <c r="K5086" s="1933">
        <v>101.06</v>
      </c>
      <c r="L5086" s="1930" t="s">
        <v>138</v>
      </c>
    </row>
    <row r="5087" spans="1:12" ht="13.5" x14ac:dyDescent="0.25">
      <c r="A5087" s="1930" t="s">
        <v>4723</v>
      </c>
      <c r="B5087" s="1930" t="s">
        <v>4724</v>
      </c>
      <c r="C5087" s="1930" t="s">
        <v>4728</v>
      </c>
      <c r="D5087" s="1930" t="s">
        <v>4729</v>
      </c>
      <c r="E5087" s="1931" t="s">
        <v>33</v>
      </c>
      <c r="F5087" s="1930" t="s">
        <v>33</v>
      </c>
      <c r="G5087" s="1932">
        <v>96400</v>
      </c>
      <c r="H5087" s="1930" t="s">
        <v>8864</v>
      </c>
      <c r="I5087" s="1930" t="s">
        <v>1208</v>
      </c>
      <c r="J5087" s="1930" t="s">
        <v>137</v>
      </c>
      <c r="K5087" s="1933">
        <v>127.91</v>
      </c>
      <c r="L5087" s="1930" t="s">
        <v>138</v>
      </c>
    </row>
    <row r="5088" spans="1:12" ht="13.5" x14ac:dyDescent="0.25">
      <c r="A5088" s="1930" t="s">
        <v>4723</v>
      </c>
      <c r="B5088" s="1930" t="s">
        <v>4724</v>
      </c>
      <c r="C5088" s="1930" t="s">
        <v>4728</v>
      </c>
      <c r="D5088" s="1930" t="s">
        <v>4729</v>
      </c>
      <c r="E5088" s="1931" t="s">
        <v>33</v>
      </c>
      <c r="F5088" s="1930" t="s">
        <v>33</v>
      </c>
      <c r="G5088" s="1932">
        <v>96401</v>
      </c>
      <c r="H5088" s="1930" t="s">
        <v>8865</v>
      </c>
      <c r="I5088" s="1930" t="s">
        <v>306</v>
      </c>
      <c r="J5088" s="1930" t="s">
        <v>137</v>
      </c>
      <c r="K5088" s="1933">
        <v>6.53</v>
      </c>
      <c r="L5088" s="1930" t="s">
        <v>138</v>
      </c>
    </row>
    <row r="5089" spans="1:12" ht="13.5" x14ac:dyDescent="0.25">
      <c r="A5089" s="1930" t="s">
        <v>4723</v>
      </c>
      <c r="B5089" s="1930" t="s">
        <v>4724</v>
      </c>
      <c r="C5089" s="1930" t="s">
        <v>4728</v>
      </c>
      <c r="D5089" s="1930" t="s">
        <v>4729</v>
      </c>
      <c r="E5089" s="1931" t="s">
        <v>33</v>
      </c>
      <c r="F5089" s="1930" t="s">
        <v>33</v>
      </c>
      <c r="G5089" s="1932">
        <v>96402</v>
      </c>
      <c r="H5089" s="1930" t="s">
        <v>8866</v>
      </c>
      <c r="I5089" s="1930" t="s">
        <v>306</v>
      </c>
      <c r="J5089" s="1930" t="s">
        <v>137</v>
      </c>
      <c r="K5089" s="1933">
        <v>1.69</v>
      </c>
      <c r="L5089" s="1930" t="s">
        <v>138</v>
      </c>
    </row>
    <row r="5090" spans="1:12" ht="13.5" x14ac:dyDescent="0.25">
      <c r="A5090" s="1930" t="s">
        <v>4723</v>
      </c>
      <c r="B5090" s="1930" t="s">
        <v>4724</v>
      </c>
      <c r="C5090" s="1930" t="s">
        <v>4728</v>
      </c>
      <c r="D5090" s="1930" t="s">
        <v>4729</v>
      </c>
      <c r="E5090" s="1931" t="s">
        <v>33</v>
      </c>
      <c r="F5090" s="1930" t="s">
        <v>33</v>
      </c>
      <c r="G5090" s="1932">
        <v>100564</v>
      </c>
      <c r="H5090" s="1930" t="s">
        <v>8867</v>
      </c>
      <c r="I5090" s="1930" t="s">
        <v>1208</v>
      </c>
      <c r="J5090" s="1930" t="s">
        <v>137</v>
      </c>
      <c r="K5090" s="1933">
        <v>79.349999999999994</v>
      </c>
      <c r="L5090" s="1930" t="s">
        <v>138</v>
      </c>
    </row>
    <row r="5091" spans="1:12" ht="13.5" x14ac:dyDescent="0.25">
      <c r="A5091" s="1930" t="s">
        <v>4723</v>
      </c>
      <c r="B5091" s="1930" t="s">
        <v>4724</v>
      </c>
      <c r="C5091" s="1930" t="s">
        <v>4728</v>
      </c>
      <c r="D5091" s="1930" t="s">
        <v>4729</v>
      </c>
      <c r="E5091" s="1931" t="s">
        <v>33</v>
      </c>
      <c r="F5091" s="1930" t="s">
        <v>33</v>
      </c>
      <c r="G5091" s="1932">
        <v>100565</v>
      </c>
      <c r="H5091" s="1930" t="s">
        <v>8868</v>
      </c>
      <c r="I5091" s="1930" t="s">
        <v>1208</v>
      </c>
      <c r="J5091" s="1930" t="s">
        <v>137</v>
      </c>
      <c r="K5091" s="1933">
        <v>68.260000000000005</v>
      </c>
      <c r="L5091" s="1930" t="s">
        <v>138</v>
      </c>
    </row>
    <row r="5092" spans="1:12" ht="13.5" x14ac:dyDescent="0.25">
      <c r="A5092" s="1930" t="s">
        <v>4723</v>
      </c>
      <c r="B5092" s="1930" t="s">
        <v>4724</v>
      </c>
      <c r="C5092" s="1930" t="s">
        <v>4728</v>
      </c>
      <c r="D5092" s="1930" t="s">
        <v>4729</v>
      </c>
      <c r="E5092" s="1931" t="s">
        <v>33</v>
      </c>
      <c r="F5092" s="1930" t="s">
        <v>33</v>
      </c>
      <c r="G5092" s="1932">
        <v>100566</v>
      </c>
      <c r="H5092" s="1930" t="s">
        <v>8869</v>
      </c>
      <c r="I5092" s="1930" t="s">
        <v>1208</v>
      </c>
      <c r="J5092" s="1930" t="s">
        <v>137</v>
      </c>
      <c r="K5092" s="1933">
        <v>113.88</v>
      </c>
      <c r="L5092" s="1930" t="s">
        <v>138</v>
      </c>
    </row>
    <row r="5093" spans="1:12" ht="13.5" x14ac:dyDescent="0.25">
      <c r="A5093" s="1930" t="s">
        <v>4723</v>
      </c>
      <c r="B5093" s="1930" t="s">
        <v>4724</v>
      </c>
      <c r="C5093" s="1930" t="s">
        <v>4728</v>
      </c>
      <c r="D5093" s="1930" t="s">
        <v>4729</v>
      </c>
      <c r="E5093" s="1931" t="s">
        <v>33</v>
      </c>
      <c r="F5093" s="1930" t="s">
        <v>33</v>
      </c>
      <c r="G5093" s="1932">
        <v>100567</v>
      </c>
      <c r="H5093" s="1930" t="s">
        <v>8870</v>
      </c>
      <c r="I5093" s="1930" t="s">
        <v>1208</v>
      </c>
      <c r="J5093" s="1930" t="s">
        <v>137</v>
      </c>
      <c r="K5093" s="1933">
        <v>130.04</v>
      </c>
      <c r="L5093" s="1930" t="s">
        <v>138</v>
      </c>
    </row>
    <row r="5094" spans="1:12" ht="13.5" x14ac:dyDescent="0.25">
      <c r="A5094" s="1930" t="s">
        <v>4723</v>
      </c>
      <c r="B5094" s="1930" t="s">
        <v>4724</v>
      </c>
      <c r="C5094" s="1930" t="s">
        <v>4728</v>
      </c>
      <c r="D5094" s="1930" t="s">
        <v>4729</v>
      </c>
      <c r="E5094" s="1931" t="s">
        <v>33</v>
      </c>
      <c r="F5094" s="1930" t="s">
        <v>33</v>
      </c>
      <c r="G5094" s="1932">
        <v>100568</v>
      </c>
      <c r="H5094" s="1930" t="s">
        <v>8871</v>
      </c>
      <c r="I5094" s="1930" t="s">
        <v>1208</v>
      </c>
      <c r="J5094" s="1930" t="s">
        <v>137</v>
      </c>
      <c r="K5094" s="1933">
        <v>145.9</v>
      </c>
      <c r="L5094" s="1930" t="s">
        <v>138</v>
      </c>
    </row>
    <row r="5095" spans="1:12" ht="13.5" x14ac:dyDescent="0.25">
      <c r="A5095" s="1930" t="s">
        <v>4723</v>
      </c>
      <c r="B5095" s="1930" t="s">
        <v>4724</v>
      </c>
      <c r="C5095" s="1930" t="s">
        <v>4728</v>
      </c>
      <c r="D5095" s="1930" t="s">
        <v>4729</v>
      </c>
      <c r="E5095" s="1931" t="s">
        <v>33</v>
      </c>
      <c r="F5095" s="1930" t="s">
        <v>33</v>
      </c>
      <c r="G5095" s="1932">
        <v>100569</v>
      </c>
      <c r="H5095" s="1930" t="s">
        <v>8872</v>
      </c>
      <c r="I5095" s="1930" t="s">
        <v>1208</v>
      </c>
      <c r="J5095" s="1930" t="s">
        <v>137</v>
      </c>
      <c r="K5095" s="1933">
        <v>103.2</v>
      </c>
      <c r="L5095" s="1930" t="s">
        <v>138</v>
      </c>
    </row>
    <row r="5096" spans="1:12" ht="13.5" x14ac:dyDescent="0.25">
      <c r="A5096" s="1930" t="s">
        <v>4723</v>
      </c>
      <c r="B5096" s="1930" t="s">
        <v>4724</v>
      </c>
      <c r="C5096" s="1930" t="s">
        <v>4728</v>
      </c>
      <c r="D5096" s="1930" t="s">
        <v>4729</v>
      </c>
      <c r="E5096" s="1931" t="s">
        <v>33</v>
      </c>
      <c r="F5096" s="1930" t="s">
        <v>33</v>
      </c>
      <c r="G5096" s="1932">
        <v>100570</v>
      </c>
      <c r="H5096" s="1930" t="s">
        <v>8873</v>
      </c>
      <c r="I5096" s="1930" t="s">
        <v>1208</v>
      </c>
      <c r="J5096" s="1930" t="s">
        <v>137</v>
      </c>
      <c r="K5096" s="1933">
        <v>120.79</v>
      </c>
      <c r="L5096" s="1930" t="s">
        <v>138</v>
      </c>
    </row>
    <row r="5097" spans="1:12" ht="13.5" x14ac:dyDescent="0.25">
      <c r="A5097" s="1930" t="s">
        <v>4723</v>
      </c>
      <c r="B5097" s="1930" t="s">
        <v>4724</v>
      </c>
      <c r="C5097" s="1930" t="s">
        <v>4728</v>
      </c>
      <c r="D5097" s="1930" t="s">
        <v>4729</v>
      </c>
      <c r="E5097" s="1931" t="s">
        <v>33</v>
      </c>
      <c r="F5097" s="1930" t="s">
        <v>33</v>
      </c>
      <c r="G5097" s="1932">
        <v>100571</v>
      </c>
      <c r="H5097" s="1930" t="s">
        <v>8874</v>
      </c>
      <c r="I5097" s="1930" t="s">
        <v>1208</v>
      </c>
      <c r="J5097" s="1930" t="s">
        <v>137</v>
      </c>
      <c r="K5097" s="1933">
        <v>135.69999999999999</v>
      </c>
      <c r="L5097" s="1930" t="s">
        <v>138</v>
      </c>
    </row>
    <row r="5098" spans="1:12" ht="13.5" x14ac:dyDescent="0.25">
      <c r="A5098" s="1930" t="s">
        <v>4723</v>
      </c>
      <c r="B5098" s="1930" t="s">
        <v>4724</v>
      </c>
      <c r="C5098" s="1930" t="s">
        <v>4728</v>
      </c>
      <c r="D5098" s="1930" t="s">
        <v>4729</v>
      </c>
      <c r="E5098" s="1931" t="s">
        <v>33</v>
      </c>
      <c r="F5098" s="1930" t="s">
        <v>33</v>
      </c>
      <c r="G5098" s="1932">
        <v>100572</v>
      </c>
      <c r="H5098" s="1930" t="s">
        <v>8875</v>
      </c>
      <c r="I5098" s="1930" t="s">
        <v>1208</v>
      </c>
      <c r="J5098" s="1930" t="s">
        <v>137</v>
      </c>
      <c r="K5098" s="1933">
        <v>82.4</v>
      </c>
      <c r="L5098" s="1930" t="s">
        <v>138</v>
      </c>
    </row>
    <row r="5099" spans="1:12" ht="13.5" x14ac:dyDescent="0.25">
      <c r="A5099" s="1930" t="s">
        <v>4723</v>
      </c>
      <c r="B5099" s="1930" t="s">
        <v>4724</v>
      </c>
      <c r="C5099" s="1930" t="s">
        <v>4728</v>
      </c>
      <c r="D5099" s="1930" t="s">
        <v>4729</v>
      </c>
      <c r="E5099" s="1931" t="s">
        <v>33</v>
      </c>
      <c r="F5099" s="1930" t="s">
        <v>33</v>
      </c>
      <c r="G5099" s="1932">
        <v>100573</v>
      </c>
      <c r="H5099" s="1930" t="s">
        <v>8876</v>
      </c>
      <c r="I5099" s="1930" t="s">
        <v>1208</v>
      </c>
      <c r="J5099" s="1930" t="s">
        <v>137</v>
      </c>
      <c r="K5099" s="1933">
        <v>71.31</v>
      </c>
      <c r="L5099" s="1930" t="s">
        <v>138</v>
      </c>
    </row>
    <row r="5100" spans="1:12" ht="13.5" x14ac:dyDescent="0.25">
      <c r="A5100" s="1930" t="s">
        <v>4723</v>
      </c>
      <c r="B5100" s="1930" t="s">
        <v>4724</v>
      </c>
      <c r="C5100" s="1930" t="s">
        <v>4728</v>
      </c>
      <c r="D5100" s="1930" t="s">
        <v>4729</v>
      </c>
      <c r="E5100" s="1931" t="s">
        <v>33</v>
      </c>
      <c r="F5100" s="1930" t="s">
        <v>33</v>
      </c>
      <c r="G5100" s="1932">
        <v>100574</v>
      </c>
      <c r="H5100" s="1930" t="s">
        <v>8877</v>
      </c>
      <c r="I5100" s="1930" t="s">
        <v>1208</v>
      </c>
      <c r="J5100" s="1930" t="s">
        <v>137</v>
      </c>
      <c r="K5100" s="1933">
        <v>0.82</v>
      </c>
      <c r="L5100" s="1930" t="s">
        <v>138</v>
      </c>
    </row>
    <row r="5101" spans="1:12" ht="13.5" x14ac:dyDescent="0.25">
      <c r="A5101" s="1930" t="s">
        <v>4723</v>
      </c>
      <c r="B5101" s="1930" t="s">
        <v>4724</v>
      </c>
      <c r="C5101" s="1930" t="s">
        <v>4728</v>
      </c>
      <c r="D5101" s="1930" t="s">
        <v>4729</v>
      </c>
      <c r="E5101" s="1931" t="s">
        <v>33</v>
      </c>
      <c r="F5101" s="1930" t="s">
        <v>33</v>
      </c>
      <c r="G5101" s="1932">
        <v>100575</v>
      </c>
      <c r="H5101" s="1930" t="s">
        <v>8878</v>
      </c>
      <c r="I5101" s="1930" t="s">
        <v>306</v>
      </c>
      <c r="J5101" s="1930" t="s">
        <v>137</v>
      </c>
      <c r="K5101" s="1933">
        <v>0.06</v>
      </c>
      <c r="L5101" s="1930" t="s">
        <v>138</v>
      </c>
    </row>
    <row r="5102" spans="1:12" ht="13.5" x14ac:dyDescent="0.25">
      <c r="A5102" s="1930" t="s">
        <v>4723</v>
      </c>
      <c r="B5102" s="1930" t="s">
        <v>4724</v>
      </c>
      <c r="C5102" s="1930" t="s">
        <v>4730</v>
      </c>
      <c r="D5102" s="1930" t="s">
        <v>4731</v>
      </c>
      <c r="E5102" s="1931" t="s">
        <v>33</v>
      </c>
      <c r="F5102" s="1930" t="s">
        <v>33</v>
      </c>
      <c r="G5102" s="1932">
        <v>72799</v>
      </c>
      <c r="H5102" s="1930" t="s">
        <v>3774</v>
      </c>
      <c r="I5102" s="1930" t="s">
        <v>306</v>
      </c>
      <c r="J5102" s="1930" t="s">
        <v>137</v>
      </c>
      <c r="K5102" s="1933">
        <v>81.349999999999994</v>
      </c>
      <c r="L5102" s="1930" t="s">
        <v>138</v>
      </c>
    </row>
    <row r="5103" spans="1:12" ht="13.5" x14ac:dyDescent="0.25">
      <c r="A5103" s="1930" t="s">
        <v>4723</v>
      </c>
      <c r="B5103" s="1930" t="s">
        <v>4724</v>
      </c>
      <c r="C5103" s="1930" t="s">
        <v>4730</v>
      </c>
      <c r="D5103" s="1930" t="s">
        <v>4731</v>
      </c>
      <c r="E5103" s="1931" t="s">
        <v>33</v>
      </c>
      <c r="F5103" s="1930" t="s">
        <v>33</v>
      </c>
      <c r="G5103" s="1932">
        <v>92391</v>
      </c>
      <c r="H5103" s="1930" t="s">
        <v>3775</v>
      </c>
      <c r="I5103" s="1930" t="s">
        <v>306</v>
      </c>
      <c r="J5103" s="1930" t="s">
        <v>320</v>
      </c>
      <c r="K5103" s="1933">
        <v>56.65</v>
      </c>
      <c r="L5103" s="1930" t="s">
        <v>138</v>
      </c>
    </row>
    <row r="5104" spans="1:12" ht="13.5" x14ac:dyDescent="0.25">
      <c r="A5104" s="1930" t="s">
        <v>4723</v>
      </c>
      <c r="B5104" s="1930" t="s">
        <v>4724</v>
      </c>
      <c r="C5104" s="1930" t="s">
        <v>4730</v>
      </c>
      <c r="D5104" s="1930" t="s">
        <v>4731</v>
      </c>
      <c r="E5104" s="1931" t="s">
        <v>33</v>
      </c>
      <c r="F5104" s="1930" t="s">
        <v>33</v>
      </c>
      <c r="G5104" s="1932">
        <v>92392</v>
      </c>
      <c r="H5104" s="1930" t="s">
        <v>3776</v>
      </c>
      <c r="I5104" s="1930" t="s">
        <v>306</v>
      </c>
      <c r="J5104" s="1930" t="s">
        <v>320</v>
      </c>
      <c r="K5104" s="1933">
        <v>59.41</v>
      </c>
      <c r="L5104" s="1930" t="s">
        <v>138</v>
      </c>
    </row>
    <row r="5105" spans="1:12" ht="13.5" x14ac:dyDescent="0.25">
      <c r="A5105" s="1930" t="s">
        <v>4723</v>
      </c>
      <c r="B5105" s="1930" t="s">
        <v>4724</v>
      </c>
      <c r="C5105" s="1930" t="s">
        <v>4730</v>
      </c>
      <c r="D5105" s="1930" t="s">
        <v>4731</v>
      </c>
      <c r="E5105" s="1931" t="s">
        <v>33</v>
      </c>
      <c r="F5105" s="1930" t="s">
        <v>33</v>
      </c>
      <c r="G5105" s="1932">
        <v>92393</v>
      </c>
      <c r="H5105" s="1930" t="s">
        <v>3777</v>
      </c>
      <c r="I5105" s="1930" t="s">
        <v>306</v>
      </c>
      <c r="J5105" s="1930" t="s">
        <v>320</v>
      </c>
      <c r="K5105" s="1933">
        <v>51.18</v>
      </c>
      <c r="L5105" s="1930" t="s">
        <v>138</v>
      </c>
    </row>
    <row r="5106" spans="1:12" ht="13.5" x14ac:dyDescent="0.25">
      <c r="A5106" s="1930" t="s">
        <v>4723</v>
      </c>
      <c r="B5106" s="1930" t="s">
        <v>4724</v>
      </c>
      <c r="C5106" s="1930" t="s">
        <v>4730</v>
      </c>
      <c r="D5106" s="1930" t="s">
        <v>4731</v>
      </c>
      <c r="E5106" s="1931" t="s">
        <v>33</v>
      </c>
      <c r="F5106" s="1930" t="s">
        <v>33</v>
      </c>
      <c r="G5106" s="1932">
        <v>92394</v>
      </c>
      <c r="H5106" s="1930" t="s">
        <v>3778</v>
      </c>
      <c r="I5106" s="1930" t="s">
        <v>306</v>
      </c>
      <c r="J5106" s="1930" t="s">
        <v>320</v>
      </c>
      <c r="K5106" s="1933">
        <v>54.98</v>
      </c>
      <c r="L5106" s="1930" t="s">
        <v>138</v>
      </c>
    </row>
    <row r="5107" spans="1:12" ht="13.5" x14ac:dyDescent="0.25">
      <c r="A5107" s="1930" t="s">
        <v>4723</v>
      </c>
      <c r="B5107" s="1930" t="s">
        <v>4724</v>
      </c>
      <c r="C5107" s="1930" t="s">
        <v>4730</v>
      </c>
      <c r="D5107" s="1930" t="s">
        <v>4731</v>
      </c>
      <c r="E5107" s="1931" t="s">
        <v>33</v>
      </c>
      <c r="F5107" s="1930" t="s">
        <v>33</v>
      </c>
      <c r="G5107" s="1932">
        <v>92395</v>
      </c>
      <c r="H5107" s="1930" t="s">
        <v>3779</v>
      </c>
      <c r="I5107" s="1930" t="s">
        <v>306</v>
      </c>
      <c r="J5107" s="1930" t="s">
        <v>320</v>
      </c>
      <c r="K5107" s="1933">
        <v>69.13</v>
      </c>
      <c r="L5107" s="1930" t="s">
        <v>138</v>
      </c>
    </row>
    <row r="5108" spans="1:12" ht="13.5" x14ac:dyDescent="0.25">
      <c r="A5108" s="1930" t="s">
        <v>4723</v>
      </c>
      <c r="B5108" s="1930" t="s">
        <v>4724</v>
      </c>
      <c r="C5108" s="1930" t="s">
        <v>4730</v>
      </c>
      <c r="D5108" s="1930" t="s">
        <v>4731</v>
      </c>
      <c r="E5108" s="1931" t="s">
        <v>33</v>
      </c>
      <c r="F5108" s="1930" t="s">
        <v>33</v>
      </c>
      <c r="G5108" s="1932">
        <v>92396</v>
      </c>
      <c r="H5108" s="1930" t="s">
        <v>3780</v>
      </c>
      <c r="I5108" s="1930" t="s">
        <v>306</v>
      </c>
      <c r="J5108" s="1930" t="s">
        <v>320</v>
      </c>
      <c r="K5108" s="1933">
        <v>61.28</v>
      </c>
      <c r="L5108" s="1930" t="s">
        <v>138</v>
      </c>
    </row>
    <row r="5109" spans="1:12" ht="13.5" x14ac:dyDescent="0.25">
      <c r="A5109" s="1930" t="s">
        <v>4723</v>
      </c>
      <c r="B5109" s="1930" t="s">
        <v>4724</v>
      </c>
      <c r="C5109" s="1930" t="s">
        <v>4730</v>
      </c>
      <c r="D5109" s="1930" t="s">
        <v>4731</v>
      </c>
      <c r="E5109" s="1931" t="s">
        <v>33</v>
      </c>
      <c r="F5109" s="1930" t="s">
        <v>33</v>
      </c>
      <c r="G5109" s="1932">
        <v>92397</v>
      </c>
      <c r="H5109" s="1930" t="s">
        <v>3781</v>
      </c>
      <c r="I5109" s="1930" t="s">
        <v>306</v>
      </c>
      <c r="J5109" s="1930" t="s">
        <v>320</v>
      </c>
      <c r="K5109" s="1933">
        <v>50.56</v>
      </c>
      <c r="L5109" s="1930" t="s">
        <v>138</v>
      </c>
    </row>
    <row r="5110" spans="1:12" ht="13.5" x14ac:dyDescent="0.25">
      <c r="A5110" s="1930" t="s">
        <v>4723</v>
      </c>
      <c r="B5110" s="1930" t="s">
        <v>4724</v>
      </c>
      <c r="C5110" s="1930" t="s">
        <v>4730</v>
      </c>
      <c r="D5110" s="1930" t="s">
        <v>4731</v>
      </c>
      <c r="E5110" s="1931" t="s">
        <v>33</v>
      </c>
      <c r="F5110" s="1930" t="s">
        <v>33</v>
      </c>
      <c r="G5110" s="1932">
        <v>92398</v>
      </c>
      <c r="H5110" s="1930" t="s">
        <v>3782</v>
      </c>
      <c r="I5110" s="1930" t="s">
        <v>306</v>
      </c>
      <c r="J5110" s="1930" t="s">
        <v>320</v>
      </c>
      <c r="K5110" s="1933">
        <v>56.76</v>
      </c>
      <c r="L5110" s="1930" t="s">
        <v>138</v>
      </c>
    </row>
    <row r="5111" spans="1:12" ht="13.5" x14ac:dyDescent="0.25">
      <c r="A5111" s="1930" t="s">
        <v>4723</v>
      </c>
      <c r="B5111" s="1930" t="s">
        <v>4724</v>
      </c>
      <c r="C5111" s="1930" t="s">
        <v>4730</v>
      </c>
      <c r="D5111" s="1930" t="s">
        <v>4731</v>
      </c>
      <c r="E5111" s="1931" t="s">
        <v>33</v>
      </c>
      <c r="F5111" s="1930" t="s">
        <v>33</v>
      </c>
      <c r="G5111" s="1932">
        <v>92399</v>
      </c>
      <c r="H5111" s="1930" t="s">
        <v>3783</v>
      </c>
      <c r="I5111" s="1930" t="s">
        <v>306</v>
      </c>
      <c r="J5111" s="1930" t="s">
        <v>320</v>
      </c>
      <c r="K5111" s="1933">
        <v>57.93</v>
      </c>
      <c r="L5111" s="1930" t="s">
        <v>138</v>
      </c>
    </row>
    <row r="5112" spans="1:12" ht="13.5" x14ac:dyDescent="0.25">
      <c r="A5112" s="1930" t="s">
        <v>4723</v>
      </c>
      <c r="B5112" s="1930" t="s">
        <v>4724</v>
      </c>
      <c r="C5112" s="1930" t="s">
        <v>4730</v>
      </c>
      <c r="D5112" s="1930" t="s">
        <v>4731</v>
      </c>
      <c r="E5112" s="1931" t="s">
        <v>33</v>
      </c>
      <c r="F5112" s="1930" t="s">
        <v>33</v>
      </c>
      <c r="G5112" s="1932">
        <v>92400</v>
      </c>
      <c r="H5112" s="1930" t="s">
        <v>3784</v>
      </c>
      <c r="I5112" s="1930" t="s">
        <v>306</v>
      </c>
      <c r="J5112" s="1930" t="s">
        <v>320</v>
      </c>
      <c r="K5112" s="1933">
        <v>69.23</v>
      </c>
      <c r="L5112" s="1930" t="s">
        <v>138</v>
      </c>
    </row>
    <row r="5113" spans="1:12" ht="13.5" x14ac:dyDescent="0.25">
      <c r="A5113" s="1930" t="s">
        <v>4723</v>
      </c>
      <c r="B5113" s="1930" t="s">
        <v>4724</v>
      </c>
      <c r="C5113" s="1930" t="s">
        <v>4730</v>
      </c>
      <c r="D5113" s="1930" t="s">
        <v>4731</v>
      </c>
      <c r="E5113" s="1931" t="s">
        <v>33</v>
      </c>
      <c r="F5113" s="1930" t="s">
        <v>33</v>
      </c>
      <c r="G5113" s="1932">
        <v>92401</v>
      </c>
      <c r="H5113" s="1930" t="s">
        <v>3785</v>
      </c>
      <c r="I5113" s="1930" t="s">
        <v>306</v>
      </c>
      <c r="J5113" s="1930" t="s">
        <v>320</v>
      </c>
      <c r="K5113" s="1933">
        <v>70.489999999999995</v>
      </c>
      <c r="L5113" s="1930" t="s">
        <v>138</v>
      </c>
    </row>
    <row r="5114" spans="1:12" ht="13.5" x14ac:dyDescent="0.25">
      <c r="A5114" s="1930" t="s">
        <v>4723</v>
      </c>
      <c r="B5114" s="1930" t="s">
        <v>4724</v>
      </c>
      <c r="C5114" s="1930" t="s">
        <v>4730</v>
      </c>
      <c r="D5114" s="1930" t="s">
        <v>4731</v>
      </c>
      <c r="E5114" s="1931" t="s">
        <v>33</v>
      </c>
      <c r="F5114" s="1930" t="s">
        <v>33</v>
      </c>
      <c r="G5114" s="1932">
        <v>92402</v>
      </c>
      <c r="H5114" s="1930" t="s">
        <v>3786</v>
      </c>
      <c r="I5114" s="1930" t="s">
        <v>306</v>
      </c>
      <c r="J5114" s="1930" t="s">
        <v>320</v>
      </c>
      <c r="K5114" s="1933">
        <v>62.76</v>
      </c>
      <c r="L5114" s="1930" t="s">
        <v>138</v>
      </c>
    </row>
    <row r="5115" spans="1:12" ht="13.5" x14ac:dyDescent="0.25">
      <c r="A5115" s="1930" t="s">
        <v>4723</v>
      </c>
      <c r="B5115" s="1930" t="s">
        <v>4724</v>
      </c>
      <c r="C5115" s="1930" t="s">
        <v>4730</v>
      </c>
      <c r="D5115" s="1930" t="s">
        <v>4731</v>
      </c>
      <c r="E5115" s="1931" t="s">
        <v>33</v>
      </c>
      <c r="F5115" s="1930" t="s">
        <v>33</v>
      </c>
      <c r="G5115" s="1932">
        <v>92403</v>
      </c>
      <c r="H5115" s="1930" t="s">
        <v>3787</v>
      </c>
      <c r="I5115" s="1930" t="s">
        <v>306</v>
      </c>
      <c r="J5115" s="1930" t="s">
        <v>320</v>
      </c>
      <c r="K5115" s="1933">
        <v>51.93</v>
      </c>
      <c r="L5115" s="1930" t="s">
        <v>138</v>
      </c>
    </row>
    <row r="5116" spans="1:12" ht="13.5" x14ac:dyDescent="0.25">
      <c r="A5116" s="1930" t="s">
        <v>4723</v>
      </c>
      <c r="B5116" s="1930" t="s">
        <v>4724</v>
      </c>
      <c r="C5116" s="1930" t="s">
        <v>4730</v>
      </c>
      <c r="D5116" s="1930" t="s">
        <v>4731</v>
      </c>
      <c r="E5116" s="1931" t="s">
        <v>33</v>
      </c>
      <c r="F5116" s="1930" t="s">
        <v>33</v>
      </c>
      <c r="G5116" s="1932">
        <v>92404</v>
      </c>
      <c r="H5116" s="1930" t="s">
        <v>3788</v>
      </c>
      <c r="I5116" s="1930" t="s">
        <v>306</v>
      </c>
      <c r="J5116" s="1930" t="s">
        <v>320</v>
      </c>
      <c r="K5116" s="1933">
        <v>58.12</v>
      </c>
      <c r="L5116" s="1930" t="s">
        <v>138</v>
      </c>
    </row>
    <row r="5117" spans="1:12" ht="13.5" x14ac:dyDescent="0.25">
      <c r="A5117" s="1930" t="s">
        <v>4723</v>
      </c>
      <c r="B5117" s="1930" t="s">
        <v>4724</v>
      </c>
      <c r="C5117" s="1930" t="s">
        <v>4730</v>
      </c>
      <c r="D5117" s="1930" t="s">
        <v>4731</v>
      </c>
      <c r="E5117" s="1931" t="s">
        <v>33</v>
      </c>
      <c r="F5117" s="1930" t="s">
        <v>33</v>
      </c>
      <c r="G5117" s="1932">
        <v>92405</v>
      </c>
      <c r="H5117" s="1930" t="s">
        <v>3789</v>
      </c>
      <c r="I5117" s="1930" t="s">
        <v>306</v>
      </c>
      <c r="J5117" s="1930" t="s">
        <v>320</v>
      </c>
      <c r="K5117" s="1933">
        <v>59.27</v>
      </c>
      <c r="L5117" s="1930" t="s">
        <v>138</v>
      </c>
    </row>
    <row r="5118" spans="1:12" ht="13.5" x14ac:dyDescent="0.25">
      <c r="A5118" s="1930" t="s">
        <v>4723</v>
      </c>
      <c r="B5118" s="1930" t="s">
        <v>4724</v>
      </c>
      <c r="C5118" s="1930" t="s">
        <v>4730</v>
      </c>
      <c r="D5118" s="1930" t="s">
        <v>4731</v>
      </c>
      <c r="E5118" s="1931" t="s">
        <v>33</v>
      </c>
      <c r="F5118" s="1930" t="s">
        <v>33</v>
      </c>
      <c r="G5118" s="1932">
        <v>92406</v>
      </c>
      <c r="H5118" s="1930" t="s">
        <v>3790</v>
      </c>
      <c r="I5118" s="1930" t="s">
        <v>306</v>
      </c>
      <c r="J5118" s="1930" t="s">
        <v>320</v>
      </c>
      <c r="K5118" s="1933">
        <v>70.59</v>
      </c>
      <c r="L5118" s="1930" t="s">
        <v>138</v>
      </c>
    </row>
    <row r="5119" spans="1:12" ht="13.5" x14ac:dyDescent="0.25">
      <c r="A5119" s="1930" t="s">
        <v>4723</v>
      </c>
      <c r="B5119" s="1930" t="s">
        <v>4724</v>
      </c>
      <c r="C5119" s="1930" t="s">
        <v>4730</v>
      </c>
      <c r="D5119" s="1930" t="s">
        <v>4731</v>
      </c>
      <c r="E5119" s="1931" t="s">
        <v>33</v>
      </c>
      <c r="F5119" s="1930" t="s">
        <v>33</v>
      </c>
      <c r="G5119" s="1932">
        <v>92407</v>
      </c>
      <c r="H5119" s="1930" t="s">
        <v>3791</v>
      </c>
      <c r="I5119" s="1930" t="s">
        <v>306</v>
      </c>
      <c r="J5119" s="1930" t="s">
        <v>320</v>
      </c>
      <c r="K5119" s="1933">
        <v>71.84</v>
      </c>
      <c r="L5119" s="1930" t="s">
        <v>138</v>
      </c>
    </row>
    <row r="5120" spans="1:12" ht="13.5" x14ac:dyDescent="0.25">
      <c r="A5120" s="1930" t="s">
        <v>4723</v>
      </c>
      <c r="B5120" s="1930" t="s">
        <v>4724</v>
      </c>
      <c r="C5120" s="1930" t="s">
        <v>4730</v>
      </c>
      <c r="D5120" s="1930" t="s">
        <v>4731</v>
      </c>
      <c r="E5120" s="1931" t="s">
        <v>33</v>
      </c>
      <c r="F5120" s="1930" t="s">
        <v>33</v>
      </c>
      <c r="G5120" s="1932">
        <v>93679</v>
      </c>
      <c r="H5120" s="1930" t="s">
        <v>3792</v>
      </c>
      <c r="I5120" s="1930" t="s">
        <v>306</v>
      </c>
      <c r="J5120" s="1930" t="s">
        <v>320</v>
      </c>
      <c r="K5120" s="1933">
        <v>66.55</v>
      </c>
      <c r="L5120" s="1930" t="s">
        <v>138</v>
      </c>
    </row>
    <row r="5121" spans="1:12" ht="13.5" x14ac:dyDescent="0.25">
      <c r="A5121" s="1930" t="s">
        <v>4723</v>
      </c>
      <c r="B5121" s="1930" t="s">
        <v>4724</v>
      </c>
      <c r="C5121" s="1930" t="s">
        <v>4730</v>
      </c>
      <c r="D5121" s="1930" t="s">
        <v>4731</v>
      </c>
      <c r="E5121" s="1931" t="s">
        <v>33</v>
      </c>
      <c r="F5121" s="1930" t="s">
        <v>33</v>
      </c>
      <c r="G5121" s="1932">
        <v>93680</v>
      </c>
      <c r="H5121" s="1930" t="s">
        <v>3793</v>
      </c>
      <c r="I5121" s="1930" t="s">
        <v>306</v>
      </c>
      <c r="J5121" s="1930" t="s">
        <v>320</v>
      </c>
      <c r="K5121" s="1933">
        <v>55.59</v>
      </c>
      <c r="L5121" s="1930" t="s">
        <v>138</v>
      </c>
    </row>
    <row r="5122" spans="1:12" ht="13.5" x14ac:dyDescent="0.25">
      <c r="A5122" s="1930" t="s">
        <v>4723</v>
      </c>
      <c r="B5122" s="1930" t="s">
        <v>4724</v>
      </c>
      <c r="C5122" s="1930" t="s">
        <v>4730</v>
      </c>
      <c r="D5122" s="1930" t="s">
        <v>4731</v>
      </c>
      <c r="E5122" s="1931" t="s">
        <v>33</v>
      </c>
      <c r="F5122" s="1930" t="s">
        <v>33</v>
      </c>
      <c r="G5122" s="1932">
        <v>93681</v>
      </c>
      <c r="H5122" s="1930" t="s">
        <v>3794</v>
      </c>
      <c r="I5122" s="1930" t="s">
        <v>306</v>
      </c>
      <c r="J5122" s="1930" t="s">
        <v>320</v>
      </c>
      <c r="K5122" s="1933">
        <v>66.84</v>
      </c>
      <c r="L5122" s="1930" t="s">
        <v>138</v>
      </c>
    </row>
    <row r="5123" spans="1:12" ht="13.5" x14ac:dyDescent="0.25">
      <c r="A5123" s="1930" t="s">
        <v>4723</v>
      </c>
      <c r="B5123" s="1930" t="s">
        <v>4724</v>
      </c>
      <c r="C5123" s="1930" t="s">
        <v>4730</v>
      </c>
      <c r="D5123" s="1930" t="s">
        <v>4731</v>
      </c>
      <c r="E5123" s="1931" t="s">
        <v>33</v>
      </c>
      <c r="F5123" s="1930" t="s">
        <v>33</v>
      </c>
      <c r="G5123" s="1932">
        <v>93682</v>
      </c>
      <c r="H5123" s="1930" t="s">
        <v>3795</v>
      </c>
      <c r="I5123" s="1930" t="s">
        <v>306</v>
      </c>
      <c r="J5123" s="1930" t="s">
        <v>320</v>
      </c>
      <c r="K5123" s="1933">
        <v>68.099999999999994</v>
      </c>
      <c r="L5123" s="1930" t="s">
        <v>138</v>
      </c>
    </row>
    <row r="5124" spans="1:12" ht="13.5" x14ac:dyDescent="0.25">
      <c r="A5124" s="1930" t="s">
        <v>4723</v>
      </c>
      <c r="B5124" s="1930" t="s">
        <v>4724</v>
      </c>
      <c r="C5124" s="1930" t="s">
        <v>4730</v>
      </c>
      <c r="D5124" s="1930" t="s">
        <v>4731</v>
      </c>
      <c r="E5124" s="1931" t="s">
        <v>33</v>
      </c>
      <c r="F5124" s="1930" t="s">
        <v>33</v>
      </c>
      <c r="G5124" s="1932">
        <v>97114</v>
      </c>
      <c r="H5124" s="1930" t="s">
        <v>4957</v>
      </c>
      <c r="I5124" s="1930" t="s">
        <v>136</v>
      </c>
      <c r="J5124" s="1930" t="s">
        <v>320</v>
      </c>
      <c r="K5124" s="1933">
        <v>0.35</v>
      </c>
      <c r="L5124" s="1930" t="s">
        <v>138</v>
      </c>
    </row>
    <row r="5125" spans="1:12" ht="13.5" x14ac:dyDescent="0.25">
      <c r="A5125" s="1930" t="s">
        <v>4723</v>
      </c>
      <c r="B5125" s="1930" t="s">
        <v>4724</v>
      </c>
      <c r="C5125" s="1930" t="s">
        <v>4730</v>
      </c>
      <c r="D5125" s="1930" t="s">
        <v>4731</v>
      </c>
      <c r="E5125" s="1931" t="s">
        <v>33</v>
      </c>
      <c r="F5125" s="1930" t="s">
        <v>33</v>
      </c>
      <c r="G5125" s="1932">
        <v>97115</v>
      </c>
      <c r="H5125" s="1930" t="s">
        <v>4958</v>
      </c>
      <c r="I5125" s="1930" t="s">
        <v>305</v>
      </c>
      <c r="J5125" s="1930" t="s">
        <v>320</v>
      </c>
      <c r="K5125" s="1933">
        <v>42.02</v>
      </c>
      <c r="L5125" s="1930" t="s">
        <v>138</v>
      </c>
    </row>
    <row r="5126" spans="1:12" ht="13.5" x14ac:dyDescent="0.25">
      <c r="A5126" s="1930" t="s">
        <v>4723</v>
      </c>
      <c r="B5126" s="1930" t="s">
        <v>4724</v>
      </c>
      <c r="C5126" s="1930" t="s">
        <v>4730</v>
      </c>
      <c r="D5126" s="1930" t="s">
        <v>4731</v>
      </c>
      <c r="E5126" s="1931" t="s">
        <v>33</v>
      </c>
      <c r="F5126" s="1930" t="s">
        <v>33</v>
      </c>
      <c r="G5126" s="1932">
        <v>97120</v>
      </c>
      <c r="H5126" s="1930" t="s">
        <v>4959</v>
      </c>
      <c r="I5126" s="1930" t="s">
        <v>305</v>
      </c>
      <c r="J5126" s="1930" t="s">
        <v>320</v>
      </c>
      <c r="K5126" s="1933">
        <v>7.21</v>
      </c>
      <c r="L5126" s="1930" t="s">
        <v>138</v>
      </c>
    </row>
    <row r="5127" spans="1:12" ht="13.5" x14ac:dyDescent="0.25">
      <c r="A5127" s="1930" t="s">
        <v>4723</v>
      </c>
      <c r="B5127" s="1930" t="s">
        <v>4724</v>
      </c>
      <c r="C5127" s="1930" t="s">
        <v>4730</v>
      </c>
      <c r="D5127" s="1930" t="s">
        <v>4731</v>
      </c>
      <c r="E5127" s="1931" t="s">
        <v>33</v>
      </c>
      <c r="F5127" s="1930" t="s">
        <v>33</v>
      </c>
      <c r="G5127" s="1932">
        <v>97802</v>
      </c>
      <c r="H5127" s="1930" t="s">
        <v>9265</v>
      </c>
      <c r="I5127" s="1930" t="s">
        <v>306</v>
      </c>
      <c r="J5127" s="1930" t="s">
        <v>137</v>
      </c>
      <c r="K5127" s="1933">
        <v>4.76</v>
      </c>
      <c r="L5127" s="1930" t="s">
        <v>138</v>
      </c>
    </row>
    <row r="5128" spans="1:12" ht="13.5" x14ac:dyDescent="0.25">
      <c r="A5128" s="1930" t="s">
        <v>4723</v>
      </c>
      <c r="B5128" s="1930" t="s">
        <v>4724</v>
      </c>
      <c r="C5128" s="1930" t="s">
        <v>4730</v>
      </c>
      <c r="D5128" s="1930" t="s">
        <v>4731</v>
      </c>
      <c r="E5128" s="1931" t="s">
        <v>33</v>
      </c>
      <c r="F5128" s="1930" t="s">
        <v>33</v>
      </c>
      <c r="G5128" s="1932">
        <v>97803</v>
      </c>
      <c r="H5128" s="1930" t="s">
        <v>9266</v>
      </c>
      <c r="I5128" s="1930" t="s">
        <v>306</v>
      </c>
      <c r="J5128" s="1930" t="s">
        <v>137</v>
      </c>
      <c r="K5128" s="1933">
        <v>7.08</v>
      </c>
      <c r="L5128" s="1930" t="s">
        <v>138</v>
      </c>
    </row>
    <row r="5129" spans="1:12" ht="13.5" x14ac:dyDescent="0.25">
      <c r="A5129" s="1930" t="s">
        <v>4723</v>
      </c>
      <c r="B5129" s="1930" t="s">
        <v>4724</v>
      </c>
      <c r="C5129" s="1930" t="s">
        <v>4730</v>
      </c>
      <c r="D5129" s="1930" t="s">
        <v>4731</v>
      </c>
      <c r="E5129" s="1931" t="s">
        <v>33</v>
      </c>
      <c r="F5129" s="1930" t="s">
        <v>33</v>
      </c>
      <c r="G5129" s="1932">
        <v>97805</v>
      </c>
      <c r="H5129" s="1930" t="s">
        <v>9267</v>
      </c>
      <c r="I5129" s="1930" t="s">
        <v>306</v>
      </c>
      <c r="J5129" s="1930" t="s">
        <v>137</v>
      </c>
      <c r="K5129" s="1933">
        <v>11.96</v>
      </c>
      <c r="L5129" s="1930" t="s">
        <v>138</v>
      </c>
    </row>
    <row r="5130" spans="1:12" ht="13.5" x14ac:dyDescent="0.25">
      <c r="A5130" s="1930" t="s">
        <v>4723</v>
      </c>
      <c r="B5130" s="1930" t="s">
        <v>4724</v>
      </c>
      <c r="C5130" s="1930" t="s">
        <v>4730</v>
      </c>
      <c r="D5130" s="1930" t="s">
        <v>4731</v>
      </c>
      <c r="E5130" s="1931" t="s">
        <v>33</v>
      </c>
      <c r="F5130" s="1930" t="s">
        <v>33</v>
      </c>
      <c r="G5130" s="1932">
        <v>97806</v>
      </c>
      <c r="H5130" s="1930" t="s">
        <v>9268</v>
      </c>
      <c r="I5130" s="1930" t="s">
        <v>306</v>
      </c>
      <c r="J5130" s="1930" t="s">
        <v>137</v>
      </c>
      <c r="K5130" s="1933">
        <v>14.24</v>
      </c>
      <c r="L5130" s="1930" t="s">
        <v>138</v>
      </c>
    </row>
    <row r="5131" spans="1:12" ht="13.5" x14ac:dyDescent="0.25">
      <c r="A5131" s="1930" t="s">
        <v>4723</v>
      </c>
      <c r="B5131" s="1930" t="s">
        <v>4724</v>
      </c>
      <c r="C5131" s="1930" t="s">
        <v>4730</v>
      </c>
      <c r="D5131" s="1930" t="s">
        <v>4731</v>
      </c>
      <c r="E5131" s="1931" t="s">
        <v>33</v>
      </c>
      <c r="F5131" s="1930" t="s">
        <v>33</v>
      </c>
      <c r="G5131" s="1932">
        <v>97807</v>
      </c>
      <c r="H5131" s="1930" t="s">
        <v>9269</v>
      </c>
      <c r="I5131" s="1930" t="s">
        <v>306</v>
      </c>
      <c r="J5131" s="1930" t="s">
        <v>137</v>
      </c>
      <c r="K5131" s="1933">
        <v>16.37</v>
      </c>
      <c r="L5131" s="1930" t="s">
        <v>138</v>
      </c>
    </row>
    <row r="5132" spans="1:12" ht="13.5" x14ac:dyDescent="0.25">
      <c r="A5132" s="1930" t="s">
        <v>4723</v>
      </c>
      <c r="B5132" s="1930" t="s">
        <v>4724</v>
      </c>
      <c r="C5132" s="1930" t="s">
        <v>4730</v>
      </c>
      <c r="D5132" s="1930" t="s">
        <v>4731</v>
      </c>
      <c r="E5132" s="1931" t="s">
        <v>33</v>
      </c>
      <c r="F5132" s="1930" t="s">
        <v>33</v>
      </c>
      <c r="G5132" s="1932">
        <v>97809</v>
      </c>
      <c r="H5132" s="1930" t="s">
        <v>9270</v>
      </c>
      <c r="I5132" s="1930" t="s">
        <v>306</v>
      </c>
      <c r="J5132" s="1930" t="s">
        <v>137</v>
      </c>
      <c r="K5132" s="1933">
        <v>13.33</v>
      </c>
      <c r="L5132" s="1930" t="s">
        <v>138</v>
      </c>
    </row>
    <row r="5133" spans="1:12" ht="13.5" x14ac:dyDescent="0.25">
      <c r="A5133" s="1930" t="s">
        <v>4723</v>
      </c>
      <c r="B5133" s="1930" t="s">
        <v>4724</v>
      </c>
      <c r="C5133" s="1930" t="s">
        <v>4730</v>
      </c>
      <c r="D5133" s="1930" t="s">
        <v>4731</v>
      </c>
      <c r="E5133" s="1931" t="s">
        <v>33</v>
      </c>
      <c r="F5133" s="1930" t="s">
        <v>33</v>
      </c>
      <c r="G5133" s="1932">
        <v>97810</v>
      </c>
      <c r="H5133" s="1930" t="s">
        <v>9271</v>
      </c>
      <c r="I5133" s="1930" t="s">
        <v>306</v>
      </c>
      <c r="J5133" s="1930" t="s">
        <v>137</v>
      </c>
      <c r="K5133" s="1933">
        <v>14.41</v>
      </c>
      <c r="L5133" s="1930" t="s">
        <v>138</v>
      </c>
    </row>
    <row r="5134" spans="1:12" ht="13.5" x14ac:dyDescent="0.25">
      <c r="A5134" s="1930" t="s">
        <v>4723</v>
      </c>
      <c r="B5134" s="1930" t="s">
        <v>4724</v>
      </c>
      <c r="C5134" s="1930" t="s">
        <v>4730</v>
      </c>
      <c r="D5134" s="1930" t="s">
        <v>4731</v>
      </c>
      <c r="E5134" s="1931" t="s">
        <v>33</v>
      </c>
      <c r="F5134" s="1930" t="s">
        <v>33</v>
      </c>
      <c r="G5134" s="1932">
        <v>97811</v>
      </c>
      <c r="H5134" s="1930" t="s">
        <v>9272</v>
      </c>
      <c r="I5134" s="1930" t="s">
        <v>306</v>
      </c>
      <c r="J5134" s="1930" t="s">
        <v>137</v>
      </c>
      <c r="K5134" s="1933">
        <v>16.57</v>
      </c>
      <c r="L5134" s="1930" t="s">
        <v>138</v>
      </c>
    </row>
    <row r="5135" spans="1:12" ht="13.5" x14ac:dyDescent="0.25">
      <c r="A5135" s="1930" t="s">
        <v>4723</v>
      </c>
      <c r="B5135" s="1930" t="s">
        <v>4724</v>
      </c>
      <c r="C5135" s="1930" t="s">
        <v>4732</v>
      </c>
      <c r="D5135" s="1930" t="s">
        <v>4733</v>
      </c>
      <c r="E5135" s="1931" t="s">
        <v>33</v>
      </c>
      <c r="F5135" s="1930" t="s">
        <v>33</v>
      </c>
      <c r="G5135" s="1932">
        <v>72947</v>
      </c>
      <c r="H5135" s="1930" t="s">
        <v>3796</v>
      </c>
      <c r="I5135" s="1930" t="s">
        <v>306</v>
      </c>
      <c r="J5135" s="1930" t="s">
        <v>137</v>
      </c>
      <c r="K5135" s="1933">
        <v>15.16</v>
      </c>
      <c r="L5135" s="1930" t="s">
        <v>138</v>
      </c>
    </row>
    <row r="5136" spans="1:12" ht="13.5" x14ac:dyDescent="0.25">
      <c r="A5136" s="1930" t="s">
        <v>4723</v>
      </c>
      <c r="B5136" s="1930" t="s">
        <v>4724</v>
      </c>
      <c r="C5136" s="1930" t="s">
        <v>4732</v>
      </c>
      <c r="D5136" s="1930" t="s">
        <v>4733</v>
      </c>
      <c r="E5136" s="1931" t="s">
        <v>33</v>
      </c>
      <c r="F5136" s="1930" t="s">
        <v>33</v>
      </c>
      <c r="G5136" s="1932">
        <v>83693</v>
      </c>
      <c r="H5136" s="1930" t="s">
        <v>3797</v>
      </c>
      <c r="I5136" s="1930" t="s">
        <v>306</v>
      </c>
      <c r="J5136" s="1930" t="s">
        <v>320</v>
      </c>
      <c r="K5136" s="1933">
        <v>3.66</v>
      </c>
      <c r="L5136" s="1930" t="s">
        <v>138</v>
      </c>
    </row>
    <row r="5137" spans="1:12" ht="13.5" x14ac:dyDescent="0.25">
      <c r="A5137" s="1930" t="s">
        <v>4723</v>
      </c>
      <c r="B5137" s="1930" t="s">
        <v>4724</v>
      </c>
      <c r="C5137" s="1930" t="s">
        <v>4734</v>
      </c>
      <c r="D5137" s="1930" t="s">
        <v>4735</v>
      </c>
      <c r="E5137" s="1931" t="s">
        <v>33</v>
      </c>
      <c r="F5137" s="1930" t="s">
        <v>33</v>
      </c>
      <c r="G5137" s="1932">
        <v>95995</v>
      </c>
      <c r="H5137" s="1930" t="s">
        <v>8879</v>
      </c>
      <c r="I5137" s="1930" t="s">
        <v>1208</v>
      </c>
      <c r="J5137" s="1930" t="s">
        <v>137</v>
      </c>
      <c r="K5137" s="1933">
        <v>905.71</v>
      </c>
      <c r="L5137" s="1930" t="s">
        <v>138</v>
      </c>
    </row>
    <row r="5138" spans="1:12" ht="13.5" x14ac:dyDescent="0.25">
      <c r="A5138" s="1930" t="s">
        <v>4723</v>
      </c>
      <c r="B5138" s="1930" t="s">
        <v>4724</v>
      </c>
      <c r="C5138" s="1930" t="s">
        <v>4734</v>
      </c>
      <c r="D5138" s="1930" t="s">
        <v>4735</v>
      </c>
      <c r="E5138" s="1931" t="s">
        <v>33</v>
      </c>
      <c r="F5138" s="1930" t="s">
        <v>33</v>
      </c>
      <c r="G5138" s="1932">
        <v>95996</v>
      </c>
      <c r="H5138" s="1930" t="s">
        <v>8880</v>
      </c>
      <c r="I5138" s="1930" t="s">
        <v>1208</v>
      </c>
      <c r="J5138" s="1930" t="s">
        <v>137</v>
      </c>
      <c r="K5138" s="1933">
        <v>860.04</v>
      </c>
      <c r="L5138" s="1930" t="s">
        <v>138</v>
      </c>
    </row>
    <row r="5139" spans="1:12" ht="13.5" x14ac:dyDescent="0.25">
      <c r="A5139" s="1930" t="s">
        <v>4723</v>
      </c>
      <c r="B5139" s="1930" t="s">
        <v>4724</v>
      </c>
      <c r="C5139" s="1930" t="s">
        <v>4734</v>
      </c>
      <c r="D5139" s="1930" t="s">
        <v>4735</v>
      </c>
      <c r="E5139" s="1931" t="s">
        <v>33</v>
      </c>
      <c r="F5139" s="1930" t="s">
        <v>33</v>
      </c>
      <c r="G5139" s="1932">
        <v>96001</v>
      </c>
      <c r="H5139" s="1930" t="s">
        <v>8881</v>
      </c>
      <c r="I5139" s="1930" t="s">
        <v>306</v>
      </c>
      <c r="J5139" s="1930" t="s">
        <v>137</v>
      </c>
      <c r="K5139" s="1933">
        <v>4.8099999999999996</v>
      </c>
      <c r="L5139" s="1930" t="s">
        <v>138</v>
      </c>
    </row>
    <row r="5140" spans="1:12" ht="13.5" x14ac:dyDescent="0.25">
      <c r="A5140" s="1930" t="s">
        <v>4723</v>
      </c>
      <c r="B5140" s="1930" t="s">
        <v>4724</v>
      </c>
      <c r="C5140" s="1930" t="s">
        <v>4734</v>
      </c>
      <c r="D5140" s="1930" t="s">
        <v>4735</v>
      </c>
      <c r="E5140" s="1931" t="s">
        <v>33</v>
      </c>
      <c r="F5140" s="1930" t="s">
        <v>33</v>
      </c>
      <c r="G5140" s="1932">
        <v>96393</v>
      </c>
      <c r="H5140" s="1930" t="s">
        <v>14947</v>
      </c>
      <c r="I5140" s="1930" t="s">
        <v>1208</v>
      </c>
      <c r="J5140" s="1930" t="s">
        <v>137</v>
      </c>
      <c r="K5140" s="1933">
        <v>132.59</v>
      </c>
      <c r="L5140" s="1930" t="s">
        <v>138</v>
      </c>
    </row>
    <row r="5141" spans="1:12" ht="13.5" x14ac:dyDescent="0.25">
      <c r="A5141" s="1930" t="s">
        <v>4723</v>
      </c>
      <c r="B5141" s="1930" t="s">
        <v>4724</v>
      </c>
      <c r="C5141" s="1930" t="s">
        <v>4734</v>
      </c>
      <c r="D5141" s="1930" t="s">
        <v>4735</v>
      </c>
      <c r="E5141" s="1931" t="s">
        <v>33</v>
      </c>
      <c r="F5141" s="1930" t="s">
        <v>33</v>
      </c>
      <c r="G5141" s="1932">
        <v>96394</v>
      </c>
      <c r="H5141" s="1930" t="s">
        <v>14948</v>
      </c>
      <c r="I5141" s="1930" t="s">
        <v>1208</v>
      </c>
      <c r="J5141" s="1930" t="s">
        <v>137</v>
      </c>
      <c r="K5141" s="1933">
        <v>162.6</v>
      </c>
      <c r="L5141" s="1930" t="s">
        <v>138</v>
      </c>
    </row>
    <row r="5142" spans="1:12" ht="13.5" x14ac:dyDescent="0.25">
      <c r="A5142" s="1930" t="s">
        <v>4723</v>
      </c>
      <c r="B5142" s="1930" t="s">
        <v>4724</v>
      </c>
      <c r="C5142" s="1930" t="s">
        <v>4734</v>
      </c>
      <c r="D5142" s="1930" t="s">
        <v>4735</v>
      </c>
      <c r="E5142" s="1931" t="s">
        <v>33</v>
      </c>
      <c r="F5142" s="1930" t="s">
        <v>33</v>
      </c>
      <c r="G5142" s="1932">
        <v>96395</v>
      </c>
      <c r="H5142" s="1930" t="s">
        <v>14949</v>
      </c>
      <c r="I5142" s="1930" t="s">
        <v>1208</v>
      </c>
      <c r="J5142" s="1930" t="s">
        <v>137</v>
      </c>
      <c r="K5142" s="1933">
        <v>206.47</v>
      </c>
      <c r="L5142" s="1930" t="s">
        <v>138</v>
      </c>
    </row>
    <row r="5143" spans="1:12" ht="13.5" x14ac:dyDescent="0.25">
      <c r="A5143" s="1930" t="s">
        <v>4723</v>
      </c>
      <c r="B5143" s="1930" t="s">
        <v>4724</v>
      </c>
      <c r="C5143" s="1930" t="s">
        <v>4734</v>
      </c>
      <c r="D5143" s="1930" t="s">
        <v>4735</v>
      </c>
      <c r="E5143" s="1931" t="s">
        <v>33</v>
      </c>
      <c r="F5143" s="1930" t="s">
        <v>33</v>
      </c>
      <c r="G5143" s="1932">
        <v>101020</v>
      </c>
      <c r="H5143" s="1930" t="s">
        <v>14950</v>
      </c>
      <c r="I5143" s="1930" t="s">
        <v>3524</v>
      </c>
      <c r="J5143" s="1930" t="s">
        <v>137</v>
      </c>
      <c r="K5143" s="1933">
        <v>308.52</v>
      </c>
      <c r="L5143" s="1930" t="s">
        <v>138</v>
      </c>
    </row>
    <row r="5144" spans="1:12" ht="13.5" x14ac:dyDescent="0.25">
      <c r="A5144" s="1930" t="s">
        <v>4723</v>
      </c>
      <c r="B5144" s="1930" t="s">
        <v>4724</v>
      </c>
      <c r="C5144" s="1930" t="s">
        <v>4734</v>
      </c>
      <c r="D5144" s="1930" t="s">
        <v>4735</v>
      </c>
      <c r="E5144" s="1931" t="s">
        <v>33</v>
      </c>
      <c r="F5144" s="1930" t="s">
        <v>33</v>
      </c>
      <c r="G5144" s="1932">
        <v>101021</v>
      </c>
      <c r="H5144" s="1930" t="s">
        <v>14951</v>
      </c>
      <c r="I5144" s="1930" t="s">
        <v>3524</v>
      </c>
      <c r="J5144" s="1930" t="s">
        <v>137</v>
      </c>
      <c r="K5144" s="1933">
        <v>315.67</v>
      </c>
      <c r="L5144" s="1930" t="s">
        <v>138</v>
      </c>
    </row>
    <row r="5145" spans="1:12" ht="13.5" x14ac:dyDescent="0.25">
      <c r="A5145" s="1930" t="s">
        <v>4723</v>
      </c>
      <c r="B5145" s="1930" t="s">
        <v>4724</v>
      </c>
      <c r="C5145" s="1930" t="s">
        <v>4734</v>
      </c>
      <c r="D5145" s="1930" t="s">
        <v>4735</v>
      </c>
      <c r="E5145" s="1931" t="s">
        <v>33</v>
      </c>
      <c r="F5145" s="1930" t="s">
        <v>33</v>
      </c>
      <c r="G5145" s="1932">
        <v>101022</v>
      </c>
      <c r="H5145" s="1930" t="s">
        <v>14952</v>
      </c>
      <c r="I5145" s="1930" t="s">
        <v>3524</v>
      </c>
      <c r="J5145" s="1930" t="s">
        <v>137</v>
      </c>
      <c r="K5145" s="1933">
        <v>270.99</v>
      </c>
      <c r="L5145" s="1930" t="s">
        <v>138</v>
      </c>
    </row>
    <row r="5146" spans="1:12" ht="13.5" x14ac:dyDescent="0.25">
      <c r="A5146" s="1930" t="s">
        <v>4723</v>
      </c>
      <c r="B5146" s="1930" t="s">
        <v>4724</v>
      </c>
      <c r="C5146" s="1930" t="s">
        <v>4734</v>
      </c>
      <c r="D5146" s="1930" t="s">
        <v>4735</v>
      </c>
      <c r="E5146" s="1931" t="s">
        <v>33</v>
      </c>
      <c r="F5146" s="1930" t="s">
        <v>33</v>
      </c>
      <c r="G5146" s="1932">
        <v>101023</v>
      </c>
      <c r="H5146" s="1930" t="s">
        <v>14953</v>
      </c>
      <c r="I5146" s="1930" t="s">
        <v>3524</v>
      </c>
      <c r="J5146" s="1930" t="s">
        <v>137</v>
      </c>
      <c r="K5146" s="1933">
        <v>279.44</v>
      </c>
      <c r="L5146" s="1930" t="s">
        <v>138</v>
      </c>
    </row>
    <row r="5147" spans="1:12" ht="13.5" x14ac:dyDescent="0.25">
      <c r="A5147" s="1930" t="s">
        <v>4723</v>
      </c>
      <c r="B5147" s="1930" t="s">
        <v>4724</v>
      </c>
      <c r="C5147" s="1930" t="s">
        <v>4734</v>
      </c>
      <c r="D5147" s="1930" t="s">
        <v>4735</v>
      </c>
      <c r="E5147" s="1931" t="s">
        <v>33</v>
      </c>
      <c r="F5147" s="1930" t="s">
        <v>33</v>
      </c>
      <c r="G5147" s="1932">
        <v>101024</v>
      </c>
      <c r="H5147" s="1930" t="s">
        <v>14954</v>
      </c>
      <c r="I5147" s="1930" t="s">
        <v>3524</v>
      </c>
      <c r="J5147" s="1930" t="s">
        <v>137</v>
      </c>
      <c r="K5147" s="1933">
        <v>274.77999999999997</v>
      </c>
      <c r="L5147" s="1930" t="s">
        <v>138</v>
      </c>
    </row>
    <row r="5148" spans="1:12" ht="13.5" x14ac:dyDescent="0.25">
      <c r="A5148" s="1930" t="s">
        <v>4723</v>
      </c>
      <c r="B5148" s="1930" t="s">
        <v>4724</v>
      </c>
      <c r="C5148" s="1930" t="s">
        <v>4734</v>
      </c>
      <c r="D5148" s="1930" t="s">
        <v>4735</v>
      </c>
      <c r="E5148" s="1931" t="s">
        <v>33</v>
      </c>
      <c r="F5148" s="1930" t="s">
        <v>33</v>
      </c>
      <c r="G5148" s="1932">
        <v>101025</v>
      </c>
      <c r="H5148" s="1930" t="s">
        <v>14955</v>
      </c>
      <c r="I5148" s="1930" t="s">
        <v>3524</v>
      </c>
      <c r="J5148" s="1930" t="s">
        <v>137</v>
      </c>
      <c r="K5148" s="1933">
        <v>281.93</v>
      </c>
      <c r="L5148" s="1930" t="s">
        <v>138</v>
      </c>
    </row>
    <row r="5149" spans="1:12" ht="13.5" x14ac:dyDescent="0.25">
      <c r="A5149" s="1930" t="s">
        <v>4723</v>
      </c>
      <c r="B5149" s="1930" t="s">
        <v>4724</v>
      </c>
      <c r="C5149" s="1930" t="s">
        <v>4734</v>
      </c>
      <c r="D5149" s="1930" t="s">
        <v>4735</v>
      </c>
      <c r="E5149" s="1931" t="s">
        <v>33</v>
      </c>
      <c r="F5149" s="1930" t="s">
        <v>33</v>
      </c>
      <c r="G5149" s="1932">
        <v>101026</v>
      </c>
      <c r="H5149" s="1930" t="s">
        <v>14956</v>
      </c>
      <c r="I5149" s="1930" t="s">
        <v>3524</v>
      </c>
      <c r="J5149" s="1930" t="s">
        <v>137</v>
      </c>
      <c r="K5149" s="1933">
        <v>295.79000000000002</v>
      </c>
      <c r="L5149" s="1930" t="s">
        <v>138</v>
      </c>
    </row>
    <row r="5150" spans="1:12" ht="13.5" x14ac:dyDescent="0.25">
      <c r="A5150" s="1930" t="s">
        <v>4723</v>
      </c>
      <c r="B5150" s="1930" t="s">
        <v>4724</v>
      </c>
      <c r="C5150" s="1930" t="s">
        <v>4734</v>
      </c>
      <c r="D5150" s="1930" t="s">
        <v>4735</v>
      </c>
      <c r="E5150" s="1931" t="s">
        <v>33</v>
      </c>
      <c r="F5150" s="1930" t="s">
        <v>33</v>
      </c>
      <c r="G5150" s="1932">
        <v>101027</v>
      </c>
      <c r="H5150" s="1930" t="s">
        <v>14957</v>
      </c>
      <c r="I5150" s="1930" t="s">
        <v>3524</v>
      </c>
      <c r="J5150" s="1930" t="s">
        <v>137</v>
      </c>
      <c r="K5150" s="1933">
        <v>327.31</v>
      </c>
      <c r="L5150" s="1930" t="s">
        <v>138</v>
      </c>
    </row>
    <row r="5151" spans="1:12" ht="13.5" x14ac:dyDescent="0.25">
      <c r="A5151" s="1930" t="s">
        <v>4736</v>
      </c>
      <c r="B5151" s="1930" t="s">
        <v>4737</v>
      </c>
      <c r="C5151" s="1930" t="s">
        <v>4738</v>
      </c>
      <c r="D5151" s="1930" t="s">
        <v>4739</v>
      </c>
      <c r="E5151" s="1931" t="s">
        <v>33</v>
      </c>
      <c r="F5151" s="1930" t="s">
        <v>33</v>
      </c>
      <c r="G5151" s="1932">
        <v>88411</v>
      </c>
      <c r="H5151" s="1930" t="s">
        <v>3798</v>
      </c>
      <c r="I5151" s="1930" t="s">
        <v>306</v>
      </c>
      <c r="J5151" s="1930" t="s">
        <v>346</v>
      </c>
      <c r="K5151" s="1933">
        <v>2.41</v>
      </c>
      <c r="L5151" s="1930" t="s">
        <v>138</v>
      </c>
    </row>
    <row r="5152" spans="1:12" ht="13.5" x14ac:dyDescent="0.25">
      <c r="A5152" s="1930" t="s">
        <v>4736</v>
      </c>
      <c r="B5152" s="1930" t="s">
        <v>4737</v>
      </c>
      <c r="C5152" s="1930" t="s">
        <v>4738</v>
      </c>
      <c r="D5152" s="1930" t="s">
        <v>4739</v>
      </c>
      <c r="E5152" s="1931" t="s">
        <v>33</v>
      </c>
      <c r="F5152" s="1930" t="s">
        <v>33</v>
      </c>
      <c r="G5152" s="1932">
        <v>88412</v>
      </c>
      <c r="H5152" s="1930" t="s">
        <v>3799</v>
      </c>
      <c r="I5152" s="1930" t="s">
        <v>306</v>
      </c>
      <c r="J5152" s="1930" t="s">
        <v>346</v>
      </c>
      <c r="K5152" s="1933">
        <v>1.86</v>
      </c>
      <c r="L5152" s="1930" t="s">
        <v>138</v>
      </c>
    </row>
    <row r="5153" spans="1:12" ht="13.5" x14ac:dyDescent="0.25">
      <c r="A5153" s="1930" t="s">
        <v>4736</v>
      </c>
      <c r="B5153" s="1930" t="s">
        <v>4737</v>
      </c>
      <c r="C5153" s="1930" t="s">
        <v>4738</v>
      </c>
      <c r="D5153" s="1930" t="s">
        <v>4739</v>
      </c>
      <c r="E5153" s="1931" t="s">
        <v>33</v>
      </c>
      <c r="F5153" s="1930" t="s">
        <v>33</v>
      </c>
      <c r="G5153" s="1932">
        <v>88413</v>
      </c>
      <c r="H5153" s="1930" t="s">
        <v>3800</v>
      </c>
      <c r="I5153" s="1930" t="s">
        <v>306</v>
      </c>
      <c r="J5153" s="1930" t="s">
        <v>346</v>
      </c>
      <c r="K5153" s="1933">
        <v>3.53</v>
      </c>
      <c r="L5153" s="1930" t="s">
        <v>138</v>
      </c>
    </row>
    <row r="5154" spans="1:12" ht="13.5" x14ac:dyDescent="0.25">
      <c r="A5154" s="1930" t="s">
        <v>4736</v>
      </c>
      <c r="B5154" s="1930" t="s">
        <v>4737</v>
      </c>
      <c r="C5154" s="1930" t="s">
        <v>4738</v>
      </c>
      <c r="D5154" s="1930" t="s">
        <v>4739</v>
      </c>
      <c r="E5154" s="1931" t="s">
        <v>33</v>
      </c>
      <c r="F5154" s="1930" t="s">
        <v>33</v>
      </c>
      <c r="G5154" s="1932">
        <v>88414</v>
      </c>
      <c r="H5154" s="1930" t="s">
        <v>3801</v>
      </c>
      <c r="I5154" s="1930" t="s">
        <v>306</v>
      </c>
      <c r="J5154" s="1930" t="s">
        <v>346</v>
      </c>
      <c r="K5154" s="1933">
        <v>3.89</v>
      </c>
      <c r="L5154" s="1930" t="s">
        <v>138</v>
      </c>
    </row>
    <row r="5155" spans="1:12" ht="13.5" x14ac:dyDescent="0.25">
      <c r="A5155" s="1930" t="s">
        <v>4736</v>
      </c>
      <c r="B5155" s="1930" t="s">
        <v>4737</v>
      </c>
      <c r="C5155" s="1930" t="s">
        <v>4738</v>
      </c>
      <c r="D5155" s="1930" t="s">
        <v>4739</v>
      </c>
      <c r="E5155" s="1931" t="s">
        <v>33</v>
      </c>
      <c r="F5155" s="1930" t="s">
        <v>33</v>
      </c>
      <c r="G5155" s="1932">
        <v>88415</v>
      </c>
      <c r="H5155" s="1930" t="s">
        <v>3802</v>
      </c>
      <c r="I5155" s="1930" t="s">
        <v>306</v>
      </c>
      <c r="J5155" s="1930" t="s">
        <v>346</v>
      </c>
      <c r="K5155" s="1933">
        <v>2.59</v>
      </c>
      <c r="L5155" s="1930" t="s">
        <v>138</v>
      </c>
    </row>
    <row r="5156" spans="1:12" ht="13.5" x14ac:dyDescent="0.25">
      <c r="A5156" s="1930" t="s">
        <v>4736</v>
      </c>
      <c r="B5156" s="1930" t="s">
        <v>4737</v>
      </c>
      <c r="C5156" s="1930" t="s">
        <v>4738</v>
      </c>
      <c r="D5156" s="1930" t="s">
        <v>4739</v>
      </c>
      <c r="E5156" s="1931" t="s">
        <v>33</v>
      </c>
      <c r="F5156" s="1930" t="s">
        <v>33</v>
      </c>
      <c r="G5156" s="1932">
        <v>88416</v>
      </c>
      <c r="H5156" s="1930" t="s">
        <v>3803</v>
      </c>
      <c r="I5156" s="1930" t="s">
        <v>306</v>
      </c>
      <c r="J5156" s="1930" t="s">
        <v>320</v>
      </c>
      <c r="K5156" s="1933">
        <v>16.079999999999998</v>
      </c>
      <c r="L5156" s="1930" t="s">
        <v>138</v>
      </c>
    </row>
    <row r="5157" spans="1:12" ht="13.5" x14ac:dyDescent="0.25">
      <c r="A5157" s="1930" t="s">
        <v>4736</v>
      </c>
      <c r="B5157" s="1930" t="s">
        <v>4737</v>
      </c>
      <c r="C5157" s="1930" t="s">
        <v>4738</v>
      </c>
      <c r="D5157" s="1930" t="s">
        <v>4739</v>
      </c>
      <c r="E5157" s="1931" t="s">
        <v>33</v>
      </c>
      <c r="F5157" s="1930" t="s">
        <v>33</v>
      </c>
      <c r="G5157" s="1932">
        <v>88417</v>
      </c>
      <c r="H5157" s="1930" t="s">
        <v>3804</v>
      </c>
      <c r="I5157" s="1930" t="s">
        <v>306</v>
      </c>
      <c r="J5157" s="1930" t="s">
        <v>320</v>
      </c>
      <c r="K5157" s="1933">
        <v>14.1</v>
      </c>
      <c r="L5157" s="1930" t="s">
        <v>138</v>
      </c>
    </row>
    <row r="5158" spans="1:12" ht="13.5" x14ac:dyDescent="0.25">
      <c r="A5158" s="1930" t="s">
        <v>4736</v>
      </c>
      <c r="B5158" s="1930" t="s">
        <v>4737</v>
      </c>
      <c r="C5158" s="1930" t="s">
        <v>4738</v>
      </c>
      <c r="D5158" s="1930" t="s">
        <v>4739</v>
      </c>
      <c r="E5158" s="1931" t="s">
        <v>33</v>
      </c>
      <c r="F5158" s="1930" t="s">
        <v>33</v>
      </c>
      <c r="G5158" s="1932">
        <v>88420</v>
      </c>
      <c r="H5158" s="1930" t="s">
        <v>3805</v>
      </c>
      <c r="I5158" s="1930" t="s">
        <v>306</v>
      </c>
      <c r="J5158" s="1930" t="s">
        <v>320</v>
      </c>
      <c r="K5158" s="1933">
        <v>20.079999999999998</v>
      </c>
      <c r="L5158" s="1930" t="s">
        <v>138</v>
      </c>
    </row>
    <row r="5159" spans="1:12" ht="13.5" x14ac:dyDescent="0.25">
      <c r="A5159" s="1930" t="s">
        <v>4736</v>
      </c>
      <c r="B5159" s="1930" t="s">
        <v>4737</v>
      </c>
      <c r="C5159" s="1930" t="s">
        <v>4738</v>
      </c>
      <c r="D5159" s="1930" t="s">
        <v>4739</v>
      </c>
      <c r="E5159" s="1931" t="s">
        <v>33</v>
      </c>
      <c r="F5159" s="1930" t="s">
        <v>33</v>
      </c>
      <c r="G5159" s="1932">
        <v>88421</v>
      </c>
      <c r="H5159" s="1930" t="s">
        <v>3806</v>
      </c>
      <c r="I5159" s="1930" t="s">
        <v>306</v>
      </c>
      <c r="J5159" s="1930" t="s">
        <v>320</v>
      </c>
      <c r="K5159" s="1933">
        <v>21.34</v>
      </c>
      <c r="L5159" s="1930" t="s">
        <v>138</v>
      </c>
    </row>
    <row r="5160" spans="1:12" ht="13.5" x14ac:dyDescent="0.25">
      <c r="A5160" s="1930" t="s">
        <v>4736</v>
      </c>
      <c r="B5160" s="1930" t="s">
        <v>4737</v>
      </c>
      <c r="C5160" s="1930" t="s">
        <v>4738</v>
      </c>
      <c r="D5160" s="1930" t="s">
        <v>4739</v>
      </c>
      <c r="E5160" s="1931" t="s">
        <v>33</v>
      </c>
      <c r="F5160" s="1930" t="s">
        <v>33</v>
      </c>
      <c r="G5160" s="1932">
        <v>88423</v>
      </c>
      <c r="H5160" s="1930" t="s">
        <v>3807</v>
      </c>
      <c r="I5160" s="1930" t="s">
        <v>306</v>
      </c>
      <c r="J5160" s="1930" t="s">
        <v>320</v>
      </c>
      <c r="K5160" s="1933">
        <v>16.7</v>
      </c>
      <c r="L5160" s="1930" t="s">
        <v>138</v>
      </c>
    </row>
    <row r="5161" spans="1:12" ht="13.5" x14ac:dyDescent="0.25">
      <c r="A5161" s="1930" t="s">
        <v>4736</v>
      </c>
      <c r="B5161" s="1930" t="s">
        <v>4737</v>
      </c>
      <c r="C5161" s="1930" t="s">
        <v>4738</v>
      </c>
      <c r="D5161" s="1930" t="s">
        <v>4739</v>
      </c>
      <c r="E5161" s="1931" t="s">
        <v>33</v>
      </c>
      <c r="F5161" s="1930" t="s">
        <v>33</v>
      </c>
      <c r="G5161" s="1932">
        <v>88424</v>
      </c>
      <c r="H5161" s="1930" t="s">
        <v>3808</v>
      </c>
      <c r="I5161" s="1930" t="s">
        <v>306</v>
      </c>
      <c r="J5161" s="1930" t="s">
        <v>320</v>
      </c>
      <c r="K5161" s="1933">
        <v>18.8</v>
      </c>
      <c r="L5161" s="1930" t="s">
        <v>138</v>
      </c>
    </row>
    <row r="5162" spans="1:12" ht="13.5" x14ac:dyDescent="0.25">
      <c r="A5162" s="1930" t="s">
        <v>4736</v>
      </c>
      <c r="B5162" s="1930" t="s">
        <v>4737</v>
      </c>
      <c r="C5162" s="1930" t="s">
        <v>4738</v>
      </c>
      <c r="D5162" s="1930" t="s">
        <v>4739</v>
      </c>
      <c r="E5162" s="1931" t="s">
        <v>33</v>
      </c>
      <c r="F5162" s="1930" t="s">
        <v>33</v>
      </c>
      <c r="G5162" s="1932">
        <v>88426</v>
      </c>
      <c r="H5162" s="1930" t="s">
        <v>3809</v>
      </c>
      <c r="I5162" s="1930" t="s">
        <v>306</v>
      </c>
      <c r="J5162" s="1930" t="s">
        <v>320</v>
      </c>
      <c r="K5162" s="1933">
        <v>15.37</v>
      </c>
      <c r="L5162" s="1930" t="s">
        <v>138</v>
      </c>
    </row>
    <row r="5163" spans="1:12" ht="13.5" x14ac:dyDescent="0.25">
      <c r="A5163" s="1930" t="s">
        <v>4736</v>
      </c>
      <c r="B5163" s="1930" t="s">
        <v>4737</v>
      </c>
      <c r="C5163" s="1930" t="s">
        <v>4738</v>
      </c>
      <c r="D5163" s="1930" t="s">
        <v>4739</v>
      </c>
      <c r="E5163" s="1931" t="s">
        <v>33</v>
      </c>
      <c r="F5163" s="1930" t="s">
        <v>33</v>
      </c>
      <c r="G5163" s="1932">
        <v>88428</v>
      </c>
      <c r="H5163" s="1930" t="s">
        <v>3810</v>
      </c>
      <c r="I5163" s="1930" t="s">
        <v>306</v>
      </c>
      <c r="J5163" s="1930" t="s">
        <v>320</v>
      </c>
      <c r="K5163" s="1933">
        <v>25.69</v>
      </c>
      <c r="L5163" s="1930" t="s">
        <v>138</v>
      </c>
    </row>
    <row r="5164" spans="1:12" ht="13.5" x14ac:dyDescent="0.25">
      <c r="A5164" s="1930" t="s">
        <v>4736</v>
      </c>
      <c r="B5164" s="1930" t="s">
        <v>4737</v>
      </c>
      <c r="C5164" s="1930" t="s">
        <v>4738</v>
      </c>
      <c r="D5164" s="1930" t="s">
        <v>4739</v>
      </c>
      <c r="E5164" s="1931" t="s">
        <v>33</v>
      </c>
      <c r="F5164" s="1930" t="s">
        <v>33</v>
      </c>
      <c r="G5164" s="1932">
        <v>88429</v>
      </c>
      <c r="H5164" s="1930" t="s">
        <v>3811</v>
      </c>
      <c r="I5164" s="1930" t="s">
        <v>306</v>
      </c>
      <c r="J5164" s="1930" t="s">
        <v>320</v>
      </c>
      <c r="K5164" s="1933">
        <v>27.89</v>
      </c>
      <c r="L5164" s="1930" t="s">
        <v>138</v>
      </c>
    </row>
    <row r="5165" spans="1:12" ht="13.5" x14ac:dyDescent="0.25">
      <c r="A5165" s="1930" t="s">
        <v>4736</v>
      </c>
      <c r="B5165" s="1930" t="s">
        <v>4737</v>
      </c>
      <c r="C5165" s="1930" t="s">
        <v>4738</v>
      </c>
      <c r="D5165" s="1930" t="s">
        <v>4739</v>
      </c>
      <c r="E5165" s="1931" t="s">
        <v>33</v>
      </c>
      <c r="F5165" s="1930" t="s">
        <v>33</v>
      </c>
      <c r="G5165" s="1932">
        <v>88431</v>
      </c>
      <c r="H5165" s="1930" t="s">
        <v>3812</v>
      </c>
      <c r="I5165" s="1930" t="s">
        <v>306</v>
      </c>
      <c r="J5165" s="1930" t="s">
        <v>320</v>
      </c>
      <c r="K5165" s="1933">
        <v>19.88</v>
      </c>
      <c r="L5165" s="1930" t="s">
        <v>138</v>
      </c>
    </row>
    <row r="5166" spans="1:12" ht="13.5" x14ac:dyDescent="0.25">
      <c r="A5166" s="1930" t="s">
        <v>4736</v>
      </c>
      <c r="B5166" s="1930" t="s">
        <v>4737</v>
      </c>
      <c r="C5166" s="1930" t="s">
        <v>4738</v>
      </c>
      <c r="D5166" s="1930" t="s">
        <v>4739</v>
      </c>
      <c r="E5166" s="1931" t="s">
        <v>33</v>
      </c>
      <c r="F5166" s="1930" t="s">
        <v>33</v>
      </c>
      <c r="G5166" s="1932">
        <v>88432</v>
      </c>
      <c r="H5166" s="1930" t="s">
        <v>3813</v>
      </c>
      <c r="I5166" s="1930" t="s">
        <v>306</v>
      </c>
      <c r="J5166" s="1930" t="s">
        <v>320</v>
      </c>
      <c r="K5166" s="1933">
        <v>14.31</v>
      </c>
      <c r="L5166" s="1930" t="s">
        <v>138</v>
      </c>
    </row>
    <row r="5167" spans="1:12" ht="13.5" x14ac:dyDescent="0.25">
      <c r="A5167" s="1930" t="s">
        <v>4736</v>
      </c>
      <c r="B5167" s="1930" t="s">
        <v>4737</v>
      </c>
      <c r="C5167" s="1930" t="s">
        <v>4738</v>
      </c>
      <c r="D5167" s="1930" t="s">
        <v>4739</v>
      </c>
      <c r="E5167" s="1931" t="s">
        <v>33</v>
      </c>
      <c r="F5167" s="1930" t="s">
        <v>33</v>
      </c>
      <c r="G5167" s="1932">
        <v>88482</v>
      </c>
      <c r="H5167" s="1930" t="s">
        <v>3814</v>
      </c>
      <c r="I5167" s="1930" t="s">
        <v>306</v>
      </c>
      <c r="J5167" s="1930" t="s">
        <v>320</v>
      </c>
      <c r="K5167" s="1933">
        <v>3.3</v>
      </c>
      <c r="L5167" s="1930" t="s">
        <v>138</v>
      </c>
    </row>
    <row r="5168" spans="1:12" ht="13.5" x14ac:dyDescent="0.25">
      <c r="A5168" s="1930" t="s">
        <v>4736</v>
      </c>
      <c r="B5168" s="1930" t="s">
        <v>4737</v>
      </c>
      <c r="C5168" s="1930" t="s">
        <v>4738</v>
      </c>
      <c r="D5168" s="1930" t="s">
        <v>4739</v>
      </c>
      <c r="E5168" s="1931" t="s">
        <v>33</v>
      </c>
      <c r="F5168" s="1930" t="s">
        <v>33</v>
      </c>
      <c r="G5168" s="1932">
        <v>88483</v>
      </c>
      <c r="H5168" s="1930" t="s">
        <v>3815</v>
      </c>
      <c r="I5168" s="1930" t="s">
        <v>306</v>
      </c>
      <c r="J5168" s="1930" t="s">
        <v>320</v>
      </c>
      <c r="K5168" s="1933">
        <v>3.07</v>
      </c>
      <c r="L5168" s="1930" t="s">
        <v>138</v>
      </c>
    </row>
    <row r="5169" spans="1:12" ht="13.5" x14ac:dyDescent="0.25">
      <c r="A5169" s="1930" t="s">
        <v>4736</v>
      </c>
      <c r="B5169" s="1930" t="s">
        <v>4737</v>
      </c>
      <c r="C5169" s="1930" t="s">
        <v>4738</v>
      </c>
      <c r="D5169" s="1930" t="s">
        <v>4739</v>
      </c>
      <c r="E5169" s="1931" t="s">
        <v>33</v>
      </c>
      <c r="F5169" s="1930" t="s">
        <v>33</v>
      </c>
      <c r="G5169" s="1932">
        <v>88484</v>
      </c>
      <c r="H5169" s="1930" t="s">
        <v>3816</v>
      </c>
      <c r="I5169" s="1930" t="s">
        <v>306</v>
      </c>
      <c r="J5169" s="1930" t="s">
        <v>346</v>
      </c>
      <c r="K5169" s="1933">
        <v>2.6</v>
      </c>
      <c r="L5169" s="1930" t="s">
        <v>138</v>
      </c>
    </row>
    <row r="5170" spans="1:12" ht="13.5" x14ac:dyDescent="0.25">
      <c r="A5170" s="1930" t="s">
        <v>4736</v>
      </c>
      <c r="B5170" s="1930" t="s">
        <v>4737</v>
      </c>
      <c r="C5170" s="1930" t="s">
        <v>4738</v>
      </c>
      <c r="D5170" s="1930" t="s">
        <v>4739</v>
      </c>
      <c r="E5170" s="1931" t="s">
        <v>33</v>
      </c>
      <c r="F5170" s="1930" t="s">
        <v>33</v>
      </c>
      <c r="G5170" s="1932">
        <v>88485</v>
      </c>
      <c r="H5170" s="1930" t="s">
        <v>3817</v>
      </c>
      <c r="I5170" s="1930" t="s">
        <v>306</v>
      </c>
      <c r="J5170" s="1930" t="s">
        <v>346</v>
      </c>
      <c r="K5170" s="1933">
        <v>2.27</v>
      </c>
      <c r="L5170" s="1930" t="s">
        <v>138</v>
      </c>
    </row>
    <row r="5171" spans="1:12" ht="13.5" x14ac:dyDescent="0.25">
      <c r="A5171" s="1930" t="s">
        <v>4736</v>
      </c>
      <c r="B5171" s="1930" t="s">
        <v>4737</v>
      </c>
      <c r="C5171" s="1930" t="s">
        <v>4738</v>
      </c>
      <c r="D5171" s="1930" t="s">
        <v>4739</v>
      </c>
      <c r="E5171" s="1931" t="s">
        <v>33</v>
      </c>
      <c r="F5171" s="1930" t="s">
        <v>33</v>
      </c>
      <c r="G5171" s="1932">
        <v>88486</v>
      </c>
      <c r="H5171" s="1930" t="s">
        <v>3818</v>
      </c>
      <c r="I5171" s="1930" t="s">
        <v>306</v>
      </c>
      <c r="J5171" s="1930" t="s">
        <v>320</v>
      </c>
      <c r="K5171" s="1933">
        <v>10.42</v>
      </c>
      <c r="L5171" s="1930" t="s">
        <v>138</v>
      </c>
    </row>
    <row r="5172" spans="1:12" ht="13.5" x14ac:dyDescent="0.25">
      <c r="A5172" s="1930" t="s">
        <v>4736</v>
      </c>
      <c r="B5172" s="1930" t="s">
        <v>4737</v>
      </c>
      <c r="C5172" s="1930" t="s">
        <v>4738</v>
      </c>
      <c r="D5172" s="1930" t="s">
        <v>4739</v>
      </c>
      <c r="E5172" s="1931" t="s">
        <v>33</v>
      </c>
      <c r="F5172" s="1930" t="s">
        <v>33</v>
      </c>
      <c r="G5172" s="1932">
        <v>88487</v>
      </c>
      <c r="H5172" s="1930" t="s">
        <v>3819</v>
      </c>
      <c r="I5172" s="1930" t="s">
        <v>306</v>
      </c>
      <c r="J5172" s="1930" t="s">
        <v>320</v>
      </c>
      <c r="K5172" s="1933">
        <v>9.36</v>
      </c>
      <c r="L5172" s="1930" t="s">
        <v>138</v>
      </c>
    </row>
    <row r="5173" spans="1:12" ht="13.5" x14ac:dyDescent="0.25">
      <c r="A5173" s="1930" t="s">
        <v>4736</v>
      </c>
      <c r="B5173" s="1930" t="s">
        <v>4737</v>
      </c>
      <c r="C5173" s="1930" t="s">
        <v>4738</v>
      </c>
      <c r="D5173" s="1930" t="s">
        <v>4739</v>
      </c>
      <c r="E5173" s="1931" t="s">
        <v>33</v>
      </c>
      <c r="F5173" s="1930" t="s">
        <v>33</v>
      </c>
      <c r="G5173" s="1932">
        <v>88488</v>
      </c>
      <c r="H5173" s="1930" t="s">
        <v>3820</v>
      </c>
      <c r="I5173" s="1930" t="s">
        <v>306</v>
      </c>
      <c r="J5173" s="1930" t="s">
        <v>320</v>
      </c>
      <c r="K5173" s="1933">
        <v>13.32</v>
      </c>
      <c r="L5173" s="1930" t="s">
        <v>138</v>
      </c>
    </row>
    <row r="5174" spans="1:12" ht="13.5" x14ac:dyDescent="0.25">
      <c r="A5174" s="1930" t="s">
        <v>4736</v>
      </c>
      <c r="B5174" s="1930" t="s">
        <v>4737</v>
      </c>
      <c r="C5174" s="1930" t="s">
        <v>4738</v>
      </c>
      <c r="D5174" s="1930" t="s">
        <v>4739</v>
      </c>
      <c r="E5174" s="1931" t="s">
        <v>33</v>
      </c>
      <c r="F5174" s="1930" t="s">
        <v>33</v>
      </c>
      <c r="G5174" s="1932">
        <v>88489</v>
      </c>
      <c r="H5174" s="1930" t="s">
        <v>3821</v>
      </c>
      <c r="I5174" s="1930" t="s">
        <v>306</v>
      </c>
      <c r="J5174" s="1930" t="s">
        <v>320</v>
      </c>
      <c r="K5174" s="1933">
        <v>11.81</v>
      </c>
      <c r="L5174" s="1930" t="s">
        <v>138</v>
      </c>
    </row>
    <row r="5175" spans="1:12" ht="13.5" x14ac:dyDescent="0.25">
      <c r="A5175" s="1930" t="s">
        <v>4736</v>
      </c>
      <c r="B5175" s="1930" t="s">
        <v>4737</v>
      </c>
      <c r="C5175" s="1930" t="s">
        <v>4738</v>
      </c>
      <c r="D5175" s="1930" t="s">
        <v>4739</v>
      </c>
      <c r="E5175" s="1931" t="s">
        <v>33</v>
      </c>
      <c r="F5175" s="1930" t="s">
        <v>33</v>
      </c>
      <c r="G5175" s="1932">
        <v>88490</v>
      </c>
      <c r="H5175" s="1930" t="s">
        <v>3822</v>
      </c>
      <c r="I5175" s="1930" t="s">
        <v>306</v>
      </c>
      <c r="J5175" s="1930" t="s">
        <v>137</v>
      </c>
      <c r="K5175" s="1933">
        <v>7.68</v>
      </c>
      <c r="L5175" s="1930" t="s">
        <v>138</v>
      </c>
    </row>
    <row r="5176" spans="1:12" ht="13.5" x14ac:dyDescent="0.25">
      <c r="A5176" s="1930" t="s">
        <v>4736</v>
      </c>
      <c r="B5176" s="1930" t="s">
        <v>4737</v>
      </c>
      <c r="C5176" s="1930" t="s">
        <v>4738</v>
      </c>
      <c r="D5176" s="1930" t="s">
        <v>4739</v>
      </c>
      <c r="E5176" s="1931" t="s">
        <v>33</v>
      </c>
      <c r="F5176" s="1930" t="s">
        <v>33</v>
      </c>
      <c r="G5176" s="1932">
        <v>88491</v>
      </c>
      <c r="H5176" s="1930" t="s">
        <v>3823</v>
      </c>
      <c r="I5176" s="1930" t="s">
        <v>306</v>
      </c>
      <c r="J5176" s="1930" t="s">
        <v>137</v>
      </c>
      <c r="K5176" s="1933">
        <v>7.44</v>
      </c>
      <c r="L5176" s="1930" t="s">
        <v>138</v>
      </c>
    </row>
    <row r="5177" spans="1:12" ht="13.5" x14ac:dyDescent="0.25">
      <c r="A5177" s="1930" t="s">
        <v>4736</v>
      </c>
      <c r="B5177" s="1930" t="s">
        <v>4737</v>
      </c>
      <c r="C5177" s="1930" t="s">
        <v>4738</v>
      </c>
      <c r="D5177" s="1930" t="s">
        <v>4739</v>
      </c>
      <c r="E5177" s="1931" t="s">
        <v>33</v>
      </c>
      <c r="F5177" s="1930" t="s">
        <v>33</v>
      </c>
      <c r="G5177" s="1932">
        <v>88492</v>
      </c>
      <c r="H5177" s="1930" t="s">
        <v>3824</v>
      </c>
      <c r="I5177" s="1930" t="s">
        <v>306</v>
      </c>
      <c r="J5177" s="1930" t="s">
        <v>137</v>
      </c>
      <c r="K5177" s="1933">
        <v>9.2100000000000009</v>
      </c>
      <c r="L5177" s="1930" t="s">
        <v>138</v>
      </c>
    </row>
    <row r="5178" spans="1:12" ht="13.5" x14ac:dyDescent="0.25">
      <c r="A5178" s="1930" t="s">
        <v>4736</v>
      </c>
      <c r="B5178" s="1930" t="s">
        <v>4737</v>
      </c>
      <c r="C5178" s="1930" t="s">
        <v>4738</v>
      </c>
      <c r="D5178" s="1930" t="s">
        <v>4739</v>
      </c>
      <c r="E5178" s="1931" t="s">
        <v>33</v>
      </c>
      <c r="F5178" s="1930" t="s">
        <v>33</v>
      </c>
      <c r="G5178" s="1932">
        <v>88493</v>
      </c>
      <c r="H5178" s="1930" t="s">
        <v>3825</v>
      </c>
      <c r="I5178" s="1930" t="s">
        <v>306</v>
      </c>
      <c r="J5178" s="1930" t="s">
        <v>137</v>
      </c>
      <c r="K5178" s="1933">
        <v>8.83</v>
      </c>
      <c r="L5178" s="1930" t="s">
        <v>138</v>
      </c>
    </row>
    <row r="5179" spans="1:12" ht="13.5" x14ac:dyDescent="0.25">
      <c r="A5179" s="1930" t="s">
        <v>4736</v>
      </c>
      <c r="B5179" s="1930" t="s">
        <v>4737</v>
      </c>
      <c r="C5179" s="1930" t="s">
        <v>4738</v>
      </c>
      <c r="D5179" s="1930" t="s">
        <v>4739</v>
      </c>
      <c r="E5179" s="1931" t="s">
        <v>33</v>
      </c>
      <c r="F5179" s="1930" t="s">
        <v>33</v>
      </c>
      <c r="G5179" s="1932">
        <v>88494</v>
      </c>
      <c r="H5179" s="1930" t="s">
        <v>3826</v>
      </c>
      <c r="I5179" s="1930" t="s">
        <v>306</v>
      </c>
      <c r="J5179" s="1930" t="s">
        <v>320</v>
      </c>
      <c r="K5179" s="1933">
        <v>15.93</v>
      </c>
      <c r="L5179" s="1930" t="s">
        <v>138</v>
      </c>
    </row>
    <row r="5180" spans="1:12" ht="13.5" x14ac:dyDescent="0.25">
      <c r="A5180" s="1930" t="s">
        <v>4736</v>
      </c>
      <c r="B5180" s="1930" t="s">
        <v>4737</v>
      </c>
      <c r="C5180" s="1930" t="s">
        <v>4738</v>
      </c>
      <c r="D5180" s="1930" t="s">
        <v>4739</v>
      </c>
      <c r="E5180" s="1931" t="s">
        <v>33</v>
      </c>
      <c r="F5180" s="1930" t="s">
        <v>33</v>
      </c>
      <c r="G5180" s="1932">
        <v>88495</v>
      </c>
      <c r="H5180" s="1930" t="s">
        <v>3827</v>
      </c>
      <c r="I5180" s="1930" t="s">
        <v>306</v>
      </c>
      <c r="J5180" s="1930" t="s">
        <v>320</v>
      </c>
      <c r="K5180" s="1933">
        <v>8.6999999999999993</v>
      </c>
      <c r="L5180" s="1930" t="s">
        <v>138</v>
      </c>
    </row>
    <row r="5181" spans="1:12" ht="13.5" x14ac:dyDescent="0.25">
      <c r="A5181" s="1930" t="s">
        <v>4736</v>
      </c>
      <c r="B5181" s="1930" t="s">
        <v>4737</v>
      </c>
      <c r="C5181" s="1930" t="s">
        <v>4738</v>
      </c>
      <c r="D5181" s="1930" t="s">
        <v>4739</v>
      </c>
      <c r="E5181" s="1931" t="s">
        <v>33</v>
      </c>
      <c r="F5181" s="1930" t="s">
        <v>33</v>
      </c>
      <c r="G5181" s="1932">
        <v>88496</v>
      </c>
      <c r="H5181" s="1930" t="s">
        <v>3828</v>
      </c>
      <c r="I5181" s="1930" t="s">
        <v>306</v>
      </c>
      <c r="J5181" s="1930" t="s">
        <v>320</v>
      </c>
      <c r="K5181" s="1933">
        <v>21.66</v>
      </c>
      <c r="L5181" s="1930" t="s">
        <v>138</v>
      </c>
    </row>
    <row r="5182" spans="1:12" ht="13.5" x14ac:dyDescent="0.25">
      <c r="A5182" s="1930" t="s">
        <v>4736</v>
      </c>
      <c r="B5182" s="1930" t="s">
        <v>4737</v>
      </c>
      <c r="C5182" s="1930" t="s">
        <v>4738</v>
      </c>
      <c r="D5182" s="1930" t="s">
        <v>4739</v>
      </c>
      <c r="E5182" s="1931" t="s">
        <v>33</v>
      </c>
      <c r="F5182" s="1930" t="s">
        <v>33</v>
      </c>
      <c r="G5182" s="1932">
        <v>88497</v>
      </c>
      <c r="H5182" s="1930" t="s">
        <v>3829</v>
      </c>
      <c r="I5182" s="1930" t="s">
        <v>306</v>
      </c>
      <c r="J5182" s="1930" t="s">
        <v>320</v>
      </c>
      <c r="K5182" s="1933">
        <v>12</v>
      </c>
      <c r="L5182" s="1930" t="s">
        <v>138</v>
      </c>
    </row>
    <row r="5183" spans="1:12" ht="13.5" x14ac:dyDescent="0.25">
      <c r="A5183" s="1930" t="s">
        <v>4736</v>
      </c>
      <c r="B5183" s="1930" t="s">
        <v>4737</v>
      </c>
      <c r="C5183" s="1930" t="s">
        <v>4738</v>
      </c>
      <c r="D5183" s="1930" t="s">
        <v>4739</v>
      </c>
      <c r="E5183" s="1931" t="s">
        <v>33</v>
      </c>
      <c r="F5183" s="1930" t="s">
        <v>33</v>
      </c>
      <c r="G5183" s="1932">
        <v>95305</v>
      </c>
      <c r="H5183" s="1930" t="s">
        <v>3830</v>
      </c>
      <c r="I5183" s="1930" t="s">
        <v>306</v>
      </c>
      <c r="J5183" s="1930" t="s">
        <v>320</v>
      </c>
      <c r="K5183" s="1933">
        <v>12.26</v>
      </c>
      <c r="L5183" s="1930" t="s">
        <v>138</v>
      </c>
    </row>
    <row r="5184" spans="1:12" ht="13.5" x14ac:dyDescent="0.25">
      <c r="A5184" s="1930" t="s">
        <v>4736</v>
      </c>
      <c r="B5184" s="1930" t="s">
        <v>4737</v>
      </c>
      <c r="C5184" s="1930" t="s">
        <v>4738</v>
      </c>
      <c r="D5184" s="1930" t="s">
        <v>4739</v>
      </c>
      <c r="E5184" s="1931" t="s">
        <v>33</v>
      </c>
      <c r="F5184" s="1930" t="s">
        <v>33</v>
      </c>
      <c r="G5184" s="1932">
        <v>95306</v>
      </c>
      <c r="H5184" s="1930" t="s">
        <v>3831</v>
      </c>
      <c r="I5184" s="1930" t="s">
        <v>306</v>
      </c>
      <c r="J5184" s="1930" t="s">
        <v>320</v>
      </c>
      <c r="K5184" s="1933">
        <v>14.17</v>
      </c>
      <c r="L5184" s="1930" t="s">
        <v>138</v>
      </c>
    </row>
    <row r="5185" spans="1:12" ht="13.5" x14ac:dyDescent="0.25">
      <c r="A5185" s="1930" t="s">
        <v>4736</v>
      </c>
      <c r="B5185" s="1930" t="s">
        <v>4737</v>
      </c>
      <c r="C5185" s="1930" t="s">
        <v>4738</v>
      </c>
      <c r="D5185" s="1930" t="s">
        <v>4739</v>
      </c>
      <c r="E5185" s="1931" t="s">
        <v>33</v>
      </c>
      <c r="F5185" s="1930" t="s">
        <v>33</v>
      </c>
      <c r="G5185" s="1932">
        <v>95622</v>
      </c>
      <c r="H5185" s="1930" t="s">
        <v>3832</v>
      </c>
      <c r="I5185" s="1930" t="s">
        <v>306</v>
      </c>
      <c r="J5185" s="1930" t="s">
        <v>320</v>
      </c>
      <c r="K5185" s="1933">
        <v>11.84</v>
      </c>
      <c r="L5185" s="1930" t="s">
        <v>138</v>
      </c>
    </row>
    <row r="5186" spans="1:12" ht="13.5" x14ac:dyDescent="0.25">
      <c r="A5186" s="1930" t="s">
        <v>4736</v>
      </c>
      <c r="B5186" s="1930" t="s">
        <v>4737</v>
      </c>
      <c r="C5186" s="1930" t="s">
        <v>4738</v>
      </c>
      <c r="D5186" s="1930" t="s">
        <v>4739</v>
      </c>
      <c r="E5186" s="1931" t="s">
        <v>33</v>
      </c>
      <c r="F5186" s="1930" t="s">
        <v>33</v>
      </c>
      <c r="G5186" s="1932">
        <v>95623</v>
      </c>
      <c r="H5186" s="1930" t="s">
        <v>3833</v>
      </c>
      <c r="I5186" s="1930" t="s">
        <v>306</v>
      </c>
      <c r="J5186" s="1930" t="s">
        <v>320</v>
      </c>
      <c r="K5186" s="1933">
        <v>9.14</v>
      </c>
      <c r="L5186" s="1930" t="s">
        <v>138</v>
      </c>
    </row>
    <row r="5187" spans="1:12" ht="13.5" x14ac:dyDescent="0.25">
      <c r="A5187" s="1930" t="s">
        <v>4736</v>
      </c>
      <c r="B5187" s="1930" t="s">
        <v>4737</v>
      </c>
      <c r="C5187" s="1930" t="s">
        <v>4738</v>
      </c>
      <c r="D5187" s="1930" t="s">
        <v>4739</v>
      </c>
      <c r="E5187" s="1931" t="s">
        <v>33</v>
      </c>
      <c r="F5187" s="1930" t="s">
        <v>33</v>
      </c>
      <c r="G5187" s="1932">
        <v>95624</v>
      </c>
      <c r="H5187" s="1930" t="s">
        <v>3834</v>
      </c>
      <c r="I5187" s="1930" t="s">
        <v>306</v>
      </c>
      <c r="J5187" s="1930" t="s">
        <v>320</v>
      </c>
      <c r="K5187" s="1933">
        <v>17.350000000000001</v>
      </c>
      <c r="L5187" s="1930" t="s">
        <v>138</v>
      </c>
    </row>
    <row r="5188" spans="1:12" ht="13.5" x14ac:dyDescent="0.25">
      <c r="A5188" s="1930" t="s">
        <v>4736</v>
      </c>
      <c r="B5188" s="1930" t="s">
        <v>4737</v>
      </c>
      <c r="C5188" s="1930" t="s">
        <v>4738</v>
      </c>
      <c r="D5188" s="1930" t="s">
        <v>4739</v>
      </c>
      <c r="E5188" s="1931" t="s">
        <v>33</v>
      </c>
      <c r="F5188" s="1930" t="s">
        <v>33</v>
      </c>
      <c r="G5188" s="1932">
        <v>95625</v>
      </c>
      <c r="H5188" s="1930" t="s">
        <v>3835</v>
      </c>
      <c r="I5188" s="1930" t="s">
        <v>306</v>
      </c>
      <c r="J5188" s="1930" t="s">
        <v>320</v>
      </c>
      <c r="K5188" s="1933">
        <v>19.09</v>
      </c>
      <c r="L5188" s="1930" t="s">
        <v>138</v>
      </c>
    </row>
    <row r="5189" spans="1:12" ht="13.5" x14ac:dyDescent="0.25">
      <c r="A5189" s="1930" t="s">
        <v>4736</v>
      </c>
      <c r="B5189" s="1930" t="s">
        <v>4737</v>
      </c>
      <c r="C5189" s="1930" t="s">
        <v>4738</v>
      </c>
      <c r="D5189" s="1930" t="s">
        <v>4739</v>
      </c>
      <c r="E5189" s="1931" t="s">
        <v>33</v>
      </c>
      <c r="F5189" s="1930" t="s">
        <v>33</v>
      </c>
      <c r="G5189" s="1932">
        <v>95626</v>
      </c>
      <c r="H5189" s="1930" t="s">
        <v>3836</v>
      </c>
      <c r="I5189" s="1930" t="s">
        <v>306</v>
      </c>
      <c r="J5189" s="1930" t="s">
        <v>320</v>
      </c>
      <c r="K5189" s="1933">
        <v>12.72</v>
      </c>
      <c r="L5189" s="1930" t="s">
        <v>138</v>
      </c>
    </row>
    <row r="5190" spans="1:12" ht="13.5" x14ac:dyDescent="0.25">
      <c r="A5190" s="1930" t="s">
        <v>4736</v>
      </c>
      <c r="B5190" s="1930" t="s">
        <v>4737</v>
      </c>
      <c r="C5190" s="1930" t="s">
        <v>4738</v>
      </c>
      <c r="D5190" s="1930" t="s">
        <v>4739</v>
      </c>
      <c r="E5190" s="1931" t="s">
        <v>33</v>
      </c>
      <c r="F5190" s="1930" t="s">
        <v>33</v>
      </c>
      <c r="G5190" s="1932">
        <v>96126</v>
      </c>
      <c r="H5190" s="1930" t="s">
        <v>3837</v>
      </c>
      <c r="I5190" s="1930" t="s">
        <v>306</v>
      </c>
      <c r="J5190" s="1930" t="s">
        <v>320</v>
      </c>
      <c r="K5190" s="1933">
        <v>14.53</v>
      </c>
      <c r="L5190" s="1930" t="s">
        <v>138</v>
      </c>
    </row>
    <row r="5191" spans="1:12" ht="13.5" x14ac:dyDescent="0.25">
      <c r="A5191" s="1930" t="s">
        <v>4736</v>
      </c>
      <c r="B5191" s="1930" t="s">
        <v>4737</v>
      </c>
      <c r="C5191" s="1930" t="s">
        <v>4738</v>
      </c>
      <c r="D5191" s="1930" t="s">
        <v>4739</v>
      </c>
      <c r="E5191" s="1931" t="s">
        <v>33</v>
      </c>
      <c r="F5191" s="1930" t="s">
        <v>33</v>
      </c>
      <c r="G5191" s="1932">
        <v>96127</v>
      </c>
      <c r="H5191" s="1930" t="s">
        <v>3838</v>
      </c>
      <c r="I5191" s="1930" t="s">
        <v>306</v>
      </c>
      <c r="J5191" s="1930" t="s">
        <v>320</v>
      </c>
      <c r="K5191" s="1933">
        <v>11.15</v>
      </c>
      <c r="L5191" s="1930" t="s">
        <v>138</v>
      </c>
    </row>
    <row r="5192" spans="1:12" ht="13.5" x14ac:dyDescent="0.25">
      <c r="A5192" s="1930" t="s">
        <v>4736</v>
      </c>
      <c r="B5192" s="1930" t="s">
        <v>4737</v>
      </c>
      <c r="C5192" s="1930" t="s">
        <v>4738</v>
      </c>
      <c r="D5192" s="1930" t="s">
        <v>4739</v>
      </c>
      <c r="E5192" s="1931" t="s">
        <v>33</v>
      </c>
      <c r="F5192" s="1930" t="s">
        <v>33</v>
      </c>
      <c r="G5192" s="1932">
        <v>96128</v>
      </c>
      <c r="H5192" s="1930" t="s">
        <v>3839</v>
      </c>
      <c r="I5192" s="1930" t="s">
        <v>306</v>
      </c>
      <c r="J5192" s="1930" t="s">
        <v>320</v>
      </c>
      <c r="K5192" s="1933">
        <v>21.38</v>
      </c>
      <c r="L5192" s="1930" t="s">
        <v>138</v>
      </c>
    </row>
    <row r="5193" spans="1:12" ht="13.5" x14ac:dyDescent="0.25">
      <c r="A5193" s="1930" t="s">
        <v>4736</v>
      </c>
      <c r="B5193" s="1930" t="s">
        <v>4737</v>
      </c>
      <c r="C5193" s="1930" t="s">
        <v>4738</v>
      </c>
      <c r="D5193" s="1930" t="s">
        <v>4739</v>
      </c>
      <c r="E5193" s="1931" t="s">
        <v>33</v>
      </c>
      <c r="F5193" s="1930" t="s">
        <v>33</v>
      </c>
      <c r="G5193" s="1932">
        <v>96129</v>
      </c>
      <c r="H5193" s="1930" t="s">
        <v>3840</v>
      </c>
      <c r="I5193" s="1930" t="s">
        <v>306</v>
      </c>
      <c r="J5193" s="1930" t="s">
        <v>320</v>
      </c>
      <c r="K5193" s="1933">
        <v>23.56</v>
      </c>
      <c r="L5193" s="1930" t="s">
        <v>138</v>
      </c>
    </row>
    <row r="5194" spans="1:12" ht="13.5" x14ac:dyDescent="0.25">
      <c r="A5194" s="1930" t="s">
        <v>4736</v>
      </c>
      <c r="B5194" s="1930" t="s">
        <v>4737</v>
      </c>
      <c r="C5194" s="1930" t="s">
        <v>4738</v>
      </c>
      <c r="D5194" s="1930" t="s">
        <v>4739</v>
      </c>
      <c r="E5194" s="1931" t="s">
        <v>33</v>
      </c>
      <c r="F5194" s="1930" t="s">
        <v>33</v>
      </c>
      <c r="G5194" s="1932">
        <v>96130</v>
      </c>
      <c r="H5194" s="1930" t="s">
        <v>3841</v>
      </c>
      <c r="I5194" s="1930" t="s">
        <v>306</v>
      </c>
      <c r="J5194" s="1930" t="s">
        <v>320</v>
      </c>
      <c r="K5194" s="1933">
        <v>15.6</v>
      </c>
      <c r="L5194" s="1930" t="s">
        <v>138</v>
      </c>
    </row>
    <row r="5195" spans="1:12" ht="13.5" x14ac:dyDescent="0.25">
      <c r="A5195" s="1930" t="s">
        <v>4736</v>
      </c>
      <c r="B5195" s="1930" t="s">
        <v>4737</v>
      </c>
      <c r="C5195" s="1930" t="s">
        <v>4738</v>
      </c>
      <c r="D5195" s="1930" t="s">
        <v>4739</v>
      </c>
      <c r="E5195" s="1931" t="s">
        <v>33</v>
      </c>
      <c r="F5195" s="1930" t="s">
        <v>33</v>
      </c>
      <c r="G5195" s="1932">
        <v>96131</v>
      </c>
      <c r="H5195" s="1930" t="s">
        <v>3842</v>
      </c>
      <c r="I5195" s="1930" t="s">
        <v>306</v>
      </c>
      <c r="J5195" s="1930" t="s">
        <v>320</v>
      </c>
      <c r="K5195" s="1933">
        <v>20.11</v>
      </c>
      <c r="L5195" s="1930" t="s">
        <v>138</v>
      </c>
    </row>
    <row r="5196" spans="1:12" ht="13.5" x14ac:dyDescent="0.25">
      <c r="A5196" s="1930" t="s">
        <v>4736</v>
      </c>
      <c r="B5196" s="1930" t="s">
        <v>4737</v>
      </c>
      <c r="C5196" s="1930" t="s">
        <v>4738</v>
      </c>
      <c r="D5196" s="1930" t="s">
        <v>4739</v>
      </c>
      <c r="E5196" s="1931" t="s">
        <v>33</v>
      </c>
      <c r="F5196" s="1930" t="s">
        <v>33</v>
      </c>
      <c r="G5196" s="1932">
        <v>96132</v>
      </c>
      <c r="H5196" s="1930" t="s">
        <v>3843</v>
      </c>
      <c r="I5196" s="1930" t="s">
        <v>306</v>
      </c>
      <c r="J5196" s="1930" t="s">
        <v>320</v>
      </c>
      <c r="K5196" s="1933">
        <v>15.61</v>
      </c>
      <c r="L5196" s="1930" t="s">
        <v>138</v>
      </c>
    </row>
    <row r="5197" spans="1:12" ht="13.5" x14ac:dyDescent="0.25">
      <c r="A5197" s="1930" t="s">
        <v>4736</v>
      </c>
      <c r="B5197" s="1930" t="s">
        <v>4737</v>
      </c>
      <c r="C5197" s="1930" t="s">
        <v>4738</v>
      </c>
      <c r="D5197" s="1930" t="s">
        <v>4739</v>
      </c>
      <c r="E5197" s="1931" t="s">
        <v>33</v>
      </c>
      <c r="F5197" s="1930" t="s">
        <v>33</v>
      </c>
      <c r="G5197" s="1932">
        <v>96133</v>
      </c>
      <c r="H5197" s="1930" t="s">
        <v>3844</v>
      </c>
      <c r="I5197" s="1930" t="s">
        <v>306</v>
      </c>
      <c r="J5197" s="1930" t="s">
        <v>320</v>
      </c>
      <c r="K5197" s="1933">
        <v>29.22</v>
      </c>
      <c r="L5197" s="1930" t="s">
        <v>138</v>
      </c>
    </row>
    <row r="5198" spans="1:12" ht="13.5" x14ac:dyDescent="0.25">
      <c r="A5198" s="1930" t="s">
        <v>4736</v>
      </c>
      <c r="B5198" s="1930" t="s">
        <v>4737</v>
      </c>
      <c r="C5198" s="1930" t="s">
        <v>4738</v>
      </c>
      <c r="D5198" s="1930" t="s">
        <v>4739</v>
      </c>
      <c r="E5198" s="1931" t="s">
        <v>33</v>
      </c>
      <c r="F5198" s="1930" t="s">
        <v>33</v>
      </c>
      <c r="G5198" s="1932">
        <v>96134</v>
      </c>
      <c r="H5198" s="1930" t="s">
        <v>3845</v>
      </c>
      <c r="I5198" s="1930" t="s">
        <v>306</v>
      </c>
      <c r="J5198" s="1930" t="s">
        <v>320</v>
      </c>
      <c r="K5198" s="1933">
        <v>32.119999999999997</v>
      </c>
      <c r="L5198" s="1930" t="s">
        <v>138</v>
      </c>
    </row>
    <row r="5199" spans="1:12" ht="13.5" x14ac:dyDescent="0.25">
      <c r="A5199" s="1930" t="s">
        <v>4736</v>
      </c>
      <c r="B5199" s="1930" t="s">
        <v>4737</v>
      </c>
      <c r="C5199" s="1930" t="s">
        <v>4738</v>
      </c>
      <c r="D5199" s="1930" t="s">
        <v>4739</v>
      </c>
      <c r="E5199" s="1931" t="s">
        <v>33</v>
      </c>
      <c r="F5199" s="1930" t="s">
        <v>33</v>
      </c>
      <c r="G5199" s="1932">
        <v>96135</v>
      </c>
      <c r="H5199" s="1930" t="s">
        <v>3846</v>
      </c>
      <c r="I5199" s="1930" t="s">
        <v>306</v>
      </c>
      <c r="J5199" s="1930" t="s">
        <v>320</v>
      </c>
      <c r="K5199" s="1933">
        <v>21.54</v>
      </c>
      <c r="L5199" s="1930" t="s">
        <v>138</v>
      </c>
    </row>
    <row r="5200" spans="1:12" ht="13.5" x14ac:dyDescent="0.25">
      <c r="A5200" s="1930" t="s">
        <v>4736</v>
      </c>
      <c r="B5200" s="1930" t="s">
        <v>4737</v>
      </c>
      <c r="C5200" s="1930" t="s">
        <v>4740</v>
      </c>
      <c r="D5200" s="1930" t="s">
        <v>4741</v>
      </c>
      <c r="E5200" s="1931" t="s">
        <v>33</v>
      </c>
      <c r="F5200" s="1930" t="s">
        <v>33</v>
      </c>
      <c r="G5200" s="1932">
        <v>6082</v>
      </c>
      <c r="H5200" s="1930" t="s">
        <v>3847</v>
      </c>
      <c r="I5200" s="1930" t="s">
        <v>306</v>
      </c>
      <c r="J5200" s="1930" t="s">
        <v>320</v>
      </c>
      <c r="K5200" s="1933">
        <v>16.32</v>
      </c>
      <c r="L5200" s="1930" t="s">
        <v>138</v>
      </c>
    </row>
    <row r="5201" spans="1:12" ht="13.5" x14ac:dyDescent="0.25">
      <c r="A5201" s="1930" t="s">
        <v>4736</v>
      </c>
      <c r="B5201" s="1930" t="s">
        <v>4737</v>
      </c>
      <c r="C5201" s="1930" t="s">
        <v>4740</v>
      </c>
      <c r="D5201" s="1930" t="s">
        <v>4741</v>
      </c>
      <c r="E5201" s="1931" t="s">
        <v>33</v>
      </c>
      <c r="F5201" s="1930" t="s">
        <v>33</v>
      </c>
      <c r="G5201" s="1932">
        <v>40905</v>
      </c>
      <c r="H5201" s="1930" t="s">
        <v>3848</v>
      </c>
      <c r="I5201" s="1930" t="s">
        <v>306</v>
      </c>
      <c r="J5201" s="1930" t="s">
        <v>320</v>
      </c>
      <c r="K5201" s="1933">
        <v>21.1</v>
      </c>
      <c r="L5201" s="1930" t="s">
        <v>138</v>
      </c>
    </row>
    <row r="5202" spans="1:12" ht="13.5" x14ac:dyDescent="0.25">
      <c r="A5202" s="1930" t="s">
        <v>4736</v>
      </c>
      <c r="B5202" s="1930" t="s">
        <v>4737</v>
      </c>
      <c r="C5202" s="1930" t="s">
        <v>4740</v>
      </c>
      <c r="D5202" s="1930" t="s">
        <v>4741</v>
      </c>
      <c r="E5202" s="1931">
        <v>73739</v>
      </c>
      <c r="F5202" s="1930" t="s">
        <v>4742</v>
      </c>
      <c r="G5202" s="1932" t="s">
        <v>3849</v>
      </c>
      <c r="H5202" s="1930" t="s">
        <v>3850</v>
      </c>
      <c r="I5202" s="1930" t="s">
        <v>306</v>
      </c>
      <c r="J5202" s="1930" t="s">
        <v>320</v>
      </c>
      <c r="K5202" s="1933">
        <v>16.329999999999998</v>
      </c>
      <c r="L5202" s="1930" t="s">
        <v>138</v>
      </c>
    </row>
    <row r="5203" spans="1:12" ht="13.5" x14ac:dyDescent="0.25">
      <c r="A5203" s="1930" t="s">
        <v>4736</v>
      </c>
      <c r="B5203" s="1930" t="s">
        <v>4737</v>
      </c>
      <c r="C5203" s="1930" t="s">
        <v>4740</v>
      </c>
      <c r="D5203" s="1930" t="s">
        <v>4741</v>
      </c>
      <c r="E5203" s="1931">
        <v>74065</v>
      </c>
      <c r="F5203" s="1930" t="s">
        <v>4743</v>
      </c>
      <c r="G5203" s="1932" t="s">
        <v>3851</v>
      </c>
      <c r="H5203" s="1930" t="s">
        <v>3852</v>
      </c>
      <c r="I5203" s="1930" t="s">
        <v>306</v>
      </c>
      <c r="J5203" s="1930" t="s">
        <v>320</v>
      </c>
      <c r="K5203" s="1933">
        <v>23.07</v>
      </c>
      <c r="L5203" s="1930" t="s">
        <v>138</v>
      </c>
    </row>
    <row r="5204" spans="1:12" ht="13.5" x14ac:dyDescent="0.25">
      <c r="A5204" s="1930" t="s">
        <v>4736</v>
      </c>
      <c r="B5204" s="1930" t="s">
        <v>4737</v>
      </c>
      <c r="C5204" s="1930" t="s">
        <v>4740</v>
      </c>
      <c r="D5204" s="1930" t="s">
        <v>4741</v>
      </c>
      <c r="E5204" s="1931">
        <v>74065</v>
      </c>
      <c r="F5204" s="1930" t="s">
        <v>4743</v>
      </c>
      <c r="G5204" s="1932" t="s">
        <v>3853</v>
      </c>
      <c r="H5204" s="1930" t="s">
        <v>3854</v>
      </c>
      <c r="I5204" s="1930" t="s">
        <v>306</v>
      </c>
      <c r="J5204" s="1930" t="s">
        <v>320</v>
      </c>
      <c r="K5204" s="1933">
        <v>22.66</v>
      </c>
      <c r="L5204" s="1930" t="s">
        <v>138</v>
      </c>
    </row>
    <row r="5205" spans="1:12" ht="13.5" x14ac:dyDescent="0.25">
      <c r="A5205" s="1930" t="s">
        <v>4736</v>
      </c>
      <c r="B5205" s="1930" t="s">
        <v>4737</v>
      </c>
      <c r="C5205" s="1930" t="s">
        <v>4740</v>
      </c>
      <c r="D5205" s="1930" t="s">
        <v>4741</v>
      </c>
      <c r="E5205" s="1931">
        <v>74065</v>
      </c>
      <c r="F5205" s="1930" t="s">
        <v>4743</v>
      </c>
      <c r="G5205" s="1932" t="s">
        <v>3855</v>
      </c>
      <c r="H5205" s="1930" t="s">
        <v>3856</v>
      </c>
      <c r="I5205" s="1930" t="s">
        <v>306</v>
      </c>
      <c r="J5205" s="1930" t="s">
        <v>320</v>
      </c>
      <c r="K5205" s="1933">
        <v>22.54</v>
      </c>
      <c r="L5205" s="1930" t="s">
        <v>138</v>
      </c>
    </row>
    <row r="5206" spans="1:12" ht="13.5" x14ac:dyDescent="0.25">
      <c r="A5206" s="1930" t="s">
        <v>4736</v>
      </c>
      <c r="B5206" s="1930" t="s">
        <v>4737</v>
      </c>
      <c r="C5206" s="1930" t="s">
        <v>4740</v>
      </c>
      <c r="D5206" s="1930" t="s">
        <v>4741</v>
      </c>
      <c r="E5206" s="1931" t="s">
        <v>33</v>
      </c>
      <c r="F5206" s="1930" t="s">
        <v>33</v>
      </c>
      <c r="G5206" s="1932">
        <v>79463</v>
      </c>
      <c r="H5206" s="1930" t="s">
        <v>3857</v>
      </c>
      <c r="I5206" s="1930" t="s">
        <v>306</v>
      </c>
      <c r="J5206" s="1930" t="s">
        <v>320</v>
      </c>
      <c r="K5206" s="1933">
        <v>13.6</v>
      </c>
      <c r="L5206" s="1930" t="s">
        <v>138</v>
      </c>
    </row>
    <row r="5207" spans="1:12" ht="13.5" x14ac:dyDescent="0.25">
      <c r="A5207" s="1930" t="s">
        <v>4736</v>
      </c>
      <c r="B5207" s="1930" t="s">
        <v>4737</v>
      </c>
      <c r="C5207" s="1930" t="s">
        <v>4740</v>
      </c>
      <c r="D5207" s="1930" t="s">
        <v>4741</v>
      </c>
      <c r="E5207" s="1931" t="s">
        <v>33</v>
      </c>
      <c r="F5207" s="1930" t="s">
        <v>33</v>
      </c>
      <c r="G5207" s="1932">
        <v>79464</v>
      </c>
      <c r="H5207" s="1930" t="s">
        <v>3858</v>
      </c>
      <c r="I5207" s="1930" t="s">
        <v>306</v>
      </c>
      <c r="J5207" s="1930" t="s">
        <v>320</v>
      </c>
      <c r="K5207" s="1933">
        <v>18.32</v>
      </c>
      <c r="L5207" s="1930" t="s">
        <v>138</v>
      </c>
    </row>
    <row r="5208" spans="1:12" ht="13.5" x14ac:dyDescent="0.25">
      <c r="A5208" s="1930" t="s">
        <v>4736</v>
      </c>
      <c r="B5208" s="1930" t="s">
        <v>4737</v>
      </c>
      <c r="C5208" s="1930" t="s">
        <v>4740</v>
      </c>
      <c r="D5208" s="1930" t="s">
        <v>4741</v>
      </c>
      <c r="E5208" s="1931" t="s">
        <v>33</v>
      </c>
      <c r="F5208" s="1930" t="s">
        <v>33</v>
      </c>
      <c r="G5208" s="1932">
        <v>79466</v>
      </c>
      <c r="H5208" s="1930" t="s">
        <v>3859</v>
      </c>
      <c r="I5208" s="1930" t="s">
        <v>306</v>
      </c>
      <c r="J5208" s="1930" t="s">
        <v>320</v>
      </c>
      <c r="K5208" s="1933">
        <v>18.23</v>
      </c>
      <c r="L5208" s="1930" t="s">
        <v>138</v>
      </c>
    </row>
    <row r="5209" spans="1:12" ht="13.5" x14ac:dyDescent="0.25">
      <c r="A5209" s="1930" t="s">
        <v>4736</v>
      </c>
      <c r="B5209" s="1930" t="s">
        <v>4737</v>
      </c>
      <c r="C5209" s="1930" t="s">
        <v>4740</v>
      </c>
      <c r="D5209" s="1930" t="s">
        <v>4741</v>
      </c>
      <c r="E5209" s="1931">
        <v>79497</v>
      </c>
      <c r="F5209" s="1930" t="s">
        <v>4744</v>
      </c>
      <c r="G5209" s="1932" t="s">
        <v>3860</v>
      </c>
      <c r="H5209" s="1930" t="s">
        <v>3861</v>
      </c>
      <c r="I5209" s="1930" t="s">
        <v>306</v>
      </c>
      <c r="J5209" s="1930" t="s">
        <v>320</v>
      </c>
      <c r="K5209" s="1933">
        <v>22.8</v>
      </c>
      <c r="L5209" s="1930" t="s">
        <v>138</v>
      </c>
    </row>
    <row r="5210" spans="1:12" ht="13.5" x14ac:dyDescent="0.25">
      <c r="A5210" s="1930" t="s">
        <v>4736</v>
      </c>
      <c r="B5210" s="1930" t="s">
        <v>4737</v>
      </c>
      <c r="C5210" s="1930" t="s">
        <v>4740</v>
      </c>
      <c r="D5210" s="1930" t="s">
        <v>4741</v>
      </c>
      <c r="E5210" s="1931" t="s">
        <v>33</v>
      </c>
      <c r="F5210" s="1930" t="s">
        <v>33</v>
      </c>
      <c r="G5210" s="1932">
        <v>84645</v>
      </c>
      <c r="H5210" s="1930" t="s">
        <v>3862</v>
      </c>
      <c r="I5210" s="1930" t="s">
        <v>306</v>
      </c>
      <c r="J5210" s="1930" t="s">
        <v>320</v>
      </c>
      <c r="K5210" s="1933">
        <v>17.97</v>
      </c>
      <c r="L5210" s="1930" t="s">
        <v>138</v>
      </c>
    </row>
    <row r="5211" spans="1:12" ht="13.5" x14ac:dyDescent="0.25">
      <c r="A5211" s="1930" t="s">
        <v>4736</v>
      </c>
      <c r="B5211" s="1930" t="s">
        <v>4737</v>
      </c>
      <c r="C5211" s="1930" t="s">
        <v>4740</v>
      </c>
      <c r="D5211" s="1930" t="s">
        <v>4741</v>
      </c>
      <c r="E5211" s="1931" t="s">
        <v>33</v>
      </c>
      <c r="F5211" s="1930" t="s">
        <v>33</v>
      </c>
      <c r="G5211" s="1932">
        <v>84657</v>
      </c>
      <c r="H5211" s="1930" t="s">
        <v>3863</v>
      </c>
      <c r="I5211" s="1930" t="s">
        <v>306</v>
      </c>
      <c r="J5211" s="1930" t="s">
        <v>320</v>
      </c>
      <c r="K5211" s="1933">
        <v>9.19</v>
      </c>
      <c r="L5211" s="1930" t="s">
        <v>138</v>
      </c>
    </row>
    <row r="5212" spans="1:12" ht="13.5" x14ac:dyDescent="0.25">
      <c r="A5212" s="1930" t="s">
        <v>4736</v>
      </c>
      <c r="B5212" s="1930" t="s">
        <v>4737</v>
      </c>
      <c r="C5212" s="1930" t="s">
        <v>4740</v>
      </c>
      <c r="D5212" s="1930" t="s">
        <v>4741</v>
      </c>
      <c r="E5212" s="1931" t="s">
        <v>33</v>
      </c>
      <c r="F5212" s="1930" t="s">
        <v>33</v>
      </c>
      <c r="G5212" s="1932">
        <v>84659</v>
      </c>
      <c r="H5212" s="1930" t="s">
        <v>3864</v>
      </c>
      <c r="I5212" s="1930" t="s">
        <v>306</v>
      </c>
      <c r="J5212" s="1930" t="s">
        <v>320</v>
      </c>
      <c r="K5212" s="1933">
        <v>15.12</v>
      </c>
      <c r="L5212" s="1930" t="s">
        <v>138</v>
      </c>
    </row>
    <row r="5213" spans="1:12" ht="13.5" x14ac:dyDescent="0.25">
      <c r="A5213" s="1930" t="s">
        <v>4736</v>
      </c>
      <c r="B5213" s="1930" t="s">
        <v>4737</v>
      </c>
      <c r="C5213" s="1930" t="s">
        <v>4740</v>
      </c>
      <c r="D5213" s="1930" t="s">
        <v>4741</v>
      </c>
      <c r="E5213" s="1931" t="s">
        <v>33</v>
      </c>
      <c r="F5213" s="1930" t="s">
        <v>33</v>
      </c>
      <c r="G5213" s="1932">
        <v>84679</v>
      </c>
      <c r="H5213" s="1930" t="s">
        <v>3865</v>
      </c>
      <c r="I5213" s="1930" t="s">
        <v>306</v>
      </c>
      <c r="J5213" s="1930" t="s">
        <v>320</v>
      </c>
      <c r="K5213" s="1933">
        <v>18.989999999999998</v>
      </c>
      <c r="L5213" s="1930" t="s">
        <v>138</v>
      </c>
    </row>
    <row r="5214" spans="1:12" ht="13.5" x14ac:dyDescent="0.25">
      <c r="A5214" s="1930" t="s">
        <v>4736</v>
      </c>
      <c r="B5214" s="1930" t="s">
        <v>4737</v>
      </c>
      <c r="C5214" s="1930" t="s">
        <v>4740</v>
      </c>
      <c r="D5214" s="1930" t="s">
        <v>4741</v>
      </c>
      <c r="E5214" s="1931" t="s">
        <v>33</v>
      </c>
      <c r="F5214" s="1930" t="s">
        <v>33</v>
      </c>
      <c r="G5214" s="1932">
        <v>95464</v>
      </c>
      <c r="H5214" s="1930" t="s">
        <v>3866</v>
      </c>
      <c r="I5214" s="1930" t="s">
        <v>306</v>
      </c>
      <c r="J5214" s="1930" t="s">
        <v>320</v>
      </c>
      <c r="K5214" s="1933">
        <v>21.19</v>
      </c>
      <c r="L5214" s="1930" t="s">
        <v>138</v>
      </c>
    </row>
    <row r="5215" spans="1:12" ht="13.5" x14ac:dyDescent="0.25">
      <c r="A5215" s="1930" t="s">
        <v>4736</v>
      </c>
      <c r="B5215" s="1930" t="s">
        <v>4737</v>
      </c>
      <c r="C5215" s="1930" t="s">
        <v>4745</v>
      </c>
      <c r="D5215" s="1930" t="s">
        <v>4746</v>
      </c>
      <c r="E5215" s="1931" t="s">
        <v>33</v>
      </c>
      <c r="F5215" s="1930" t="s">
        <v>33</v>
      </c>
      <c r="G5215" s="1932">
        <v>100716</v>
      </c>
      <c r="H5215" s="1930" t="s">
        <v>9273</v>
      </c>
      <c r="I5215" s="1930" t="s">
        <v>306</v>
      </c>
      <c r="J5215" s="1930" t="s">
        <v>137</v>
      </c>
      <c r="K5215" s="1933">
        <v>21.36</v>
      </c>
      <c r="L5215" s="1930" t="s">
        <v>138</v>
      </c>
    </row>
    <row r="5216" spans="1:12" ht="13.5" x14ac:dyDescent="0.25">
      <c r="A5216" s="1930" t="s">
        <v>4736</v>
      </c>
      <c r="B5216" s="1930" t="s">
        <v>4737</v>
      </c>
      <c r="C5216" s="1930" t="s">
        <v>4745</v>
      </c>
      <c r="D5216" s="1930" t="s">
        <v>4746</v>
      </c>
      <c r="E5216" s="1931" t="s">
        <v>33</v>
      </c>
      <c r="F5216" s="1930" t="s">
        <v>33</v>
      </c>
      <c r="G5216" s="1932">
        <v>100717</v>
      </c>
      <c r="H5216" s="1930" t="s">
        <v>9274</v>
      </c>
      <c r="I5216" s="1930" t="s">
        <v>306</v>
      </c>
      <c r="J5216" s="1930" t="s">
        <v>320</v>
      </c>
      <c r="K5216" s="1933">
        <v>7.15</v>
      </c>
      <c r="L5216" s="1930" t="s">
        <v>138</v>
      </c>
    </row>
    <row r="5217" spans="1:12" ht="13.5" x14ac:dyDescent="0.25">
      <c r="A5217" s="1930" t="s">
        <v>4736</v>
      </c>
      <c r="B5217" s="1930" t="s">
        <v>4737</v>
      </c>
      <c r="C5217" s="1930" t="s">
        <v>4745</v>
      </c>
      <c r="D5217" s="1930" t="s">
        <v>4746</v>
      </c>
      <c r="E5217" s="1931" t="s">
        <v>33</v>
      </c>
      <c r="F5217" s="1930" t="s">
        <v>33</v>
      </c>
      <c r="G5217" s="1932">
        <v>100718</v>
      </c>
      <c r="H5217" s="1930" t="s">
        <v>9275</v>
      </c>
      <c r="I5217" s="1930" t="s">
        <v>136</v>
      </c>
      <c r="J5217" s="1930" t="s">
        <v>320</v>
      </c>
      <c r="K5217" s="1933">
        <v>1</v>
      </c>
      <c r="L5217" s="1930" t="s">
        <v>138</v>
      </c>
    </row>
    <row r="5218" spans="1:12" ht="13.5" x14ac:dyDescent="0.25">
      <c r="A5218" s="1930" t="s">
        <v>4736</v>
      </c>
      <c r="B5218" s="1930" t="s">
        <v>4737</v>
      </c>
      <c r="C5218" s="1930" t="s">
        <v>4745</v>
      </c>
      <c r="D5218" s="1930" t="s">
        <v>4746</v>
      </c>
      <c r="E5218" s="1931" t="s">
        <v>33</v>
      </c>
      <c r="F5218" s="1930" t="s">
        <v>33</v>
      </c>
      <c r="G5218" s="1932">
        <v>100719</v>
      </c>
      <c r="H5218" s="1930" t="s">
        <v>9276</v>
      </c>
      <c r="I5218" s="1930" t="s">
        <v>306</v>
      </c>
      <c r="J5218" s="1930" t="s">
        <v>137</v>
      </c>
      <c r="K5218" s="1933">
        <v>6.91</v>
      </c>
      <c r="L5218" s="1930" t="s">
        <v>138</v>
      </c>
    </row>
    <row r="5219" spans="1:12" ht="13.5" x14ac:dyDescent="0.25">
      <c r="A5219" s="1930" t="s">
        <v>4736</v>
      </c>
      <c r="B5219" s="1930" t="s">
        <v>4737</v>
      </c>
      <c r="C5219" s="1930" t="s">
        <v>4745</v>
      </c>
      <c r="D5219" s="1930" t="s">
        <v>4746</v>
      </c>
      <c r="E5219" s="1931" t="s">
        <v>33</v>
      </c>
      <c r="F5219" s="1930" t="s">
        <v>33</v>
      </c>
      <c r="G5219" s="1932">
        <v>100720</v>
      </c>
      <c r="H5219" s="1930" t="s">
        <v>9277</v>
      </c>
      <c r="I5219" s="1930" t="s">
        <v>306</v>
      </c>
      <c r="J5219" s="1930" t="s">
        <v>320</v>
      </c>
      <c r="K5219" s="1933">
        <v>7.4</v>
      </c>
      <c r="L5219" s="1930" t="s">
        <v>138</v>
      </c>
    </row>
    <row r="5220" spans="1:12" ht="13.5" x14ac:dyDescent="0.25">
      <c r="A5220" s="1930" t="s">
        <v>4736</v>
      </c>
      <c r="B5220" s="1930" t="s">
        <v>4737</v>
      </c>
      <c r="C5220" s="1930" t="s">
        <v>4745</v>
      </c>
      <c r="D5220" s="1930" t="s">
        <v>4746</v>
      </c>
      <c r="E5220" s="1931" t="s">
        <v>33</v>
      </c>
      <c r="F5220" s="1930" t="s">
        <v>33</v>
      </c>
      <c r="G5220" s="1932">
        <v>100721</v>
      </c>
      <c r="H5220" s="1930" t="s">
        <v>9278</v>
      </c>
      <c r="I5220" s="1930" t="s">
        <v>306</v>
      </c>
      <c r="J5220" s="1930" t="s">
        <v>137</v>
      </c>
      <c r="K5220" s="1933">
        <v>17.399999999999999</v>
      </c>
      <c r="L5220" s="1930" t="s">
        <v>138</v>
      </c>
    </row>
    <row r="5221" spans="1:12" ht="13.5" x14ac:dyDescent="0.25">
      <c r="A5221" s="1930" t="s">
        <v>4736</v>
      </c>
      <c r="B5221" s="1930" t="s">
        <v>4737</v>
      </c>
      <c r="C5221" s="1930" t="s">
        <v>4745</v>
      </c>
      <c r="D5221" s="1930" t="s">
        <v>4746</v>
      </c>
      <c r="E5221" s="1931" t="s">
        <v>33</v>
      </c>
      <c r="F5221" s="1930" t="s">
        <v>33</v>
      </c>
      <c r="G5221" s="1932">
        <v>100722</v>
      </c>
      <c r="H5221" s="1930" t="s">
        <v>9279</v>
      </c>
      <c r="I5221" s="1930" t="s">
        <v>306</v>
      </c>
      <c r="J5221" s="1930" t="s">
        <v>320</v>
      </c>
      <c r="K5221" s="1933">
        <v>17.34</v>
      </c>
      <c r="L5221" s="1930" t="s">
        <v>138</v>
      </c>
    </row>
    <row r="5222" spans="1:12" ht="13.5" x14ac:dyDescent="0.25">
      <c r="A5222" s="1930" t="s">
        <v>4736</v>
      </c>
      <c r="B5222" s="1930" t="s">
        <v>4737</v>
      </c>
      <c r="C5222" s="1930" t="s">
        <v>4745</v>
      </c>
      <c r="D5222" s="1930" t="s">
        <v>4746</v>
      </c>
      <c r="E5222" s="1931" t="s">
        <v>33</v>
      </c>
      <c r="F5222" s="1930" t="s">
        <v>33</v>
      </c>
      <c r="G5222" s="1932">
        <v>100723</v>
      </c>
      <c r="H5222" s="1930" t="s">
        <v>9280</v>
      </c>
      <c r="I5222" s="1930" t="s">
        <v>306</v>
      </c>
      <c r="J5222" s="1930" t="s">
        <v>137</v>
      </c>
      <c r="K5222" s="1933">
        <v>7.46</v>
      </c>
      <c r="L5222" s="1930" t="s">
        <v>138</v>
      </c>
    </row>
    <row r="5223" spans="1:12" ht="13.5" x14ac:dyDescent="0.25">
      <c r="A5223" s="1930" t="s">
        <v>4736</v>
      </c>
      <c r="B5223" s="1930" t="s">
        <v>4737</v>
      </c>
      <c r="C5223" s="1930" t="s">
        <v>4745</v>
      </c>
      <c r="D5223" s="1930" t="s">
        <v>4746</v>
      </c>
      <c r="E5223" s="1931" t="s">
        <v>33</v>
      </c>
      <c r="F5223" s="1930" t="s">
        <v>33</v>
      </c>
      <c r="G5223" s="1932">
        <v>100724</v>
      </c>
      <c r="H5223" s="1930" t="s">
        <v>9281</v>
      </c>
      <c r="I5223" s="1930" t="s">
        <v>306</v>
      </c>
      <c r="J5223" s="1930" t="s">
        <v>320</v>
      </c>
      <c r="K5223" s="1933">
        <v>9.44</v>
      </c>
      <c r="L5223" s="1930" t="s">
        <v>138</v>
      </c>
    </row>
    <row r="5224" spans="1:12" ht="13.5" x14ac:dyDescent="0.25">
      <c r="A5224" s="1930" t="s">
        <v>4736</v>
      </c>
      <c r="B5224" s="1930" t="s">
        <v>4737</v>
      </c>
      <c r="C5224" s="1930" t="s">
        <v>4745</v>
      </c>
      <c r="D5224" s="1930" t="s">
        <v>4746</v>
      </c>
      <c r="E5224" s="1931" t="s">
        <v>33</v>
      </c>
      <c r="F5224" s="1930" t="s">
        <v>33</v>
      </c>
      <c r="G5224" s="1932">
        <v>100725</v>
      </c>
      <c r="H5224" s="1930" t="s">
        <v>9282</v>
      </c>
      <c r="I5224" s="1930" t="s">
        <v>306</v>
      </c>
      <c r="J5224" s="1930" t="s">
        <v>137</v>
      </c>
      <c r="K5224" s="1933">
        <v>17.61</v>
      </c>
      <c r="L5224" s="1930" t="s">
        <v>138</v>
      </c>
    </row>
    <row r="5225" spans="1:12" ht="13.5" x14ac:dyDescent="0.25">
      <c r="A5225" s="1930" t="s">
        <v>4736</v>
      </c>
      <c r="B5225" s="1930" t="s">
        <v>4737</v>
      </c>
      <c r="C5225" s="1930" t="s">
        <v>4745</v>
      </c>
      <c r="D5225" s="1930" t="s">
        <v>4746</v>
      </c>
      <c r="E5225" s="1931" t="s">
        <v>33</v>
      </c>
      <c r="F5225" s="1930" t="s">
        <v>33</v>
      </c>
      <c r="G5225" s="1932">
        <v>100726</v>
      </c>
      <c r="H5225" s="1930" t="s">
        <v>9283</v>
      </c>
      <c r="I5225" s="1930" t="s">
        <v>306</v>
      </c>
      <c r="J5225" s="1930" t="s">
        <v>320</v>
      </c>
      <c r="K5225" s="1933">
        <v>19.329999999999998</v>
      </c>
      <c r="L5225" s="1930" t="s">
        <v>138</v>
      </c>
    </row>
    <row r="5226" spans="1:12" ht="13.5" x14ac:dyDescent="0.25">
      <c r="A5226" s="1930" t="s">
        <v>4736</v>
      </c>
      <c r="B5226" s="1930" t="s">
        <v>4737</v>
      </c>
      <c r="C5226" s="1930" t="s">
        <v>4745</v>
      </c>
      <c r="D5226" s="1930" t="s">
        <v>4746</v>
      </c>
      <c r="E5226" s="1931" t="s">
        <v>33</v>
      </c>
      <c r="F5226" s="1930" t="s">
        <v>33</v>
      </c>
      <c r="G5226" s="1932">
        <v>100727</v>
      </c>
      <c r="H5226" s="1930" t="s">
        <v>9284</v>
      </c>
      <c r="I5226" s="1930" t="s">
        <v>306</v>
      </c>
      <c r="J5226" s="1930" t="s">
        <v>137</v>
      </c>
      <c r="K5226" s="1933">
        <v>11.33</v>
      </c>
      <c r="L5226" s="1930" t="s">
        <v>138</v>
      </c>
    </row>
    <row r="5227" spans="1:12" ht="13.5" x14ac:dyDescent="0.25">
      <c r="A5227" s="1930" t="s">
        <v>4736</v>
      </c>
      <c r="B5227" s="1930" t="s">
        <v>4737</v>
      </c>
      <c r="C5227" s="1930" t="s">
        <v>4745</v>
      </c>
      <c r="D5227" s="1930" t="s">
        <v>4746</v>
      </c>
      <c r="E5227" s="1931" t="s">
        <v>33</v>
      </c>
      <c r="F5227" s="1930" t="s">
        <v>33</v>
      </c>
      <c r="G5227" s="1932">
        <v>100728</v>
      </c>
      <c r="H5227" s="1930" t="s">
        <v>9285</v>
      </c>
      <c r="I5227" s="1930" t="s">
        <v>306</v>
      </c>
      <c r="J5227" s="1930" t="s">
        <v>320</v>
      </c>
      <c r="K5227" s="1933">
        <v>11.88</v>
      </c>
      <c r="L5227" s="1930" t="s">
        <v>138</v>
      </c>
    </row>
    <row r="5228" spans="1:12" ht="13.5" x14ac:dyDescent="0.25">
      <c r="A5228" s="1930" t="s">
        <v>4736</v>
      </c>
      <c r="B5228" s="1930" t="s">
        <v>4737</v>
      </c>
      <c r="C5228" s="1930" t="s">
        <v>4745</v>
      </c>
      <c r="D5228" s="1930" t="s">
        <v>4746</v>
      </c>
      <c r="E5228" s="1931" t="s">
        <v>33</v>
      </c>
      <c r="F5228" s="1930" t="s">
        <v>33</v>
      </c>
      <c r="G5228" s="1932">
        <v>100729</v>
      </c>
      <c r="H5228" s="1930" t="s">
        <v>9286</v>
      </c>
      <c r="I5228" s="1930" t="s">
        <v>306</v>
      </c>
      <c r="J5228" s="1930" t="s">
        <v>137</v>
      </c>
      <c r="K5228" s="1933">
        <v>15.13</v>
      </c>
      <c r="L5228" s="1930" t="s">
        <v>138</v>
      </c>
    </row>
    <row r="5229" spans="1:12" ht="13.5" x14ac:dyDescent="0.25">
      <c r="A5229" s="1930" t="s">
        <v>4736</v>
      </c>
      <c r="B5229" s="1930" t="s">
        <v>4737</v>
      </c>
      <c r="C5229" s="1930" t="s">
        <v>4745</v>
      </c>
      <c r="D5229" s="1930" t="s">
        <v>4746</v>
      </c>
      <c r="E5229" s="1931" t="s">
        <v>33</v>
      </c>
      <c r="F5229" s="1930" t="s">
        <v>33</v>
      </c>
      <c r="G5229" s="1932">
        <v>100730</v>
      </c>
      <c r="H5229" s="1930" t="s">
        <v>9287</v>
      </c>
      <c r="I5229" s="1930" t="s">
        <v>306</v>
      </c>
      <c r="J5229" s="1930" t="s">
        <v>320</v>
      </c>
      <c r="K5229" s="1933">
        <v>17.79</v>
      </c>
      <c r="L5229" s="1930" t="s">
        <v>138</v>
      </c>
    </row>
    <row r="5230" spans="1:12" ht="13.5" x14ac:dyDescent="0.25">
      <c r="A5230" s="1930" t="s">
        <v>4736</v>
      </c>
      <c r="B5230" s="1930" t="s">
        <v>4737</v>
      </c>
      <c r="C5230" s="1930" t="s">
        <v>4745</v>
      </c>
      <c r="D5230" s="1930" t="s">
        <v>4746</v>
      </c>
      <c r="E5230" s="1931" t="s">
        <v>33</v>
      </c>
      <c r="F5230" s="1930" t="s">
        <v>33</v>
      </c>
      <c r="G5230" s="1932">
        <v>100733</v>
      </c>
      <c r="H5230" s="1930" t="s">
        <v>9288</v>
      </c>
      <c r="I5230" s="1930" t="s">
        <v>306</v>
      </c>
      <c r="J5230" s="1930" t="s">
        <v>137</v>
      </c>
      <c r="K5230" s="1933">
        <v>9.25</v>
      </c>
      <c r="L5230" s="1930" t="s">
        <v>138</v>
      </c>
    </row>
    <row r="5231" spans="1:12" ht="13.5" x14ac:dyDescent="0.25">
      <c r="A5231" s="1930" t="s">
        <v>4736</v>
      </c>
      <c r="B5231" s="1930" t="s">
        <v>4737</v>
      </c>
      <c r="C5231" s="1930" t="s">
        <v>4745</v>
      </c>
      <c r="D5231" s="1930" t="s">
        <v>4746</v>
      </c>
      <c r="E5231" s="1931" t="s">
        <v>33</v>
      </c>
      <c r="F5231" s="1930" t="s">
        <v>33</v>
      </c>
      <c r="G5231" s="1932">
        <v>100734</v>
      </c>
      <c r="H5231" s="1930" t="s">
        <v>9289</v>
      </c>
      <c r="I5231" s="1930" t="s">
        <v>306</v>
      </c>
      <c r="J5231" s="1930" t="s">
        <v>320</v>
      </c>
      <c r="K5231" s="1933">
        <v>11.67</v>
      </c>
      <c r="L5231" s="1930" t="s">
        <v>138</v>
      </c>
    </row>
    <row r="5232" spans="1:12" ht="13.5" x14ac:dyDescent="0.25">
      <c r="A5232" s="1930" t="s">
        <v>4736</v>
      </c>
      <c r="B5232" s="1930" t="s">
        <v>4737</v>
      </c>
      <c r="C5232" s="1930" t="s">
        <v>4745</v>
      </c>
      <c r="D5232" s="1930" t="s">
        <v>4746</v>
      </c>
      <c r="E5232" s="1931" t="s">
        <v>33</v>
      </c>
      <c r="F5232" s="1930" t="s">
        <v>33</v>
      </c>
      <c r="G5232" s="1932">
        <v>100735</v>
      </c>
      <c r="H5232" s="1930" t="s">
        <v>9290</v>
      </c>
      <c r="I5232" s="1930" t="s">
        <v>306</v>
      </c>
      <c r="J5232" s="1930" t="s">
        <v>137</v>
      </c>
      <c r="K5232" s="1933">
        <v>7.74</v>
      </c>
      <c r="L5232" s="1930" t="s">
        <v>138</v>
      </c>
    </row>
    <row r="5233" spans="1:12" ht="13.5" x14ac:dyDescent="0.25">
      <c r="A5233" s="1930" t="s">
        <v>4736</v>
      </c>
      <c r="B5233" s="1930" t="s">
        <v>4737</v>
      </c>
      <c r="C5233" s="1930" t="s">
        <v>4745</v>
      </c>
      <c r="D5233" s="1930" t="s">
        <v>4746</v>
      </c>
      <c r="E5233" s="1931" t="s">
        <v>33</v>
      </c>
      <c r="F5233" s="1930" t="s">
        <v>33</v>
      </c>
      <c r="G5233" s="1932">
        <v>100736</v>
      </c>
      <c r="H5233" s="1930" t="s">
        <v>9291</v>
      </c>
      <c r="I5233" s="1930" t="s">
        <v>306</v>
      </c>
      <c r="J5233" s="1930" t="s">
        <v>320</v>
      </c>
      <c r="K5233" s="1933">
        <v>10.47</v>
      </c>
      <c r="L5233" s="1930" t="s">
        <v>138</v>
      </c>
    </row>
    <row r="5234" spans="1:12" ht="13.5" x14ac:dyDescent="0.25">
      <c r="A5234" s="1930" t="s">
        <v>4736</v>
      </c>
      <c r="B5234" s="1930" t="s">
        <v>4737</v>
      </c>
      <c r="C5234" s="1930" t="s">
        <v>4745</v>
      </c>
      <c r="D5234" s="1930" t="s">
        <v>4746</v>
      </c>
      <c r="E5234" s="1931" t="s">
        <v>33</v>
      </c>
      <c r="F5234" s="1930" t="s">
        <v>33</v>
      </c>
      <c r="G5234" s="1932">
        <v>100739</v>
      </c>
      <c r="H5234" s="1930" t="s">
        <v>9292</v>
      </c>
      <c r="I5234" s="1930" t="s">
        <v>306</v>
      </c>
      <c r="J5234" s="1930" t="s">
        <v>137</v>
      </c>
      <c r="K5234" s="1933">
        <v>7.03</v>
      </c>
      <c r="L5234" s="1930" t="s">
        <v>138</v>
      </c>
    </row>
    <row r="5235" spans="1:12" ht="13.5" x14ac:dyDescent="0.25">
      <c r="A5235" s="1930" t="s">
        <v>4736</v>
      </c>
      <c r="B5235" s="1930" t="s">
        <v>4737</v>
      </c>
      <c r="C5235" s="1930" t="s">
        <v>4745</v>
      </c>
      <c r="D5235" s="1930" t="s">
        <v>4746</v>
      </c>
      <c r="E5235" s="1931" t="s">
        <v>33</v>
      </c>
      <c r="F5235" s="1930" t="s">
        <v>33</v>
      </c>
      <c r="G5235" s="1932">
        <v>100740</v>
      </c>
      <c r="H5235" s="1930" t="s">
        <v>9293</v>
      </c>
      <c r="I5235" s="1930" t="s">
        <v>306</v>
      </c>
      <c r="J5235" s="1930" t="s">
        <v>320</v>
      </c>
      <c r="K5235" s="1933">
        <v>7.89</v>
      </c>
      <c r="L5235" s="1930" t="s">
        <v>138</v>
      </c>
    </row>
    <row r="5236" spans="1:12" ht="13.5" x14ac:dyDescent="0.25">
      <c r="A5236" s="1930" t="s">
        <v>4736</v>
      </c>
      <c r="B5236" s="1930" t="s">
        <v>4737</v>
      </c>
      <c r="C5236" s="1930" t="s">
        <v>4745</v>
      </c>
      <c r="D5236" s="1930" t="s">
        <v>4746</v>
      </c>
      <c r="E5236" s="1931" t="s">
        <v>33</v>
      </c>
      <c r="F5236" s="1930" t="s">
        <v>33</v>
      </c>
      <c r="G5236" s="1932">
        <v>100741</v>
      </c>
      <c r="H5236" s="1930" t="s">
        <v>9294</v>
      </c>
      <c r="I5236" s="1930" t="s">
        <v>306</v>
      </c>
      <c r="J5236" s="1930" t="s">
        <v>137</v>
      </c>
      <c r="K5236" s="1933">
        <v>17.399999999999999</v>
      </c>
      <c r="L5236" s="1930" t="s">
        <v>138</v>
      </c>
    </row>
    <row r="5237" spans="1:12" ht="13.5" x14ac:dyDescent="0.25">
      <c r="A5237" s="1930" t="s">
        <v>4736</v>
      </c>
      <c r="B5237" s="1930" t="s">
        <v>4737</v>
      </c>
      <c r="C5237" s="1930" t="s">
        <v>4745</v>
      </c>
      <c r="D5237" s="1930" t="s">
        <v>4746</v>
      </c>
      <c r="E5237" s="1931" t="s">
        <v>33</v>
      </c>
      <c r="F5237" s="1930" t="s">
        <v>33</v>
      </c>
      <c r="G5237" s="1932">
        <v>100742</v>
      </c>
      <c r="H5237" s="1930" t="s">
        <v>9295</v>
      </c>
      <c r="I5237" s="1930" t="s">
        <v>306</v>
      </c>
      <c r="J5237" s="1930" t="s">
        <v>320</v>
      </c>
      <c r="K5237" s="1933">
        <v>17.82</v>
      </c>
      <c r="L5237" s="1930" t="s">
        <v>138</v>
      </c>
    </row>
    <row r="5238" spans="1:12" ht="13.5" x14ac:dyDescent="0.25">
      <c r="A5238" s="1930" t="s">
        <v>4736</v>
      </c>
      <c r="B5238" s="1930" t="s">
        <v>4737</v>
      </c>
      <c r="C5238" s="1930" t="s">
        <v>4745</v>
      </c>
      <c r="D5238" s="1930" t="s">
        <v>4746</v>
      </c>
      <c r="E5238" s="1931" t="s">
        <v>33</v>
      </c>
      <c r="F5238" s="1930" t="s">
        <v>33</v>
      </c>
      <c r="G5238" s="1932">
        <v>100743</v>
      </c>
      <c r="H5238" s="1930" t="s">
        <v>9296</v>
      </c>
      <c r="I5238" s="1930" t="s">
        <v>306</v>
      </c>
      <c r="J5238" s="1930" t="s">
        <v>137</v>
      </c>
      <c r="K5238" s="1933">
        <v>6.88</v>
      </c>
      <c r="L5238" s="1930" t="s">
        <v>138</v>
      </c>
    </row>
    <row r="5239" spans="1:12" ht="13.5" x14ac:dyDescent="0.25">
      <c r="A5239" s="1930" t="s">
        <v>4736</v>
      </c>
      <c r="B5239" s="1930" t="s">
        <v>4737</v>
      </c>
      <c r="C5239" s="1930" t="s">
        <v>4745</v>
      </c>
      <c r="D5239" s="1930" t="s">
        <v>4746</v>
      </c>
      <c r="E5239" s="1931" t="s">
        <v>33</v>
      </c>
      <c r="F5239" s="1930" t="s">
        <v>33</v>
      </c>
      <c r="G5239" s="1932">
        <v>100744</v>
      </c>
      <c r="H5239" s="1930" t="s">
        <v>9297</v>
      </c>
      <c r="I5239" s="1930" t="s">
        <v>306</v>
      </c>
      <c r="J5239" s="1930" t="s">
        <v>346</v>
      </c>
      <c r="K5239" s="1933">
        <v>7.8</v>
      </c>
      <c r="L5239" s="1930" t="s">
        <v>138</v>
      </c>
    </row>
    <row r="5240" spans="1:12" ht="13.5" x14ac:dyDescent="0.25">
      <c r="A5240" s="1930" t="s">
        <v>4736</v>
      </c>
      <c r="B5240" s="1930" t="s">
        <v>4737</v>
      </c>
      <c r="C5240" s="1930" t="s">
        <v>4745</v>
      </c>
      <c r="D5240" s="1930" t="s">
        <v>4746</v>
      </c>
      <c r="E5240" s="1931" t="s">
        <v>33</v>
      </c>
      <c r="F5240" s="1930" t="s">
        <v>33</v>
      </c>
      <c r="G5240" s="1932">
        <v>100745</v>
      </c>
      <c r="H5240" s="1930" t="s">
        <v>9298</v>
      </c>
      <c r="I5240" s="1930" t="s">
        <v>306</v>
      </c>
      <c r="J5240" s="1930" t="s">
        <v>137</v>
      </c>
      <c r="K5240" s="1933">
        <v>17.25</v>
      </c>
      <c r="L5240" s="1930" t="s">
        <v>138</v>
      </c>
    </row>
    <row r="5241" spans="1:12" ht="13.5" x14ac:dyDescent="0.25">
      <c r="A5241" s="1930" t="s">
        <v>4736</v>
      </c>
      <c r="B5241" s="1930" t="s">
        <v>4737</v>
      </c>
      <c r="C5241" s="1930" t="s">
        <v>4745</v>
      </c>
      <c r="D5241" s="1930" t="s">
        <v>4746</v>
      </c>
      <c r="E5241" s="1931" t="s">
        <v>33</v>
      </c>
      <c r="F5241" s="1930" t="s">
        <v>33</v>
      </c>
      <c r="G5241" s="1932">
        <v>100746</v>
      </c>
      <c r="H5241" s="1930" t="s">
        <v>9299</v>
      </c>
      <c r="I5241" s="1930" t="s">
        <v>306</v>
      </c>
      <c r="J5241" s="1930" t="s">
        <v>346</v>
      </c>
      <c r="K5241" s="1933">
        <v>17.73</v>
      </c>
      <c r="L5241" s="1930" t="s">
        <v>138</v>
      </c>
    </row>
    <row r="5242" spans="1:12" ht="13.5" x14ac:dyDescent="0.25">
      <c r="A5242" s="1930" t="s">
        <v>4736</v>
      </c>
      <c r="B5242" s="1930" t="s">
        <v>4737</v>
      </c>
      <c r="C5242" s="1930" t="s">
        <v>4745</v>
      </c>
      <c r="D5242" s="1930" t="s">
        <v>4746</v>
      </c>
      <c r="E5242" s="1931" t="s">
        <v>33</v>
      </c>
      <c r="F5242" s="1930" t="s">
        <v>33</v>
      </c>
      <c r="G5242" s="1932">
        <v>100747</v>
      </c>
      <c r="H5242" s="1930" t="s">
        <v>9300</v>
      </c>
      <c r="I5242" s="1930" t="s">
        <v>306</v>
      </c>
      <c r="J5242" s="1930" t="s">
        <v>137</v>
      </c>
      <c r="K5242" s="1933">
        <v>7.53</v>
      </c>
      <c r="L5242" s="1930" t="s">
        <v>138</v>
      </c>
    </row>
    <row r="5243" spans="1:12" ht="13.5" x14ac:dyDescent="0.25">
      <c r="A5243" s="1930" t="s">
        <v>4736</v>
      </c>
      <c r="B5243" s="1930" t="s">
        <v>4737</v>
      </c>
      <c r="C5243" s="1930" t="s">
        <v>4745</v>
      </c>
      <c r="D5243" s="1930" t="s">
        <v>4746</v>
      </c>
      <c r="E5243" s="1931" t="s">
        <v>33</v>
      </c>
      <c r="F5243" s="1930" t="s">
        <v>33</v>
      </c>
      <c r="G5243" s="1932">
        <v>100748</v>
      </c>
      <c r="H5243" s="1930" t="s">
        <v>9301</v>
      </c>
      <c r="I5243" s="1930" t="s">
        <v>306</v>
      </c>
      <c r="J5243" s="1930" t="s">
        <v>320</v>
      </c>
      <c r="K5243" s="1933">
        <v>8.2100000000000009</v>
      </c>
      <c r="L5243" s="1930" t="s">
        <v>138</v>
      </c>
    </row>
    <row r="5244" spans="1:12" ht="13.5" x14ac:dyDescent="0.25">
      <c r="A5244" s="1930" t="s">
        <v>4736</v>
      </c>
      <c r="B5244" s="1930" t="s">
        <v>4737</v>
      </c>
      <c r="C5244" s="1930" t="s">
        <v>4745</v>
      </c>
      <c r="D5244" s="1930" t="s">
        <v>4746</v>
      </c>
      <c r="E5244" s="1931" t="s">
        <v>33</v>
      </c>
      <c r="F5244" s="1930" t="s">
        <v>33</v>
      </c>
      <c r="G5244" s="1932">
        <v>100749</v>
      </c>
      <c r="H5244" s="1930" t="s">
        <v>9302</v>
      </c>
      <c r="I5244" s="1930" t="s">
        <v>306</v>
      </c>
      <c r="J5244" s="1930" t="s">
        <v>137</v>
      </c>
      <c r="K5244" s="1933">
        <v>17.93</v>
      </c>
      <c r="L5244" s="1930" t="s">
        <v>138</v>
      </c>
    </row>
    <row r="5245" spans="1:12" ht="13.5" x14ac:dyDescent="0.25">
      <c r="A5245" s="1930" t="s">
        <v>4736</v>
      </c>
      <c r="B5245" s="1930" t="s">
        <v>4737</v>
      </c>
      <c r="C5245" s="1930" t="s">
        <v>4745</v>
      </c>
      <c r="D5245" s="1930" t="s">
        <v>4746</v>
      </c>
      <c r="E5245" s="1931" t="s">
        <v>33</v>
      </c>
      <c r="F5245" s="1930" t="s">
        <v>33</v>
      </c>
      <c r="G5245" s="1932">
        <v>100750</v>
      </c>
      <c r="H5245" s="1930" t="s">
        <v>9303</v>
      </c>
      <c r="I5245" s="1930" t="s">
        <v>306</v>
      </c>
      <c r="J5245" s="1930" t="s">
        <v>320</v>
      </c>
      <c r="K5245" s="1933">
        <v>18.149999999999999</v>
      </c>
      <c r="L5245" s="1930" t="s">
        <v>138</v>
      </c>
    </row>
    <row r="5246" spans="1:12" ht="13.5" x14ac:dyDescent="0.25">
      <c r="A5246" s="1930" t="s">
        <v>4736</v>
      </c>
      <c r="B5246" s="1930" t="s">
        <v>4737</v>
      </c>
      <c r="C5246" s="1930" t="s">
        <v>4745</v>
      </c>
      <c r="D5246" s="1930" t="s">
        <v>4746</v>
      </c>
      <c r="E5246" s="1931" t="s">
        <v>33</v>
      </c>
      <c r="F5246" s="1930" t="s">
        <v>33</v>
      </c>
      <c r="G5246" s="1932">
        <v>100751</v>
      </c>
      <c r="H5246" s="1930" t="s">
        <v>9304</v>
      </c>
      <c r="I5246" s="1930" t="s">
        <v>306</v>
      </c>
      <c r="J5246" s="1930" t="s">
        <v>137</v>
      </c>
      <c r="K5246" s="1933">
        <v>30.29</v>
      </c>
      <c r="L5246" s="1930" t="s">
        <v>138</v>
      </c>
    </row>
    <row r="5247" spans="1:12" ht="13.5" x14ac:dyDescent="0.25">
      <c r="A5247" s="1930" t="s">
        <v>4736</v>
      </c>
      <c r="B5247" s="1930" t="s">
        <v>4737</v>
      </c>
      <c r="C5247" s="1930" t="s">
        <v>4745</v>
      </c>
      <c r="D5247" s="1930" t="s">
        <v>4746</v>
      </c>
      <c r="E5247" s="1931" t="s">
        <v>33</v>
      </c>
      <c r="F5247" s="1930" t="s">
        <v>33</v>
      </c>
      <c r="G5247" s="1932">
        <v>100752</v>
      </c>
      <c r="H5247" s="1930" t="s">
        <v>9305</v>
      </c>
      <c r="I5247" s="1930" t="s">
        <v>306</v>
      </c>
      <c r="J5247" s="1930" t="s">
        <v>320</v>
      </c>
      <c r="K5247" s="1933">
        <v>35.6</v>
      </c>
      <c r="L5247" s="1930" t="s">
        <v>138</v>
      </c>
    </row>
    <row r="5248" spans="1:12" ht="13.5" x14ac:dyDescent="0.25">
      <c r="A5248" s="1930" t="s">
        <v>4736</v>
      </c>
      <c r="B5248" s="1930" t="s">
        <v>4737</v>
      </c>
      <c r="C5248" s="1930" t="s">
        <v>4745</v>
      </c>
      <c r="D5248" s="1930" t="s">
        <v>4746</v>
      </c>
      <c r="E5248" s="1931" t="s">
        <v>33</v>
      </c>
      <c r="F5248" s="1930" t="s">
        <v>33</v>
      </c>
      <c r="G5248" s="1932">
        <v>100753</v>
      </c>
      <c r="H5248" s="1930" t="s">
        <v>9306</v>
      </c>
      <c r="I5248" s="1930" t="s">
        <v>306</v>
      </c>
      <c r="J5248" s="1930" t="s">
        <v>137</v>
      </c>
      <c r="K5248" s="1933">
        <v>15.5</v>
      </c>
      <c r="L5248" s="1930" t="s">
        <v>138</v>
      </c>
    </row>
    <row r="5249" spans="1:12" ht="13.5" x14ac:dyDescent="0.25">
      <c r="A5249" s="1930" t="s">
        <v>4736</v>
      </c>
      <c r="B5249" s="1930" t="s">
        <v>4737</v>
      </c>
      <c r="C5249" s="1930" t="s">
        <v>4745</v>
      </c>
      <c r="D5249" s="1930" t="s">
        <v>4746</v>
      </c>
      <c r="E5249" s="1931" t="s">
        <v>33</v>
      </c>
      <c r="F5249" s="1930" t="s">
        <v>33</v>
      </c>
      <c r="G5249" s="1932">
        <v>100754</v>
      </c>
      <c r="H5249" s="1930" t="s">
        <v>9307</v>
      </c>
      <c r="I5249" s="1930" t="s">
        <v>306</v>
      </c>
      <c r="J5249" s="1930" t="s">
        <v>320</v>
      </c>
      <c r="K5249" s="1933">
        <v>20.97</v>
      </c>
      <c r="L5249" s="1930" t="s">
        <v>138</v>
      </c>
    </row>
    <row r="5250" spans="1:12" ht="13.5" x14ac:dyDescent="0.25">
      <c r="A5250" s="1930" t="s">
        <v>4736</v>
      </c>
      <c r="B5250" s="1930" t="s">
        <v>4737</v>
      </c>
      <c r="C5250" s="1930" t="s">
        <v>4745</v>
      </c>
      <c r="D5250" s="1930" t="s">
        <v>4746</v>
      </c>
      <c r="E5250" s="1931" t="s">
        <v>33</v>
      </c>
      <c r="F5250" s="1930" t="s">
        <v>33</v>
      </c>
      <c r="G5250" s="1932">
        <v>100757</v>
      </c>
      <c r="H5250" s="1930" t="s">
        <v>9308</v>
      </c>
      <c r="I5250" s="1930" t="s">
        <v>306</v>
      </c>
      <c r="J5250" s="1930" t="s">
        <v>137</v>
      </c>
      <c r="K5250" s="1933">
        <v>34.82</v>
      </c>
      <c r="L5250" s="1930" t="s">
        <v>138</v>
      </c>
    </row>
    <row r="5251" spans="1:12" ht="13.5" x14ac:dyDescent="0.25">
      <c r="A5251" s="1930" t="s">
        <v>4736</v>
      </c>
      <c r="B5251" s="1930" t="s">
        <v>4737</v>
      </c>
      <c r="C5251" s="1930" t="s">
        <v>4745</v>
      </c>
      <c r="D5251" s="1930" t="s">
        <v>4746</v>
      </c>
      <c r="E5251" s="1931" t="s">
        <v>33</v>
      </c>
      <c r="F5251" s="1930" t="s">
        <v>33</v>
      </c>
      <c r="G5251" s="1932">
        <v>100758</v>
      </c>
      <c r="H5251" s="1930" t="s">
        <v>9309</v>
      </c>
      <c r="I5251" s="1930" t="s">
        <v>306</v>
      </c>
      <c r="J5251" s="1930" t="s">
        <v>320</v>
      </c>
      <c r="K5251" s="1933">
        <v>35.659999999999997</v>
      </c>
      <c r="L5251" s="1930" t="s">
        <v>138</v>
      </c>
    </row>
    <row r="5252" spans="1:12" ht="13.5" x14ac:dyDescent="0.25">
      <c r="A5252" s="1930" t="s">
        <v>4736</v>
      </c>
      <c r="B5252" s="1930" t="s">
        <v>4737</v>
      </c>
      <c r="C5252" s="1930" t="s">
        <v>4745</v>
      </c>
      <c r="D5252" s="1930" t="s">
        <v>4746</v>
      </c>
      <c r="E5252" s="1931" t="s">
        <v>33</v>
      </c>
      <c r="F5252" s="1930" t="s">
        <v>33</v>
      </c>
      <c r="G5252" s="1932">
        <v>100759</v>
      </c>
      <c r="H5252" s="1930" t="s">
        <v>9310</v>
      </c>
      <c r="I5252" s="1930" t="s">
        <v>306</v>
      </c>
      <c r="J5252" s="1930" t="s">
        <v>137</v>
      </c>
      <c r="K5252" s="1933">
        <v>34.51</v>
      </c>
      <c r="L5252" s="1930" t="s">
        <v>138</v>
      </c>
    </row>
    <row r="5253" spans="1:12" ht="13.5" x14ac:dyDescent="0.25">
      <c r="A5253" s="1930" t="s">
        <v>4736</v>
      </c>
      <c r="B5253" s="1930" t="s">
        <v>4737</v>
      </c>
      <c r="C5253" s="1930" t="s">
        <v>4745</v>
      </c>
      <c r="D5253" s="1930" t="s">
        <v>4746</v>
      </c>
      <c r="E5253" s="1931" t="s">
        <v>33</v>
      </c>
      <c r="F5253" s="1930" t="s">
        <v>33</v>
      </c>
      <c r="G5253" s="1932">
        <v>100760</v>
      </c>
      <c r="H5253" s="1930" t="s">
        <v>9311</v>
      </c>
      <c r="I5253" s="1930" t="s">
        <v>306</v>
      </c>
      <c r="J5253" s="1930" t="s">
        <v>346</v>
      </c>
      <c r="K5253" s="1933">
        <v>35.47</v>
      </c>
      <c r="L5253" s="1930" t="s">
        <v>138</v>
      </c>
    </row>
    <row r="5254" spans="1:12" ht="13.5" x14ac:dyDescent="0.25">
      <c r="A5254" s="1930" t="s">
        <v>4736</v>
      </c>
      <c r="B5254" s="1930" t="s">
        <v>4737</v>
      </c>
      <c r="C5254" s="1930" t="s">
        <v>4745</v>
      </c>
      <c r="D5254" s="1930" t="s">
        <v>4746</v>
      </c>
      <c r="E5254" s="1931" t="s">
        <v>33</v>
      </c>
      <c r="F5254" s="1930" t="s">
        <v>33</v>
      </c>
      <c r="G5254" s="1932">
        <v>100761</v>
      </c>
      <c r="H5254" s="1930" t="s">
        <v>9312</v>
      </c>
      <c r="I5254" s="1930" t="s">
        <v>306</v>
      </c>
      <c r="J5254" s="1930" t="s">
        <v>137</v>
      </c>
      <c r="K5254" s="1933">
        <v>35.880000000000003</v>
      </c>
      <c r="L5254" s="1930" t="s">
        <v>138</v>
      </c>
    </row>
    <row r="5255" spans="1:12" ht="13.5" x14ac:dyDescent="0.25">
      <c r="A5255" s="1930" t="s">
        <v>4736</v>
      </c>
      <c r="B5255" s="1930" t="s">
        <v>4737</v>
      </c>
      <c r="C5255" s="1930" t="s">
        <v>4745</v>
      </c>
      <c r="D5255" s="1930" t="s">
        <v>4746</v>
      </c>
      <c r="E5255" s="1931" t="s">
        <v>33</v>
      </c>
      <c r="F5255" s="1930" t="s">
        <v>33</v>
      </c>
      <c r="G5255" s="1932">
        <v>100762</v>
      </c>
      <c r="H5255" s="1930" t="s">
        <v>9313</v>
      </c>
      <c r="I5255" s="1930" t="s">
        <v>306</v>
      </c>
      <c r="J5255" s="1930" t="s">
        <v>320</v>
      </c>
      <c r="K5255" s="1933">
        <v>36.32</v>
      </c>
      <c r="L5255" s="1930" t="s">
        <v>138</v>
      </c>
    </row>
    <row r="5256" spans="1:12" ht="13.5" x14ac:dyDescent="0.25">
      <c r="A5256" s="1930" t="s">
        <v>4736</v>
      </c>
      <c r="B5256" s="1930" t="s">
        <v>4737</v>
      </c>
      <c r="C5256" s="1930" t="s">
        <v>4747</v>
      </c>
      <c r="D5256" s="1930" t="s">
        <v>4748</v>
      </c>
      <c r="E5256" s="1931" t="s">
        <v>33</v>
      </c>
      <c r="F5256" s="1930" t="s">
        <v>33</v>
      </c>
      <c r="G5256" s="1932">
        <v>41595</v>
      </c>
      <c r="H5256" s="1930" t="s">
        <v>3867</v>
      </c>
      <c r="I5256" s="1930" t="s">
        <v>136</v>
      </c>
      <c r="J5256" s="1930" t="s">
        <v>320</v>
      </c>
      <c r="K5256" s="1933">
        <v>10.199999999999999</v>
      </c>
      <c r="L5256" s="1930" t="s">
        <v>138</v>
      </c>
    </row>
    <row r="5257" spans="1:12" ht="13.5" x14ac:dyDescent="0.25">
      <c r="A5257" s="1930" t="s">
        <v>4736</v>
      </c>
      <c r="B5257" s="1930" t="s">
        <v>4737</v>
      </c>
      <c r="C5257" s="1930" t="s">
        <v>4747</v>
      </c>
      <c r="D5257" s="1930" t="s">
        <v>4748</v>
      </c>
      <c r="E5257" s="1931">
        <v>73978</v>
      </c>
      <c r="F5257" s="1930" t="s">
        <v>4749</v>
      </c>
      <c r="G5257" s="1932" t="s">
        <v>3868</v>
      </c>
      <c r="H5257" s="1930" t="s">
        <v>3869</v>
      </c>
      <c r="I5257" s="1930" t="s">
        <v>306</v>
      </c>
      <c r="J5257" s="1930" t="s">
        <v>320</v>
      </c>
      <c r="K5257" s="1933">
        <v>16.239999999999998</v>
      </c>
      <c r="L5257" s="1930" t="s">
        <v>138</v>
      </c>
    </row>
    <row r="5258" spans="1:12" ht="13.5" x14ac:dyDescent="0.25">
      <c r="A5258" s="1930" t="s">
        <v>4736</v>
      </c>
      <c r="B5258" s="1930" t="s">
        <v>4737</v>
      </c>
      <c r="C5258" s="1930" t="s">
        <v>4747</v>
      </c>
      <c r="D5258" s="1930" t="s">
        <v>4748</v>
      </c>
      <c r="E5258" s="1931">
        <v>74245</v>
      </c>
      <c r="F5258" s="1930" t="s">
        <v>3870</v>
      </c>
      <c r="G5258" s="1932" t="s">
        <v>3871</v>
      </c>
      <c r="H5258" s="1930" t="s">
        <v>3870</v>
      </c>
      <c r="I5258" s="1930" t="s">
        <v>306</v>
      </c>
      <c r="J5258" s="1930" t="s">
        <v>320</v>
      </c>
      <c r="K5258" s="1933">
        <v>13.54</v>
      </c>
      <c r="L5258" s="1930" t="s">
        <v>138</v>
      </c>
    </row>
    <row r="5259" spans="1:12" ht="13.5" x14ac:dyDescent="0.25">
      <c r="A5259" s="1930" t="s">
        <v>4736</v>
      </c>
      <c r="B5259" s="1930" t="s">
        <v>4737</v>
      </c>
      <c r="C5259" s="1930" t="s">
        <v>4747</v>
      </c>
      <c r="D5259" s="1930" t="s">
        <v>4748</v>
      </c>
      <c r="E5259" s="1931" t="s">
        <v>33</v>
      </c>
      <c r="F5259" s="1930" t="s">
        <v>33</v>
      </c>
      <c r="G5259" s="1932">
        <v>79467</v>
      </c>
      <c r="H5259" s="1930" t="s">
        <v>3872</v>
      </c>
      <c r="I5259" s="1930" t="s">
        <v>3873</v>
      </c>
      <c r="J5259" s="1930" t="s">
        <v>320</v>
      </c>
      <c r="K5259" s="1933">
        <v>12.05</v>
      </c>
      <c r="L5259" s="1930" t="s">
        <v>138</v>
      </c>
    </row>
    <row r="5260" spans="1:12" ht="13.5" x14ac:dyDescent="0.25">
      <c r="A5260" s="1930" t="s">
        <v>4736</v>
      </c>
      <c r="B5260" s="1930" t="s">
        <v>4737</v>
      </c>
      <c r="C5260" s="1930" t="s">
        <v>4747</v>
      </c>
      <c r="D5260" s="1930" t="s">
        <v>4748</v>
      </c>
      <c r="E5260" s="1931">
        <v>79500</v>
      </c>
      <c r="F5260" s="1930" t="s">
        <v>4750</v>
      </c>
      <c r="G5260" s="1932" t="s">
        <v>3874</v>
      </c>
      <c r="H5260" s="1930" t="s">
        <v>3875</v>
      </c>
      <c r="I5260" s="1930" t="s">
        <v>306</v>
      </c>
      <c r="J5260" s="1930" t="s">
        <v>320</v>
      </c>
      <c r="K5260" s="1933">
        <v>18.98</v>
      </c>
      <c r="L5260" s="1930" t="s">
        <v>138</v>
      </c>
    </row>
    <row r="5261" spans="1:12" ht="13.5" x14ac:dyDescent="0.25">
      <c r="A5261" s="1930" t="s">
        <v>4736</v>
      </c>
      <c r="B5261" s="1930" t="s">
        <v>4737</v>
      </c>
      <c r="C5261" s="1930" t="s">
        <v>4747</v>
      </c>
      <c r="D5261" s="1930" t="s">
        <v>4748</v>
      </c>
      <c r="E5261" s="1931" t="s">
        <v>33</v>
      </c>
      <c r="F5261" s="1930" t="s">
        <v>33</v>
      </c>
      <c r="G5261" s="1932">
        <v>84663</v>
      </c>
      <c r="H5261" s="1930" t="s">
        <v>3876</v>
      </c>
      <c r="I5261" s="1930" t="s">
        <v>306</v>
      </c>
      <c r="J5261" s="1930" t="s">
        <v>320</v>
      </c>
      <c r="K5261" s="1933">
        <v>21.85</v>
      </c>
      <c r="L5261" s="1930" t="s">
        <v>138</v>
      </c>
    </row>
    <row r="5262" spans="1:12" ht="13.5" x14ac:dyDescent="0.25">
      <c r="A5262" s="1930" t="s">
        <v>4736</v>
      </c>
      <c r="B5262" s="1930" t="s">
        <v>4737</v>
      </c>
      <c r="C5262" s="1930" t="s">
        <v>4747</v>
      </c>
      <c r="D5262" s="1930" t="s">
        <v>4748</v>
      </c>
      <c r="E5262" s="1931" t="s">
        <v>33</v>
      </c>
      <c r="F5262" s="1930" t="s">
        <v>33</v>
      </c>
      <c r="G5262" s="1932">
        <v>84665</v>
      </c>
      <c r="H5262" s="1930" t="s">
        <v>3877</v>
      </c>
      <c r="I5262" s="1930" t="s">
        <v>306</v>
      </c>
      <c r="J5262" s="1930" t="s">
        <v>320</v>
      </c>
      <c r="K5262" s="1933">
        <v>20.56</v>
      </c>
      <c r="L5262" s="1930" t="s">
        <v>138</v>
      </c>
    </row>
    <row r="5263" spans="1:12" ht="13.5" x14ac:dyDescent="0.25">
      <c r="A5263" s="1930" t="s">
        <v>4736</v>
      </c>
      <c r="B5263" s="1930" t="s">
        <v>4737</v>
      </c>
      <c r="C5263" s="1930" t="s">
        <v>4747</v>
      </c>
      <c r="D5263" s="1930" t="s">
        <v>4748</v>
      </c>
      <c r="E5263" s="1931" t="s">
        <v>33</v>
      </c>
      <c r="F5263" s="1930" t="s">
        <v>33</v>
      </c>
      <c r="G5263" s="1932">
        <v>84666</v>
      </c>
      <c r="H5263" s="1930" t="s">
        <v>3878</v>
      </c>
      <c r="I5263" s="1930" t="s">
        <v>306</v>
      </c>
      <c r="J5263" s="1930" t="s">
        <v>137</v>
      </c>
      <c r="K5263" s="1933">
        <v>19.440000000000001</v>
      </c>
      <c r="L5263" s="1930" t="s">
        <v>138</v>
      </c>
    </row>
    <row r="5264" spans="1:12" ht="13.5" x14ac:dyDescent="0.25">
      <c r="A5264" s="1930" t="s">
        <v>4751</v>
      </c>
      <c r="B5264" s="1930" t="s">
        <v>4752</v>
      </c>
      <c r="C5264" s="1930" t="s">
        <v>4753</v>
      </c>
      <c r="D5264" s="1930" t="s">
        <v>4754</v>
      </c>
      <c r="E5264" s="1931" t="s">
        <v>33</v>
      </c>
      <c r="F5264" s="1930" t="s">
        <v>33</v>
      </c>
      <c r="G5264" s="1932">
        <v>72191</v>
      </c>
      <c r="H5264" s="1930" t="s">
        <v>3879</v>
      </c>
      <c r="I5264" s="1930" t="s">
        <v>306</v>
      </c>
      <c r="J5264" s="1930" t="s">
        <v>320</v>
      </c>
      <c r="K5264" s="1933">
        <v>74.239999999999995</v>
      </c>
      <c r="L5264" s="1930" t="s">
        <v>138</v>
      </c>
    </row>
    <row r="5265" spans="1:12" ht="13.5" x14ac:dyDescent="0.25">
      <c r="A5265" s="1930" t="s">
        <v>4751</v>
      </c>
      <c r="B5265" s="1930" t="s">
        <v>4752</v>
      </c>
      <c r="C5265" s="1930" t="s">
        <v>4753</v>
      </c>
      <c r="D5265" s="1930" t="s">
        <v>4754</v>
      </c>
      <c r="E5265" s="1931">
        <v>73734</v>
      </c>
      <c r="F5265" s="1930" t="s">
        <v>4755</v>
      </c>
      <c r="G5265" s="1932" t="s">
        <v>3880</v>
      </c>
      <c r="H5265" s="1930" t="s">
        <v>3881</v>
      </c>
      <c r="I5265" s="1930" t="s">
        <v>306</v>
      </c>
      <c r="J5265" s="1930" t="s">
        <v>137</v>
      </c>
      <c r="K5265" s="1933">
        <v>160.44999999999999</v>
      </c>
      <c r="L5265" s="1930" t="s">
        <v>138</v>
      </c>
    </row>
    <row r="5266" spans="1:12" ht="13.5" x14ac:dyDescent="0.25">
      <c r="A5266" s="1930" t="s">
        <v>4751</v>
      </c>
      <c r="B5266" s="1930" t="s">
        <v>4752</v>
      </c>
      <c r="C5266" s="1930" t="s">
        <v>4753</v>
      </c>
      <c r="D5266" s="1930" t="s">
        <v>4754</v>
      </c>
      <c r="E5266" s="1931" t="s">
        <v>33</v>
      </c>
      <c r="F5266" s="1930" t="s">
        <v>33</v>
      </c>
      <c r="G5266" s="1932">
        <v>84181</v>
      </c>
      <c r="H5266" s="1930" t="s">
        <v>3882</v>
      </c>
      <c r="I5266" s="1930" t="s">
        <v>306</v>
      </c>
      <c r="J5266" s="1930" t="s">
        <v>137</v>
      </c>
      <c r="K5266" s="1933">
        <v>135.28</v>
      </c>
      <c r="L5266" s="1930" t="s">
        <v>138</v>
      </c>
    </row>
    <row r="5267" spans="1:12" ht="13.5" x14ac:dyDescent="0.25">
      <c r="A5267" s="1930" t="s">
        <v>4751</v>
      </c>
      <c r="B5267" s="1930" t="s">
        <v>4752</v>
      </c>
      <c r="C5267" s="1930" t="s">
        <v>4756</v>
      </c>
      <c r="D5267" s="1930" t="s">
        <v>4757</v>
      </c>
      <c r="E5267" s="1931" t="s">
        <v>33</v>
      </c>
      <c r="F5267" s="1930" t="s">
        <v>33</v>
      </c>
      <c r="G5267" s="1932">
        <v>87246</v>
      </c>
      <c r="H5267" s="1930" t="s">
        <v>3883</v>
      </c>
      <c r="I5267" s="1930" t="s">
        <v>306</v>
      </c>
      <c r="J5267" s="1930" t="s">
        <v>320</v>
      </c>
      <c r="K5267" s="1933">
        <v>38.21</v>
      </c>
      <c r="L5267" s="1930" t="s">
        <v>138</v>
      </c>
    </row>
    <row r="5268" spans="1:12" ht="13.5" x14ac:dyDescent="0.25">
      <c r="A5268" s="1930" t="s">
        <v>4751</v>
      </c>
      <c r="B5268" s="1930" t="s">
        <v>4752</v>
      </c>
      <c r="C5268" s="1930" t="s">
        <v>4756</v>
      </c>
      <c r="D5268" s="1930" t="s">
        <v>4757</v>
      </c>
      <c r="E5268" s="1931" t="s">
        <v>33</v>
      </c>
      <c r="F5268" s="1930" t="s">
        <v>33</v>
      </c>
      <c r="G5268" s="1932">
        <v>87247</v>
      </c>
      <c r="H5268" s="1930" t="s">
        <v>3884</v>
      </c>
      <c r="I5268" s="1930" t="s">
        <v>306</v>
      </c>
      <c r="J5268" s="1930" t="s">
        <v>320</v>
      </c>
      <c r="K5268" s="1933">
        <v>32.729999999999997</v>
      </c>
      <c r="L5268" s="1930" t="s">
        <v>138</v>
      </c>
    </row>
    <row r="5269" spans="1:12" ht="13.5" x14ac:dyDescent="0.25">
      <c r="A5269" s="1930" t="s">
        <v>4751</v>
      </c>
      <c r="B5269" s="1930" t="s">
        <v>4752</v>
      </c>
      <c r="C5269" s="1930" t="s">
        <v>4756</v>
      </c>
      <c r="D5269" s="1930" t="s">
        <v>4757</v>
      </c>
      <c r="E5269" s="1931" t="s">
        <v>33</v>
      </c>
      <c r="F5269" s="1930" t="s">
        <v>33</v>
      </c>
      <c r="G5269" s="1932">
        <v>87248</v>
      </c>
      <c r="H5269" s="1930" t="s">
        <v>3885</v>
      </c>
      <c r="I5269" s="1930" t="s">
        <v>306</v>
      </c>
      <c r="J5269" s="1930" t="s">
        <v>320</v>
      </c>
      <c r="K5269" s="1933">
        <v>28.17</v>
      </c>
      <c r="L5269" s="1930" t="s">
        <v>138</v>
      </c>
    </row>
    <row r="5270" spans="1:12" ht="13.5" x14ac:dyDescent="0.25">
      <c r="A5270" s="1930" t="s">
        <v>4751</v>
      </c>
      <c r="B5270" s="1930" t="s">
        <v>4752</v>
      </c>
      <c r="C5270" s="1930" t="s">
        <v>4756</v>
      </c>
      <c r="D5270" s="1930" t="s">
        <v>4757</v>
      </c>
      <c r="E5270" s="1931" t="s">
        <v>33</v>
      </c>
      <c r="F5270" s="1930" t="s">
        <v>33</v>
      </c>
      <c r="G5270" s="1932">
        <v>87249</v>
      </c>
      <c r="H5270" s="1930" t="s">
        <v>3886</v>
      </c>
      <c r="I5270" s="1930" t="s">
        <v>306</v>
      </c>
      <c r="J5270" s="1930" t="s">
        <v>320</v>
      </c>
      <c r="K5270" s="1933">
        <v>43.32</v>
      </c>
      <c r="L5270" s="1930" t="s">
        <v>138</v>
      </c>
    </row>
    <row r="5271" spans="1:12" ht="13.5" x14ac:dyDescent="0.25">
      <c r="A5271" s="1930" t="s">
        <v>4751</v>
      </c>
      <c r="B5271" s="1930" t="s">
        <v>4752</v>
      </c>
      <c r="C5271" s="1930" t="s">
        <v>4756</v>
      </c>
      <c r="D5271" s="1930" t="s">
        <v>4757</v>
      </c>
      <c r="E5271" s="1931" t="s">
        <v>33</v>
      </c>
      <c r="F5271" s="1930" t="s">
        <v>33</v>
      </c>
      <c r="G5271" s="1932">
        <v>87250</v>
      </c>
      <c r="H5271" s="1930" t="s">
        <v>3887</v>
      </c>
      <c r="I5271" s="1930" t="s">
        <v>306</v>
      </c>
      <c r="J5271" s="1930" t="s">
        <v>320</v>
      </c>
      <c r="K5271" s="1933">
        <v>34.65</v>
      </c>
      <c r="L5271" s="1930" t="s">
        <v>138</v>
      </c>
    </row>
    <row r="5272" spans="1:12" ht="13.5" x14ac:dyDescent="0.25">
      <c r="A5272" s="1930" t="s">
        <v>4751</v>
      </c>
      <c r="B5272" s="1930" t="s">
        <v>4752</v>
      </c>
      <c r="C5272" s="1930" t="s">
        <v>4756</v>
      </c>
      <c r="D5272" s="1930" t="s">
        <v>4757</v>
      </c>
      <c r="E5272" s="1931" t="s">
        <v>33</v>
      </c>
      <c r="F5272" s="1930" t="s">
        <v>33</v>
      </c>
      <c r="G5272" s="1932">
        <v>87251</v>
      </c>
      <c r="H5272" s="1930" t="s">
        <v>3888</v>
      </c>
      <c r="I5272" s="1930" t="s">
        <v>306</v>
      </c>
      <c r="J5272" s="1930" t="s">
        <v>320</v>
      </c>
      <c r="K5272" s="1933">
        <v>28.96</v>
      </c>
      <c r="L5272" s="1930" t="s">
        <v>138</v>
      </c>
    </row>
    <row r="5273" spans="1:12" ht="13.5" x14ac:dyDescent="0.25">
      <c r="A5273" s="1930" t="s">
        <v>4751</v>
      </c>
      <c r="B5273" s="1930" t="s">
        <v>4752</v>
      </c>
      <c r="C5273" s="1930" t="s">
        <v>4756</v>
      </c>
      <c r="D5273" s="1930" t="s">
        <v>4757</v>
      </c>
      <c r="E5273" s="1931" t="s">
        <v>33</v>
      </c>
      <c r="F5273" s="1930" t="s">
        <v>33</v>
      </c>
      <c r="G5273" s="1932">
        <v>87255</v>
      </c>
      <c r="H5273" s="1930" t="s">
        <v>3889</v>
      </c>
      <c r="I5273" s="1930" t="s">
        <v>306</v>
      </c>
      <c r="J5273" s="1930" t="s">
        <v>320</v>
      </c>
      <c r="K5273" s="1933">
        <v>67.540000000000006</v>
      </c>
      <c r="L5273" s="1930" t="s">
        <v>138</v>
      </c>
    </row>
    <row r="5274" spans="1:12" ht="13.5" x14ac:dyDescent="0.25">
      <c r="A5274" s="1930" t="s">
        <v>4751</v>
      </c>
      <c r="B5274" s="1930" t="s">
        <v>4752</v>
      </c>
      <c r="C5274" s="1930" t="s">
        <v>4756</v>
      </c>
      <c r="D5274" s="1930" t="s">
        <v>4757</v>
      </c>
      <c r="E5274" s="1931" t="s">
        <v>33</v>
      </c>
      <c r="F5274" s="1930" t="s">
        <v>33</v>
      </c>
      <c r="G5274" s="1932">
        <v>87256</v>
      </c>
      <c r="H5274" s="1930" t="s">
        <v>3890</v>
      </c>
      <c r="I5274" s="1930" t="s">
        <v>306</v>
      </c>
      <c r="J5274" s="1930" t="s">
        <v>320</v>
      </c>
      <c r="K5274" s="1933">
        <v>57.37</v>
      </c>
      <c r="L5274" s="1930" t="s">
        <v>138</v>
      </c>
    </row>
    <row r="5275" spans="1:12" ht="13.5" x14ac:dyDescent="0.25">
      <c r="A5275" s="1930" t="s">
        <v>4751</v>
      </c>
      <c r="B5275" s="1930" t="s">
        <v>4752</v>
      </c>
      <c r="C5275" s="1930" t="s">
        <v>4756</v>
      </c>
      <c r="D5275" s="1930" t="s">
        <v>4757</v>
      </c>
      <c r="E5275" s="1931" t="s">
        <v>33</v>
      </c>
      <c r="F5275" s="1930" t="s">
        <v>33</v>
      </c>
      <c r="G5275" s="1932">
        <v>87257</v>
      </c>
      <c r="H5275" s="1930" t="s">
        <v>3891</v>
      </c>
      <c r="I5275" s="1930" t="s">
        <v>306</v>
      </c>
      <c r="J5275" s="1930" t="s">
        <v>320</v>
      </c>
      <c r="K5275" s="1933">
        <v>50.73</v>
      </c>
      <c r="L5275" s="1930" t="s">
        <v>138</v>
      </c>
    </row>
    <row r="5276" spans="1:12" ht="13.5" x14ac:dyDescent="0.25">
      <c r="A5276" s="1930" t="s">
        <v>4751</v>
      </c>
      <c r="B5276" s="1930" t="s">
        <v>4752</v>
      </c>
      <c r="C5276" s="1930" t="s">
        <v>4756</v>
      </c>
      <c r="D5276" s="1930" t="s">
        <v>4757</v>
      </c>
      <c r="E5276" s="1931" t="s">
        <v>33</v>
      </c>
      <c r="F5276" s="1930" t="s">
        <v>33</v>
      </c>
      <c r="G5276" s="1932">
        <v>87258</v>
      </c>
      <c r="H5276" s="1930" t="s">
        <v>3892</v>
      </c>
      <c r="I5276" s="1930" t="s">
        <v>306</v>
      </c>
      <c r="J5276" s="1930" t="s">
        <v>320</v>
      </c>
      <c r="K5276" s="1933">
        <v>87.6</v>
      </c>
      <c r="L5276" s="1930" t="s">
        <v>138</v>
      </c>
    </row>
    <row r="5277" spans="1:12" ht="13.5" x14ac:dyDescent="0.25">
      <c r="A5277" s="1930" t="s">
        <v>4751</v>
      </c>
      <c r="B5277" s="1930" t="s">
        <v>4752</v>
      </c>
      <c r="C5277" s="1930" t="s">
        <v>4756</v>
      </c>
      <c r="D5277" s="1930" t="s">
        <v>4757</v>
      </c>
      <c r="E5277" s="1931" t="s">
        <v>33</v>
      </c>
      <c r="F5277" s="1930" t="s">
        <v>33</v>
      </c>
      <c r="G5277" s="1932">
        <v>87259</v>
      </c>
      <c r="H5277" s="1930" t="s">
        <v>3893</v>
      </c>
      <c r="I5277" s="1930" t="s">
        <v>306</v>
      </c>
      <c r="J5277" s="1930" t="s">
        <v>320</v>
      </c>
      <c r="K5277" s="1933">
        <v>77.989999999999995</v>
      </c>
      <c r="L5277" s="1930" t="s">
        <v>138</v>
      </c>
    </row>
    <row r="5278" spans="1:12" ht="13.5" x14ac:dyDescent="0.25">
      <c r="A5278" s="1930" t="s">
        <v>4751</v>
      </c>
      <c r="B5278" s="1930" t="s">
        <v>4752</v>
      </c>
      <c r="C5278" s="1930" t="s">
        <v>4756</v>
      </c>
      <c r="D5278" s="1930" t="s">
        <v>4757</v>
      </c>
      <c r="E5278" s="1931" t="s">
        <v>33</v>
      </c>
      <c r="F5278" s="1930" t="s">
        <v>33</v>
      </c>
      <c r="G5278" s="1932">
        <v>87260</v>
      </c>
      <c r="H5278" s="1930" t="s">
        <v>3894</v>
      </c>
      <c r="I5278" s="1930" t="s">
        <v>306</v>
      </c>
      <c r="J5278" s="1930" t="s">
        <v>320</v>
      </c>
      <c r="K5278" s="1933">
        <v>72.19</v>
      </c>
      <c r="L5278" s="1930" t="s">
        <v>138</v>
      </c>
    </row>
    <row r="5279" spans="1:12" ht="13.5" x14ac:dyDescent="0.25">
      <c r="A5279" s="1930" t="s">
        <v>4751</v>
      </c>
      <c r="B5279" s="1930" t="s">
        <v>4752</v>
      </c>
      <c r="C5279" s="1930" t="s">
        <v>4756</v>
      </c>
      <c r="D5279" s="1930" t="s">
        <v>4757</v>
      </c>
      <c r="E5279" s="1931" t="s">
        <v>33</v>
      </c>
      <c r="F5279" s="1930" t="s">
        <v>33</v>
      </c>
      <c r="G5279" s="1932">
        <v>87261</v>
      </c>
      <c r="H5279" s="1930" t="s">
        <v>3895</v>
      </c>
      <c r="I5279" s="1930" t="s">
        <v>306</v>
      </c>
      <c r="J5279" s="1930" t="s">
        <v>320</v>
      </c>
      <c r="K5279" s="1933">
        <v>100.6</v>
      </c>
      <c r="L5279" s="1930" t="s">
        <v>138</v>
      </c>
    </row>
    <row r="5280" spans="1:12" ht="13.5" x14ac:dyDescent="0.25">
      <c r="A5280" s="1930" t="s">
        <v>4751</v>
      </c>
      <c r="B5280" s="1930" t="s">
        <v>4752</v>
      </c>
      <c r="C5280" s="1930" t="s">
        <v>4756</v>
      </c>
      <c r="D5280" s="1930" t="s">
        <v>4757</v>
      </c>
      <c r="E5280" s="1931" t="s">
        <v>33</v>
      </c>
      <c r="F5280" s="1930" t="s">
        <v>33</v>
      </c>
      <c r="G5280" s="1932">
        <v>87262</v>
      </c>
      <c r="H5280" s="1930" t="s">
        <v>3896</v>
      </c>
      <c r="I5280" s="1930" t="s">
        <v>306</v>
      </c>
      <c r="J5280" s="1930" t="s">
        <v>320</v>
      </c>
      <c r="K5280" s="1933">
        <v>89.63</v>
      </c>
      <c r="L5280" s="1930" t="s">
        <v>138</v>
      </c>
    </row>
    <row r="5281" spans="1:12" ht="13.5" x14ac:dyDescent="0.25">
      <c r="A5281" s="1930" t="s">
        <v>4751</v>
      </c>
      <c r="B5281" s="1930" t="s">
        <v>4752</v>
      </c>
      <c r="C5281" s="1930" t="s">
        <v>4756</v>
      </c>
      <c r="D5281" s="1930" t="s">
        <v>4757</v>
      </c>
      <c r="E5281" s="1931" t="s">
        <v>33</v>
      </c>
      <c r="F5281" s="1930" t="s">
        <v>33</v>
      </c>
      <c r="G5281" s="1932">
        <v>87263</v>
      </c>
      <c r="H5281" s="1930" t="s">
        <v>3897</v>
      </c>
      <c r="I5281" s="1930" t="s">
        <v>306</v>
      </c>
      <c r="J5281" s="1930" t="s">
        <v>320</v>
      </c>
      <c r="K5281" s="1933">
        <v>82.78</v>
      </c>
      <c r="L5281" s="1930" t="s">
        <v>138</v>
      </c>
    </row>
    <row r="5282" spans="1:12" ht="13.5" x14ac:dyDescent="0.25">
      <c r="A5282" s="1930" t="s">
        <v>4751</v>
      </c>
      <c r="B5282" s="1930" t="s">
        <v>4752</v>
      </c>
      <c r="C5282" s="1930" t="s">
        <v>4756</v>
      </c>
      <c r="D5282" s="1930" t="s">
        <v>4757</v>
      </c>
      <c r="E5282" s="1931" t="s">
        <v>33</v>
      </c>
      <c r="F5282" s="1930" t="s">
        <v>33</v>
      </c>
      <c r="G5282" s="1932">
        <v>89046</v>
      </c>
      <c r="H5282" s="1930" t="s">
        <v>3898</v>
      </c>
      <c r="I5282" s="1930" t="s">
        <v>306</v>
      </c>
      <c r="J5282" s="1930" t="s">
        <v>320</v>
      </c>
      <c r="K5282" s="1933">
        <v>32.450000000000003</v>
      </c>
      <c r="L5282" s="1930" t="s">
        <v>138</v>
      </c>
    </row>
    <row r="5283" spans="1:12" ht="13.5" x14ac:dyDescent="0.25">
      <c r="A5283" s="1930" t="s">
        <v>4751</v>
      </c>
      <c r="B5283" s="1930" t="s">
        <v>4752</v>
      </c>
      <c r="C5283" s="1930" t="s">
        <v>4756</v>
      </c>
      <c r="D5283" s="1930" t="s">
        <v>4757</v>
      </c>
      <c r="E5283" s="1931" t="s">
        <v>33</v>
      </c>
      <c r="F5283" s="1930" t="s">
        <v>33</v>
      </c>
      <c r="G5283" s="1932">
        <v>89171</v>
      </c>
      <c r="H5283" s="1930" t="s">
        <v>3899</v>
      </c>
      <c r="I5283" s="1930" t="s">
        <v>306</v>
      </c>
      <c r="J5283" s="1930" t="s">
        <v>320</v>
      </c>
      <c r="K5283" s="1933">
        <v>30.24</v>
      </c>
      <c r="L5283" s="1930" t="s">
        <v>138</v>
      </c>
    </row>
    <row r="5284" spans="1:12" ht="13.5" x14ac:dyDescent="0.25">
      <c r="A5284" s="1930" t="s">
        <v>4751</v>
      </c>
      <c r="B5284" s="1930" t="s">
        <v>4752</v>
      </c>
      <c r="C5284" s="1930" t="s">
        <v>4756</v>
      </c>
      <c r="D5284" s="1930" t="s">
        <v>4757</v>
      </c>
      <c r="E5284" s="1931" t="s">
        <v>33</v>
      </c>
      <c r="F5284" s="1930" t="s">
        <v>33</v>
      </c>
      <c r="G5284" s="1932">
        <v>93389</v>
      </c>
      <c r="H5284" s="1930" t="s">
        <v>3900</v>
      </c>
      <c r="I5284" s="1930" t="s">
        <v>306</v>
      </c>
      <c r="J5284" s="1930" t="s">
        <v>320</v>
      </c>
      <c r="K5284" s="1933">
        <v>34.979999999999997</v>
      </c>
      <c r="L5284" s="1930" t="s">
        <v>138</v>
      </c>
    </row>
    <row r="5285" spans="1:12" ht="13.5" x14ac:dyDescent="0.25">
      <c r="A5285" s="1930" t="s">
        <v>4751</v>
      </c>
      <c r="B5285" s="1930" t="s">
        <v>4752</v>
      </c>
      <c r="C5285" s="1930" t="s">
        <v>4756</v>
      </c>
      <c r="D5285" s="1930" t="s">
        <v>4757</v>
      </c>
      <c r="E5285" s="1931" t="s">
        <v>33</v>
      </c>
      <c r="F5285" s="1930" t="s">
        <v>33</v>
      </c>
      <c r="G5285" s="1932">
        <v>93390</v>
      </c>
      <c r="H5285" s="1930" t="s">
        <v>3901</v>
      </c>
      <c r="I5285" s="1930" t="s">
        <v>306</v>
      </c>
      <c r="J5285" s="1930" t="s">
        <v>320</v>
      </c>
      <c r="K5285" s="1933">
        <v>29.56</v>
      </c>
      <c r="L5285" s="1930" t="s">
        <v>138</v>
      </c>
    </row>
    <row r="5286" spans="1:12" ht="13.5" x14ac:dyDescent="0.25">
      <c r="A5286" s="1930" t="s">
        <v>4751</v>
      </c>
      <c r="B5286" s="1930" t="s">
        <v>4752</v>
      </c>
      <c r="C5286" s="1930" t="s">
        <v>4756</v>
      </c>
      <c r="D5286" s="1930" t="s">
        <v>4757</v>
      </c>
      <c r="E5286" s="1931" t="s">
        <v>33</v>
      </c>
      <c r="F5286" s="1930" t="s">
        <v>33</v>
      </c>
      <c r="G5286" s="1932">
        <v>93391</v>
      </c>
      <c r="H5286" s="1930" t="s">
        <v>3902</v>
      </c>
      <c r="I5286" s="1930" t="s">
        <v>306</v>
      </c>
      <c r="J5286" s="1930" t="s">
        <v>320</v>
      </c>
      <c r="K5286" s="1933">
        <v>25</v>
      </c>
      <c r="L5286" s="1930" t="s">
        <v>138</v>
      </c>
    </row>
    <row r="5287" spans="1:12" ht="13.5" x14ac:dyDescent="0.25">
      <c r="A5287" s="1930" t="s">
        <v>4751</v>
      </c>
      <c r="B5287" s="1930" t="s">
        <v>4752</v>
      </c>
      <c r="C5287" s="1930" t="s">
        <v>4758</v>
      </c>
      <c r="D5287" s="1930" t="s">
        <v>4759</v>
      </c>
      <c r="E5287" s="1931">
        <v>73743</v>
      </c>
      <c r="F5287" s="1930" t="s">
        <v>4760</v>
      </c>
      <c r="G5287" s="1932" t="s">
        <v>3903</v>
      </c>
      <c r="H5287" s="1930" t="s">
        <v>3904</v>
      </c>
      <c r="I5287" s="1930" t="s">
        <v>306</v>
      </c>
      <c r="J5287" s="1930" t="s">
        <v>320</v>
      </c>
      <c r="K5287" s="1933">
        <v>186.77</v>
      </c>
      <c r="L5287" s="1930" t="s">
        <v>138</v>
      </c>
    </row>
    <row r="5288" spans="1:12" ht="13.5" x14ac:dyDescent="0.25">
      <c r="A5288" s="1930" t="s">
        <v>4751</v>
      </c>
      <c r="B5288" s="1930" t="s">
        <v>4752</v>
      </c>
      <c r="C5288" s="1930" t="s">
        <v>4758</v>
      </c>
      <c r="D5288" s="1930" t="s">
        <v>4759</v>
      </c>
      <c r="E5288" s="1931">
        <v>73921</v>
      </c>
      <c r="F5288" s="1930" t="s">
        <v>4761</v>
      </c>
      <c r="G5288" s="1932" t="s">
        <v>3905</v>
      </c>
      <c r="H5288" s="1930" t="s">
        <v>3906</v>
      </c>
      <c r="I5288" s="1930" t="s">
        <v>306</v>
      </c>
      <c r="J5288" s="1930" t="s">
        <v>320</v>
      </c>
      <c r="K5288" s="1933">
        <v>38.83</v>
      </c>
      <c r="L5288" s="1930" t="s">
        <v>138</v>
      </c>
    </row>
    <row r="5289" spans="1:12" ht="13.5" x14ac:dyDescent="0.25">
      <c r="A5289" s="1930" t="s">
        <v>4751</v>
      </c>
      <c r="B5289" s="1930" t="s">
        <v>4752</v>
      </c>
      <c r="C5289" s="1930" t="s">
        <v>4758</v>
      </c>
      <c r="D5289" s="1930" t="s">
        <v>4759</v>
      </c>
      <c r="E5289" s="1931" t="s">
        <v>33</v>
      </c>
      <c r="F5289" s="1930" t="s">
        <v>33</v>
      </c>
      <c r="G5289" s="1932">
        <v>84183</v>
      </c>
      <c r="H5289" s="1930" t="s">
        <v>3907</v>
      </c>
      <c r="I5289" s="1930" t="s">
        <v>306</v>
      </c>
      <c r="J5289" s="1930" t="s">
        <v>320</v>
      </c>
      <c r="K5289" s="1933">
        <v>135.75</v>
      </c>
      <c r="L5289" s="1930" t="s">
        <v>138</v>
      </c>
    </row>
    <row r="5290" spans="1:12" ht="13.5" x14ac:dyDescent="0.25">
      <c r="A5290" s="1930" t="s">
        <v>4751</v>
      </c>
      <c r="B5290" s="1930" t="s">
        <v>4752</v>
      </c>
      <c r="C5290" s="1930" t="s">
        <v>4758</v>
      </c>
      <c r="D5290" s="1930" t="s">
        <v>4759</v>
      </c>
      <c r="E5290" s="1931" t="s">
        <v>33</v>
      </c>
      <c r="F5290" s="1930" t="s">
        <v>33</v>
      </c>
      <c r="G5290" s="1932">
        <v>98670</v>
      </c>
      <c r="H5290" s="1930" t="s">
        <v>5635</v>
      </c>
      <c r="I5290" s="1930" t="s">
        <v>306</v>
      </c>
      <c r="J5290" s="1930" t="s">
        <v>137</v>
      </c>
      <c r="K5290" s="1933">
        <v>124.28</v>
      </c>
      <c r="L5290" s="1930" t="s">
        <v>138</v>
      </c>
    </row>
    <row r="5291" spans="1:12" ht="13.5" x14ac:dyDescent="0.25">
      <c r="A5291" s="1930" t="s">
        <v>4751</v>
      </c>
      <c r="B5291" s="1930" t="s">
        <v>4752</v>
      </c>
      <c r="C5291" s="1930" t="s">
        <v>4758</v>
      </c>
      <c r="D5291" s="1930" t="s">
        <v>4759</v>
      </c>
      <c r="E5291" s="1931" t="s">
        <v>33</v>
      </c>
      <c r="F5291" s="1930" t="s">
        <v>33</v>
      </c>
      <c r="G5291" s="1932">
        <v>98671</v>
      </c>
      <c r="H5291" s="1930" t="s">
        <v>5636</v>
      </c>
      <c r="I5291" s="1930" t="s">
        <v>306</v>
      </c>
      <c r="J5291" s="1930" t="s">
        <v>320</v>
      </c>
      <c r="K5291" s="1933">
        <v>328.79</v>
      </c>
      <c r="L5291" s="1930" t="s">
        <v>138</v>
      </c>
    </row>
    <row r="5292" spans="1:12" ht="13.5" x14ac:dyDescent="0.25">
      <c r="A5292" s="1930" t="s">
        <v>4751</v>
      </c>
      <c r="B5292" s="1930" t="s">
        <v>4752</v>
      </c>
      <c r="C5292" s="1930" t="s">
        <v>4758</v>
      </c>
      <c r="D5292" s="1930" t="s">
        <v>4759</v>
      </c>
      <c r="E5292" s="1931" t="s">
        <v>33</v>
      </c>
      <c r="F5292" s="1930" t="s">
        <v>33</v>
      </c>
      <c r="G5292" s="1932">
        <v>98672</v>
      </c>
      <c r="H5292" s="1930" t="s">
        <v>5637</v>
      </c>
      <c r="I5292" s="1930" t="s">
        <v>306</v>
      </c>
      <c r="J5292" s="1930" t="s">
        <v>320</v>
      </c>
      <c r="K5292" s="1933">
        <v>283.5</v>
      </c>
      <c r="L5292" s="1930" t="s">
        <v>138</v>
      </c>
    </row>
    <row r="5293" spans="1:12" ht="13.5" x14ac:dyDescent="0.25">
      <c r="A5293" s="1930" t="s">
        <v>4751</v>
      </c>
      <c r="B5293" s="1930" t="s">
        <v>4752</v>
      </c>
      <c r="C5293" s="1930" t="s">
        <v>4758</v>
      </c>
      <c r="D5293" s="1930" t="s">
        <v>4759</v>
      </c>
      <c r="E5293" s="1931" t="s">
        <v>33</v>
      </c>
      <c r="F5293" s="1930" t="s">
        <v>33</v>
      </c>
      <c r="G5293" s="1932">
        <v>98673</v>
      </c>
      <c r="H5293" s="1930" t="s">
        <v>5638</v>
      </c>
      <c r="I5293" s="1930" t="s">
        <v>306</v>
      </c>
      <c r="J5293" s="1930" t="s">
        <v>137</v>
      </c>
      <c r="K5293" s="1933">
        <v>135.07</v>
      </c>
      <c r="L5293" s="1930" t="s">
        <v>138</v>
      </c>
    </row>
    <row r="5294" spans="1:12" ht="13.5" x14ac:dyDescent="0.25">
      <c r="A5294" s="1930" t="s">
        <v>4751</v>
      </c>
      <c r="B5294" s="1930" t="s">
        <v>4752</v>
      </c>
      <c r="C5294" s="1930" t="s">
        <v>4758</v>
      </c>
      <c r="D5294" s="1930" t="s">
        <v>4759</v>
      </c>
      <c r="E5294" s="1931" t="s">
        <v>33</v>
      </c>
      <c r="F5294" s="1930" t="s">
        <v>33</v>
      </c>
      <c r="G5294" s="1932">
        <v>98679</v>
      </c>
      <c r="H5294" s="1930" t="s">
        <v>5639</v>
      </c>
      <c r="I5294" s="1930" t="s">
        <v>306</v>
      </c>
      <c r="J5294" s="1930" t="s">
        <v>320</v>
      </c>
      <c r="K5294" s="1933">
        <v>24.31</v>
      </c>
      <c r="L5294" s="1930" t="s">
        <v>138</v>
      </c>
    </row>
    <row r="5295" spans="1:12" ht="13.5" x14ac:dyDescent="0.25">
      <c r="A5295" s="1930" t="s">
        <v>4751</v>
      </c>
      <c r="B5295" s="1930" t="s">
        <v>4752</v>
      </c>
      <c r="C5295" s="1930" t="s">
        <v>4758</v>
      </c>
      <c r="D5295" s="1930" t="s">
        <v>4759</v>
      </c>
      <c r="E5295" s="1931" t="s">
        <v>33</v>
      </c>
      <c r="F5295" s="1930" t="s">
        <v>33</v>
      </c>
      <c r="G5295" s="1932">
        <v>98680</v>
      </c>
      <c r="H5295" s="1930" t="s">
        <v>5640</v>
      </c>
      <c r="I5295" s="1930" t="s">
        <v>306</v>
      </c>
      <c r="J5295" s="1930" t="s">
        <v>320</v>
      </c>
      <c r="K5295" s="1933">
        <v>30.37</v>
      </c>
      <c r="L5295" s="1930" t="s">
        <v>138</v>
      </c>
    </row>
    <row r="5296" spans="1:12" ht="13.5" x14ac:dyDescent="0.25">
      <c r="A5296" s="1930" t="s">
        <v>4751</v>
      </c>
      <c r="B5296" s="1930" t="s">
        <v>4752</v>
      </c>
      <c r="C5296" s="1930" t="s">
        <v>4758</v>
      </c>
      <c r="D5296" s="1930" t="s">
        <v>4759</v>
      </c>
      <c r="E5296" s="1931" t="s">
        <v>33</v>
      </c>
      <c r="F5296" s="1930" t="s">
        <v>33</v>
      </c>
      <c r="G5296" s="1932">
        <v>98681</v>
      </c>
      <c r="H5296" s="1930" t="s">
        <v>5641</v>
      </c>
      <c r="I5296" s="1930" t="s">
        <v>306</v>
      </c>
      <c r="J5296" s="1930" t="s">
        <v>320</v>
      </c>
      <c r="K5296" s="1933">
        <v>22.56</v>
      </c>
      <c r="L5296" s="1930" t="s">
        <v>138</v>
      </c>
    </row>
    <row r="5297" spans="1:12" ht="13.5" x14ac:dyDescent="0.25">
      <c r="A5297" s="1930" t="s">
        <v>4751</v>
      </c>
      <c r="B5297" s="1930" t="s">
        <v>4752</v>
      </c>
      <c r="C5297" s="1930" t="s">
        <v>4758</v>
      </c>
      <c r="D5297" s="1930" t="s">
        <v>4759</v>
      </c>
      <c r="E5297" s="1931" t="s">
        <v>33</v>
      </c>
      <c r="F5297" s="1930" t="s">
        <v>33</v>
      </c>
      <c r="G5297" s="1932">
        <v>98682</v>
      </c>
      <c r="H5297" s="1930" t="s">
        <v>5642</v>
      </c>
      <c r="I5297" s="1930" t="s">
        <v>306</v>
      </c>
      <c r="J5297" s="1930" t="s">
        <v>320</v>
      </c>
      <c r="K5297" s="1933">
        <v>28.61</v>
      </c>
      <c r="L5297" s="1930" t="s">
        <v>138</v>
      </c>
    </row>
    <row r="5298" spans="1:12" ht="13.5" x14ac:dyDescent="0.25">
      <c r="A5298" s="1930" t="s">
        <v>4751</v>
      </c>
      <c r="B5298" s="1930" t="s">
        <v>4752</v>
      </c>
      <c r="C5298" s="1930" t="s">
        <v>4758</v>
      </c>
      <c r="D5298" s="1930" t="s">
        <v>4759</v>
      </c>
      <c r="E5298" s="1931" t="s">
        <v>33</v>
      </c>
      <c r="F5298" s="1930" t="s">
        <v>33</v>
      </c>
      <c r="G5298" s="1932">
        <v>98685</v>
      </c>
      <c r="H5298" s="1930" t="s">
        <v>5643</v>
      </c>
      <c r="I5298" s="1930" t="s">
        <v>136</v>
      </c>
      <c r="J5298" s="1930" t="s">
        <v>320</v>
      </c>
      <c r="K5298" s="1933">
        <v>59.71</v>
      </c>
      <c r="L5298" s="1930" t="s">
        <v>138</v>
      </c>
    </row>
    <row r="5299" spans="1:12" ht="13.5" x14ac:dyDescent="0.25">
      <c r="A5299" s="1930" t="s">
        <v>4751</v>
      </c>
      <c r="B5299" s="1930" t="s">
        <v>4752</v>
      </c>
      <c r="C5299" s="1930" t="s">
        <v>4758</v>
      </c>
      <c r="D5299" s="1930" t="s">
        <v>4759</v>
      </c>
      <c r="E5299" s="1931" t="s">
        <v>33</v>
      </c>
      <c r="F5299" s="1930" t="s">
        <v>33</v>
      </c>
      <c r="G5299" s="1932">
        <v>98686</v>
      </c>
      <c r="H5299" s="1930" t="s">
        <v>5644</v>
      </c>
      <c r="I5299" s="1930" t="s">
        <v>136</v>
      </c>
      <c r="J5299" s="1930" t="s">
        <v>137</v>
      </c>
      <c r="K5299" s="1933">
        <v>30.16</v>
      </c>
      <c r="L5299" s="1930" t="s">
        <v>138</v>
      </c>
    </row>
    <row r="5300" spans="1:12" ht="13.5" x14ac:dyDescent="0.25">
      <c r="A5300" s="1930" t="s">
        <v>4751</v>
      </c>
      <c r="B5300" s="1930" t="s">
        <v>4752</v>
      </c>
      <c r="C5300" s="1930" t="s">
        <v>4758</v>
      </c>
      <c r="D5300" s="1930" t="s">
        <v>4759</v>
      </c>
      <c r="E5300" s="1931" t="s">
        <v>33</v>
      </c>
      <c r="F5300" s="1930" t="s">
        <v>33</v>
      </c>
      <c r="G5300" s="1932">
        <v>98688</v>
      </c>
      <c r="H5300" s="1930" t="s">
        <v>5645</v>
      </c>
      <c r="I5300" s="1930" t="s">
        <v>136</v>
      </c>
      <c r="J5300" s="1930" t="s">
        <v>320</v>
      </c>
      <c r="K5300" s="1933">
        <v>35.200000000000003</v>
      </c>
      <c r="L5300" s="1930" t="s">
        <v>138</v>
      </c>
    </row>
    <row r="5301" spans="1:12" ht="13.5" x14ac:dyDescent="0.25">
      <c r="A5301" s="1930" t="s">
        <v>4751</v>
      </c>
      <c r="B5301" s="1930" t="s">
        <v>4752</v>
      </c>
      <c r="C5301" s="1930" t="s">
        <v>4758</v>
      </c>
      <c r="D5301" s="1930" t="s">
        <v>4759</v>
      </c>
      <c r="E5301" s="1931" t="s">
        <v>33</v>
      </c>
      <c r="F5301" s="1930" t="s">
        <v>33</v>
      </c>
      <c r="G5301" s="1932">
        <v>98689</v>
      </c>
      <c r="H5301" s="1930" t="s">
        <v>5646</v>
      </c>
      <c r="I5301" s="1930" t="s">
        <v>136</v>
      </c>
      <c r="J5301" s="1930" t="s">
        <v>320</v>
      </c>
      <c r="K5301" s="1933">
        <v>84.46</v>
      </c>
      <c r="L5301" s="1930" t="s">
        <v>138</v>
      </c>
    </row>
    <row r="5302" spans="1:12" ht="13.5" x14ac:dyDescent="0.25">
      <c r="A5302" s="1930" t="s">
        <v>4751</v>
      </c>
      <c r="B5302" s="1930" t="s">
        <v>4752</v>
      </c>
      <c r="C5302" s="1930" t="s">
        <v>4762</v>
      </c>
      <c r="D5302" s="1930" t="s">
        <v>4763</v>
      </c>
      <c r="E5302" s="1931" t="s">
        <v>33</v>
      </c>
      <c r="F5302" s="1930" t="s">
        <v>33</v>
      </c>
      <c r="G5302" s="1932">
        <v>72187</v>
      </c>
      <c r="H5302" s="1930" t="s">
        <v>3908</v>
      </c>
      <c r="I5302" s="1930" t="s">
        <v>306</v>
      </c>
      <c r="J5302" s="1930" t="s">
        <v>320</v>
      </c>
      <c r="K5302" s="1933">
        <v>174.55</v>
      </c>
      <c r="L5302" s="1930" t="s">
        <v>138</v>
      </c>
    </row>
    <row r="5303" spans="1:12" ht="13.5" x14ac:dyDescent="0.25">
      <c r="A5303" s="1930" t="s">
        <v>4751</v>
      </c>
      <c r="B5303" s="1930" t="s">
        <v>4752</v>
      </c>
      <c r="C5303" s="1930" t="s">
        <v>4762</v>
      </c>
      <c r="D5303" s="1930" t="s">
        <v>4763</v>
      </c>
      <c r="E5303" s="1931" t="s">
        <v>33</v>
      </c>
      <c r="F5303" s="1930" t="s">
        <v>33</v>
      </c>
      <c r="G5303" s="1932">
        <v>72188</v>
      </c>
      <c r="H5303" s="1930" t="s">
        <v>3909</v>
      </c>
      <c r="I5303" s="1930" t="s">
        <v>306</v>
      </c>
      <c r="J5303" s="1930" t="s">
        <v>320</v>
      </c>
      <c r="K5303" s="1933">
        <v>174.55</v>
      </c>
      <c r="L5303" s="1930" t="s">
        <v>138</v>
      </c>
    </row>
    <row r="5304" spans="1:12" ht="13.5" x14ac:dyDescent="0.25">
      <c r="A5304" s="1930" t="s">
        <v>4751</v>
      </c>
      <c r="B5304" s="1930" t="s">
        <v>4752</v>
      </c>
      <c r="C5304" s="1930" t="s">
        <v>4762</v>
      </c>
      <c r="D5304" s="1930" t="s">
        <v>4763</v>
      </c>
      <c r="E5304" s="1931">
        <v>73876</v>
      </c>
      <c r="F5304" s="1930" t="s">
        <v>4764</v>
      </c>
      <c r="G5304" s="1932" t="s">
        <v>3910</v>
      </c>
      <c r="H5304" s="1930" t="s">
        <v>3911</v>
      </c>
      <c r="I5304" s="1930" t="s">
        <v>306</v>
      </c>
      <c r="J5304" s="1930" t="s">
        <v>320</v>
      </c>
      <c r="K5304" s="1933">
        <v>161.33000000000001</v>
      </c>
      <c r="L5304" s="1930" t="s">
        <v>138</v>
      </c>
    </row>
    <row r="5305" spans="1:12" ht="13.5" x14ac:dyDescent="0.25">
      <c r="A5305" s="1930" t="s">
        <v>4751</v>
      </c>
      <c r="B5305" s="1930" t="s">
        <v>4752</v>
      </c>
      <c r="C5305" s="1930" t="s">
        <v>4762</v>
      </c>
      <c r="D5305" s="1930" t="s">
        <v>4763</v>
      </c>
      <c r="E5305" s="1931" t="s">
        <v>33</v>
      </c>
      <c r="F5305" s="1930" t="s">
        <v>33</v>
      </c>
      <c r="G5305" s="1932">
        <v>84186</v>
      </c>
      <c r="H5305" s="1930" t="s">
        <v>3912</v>
      </c>
      <c r="I5305" s="1930" t="s">
        <v>306</v>
      </c>
      <c r="J5305" s="1930" t="s">
        <v>320</v>
      </c>
      <c r="K5305" s="1933">
        <v>71.42</v>
      </c>
      <c r="L5305" s="1930" t="s">
        <v>138</v>
      </c>
    </row>
    <row r="5306" spans="1:12" ht="13.5" x14ac:dyDescent="0.25">
      <c r="A5306" s="1930" t="s">
        <v>4751</v>
      </c>
      <c r="B5306" s="1930" t="s">
        <v>4752</v>
      </c>
      <c r="C5306" s="1930" t="s">
        <v>4762</v>
      </c>
      <c r="D5306" s="1930" t="s">
        <v>4763</v>
      </c>
      <c r="E5306" s="1931" t="s">
        <v>33</v>
      </c>
      <c r="F5306" s="1930" t="s">
        <v>33</v>
      </c>
      <c r="G5306" s="1932">
        <v>84187</v>
      </c>
      <c r="H5306" s="1930" t="s">
        <v>3913</v>
      </c>
      <c r="I5306" s="1930" t="s">
        <v>306</v>
      </c>
      <c r="J5306" s="1930" t="s">
        <v>320</v>
      </c>
      <c r="K5306" s="1933">
        <v>15.96</v>
      </c>
      <c r="L5306" s="1930" t="s">
        <v>138</v>
      </c>
    </row>
    <row r="5307" spans="1:12" ht="13.5" x14ac:dyDescent="0.25">
      <c r="A5307" s="1930" t="s">
        <v>4751</v>
      </c>
      <c r="B5307" s="1930" t="s">
        <v>4752</v>
      </c>
      <c r="C5307" s="1930" t="s">
        <v>4765</v>
      </c>
      <c r="D5307" s="1930" t="s">
        <v>4766</v>
      </c>
      <c r="E5307" s="1931" t="s">
        <v>33</v>
      </c>
      <c r="F5307" s="1930" t="s">
        <v>33</v>
      </c>
      <c r="G5307" s="1932">
        <v>72815</v>
      </c>
      <c r="H5307" s="1930" t="s">
        <v>3914</v>
      </c>
      <c r="I5307" s="1930" t="s">
        <v>306</v>
      </c>
      <c r="J5307" s="1930" t="s">
        <v>320</v>
      </c>
      <c r="K5307" s="1933">
        <v>48.77</v>
      </c>
      <c r="L5307" s="1930" t="s">
        <v>138</v>
      </c>
    </row>
    <row r="5308" spans="1:12" ht="13.5" x14ac:dyDescent="0.25">
      <c r="A5308" s="1930" t="s">
        <v>4751</v>
      </c>
      <c r="B5308" s="1930" t="s">
        <v>4752</v>
      </c>
      <c r="C5308" s="1930" t="s">
        <v>4767</v>
      </c>
      <c r="D5308" s="1930" t="s">
        <v>4768</v>
      </c>
      <c r="E5308" s="1931" t="s">
        <v>33</v>
      </c>
      <c r="F5308" s="1930" t="s">
        <v>33</v>
      </c>
      <c r="G5308" s="1932">
        <v>84191</v>
      </c>
      <c r="H5308" s="1930" t="s">
        <v>3915</v>
      </c>
      <c r="I5308" s="1930" t="s">
        <v>306</v>
      </c>
      <c r="J5308" s="1930" t="s">
        <v>137</v>
      </c>
      <c r="K5308" s="1933">
        <v>106.93</v>
      </c>
      <c r="L5308" s="1930" t="s">
        <v>138</v>
      </c>
    </row>
    <row r="5309" spans="1:12" ht="13.5" x14ac:dyDescent="0.25">
      <c r="A5309" s="1930" t="s">
        <v>4751</v>
      </c>
      <c r="B5309" s="1930" t="s">
        <v>4752</v>
      </c>
      <c r="C5309" s="1930" t="s">
        <v>4769</v>
      </c>
      <c r="D5309" s="1930" t="s">
        <v>4770</v>
      </c>
      <c r="E5309" s="1931">
        <v>74111</v>
      </c>
      <c r="F5309" s="1930" t="s">
        <v>4771</v>
      </c>
      <c r="G5309" s="1932" t="s">
        <v>3916</v>
      </c>
      <c r="H5309" s="1930" t="s">
        <v>3917</v>
      </c>
      <c r="I5309" s="1930" t="s">
        <v>136</v>
      </c>
      <c r="J5309" s="1930" t="s">
        <v>320</v>
      </c>
      <c r="K5309" s="1933">
        <v>25</v>
      </c>
      <c r="L5309" s="1930" t="s">
        <v>138</v>
      </c>
    </row>
    <row r="5310" spans="1:12" ht="13.5" x14ac:dyDescent="0.25">
      <c r="A5310" s="1930" t="s">
        <v>4751</v>
      </c>
      <c r="B5310" s="1930" t="s">
        <v>4752</v>
      </c>
      <c r="C5310" s="1930" t="s">
        <v>4769</v>
      </c>
      <c r="D5310" s="1930" t="s">
        <v>4770</v>
      </c>
      <c r="E5310" s="1931" t="s">
        <v>33</v>
      </c>
      <c r="F5310" s="1930" t="s">
        <v>33</v>
      </c>
      <c r="G5310" s="1932">
        <v>98695</v>
      </c>
      <c r="H5310" s="1930" t="s">
        <v>5647</v>
      </c>
      <c r="I5310" s="1930" t="s">
        <v>136</v>
      </c>
      <c r="J5310" s="1930" t="s">
        <v>320</v>
      </c>
      <c r="K5310" s="1933">
        <v>52.25</v>
      </c>
      <c r="L5310" s="1930" t="s">
        <v>138</v>
      </c>
    </row>
    <row r="5311" spans="1:12" ht="13.5" x14ac:dyDescent="0.25">
      <c r="A5311" s="1930" t="s">
        <v>4751</v>
      </c>
      <c r="B5311" s="1930" t="s">
        <v>4752</v>
      </c>
      <c r="C5311" s="1930" t="s">
        <v>4769</v>
      </c>
      <c r="D5311" s="1930" t="s">
        <v>4770</v>
      </c>
      <c r="E5311" s="1931" t="s">
        <v>33</v>
      </c>
      <c r="F5311" s="1930" t="s">
        <v>33</v>
      </c>
      <c r="G5311" s="1932">
        <v>98697</v>
      </c>
      <c r="H5311" s="1930" t="s">
        <v>5648</v>
      </c>
      <c r="I5311" s="1930" t="s">
        <v>136</v>
      </c>
      <c r="J5311" s="1930" t="s">
        <v>320</v>
      </c>
      <c r="K5311" s="1933">
        <v>34.24</v>
      </c>
      <c r="L5311" s="1930" t="s">
        <v>138</v>
      </c>
    </row>
    <row r="5312" spans="1:12" ht="13.5" x14ac:dyDescent="0.25">
      <c r="A5312" s="1930" t="s">
        <v>4751</v>
      </c>
      <c r="B5312" s="1930" t="s">
        <v>4752</v>
      </c>
      <c r="C5312" s="1930" t="s">
        <v>4772</v>
      </c>
      <c r="D5312" s="1930" t="s">
        <v>4773</v>
      </c>
      <c r="E5312" s="1931">
        <v>73886</v>
      </c>
      <c r="F5312" s="1930" t="s">
        <v>4774</v>
      </c>
      <c r="G5312" s="1932" t="s">
        <v>3918</v>
      </c>
      <c r="H5312" s="1930" t="s">
        <v>3919</v>
      </c>
      <c r="I5312" s="1930" t="s">
        <v>136</v>
      </c>
      <c r="J5312" s="1930" t="s">
        <v>137</v>
      </c>
      <c r="K5312" s="1933">
        <v>16.93</v>
      </c>
      <c r="L5312" s="1930" t="s">
        <v>138</v>
      </c>
    </row>
    <row r="5313" spans="1:12" ht="13.5" x14ac:dyDescent="0.25">
      <c r="A5313" s="1930" t="s">
        <v>4751</v>
      </c>
      <c r="B5313" s="1930" t="s">
        <v>4752</v>
      </c>
      <c r="C5313" s="1930" t="s">
        <v>4772</v>
      </c>
      <c r="D5313" s="1930" t="s">
        <v>4773</v>
      </c>
      <c r="E5313" s="1931" t="s">
        <v>33</v>
      </c>
      <c r="F5313" s="1930" t="s">
        <v>33</v>
      </c>
      <c r="G5313" s="1932">
        <v>84162</v>
      </c>
      <c r="H5313" s="1930" t="s">
        <v>3920</v>
      </c>
      <c r="I5313" s="1930" t="s">
        <v>136</v>
      </c>
      <c r="J5313" s="1930" t="s">
        <v>137</v>
      </c>
      <c r="K5313" s="1933">
        <v>17.3</v>
      </c>
      <c r="L5313" s="1930" t="s">
        <v>138</v>
      </c>
    </row>
    <row r="5314" spans="1:12" ht="13.5" x14ac:dyDescent="0.25">
      <c r="A5314" s="1930" t="s">
        <v>4751</v>
      </c>
      <c r="B5314" s="1930" t="s">
        <v>4752</v>
      </c>
      <c r="C5314" s="1930" t="s">
        <v>4775</v>
      </c>
      <c r="D5314" s="1930" t="s">
        <v>4776</v>
      </c>
      <c r="E5314" s="1931" t="s">
        <v>33</v>
      </c>
      <c r="F5314" s="1930" t="s">
        <v>33</v>
      </c>
      <c r="G5314" s="1932">
        <v>88648</v>
      </c>
      <c r="H5314" s="1930" t="s">
        <v>3921</v>
      </c>
      <c r="I5314" s="1930" t="s">
        <v>136</v>
      </c>
      <c r="J5314" s="1930" t="s">
        <v>320</v>
      </c>
      <c r="K5314" s="1933">
        <v>4.46</v>
      </c>
      <c r="L5314" s="1930" t="s">
        <v>138</v>
      </c>
    </row>
    <row r="5315" spans="1:12" ht="13.5" x14ac:dyDescent="0.25">
      <c r="A5315" s="1930" t="s">
        <v>4751</v>
      </c>
      <c r="B5315" s="1930" t="s">
        <v>4752</v>
      </c>
      <c r="C5315" s="1930" t="s">
        <v>4775</v>
      </c>
      <c r="D5315" s="1930" t="s">
        <v>4776</v>
      </c>
      <c r="E5315" s="1931" t="s">
        <v>33</v>
      </c>
      <c r="F5315" s="1930" t="s">
        <v>33</v>
      </c>
      <c r="G5315" s="1932">
        <v>88649</v>
      </c>
      <c r="H5315" s="1930" t="s">
        <v>3922</v>
      </c>
      <c r="I5315" s="1930" t="s">
        <v>136</v>
      </c>
      <c r="J5315" s="1930" t="s">
        <v>320</v>
      </c>
      <c r="K5315" s="1933">
        <v>5.01</v>
      </c>
      <c r="L5315" s="1930" t="s">
        <v>138</v>
      </c>
    </row>
    <row r="5316" spans="1:12" ht="13.5" x14ac:dyDescent="0.25">
      <c r="A5316" s="1930" t="s">
        <v>4751</v>
      </c>
      <c r="B5316" s="1930" t="s">
        <v>4752</v>
      </c>
      <c r="C5316" s="1930" t="s">
        <v>4775</v>
      </c>
      <c r="D5316" s="1930" t="s">
        <v>4776</v>
      </c>
      <c r="E5316" s="1931" t="s">
        <v>33</v>
      </c>
      <c r="F5316" s="1930" t="s">
        <v>33</v>
      </c>
      <c r="G5316" s="1932">
        <v>88650</v>
      </c>
      <c r="H5316" s="1930" t="s">
        <v>3923</v>
      </c>
      <c r="I5316" s="1930" t="s">
        <v>136</v>
      </c>
      <c r="J5316" s="1930" t="s">
        <v>320</v>
      </c>
      <c r="K5316" s="1933">
        <v>9.31</v>
      </c>
      <c r="L5316" s="1930" t="s">
        <v>138</v>
      </c>
    </row>
    <row r="5317" spans="1:12" ht="13.5" x14ac:dyDescent="0.25">
      <c r="A5317" s="1930" t="s">
        <v>4751</v>
      </c>
      <c r="B5317" s="1930" t="s">
        <v>4752</v>
      </c>
      <c r="C5317" s="1930" t="s">
        <v>4775</v>
      </c>
      <c r="D5317" s="1930" t="s">
        <v>4776</v>
      </c>
      <c r="E5317" s="1931" t="s">
        <v>33</v>
      </c>
      <c r="F5317" s="1930" t="s">
        <v>33</v>
      </c>
      <c r="G5317" s="1932">
        <v>96467</v>
      </c>
      <c r="H5317" s="1930" t="s">
        <v>3924</v>
      </c>
      <c r="I5317" s="1930" t="s">
        <v>136</v>
      </c>
      <c r="J5317" s="1930" t="s">
        <v>320</v>
      </c>
      <c r="K5317" s="1933">
        <v>4.09</v>
      </c>
      <c r="L5317" s="1930" t="s">
        <v>138</v>
      </c>
    </row>
    <row r="5318" spans="1:12" ht="13.5" x14ac:dyDescent="0.25">
      <c r="A5318" s="1930" t="s">
        <v>4751</v>
      </c>
      <c r="B5318" s="1930" t="s">
        <v>4752</v>
      </c>
      <c r="C5318" s="1930" t="s">
        <v>4777</v>
      </c>
      <c r="D5318" s="1930" t="s">
        <v>4778</v>
      </c>
      <c r="E5318" s="1931">
        <v>73850</v>
      </c>
      <c r="F5318" s="1930" t="s">
        <v>4779</v>
      </c>
      <c r="G5318" s="1932" t="s">
        <v>3925</v>
      </c>
      <c r="H5318" s="1930" t="s">
        <v>3926</v>
      </c>
      <c r="I5318" s="1930" t="s">
        <v>136</v>
      </c>
      <c r="J5318" s="1930" t="s">
        <v>320</v>
      </c>
      <c r="K5318" s="1933">
        <v>23.47</v>
      </c>
      <c r="L5318" s="1930" t="s">
        <v>138</v>
      </c>
    </row>
    <row r="5319" spans="1:12" ht="13.5" x14ac:dyDescent="0.25">
      <c r="A5319" s="1930" t="s">
        <v>4751</v>
      </c>
      <c r="B5319" s="1930" t="s">
        <v>4752</v>
      </c>
      <c r="C5319" s="1930" t="s">
        <v>4777</v>
      </c>
      <c r="D5319" s="1930" t="s">
        <v>4778</v>
      </c>
      <c r="E5319" s="1931" t="s">
        <v>33</v>
      </c>
      <c r="F5319" s="1930" t="s">
        <v>33</v>
      </c>
      <c r="G5319" s="1932">
        <v>84168</v>
      </c>
      <c r="H5319" s="1930" t="s">
        <v>3927</v>
      </c>
      <c r="I5319" s="1930" t="s">
        <v>136</v>
      </c>
      <c r="J5319" s="1930" t="s">
        <v>320</v>
      </c>
      <c r="K5319" s="1933">
        <v>17.88</v>
      </c>
      <c r="L5319" s="1930" t="s">
        <v>138</v>
      </c>
    </row>
    <row r="5320" spans="1:12" ht="13.5" x14ac:dyDescent="0.25">
      <c r="A5320" s="1930" t="s">
        <v>4751</v>
      </c>
      <c r="B5320" s="1930" t="s">
        <v>4752</v>
      </c>
      <c r="C5320" s="1930" t="s">
        <v>4780</v>
      </c>
      <c r="D5320" s="1930" t="s">
        <v>4781</v>
      </c>
      <c r="E5320" s="1931" t="s">
        <v>33</v>
      </c>
      <c r="F5320" s="1930" t="s">
        <v>33</v>
      </c>
      <c r="G5320" s="1932">
        <v>68325</v>
      </c>
      <c r="H5320" s="1930" t="s">
        <v>3928</v>
      </c>
      <c r="I5320" s="1930" t="s">
        <v>306</v>
      </c>
      <c r="J5320" s="1930" t="s">
        <v>320</v>
      </c>
      <c r="K5320" s="1933">
        <v>42.32</v>
      </c>
      <c r="L5320" s="1930" t="s">
        <v>138</v>
      </c>
    </row>
    <row r="5321" spans="1:12" ht="13.5" x14ac:dyDescent="0.25">
      <c r="A5321" s="1930" t="s">
        <v>4751</v>
      </c>
      <c r="B5321" s="1930" t="s">
        <v>4752</v>
      </c>
      <c r="C5321" s="1930" t="s">
        <v>4780</v>
      </c>
      <c r="D5321" s="1930" t="s">
        <v>4781</v>
      </c>
      <c r="E5321" s="1931" t="s">
        <v>33</v>
      </c>
      <c r="F5321" s="1930" t="s">
        <v>33</v>
      </c>
      <c r="G5321" s="1932">
        <v>68333</v>
      </c>
      <c r="H5321" s="1930" t="s">
        <v>3929</v>
      </c>
      <c r="I5321" s="1930" t="s">
        <v>306</v>
      </c>
      <c r="J5321" s="1930" t="s">
        <v>320</v>
      </c>
      <c r="K5321" s="1933">
        <v>45.73</v>
      </c>
      <c r="L5321" s="1930" t="s">
        <v>138</v>
      </c>
    </row>
    <row r="5322" spans="1:12" ht="13.5" x14ac:dyDescent="0.25">
      <c r="A5322" s="1930" t="s">
        <v>4751</v>
      </c>
      <c r="B5322" s="1930" t="s">
        <v>4752</v>
      </c>
      <c r="C5322" s="1930" t="s">
        <v>4780</v>
      </c>
      <c r="D5322" s="1930" t="s">
        <v>4781</v>
      </c>
      <c r="E5322" s="1931" t="s">
        <v>33</v>
      </c>
      <c r="F5322" s="1930" t="s">
        <v>33</v>
      </c>
      <c r="G5322" s="1932">
        <v>72183</v>
      </c>
      <c r="H5322" s="1930" t="s">
        <v>3930</v>
      </c>
      <c r="I5322" s="1930" t="s">
        <v>306</v>
      </c>
      <c r="J5322" s="1930" t="s">
        <v>320</v>
      </c>
      <c r="K5322" s="1933">
        <v>76.05</v>
      </c>
      <c r="L5322" s="1930" t="s">
        <v>138</v>
      </c>
    </row>
    <row r="5323" spans="1:12" ht="13.5" x14ac:dyDescent="0.25">
      <c r="A5323" s="1930" t="s">
        <v>4751</v>
      </c>
      <c r="B5323" s="1930" t="s">
        <v>4752</v>
      </c>
      <c r="C5323" s="1930" t="s">
        <v>4780</v>
      </c>
      <c r="D5323" s="1930" t="s">
        <v>4781</v>
      </c>
      <c r="E5323" s="1931" t="s">
        <v>33</v>
      </c>
      <c r="F5323" s="1930" t="s">
        <v>33</v>
      </c>
      <c r="G5323" s="1932">
        <v>94990</v>
      </c>
      <c r="H5323" s="1930" t="s">
        <v>3931</v>
      </c>
      <c r="I5323" s="1930" t="s">
        <v>1208</v>
      </c>
      <c r="J5323" s="1930" t="s">
        <v>320</v>
      </c>
      <c r="K5323" s="1933">
        <v>553.21</v>
      </c>
      <c r="L5323" s="1930" t="s">
        <v>138</v>
      </c>
    </row>
    <row r="5324" spans="1:12" ht="13.5" x14ac:dyDescent="0.25">
      <c r="A5324" s="1930" t="s">
        <v>4751</v>
      </c>
      <c r="B5324" s="1930" t="s">
        <v>4752</v>
      </c>
      <c r="C5324" s="1930" t="s">
        <v>4780</v>
      </c>
      <c r="D5324" s="1930" t="s">
        <v>4781</v>
      </c>
      <c r="E5324" s="1931" t="s">
        <v>33</v>
      </c>
      <c r="F5324" s="1930" t="s">
        <v>33</v>
      </c>
      <c r="G5324" s="1932">
        <v>94991</v>
      </c>
      <c r="H5324" s="1930" t="s">
        <v>3932</v>
      </c>
      <c r="I5324" s="1930" t="s">
        <v>1208</v>
      </c>
      <c r="J5324" s="1930" t="s">
        <v>320</v>
      </c>
      <c r="K5324" s="1933">
        <v>421.51</v>
      </c>
      <c r="L5324" s="1930" t="s">
        <v>138</v>
      </c>
    </row>
    <row r="5325" spans="1:12" ht="13.5" x14ac:dyDescent="0.25">
      <c r="A5325" s="1930" t="s">
        <v>4751</v>
      </c>
      <c r="B5325" s="1930" t="s">
        <v>4752</v>
      </c>
      <c r="C5325" s="1930" t="s">
        <v>4780</v>
      </c>
      <c r="D5325" s="1930" t="s">
        <v>4781</v>
      </c>
      <c r="E5325" s="1931" t="s">
        <v>33</v>
      </c>
      <c r="F5325" s="1930" t="s">
        <v>33</v>
      </c>
      <c r="G5325" s="1932">
        <v>94992</v>
      </c>
      <c r="H5325" s="1930" t="s">
        <v>3933</v>
      </c>
      <c r="I5325" s="1930" t="s">
        <v>306</v>
      </c>
      <c r="J5325" s="1930" t="s">
        <v>320</v>
      </c>
      <c r="K5325" s="1933">
        <v>58.23</v>
      </c>
      <c r="L5325" s="1930" t="s">
        <v>138</v>
      </c>
    </row>
    <row r="5326" spans="1:12" ht="13.5" x14ac:dyDescent="0.25">
      <c r="A5326" s="1930" t="s">
        <v>4751</v>
      </c>
      <c r="B5326" s="1930" t="s">
        <v>4752</v>
      </c>
      <c r="C5326" s="1930" t="s">
        <v>4780</v>
      </c>
      <c r="D5326" s="1930" t="s">
        <v>4781</v>
      </c>
      <c r="E5326" s="1931" t="s">
        <v>33</v>
      </c>
      <c r="F5326" s="1930" t="s">
        <v>33</v>
      </c>
      <c r="G5326" s="1932">
        <v>94993</v>
      </c>
      <c r="H5326" s="1930" t="s">
        <v>3934</v>
      </c>
      <c r="I5326" s="1930" t="s">
        <v>306</v>
      </c>
      <c r="J5326" s="1930" t="s">
        <v>320</v>
      </c>
      <c r="K5326" s="1933">
        <v>50.33</v>
      </c>
      <c r="L5326" s="1930" t="s">
        <v>138</v>
      </c>
    </row>
    <row r="5327" spans="1:12" ht="13.5" x14ac:dyDescent="0.25">
      <c r="A5327" s="1930" t="s">
        <v>4751</v>
      </c>
      <c r="B5327" s="1930" t="s">
        <v>4752</v>
      </c>
      <c r="C5327" s="1930" t="s">
        <v>4780</v>
      </c>
      <c r="D5327" s="1930" t="s">
        <v>4781</v>
      </c>
      <c r="E5327" s="1931" t="s">
        <v>33</v>
      </c>
      <c r="F5327" s="1930" t="s">
        <v>33</v>
      </c>
      <c r="G5327" s="1932">
        <v>94994</v>
      </c>
      <c r="H5327" s="1930" t="s">
        <v>3935</v>
      </c>
      <c r="I5327" s="1930" t="s">
        <v>306</v>
      </c>
      <c r="J5327" s="1930" t="s">
        <v>320</v>
      </c>
      <c r="K5327" s="1933">
        <v>71.28</v>
      </c>
      <c r="L5327" s="1930" t="s">
        <v>138</v>
      </c>
    </row>
    <row r="5328" spans="1:12" ht="13.5" x14ac:dyDescent="0.25">
      <c r="A5328" s="1930" t="s">
        <v>4751</v>
      </c>
      <c r="B5328" s="1930" t="s">
        <v>4752</v>
      </c>
      <c r="C5328" s="1930" t="s">
        <v>4780</v>
      </c>
      <c r="D5328" s="1930" t="s">
        <v>4781</v>
      </c>
      <c r="E5328" s="1931" t="s">
        <v>33</v>
      </c>
      <c r="F5328" s="1930" t="s">
        <v>33</v>
      </c>
      <c r="G5328" s="1932">
        <v>94995</v>
      </c>
      <c r="H5328" s="1930" t="s">
        <v>3936</v>
      </c>
      <c r="I5328" s="1930" t="s">
        <v>306</v>
      </c>
      <c r="J5328" s="1930" t="s">
        <v>320</v>
      </c>
      <c r="K5328" s="1933">
        <v>60.74</v>
      </c>
      <c r="L5328" s="1930" t="s">
        <v>138</v>
      </c>
    </row>
    <row r="5329" spans="1:12" ht="13.5" x14ac:dyDescent="0.25">
      <c r="A5329" s="1930" t="s">
        <v>4751</v>
      </c>
      <c r="B5329" s="1930" t="s">
        <v>4752</v>
      </c>
      <c r="C5329" s="1930" t="s">
        <v>4780</v>
      </c>
      <c r="D5329" s="1930" t="s">
        <v>4781</v>
      </c>
      <c r="E5329" s="1931" t="s">
        <v>33</v>
      </c>
      <c r="F5329" s="1930" t="s">
        <v>33</v>
      </c>
      <c r="G5329" s="1932">
        <v>94996</v>
      </c>
      <c r="H5329" s="1930" t="s">
        <v>3937</v>
      </c>
      <c r="I5329" s="1930" t="s">
        <v>306</v>
      </c>
      <c r="J5329" s="1930" t="s">
        <v>320</v>
      </c>
      <c r="K5329" s="1933">
        <v>82.39</v>
      </c>
      <c r="L5329" s="1930" t="s">
        <v>138</v>
      </c>
    </row>
    <row r="5330" spans="1:12" ht="13.5" x14ac:dyDescent="0.25">
      <c r="A5330" s="1930" t="s">
        <v>4751</v>
      </c>
      <c r="B5330" s="1930" t="s">
        <v>4752</v>
      </c>
      <c r="C5330" s="1930" t="s">
        <v>4780</v>
      </c>
      <c r="D5330" s="1930" t="s">
        <v>4781</v>
      </c>
      <c r="E5330" s="1931" t="s">
        <v>33</v>
      </c>
      <c r="F5330" s="1930" t="s">
        <v>33</v>
      </c>
      <c r="G5330" s="1932">
        <v>94997</v>
      </c>
      <c r="H5330" s="1930" t="s">
        <v>3938</v>
      </c>
      <c r="I5330" s="1930" t="s">
        <v>306</v>
      </c>
      <c r="J5330" s="1930" t="s">
        <v>320</v>
      </c>
      <c r="K5330" s="1933">
        <v>69.22</v>
      </c>
      <c r="L5330" s="1930" t="s">
        <v>138</v>
      </c>
    </row>
    <row r="5331" spans="1:12" ht="13.5" x14ac:dyDescent="0.25">
      <c r="A5331" s="1930" t="s">
        <v>4751</v>
      </c>
      <c r="B5331" s="1930" t="s">
        <v>4752</v>
      </c>
      <c r="C5331" s="1930" t="s">
        <v>4780</v>
      </c>
      <c r="D5331" s="1930" t="s">
        <v>4781</v>
      </c>
      <c r="E5331" s="1931" t="s">
        <v>33</v>
      </c>
      <c r="F5331" s="1930" t="s">
        <v>33</v>
      </c>
      <c r="G5331" s="1932">
        <v>94998</v>
      </c>
      <c r="H5331" s="1930" t="s">
        <v>3939</v>
      </c>
      <c r="I5331" s="1930" t="s">
        <v>306</v>
      </c>
      <c r="J5331" s="1930" t="s">
        <v>320</v>
      </c>
      <c r="K5331" s="1933">
        <v>93.06</v>
      </c>
      <c r="L5331" s="1930" t="s">
        <v>138</v>
      </c>
    </row>
    <row r="5332" spans="1:12" ht="13.5" x14ac:dyDescent="0.25">
      <c r="A5332" s="1930" t="s">
        <v>4751</v>
      </c>
      <c r="B5332" s="1930" t="s">
        <v>4752</v>
      </c>
      <c r="C5332" s="1930" t="s">
        <v>4780</v>
      </c>
      <c r="D5332" s="1930" t="s">
        <v>4781</v>
      </c>
      <c r="E5332" s="1931" t="s">
        <v>33</v>
      </c>
      <c r="F5332" s="1930" t="s">
        <v>33</v>
      </c>
      <c r="G5332" s="1932">
        <v>94999</v>
      </c>
      <c r="H5332" s="1930" t="s">
        <v>3940</v>
      </c>
      <c r="I5332" s="1930" t="s">
        <v>306</v>
      </c>
      <c r="J5332" s="1930" t="s">
        <v>320</v>
      </c>
      <c r="K5332" s="1933">
        <v>77.260000000000005</v>
      </c>
      <c r="L5332" s="1930" t="s">
        <v>138</v>
      </c>
    </row>
    <row r="5333" spans="1:12" ht="13.5" x14ac:dyDescent="0.25">
      <c r="A5333" s="1930" t="s">
        <v>4751</v>
      </c>
      <c r="B5333" s="1930" t="s">
        <v>4752</v>
      </c>
      <c r="C5333" s="1930" t="s">
        <v>4782</v>
      </c>
      <c r="D5333" s="1930" t="s">
        <v>4783</v>
      </c>
      <c r="E5333" s="1931" t="s">
        <v>33</v>
      </c>
      <c r="F5333" s="1930" t="s">
        <v>33</v>
      </c>
      <c r="G5333" s="1932">
        <v>87620</v>
      </c>
      <c r="H5333" s="1930" t="s">
        <v>3941</v>
      </c>
      <c r="I5333" s="1930" t="s">
        <v>306</v>
      </c>
      <c r="J5333" s="1930" t="s">
        <v>320</v>
      </c>
      <c r="K5333" s="1933">
        <v>25.35</v>
      </c>
      <c r="L5333" s="1930" t="s">
        <v>138</v>
      </c>
    </row>
    <row r="5334" spans="1:12" ht="13.5" x14ac:dyDescent="0.25">
      <c r="A5334" s="1930" t="s">
        <v>4751</v>
      </c>
      <c r="B5334" s="1930" t="s">
        <v>4752</v>
      </c>
      <c r="C5334" s="1930" t="s">
        <v>4782</v>
      </c>
      <c r="D5334" s="1930" t="s">
        <v>4783</v>
      </c>
      <c r="E5334" s="1931" t="s">
        <v>33</v>
      </c>
      <c r="F5334" s="1930" t="s">
        <v>33</v>
      </c>
      <c r="G5334" s="1932">
        <v>87622</v>
      </c>
      <c r="H5334" s="1930" t="s">
        <v>3942</v>
      </c>
      <c r="I5334" s="1930" t="s">
        <v>306</v>
      </c>
      <c r="J5334" s="1930" t="s">
        <v>320</v>
      </c>
      <c r="K5334" s="1933">
        <v>28.05</v>
      </c>
      <c r="L5334" s="1930" t="s">
        <v>138</v>
      </c>
    </row>
    <row r="5335" spans="1:12" ht="13.5" x14ac:dyDescent="0.25">
      <c r="A5335" s="1930" t="s">
        <v>4751</v>
      </c>
      <c r="B5335" s="1930" t="s">
        <v>4752</v>
      </c>
      <c r="C5335" s="1930" t="s">
        <v>4782</v>
      </c>
      <c r="D5335" s="1930" t="s">
        <v>4783</v>
      </c>
      <c r="E5335" s="1931" t="s">
        <v>33</v>
      </c>
      <c r="F5335" s="1930" t="s">
        <v>33</v>
      </c>
      <c r="G5335" s="1932">
        <v>87623</v>
      </c>
      <c r="H5335" s="1930" t="s">
        <v>3943</v>
      </c>
      <c r="I5335" s="1930" t="s">
        <v>306</v>
      </c>
      <c r="J5335" s="1930" t="s">
        <v>320</v>
      </c>
      <c r="K5335" s="1933">
        <v>44.97</v>
      </c>
      <c r="L5335" s="1930" t="s">
        <v>138</v>
      </c>
    </row>
    <row r="5336" spans="1:12" ht="13.5" x14ac:dyDescent="0.25">
      <c r="A5336" s="1930" t="s">
        <v>4751</v>
      </c>
      <c r="B5336" s="1930" t="s">
        <v>4752</v>
      </c>
      <c r="C5336" s="1930" t="s">
        <v>4782</v>
      </c>
      <c r="D5336" s="1930" t="s">
        <v>4783</v>
      </c>
      <c r="E5336" s="1931" t="s">
        <v>33</v>
      </c>
      <c r="F5336" s="1930" t="s">
        <v>33</v>
      </c>
      <c r="G5336" s="1932">
        <v>87624</v>
      </c>
      <c r="H5336" s="1930" t="s">
        <v>3944</v>
      </c>
      <c r="I5336" s="1930" t="s">
        <v>306</v>
      </c>
      <c r="J5336" s="1930" t="s">
        <v>320</v>
      </c>
      <c r="K5336" s="1933">
        <v>49.69</v>
      </c>
      <c r="L5336" s="1930" t="s">
        <v>138</v>
      </c>
    </row>
    <row r="5337" spans="1:12" ht="13.5" x14ac:dyDescent="0.25">
      <c r="A5337" s="1930" t="s">
        <v>4751</v>
      </c>
      <c r="B5337" s="1930" t="s">
        <v>4752</v>
      </c>
      <c r="C5337" s="1930" t="s">
        <v>4782</v>
      </c>
      <c r="D5337" s="1930" t="s">
        <v>4783</v>
      </c>
      <c r="E5337" s="1931" t="s">
        <v>33</v>
      </c>
      <c r="F5337" s="1930" t="s">
        <v>33</v>
      </c>
      <c r="G5337" s="1932">
        <v>87630</v>
      </c>
      <c r="H5337" s="1930" t="s">
        <v>3945</v>
      </c>
      <c r="I5337" s="1930" t="s">
        <v>306</v>
      </c>
      <c r="J5337" s="1930" t="s">
        <v>320</v>
      </c>
      <c r="K5337" s="1933">
        <v>31.15</v>
      </c>
      <c r="L5337" s="1930" t="s">
        <v>138</v>
      </c>
    </row>
    <row r="5338" spans="1:12" ht="13.5" x14ac:dyDescent="0.25">
      <c r="A5338" s="1930" t="s">
        <v>4751</v>
      </c>
      <c r="B5338" s="1930" t="s">
        <v>4752</v>
      </c>
      <c r="C5338" s="1930" t="s">
        <v>4782</v>
      </c>
      <c r="D5338" s="1930" t="s">
        <v>4783</v>
      </c>
      <c r="E5338" s="1931" t="s">
        <v>33</v>
      </c>
      <c r="F5338" s="1930" t="s">
        <v>33</v>
      </c>
      <c r="G5338" s="1932">
        <v>87632</v>
      </c>
      <c r="H5338" s="1930" t="s">
        <v>3946</v>
      </c>
      <c r="I5338" s="1930" t="s">
        <v>306</v>
      </c>
      <c r="J5338" s="1930" t="s">
        <v>320</v>
      </c>
      <c r="K5338" s="1933">
        <v>34.909999999999997</v>
      </c>
      <c r="L5338" s="1930" t="s">
        <v>138</v>
      </c>
    </row>
    <row r="5339" spans="1:12" ht="13.5" x14ac:dyDescent="0.25">
      <c r="A5339" s="1930" t="s">
        <v>4751</v>
      </c>
      <c r="B5339" s="1930" t="s">
        <v>4752</v>
      </c>
      <c r="C5339" s="1930" t="s">
        <v>4782</v>
      </c>
      <c r="D5339" s="1930" t="s">
        <v>4783</v>
      </c>
      <c r="E5339" s="1931" t="s">
        <v>33</v>
      </c>
      <c r="F5339" s="1930" t="s">
        <v>33</v>
      </c>
      <c r="G5339" s="1932">
        <v>87633</v>
      </c>
      <c r="H5339" s="1930" t="s">
        <v>3947</v>
      </c>
      <c r="I5339" s="1930" t="s">
        <v>306</v>
      </c>
      <c r="J5339" s="1930" t="s">
        <v>320</v>
      </c>
      <c r="K5339" s="1933">
        <v>58.44</v>
      </c>
      <c r="L5339" s="1930" t="s">
        <v>138</v>
      </c>
    </row>
    <row r="5340" spans="1:12" ht="13.5" x14ac:dyDescent="0.25">
      <c r="A5340" s="1930" t="s">
        <v>4751</v>
      </c>
      <c r="B5340" s="1930" t="s">
        <v>4752</v>
      </c>
      <c r="C5340" s="1930" t="s">
        <v>4782</v>
      </c>
      <c r="D5340" s="1930" t="s">
        <v>4783</v>
      </c>
      <c r="E5340" s="1931" t="s">
        <v>33</v>
      </c>
      <c r="F5340" s="1930" t="s">
        <v>33</v>
      </c>
      <c r="G5340" s="1932">
        <v>87634</v>
      </c>
      <c r="H5340" s="1930" t="s">
        <v>3948</v>
      </c>
      <c r="I5340" s="1930" t="s">
        <v>306</v>
      </c>
      <c r="J5340" s="1930" t="s">
        <v>320</v>
      </c>
      <c r="K5340" s="1933">
        <v>64.989999999999995</v>
      </c>
      <c r="L5340" s="1930" t="s">
        <v>138</v>
      </c>
    </row>
    <row r="5341" spans="1:12" ht="13.5" x14ac:dyDescent="0.25">
      <c r="A5341" s="1930" t="s">
        <v>4751</v>
      </c>
      <c r="B5341" s="1930" t="s">
        <v>4752</v>
      </c>
      <c r="C5341" s="1930" t="s">
        <v>4782</v>
      </c>
      <c r="D5341" s="1930" t="s">
        <v>4783</v>
      </c>
      <c r="E5341" s="1931" t="s">
        <v>33</v>
      </c>
      <c r="F5341" s="1930" t="s">
        <v>33</v>
      </c>
      <c r="G5341" s="1932">
        <v>87640</v>
      </c>
      <c r="H5341" s="1930" t="s">
        <v>3949</v>
      </c>
      <c r="I5341" s="1930" t="s">
        <v>306</v>
      </c>
      <c r="J5341" s="1930" t="s">
        <v>320</v>
      </c>
      <c r="K5341" s="1933">
        <v>35.840000000000003</v>
      </c>
      <c r="L5341" s="1930" t="s">
        <v>138</v>
      </c>
    </row>
    <row r="5342" spans="1:12" ht="13.5" x14ac:dyDescent="0.25">
      <c r="A5342" s="1930" t="s">
        <v>4751</v>
      </c>
      <c r="B5342" s="1930" t="s">
        <v>4752</v>
      </c>
      <c r="C5342" s="1930" t="s">
        <v>4782</v>
      </c>
      <c r="D5342" s="1930" t="s">
        <v>4783</v>
      </c>
      <c r="E5342" s="1931" t="s">
        <v>33</v>
      </c>
      <c r="F5342" s="1930" t="s">
        <v>33</v>
      </c>
      <c r="G5342" s="1932">
        <v>87642</v>
      </c>
      <c r="H5342" s="1930" t="s">
        <v>3950</v>
      </c>
      <c r="I5342" s="1930" t="s">
        <v>306</v>
      </c>
      <c r="J5342" s="1930" t="s">
        <v>320</v>
      </c>
      <c r="K5342" s="1933">
        <v>40.47</v>
      </c>
      <c r="L5342" s="1930" t="s">
        <v>138</v>
      </c>
    </row>
    <row r="5343" spans="1:12" ht="13.5" x14ac:dyDescent="0.25">
      <c r="A5343" s="1930" t="s">
        <v>4751</v>
      </c>
      <c r="B5343" s="1930" t="s">
        <v>4752</v>
      </c>
      <c r="C5343" s="1930" t="s">
        <v>4782</v>
      </c>
      <c r="D5343" s="1930" t="s">
        <v>4783</v>
      </c>
      <c r="E5343" s="1931" t="s">
        <v>33</v>
      </c>
      <c r="F5343" s="1930" t="s">
        <v>33</v>
      </c>
      <c r="G5343" s="1932">
        <v>87643</v>
      </c>
      <c r="H5343" s="1930" t="s">
        <v>3951</v>
      </c>
      <c r="I5343" s="1930" t="s">
        <v>306</v>
      </c>
      <c r="J5343" s="1930" t="s">
        <v>320</v>
      </c>
      <c r="K5343" s="1933">
        <v>69.400000000000006</v>
      </c>
      <c r="L5343" s="1930" t="s">
        <v>138</v>
      </c>
    </row>
    <row r="5344" spans="1:12" ht="13.5" x14ac:dyDescent="0.25">
      <c r="A5344" s="1930" t="s">
        <v>4751</v>
      </c>
      <c r="B5344" s="1930" t="s">
        <v>4752</v>
      </c>
      <c r="C5344" s="1930" t="s">
        <v>4782</v>
      </c>
      <c r="D5344" s="1930" t="s">
        <v>4783</v>
      </c>
      <c r="E5344" s="1931" t="s">
        <v>33</v>
      </c>
      <c r="F5344" s="1930" t="s">
        <v>33</v>
      </c>
      <c r="G5344" s="1932">
        <v>87644</v>
      </c>
      <c r="H5344" s="1930" t="s">
        <v>3952</v>
      </c>
      <c r="I5344" s="1930" t="s">
        <v>306</v>
      </c>
      <c r="J5344" s="1930" t="s">
        <v>320</v>
      </c>
      <c r="K5344" s="1933">
        <v>77.459999999999994</v>
      </c>
      <c r="L5344" s="1930" t="s">
        <v>138</v>
      </c>
    </row>
    <row r="5345" spans="1:12" ht="13.5" x14ac:dyDescent="0.25">
      <c r="A5345" s="1930" t="s">
        <v>4751</v>
      </c>
      <c r="B5345" s="1930" t="s">
        <v>4752</v>
      </c>
      <c r="C5345" s="1930" t="s">
        <v>4782</v>
      </c>
      <c r="D5345" s="1930" t="s">
        <v>4783</v>
      </c>
      <c r="E5345" s="1931" t="s">
        <v>33</v>
      </c>
      <c r="F5345" s="1930" t="s">
        <v>33</v>
      </c>
      <c r="G5345" s="1932">
        <v>87680</v>
      </c>
      <c r="H5345" s="1930" t="s">
        <v>3953</v>
      </c>
      <c r="I5345" s="1930" t="s">
        <v>306</v>
      </c>
      <c r="J5345" s="1930" t="s">
        <v>320</v>
      </c>
      <c r="K5345" s="1933">
        <v>28.63</v>
      </c>
      <c r="L5345" s="1930" t="s">
        <v>138</v>
      </c>
    </row>
    <row r="5346" spans="1:12" ht="13.5" x14ac:dyDescent="0.25">
      <c r="A5346" s="1930" t="s">
        <v>4751</v>
      </c>
      <c r="B5346" s="1930" t="s">
        <v>4752</v>
      </c>
      <c r="C5346" s="1930" t="s">
        <v>4782</v>
      </c>
      <c r="D5346" s="1930" t="s">
        <v>4783</v>
      </c>
      <c r="E5346" s="1931" t="s">
        <v>33</v>
      </c>
      <c r="F5346" s="1930" t="s">
        <v>33</v>
      </c>
      <c r="G5346" s="1932">
        <v>87682</v>
      </c>
      <c r="H5346" s="1930" t="s">
        <v>3954</v>
      </c>
      <c r="I5346" s="1930" t="s">
        <v>306</v>
      </c>
      <c r="J5346" s="1930" t="s">
        <v>320</v>
      </c>
      <c r="K5346" s="1933">
        <v>33.26</v>
      </c>
      <c r="L5346" s="1930" t="s">
        <v>138</v>
      </c>
    </row>
    <row r="5347" spans="1:12" ht="13.5" x14ac:dyDescent="0.25">
      <c r="A5347" s="1930" t="s">
        <v>4751</v>
      </c>
      <c r="B5347" s="1930" t="s">
        <v>4752</v>
      </c>
      <c r="C5347" s="1930" t="s">
        <v>4782</v>
      </c>
      <c r="D5347" s="1930" t="s">
        <v>4783</v>
      </c>
      <c r="E5347" s="1931" t="s">
        <v>33</v>
      </c>
      <c r="F5347" s="1930" t="s">
        <v>33</v>
      </c>
      <c r="G5347" s="1932">
        <v>87683</v>
      </c>
      <c r="H5347" s="1930" t="s">
        <v>3955</v>
      </c>
      <c r="I5347" s="1930" t="s">
        <v>306</v>
      </c>
      <c r="J5347" s="1930" t="s">
        <v>320</v>
      </c>
      <c r="K5347" s="1933">
        <v>62.19</v>
      </c>
      <c r="L5347" s="1930" t="s">
        <v>138</v>
      </c>
    </row>
    <row r="5348" spans="1:12" ht="13.5" x14ac:dyDescent="0.25">
      <c r="A5348" s="1930" t="s">
        <v>4751</v>
      </c>
      <c r="B5348" s="1930" t="s">
        <v>4752</v>
      </c>
      <c r="C5348" s="1930" t="s">
        <v>4782</v>
      </c>
      <c r="D5348" s="1930" t="s">
        <v>4783</v>
      </c>
      <c r="E5348" s="1931" t="s">
        <v>33</v>
      </c>
      <c r="F5348" s="1930" t="s">
        <v>33</v>
      </c>
      <c r="G5348" s="1932">
        <v>87684</v>
      </c>
      <c r="H5348" s="1930" t="s">
        <v>3956</v>
      </c>
      <c r="I5348" s="1930" t="s">
        <v>306</v>
      </c>
      <c r="J5348" s="1930" t="s">
        <v>320</v>
      </c>
      <c r="K5348" s="1933">
        <v>70.25</v>
      </c>
      <c r="L5348" s="1930" t="s">
        <v>138</v>
      </c>
    </row>
    <row r="5349" spans="1:12" ht="13.5" x14ac:dyDescent="0.25">
      <c r="A5349" s="1930" t="s">
        <v>4751</v>
      </c>
      <c r="B5349" s="1930" t="s">
        <v>4752</v>
      </c>
      <c r="C5349" s="1930" t="s">
        <v>4782</v>
      </c>
      <c r="D5349" s="1930" t="s">
        <v>4783</v>
      </c>
      <c r="E5349" s="1931" t="s">
        <v>33</v>
      </c>
      <c r="F5349" s="1930" t="s">
        <v>33</v>
      </c>
      <c r="G5349" s="1932">
        <v>87690</v>
      </c>
      <c r="H5349" s="1930" t="s">
        <v>3957</v>
      </c>
      <c r="I5349" s="1930" t="s">
        <v>306</v>
      </c>
      <c r="J5349" s="1930" t="s">
        <v>320</v>
      </c>
      <c r="K5349" s="1933">
        <v>33.29</v>
      </c>
      <c r="L5349" s="1930" t="s">
        <v>138</v>
      </c>
    </row>
    <row r="5350" spans="1:12" ht="13.5" x14ac:dyDescent="0.25">
      <c r="A5350" s="1930" t="s">
        <v>4751</v>
      </c>
      <c r="B5350" s="1930" t="s">
        <v>4752</v>
      </c>
      <c r="C5350" s="1930" t="s">
        <v>4782</v>
      </c>
      <c r="D5350" s="1930" t="s">
        <v>4783</v>
      </c>
      <c r="E5350" s="1931" t="s">
        <v>33</v>
      </c>
      <c r="F5350" s="1930" t="s">
        <v>33</v>
      </c>
      <c r="G5350" s="1932">
        <v>87692</v>
      </c>
      <c r="H5350" s="1930" t="s">
        <v>3958</v>
      </c>
      <c r="I5350" s="1930" t="s">
        <v>306</v>
      </c>
      <c r="J5350" s="1930" t="s">
        <v>320</v>
      </c>
      <c r="K5350" s="1933">
        <v>38.58</v>
      </c>
      <c r="L5350" s="1930" t="s">
        <v>138</v>
      </c>
    </row>
    <row r="5351" spans="1:12" ht="13.5" x14ac:dyDescent="0.25">
      <c r="A5351" s="1930" t="s">
        <v>4751</v>
      </c>
      <c r="B5351" s="1930" t="s">
        <v>4752</v>
      </c>
      <c r="C5351" s="1930" t="s">
        <v>4782</v>
      </c>
      <c r="D5351" s="1930" t="s">
        <v>4783</v>
      </c>
      <c r="E5351" s="1931" t="s">
        <v>33</v>
      </c>
      <c r="F5351" s="1930" t="s">
        <v>33</v>
      </c>
      <c r="G5351" s="1932">
        <v>87693</v>
      </c>
      <c r="H5351" s="1930" t="s">
        <v>3959</v>
      </c>
      <c r="I5351" s="1930" t="s">
        <v>306</v>
      </c>
      <c r="J5351" s="1930" t="s">
        <v>320</v>
      </c>
      <c r="K5351" s="1933">
        <v>71.73</v>
      </c>
      <c r="L5351" s="1930" t="s">
        <v>138</v>
      </c>
    </row>
    <row r="5352" spans="1:12" ht="13.5" x14ac:dyDescent="0.25">
      <c r="A5352" s="1930" t="s">
        <v>4751</v>
      </c>
      <c r="B5352" s="1930" t="s">
        <v>4752</v>
      </c>
      <c r="C5352" s="1930" t="s">
        <v>4782</v>
      </c>
      <c r="D5352" s="1930" t="s">
        <v>4783</v>
      </c>
      <c r="E5352" s="1931" t="s">
        <v>33</v>
      </c>
      <c r="F5352" s="1930" t="s">
        <v>33</v>
      </c>
      <c r="G5352" s="1932">
        <v>87694</v>
      </c>
      <c r="H5352" s="1930" t="s">
        <v>3960</v>
      </c>
      <c r="I5352" s="1930" t="s">
        <v>306</v>
      </c>
      <c r="J5352" s="1930" t="s">
        <v>320</v>
      </c>
      <c r="K5352" s="1933">
        <v>80.95</v>
      </c>
      <c r="L5352" s="1930" t="s">
        <v>138</v>
      </c>
    </row>
    <row r="5353" spans="1:12" ht="13.5" x14ac:dyDescent="0.25">
      <c r="A5353" s="1930" t="s">
        <v>4751</v>
      </c>
      <c r="B5353" s="1930" t="s">
        <v>4752</v>
      </c>
      <c r="C5353" s="1930" t="s">
        <v>4782</v>
      </c>
      <c r="D5353" s="1930" t="s">
        <v>4783</v>
      </c>
      <c r="E5353" s="1931" t="s">
        <v>33</v>
      </c>
      <c r="F5353" s="1930" t="s">
        <v>33</v>
      </c>
      <c r="G5353" s="1932">
        <v>87700</v>
      </c>
      <c r="H5353" s="1930" t="s">
        <v>3961</v>
      </c>
      <c r="I5353" s="1930" t="s">
        <v>306</v>
      </c>
      <c r="J5353" s="1930" t="s">
        <v>320</v>
      </c>
      <c r="K5353" s="1933">
        <v>35.94</v>
      </c>
      <c r="L5353" s="1930" t="s">
        <v>138</v>
      </c>
    </row>
    <row r="5354" spans="1:12" ht="13.5" x14ac:dyDescent="0.25">
      <c r="A5354" s="1930" t="s">
        <v>4751</v>
      </c>
      <c r="B5354" s="1930" t="s">
        <v>4752</v>
      </c>
      <c r="C5354" s="1930" t="s">
        <v>4782</v>
      </c>
      <c r="D5354" s="1930" t="s">
        <v>4783</v>
      </c>
      <c r="E5354" s="1931" t="s">
        <v>33</v>
      </c>
      <c r="F5354" s="1930" t="s">
        <v>33</v>
      </c>
      <c r="G5354" s="1932">
        <v>87702</v>
      </c>
      <c r="H5354" s="1930" t="s">
        <v>3962</v>
      </c>
      <c r="I5354" s="1930" t="s">
        <v>306</v>
      </c>
      <c r="J5354" s="1930" t="s">
        <v>320</v>
      </c>
      <c r="K5354" s="1933">
        <v>41.71</v>
      </c>
      <c r="L5354" s="1930" t="s">
        <v>138</v>
      </c>
    </row>
    <row r="5355" spans="1:12" ht="13.5" x14ac:dyDescent="0.25">
      <c r="A5355" s="1930" t="s">
        <v>4751</v>
      </c>
      <c r="B5355" s="1930" t="s">
        <v>4752</v>
      </c>
      <c r="C5355" s="1930" t="s">
        <v>4782</v>
      </c>
      <c r="D5355" s="1930" t="s">
        <v>4783</v>
      </c>
      <c r="E5355" s="1931" t="s">
        <v>33</v>
      </c>
      <c r="F5355" s="1930" t="s">
        <v>33</v>
      </c>
      <c r="G5355" s="1932">
        <v>87703</v>
      </c>
      <c r="H5355" s="1930" t="s">
        <v>3963</v>
      </c>
      <c r="I5355" s="1930" t="s">
        <v>306</v>
      </c>
      <c r="J5355" s="1930" t="s">
        <v>320</v>
      </c>
      <c r="K5355" s="1933">
        <v>77.8</v>
      </c>
      <c r="L5355" s="1930" t="s">
        <v>138</v>
      </c>
    </row>
    <row r="5356" spans="1:12" ht="13.5" x14ac:dyDescent="0.25">
      <c r="A5356" s="1930" t="s">
        <v>4751</v>
      </c>
      <c r="B5356" s="1930" t="s">
        <v>4752</v>
      </c>
      <c r="C5356" s="1930" t="s">
        <v>4782</v>
      </c>
      <c r="D5356" s="1930" t="s">
        <v>4783</v>
      </c>
      <c r="E5356" s="1931" t="s">
        <v>33</v>
      </c>
      <c r="F5356" s="1930" t="s">
        <v>33</v>
      </c>
      <c r="G5356" s="1932">
        <v>87704</v>
      </c>
      <c r="H5356" s="1930" t="s">
        <v>3964</v>
      </c>
      <c r="I5356" s="1930" t="s">
        <v>306</v>
      </c>
      <c r="J5356" s="1930" t="s">
        <v>320</v>
      </c>
      <c r="K5356" s="1933">
        <v>87.84</v>
      </c>
      <c r="L5356" s="1930" t="s">
        <v>138</v>
      </c>
    </row>
    <row r="5357" spans="1:12" ht="13.5" x14ac:dyDescent="0.25">
      <c r="A5357" s="1930" t="s">
        <v>4751</v>
      </c>
      <c r="B5357" s="1930" t="s">
        <v>4752</v>
      </c>
      <c r="C5357" s="1930" t="s">
        <v>4782</v>
      </c>
      <c r="D5357" s="1930" t="s">
        <v>4783</v>
      </c>
      <c r="E5357" s="1931" t="s">
        <v>33</v>
      </c>
      <c r="F5357" s="1930" t="s">
        <v>33</v>
      </c>
      <c r="G5357" s="1932">
        <v>87735</v>
      </c>
      <c r="H5357" s="1930" t="s">
        <v>3965</v>
      </c>
      <c r="I5357" s="1930" t="s">
        <v>306</v>
      </c>
      <c r="J5357" s="1930" t="s">
        <v>320</v>
      </c>
      <c r="K5357" s="1933">
        <v>33.65</v>
      </c>
      <c r="L5357" s="1930" t="s">
        <v>138</v>
      </c>
    </row>
    <row r="5358" spans="1:12" ht="13.5" x14ac:dyDescent="0.25">
      <c r="A5358" s="1930" t="s">
        <v>4751</v>
      </c>
      <c r="B5358" s="1930" t="s">
        <v>4752</v>
      </c>
      <c r="C5358" s="1930" t="s">
        <v>4782</v>
      </c>
      <c r="D5358" s="1930" t="s">
        <v>4783</v>
      </c>
      <c r="E5358" s="1931" t="s">
        <v>33</v>
      </c>
      <c r="F5358" s="1930" t="s">
        <v>33</v>
      </c>
      <c r="G5358" s="1932">
        <v>87737</v>
      </c>
      <c r="H5358" s="1930" t="s">
        <v>3966</v>
      </c>
      <c r="I5358" s="1930" t="s">
        <v>306</v>
      </c>
      <c r="J5358" s="1930" t="s">
        <v>320</v>
      </c>
      <c r="K5358" s="1933">
        <v>36.35</v>
      </c>
      <c r="L5358" s="1930" t="s">
        <v>138</v>
      </c>
    </row>
    <row r="5359" spans="1:12" ht="13.5" x14ac:dyDescent="0.25">
      <c r="A5359" s="1930" t="s">
        <v>4751</v>
      </c>
      <c r="B5359" s="1930" t="s">
        <v>4752</v>
      </c>
      <c r="C5359" s="1930" t="s">
        <v>4782</v>
      </c>
      <c r="D5359" s="1930" t="s">
        <v>4783</v>
      </c>
      <c r="E5359" s="1931" t="s">
        <v>33</v>
      </c>
      <c r="F5359" s="1930" t="s">
        <v>33</v>
      </c>
      <c r="G5359" s="1932">
        <v>87738</v>
      </c>
      <c r="H5359" s="1930" t="s">
        <v>3967</v>
      </c>
      <c r="I5359" s="1930" t="s">
        <v>306</v>
      </c>
      <c r="J5359" s="1930" t="s">
        <v>320</v>
      </c>
      <c r="K5359" s="1933">
        <v>53.27</v>
      </c>
      <c r="L5359" s="1930" t="s">
        <v>138</v>
      </c>
    </row>
    <row r="5360" spans="1:12" ht="13.5" x14ac:dyDescent="0.25">
      <c r="A5360" s="1930" t="s">
        <v>4751</v>
      </c>
      <c r="B5360" s="1930" t="s">
        <v>4752</v>
      </c>
      <c r="C5360" s="1930" t="s">
        <v>4782</v>
      </c>
      <c r="D5360" s="1930" t="s">
        <v>4783</v>
      </c>
      <c r="E5360" s="1931" t="s">
        <v>33</v>
      </c>
      <c r="F5360" s="1930" t="s">
        <v>33</v>
      </c>
      <c r="G5360" s="1932">
        <v>87739</v>
      </c>
      <c r="H5360" s="1930" t="s">
        <v>3968</v>
      </c>
      <c r="I5360" s="1930" t="s">
        <v>306</v>
      </c>
      <c r="J5360" s="1930" t="s">
        <v>320</v>
      </c>
      <c r="K5360" s="1933">
        <v>57.99</v>
      </c>
      <c r="L5360" s="1930" t="s">
        <v>138</v>
      </c>
    </row>
    <row r="5361" spans="1:12" ht="13.5" x14ac:dyDescent="0.25">
      <c r="A5361" s="1930" t="s">
        <v>4751</v>
      </c>
      <c r="B5361" s="1930" t="s">
        <v>4752</v>
      </c>
      <c r="C5361" s="1930" t="s">
        <v>4782</v>
      </c>
      <c r="D5361" s="1930" t="s">
        <v>4783</v>
      </c>
      <c r="E5361" s="1931" t="s">
        <v>33</v>
      </c>
      <c r="F5361" s="1930" t="s">
        <v>33</v>
      </c>
      <c r="G5361" s="1932">
        <v>87745</v>
      </c>
      <c r="H5361" s="1930" t="s">
        <v>3969</v>
      </c>
      <c r="I5361" s="1930" t="s">
        <v>306</v>
      </c>
      <c r="J5361" s="1930" t="s">
        <v>320</v>
      </c>
      <c r="K5361" s="1933">
        <v>39.47</v>
      </c>
      <c r="L5361" s="1930" t="s">
        <v>138</v>
      </c>
    </row>
    <row r="5362" spans="1:12" ht="13.5" x14ac:dyDescent="0.25">
      <c r="A5362" s="1930" t="s">
        <v>4751</v>
      </c>
      <c r="B5362" s="1930" t="s">
        <v>4752</v>
      </c>
      <c r="C5362" s="1930" t="s">
        <v>4782</v>
      </c>
      <c r="D5362" s="1930" t="s">
        <v>4783</v>
      </c>
      <c r="E5362" s="1931" t="s">
        <v>33</v>
      </c>
      <c r="F5362" s="1930" t="s">
        <v>33</v>
      </c>
      <c r="G5362" s="1932">
        <v>87747</v>
      </c>
      <c r="H5362" s="1930" t="s">
        <v>3970</v>
      </c>
      <c r="I5362" s="1930" t="s">
        <v>306</v>
      </c>
      <c r="J5362" s="1930" t="s">
        <v>320</v>
      </c>
      <c r="K5362" s="1933">
        <v>43.23</v>
      </c>
      <c r="L5362" s="1930" t="s">
        <v>138</v>
      </c>
    </row>
    <row r="5363" spans="1:12" ht="13.5" x14ac:dyDescent="0.25">
      <c r="A5363" s="1930" t="s">
        <v>4751</v>
      </c>
      <c r="B5363" s="1930" t="s">
        <v>4752</v>
      </c>
      <c r="C5363" s="1930" t="s">
        <v>4782</v>
      </c>
      <c r="D5363" s="1930" t="s">
        <v>4783</v>
      </c>
      <c r="E5363" s="1931" t="s">
        <v>33</v>
      </c>
      <c r="F5363" s="1930" t="s">
        <v>33</v>
      </c>
      <c r="G5363" s="1932">
        <v>87748</v>
      </c>
      <c r="H5363" s="1930" t="s">
        <v>3971</v>
      </c>
      <c r="I5363" s="1930" t="s">
        <v>306</v>
      </c>
      <c r="J5363" s="1930" t="s">
        <v>320</v>
      </c>
      <c r="K5363" s="1933">
        <v>66.760000000000005</v>
      </c>
      <c r="L5363" s="1930" t="s">
        <v>138</v>
      </c>
    </row>
    <row r="5364" spans="1:12" ht="13.5" x14ac:dyDescent="0.25">
      <c r="A5364" s="1930" t="s">
        <v>4751</v>
      </c>
      <c r="B5364" s="1930" t="s">
        <v>4752</v>
      </c>
      <c r="C5364" s="1930" t="s">
        <v>4782</v>
      </c>
      <c r="D5364" s="1930" t="s">
        <v>4783</v>
      </c>
      <c r="E5364" s="1931" t="s">
        <v>33</v>
      </c>
      <c r="F5364" s="1930" t="s">
        <v>33</v>
      </c>
      <c r="G5364" s="1932">
        <v>87749</v>
      </c>
      <c r="H5364" s="1930" t="s">
        <v>3972</v>
      </c>
      <c r="I5364" s="1930" t="s">
        <v>306</v>
      </c>
      <c r="J5364" s="1930" t="s">
        <v>320</v>
      </c>
      <c r="K5364" s="1933">
        <v>73.31</v>
      </c>
      <c r="L5364" s="1930" t="s">
        <v>138</v>
      </c>
    </row>
    <row r="5365" spans="1:12" ht="13.5" x14ac:dyDescent="0.25">
      <c r="A5365" s="1930" t="s">
        <v>4751</v>
      </c>
      <c r="B5365" s="1930" t="s">
        <v>4752</v>
      </c>
      <c r="C5365" s="1930" t="s">
        <v>4782</v>
      </c>
      <c r="D5365" s="1930" t="s">
        <v>4783</v>
      </c>
      <c r="E5365" s="1931" t="s">
        <v>33</v>
      </c>
      <c r="F5365" s="1930" t="s">
        <v>33</v>
      </c>
      <c r="G5365" s="1932">
        <v>87755</v>
      </c>
      <c r="H5365" s="1930" t="s">
        <v>3973</v>
      </c>
      <c r="I5365" s="1930" t="s">
        <v>306</v>
      </c>
      <c r="J5365" s="1930" t="s">
        <v>320</v>
      </c>
      <c r="K5365" s="1933">
        <v>35.22</v>
      </c>
      <c r="L5365" s="1930" t="s">
        <v>138</v>
      </c>
    </row>
    <row r="5366" spans="1:12" ht="13.5" x14ac:dyDescent="0.25">
      <c r="A5366" s="1930" t="s">
        <v>4751</v>
      </c>
      <c r="B5366" s="1930" t="s">
        <v>4752</v>
      </c>
      <c r="C5366" s="1930" t="s">
        <v>4782</v>
      </c>
      <c r="D5366" s="1930" t="s">
        <v>4783</v>
      </c>
      <c r="E5366" s="1931" t="s">
        <v>33</v>
      </c>
      <c r="F5366" s="1930" t="s">
        <v>33</v>
      </c>
      <c r="G5366" s="1932">
        <v>87757</v>
      </c>
      <c r="H5366" s="1930" t="s">
        <v>3974</v>
      </c>
      <c r="I5366" s="1930" t="s">
        <v>306</v>
      </c>
      <c r="J5366" s="1930" t="s">
        <v>320</v>
      </c>
      <c r="K5366" s="1933">
        <v>38.979999999999997</v>
      </c>
      <c r="L5366" s="1930" t="s">
        <v>138</v>
      </c>
    </row>
    <row r="5367" spans="1:12" ht="13.5" x14ac:dyDescent="0.25">
      <c r="A5367" s="1930" t="s">
        <v>4751</v>
      </c>
      <c r="B5367" s="1930" t="s">
        <v>4752</v>
      </c>
      <c r="C5367" s="1930" t="s">
        <v>4782</v>
      </c>
      <c r="D5367" s="1930" t="s">
        <v>4783</v>
      </c>
      <c r="E5367" s="1931" t="s">
        <v>33</v>
      </c>
      <c r="F5367" s="1930" t="s">
        <v>33</v>
      </c>
      <c r="G5367" s="1932">
        <v>87758</v>
      </c>
      <c r="H5367" s="1930" t="s">
        <v>3975</v>
      </c>
      <c r="I5367" s="1930" t="s">
        <v>306</v>
      </c>
      <c r="J5367" s="1930" t="s">
        <v>320</v>
      </c>
      <c r="K5367" s="1933">
        <v>62.51</v>
      </c>
      <c r="L5367" s="1930" t="s">
        <v>138</v>
      </c>
    </row>
    <row r="5368" spans="1:12" ht="13.5" x14ac:dyDescent="0.25">
      <c r="A5368" s="1930" t="s">
        <v>4751</v>
      </c>
      <c r="B5368" s="1930" t="s">
        <v>4752</v>
      </c>
      <c r="C5368" s="1930" t="s">
        <v>4782</v>
      </c>
      <c r="D5368" s="1930" t="s">
        <v>4783</v>
      </c>
      <c r="E5368" s="1931" t="s">
        <v>33</v>
      </c>
      <c r="F5368" s="1930" t="s">
        <v>33</v>
      </c>
      <c r="G5368" s="1932">
        <v>87759</v>
      </c>
      <c r="H5368" s="1930" t="s">
        <v>3976</v>
      </c>
      <c r="I5368" s="1930" t="s">
        <v>306</v>
      </c>
      <c r="J5368" s="1930" t="s">
        <v>320</v>
      </c>
      <c r="K5368" s="1933">
        <v>69.06</v>
      </c>
      <c r="L5368" s="1930" t="s">
        <v>138</v>
      </c>
    </row>
    <row r="5369" spans="1:12" ht="13.5" x14ac:dyDescent="0.25">
      <c r="A5369" s="1930" t="s">
        <v>4751</v>
      </c>
      <c r="B5369" s="1930" t="s">
        <v>4752</v>
      </c>
      <c r="C5369" s="1930" t="s">
        <v>4782</v>
      </c>
      <c r="D5369" s="1930" t="s">
        <v>4783</v>
      </c>
      <c r="E5369" s="1931" t="s">
        <v>33</v>
      </c>
      <c r="F5369" s="1930" t="s">
        <v>33</v>
      </c>
      <c r="G5369" s="1932">
        <v>87765</v>
      </c>
      <c r="H5369" s="1930" t="s">
        <v>3977</v>
      </c>
      <c r="I5369" s="1930" t="s">
        <v>306</v>
      </c>
      <c r="J5369" s="1930" t="s">
        <v>320</v>
      </c>
      <c r="K5369" s="1933">
        <v>39.909999999999997</v>
      </c>
      <c r="L5369" s="1930" t="s">
        <v>138</v>
      </c>
    </row>
    <row r="5370" spans="1:12" ht="13.5" x14ac:dyDescent="0.25">
      <c r="A5370" s="1930" t="s">
        <v>4751</v>
      </c>
      <c r="B5370" s="1930" t="s">
        <v>4752</v>
      </c>
      <c r="C5370" s="1930" t="s">
        <v>4782</v>
      </c>
      <c r="D5370" s="1930" t="s">
        <v>4783</v>
      </c>
      <c r="E5370" s="1931" t="s">
        <v>33</v>
      </c>
      <c r="F5370" s="1930" t="s">
        <v>33</v>
      </c>
      <c r="G5370" s="1932">
        <v>87767</v>
      </c>
      <c r="H5370" s="1930" t="s">
        <v>3978</v>
      </c>
      <c r="I5370" s="1930" t="s">
        <v>306</v>
      </c>
      <c r="J5370" s="1930" t="s">
        <v>320</v>
      </c>
      <c r="K5370" s="1933">
        <v>44.54</v>
      </c>
      <c r="L5370" s="1930" t="s">
        <v>138</v>
      </c>
    </row>
    <row r="5371" spans="1:12" ht="13.5" x14ac:dyDescent="0.25">
      <c r="A5371" s="1930" t="s">
        <v>4751</v>
      </c>
      <c r="B5371" s="1930" t="s">
        <v>4752</v>
      </c>
      <c r="C5371" s="1930" t="s">
        <v>4782</v>
      </c>
      <c r="D5371" s="1930" t="s">
        <v>4783</v>
      </c>
      <c r="E5371" s="1931" t="s">
        <v>33</v>
      </c>
      <c r="F5371" s="1930" t="s">
        <v>33</v>
      </c>
      <c r="G5371" s="1932">
        <v>87768</v>
      </c>
      <c r="H5371" s="1930" t="s">
        <v>3979</v>
      </c>
      <c r="I5371" s="1930" t="s">
        <v>306</v>
      </c>
      <c r="J5371" s="1930" t="s">
        <v>320</v>
      </c>
      <c r="K5371" s="1933">
        <v>73.47</v>
      </c>
      <c r="L5371" s="1930" t="s">
        <v>138</v>
      </c>
    </row>
    <row r="5372" spans="1:12" ht="13.5" x14ac:dyDescent="0.25">
      <c r="A5372" s="1930" t="s">
        <v>4751</v>
      </c>
      <c r="B5372" s="1930" t="s">
        <v>4752</v>
      </c>
      <c r="C5372" s="1930" t="s">
        <v>4782</v>
      </c>
      <c r="D5372" s="1930" t="s">
        <v>4783</v>
      </c>
      <c r="E5372" s="1931" t="s">
        <v>33</v>
      </c>
      <c r="F5372" s="1930" t="s">
        <v>33</v>
      </c>
      <c r="G5372" s="1932">
        <v>87769</v>
      </c>
      <c r="H5372" s="1930" t="s">
        <v>3980</v>
      </c>
      <c r="I5372" s="1930" t="s">
        <v>306</v>
      </c>
      <c r="J5372" s="1930" t="s">
        <v>320</v>
      </c>
      <c r="K5372" s="1933">
        <v>81.53</v>
      </c>
      <c r="L5372" s="1930" t="s">
        <v>138</v>
      </c>
    </row>
    <row r="5373" spans="1:12" ht="13.5" x14ac:dyDescent="0.25">
      <c r="A5373" s="1930" t="s">
        <v>4751</v>
      </c>
      <c r="B5373" s="1930" t="s">
        <v>4752</v>
      </c>
      <c r="C5373" s="1930" t="s">
        <v>4782</v>
      </c>
      <c r="D5373" s="1930" t="s">
        <v>4783</v>
      </c>
      <c r="E5373" s="1931" t="s">
        <v>33</v>
      </c>
      <c r="F5373" s="1930" t="s">
        <v>33</v>
      </c>
      <c r="G5373" s="1932">
        <v>88470</v>
      </c>
      <c r="H5373" s="1930" t="s">
        <v>3981</v>
      </c>
      <c r="I5373" s="1930" t="s">
        <v>306</v>
      </c>
      <c r="J5373" s="1930" t="s">
        <v>320</v>
      </c>
      <c r="K5373" s="1933">
        <v>18.940000000000001</v>
      </c>
      <c r="L5373" s="1930" t="s">
        <v>138</v>
      </c>
    </row>
    <row r="5374" spans="1:12" ht="13.5" x14ac:dyDescent="0.25">
      <c r="A5374" s="1930" t="s">
        <v>4751</v>
      </c>
      <c r="B5374" s="1930" t="s">
        <v>4752</v>
      </c>
      <c r="C5374" s="1930" t="s">
        <v>4782</v>
      </c>
      <c r="D5374" s="1930" t="s">
        <v>4783</v>
      </c>
      <c r="E5374" s="1931" t="s">
        <v>33</v>
      </c>
      <c r="F5374" s="1930" t="s">
        <v>33</v>
      </c>
      <c r="G5374" s="1932">
        <v>88471</v>
      </c>
      <c r="H5374" s="1930" t="s">
        <v>3982</v>
      </c>
      <c r="I5374" s="1930" t="s">
        <v>306</v>
      </c>
      <c r="J5374" s="1930" t="s">
        <v>320</v>
      </c>
      <c r="K5374" s="1933">
        <v>23.42</v>
      </c>
      <c r="L5374" s="1930" t="s">
        <v>138</v>
      </c>
    </row>
    <row r="5375" spans="1:12" ht="13.5" x14ac:dyDescent="0.25">
      <c r="A5375" s="1930" t="s">
        <v>4751</v>
      </c>
      <c r="B5375" s="1930" t="s">
        <v>4752</v>
      </c>
      <c r="C5375" s="1930" t="s">
        <v>4782</v>
      </c>
      <c r="D5375" s="1930" t="s">
        <v>4783</v>
      </c>
      <c r="E5375" s="1931" t="s">
        <v>33</v>
      </c>
      <c r="F5375" s="1930" t="s">
        <v>33</v>
      </c>
      <c r="G5375" s="1932">
        <v>88472</v>
      </c>
      <c r="H5375" s="1930" t="s">
        <v>3983</v>
      </c>
      <c r="I5375" s="1930" t="s">
        <v>306</v>
      </c>
      <c r="J5375" s="1930" t="s">
        <v>320</v>
      </c>
      <c r="K5375" s="1933">
        <v>26.94</v>
      </c>
      <c r="L5375" s="1930" t="s">
        <v>138</v>
      </c>
    </row>
    <row r="5376" spans="1:12" ht="13.5" x14ac:dyDescent="0.25">
      <c r="A5376" s="1930" t="s">
        <v>4751</v>
      </c>
      <c r="B5376" s="1930" t="s">
        <v>4752</v>
      </c>
      <c r="C5376" s="1930" t="s">
        <v>4782</v>
      </c>
      <c r="D5376" s="1930" t="s">
        <v>4783</v>
      </c>
      <c r="E5376" s="1931" t="s">
        <v>33</v>
      </c>
      <c r="F5376" s="1930" t="s">
        <v>33</v>
      </c>
      <c r="G5376" s="1932">
        <v>88476</v>
      </c>
      <c r="H5376" s="1930" t="s">
        <v>3984</v>
      </c>
      <c r="I5376" s="1930" t="s">
        <v>306</v>
      </c>
      <c r="J5376" s="1930" t="s">
        <v>320</v>
      </c>
      <c r="K5376" s="1933">
        <v>16.02</v>
      </c>
      <c r="L5376" s="1930" t="s">
        <v>138</v>
      </c>
    </row>
    <row r="5377" spans="1:12" ht="13.5" x14ac:dyDescent="0.25">
      <c r="A5377" s="1930" t="s">
        <v>4751</v>
      </c>
      <c r="B5377" s="1930" t="s">
        <v>4752</v>
      </c>
      <c r="C5377" s="1930" t="s">
        <v>4782</v>
      </c>
      <c r="D5377" s="1930" t="s">
        <v>4783</v>
      </c>
      <c r="E5377" s="1931" t="s">
        <v>33</v>
      </c>
      <c r="F5377" s="1930" t="s">
        <v>33</v>
      </c>
      <c r="G5377" s="1932">
        <v>88477</v>
      </c>
      <c r="H5377" s="1930" t="s">
        <v>3985</v>
      </c>
      <c r="I5377" s="1930" t="s">
        <v>306</v>
      </c>
      <c r="J5377" s="1930" t="s">
        <v>320</v>
      </c>
      <c r="K5377" s="1933">
        <v>21.8</v>
      </c>
      <c r="L5377" s="1930" t="s">
        <v>138</v>
      </c>
    </row>
    <row r="5378" spans="1:12" ht="13.5" x14ac:dyDescent="0.25">
      <c r="A5378" s="1930" t="s">
        <v>4751</v>
      </c>
      <c r="B5378" s="1930" t="s">
        <v>4752</v>
      </c>
      <c r="C5378" s="1930" t="s">
        <v>4782</v>
      </c>
      <c r="D5378" s="1930" t="s">
        <v>4783</v>
      </c>
      <c r="E5378" s="1931" t="s">
        <v>33</v>
      </c>
      <c r="F5378" s="1930" t="s">
        <v>33</v>
      </c>
      <c r="G5378" s="1932">
        <v>88478</v>
      </c>
      <c r="H5378" s="1930" t="s">
        <v>3986</v>
      </c>
      <c r="I5378" s="1930" t="s">
        <v>306</v>
      </c>
      <c r="J5378" s="1930" t="s">
        <v>320</v>
      </c>
      <c r="K5378" s="1933">
        <v>26.49</v>
      </c>
      <c r="L5378" s="1930" t="s">
        <v>138</v>
      </c>
    </row>
    <row r="5379" spans="1:12" ht="13.5" x14ac:dyDescent="0.25">
      <c r="A5379" s="1930" t="s">
        <v>4751</v>
      </c>
      <c r="B5379" s="1930" t="s">
        <v>4752</v>
      </c>
      <c r="C5379" s="1930" t="s">
        <v>4782</v>
      </c>
      <c r="D5379" s="1930" t="s">
        <v>4783</v>
      </c>
      <c r="E5379" s="1931" t="s">
        <v>33</v>
      </c>
      <c r="F5379" s="1930" t="s">
        <v>33</v>
      </c>
      <c r="G5379" s="1932">
        <v>90900</v>
      </c>
      <c r="H5379" s="1930" t="s">
        <v>3987</v>
      </c>
      <c r="I5379" s="1930" t="s">
        <v>306</v>
      </c>
      <c r="J5379" s="1930" t="s">
        <v>320</v>
      </c>
      <c r="K5379" s="1933">
        <v>55.86</v>
      </c>
      <c r="L5379" s="1930" t="s">
        <v>138</v>
      </c>
    </row>
    <row r="5380" spans="1:12" ht="13.5" x14ac:dyDescent="0.25">
      <c r="A5380" s="1930" t="s">
        <v>4751</v>
      </c>
      <c r="B5380" s="1930" t="s">
        <v>4752</v>
      </c>
      <c r="C5380" s="1930" t="s">
        <v>4782</v>
      </c>
      <c r="D5380" s="1930" t="s">
        <v>4783</v>
      </c>
      <c r="E5380" s="1931" t="s">
        <v>33</v>
      </c>
      <c r="F5380" s="1930" t="s">
        <v>33</v>
      </c>
      <c r="G5380" s="1932">
        <v>90902</v>
      </c>
      <c r="H5380" s="1930" t="s">
        <v>3988</v>
      </c>
      <c r="I5380" s="1930" t="s">
        <v>306</v>
      </c>
      <c r="J5380" s="1930" t="s">
        <v>320</v>
      </c>
      <c r="K5380" s="1933">
        <v>61.15</v>
      </c>
      <c r="L5380" s="1930" t="s">
        <v>138</v>
      </c>
    </row>
    <row r="5381" spans="1:12" ht="13.5" x14ac:dyDescent="0.25">
      <c r="A5381" s="1930" t="s">
        <v>4751</v>
      </c>
      <c r="B5381" s="1930" t="s">
        <v>4752</v>
      </c>
      <c r="C5381" s="1930" t="s">
        <v>4782</v>
      </c>
      <c r="D5381" s="1930" t="s">
        <v>4783</v>
      </c>
      <c r="E5381" s="1931" t="s">
        <v>33</v>
      </c>
      <c r="F5381" s="1930" t="s">
        <v>33</v>
      </c>
      <c r="G5381" s="1932">
        <v>90903</v>
      </c>
      <c r="H5381" s="1930" t="s">
        <v>3989</v>
      </c>
      <c r="I5381" s="1930" t="s">
        <v>306</v>
      </c>
      <c r="J5381" s="1930" t="s">
        <v>320</v>
      </c>
      <c r="K5381" s="1933">
        <v>94.3</v>
      </c>
      <c r="L5381" s="1930" t="s">
        <v>138</v>
      </c>
    </row>
    <row r="5382" spans="1:12" ht="13.5" x14ac:dyDescent="0.25">
      <c r="A5382" s="1930" t="s">
        <v>4751</v>
      </c>
      <c r="B5382" s="1930" t="s">
        <v>4752</v>
      </c>
      <c r="C5382" s="1930" t="s">
        <v>4782</v>
      </c>
      <c r="D5382" s="1930" t="s">
        <v>4783</v>
      </c>
      <c r="E5382" s="1931" t="s">
        <v>33</v>
      </c>
      <c r="F5382" s="1930" t="s">
        <v>33</v>
      </c>
      <c r="G5382" s="1932">
        <v>90904</v>
      </c>
      <c r="H5382" s="1930" t="s">
        <v>3990</v>
      </c>
      <c r="I5382" s="1930" t="s">
        <v>306</v>
      </c>
      <c r="J5382" s="1930" t="s">
        <v>320</v>
      </c>
      <c r="K5382" s="1933">
        <v>103.52</v>
      </c>
      <c r="L5382" s="1930" t="s">
        <v>138</v>
      </c>
    </row>
    <row r="5383" spans="1:12" ht="13.5" x14ac:dyDescent="0.25">
      <c r="A5383" s="1930" t="s">
        <v>4751</v>
      </c>
      <c r="B5383" s="1930" t="s">
        <v>4752</v>
      </c>
      <c r="C5383" s="1930" t="s">
        <v>4782</v>
      </c>
      <c r="D5383" s="1930" t="s">
        <v>4783</v>
      </c>
      <c r="E5383" s="1931" t="s">
        <v>33</v>
      </c>
      <c r="F5383" s="1930" t="s">
        <v>33</v>
      </c>
      <c r="G5383" s="1932">
        <v>90910</v>
      </c>
      <c r="H5383" s="1930" t="s">
        <v>3991</v>
      </c>
      <c r="I5383" s="1930" t="s">
        <v>306</v>
      </c>
      <c r="J5383" s="1930" t="s">
        <v>320</v>
      </c>
      <c r="K5383" s="1933">
        <v>59.27</v>
      </c>
      <c r="L5383" s="1930" t="s">
        <v>138</v>
      </c>
    </row>
    <row r="5384" spans="1:12" ht="13.5" x14ac:dyDescent="0.25">
      <c r="A5384" s="1930" t="s">
        <v>4751</v>
      </c>
      <c r="B5384" s="1930" t="s">
        <v>4752</v>
      </c>
      <c r="C5384" s="1930" t="s">
        <v>4782</v>
      </c>
      <c r="D5384" s="1930" t="s">
        <v>4783</v>
      </c>
      <c r="E5384" s="1931" t="s">
        <v>33</v>
      </c>
      <c r="F5384" s="1930" t="s">
        <v>33</v>
      </c>
      <c r="G5384" s="1932">
        <v>90912</v>
      </c>
      <c r="H5384" s="1930" t="s">
        <v>3992</v>
      </c>
      <c r="I5384" s="1930" t="s">
        <v>306</v>
      </c>
      <c r="J5384" s="1930" t="s">
        <v>320</v>
      </c>
      <c r="K5384" s="1933">
        <v>65.040000000000006</v>
      </c>
      <c r="L5384" s="1930" t="s">
        <v>138</v>
      </c>
    </row>
    <row r="5385" spans="1:12" ht="13.5" x14ac:dyDescent="0.25">
      <c r="A5385" s="1930" t="s">
        <v>4751</v>
      </c>
      <c r="B5385" s="1930" t="s">
        <v>4752</v>
      </c>
      <c r="C5385" s="1930" t="s">
        <v>4782</v>
      </c>
      <c r="D5385" s="1930" t="s">
        <v>4783</v>
      </c>
      <c r="E5385" s="1931" t="s">
        <v>33</v>
      </c>
      <c r="F5385" s="1930" t="s">
        <v>33</v>
      </c>
      <c r="G5385" s="1932">
        <v>90913</v>
      </c>
      <c r="H5385" s="1930" t="s">
        <v>3993</v>
      </c>
      <c r="I5385" s="1930" t="s">
        <v>306</v>
      </c>
      <c r="J5385" s="1930" t="s">
        <v>320</v>
      </c>
      <c r="K5385" s="1933">
        <v>101.13</v>
      </c>
      <c r="L5385" s="1930" t="s">
        <v>138</v>
      </c>
    </row>
    <row r="5386" spans="1:12" ht="13.5" x14ac:dyDescent="0.25">
      <c r="A5386" s="1930" t="s">
        <v>4751</v>
      </c>
      <c r="B5386" s="1930" t="s">
        <v>4752</v>
      </c>
      <c r="C5386" s="1930" t="s">
        <v>4782</v>
      </c>
      <c r="D5386" s="1930" t="s">
        <v>4783</v>
      </c>
      <c r="E5386" s="1931" t="s">
        <v>33</v>
      </c>
      <c r="F5386" s="1930" t="s">
        <v>33</v>
      </c>
      <c r="G5386" s="1932">
        <v>90914</v>
      </c>
      <c r="H5386" s="1930" t="s">
        <v>3994</v>
      </c>
      <c r="I5386" s="1930" t="s">
        <v>306</v>
      </c>
      <c r="J5386" s="1930" t="s">
        <v>320</v>
      </c>
      <c r="K5386" s="1933">
        <v>111.17</v>
      </c>
      <c r="L5386" s="1930" t="s">
        <v>138</v>
      </c>
    </row>
    <row r="5387" spans="1:12" ht="13.5" x14ac:dyDescent="0.25">
      <c r="A5387" s="1930" t="s">
        <v>4751</v>
      </c>
      <c r="B5387" s="1930" t="s">
        <v>4752</v>
      </c>
      <c r="C5387" s="1930" t="s">
        <v>4782</v>
      </c>
      <c r="D5387" s="1930" t="s">
        <v>4783</v>
      </c>
      <c r="E5387" s="1931" t="s">
        <v>33</v>
      </c>
      <c r="F5387" s="1930" t="s">
        <v>33</v>
      </c>
      <c r="G5387" s="1932">
        <v>90920</v>
      </c>
      <c r="H5387" s="1930" t="s">
        <v>3995</v>
      </c>
      <c r="I5387" s="1930" t="s">
        <v>306</v>
      </c>
      <c r="J5387" s="1930" t="s">
        <v>320</v>
      </c>
      <c r="K5387" s="1933">
        <v>65.55</v>
      </c>
      <c r="L5387" s="1930" t="s">
        <v>138</v>
      </c>
    </row>
    <row r="5388" spans="1:12" ht="13.5" x14ac:dyDescent="0.25">
      <c r="A5388" s="1930" t="s">
        <v>4751</v>
      </c>
      <c r="B5388" s="1930" t="s">
        <v>4752</v>
      </c>
      <c r="C5388" s="1930" t="s">
        <v>4782</v>
      </c>
      <c r="D5388" s="1930" t="s">
        <v>4783</v>
      </c>
      <c r="E5388" s="1931" t="s">
        <v>33</v>
      </c>
      <c r="F5388" s="1930" t="s">
        <v>33</v>
      </c>
      <c r="G5388" s="1932">
        <v>90922</v>
      </c>
      <c r="H5388" s="1930" t="s">
        <v>3996</v>
      </c>
      <c r="I5388" s="1930" t="s">
        <v>306</v>
      </c>
      <c r="J5388" s="1930" t="s">
        <v>320</v>
      </c>
      <c r="K5388" s="1933">
        <v>72.180000000000007</v>
      </c>
      <c r="L5388" s="1930" t="s">
        <v>138</v>
      </c>
    </row>
    <row r="5389" spans="1:12" ht="13.5" x14ac:dyDescent="0.25">
      <c r="A5389" s="1930" t="s">
        <v>4751</v>
      </c>
      <c r="B5389" s="1930" t="s">
        <v>4752</v>
      </c>
      <c r="C5389" s="1930" t="s">
        <v>4782</v>
      </c>
      <c r="D5389" s="1930" t="s">
        <v>4783</v>
      </c>
      <c r="E5389" s="1931" t="s">
        <v>33</v>
      </c>
      <c r="F5389" s="1930" t="s">
        <v>33</v>
      </c>
      <c r="G5389" s="1932">
        <v>90923</v>
      </c>
      <c r="H5389" s="1930" t="s">
        <v>3997</v>
      </c>
      <c r="I5389" s="1930" t="s">
        <v>306</v>
      </c>
      <c r="J5389" s="1930" t="s">
        <v>320</v>
      </c>
      <c r="K5389" s="1933">
        <v>113.68</v>
      </c>
      <c r="L5389" s="1930" t="s">
        <v>138</v>
      </c>
    </row>
    <row r="5390" spans="1:12" ht="13.5" x14ac:dyDescent="0.25">
      <c r="A5390" s="1930" t="s">
        <v>4751</v>
      </c>
      <c r="B5390" s="1930" t="s">
        <v>4752</v>
      </c>
      <c r="C5390" s="1930" t="s">
        <v>4782</v>
      </c>
      <c r="D5390" s="1930" t="s">
        <v>4783</v>
      </c>
      <c r="E5390" s="1931" t="s">
        <v>33</v>
      </c>
      <c r="F5390" s="1930" t="s">
        <v>33</v>
      </c>
      <c r="G5390" s="1932">
        <v>90924</v>
      </c>
      <c r="H5390" s="1930" t="s">
        <v>3998</v>
      </c>
      <c r="I5390" s="1930" t="s">
        <v>306</v>
      </c>
      <c r="J5390" s="1930" t="s">
        <v>320</v>
      </c>
      <c r="K5390" s="1933">
        <v>125.23</v>
      </c>
      <c r="L5390" s="1930" t="s">
        <v>138</v>
      </c>
    </row>
    <row r="5391" spans="1:12" ht="13.5" x14ac:dyDescent="0.25">
      <c r="A5391" s="1930" t="s">
        <v>4751</v>
      </c>
      <c r="B5391" s="1930" t="s">
        <v>4752</v>
      </c>
      <c r="C5391" s="1930" t="s">
        <v>4782</v>
      </c>
      <c r="D5391" s="1930" t="s">
        <v>4783</v>
      </c>
      <c r="E5391" s="1931" t="s">
        <v>33</v>
      </c>
      <c r="F5391" s="1930" t="s">
        <v>33</v>
      </c>
      <c r="G5391" s="1932">
        <v>90930</v>
      </c>
      <c r="H5391" s="1930" t="s">
        <v>3999</v>
      </c>
      <c r="I5391" s="1930" t="s">
        <v>306</v>
      </c>
      <c r="J5391" s="1930" t="s">
        <v>320</v>
      </c>
      <c r="K5391" s="1933">
        <v>50.59</v>
      </c>
      <c r="L5391" s="1930" t="s">
        <v>138</v>
      </c>
    </row>
    <row r="5392" spans="1:12" ht="13.5" x14ac:dyDescent="0.25">
      <c r="A5392" s="1930" t="s">
        <v>4751</v>
      </c>
      <c r="B5392" s="1930" t="s">
        <v>4752</v>
      </c>
      <c r="C5392" s="1930" t="s">
        <v>4782</v>
      </c>
      <c r="D5392" s="1930" t="s">
        <v>4783</v>
      </c>
      <c r="E5392" s="1931" t="s">
        <v>33</v>
      </c>
      <c r="F5392" s="1930" t="s">
        <v>33</v>
      </c>
      <c r="G5392" s="1932">
        <v>90932</v>
      </c>
      <c r="H5392" s="1930" t="s">
        <v>4000</v>
      </c>
      <c r="I5392" s="1930" t="s">
        <v>306</v>
      </c>
      <c r="J5392" s="1930" t="s">
        <v>320</v>
      </c>
      <c r="K5392" s="1933">
        <v>55.88</v>
      </c>
      <c r="L5392" s="1930" t="s">
        <v>138</v>
      </c>
    </row>
    <row r="5393" spans="1:12" ht="13.5" x14ac:dyDescent="0.25">
      <c r="A5393" s="1930" t="s">
        <v>4751</v>
      </c>
      <c r="B5393" s="1930" t="s">
        <v>4752</v>
      </c>
      <c r="C5393" s="1930" t="s">
        <v>4782</v>
      </c>
      <c r="D5393" s="1930" t="s">
        <v>4783</v>
      </c>
      <c r="E5393" s="1931" t="s">
        <v>33</v>
      </c>
      <c r="F5393" s="1930" t="s">
        <v>33</v>
      </c>
      <c r="G5393" s="1932">
        <v>90933</v>
      </c>
      <c r="H5393" s="1930" t="s">
        <v>4001</v>
      </c>
      <c r="I5393" s="1930" t="s">
        <v>306</v>
      </c>
      <c r="J5393" s="1930" t="s">
        <v>320</v>
      </c>
      <c r="K5393" s="1933">
        <v>89.03</v>
      </c>
      <c r="L5393" s="1930" t="s">
        <v>138</v>
      </c>
    </row>
    <row r="5394" spans="1:12" ht="13.5" x14ac:dyDescent="0.25">
      <c r="A5394" s="1930" t="s">
        <v>4751</v>
      </c>
      <c r="B5394" s="1930" t="s">
        <v>4752</v>
      </c>
      <c r="C5394" s="1930" t="s">
        <v>4782</v>
      </c>
      <c r="D5394" s="1930" t="s">
        <v>4783</v>
      </c>
      <c r="E5394" s="1931" t="s">
        <v>33</v>
      </c>
      <c r="F5394" s="1930" t="s">
        <v>33</v>
      </c>
      <c r="G5394" s="1932">
        <v>90934</v>
      </c>
      <c r="H5394" s="1930" t="s">
        <v>4002</v>
      </c>
      <c r="I5394" s="1930" t="s">
        <v>306</v>
      </c>
      <c r="J5394" s="1930" t="s">
        <v>320</v>
      </c>
      <c r="K5394" s="1933">
        <v>98.25</v>
      </c>
      <c r="L5394" s="1930" t="s">
        <v>138</v>
      </c>
    </row>
    <row r="5395" spans="1:12" ht="13.5" x14ac:dyDescent="0.25">
      <c r="A5395" s="1930" t="s">
        <v>4751</v>
      </c>
      <c r="B5395" s="1930" t="s">
        <v>4752</v>
      </c>
      <c r="C5395" s="1930" t="s">
        <v>4782</v>
      </c>
      <c r="D5395" s="1930" t="s">
        <v>4783</v>
      </c>
      <c r="E5395" s="1931" t="s">
        <v>33</v>
      </c>
      <c r="F5395" s="1930" t="s">
        <v>33</v>
      </c>
      <c r="G5395" s="1932">
        <v>90940</v>
      </c>
      <c r="H5395" s="1930" t="s">
        <v>4003</v>
      </c>
      <c r="I5395" s="1930" t="s">
        <v>306</v>
      </c>
      <c r="J5395" s="1930" t="s">
        <v>320</v>
      </c>
      <c r="K5395" s="1933">
        <v>54.02</v>
      </c>
      <c r="L5395" s="1930" t="s">
        <v>138</v>
      </c>
    </row>
    <row r="5396" spans="1:12" ht="13.5" x14ac:dyDescent="0.25">
      <c r="A5396" s="1930" t="s">
        <v>4751</v>
      </c>
      <c r="B5396" s="1930" t="s">
        <v>4752</v>
      </c>
      <c r="C5396" s="1930" t="s">
        <v>4782</v>
      </c>
      <c r="D5396" s="1930" t="s">
        <v>4783</v>
      </c>
      <c r="E5396" s="1931" t="s">
        <v>33</v>
      </c>
      <c r="F5396" s="1930" t="s">
        <v>33</v>
      </c>
      <c r="G5396" s="1932">
        <v>90942</v>
      </c>
      <c r="H5396" s="1930" t="s">
        <v>4004</v>
      </c>
      <c r="I5396" s="1930" t="s">
        <v>306</v>
      </c>
      <c r="J5396" s="1930" t="s">
        <v>320</v>
      </c>
      <c r="K5396" s="1933">
        <v>59.79</v>
      </c>
      <c r="L5396" s="1930" t="s">
        <v>138</v>
      </c>
    </row>
    <row r="5397" spans="1:12" ht="13.5" x14ac:dyDescent="0.25">
      <c r="A5397" s="1930" t="s">
        <v>4751</v>
      </c>
      <c r="B5397" s="1930" t="s">
        <v>4752</v>
      </c>
      <c r="C5397" s="1930" t="s">
        <v>4782</v>
      </c>
      <c r="D5397" s="1930" t="s">
        <v>4783</v>
      </c>
      <c r="E5397" s="1931" t="s">
        <v>33</v>
      </c>
      <c r="F5397" s="1930" t="s">
        <v>33</v>
      </c>
      <c r="G5397" s="1932">
        <v>90943</v>
      </c>
      <c r="H5397" s="1930" t="s">
        <v>4005</v>
      </c>
      <c r="I5397" s="1930" t="s">
        <v>306</v>
      </c>
      <c r="J5397" s="1930" t="s">
        <v>320</v>
      </c>
      <c r="K5397" s="1933">
        <v>95.88</v>
      </c>
      <c r="L5397" s="1930" t="s">
        <v>138</v>
      </c>
    </row>
    <row r="5398" spans="1:12" ht="13.5" x14ac:dyDescent="0.25">
      <c r="A5398" s="1930" t="s">
        <v>4751</v>
      </c>
      <c r="B5398" s="1930" t="s">
        <v>4752</v>
      </c>
      <c r="C5398" s="1930" t="s">
        <v>4782</v>
      </c>
      <c r="D5398" s="1930" t="s">
        <v>4783</v>
      </c>
      <c r="E5398" s="1931" t="s">
        <v>33</v>
      </c>
      <c r="F5398" s="1930" t="s">
        <v>33</v>
      </c>
      <c r="G5398" s="1932">
        <v>90944</v>
      </c>
      <c r="H5398" s="1930" t="s">
        <v>4006</v>
      </c>
      <c r="I5398" s="1930" t="s">
        <v>306</v>
      </c>
      <c r="J5398" s="1930" t="s">
        <v>320</v>
      </c>
      <c r="K5398" s="1933">
        <v>105.92</v>
      </c>
      <c r="L5398" s="1930" t="s">
        <v>138</v>
      </c>
    </row>
    <row r="5399" spans="1:12" ht="13.5" x14ac:dyDescent="0.25">
      <c r="A5399" s="1930" t="s">
        <v>4751</v>
      </c>
      <c r="B5399" s="1930" t="s">
        <v>4752</v>
      </c>
      <c r="C5399" s="1930" t="s">
        <v>4782</v>
      </c>
      <c r="D5399" s="1930" t="s">
        <v>4783</v>
      </c>
      <c r="E5399" s="1931" t="s">
        <v>33</v>
      </c>
      <c r="F5399" s="1930" t="s">
        <v>33</v>
      </c>
      <c r="G5399" s="1932">
        <v>90950</v>
      </c>
      <c r="H5399" s="1930" t="s">
        <v>4007</v>
      </c>
      <c r="I5399" s="1930" t="s">
        <v>306</v>
      </c>
      <c r="J5399" s="1930" t="s">
        <v>320</v>
      </c>
      <c r="K5399" s="1933">
        <v>60.28</v>
      </c>
      <c r="L5399" s="1930" t="s">
        <v>138</v>
      </c>
    </row>
    <row r="5400" spans="1:12" ht="13.5" x14ac:dyDescent="0.25">
      <c r="A5400" s="1930" t="s">
        <v>4751</v>
      </c>
      <c r="B5400" s="1930" t="s">
        <v>4752</v>
      </c>
      <c r="C5400" s="1930" t="s">
        <v>4782</v>
      </c>
      <c r="D5400" s="1930" t="s">
        <v>4783</v>
      </c>
      <c r="E5400" s="1931" t="s">
        <v>33</v>
      </c>
      <c r="F5400" s="1930" t="s">
        <v>33</v>
      </c>
      <c r="G5400" s="1932">
        <v>90952</v>
      </c>
      <c r="H5400" s="1930" t="s">
        <v>4008</v>
      </c>
      <c r="I5400" s="1930" t="s">
        <v>306</v>
      </c>
      <c r="J5400" s="1930" t="s">
        <v>320</v>
      </c>
      <c r="K5400" s="1933">
        <v>66.91</v>
      </c>
      <c r="L5400" s="1930" t="s">
        <v>138</v>
      </c>
    </row>
    <row r="5401" spans="1:12" ht="13.5" x14ac:dyDescent="0.25">
      <c r="A5401" s="1930" t="s">
        <v>4751</v>
      </c>
      <c r="B5401" s="1930" t="s">
        <v>4752</v>
      </c>
      <c r="C5401" s="1930" t="s">
        <v>4782</v>
      </c>
      <c r="D5401" s="1930" t="s">
        <v>4783</v>
      </c>
      <c r="E5401" s="1931" t="s">
        <v>33</v>
      </c>
      <c r="F5401" s="1930" t="s">
        <v>33</v>
      </c>
      <c r="G5401" s="1932">
        <v>90953</v>
      </c>
      <c r="H5401" s="1930" t="s">
        <v>4009</v>
      </c>
      <c r="I5401" s="1930" t="s">
        <v>306</v>
      </c>
      <c r="J5401" s="1930" t="s">
        <v>320</v>
      </c>
      <c r="K5401" s="1933">
        <v>108.41</v>
      </c>
      <c r="L5401" s="1930" t="s">
        <v>138</v>
      </c>
    </row>
    <row r="5402" spans="1:12" ht="13.5" x14ac:dyDescent="0.25">
      <c r="A5402" s="1930" t="s">
        <v>4751</v>
      </c>
      <c r="B5402" s="1930" t="s">
        <v>4752</v>
      </c>
      <c r="C5402" s="1930" t="s">
        <v>4782</v>
      </c>
      <c r="D5402" s="1930" t="s">
        <v>4783</v>
      </c>
      <c r="E5402" s="1931" t="s">
        <v>33</v>
      </c>
      <c r="F5402" s="1930" t="s">
        <v>33</v>
      </c>
      <c r="G5402" s="1932">
        <v>90954</v>
      </c>
      <c r="H5402" s="1930" t="s">
        <v>4010</v>
      </c>
      <c r="I5402" s="1930" t="s">
        <v>306</v>
      </c>
      <c r="J5402" s="1930" t="s">
        <v>320</v>
      </c>
      <c r="K5402" s="1933">
        <v>119.96</v>
      </c>
      <c r="L5402" s="1930" t="s">
        <v>138</v>
      </c>
    </row>
    <row r="5403" spans="1:12" ht="13.5" x14ac:dyDescent="0.25">
      <c r="A5403" s="1930" t="s">
        <v>4751</v>
      </c>
      <c r="B5403" s="1930" t="s">
        <v>4752</v>
      </c>
      <c r="C5403" s="1930" t="s">
        <v>4782</v>
      </c>
      <c r="D5403" s="1930" t="s">
        <v>4783</v>
      </c>
      <c r="E5403" s="1931" t="s">
        <v>33</v>
      </c>
      <c r="F5403" s="1930" t="s">
        <v>33</v>
      </c>
      <c r="G5403" s="1932">
        <v>94438</v>
      </c>
      <c r="H5403" s="1930" t="s">
        <v>4011</v>
      </c>
      <c r="I5403" s="1930" t="s">
        <v>306</v>
      </c>
      <c r="J5403" s="1930" t="s">
        <v>320</v>
      </c>
      <c r="K5403" s="1933">
        <v>33.450000000000003</v>
      </c>
      <c r="L5403" s="1930" t="s">
        <v>138</v>
      </c>
    </row>
    <row r="5404" spans="1:12" ht="13.5" x14ac:dyDescent="0.25">
      <c r="A5404" s="1930" t="s">
        <v>4751</v>
      </c>
      <c r="B5404" s="1930" t="s">
        <v>4752</v>
      </c>
      <c r="C5404" s="1930" t="s">
        <v>4782</v>
      </c>
      <c r="D5404" s="1930" t="s">
        <v>4783</v>
      </c>
      <c r="E5404" s="1931" t="s">
        <v>33</v>
      </c>
      <c r="F5404" s="1930" t="s">
        <v>33</v>
      </c>
      <c r="G5404" s="1932">
        <v>94439</v>
      </c>
      <c r="H5404" s="1930" t="s">
        <v>4012</v>
      </c>
      <c r="I5404" s="1930" t="s">
        <v>306</v>
      </c>
      <c r="J5404" s="1930" t="s">
        <v>320</v>
      </c>
      <c r="K5404" s="1933">
        <v>37.200000000000003</v>
      </c>
      <c r="L5404" s="1930" t="s">
        <v>138</v>
      </c>
    </row>
    <row r="5405" spans="1:12" ht="13.5" x14ac:dyDescent="0.25">
      <c r="A5405" s="1930" t="s">
        <v>4751</v>
      </c>
      <c r="B5405" s="1930" t="s">
        <v>4752</v>
      </c>
      <c r="C5405" s="1930" t="s">
        <v>4782</v>
      </c>
      <c r="D5405" s="1930" t="s">
        <v>4783</v>
      </c>
      <c r="E5405" s="1931" t="s">
        <v>33</v>
      </c>
      <c r="F5405" s="1930" t="s">
        <v>33</v>
      </c>
      <c r="G5405" s="1932">
        <v>94779</v>
      </c>
      <c r="H5405" s="1930" t="s">
        <v>4013</v>
      </c>
      <c r="I5405" s="1930" t="s">
        <v>306</v>
      </c>
      <c r="J5405" s="1930" t="s">
        <v>320</v>
      </c>
      <c r="K5405" s="1933">
        <v>32.53</v>
      </c>
      <c r="L5405" s="1930" t="s">
        <v>138</v>
      </c>
    </row>
    <row r="5406" spans="1:12" ht="13.5" x14ac:dyDescent="0.25">
      <c r="A5406" s="1930" t="s">
        <v>4751</v>
      </c>
      <c r="B5406" s="1930" t="s">
        <v>4752</v>
      </c>
      <c r="C5406" s="1930" t="s">
        <v>4782</v>
      </c>
      <c r="D5406" s="1930" t="s">
        <v>4783</v>
      </c>
      <c r="E5406" s="1931" t="s">
        <v>33</v>
      </c>
      <c r="F5406" s="1930" t="s">
        <v>33</v>
      </c>
      <c r="G5406" s="1932">
        <v>94782</v>
      </c>
      <c r="H5406" s="1930" t="s">
        <v>4014</v>
      </c>
      <c r="I5406" s="1930" t="s">
        <v>306</v>
      </c>
      <c r="J5406" s="1930" t="s">
        <v>320</v>
      </c>
      <c r="K5406" s="1933">
        <v>36.69</v>
      </c>
      <c r="L5406" s="1930" t="s">
        <v>138</v>
      </c>
    </row>
    <row r="5407" spans="1:12" ht="13.5" x14ac:dyDescent="0.25">
      <c r="A5407" s="1930" t="s">
        <v>4751</v>
      </c>
      <c r="B5407" s="1930" t="s">
        <v>4752</v>
      </c>
      <c r="C5407" s="1930" t="s">
        <v>4784</v>
      </c>
      <c r="D5407" s="1930" t="s">
        <v>4785</v>
      </c>
      <c r="E5407" s="1931" t="s">
        <v>33</v>
      </c>
      <c r="F5407" s="1930" t="s">
        <v>33</v>
      </c>
      <c r="G5407" s="1932">
        <v>72190</v>
      </c>
      <c r="H5407" s="1930" t="s">
        <v>4015</v>
      </c>
      <c r="I5407" s="1930" t="s">
        <v>136</v>
      </c>
      <c r="J5407" s="1930" t="s">
        <v>320</v>
      </c>
      <c r="K5407" s="1933">
        <v>30.31</v>
      </c>
      <c r="L5407" s="1930" t="s">
        <v>138</v>
      </c>
    </row>
    <row r="5408" spans="1:12" ht="13.5" x14ac:dyDescent="0.25">
      <c r="A5408" s="1930" t="s">
        <v>4786</v>
      </c>
      <c r="B5408" s="1930" t="s">
        <v>4787</v>
      </c>
      <c r="C5408" s="1930" t="s">
        <v>4788</v>
      </c>
      <c r="D5408" s="1930" t="s">
        <v>4789</v>
      </c>
      <c r="E5408" s="1931" t="s">
        <v>33</v>
      </c>
      <c r="F5408" s="1930" t="s">
        <v>33</v>
      </c>
      <c r="G5408" s="1932">
        <v>87871</v>
      </c>
      <c r="H5408" s="1930" t="s">
        <v>4016</v>
      </c>
      <c r="I5408" s="1930" t="s">
        <v>306</v>
      </c>
      <c r="J5408" s="1930" t="s">
        <v>320</v>
      </c>
      <c r="K5408" s="1933">
        <v>12.42</v>
      </c>
      <c r="L5408" s="1930" t="s">
        <v>138</v>
      </c>
    </row>
    <row r="5409" spans="1:12" ht="13.5" x14ac:dyDescent="0.25">
      <c r="A5409" s="1930" t="s">
        <v>4786</v>
      </c>
      <c r="B5409" s="1930" t="s">
        <v>4787</v>
      </c>
      <c r="C5409" s="1930" t="s">
        <v>4788</v>
      </c>
      <c r="D5409" s="1930" t="s">
        <v>4789</v>
      </c>
      <c r="E5409" s="1931" t="s">
        <v>33</v>
      </c>
      <c r="F5409" s="1930" t="s">
        <v>33</v>
      </c>
      <c r="G5409" s="1932">
        <v>87872</v>
      </c>
      <c r="H5409" s="1930" t="s">
        <v>4017</v>
      </c>
      <c r="I5409" s="1930" t="s">
        <v>306</v>
      </c>
      <c r="J5409" s="1930" t="s">
        <v>320</v>
      </c>
      <c r="K5409" s="1933">
        <v>11.85</v>
      </c>
      <c r="L5409" s="1930" t="s">
        <v>138</v>
      </c>
    </row>
    <row r="5410" spans="1:12" ht="13.5" x14ac:dyDescent="0.25">
      <c r="A5410" s="1930" t="s">
        <v>4786</v>
      </c>
      <c r="B5410" s="1930" t="s">
        <v>4787</v>
      </c>
      <c r="C5410" s="1930" t="s">
        <v>4788</v>
      </c>
      <c r="D5410" s="1930" t="s">
        <v>4789</v>
      </c>
      <c r="E5410" s="1931" t="s">
        <v>33</v>
      </c>
      <c r="F5410" s="1930" t="s">
        <v>33</v>
      </c>
      <c r="G5410" s="1932">
        <v>87873</v>
      </c>
      <c r="H5410" s="1930" t="s">
        <v>4018</v>
      </c>
      <c r="I5410" s="1930" t="s">
        <v>306</v>
      </c>
      <c r="J5410" s="1930" t="s">
        <v>320</v>
      </c>
      <c r="K5410" s="1933">
        <v>4.74</v>
      </c>
      <c r="L5410" s="1930" t="s">
        <v>138</v>
      </c>
    </row>
    <row r="5411" spans="1:12" ht="13.5" x14ac:dyDescent="0.25">
      <c r="A5411" s="1930" t="s">
        <v>4786</v>
      </c>
      <c r="B5411" s="1930" t="s">
        <v>4787</v>
      </c>
      <c r="C5411" s="1930" t="s">
        <v>4788</v>
      </c>
      <c r="D5411" s="1930" t="s">
        <v>4789</v>
      </c>
      <c r="E5411" s="1931" t="s">
        <v>33</v>
      </c>
      <c r="F5411" s="1930" t="s">
        <v>33</v>
      </c>
      <c r="G5411" s="1932">
        <v>87874</v>
      </c>
      <c r="H5411" s="1930" t="s">
        <v>4019</v>
      </c>
      <c r="I5411" s="1930" t="s">
        <v>306</v>
      </c>
      <c r="J5411" s="1930" t="s">
        <v>320</v>
      </c>
      <c r="K5411" s="1933">
        <v>4.62</v>
      </c>
      <c r="L5411" s="1930" t="s">
        <v>138</v>
      </c>
    </row>
    <row r="5412" spans="1:12" ht="13.5" x14ac:dyDescent="0.25">
      <c r="A5412" s="1930" t="s">
        <v>4786</v>
      </c>
      <c r="B5412" s="1930" t="s">
        <v>4787</v>
      </c>
      <c r="C5412" s="1930" t="s">
        <v>4788</v>
      </c>
      <c r="D5412" s="1930" t="s">
        <v>4789</v>
      </c>
      <c r="E5412" s="1931" t="s">
        <v>33</v>
      </c>
      <c r="F5412" s="1930" t="s">
        <v>33</v>
      </c>
      <c r="G5412" s="1932">
        <v>87876</v>
      </c>
      <c r="H5412" s="1930" t="s">
        <v>4020</v>
      </c>
      <c r="I5412" s="1930" t="s">
        <v>306</v>
      </c>
      <c r="J5412" s="1930" t="s">
        <v>320</v>
      </c>
      <c r="K5412" s="1933">
        <v>6.43</v>
      </c>
      <c r="L5412" s="1930" t="s">
        <v>138</v>
      </c>
    </row>
    <row r="5413" spans="1:12" ht="13.5" x14ac:dyDescent="0.25">
      <c r="A5413" s="1930" t="s">
        <v>4786</v>
      </c>
      <c r="B5413" s="1930" t="s">
        <v>4787</v>
      </c>
      <c r="C5413" s="1930" t="s">
        <v>4788</v>
      </c>
      <c r="D5413" s="1930" t="s">
        <v>4789</v>
      </c>
      <c r="E5413" s="1931" t="s">
        <v>33</v>
      </c>
      <c r="F5413" s="1930" t="s">
        <v>33</v>
      </c>
      <c r="G5413" s="1932">
        <v>87877</v>
      </c>
      <c r="H5413" s="1930" t="s">
        <v>4021</v>
      </c>
      <c r="I5413" s="1930" t="s">
        <v>306</v>
      </c>
      <c r="J5413" s="1930" t="s">
        <v>320</v>
      </c>
      <c r="K5413" s="1933">
        <v>6.15</v>
      </c>
      <c r="L5413" s="1930" t="s">
        <v>138</v>
      </c>
    </row>
    <row r="5414" spans="1:12" ht="13.5" x14ac:dyDescent="0.25">
      <c r="A5414" s="1930" t="s">
        <v>4786</v>
      </c>
      <c r="B5414" s="1930" t="s">
        <v>4787</v>
      </c>
      <c r="C5414" s="1930" t="s">
        <v>4788</v>
      </c>
      <c r="D5414" s="1930" t="s">
        <v>4789</v>
      </c>
      <c r="E5414" s="1931" t="s">
        <v>33</v>
      </c>
      <c r="F5414" s="1930" t="s">
        <v>33</v>
      </c>
      <c r="G5414" s="1932">
        <v>87878</v>
      </c>
      <c r="H5414" s="1930" t="s">
        <v>4022</v>
      </c>
      <c r="I5414" s="1930" t="s">
        <v>306</v>
      </c>
      <c r="J5414" s="1930" t="s">
        <v>320</v>
      </c>
      <c r="K5414" s="1933">
        <v>3.37</v>
      </c>
      <c r="L5414" s="1930" t="s">
        <v>138</v>
      </c>
    </row>
    <row r="5415" spans="1:12" ht="13.5" x14ac:dyDescent="0.25">
      <c r="A5415" s="1930" t="s">
        <v>4786</v>
      </c>
      <c r="B5415" s="1930" t="s">
        <v>4787</v>
      </c>
      <c r="C5415" s="1930" t="s">
        <v>4788</v>
      </c>
      <c r="D5415" s="1930" t="s">
        <v>4789</v>
      </c>
      <c r="E5415" s="1931" t="s">
        <v>33</v>
      </c>
      <c r="F5415" s="1930" t="s">
        <v>33</v>
      </c>
      <c r="G5415" s="1932">
        <v>87879</v>
      </c>
      <c r="H5415" s="1930" t="s">
        <v>4023</v>
      </c>
      <c r="I5415" s="1930" t="s">
        <v>306</v>
      </c>
      <c r="J5415" s="1930" t="s">
        <v>320</v>
      </c>
      <c r="K5415" s="1933">
        <v>2.97</v>
      </c>
      <c r="L5415" s="1930" t="s">
        <v>138</v>
      </c>
    </row>
    <row r="5416" spans="1:12" ht="13.5" x14ac:dyDescent="0.25">
      <c r="A5416" s="1930" t="s">
        <v>4786</v>
      </c>
      <c r="B5416" s="1930" t="s">
        <v>4787</v>
      </c>
      <c r="C5416" s="1930" t="s">
        <v>4788</v>
      </c>
      <c r="D5416" s="1930" t="s">
        <v>4789</v>
      </c>
      <c r="E5416" s="1931" t="s">
        <v>33</v>
      </c>
      <c r="F5416" s="1930" t="s">
        <v>33</v>
      </c>
      <c r="G5416" s="1932">
        <v>87881</v>
      </c>
      <c r="H5416" s="1930" t="s">
        <v>4024</v>
      </c>
      <c r="I5416" s="1930" t="s">
        <v>306</v>
      </c>
      <c r="J5416" s="1930" t="s">
        <v>320</v>
      </c>
      <c r="K5416" s="1933">
        <v>4.6500000000000004</v>
      </c>
      <c r="L5416" s="1930" t="s">
        <v>138</v>
      </c>
    </row>
    <row r="5417" spans="1:12" ht="13.5" x14ac:dyDescent="0.25">
      <c r="A5417" s="1930" t="s">
        <v>4786</v>
      </c>
      <c r="B5417" s="1930" t="s">
        <v>4787</v>
      </c>
      <c r="C5417" s="1930" t="s">
        <v>4788</v>
      </c>
      <c r="D5417" s="1930" t="s">
        <v>4789</v>
      </c>
      <c r="E5417" s="1931" t="s">
        <v>33</v>
      </c>
      <c r="F5417" s="1930" t="s">
        <v>33</v>
      </c>
      <c r="G5417" s="1932">
        <v>87882</v>
      </c>
      <c r="H5417" s="1930" t="s">
        <v>4025</v>
      </c>
      <c r="I5417" s="1930" t="s">
        <v>306</v>
      </c>
      <c r="J5417" s="1930" t="s">
        <v>320</v>
      </c>
      <c r="K5417" s="1933">
        <v>4.53</v>
      </c>
      <c r="L5417" s="1930" t="s">
        <v>138</v>
      </c>
    </row>
    <row r="5418" spans="1:12" ht="13.5" x14ac:dyDescent="0.25">
      <c r="A5418" s="1930" t="s">
        <v>4786</v>
      </c>
      <c r="B5418" s="1930" t="s">
        <v>4787</v>
      </c>
      <c r="C5418" s="1930" t="s">
        <v>4788</v>
      </c>
      <c r="D5418" s="1930" t="s">
        <v>4789</v>
      </c>
      <c r="E5418" s="1931" t="s">
        <v>33</v>
      </c>
      <c r="F5418" s="1930" t="s">
        <v>33</v>
      </c>
      <c r="G5418" s="1932">
        <v>87884</v>
      </c>
      <c r="H5418" s="1930" t="s">
        <v>4026</v>
      </c>
      <c r="I5418" s="1930" t="s">
        <v>306</v>
      </c>
      <c r="J5418" s="1930" t="s">
        <v>320</v>
      </c>
      <c r="K5418" s="1933">
        <v>6.34</v>
      </c>
      <c r="L5418" s="1930" t="s">
        <v>138</v>
      </c>
    </row>
    <row r="5419" spans="1:12" ht="13.5" x14ac:dyDescent="0.25">
      <c r="A5419" s="1930" t="s">
        <v>4786</v>
      </c>
      <c r="B5419" s="1930" t="s">
        <v>4787</v>
      </c>
      <c r="C5419" s="1930" t="s">
        <v>4788</v>
      </c>
      <c r="D5419" s="1930" t="s">
        <v>4789</v>
      </c>
      <c r="E5419" s="1931" t="s">
        <v>33</v>
      </c>
      <c r="F5419" s="1930" t="s">
        <v>33</v>
      </c>
      <c r="G5419" s="1932">
        <v>87885</v>
      </c>
      <c r="H5419" s="1930" t="s">
        <v>4027</v>
      </c>
      <c r="I5419" s="1930" t="s">
        <v>306</v>
      </c>
      <c r="J5419" s="1930" t="s">
        <v>320</v>
      </c>
      <c r="K5419" s="1933">
        <v>6.06</v>
      </c>
      <c r="L5419" s="1930" t="s">
        <v>138</v>
      </c>
    </row>
    <row r="5420" spans="1:12" ht="13.5" x14ac:dyDescent="0.25">
      <c r="A5420" s="1930" t="s">
        <v>4786</v>
      </c>
      <c r="B5420" s="1930" t="s">
        <v>4787</v>
      </c>
      <c r="C5420" s="1930" t="s">
        <v>4788</v>
      </c>
      <c r="D5420" s="1930" t="s">
        <v>4789</v>
      </c>
      <c r="E5420" s="1931" t="s">
        <v>33</v>
      </c>
      <c r="F5420" s="1930" t="s">
        <v>33</v>
      </c>
      <c r="G5420" s="1932">
        <v>87886</v>
      </c>
      <c r="H5420" s="1930" t="s">
        <v>4028</v>
      </c>
      <c r="I5420" s="1930" t="s">
        <v>306</v>
      </c>
      <c r="J5420" s="1930" t="s">
        <v>320</v>
      </c>
      <c r="K5420" s="1933">
        <v>17.670000000000002</v>
      </c>
      <c r="L5420" s="1930" t="s">
        <v>138</v>
      </c>
    </row>
    <row r="5421" spans="1:12" ht="13.5" x14ac:dyDescent="0.25">
      <c r="A5421" s="1930" t="s">
        <v>4786</v>
      </c>
      <c r="B5421" s="1930" t="s">
        <v>4787</v>
      </c>
      <c r="C5421" s="1930" t="s">
        <v>4788</v>
      </c>
      <c r="D5421" s="1930" t="s">
        <v>4789</v>
      </c>
      <c r="E5421" s="1931" t="s">
        <v>33</v>
      </c>
      <c r="F5421" s="1930" t="s">
        <v>33</v>
      </c>
      <c r="G5421" s="1932">
        <v>87887</v>
      </c>
      <c r="H5421" s="1930" t="s">
        <v>4029</v>
      </c>
      <c r="I5421" s="1930" t="s">
        <v>306</v>
      </c>
      <c r="J5421" s="1930" t="s">
        <v>320</v>
      </c>
      <c r="K5421" s="1933">
        <v>17.100000000000001</v>
      </c>
      <c r="L5421" s="1930" t="s">
        <v>138</v>
      </c>
    </row>
    <row r="5422" spans="1:12" ht="13.5" x14ac:dyDescent="0.25">
      <c r="A5422" s="1930" t="s">
        <v>4786</v>
      </c>
      <c r="B5422" s="1930" t="s">
        <v>4787</v>
      </c>
      <c r="C5422" s="1930" t="s">
        <v>4788</v>
      </c>
      <c r="D5422" s="1930" t="s">
        <v>4789</v>
      </c>
      <c r="E5422" s="1931" t="s">
        <v>33</v>
      </c>
      <c r="F5422" s="1930" t="s">
        <v>33</v>
      </c>
      <c r="G5422" s="1932">
        <v>87888</v>
      </c>
      <c r="H5422" s="1930" t="s">
        <v>4030</v>
      </c>
      <c r="I5422" s="1930" t="s">
        <v>306</v>
      </c>
      <c r="J5422" s="1930" t="s">
        <v>320</v>
      </c>
      <c r="K5422" s="1933">
        <v>5.85</v>
      </c>
      <c r="L5422" s="1930" t="s">
        <v>138</v>
      </c>
    </row>
    <row r="5423" spans="1:12" ht="13.5" x14ac:dyDescent="0.25">
      <c r="A5423" s="1930" t="s">
        <v>4786</v>
      </c>
      <c r="B5423" s="1930" t="s">
        <v>4787</v>
      </c>
      <c r="C5423" s="1930" t="s">
        <v>4788</v>
      </c>
      <c r="D5423" s="1930" t="s">
        <v>4789</v>
      </c>
      <c r="E5423" s="1931" t="s">
        <v>33</v>
      </c>
      <c r="F5423" s="1930" t="s">
        <v>33</v>
      </c>
      <c r="G5423" s="1932">
        <v>87889</v>
      </c>
      <c r="H5423" s="1930" t="s">
        <v>4031</v>
      </c>
      <c r="I5423" s="1930" t="s">
        <v>306</v>
      </c>
      <c r="J5423" s="1930" t="s">
        <v>320</v>
      </c>
      <c r="K5423" s="1933">
        <v>5.73</v>
      </c>
      <c r="L5423" s="1930" t="s">
        <v>138</v>
      </c>
    </row>
    <row r="5424" spans="1:12" ht="13.5" x14ac:dyDescent="0.25">
      <c r="A5424" s="1930" t="s">
        <v>4786</v>
      </c>
      <c r="B5424" s="1930" t="s">
        <v>4787</v>
      </c>
      <c r="C5424" s="1930" t="s">
        <v>4788</v>
      </c>
      <c r="D5424" s="1930" t="s">
        <v>4789</v>
      </c>
      <c r="E5424" s="1931" t="s">
        <v>33</v>
      </c>
      <c r="F5424" s="1930" t="s">
        <v>33</v>
      </c>
      <c r="G5424" s="1932">
        <v>87891</v>
      </c>
      <c r="H5424" s="1930" t="s">
        <v>4032</v>
      </c>
      <c r="I5424" s="1930" t="s">
        <v>306</v>
      </c>
      <c r="J5424" s="1930" t="s">
        <v>320</v>
      </c>
      <c r="K5424" s="1933">
        <v>7.54</v>
      </c>
      <c r="L5424" s="1930" t="s">
        <v>138</v>
      </c>
    </row>
    <row r="5425" spans="1:12" ht="13.5" x14ac:dyDescent="0.25">
      <c r="A5425" s="1930" t="s">
        <v>4786</v>
      </c>
      <c r="B5425" s="1930" t="s">
        <v>4787</v>
      </c>
      <c r="C5425" s="1930" t="s">
        <v>4788</v>
      </c>
      <c r="D5425" s="1930" t="s">
        <v>4789</v>
      </c>
      <c r="E5425" s="1931" t="s">
        <v>33</v>
      </c>
      <c r="F5425" s="1930" t="s">
        <v>33</v>
      </c>
      <c r="G5425" s="1932">
        <v>87892</v>
      </c>
      <c r="H5425" s="1930" t="s">
        <v>4033</v>
      </c>
      <c r="I5425" s="1930" t="s">
        <v>306</v>
      </c>
      <c r="J5425" s="1930" t="s">
        <v>320</v>
      </c>
      <c r="K5425" s="1933">
        <v>7.26</v>
      </c>
      <c r="L5425" s="1930" t="s">
        <v>138</v>
      </c>
    </row>
    <row r="5426" spans="1:12" ht="13.5" x14ac:dyDescent="0.25">
      <c r="A5426" s="1930" t="s">
        <v>4786</v>
      </c>
      <c r="B5426" s="1930" t="s">
        <v>4787</v>
      </c>
      <c r="C5426" s="1930" t="s">
        <v>4788</v>
      </c>
      <c r="D5426" s="1930" t="s">
        <v>4789</v>
      </c>
      <c r="E5426" s="1931" t="s">
        <v>33</v>
      </c>
      <c r="F5426" s="1930" t="s">
        <v>33</v>
      </c>
      <c r="G5426" s="1932">
        <v>87893</v>
      </c>
      <c r="H5426" s="1930" t="s">
        <v>4034</v>
      </c>
      <c r="I5426" s="1930" t="s">
        <v>306</v>
      </c>
      <c r="J5426" s="1930" t="s">
        <v>320</v>
      </c>
      <c r="K5426" s="1933">
        <v>5.28</v>
      </c>
      <c r="L5426" s="1930" t="s">
        <v>138</v>
      </c>
    </row>
    <row r="5427" spans="1:12" ht="13.5" x14ac:dyDescent="0.25">
      <c r="A5427" s="1930" t="s">
        <v>4786</v>
      </c>
      <c r="B5427" s="1930" t="s">
        <v>4787</v>
      </c>
      <c r="C5427" s="1930" t="s">
        <v>4788</v>
      </c>
      <c r="D5427" s="1930" t="s">
        <v>4789</v>
      </c>
      <c r="E5427" s="1931" t="s">
        <v>33</v>
      </c>
      <c r="F5427" s="1930" t="s">
        <v>33</v>
      </c>
      <c r="G5427" s="1932">
        <v>87894</v>
      </c>
      <c r="H5427" s="1930" t="s">
        <v>4035</v>
      </c>
      <c r="I5427" s="1930" t="s">
        <v>306</v>
      </c>
      <c r="J5427" s="1930" t="s">
        <v>320</v>
      </c>
      <c r="K5427" s="1933">
        <v>4.88</v>
      </c>
      <c r="L5427" s="1930" t="s">
        <v>138</v>
      </c>
    </row>
    <row r="5428" spans="1:12" ht="13.5" x14ac:dyDescent="0.25">
      <c r="A5428" s="1930" t="s">
        <v>4786</v>
      </c>
      <c r="B5428" s="1930" t="s">
        <v>4787</v>
      </c>
      <c r="C5428" s="1930" t="s">
        <v>4788</v>
      </c>
      <c r="D5428" s="1930" t="s">
        <v>4789</v>
      </c>
      <c r="E5428" s="1931" t="s">
        <v>33</v>
      </c>
      <c r="F5428" s="1930" t="s">
        <v>33</v>
      </c>
      <c r="G5428" s="1932">
        <v>87896</v>
      </c>
      <c r="H5428" s="1930" t="s">
        <v>4036</v>
      </c>
      <c r="I5428" s="1930" t="s">
        <v>306</v>
      </c>
      <c r="J5428" s="1930" t="s">
        <v>137</v>
      </c>
      <c r="K5428" s="1933">
        <v>4.7300000000000004</v>
      </c>
      <c r="L5428" s="1930" t="s">
        <v>138</v>
      </c>
    </row>
    <row r="5429" spans="1:12" ht="13.5" x14ac:dyDescent="0.25">
      <c r="A5429" s="1930" t="s">
        <v>4786</v>
      </c>
      <c r="B5429" s="1930" t="s">
        <v>4787</v>
      </c>
      <c r="C5429" s="1930" t="s">
        <v>4788</v>
      </c>
      <c r="D5429" s="1930" t="s">
        <v>4789</v>
      </c>
      <c r="E5429" s="1931" t="s">
        <v>33</v>
      </c>
      <c r="F5429" s="1930" t="s">
        <v>33</v>
      </c>
      <c r="G5429" s="1932">
        <v>87897</v>
      </c>
      <c r="H5429" s="1930" t="s">
        <v>4037</v>
      </c>
      <c r="I5429" s="1930" t="s">
        <v>306</v>
      </c>
      <c r="J5429" s="1930" t="s">
        <v>137</v>
      </c>
      <c r="K5429" s="1933">
        <v>4.33</v>
      </c>
      <c r="L5429" s="1930" t="s">
        <v>138</v>
      </c>
    </row>
    <row r="5430" spans="1:12" ht="13.5" x14ac:dyDescent="0.25">
      <c r="A5430" s="1930" t="s">
        <v>4786</v>
      </c>
      <c r="B5430" s="1930" t="s">
        <v>4787</v>
      </c>
      <c r="C5430" s="1930" t="s">
        <v>4788</v>
      </c>
      <c r="D5430" s="1930" t="s">
        <v>4789</v>
      </c>
      <c r="E5430" s="1931" t="s">
        <v>33</v>
      </c>
      <c r="F5430" s="1930" t="s">
        <v>33</v>
      </c>
      <c r="G5430" s="1932">
        <v>87899</v>
      </c>
      <c r="H5430" s="1930" t="s">
        <v>4038</v>
      </c>
      <c r="I5430" s="1930" t="s">
        <v>306</v>
      </c>
      <c r="J5430" s="1930" t="s">
        <v>320</v>
      </c>
      <c r="K5430" s="1933">
        <v>6.82</v>
      </c>
      <c r="L5430" s="1930" t="s">
        <v>138</v>
      </c>
    </row>
    <row r="5431" spans="1:12" ht="13.5" x14ac:dyDescent="0.25">
      <c r="A5431" s="1930" t="s">
        <v>4786</v>
      </c>
      <c r="B5431" s="1930" t="s">
        <v>4787</v>
      </c>
      <c r="C5431" s="1930" t="s">
        <v>4788</v>
      </c>
      <c r="D5431" s="1930" t="s">
        <v>4789</v>
      </c>
      <c r="E5431" s="1931" t="s">
        <v>33</v>
      </c>
      <c r="F5431" s="1930" t="s">
        <v>33</v>
      </c>
      <c r="G5431" s="1932">
        <v>87900</v>
      </c>
      <c r="H5431" s="1930" t="s">
        <v>4039</v>
      </c>
      <c r="I5431" s="1930" t="s">
        <v>306</v>
      </c>
      <c r="J5431" s="1930" t="s">
        <v>320</v>
      </c>
      <c r="K5431" s="1933">
        <v>6.7</v>
      </c>
      <c r="L5431" s="1930" t="s">
        <v>138</v>
      </c>
    </row>
    <row r="5432" spans="1:12" ht="13.5" x14ac:dyDescent="0.25">
      <c r="A5432" s="1930" t="s">
        <v>4786</v>
      </c>
      <c r="B5432" s="1930" t="s">
        <v>4787</v>
      </c>
      <c r="C5432" s="1930" t="s">
        <v>4788</v>
      </c>
      <c r="D5432" s="1930" t="s">
        <v>4789</v>
      </c>
      <c r="E5432" s="1931" t="s">
        <v>33</v>
      </c>
      <c r="F5432" s="1930" t="s">
        <v>33</v>
      </c>
      <c r="G5432" s="1932">
        <v>87902</v>
      </c>
      <c r="H5432" s="1930" t="s">
        <v>4040</v>
      </c>
      <c r="I5432" s="1930" t="s">
        <v>306</v>
      </c>
      <c r="J5432" s="1930" t="s">
        <v>320</v>
      </c>
      <c r="K5432" s="1933">
        <v>8.51</v>
      </c>
      <c r="L5432" s="1930" t="s">
        <v>138</v>
      </c>
    </row>
    <row r="5433" spans="1:12" ht="13.5" x14ac:dyDescent="0.25">
      <c r="A5433" s="1930" t="s">
        <v>4786</v>
      </c>
      <c r="B5433" s="1930" t="s">
        <v>4787</v>
      </c>
      <c r="C5433" s="1930" t="s">
        <v>4788</v>
      </c>
      <c r="D5433" s="1930" t="s">
        <v>4789</v>
      </c>
      <c r="E5433" s="1931" t="s">
        <v>33</v>
      </c>
      <c r="F5433" s="1930" t="s">
        <v>33</v>
      </c>
      <c r="G5433" s="1932">
        <v>87903</v>
      </c>
      <c r="H5433" s="1930" t="s">
        <v>4041</v>
      </c>
      <c r="I5433" s="1930" t="s">
        <v>306</v>
      </c>
      <c r="J5433" s="1930" t="s">
        <v>320</v>
      </c>
      <c r="K5433" s="1933">
        <v>8.23</v>
      </c>
      <c r="L5433" s="1930" t="s">
        <v>138</v>
      </c>
    </row>
    <row r="5434" spans="1:12" ht="13.5" x14ac:dyDescent="0.25">
      <c r="A5434" s="1930" t="s">
        <v>4786</v>
      </c>
      <c r="B5434" s="1930" t="s">
        <v>4787</v>
      </c>
      <c r="C5434" s="1930" t="s">
        <v>4788</v>
      </c>
      <c r="D5434" s="1930" t="s">
        <v>4789</v>
      </c>
      <c r="E5434" s="1931" t="s">
        <v>33</v>
      </c>
      <c r="F5434" s="1930" t="s">
        <v>33</v>
      </c>
      <c r="G5434" s="1932">
        <v>87904</v>
      </c>
      <c r="H5434" s="1930" t="s">
        <v>4042</v>
      </c>
      <c r="I5434" s="1930" t="s">
        <v>306</v>
      </c>
      <c r="J5434" s="1930" t="s">
        <v>320</v>
      </c>
      <c r="K5434" s="1933">
        <v>6.91</v>
      </c>
      <c r="L5434" s="1930" t="s">
        <v>138</v>
      </c>
    </row>
    <row r="5435" spans="1:12" ht="13.5" x14ac:dyDescent="0.25">
      <c r="A5435" s="1930" t="s">
        <v>4786</v>
      </c>
      <c r="B5435" s="1930" t="s">
        <v>4787</v>
      </c>
      <c r="C5435" s="1930" t="s">
        <v>4788</v>
      </c>
      <c r="D5435" s="1930" t="s">
        <v>4789</v>
      </c>
      <c r="E5435" s="1931" t="s">
        <v>33</v>
      </c>
      <c r="F5435" s="1930" t="s">
        <v>33</v>
      </c>
      <c r="G5435" s="1932">
        <v>87905</v>
      </c>
      <c r="H5435" s="1930" t="s">
        <v>4043</v>
      </c>
      <c r="I5435" s="1930" t="s">
        <v>306</v>
      </c>
      <c r="J5435" s="1930" t="s">
        <v>320</v>
      </c>
      <c r="K5435" s="1933">
        <v>6.51</v>
      </c>
      <c r="L5435" s="1930" t="s">
        <v>138</v>
      </c>
    </row>
    <row r="5436" spans="1:12" ht="13.5" x14ac:dyDescent="0.25">
      <c r="A5436" s="1930" t="s">
        <v>4786</v>
      </c>
      <c r="B5436" s="1930" t="s">
        <v>4787</v>
      </c>
      <c r="C5436" s="1930" t="s">
        <v>4788</v>
      </c>
      <c r="D5436" s="1930" t="s">
        <v>4789</v>
      </c>
      <c r="E5436" s="1931" t="s">
        <v>33</v>
      </c>
      <c r="F5436" s="1930" t="s">
        <v>33</v>
      </c>
      <c r="G5436" s="1932">
        <v>87907</v>
      </c>
      <c r="H5436" s="1930" t="s">
        <v>4044</v>
      </c>
      <c r="I5436" s="1930" t="s">
        <v>306</v>
      </c>
      <c r="J5436" s="1930" t="s">
        <v>137</v>
      </c>
      <c r="K5436" s="1933">
        <v>6.12</v>
      </c>
      <c r="L5436" s="1930" t="s">
        <v>138</v>
      </c>
    </row>
    <row r="5437" spans="1:12" ht="13.5" x14ac:dyDescent="0.25">
      <c r="A5437" s="1930" t="s">
        <v>4786</v>
      </c>
      <c r="B5437" s="1930" t="s">
        <v>4787</v>
      </c>
      <c r="C5437" s="1930" t="s">
        <v>4788</v>
      </c>
      <c r="D5437" s="1930" t="s">
        <v>4789</v>
      </c>
      <c r="E5437" s="1931" t="s">
        <v>33</v>
      </c>
      <c r="F5437" s="1930" t="s">
        <v>33</v>
      </c>
      <c r="G5437" s="1932">
        <v>87908</v>
      </c>
      <c r="H5437" s="1930" t="s">
        <v>4045</v>
      </c>
      <c r="I5437" s="1930" t="s">
        <v>306</v>
      </c>
      <c r="J5437" s="1930" t="s">
        <v>137</v>
      </c>
      <c r="K5437" s="1933">
        <v>5.72</v>
      </c>
      <c r="L5437" s="1930" t="s">
        <v>138</v>
      </c>
    </row>
    <row r="5438" spans="1:12" ht="13.5" x14ac:dyDescent="0.25">
      <c r="A5438" s="1930" t="s">
        <v>4786</v>
      </c>
      <c r="B5438" s="1930" t="s">
        <v>4787</v>
      </c>
      <c r="C5438" s="1930" t="s">
        <v>4788</v>
      </c>
      <c r="D5438" s="1930" t="s">
        <v>4789</v>
      </c>
      <c r="E5438" s="1931" t="s">
        <v>33</v>
      </c>
      <c r="F5438" s="1930" t="s">
        <v>33</v>
      </c>
      <c r="G5438" s="1932">
        <v>87910</v>
      </c>
      <c r="H5438" s="1930" t="s">
        <v>4046</v>
      </c>
      <c r="I5438" s="1930" t="s">
        <v>306</v>
      </c>
      <c r="J5438" s="1930" t="s">
        <v>320</v>
      </c>
      <c r="K5438" s="1933">
        <v>17.45</v>
      </c>
      <c r="L5438" s="1930" t="s">
        <v>138</v>
      </c>
    </row>
    <row r="5439" spans="1:12" ht="13.5" x14ac:dyDescent="0.25">
      <c r="A5439" s="1930" t="s">
        <v>4786</v>
      </c>
      <c r="B5439" s="1930" t="s">
        <v>4787</v>
      </c>
      <c r="C5439" s="1930" t="s">
        <v>4788</v>
      </c>
      <c r="D5439" s="1930" t="s">
        <v>4789</v>
      </c>
      <c r="E5439" s="1931" t="s">
        <v>33</v>
      </c>
      <c r="F5439" s="1930" t="s">
        <v>33</v>
      </c>
      <c r="G5439" s="1932">
        <v>87911</v>
      </c>
      <c r="H5439" s="1930" t="s">
        <v>4047</v>
      </c>
      <c r="I5439" s="1930" t="s">
        <v>306</v>
      </c>
      <c r="J5439" s="1930" t="s">
        <v>320</v>
      </c>
      <c r="K5439" s="1933">
        <v>16.88</v>
      </c>
      <c r="L5439" s="1930" t="s">
        <v>138</v>
      </c>
    </row>
    <row r="5440" spans="1:12" ht="13.5" x14ac:dyDescent="0.25">
      <c r="A5440" s="1930" t="s">
        <v>4786</v>
      </c>
      <c r="B5440" s="1930" t="s">
        <v>4787</v>
      </c>
      <c r="C5440" s="1930" t="s">
        <v>4790</v>
      </c>
      <c r="D5440" s="1930" t="s">
        <v>4791</v>
      </c>
      <c r="E5440" s="1931" t="s">
        <v>33</v>
      </c>
      <c r="F5440" s="1930" t="s">
        <v>33</v>
      </c>
      <c r="G5440" s="1932">
        <v>87411</v>
      </c>
      <c r="H5440" s="1930" t="s">
        <v>4048</v>
      </c>
      <c r="I5440" s="1930" t="s">
        <v>306</v>
      </c>
      <c r="J5440" s="1930" t="s">
        <v>320</v>
      </c>
      <c r="K5440" s="1933">
        <v>12.79</v>
      </c>
      <c r="L5440" s="1930" t="s">
        <v>138</v>
      </c>
    </row>
    <row r="5441" spans="1:12" ht="13.5" x14ac:dyDescent="0.25">
      <c r="A5441" s="1930" t="s">
        <v>4786</v>
      </c>
      <c r="B5441" s="1930" t="s">
        <v>4787</v>
      </c>
      <c r="C5441" s="1930" t="s">
        <v>4790</v>
      </c>
      <c r="D5441" s="1930" t="s">
        <v>4791</v>
      </c>
      <c r="E5441" s="1931" t="s">
        <v>33</v>
      </c>
      <c r="F5441" s="1930" t="s">
        <v>33</v>
      </c>
      <c r="G5441" s="1932">
        <v>87412</v>
      </c>
      <c r="H5441" s="1930" t="s">
        <v>4049</v>
      </c>
      <c r="I5441" s="1930" t="s">
        <v>306</v>
      </c>
      <c r="J5441" s="1930" t="s">
        <v>320</v>
      </c>
      <c r="K5441" s="1933">
        <v>18.16</v>
      </c>
      <c r="L5441" s="1930" t="s">
        <v>138</v>
      </c>
    </row>
    <row r="5442" spans="1:12" ht="13.5" x14ac:dyDescent="0.25">
      <c r="A5442" s="1930" t="s">
        <v>4786</v>
      </c>
      <c r="B5442" s="1930" t="s">
        <v>4787</v>
      </c>
      <c r="C5442" s="1930" t="s">
        <v>4790</v>
      </c>
      <c r="D5442" s="1930" t="s">
        <v>4791</v>
      </c>
      <c r="E5442" s="1931" t="s">
        <v>33</v>
      </c>
      <c r="F5442" s="1930" t="s">
        <v>33</v>
      </c>
      <c r="G5442" s="1932">
        <v>87413</v>
      </c>
      <c r="H5442" s="1930" t="s">
        <v>4050</v>
      </c>
      <c r="I5442" s="1930" t="s">
        <v>306</v>
      </c>
      <c r="J5442" s="1930" t="s">
        <v>320</v>
      </c>
      <c r="K5442" s="1933">
        <v>21.22</v>
      </c>
      <c r="L5442" s="1930" t="s">
        <v>138</v>
      </c>
    </row>
    <row r="5443" spans="1:12" ht="13.5" x14ac:dyDescent="0.25">
      <c r="A5443" s="1930" t="s">
        <v>4786</v>
      </c>
      <c r="B5443" s="1930" t="s">
        <v>4787</v>
      </c>
      <c r="C5443" s="1930" t="s">
        <v>4790</v>
      </c>
      <c r="D5443" s="1930" t="s">
        <v>4791</v>
      </c>
      <c r="E5443" s="1931" t="s">
        <v>33</v>
      </c>
      <c r="F5443" s="1930" t="s">
        <v>33</v>
      </c>
      <c r="G5443" s="1932">
        <v>87414</v>
      </c>
      <c r="H5443" s="1930" t="s">
        <v>4051</v>
      </c>
      <c r="I5443" s="1930" t="s">
        <v>306</v>
      </c>
      <c r="J5443" s="1930" t="s">
        <v>320</v>
      </c>
      <c r="K5443" s="1933">
        <v>19.059999999999999</v>
      </c>
      <c r="L5443" s="1930" t="s">
        <v>138</v>
      </c>
    </row>
    <row r="5444" spans="1:12" ht="13.5" x14ac:dyDescent="0.25">
      <c r="A5444" s="1930" t="s">
        <v>4786</v>
      </c>
      <c r="B5444" s="1930" t="s">
        <v>4787</v>
      </c>
      <c r="C5444" s="1930" t="s">
        <v>4790</v>
      </c>
      <c r="D5444" s="1930" t="s">
        <v>4791</v>
      </c>
      <c r="E5444" s="1931" t="s">
        <v>33</v>
      </c>
      <c r="F5444" s="1930" t="s">
        <v>33</v>
      </c>
      <c r="G5444" s="1932">
        <v>87415</v>
      </c>
      <c r="H5444" s="1930" t="s">
        <v>4052</v>
      </c>
      <c r="I5444" s="1930" t="s">
        <v>306</v>
      </c>
      <c r="J5444" s="1930" t="s">
        <v>320</v>
      </c>
      <c r="K5444" s="1933">
        <v>24.27</v>
      </c>
      <c r="L5444" s="1930" t="s">
        <v>138</v>
      </c>
    </row>
    <row r="5445" spans="1:12" ht="13.5" x14ac:dyDescent="0.25">
      <c r="A5445" s="1930" t="s">
        <v>4786</v>
      </c>
      <c r="B5445" s="1930" t="s">
        <v>4787</v>
      </c>
      <c r="C5445" s="1930" t="s">
        <v>4790</v>
      </c>
      <c r="D5445" s="1930" t="s">
        <v>4791</v>
      </c>
      <c r="E5445" s="1931" t="s">
        <v>33</v>
      </c>
      <c r="F5445" s="1930" t="s">
        <v>33</v>
      </c>
      <c r="G5445" s="1932">
        <v>87416</v>
      </c>
      <c r="H5445" s="1930" t="s">
        <v>4053</v>
      </c>
      <c r="I5445" s="1930" t="s">
        <v>306</v>
      </c>
      <c r="J5445" s="1930" t="s">
        <v>320</v>
      </c>
      <c r="K5445" s="1933">
        <v>27.54</v>
      </c>
      <c r="L5445" s="1930" t="s">
        <v>138</v>
      </c>
    </row>
    <row r="5446" spans="1:12" ht="13.5" x14ac:dyDescent="0.25">
      <c r="A5446" s="1930" t="s">
        <v>4786</v>
      </c>
      <c r="B5446" s="1930" t="s">
        <v>4787</v>
      </c>
      <c r="C5446" s="1930" t="s">
        <v>4790</v>
      </c>
      <c r="D5446" s="1930" t="s">
        <v>4791</v>
      </c>
      <c r="E5446" s="1931" t="s">
        <v>33</v>
      </c>
      <c r="F5446" s="1930" t="s">
        <v>33</v>
      </c>
      <c r="G5446" s="1932">
        <v>87417</v>
      </c>
      <c r="H5446" s="1930" t="s">
        <v>4054</v>
      </c>
      <c r="I5446" s="1930" t="s">
        <v>306</v>
      </c>
      <c r="J5446" s="1930" t="s">
        <v>320</v>
      </c>
      <c r="K5446" s="1933">
        <v>13.54</v>
      </c>
      <c r="L5446" s="1930" t="s">
        <v>138</v>
      </c>
    </row>
    <row r="5447" spans="1:12" ht="13.5" x14ac:dyDescent="0.25">
      <c r="A5447" s="1930" t="s">
        <v>4786</v>
      </c>
      <c r="B5447" s="1930" t="s">
        <v>4787</v>
      </c>
      <c r="C5447" s="1930" t="s">
        <v>4790</v>
      </c>
      <c r="D5447" s="1930" t="s">
        <v>4791</v>
      </c>
      <c r="E5447" s="1931" t="s">
        <v>33</v>
      </c>
      <c r="F5447" s="1930" t="s">
        <v>33</v>
      </c>
      <c r="G5447" s="1932">
        <v>87418</v>
      </c>
      <c r="H5447" s="1930" t="s">
        <v>4055</v>
      </c>
      <c r="I5447" s="1930" t="s">
        <v>306</v>
      </c>
      <c r="J5447" s="1930" t="s">
        <v>320</v>
      </c>
      <c r="K5447" s="1933">
        <v>13.95</v>
      </c>
      <c r="L5447" s="1930" t="s">
        <v>138</v>
      </c>
    </row>
    <row r="5448" spans="1:12" ht="13.5" x14ac:dyDescent="0.25">
      <c r="A5448" s="1930" t="s">
        <v>4786</v>
      </c>
      <c r="B5448" s="1930" t="s">
        <v>4787</v>
      </c>
      <c r="C5448" s="1930" t="s">
        <v>4790</v>
      </c>
      <c r="D5448" s="1930" t="s">
        <v>4791</v>
      </c>
      <c r="E5448" s="1931" t="s">
        <v>33</v>
      </c>
      <c r="F5448" s="1930" t="s">
        <v>33</v>
      </c>
      <c r="G5448" s="1932">
        <v>87419</v>
      </c>
      <c r="H5448" s="1930" t="s">
        <v>4056</v>
      </c>
      <c r="I5448" s="1930" t="s">
        <v>306</v>
      </c>
      <c r="J5448" s="1930" t="s">
        <v>320</v>
      </c>
      <c r="K5448" s="1933">
        <v>15.1</v>
      </c>
      <c r="L5448" s="1930" t="s">
        <v>138</v>
      </c>
    </row>
    <row r="5449" spans="1:12" ht="13.5" x14ac:dyDescent="0.25">
      <c r="A5449" s="1930" t="s">
        <v>4786</v>
      </c>
      <c r="B5449" s="1930" t="s">
        <v>4787</v>
      </c>
      <c r="C5449" s="1930" t="s">
        <v>4790</v>
      </c>
      <c r="D5449" s="1930" t="s">
        <v>4791</v>
      </c>
      <c r="E5449" s="1931" t="s">
        <v>33</v>
      </c>
      <c r="F5449" s="1930" t="s">
        <v>33</v>
      </c>
      <c r="G5449" s="1932">
        <v>87420</v>
      </c>
      <c r="H5449" s="1930" t="s">
        <v>4057</v>
      </c>
      <c r="I5449" s="1930" t="s">
        <v>306</v>
      </c>
      <c r="J5449" s="1930" t="s">
        <v>320</v>
      </c>
      <c r="K5449" s="1933">
        <v>20.41</v>
      </c>
      <c r="L5449" s="1930" t="s">
        <v>138</v>
      </c>
    </row>
    <row r="5450" spans="1:12" ht="13.5" x14ac:dyDescent="0.25">
      <c r="A5450" s="1930" t="s">
        <v>4786</v>
      </c>
      <c r="B5450" s="1930" t="s">
        <v>4787</v>
      </c>
      <c r="C5450" s="1930" t="s">
        <v>4790</v>
      </c>
      <c r="D5450" s="1930" t="s">
        <v>4791</v>
      </c>
      <c r="E5450" s="1931" t="s">
        <v>33</v>
      </c>
      <c r="F5450" s="1930" t="s">
        <v>33</v>
      </c>
      <c r="G5450" s="1932">
        <v>87421</v>
      </c>
      <c r="H5450" s="1930" t="s">
        <v>4058</v>
      </c>
      <c r="I5450" s="1930" t="s">
        <v>306</v>
      </c>
      <c r="J5450" s="1930" t="s">
        <v>320</v>
      </c>
      <c r="K5450" s="1933">
        <v>20.81</v>
      </c>
      <c r="L5450" s="1930" t="s">
        <v>138</v>
      </c>
    </row>
    <row r="5451" spans="1:12" ht="13.5" x14ac:dyDescent="0.25">
      <c r="A5451" s="1930" t="s">
        <v>4786</v>
      </c>
      <c r="B5451" s="1930" t="s">
        <v>4787</v>
      </c>
      <c r="C5451" s="1930" t="s">
        <v>4790</v>
      </c>
      <c r="D5451" s="1930" t="s">
        <v>4791</v>
      </c>
      <c r="E5451" s="1931" t="s">
        <v>33</v>
      </c>
      <c r="F5451" s="1930" t="s">
        <v>33</v>
      </c>
      <c r="G5451" s="1932">
        <v>87422</v>
      </c>
      <c r="H5451" s="1930" t="s">
        <v>4059</v>
      </c>
      <c r="I5451" s="1930" t="s">
        <v>306</v>
      </c>
      <c r="J5451" s="1930" t="s">
        <v>320</v>
      </c>
      <c r="K5451" s="1933">
        <v>21.97</v>
      </c>
      <c r="L5451" s="1930" t="s">
        <v>138</v>
      </c>
    </row>
    <row r="5452" spans="1:12" ht="13.5" x14ac:dyDescent="0.25">
      <c r="A5452" s="1930" t="s">
        <v>4786</v>
      </c>
      <c r="B5452" s="1930" t="s">
        <v>4787</v>
      </c>
      <c r="C5452" s="1930" t="s">
        <v>4790</v>
      </c>
      <c r="D5452" s="1930" t="s">
        <v>4791</v>
      </c>
      <c r="E5452" s="1931" t="s">
        <v>33</v>
      </c>
      <c r="F5452" s="1930" t="s">
        <v>33</v>
      </c>
      <c r="G5452" s="1932">
        <v>87423</v>
      </c>
      <c r="H5452" s="1930" t="s">
        <v>4060</v>
      </c>
      <c r="I5452" s="1930" t="s">
        <v>306</v>
      </c>
      <c r="J5452" s="1930" t="s">
        <v>320</v>
      </c>
      <c r="K5452" s="1933">
        <v>26.94</v>
      </c>
      <c r="L5452" s="1930" t="s">
        <v>138</v>
      </c>
    </row>
    <row r="5453" spans="1:12" ht="13.5" x14ac:dyDescent="0.25">
      <c r="A5453" s="1930" t="s">
        <v>4786</v>
      </c>
      <c r="B5453" s="1930" t="s">
        <v>4787</v>
      </c>
      <c r="C5453" s="1930" t="s">
        <v>4790</v>
      </c>
      <c r="D5453" s="1930" t="s">
        <v>4791</v>
      </c>
      <c r="E5453" s="1931" t="s">
        <v>33</v>
      </c>
      <c r="F5453" s="1930" t="s">
        <v>33</v>
      </c>
      <c r="G5453" s="1932">
        <v>87424</v>
      </c>
      <c r="H5453" s="1930" t="s">
        <v>4061</v>
      </c>
      <c r="I5453" s="1930" t="s">
        <v>306</v>
      </c>
      <c r="J5453" s="1930" t="s">
        <v>320</v>
      </c>
      <c r="K5453" s="1933">
        <v>27.54</v>
      </c>
      <c r="L5453" s="1930" t="s">
        <v>138</v>
      </c>
    </row>
    <row r="5454" spans="1:12" ht="13.5" x14ac:dyDescent="0.25">
      <c r="A5454" s="1930" t="s">
        <v>4786</v>
      </c>
      <c r="B5454" s="1930" t="s">
        <v>4787</v>
      </c>
      <c r="C5454" s="1930" t="s">
        <v>4790</v>
      </c>
      <c r="D5454" s="1930" t="s">
        <v>4791</v>
      </c>
      <c r="E5454" s="1931" t="s">
        <v>33</v>
      </c>
      <c r="F5454" s="1930" t="s">
        <v>33</v>
      </c>
      <c r="G5454" s="1932">
        <v>87425</v>
      </c>
      <c r="H5454" s="1930" t="s">
        <v>4062</v>
      </c>
      <c r="I5454" s="1930" t="s">
        <v>306</v>
      </c>
      <c r="J5454" s="1930" t="s">
        <v>320</v>
      </c>
      <c r="K5454" s="1933">
        <v>28.49</v>
      </c>
      <c r="L5454" s="1930" t="s">
        <v>138</v>
      </c>
    </row>
    <row r="5455" spans="1:12" ht="13.5" x14ac:dyDescent="0.25">
      <c r="A5455" s="1930" t="s">
        <v>4786</v>
      </c>
      <c r="B5455" s="1930" t="s">
        <v>4787</v>
      </c>
      <c r="C5455" s="1930" t="s">
        <v>4790</v>
      </c>
      <c r="D5455" s="1930" t="s">
        <v>4791</v>
      </c>
      <c r="E5455" s="1931" t="s">
        <v>33</v>
      </c>
      <c r="F5455" s="1930" t="s">
        <v>33</v>
      </c>
      <c r="G5455" s="1932">
        <v>87426</v>
      </c>
      <c r="H5455" s="1930" t="s">
        <v>4063</v>
      </c>
      <c r="I5455" s="1930" t="s">
        <v>306</v>
      </c>
      <c r="J5455" s="1930" t="s">
        <v>320</v>
      </c>
      <c r="K5455" s="1933">
        <v>31.73</v>
      </c>
      <c r="L5455" s="1930" t="s">
        <v>138</v>
      </c>
    </row>
    <row r="5456" spans="1:12" ht="13.5" x14ac:dyDescent="0.25">
      <c r="A5456" s="1930" t="s">
        <v>4786</v>
      </c>
      <c r="B5456" s="1930" t="s">
        <v>4787</v>
      </c>
      <c r="C5456" s="1930" t="s">
        <v>4790</v>
      </c>
      <c r="D5456" s="1930" t="s">
        <v>4791</v>
      </c>
      <c r="E5456" s="1931" t="s">
        <v>33</v>
      </c>
      <c r="F5456" s="1930" t="s">
        <v>33</v>
      </c>
      <c r="G5456" s="1932">
        <v>87427</v>
      </c>
      <c r="H5456" s="1930" t="s">
        <v>4064</v>
      </c>
      <c r="I5456" s="1930" t="s">
        <v>306</v>
      </c>
      <c r="J5456" s="1930" t="s">
        <v>320</v>
      </c>
      <c r="K5456" s="1933">
        <v>32.33</v>
      </c>
      <c r="L5456" s="1930" t="s">
        <v>138</v>
      </c>
    </row>
    <row r="5457" spans="1:12" ht="13.5" x14ac:dyDescent="0.25">
      <c r="A5457" s="1930" t="s">
        <v>4786</v>
      </c>
      <c r="B5457" s="1930" t="s">
        <v>4787</v>
      </c>
      <c r="C5457" s="1930" t="s">
        <v>4790</v>
      </c>
      <c r="D5457" s="1930" t="s">
        <v>4791</v>
      </c>
      <c r="E5457" s="1931" t="s">
        <v>33</v>
      </c>
      <c r="F5457" s="1930" t="s">
        <v>33</v>
      </c>
      <c r="G5457" s="1932">
        <v>87428</v>
      </c>
      <c r="H5457" s="1930" t="s">
        <v>4065</v>
      </c>
      <c r="I5457" s="1930" t="s">
        <v>306</v>
      </c>
      <c r="J5457" s="1930" t="s">
        <v>320</v>
      </c>
      <c r="K5457" s="1933">
        <v>33.29</v>
      </c>
      <c r="L5457" s="1930" t="s">
        <v>138</v>
      </c>
    </row>
    <row r="5458" spans="1:12" ht="13.5" x14ac:dyDescent="0.25">
      <c r="A5458" s="1930" t="s">
        <v>4786</v>
      </c>
      <c r="B5458" s="1930" t="s">
        <v>4787</v>
      </c>
      <c r="C5458" s="1930" t="s">
        <v>4790</v>
      </c>
      <c r="D5458" s="1930" t="s">
        <v>4791</v>
      </c>
      <c r="E5458" s="1931" t="s">
        <v>33</v>
      </c>
      <c r="F5458" s="1930" t="s">
        <v>33</v>
      </c>
      <c r="G5458" s="1932">
        <v>87429</v>
      </c>
      <c r="H5458" s="1930" t="s">
        <v>4066</v>
      </c>
      <c r="I5458" s="1930" t="s">
        <v>306</v>
      </c>
      <c r="J5458" s="1930" t="s">
        <v>320</v>
      </c>
      <c r="K5458" s="1933">
        <v>15.3</v>
      </c>
      <c r="L5458" s="1930" t="s">
        <v>138</v>
      </c>
    </row>
    <row r="5459" spans="1:12" ht="13.5" x14ac:dyDescent="0.25">
      <c r="A5459" s="1930" t="s">
        <v>4786</v>
      </c>
      <c r="B5459" s="1930" t="s">
        <v>4787</v>
      </c>
      <c r="C5459" s="1930" t="s">
        <v>4790</v>
      </c>
      <c r="D5459" s="1930" t="s">
        <v>4791</v>
      </c>
      <c r="E5459" s="1931" t="s">
        <v>33</v>
      </c>
      <c r="F5459" s="1930" t="s">
        <v>33</v>
      </c>
      <c r="G5459" s="1932">
        <v>87430</v>
      </c>
      <c r="H5459" s="1930" t="s">
        <v>4067</v>
      </c>
      <c r="I5459" s="1930" t="s">
        <v>306</v>
      </c>
      <c r="J5459" s="1930" t="s">
        <v>320</v>
      </c>
      <c r="K5459" s="1933">
        <v>15.71</v>
      </c>
      <c r="L5459" s="1930" t="s">
        <v>138</v>
      </c>
    </row>
    <row r="5460" spans="1:12" ht="13.5" x14ac:dyDescent="0.25">
      <c r="A5460" s="1930" t="s">
        <v>4786</v>
      </c>
      <c r="B5460" s="1930" t="s">
        <v>4787</v>
      </c>
      <c r="C5460" s="1930" t="s">
        <v>4790</v>
      </c>
      <c r="D5460" s="1930" t="s">
        <v>4791</v>
      </c>
      <c r="E5460" s="1931" t="s">
        <v>33</v>
      </c>
      <c r="F5460" s="1930" t="s">
        <v>33</v>
      </c>
      <c r="G5460" s="1932">
        <v>87431</v>
      </c>
      <c r="H5460" s="1930" t="s">
        <v>4068</v>
      </c>
      <c r="I5460" s="1930" t="s">
        <v>306</v>
      </c>
      <c r="J5460" s="1930" t="s">
        <v>320</v>
      </c>
      <c r="K5460" s="1933">
        <v>15.91</v>
      </c>
      <c r="L5460" s="1930" t="s">
        <v>138</v>
      </c>
    </row>
    <row r="5461" spans="1:12" ht="13.5" x14ac:dyDescent="0.25">
      <c r="A5461" s="1930" t="s">
        <v>4786</v>
      </c>
      <c r="B5461" s="1930" t="s">
        <v>4787</v>
      </c>
      <c r="C5461" s="1930" t="s">
        <v>4790</v>
      </c>
      <c r="D5461" s="1930" t="s">
        <v>4791</v>
      </c>
      <c r="E5461" s="1931" t="s">
        <v>33</v>
      </c>
      <c r="F5461" s="1930" t="s">
        <v>33</v>
      </c>
      <c r="G5461" s="1932">
        <v>87432</v>
      </c>
      <c r="H5461" s="1930" t="s">
        <v>4069</v>
      </c>
      <c r="I5461" s="1930" t="s">
        <v>306</v>
      </c>
      <c r="J5461" s="1930" t="s">
        <v>320</v>
      </c>
      <c r="K5461" s="1933">
        <v>22.17</v>
      </c>
      <c r="L5461" s="1930" t="s">
        <v>138</v>
      </c>
    </row>
    <row r="5462" spans="1:12" ht="13.5" x14ac:dyDescent="0.25">
      <c r="A5462" s="1930" t="s">
        <v>4786</v>
      </c>
      <c r="B5462" s="1930" t="s">
        <v>4787</v>
      </c>
      <c r="C5462" s="1930" t="s">
        <v>4790</v>
      </c>
      <c r="D5462" s="1930" t="s">
        <v>4791</v>
      </c>
      <c r="E5462" s="1931" t="s">
        <v>33</v>
      </c>
      <c r="F5462" s="1930" t="s">
        <v>33</v>
      </c>
      <c r="G5462" s="1932">
        <v>87433</v>
      </c>
      <c r="H5462" s="1930" t="s">
        <v>4070</v>
      </c>
      <c r="I5462" s="1930" t="s">
        <v>306</v>
      </c>
      <c r="J5462" s="1930" t="s">
        <v>320</v>
      </c>
      <c r="K5462" s="1933">
        <v>22.97</v>
      </c>
      <c r="L5462" s="1930" t="s">
        <v>138</v>
      </c>
    </row>
    <row r="5463" spans="1:12" ht="13.5" x14ac:dyDescent="0.25">
      <c r="A5463" s="1930" t="s">
        <v>4786</v>
      </c>
      <c r="B5463" s="1930" t="s">
        <v>4787</v>
      </c>
      <c r="C5463" s="1930" t="s">
        <v>4790</v>
      </c>
      <c r="D5463" s="1930" t="s">
        <v>4791</v>
      </c>
      <c r="E5463" s="1931" t="s">
        <v>33</v>
      </c>
      <c r="F5463" s="1930" t="s">
        <v>33</v>
      </c>
      <c r="G5463" s="1932">
        <v>87434</v>
      </c>
      <c r="H5463" s="1930" t="s">
        <v>4071</v>
      </c>
      <c r="I5463" s="1930" t="s">
        <v>306</v>
      </c>
      <c r="J5463" s="1930" t="s">
        <v>320</v>
      </c>
      <c r="K5463" s="1933">
        <v>23.52</v>
      </c>
      <c r="L5463" s="1930" t="s">
        <v>138</v>
      </c>
    </row>
    <row r="5464" spans="1:12" ht="13.5" x14ac:dyDescent="0.25">
      <c r="A5464" s="1930" t="s">
        <v>4786</v>
      </c>
      <c r="B5464" s="1930" t="s">
        <v>4787</v>
      </c>
      <c r="C5464" s="1930" t="s">
        <v>4790</v>
      </c>
      <c r="D5464" s="1930" t="s">
        <v>4791</v>
      </c>
      <c r="E5464" s="1931" t="s">
        <v>33</v>
      </c>
      <c r="F5464" s="1930" t="s">
        <v>33</v>
      </c>
      <c r="G5464" s="1932">
        <v>87435</v>
      </c>
      <c r="H5464" s="1930" t="s">
        <v>4072</v>
      </c>
      <c r="I5464" s="1930" t="s">
        <v>306</v>
      </c>
      <c r="J5464" s="1930" t="s">
        <v>320</v>
      </c>
      <c r="K5464" s="1933">
        <v>24.67</v>
      </c>
      <c r="L5464" s="1930" t="s">
        <v>138</v>
      </c>
    </row>
    <row r="5465" spans="1:12" ht="13.5" x14ac:dyDescent="0.25">
      <c r="A5465" s="1930" t="s">
        <v>4786</v>
      </c>
      <c r="B5465" s="1930" t="s">
        <v>4787</v>
      </c>
      <c r="C5465" s="1930" t="s">
        <v>4790</v>
      </c>
      <c r="D5465" s="1930" t="s">
        <v>4791</v>
      </c>
      <c r="E5465" s="1931" t="s">
        <v>33</v>
      </c>
      <c r="F5465" s="1930" t="s">
        <v>33</v>
      </c>
      <c r="G5465" s="1932">
        <v>87436</v>
      </c>
      <c r="H5465" s="1930" t="s">
        <v>4073</v>
      </c>
      <c r="I5465" s="1930" t="s">
        <v>306</v>
      </c>
      <c r="J5465" s="1930" t="s">
        <v>320</v>
      </c>
      <c r="K5465" s="1933">
        <v>26.03</v>
      </c>
      <c r="L5465" s="1930" t="s">
        <v>138</v>
      </c>
    </row>
    <row r="5466" spans="1:12" ht="13.5" x14ac:dyDescent="0.25">
      <c r="A5466" s="1930" t="s">
        <v>4786</v>
      </c>
      <c r="B5466" s="1930" t="s">
        <v>4787</v>
      </c>
      <c r="C5466" s="1930" t="s">
        <v>4790</v>
      </c>
      <c r="D5466" s="1930" t="s">
        <v>4791</v>
      </c>
      <c r="E5466" s="1931" t="s">
        <v>33</v>
      </c>
      <c r="F5466" s="1930" t="s">
        <v>33</v>
      </c>
      <c r="G5466" s="1932">
        <v>87437</v>
      </c>
      <c r="H5466" s="1930" t="s">
        <v>4074</v>
      </c>
      <c r="I5466" s="1930" t="s">
        <v>306</v>
      </c>
      <c r="J5466" s="1930" t="s">
        <v>320</v>
      </c>
      <c r="K5466" s="1933">
        <v>26.98</v>
      </c>
      <c r="L5466" s="1930" t="s">
        <v>138</v>
      </c>
    </row>
    <row r="5467" spans="1:12" ht="13.5" x14ac:dyDescent="0.25">
      <c r="A5467" s="1930" t="s">
        <v>4786</v>
      </c>
      <c r="B5467" s="1930" t="s">
        <v>4787</v>
      </c>
      <c r="C5467" s="1930" t="s">
        <v>4790</v>
      </c>
      <c r="D5467" s="1930" t="s">
        <v>4791</v>
      </c>
      <c r="E5467" s="1931" t="s">
        <v>33</v>
      </c>
      <c r="F5467" s="1930" t="s">
        <v>33</v>
      </c>
      <c r="G5467" s="1932">
        <v>87438</v>
      </c>
      <c r="H5467" s="1930" t="s">
        <v>4075</v>
      </c>
      <c r="I5467" s="1930" t="s">
        <v>306</v>
      </c>
      <c r="J5467" s="1930" t="s">
        <v>320</v>
      </c>
      <c r="K5467" s="1933">
        <v>30.49</v>
      </c>
      <c r="L5467" s="1930" t="s">
        <v>138</v>
      </c>
    </row>
    <row r="5468" spans="1:12" ht="13.5" x14ac:dyDescent="0.25">
      <c r="A5468" s="1930" t="s">
        <v>4786</v>
      </c>
      <c r="B5468" s="1930" t="s">
        <v>4787</v>
      </c>
      <c r="C5468" s="1930" t="s">
        <v>4790</v>
      </c>
      <c r="D5468" s="1930" t="s">
        <v>4791</v>
      </c>
      <c r="E5468" s="1931" t="s">
        <v>33</v>
      </c>
      <c r="F5468" s="1930" t="s">
        <v>33</v>
      </c>
      <c r="G5468" s="1932">
        <v>87439</v>
      </c>
      <c r="H5468" s="1930" t="s">
        <v>4076</v>
      </c>
      <c r="I5468" s="1930" t="s">
        <v>306</v>
      </c>
      <c r="J5468" s="1930" t="s">
        <v>320</v>
      </c>
      <c r="K5468" s="1933">
        <v>32.200000000000003</v>
      </c>
      <c r="L5468" s="1930" t="s">
        <v>138</v>
      </c>
    </row>
    <row r="5469" spans="1:12" ht="13.5" x14ac:dyDescent="0.25">
      <c r="A5469" s="1930" t="s">
        <v>4786</v>
      </c>
      <c r="B5469" s="1930" t="s">
        <v>4787</v>
      </c>
      <c r="C5469" s="1930" t="s">
        <v>4790</v>
      </c>
      <c r="D5469" s="1930" t="s">
        <v>4791</v>
      </c>
      <c r="E5469" s="1931" t="s">
        <v>33</v>
      </c>
      <c r="F5469" s="1930" t="s">
        <v>33</v>
      </c>
      <c r="G5469" s="1932">
        <v>87440</v>
      </c>
      <c r="H5469" s="1930" t="s">
        <v>4077</v>
      </c>
      <c r="I5469" s="1930" t="s">
        <v>306</v>
      </c>
      <c r="J5469" s="1930" t="s">
        <v>320</v>
      </c>
      <c r="K5469" s="1933">
        <v>33</v>
      </c>
      <c r="L5469" s="1930" t="s">
        <v>138</v>
      </c>
    </row>
    <row r="5470" spans="1:12" ht="13.5" x14ac:dyDescent="0.25">
      <c r="A5470" s="1930" t="s">
        <v>4786</v>
      </c>
      <c r="B5470" s="1930" t="s">
        <v>4787</v>
      </c>
      <c r="C5470" s="1930" t="s">
        <v>4790</v>
      </c>
      <c r="D5470" s="1930" t="s">
        <v>4791</v>
      </c>
      <c r="E5470" s="1931" t="s">
        <v>33</v>
      </c>
      <c r="F5470" s="1930" t="s">
        <v>33</v>
      </c>
      <c r="G5470" s="1932">
        <v>87527</v>
      </c>
      <c r="H5470" s="1930" t="s">
        <v>4078</v>
      </c>
      <c r="I5470" s="1930" t="s">
        <v>306</v>
      </c>
      <c r="J5470" s="1930" t="s">
        <v>320</v>
      </c>
      <c r="K5470" s="1933">
        <v>29.5</v>
      </c>
      <c r="L5470" s="1930" t="s">
        <v>138</v>
      </c>
    </row>
    <row r="5471" spans="1:12" ht="13.5" x14ac:dyDescent="0.25">
      <c r="A5471" s="1930" t="s">
        <v>4786</v>
      </c>
      <c r="B5471" s="1930" t="s">
        <v>4787</v>
      </c>
      <c r="C5471" s="1930" t="s">
        <v>4790</v>
      </c>
      <c r="D5471" s="1930" t="s">
        <v>4791</v>
      </c>
      <c r="E5471" s="1931" t="s">
        <v>33</v>
      </c>
      <c r="F5471" s="1930" t="s">
        <v>33</v>
      </c>
      <c r="G5471" s="1932">
        <v>87528</v>
      </c>
      <c r="H5471" s="1930" t="s">
        <v>4079</v>
      </c>
      <c r="I5471" s="1930" t="s">
        <v>306</v>
      </c>
      <c r="J5471" s="1930" t="s">
        <v>320</v>
      </c>
      <c r="K5471" s="1933">
        <v>32.94</v>
      </c>
      <c r="L5471" s="1930" t="s">
        <v>138</v>
      </c>
    </row>
    <row r="5472" spans="1:12" ht="13.5" x14ac:dyDescent="0.25">
      <c r="A5472" s="1930" t="s">
        <v>4786</v>
      </c>
      <c r="B5472" s="1930" t="s">
        <v>4787</v>
      </c>
      <c r="C5472" s="1930" t="s">
        <v>4790</v>
      </c>
      <c r="D5472" s="1930" t="s">
        <v>4791</v>
      </c>
      <c r="E5472" s="1931" t="s">
        <v>33</v>
      </c>
      <c r="F5472" s="1930" t="s">
        <v>33</v>
      </c>
      <c r="G5472" s="1932">
        <v>87529</v>
      </c>
      <c r="H5472" s="1930" t="s">
        <v>4080</v>
      </c>
      <c r="I5472" s="1930" t="s">
        <v>306</v>
      </c>
      <c r="J5472" s="1930" t="s">
        <v>320</v>
      </c>
      <c r="K5472" s="1933">
        <v>26.68</v>
      </c>
      <c r="L5472" s="1930" t="s">
        <v>138</v>
      </c>
    </row>
    <row r="5473" spans="1:12" ht="13.5" x14ac:dyDescent="0.25">
      <c r="A5473" s="1930" t="s">
        <v>4786</v>
      </c>
      <c r="B5473" s="1930" t="s">
        <v>4787</v>
      </c>
      <c r="C5473" s="1930" t="s">
        <v>4790</v>
      </c>
      <c r="D5473" s="1930" t="s">
        <v>4791</v>
      </c>
      <c r="E5473" s="1931" t="s">
        <v>33</v>
      </c>
      <c r="F5473" s="1930" t="s">
        <v>33</v>
      </c>
      <c r="G5473" s="1932">
        <v>87530</v>
      </c>
      <c r="H5473" s="1930" t="s">
        <v>4081</v>
      </c>
      <c r="I5473" s="1930" t="s">
        <v>306</v>
      </c>
      <c r="J5473" s="1930" t="s">
        <v>320</v>
      </c>
      <c r="K5473" s="1933">
        <v>30.12</v>
      </c>
      <c r="L5473" s="1930" t="s">
        <v>138</v>
      </c>
    </row>
    <row r="5474" spans="1:12" ht="13.5" x14ac:dyDescent="0.25">
      <c r="A5474" s="1930" t="s">
        <v>4786</v>
      </c>
      <c r="B5474" s="1930" t="s">
        <v>4787</v>
      </c>
      <c r="C5474" s="1930" t="s">
        <v>4790</v>
      </c>
      <c r="D5474" s="1930" t="s">
        <v>4791</v>
      </c>
      <c r="E5474" s="1931" t="s">
        <v>33</v>
      </c>
      <c r="F5474" s="1930" t="s">
        <v>33</v>
      </c>
      <c r="G5474" s="1932">
        <v>87531</v>
      </c>
      <c r="H5474" s="1930" t="s">
        <v>4082</v>
      </c>
      <c r="I5474" s="1930" t="s">
        <v>306</v>
      </c>
      <c r="J5474" s="1930" t="s">
        <v>320</v>
      </c>
      <c r="K5474" s="1933">
        <v>25.68</v>
      </c>
      <c r="L5474" s="1930" t="s">
        <v>138</v>
      </c>
    </row>
    <row r="5475" spans="1:12" ht="13.5" x14ac:dyDescent="0.25">
      <c r="A5475" s="1930" t="s">
        <v>4786</v>
      </c>
      <c r="B5475" s="1930" t="s">
        <v>4787</v>
      </c>
      <c r="C5475" s="1930" t="s">
        <v>4790</v>
      </c>
      <c r="D5475" s="1930" t="s">
        <v>4791</v>
      </c>
      <c r="E5475" s="1931" t="s">
        <v>33</v>
      </c>
      <c r="F5475" s="1930" t="s">
        <v>33</v>
      </c>
      <c r="G5475" s="1932">
        <v>87532</v>
      </c>
      <c r="H5475" s="1930" t="s">
        <v>4083</v>
      </c>
      <c r="I5475" s="1930" t="s">
        <v>306</v>
      </c>
      <c r="J5475" s="1930" t="s">
        <v>320</v>
      </c>
      <c r="K5475" s="1933">
        <v>29.12</v>
      </c>
      <c r="L5475" s="1930" t="s">
        <v>138</v>
      </c>
    </row>
    <row r="5476" spans="1:12" ht="13.5" x14ac:dyDescent="0.25">
      <c r="A5476" s="1930" t="s">
        <v>4786</v>
      </c>
      <c r="B5476" s="1930" t="s">
        <v>4787</v>
      </c>
      <c r="C5476" s="1930" t="s">
        <v>4790</v>
      </c>
      <c r="D5476" s="1930" t="s">
        <v>4791</v>
      </c>
      <c r="E5476" s="1931" t="s">
        <v>33</v>
      </c>
      <c r="F5476" s="1930" t="s">
        <v>33</v>
      </c>
      <c r="G5476" s="1932">
        <v>87535</v>
      </c>
      <c r="H5476" s="1930" t="s">
        <v>4084</v>
      </c>
      <c r="I5476" s="1930" t="s">
        <v>306</v>
      </c>
      <c r="J5476" s="1930" t="s">
        <v>320</v>
      </c>
      <c r="K5476" s="1933">
        <v>22.85</v>
      </c>
      <c r="L5476" s="1930" t="s">
        <v>138</v>
      </c>
    </row>
    <row r="5477" spans="1:12" ht="13.5" x14ac:dyDescent="0.25">
      <c r="A5477" s="1930" t="s">
        <v>4786</v>
      </c>
      <c r="B5477" s="1930" t="s">
        <v>4787</v>
      </c>
      <c r="C5477" s="1930" t="s">
        <v>4790</v>
      </c>
      <c r="D5477" s="1930" t="s">
        <v>4791</v>
      </c>
      <c r="E5477" s="1931" t="s">
        <v>33</v>
      </c>
      <c r="F5477" s="1930" t="s">
        <v>33</v>
      </c>
      <c r="G5477" s="1932">
        <v>87536</v>
      </c>
      <c r="H5477" s="1930" t="s">
        <v>4085</v>
      </c>
      <c r="I5477" s="1930" t="s">
        <v>306</v>
      </c>
      <c r="J5477" s="1930" t="s">
        <v>320</v>
      </c>
      <c r="K5477" s="1933">
        <v>26.29</v>
      </c>
      <c r="L5477" s="1930" t="s">
        <v>138</v>
      </c>
    </row>
    <row r="5478" spans="1:12" ht="13.5" x14ac:dyDescent="0.25">
      <c r="A5478" s="1930" t="s">
        <v>4786</v>
      </c>
      <c r="B5478" s="1930" t="s">
        <v>4787</v>
      </c>
      <c r="C5478" s="1930" t="s">
        <v>4790</v>
      </c>
      <c r="D5478" s="1930" t="s">
        <v>4791</v>
      </c>
      <c r="E5478" s="1931" t="s">
        <v>33</v>
      </c>
      <c r="F5478" s="1930" t="s">
        <v>33</v>
      </c>
      <c r="G5478" s="1932">
        <v>87537</v>
      </c>
      <c r="H5478" s="1930" t="s">
        <v>4086</v>
      </c>
      <c r="I5478" s="1930" t="s">
        <v>306</v>
      </c>
      <c r="J5478" s="1930" t="s">
        <v>320</v>
      </c>
      <c r="K5478" s="1933">
        <v>40.33</v>
      </c>
      <c r="L5478" s="1930" t="s">
        <v>138</v>
      </c>
    </row>
    <row r="5479" spans="1:12" ht="13.5" x14ac:dyDescent="0.25">
      <c r="A5479" s="1930" t="s">
        <v>4786</v>
      </c>
      <c r="B5479" s="1930" t="s">
        <v>4787</v>
      </c>
      <c r="C5479" s="1930" t="s">
        <v>4790</v>
      </c>
      <c r="D5479" s="1930" t="s">
        <v>4791</v>
      </c>
      <c r="E5479" s="1931" t="s">
        <v>33</v>
      </c>
      <c r="F5479" s="1930" t="s">
        <v>33</v>
      </c>
      <c r="G5479" s="1932">
        <v>87538</v>
      </c>
      <c r="H5479" s="1930" t="s">
        <v>4087</v>
      </c>
      <c r="I5479" s="1930" t="s">
        <v>306</v>
      </c>
      <c r="J5479" s="1930" t="s">
        <v>320</v>
      </c>
      <c r="K5479" s="1933">
        <v>37.89</v>
      </c>
      <c r="L5479" s="1930" t="s">
        <v>138</v>
      </c>
    </row>
    <row r="5480" spans="1:12" ht="13.5" x14ac:dyDescent="0.25">
      <c r="A5480" s="1930" t="s">
        <v>4786</v>
      </c>
      <c r="B5480" s="1930" t="s">
        <v>4787</v>
      </c>
      <c r="C5480" s="1930" t="s">
        <v>4790</v>
      </c>
      <c r="D5480" s="1930" t="s">
        <v>4791</v>
      </c>
      <c r="E5480" s="1931" t="s">
        <v>33</v>
      </c>
      <c r="F5480" s="1930" t="s">
        <v>33</v>
      </c>
      <c r="G5480" s="1932">
        <v>87539</v>
      </c>
      <c r="H5480" s="1930" t="s">
        <v>4088</v>
      </c>
      <c r="I5480" s="1930" t="s">
        <v>306</v>
      </c>
      <c r="J5480" s="1930" t="s">
        <v>320</v>
      </c>
      <c r="K5480" s="1933">
        <v>37.020000000000003</v>
      </c>
      <c r="L5480" s="1930" t="s">
        <v>138</v>
      </c>
    </row>
    <row r="5481" spans="1:12" ht="13.5" x14ac:dyDescent="0.25">
      <c r="A5481" s="1930" t="s">
        <v>4786</v>
      </c>
      <c r="B5481" s="1930" t="s">
        <v>4787</v>
      </c>
      <c r="C5481" s="1930" t="s">
        <v>4790</v>
      </c>
      <c r="D5481" s="1930" t="s">
        <v>4791</v>
      </c>
      <c r="E5481" s="1931" t="s">
        <v>33</v>
      </c>
      <c r="F5481" s="1930" t="s">
        <v>33</v>
      </c>
      <c r="G5481" s="1932">
        <v>87541</v>
      </c>
      <c r="H5481" s="1930" t="s">
        <v>4089</v>
      </c>
      <c r="I5481" s="1930" t="s">
        <v>306</v>
      </c>
      <c r="J5481" s="1930" t="s">
        <v>320</v>
      </c>
      <c r="K5481" s="1933">
        <v>34.6</v>
      </c>
      <c r="L5481" s="1930" t="s">
        <v>138</v>
      </c>
    </row>
    <row r="5482" spans="1:12" ht="13.5" x14ac:dyDescent="0.25">
      <c r="A5482" s="1930" t="s">
        <v>4786</v>
      </c>
      <c r="B5482" s="1930" t="s">
        <v>4787</v>
      </c>
      <c r="C5482" s="1930" t="s">
        <v>4790</v>
      </c>
      <c r="D5482" s="1930" t="s">
        <v>4791</v>
      </c>
      <c r="E5482" s="1931" t="s">
        <v>33</v>
      </c>
      <c r="F5482" s="1930" t="s">
        <v>33</v>
      </c>
      <c r="G5482" s="1932">
        <v>87543</v>
      </c>
      <c r="H5482" s="1930" t="s">
        <v>5046</v>
      </c>
      <c r="I5482" s="1930" t="s">
        <v>306</v>
      </c>
      <c r="J5482" s="1930" t="s">
        <v>320</v>
      </c>
      <c r="K5482" s="1933">
        <v>12.94</v>
      </c>
      <c r="L5482" s="1930" t="s">
        <v>138</v>
      </c>
    </row>
    <row r="5483" spans="1:12" ht="13.5" x14ac:dyDescent="0.25">
      <c r="A5483" s="1930" t="s">
        <v>4786</v>
      </c>
      <c r="B5483" s="1930" t="s">
        <v>4787</v>
      </c>
      <c r="C5483" s="1930" t="s">
        <v>4790</v>
      </c>
      <c r="D5483" s="1930" t="s">
        <v>4791</v>
      </c>
      <c r="E5483" s="1931" t="s">
        <v>33</v>
      </c>
      <c r="F5483" s="1930" t="s">
        <v>33</v>
      </c>
      <c r="G5483" s="1932">
        <v>87545</v>
      </c>
      <c r="H5483" s="1930" t="s">
        <v>4090</v>
      </c>
      <c r="I5483" s="1930" t="s">
        <v>306</v>
      </c>
      <c r="J5483" s="1930" t="s">
        <v>320</v>
      </c>
      <c r="K5483" s="1933">
        <v>20.059999999999999</v>
      </c>
      <c r="L5483" s="1930" t="s">
        <v>138</v>
      </c>
    </row>
    <row r="5484" spans="1:12" ht="13.5" x14ac:dyDescent="0.25">
      <c r="A5484" s="1930" t="s">
        <v>4786</v>
      </c>
      <c r="B5484" s="1930" t="s">
        <v>4787</v>
      </c>
      <c r="C5484" s="1930" t="s">
        <v>4790</v>
      </c>
      <c r="D5484" s="1930" t="s">
        <v>4791</v>
      </c>
      <c r="E5484" s="1931" t="s">
        <v>33</v>
      </c>
      <c r="F5484" s="1930" t="s">
        <v>33</v>
      </c>
      <c r="G5484" s="1932">
        <v>87546</v>
      </c>
      <c r="H5484" s="1930" t="s">
        <v>4091</v>
      </c>
      <c r="I5484" s="1930" t="s">
        <v>306</v>
      </c>
      <c r="J5484" s="1930" t="s">
        <v>320</v>
      </c>
      <c r="K5484" s="1933">
        <v>22.01</v>
      </c>
      <c r="L5484" s="1930" t="s">
        <v>138</v>
      </c>
    </row>
    <row r="5485" spans="1:12" ht="13.5" x14ac:dyDescent="0.25">
      <c r="A5485" s="1930" t="s">
        <v>4786</v>
      </c>
      <c r="B5485" s="1930" t="s">
        <v>4787</v>
      </c>
      <c r="C5485" s="1930" t="s">
        <v>4790</v>
      </c>
      <c r="D5485" s="1930" t="s">
        <v>4791</v>
      </c>
      <c r="E5485" s="1931" t="s">
        <v>33</v>
      </c>
      <c r="F5485" s="1930" t="s">
        <v>33</v>
      </c>
      <c r="G5485" s="1932">
        <v>87547</v>
      </c>
      <c r="H5485" s="1930" t="s">
        <v>4092</v>
      </c>
      <c r="I5485" s="1930" t="s">
        <v>306</v>
      </c>
      <c r="J5485" s="1930" t="s">
        <v>320</v>
      </c>
      <c r="K5485" s="1933">
        <v>17.27</v>
      </c>
      <c r="L5485" s="1930" t="s">
        <v>138</v>
      </c>
    </row>
    <row r="5486" spans="1:12" ht="13.5" x14ac:dyDescent="0.25">
      <c r="A5486" s="1930" t="s">
        <v>4786</v>
      </c>
      <c r="B5486" s="1930" t="s">
        <v>4787</v>
      </c>
      <c r="C5486" s="1930" t="s">
        <v>4790</v>
      </c>
      <c r="D5486" s="1930" t="s">
        <v>4791</v>
      </c>
      <c r="E5486" s="1931" t="s">
        <v>33</v>
      </c>
      <c r="F5486" s="1930" t="s">
        <v>33</v>
      </c>
      <c r="G5486" s="1932">
        <v>87548</v>
      </c>
      <c r="H5486" s="1930" t="s">
        <v>4093</v>
      </c>
      <c r="I5486" s="1930" t="s">
        <v>306</v>
      </c>
      <c r="J5486" s="1930" t="s">
        <v>320</v>
      </c>
      <c r="K5486" s="1933">
        <v>19.22</v>
      </c>
      <c r="L5486" s="1930" t="s">
        <v>138</v>
      </c>
    </row>
    <row r="5487" spans="1:12" ht="13.5" x14ac:dyDescent="0.25">
      <c r="A5487" s="1930" t="s">
        <v>4786</v>
      </c>
      <c r="B5487" s="1930" t="s">
        <v>4787</v>
      </c>
      <c r="C5487" s="1930" t="s">
        <v>4790</v>
      </c>
      <c r="D5487" s="1930" t="s">
        <v>4791</v>
      </c>
      <c r="E5487" s="1931" t="s">
        <v>33</v>
      </c>
      <c r="F5487" s="1930" t="s">
        <v>33</v>
      </c>
      <c r="G5487" s="1932">
        <v>87549</v>
      </c>
      <c r="H5487" s="1930" t="s">
        <v>4094</v>
      </c>
      <c r="I5487" s="1930" t="s">
        <v>306</v>
      </c>
      <c r="J5487" s="1930" t="s">
        <v>320</v>
      </c>
      <c r="K5487" s="1933">
        <v>16.239999999999998</v>
      </c>
      <c r="L5487" s="1930" t="s">
        <v>138</v>
      </c>
    </row>
    <row r="5488" spans="1:12" ht="13.5" x14ac:dyDescent="0.25">
      <c r="A5488" s="1930" t="s">
        <v>4786</v>
      </c>
      <c r="B5488" s="1930" t="s">
        <v>4787</v>
      </c>
      <c r="C5488" s="1930" t="s">
        <v>4790</v>
      </c>
      <c r="D5488" s="1930" t="s">
        <v>4791</v>
      </c>
      <c r="E5488" s="1931" t="s">
        <v>33</v>
      </c>
      <c r="F5488" s="1930" t="s">
        <v>33</v>
      </c>
      <c r="G5488" s="1932">
        <v>87550</v>
      </c>
      <c r="H5488" s="1930" t="s">
        <v>4095</v>
      </c>
      <c r="I5488" s="1930" t="s">
        <v>306</v>
      </c>
      <c r="J5488" s="1930" t="s">
        <v>320</v>
      </c>
      <c r="K5488" s="1933">
        <v>18.190000000000001</v>
      </c>
      <c r="L5488" s="1930" t="s">
        <v>138</v>
      </c>
    </row>
    <row r="5489" spans="1:12" ht="13.5" x14ac:dyDescent="0.25">
      <c r="A5489" s="1930" t="s">
        <v>4786</v>
      </c>
      <c r="B5489" s="1930" t="s">
        <v>4787</v>
      </c>
      <c r="C5489" s="1930" t="s">
        <v>4790</v>
      </c>
      <c r="D5489" s="1930" t="s">
        <v>4791</v>
      </c>
      <c r="E5489" s="1931" t="s">
        <v>33</v>
      </c>
      <c r="F5489" s="1930" t="s">
        <v>33</v>
      </c>
      <c r="G5489" s="1932">
        <v>87553</v>
      </c>
      <c r="H5489" s="1930" t="s">
        <v>4096</v>
      </c>
      <c r="I5489" s="1930" t="s">
        <v>306</v>
      </c>
      <c r="J5489" s="1930" t="s">
        <v>320</v>
      </c>
      <c r="K5489" s="1933">
        <v>13.43</v>
      </c>
      <c r="L5489" s="1930" t="s">
        <v>138</v>
      </c>
    </row>
    <row r="5490" spans="1:12" ht="13.5" x14ac:dyDescent="0.25">
      <c r="A5490" s="1930" t="s">
        <v>4786</v>
      </c>
      <c r="B5490" s="1930" t="s">
        <v>4787</v>
      </c>
      <c r="C5490" s="1930" t="s">
        <v>4790</v>
      </c>
      <c r="D5490" s="1930" t="s">
        <v>4791</v>
      </c>
      <c r="E5490" s="1931" t="s">
        <v>33</v>
      </c>
      <c r="F5490" s="1930" t="s">
        <v>33</v>
      </c>
      <c r="G5490" s="1932">
        <v>87554</v>
      </c>
      <c r="H5490" s="1930" t="s">
        <v>4097</v>
      </c>
      <c r="I5490" s="1930" t="s">
        <v>306</v>
      </c>
      <c r="J5490" s="1930" t="s">
        <v>320</v>
      </c>
      <c r="K5490" s="1933">
        <v>15.38</v>
      </c>
      <c r="L5490" s="1930" t="s">
        <v>138</v>
      </c>
    </row>
    <row r="5491" spans="1:12" ht="13.5" x14ac:dyDescent="0.25">
      <c r="A5491" s="1930" t="s">
        <v>4786</v>
      </c>
      <c r="B5491" s="1930" t="s">
        <v>4787</v>
      </c>
      <c r="C5491" s="1930" t="s">
        <v>4790</v>
      </c>
      <c r="D5491" s="1930" t="s">
        <v>4791</v>
      </c>
      <c r="E5491" s="1931" t="s">
        <v>33</v>
      </c>
      <c r="F5491" s="1930" t="s">
        <v>33</v>
      </c>
      <c r="G5491" s="1932">
        <v>87555</v>
      </c>
      <c r="H5491" s="1930" t="s">
        <v>4098</v>
      </c>
      <c r="I5491" s="1930" t="s">
        <v>306</v>
      </c>
      <c r="J5491" s="1930" t="s">
        <v>320</v>
      </c>
      <c r="K5491" s="1933">
        <v>25.35</v>
      </c>
      <c r="L5491" s="1930" t="s">
        <v>138</v>
      </c>
    </row>
    <row r="5492" spans="1:12" ht="13.5" x14ac:dyDescent="0.25">
      <c r="A5492" s="1930" t="s">
        <v>4786</v>
      </c>
      <c r="B5492" s="1930" t="s">
        <v>4787</v>
      </c>
      <c r="C5492" s="1930" t="s">
        <v>4790</v>
      </c>
      <c r="D5492" s="1930" t="s">
        <v>4791</v>
      </c>
      <c r="E5492" s="1931" t="s">
        <v>33</v>
      </c>
      <c r="F5492" s="1930" t="s">
        <v>33</v>
      </c>
      <c r="G5492" s="1932">
        <v>87556</v>
      </c>
      <c r="H5492" s="1930" t="s">
        <v>4099</v>
      </c>
      <c r="I5492" s="1930" t="s">
        <v>306</v>
      </c>
      <c r="J5492" s="1930" t="s">
        <v>320</v>
      </c>
      <c r="K5492" s="1933">
        <v>22.93</v>
      </c>
      <c r="L5492" s="1930" t="s">
        <v>138</v>
      </c>
    </row>
    <row r="5493" spans="1:12" ht="13.5" x14ac:dyDescent="0.25">
      <c r="A5493" s="1930" t="s">
        <v>4786</v>
      </c>
      <c r="B5493" s="1930" t="s">
        <v>4787</v>
      </c>
      <c r="C5493" s="1930" t="s">
        <v>4790</v>
      </c>
      <c r="D5493" s="1930" t="s">
        <v>4791</v>
      </c>
      <c r="E5493" s="1931" t="s">
        <v>33</v>
      </c>
      <c r="F5493" s="1930" t="s">
        <v>33</v>
      </c>
      <c r="G5493" s="1932">
        <v>87557</v>
      </c>
      <c r="H5493" s="1930" t="s">
        <v>4100</v>
      </c>
      <c r="I5493" s="1930" t="s">
        <v>306</v>
      </c>
      <c r="J5493" s="1930" t="s">
        <v>320</v>
      </c>
      <c r="K5493" s="1933">
        <v>22.06</v>
      </c>
      <c r="L5493" s="1930" t="s">
        <v>138</v>
      </c>
    </row>
    <row r="5494" spans="1:12" ht="13.5" x14ac:dyDescent="0.25">
      <c r="A5494" s="1930" t="s">
        <v>4786</v>
      </c>
      <c r="B5494" s="1930" t="s">
        <v>4787</v>
      </c>
      <c r="C5494" s="1930" t="s">
        <v>4790</v>
      </c>
      <c r="D5494" s="1930" t="s">
        <v>4791</v>
      </c>
      <c r="E5494" s="1931" t="s">
        <v>33</v>
      </c>
      <c r="F5494" s="1930" t="s">
        <v>33</v>
      </c>
      <c r="G5494" s="1932">
        <v>87559</v>
      </c>
      <c r="H5494" s="1930" t="s">
        <v>4101</v>
      </c>
      <c r="I5494" s="1930" t="s">
        <v>306</v>
      </c>
      <c r="J5494" s="1930" t="s">
        <v>320</v>
      </c>
      <c r="K5494" s="1933">
        <v>19.63</v>
      </c>
      <c r="L5494" s="1930" t="s">
        <v>138</v>
      </c>
    </row>
    <row r="5495" spans="1:12" ht="13.5" x14ac:dyDescent="0.25">
      <c r="A5495" s="1930" t="s">
        <v>4786</v>
      </c>
      <c r="B5495" s="1930" t="s">
        <v>4787</v>
      </c>
      <c r="C5495" s="1930" t="s">
        <v>4790</v>
      </c>
      <c r="D5495" s="1930" t="s">
        <v>4791</v>
      </c>
      <c r="E5495" s="1931" t="s">
        <v>33</v>
      </c>
      <c r="F5495" s="1930" t="s">
        <v>33</v>
      </c>
      <c r="G5495" s="1932">
        <v>87561</v>
      </c>
      <c r="H5495" s="1930" t="s">
        <v>4102</v>
      </c>
      <c r="I5495" s="1930" t="s">
        <v>306</v>
      </c>
      <c r="J5495" s="1930" t="s">
        <v>320</v>
      </c>
      <c r="K5495" s="1933">
        <v>22.27</v>
      </c>
      <c r="L5495" s="1930" t="s">
        <v>138</v>
      </c>
    </row>
    <row r="5496" spans="1:12" ht="13.5" x14ac:dyDescent="0.25">
      <c r="A5496" s="1930" t="s">
        <v>4786</v>
      </c>
      <c r="B5496" s="1930" t="s">
        <v>4787</v>
      </c>
      <c r="C5496" s="1930" t="s">
        <v>4790</v>
      </c>
      <c r="D5496" s="1930" t="s">
        <v>4791</v>
      </c>
      <c r="E5496" s="1931" t="s">
        <v>33</v>
      </c>
      <c r="F5496" s="1930" t="s">
        <v>33</v>
      </c>
      <c r="G5496" s="1932">
        <v>87775</v>
      </c>
      <c r="H5496" s="1930" t="s">
        <v>4103</v>
      </c>
      <c r="I5496" s="1930" t="s">
        <v>306</v>
      </c>
      <c r="J5496" s="1930" t="s">
        <v>320</v>
      </c>
      <c r="K5496" s="1933">
        <v>41.4</v>
      </c>
      <c r="L5496" s="1930" t="s">
        <v>138</v>
      </c>
    </row>
    <row r="5497" spans="1:12" ht="13.5" x14ac:dyDescent="0.25">
      <c r="A5497" s="1930" t="s">
        <v>4786</v>
      </c>
      <c r="B5497" s="1930" t="s">
        <v>4787</v>
      </c>
      <c r="C5497" s="1930" t="s">
        <v>4790</v>
      </c>
      <c r="D5497" s="1930" t="s">
        <v>4791</v>
      </c>
      <c r="E5497" s="1931" t="s">
        <v>33</v>
      </c>
      <c r="F5497" s="1930" t="s">
        <v>33</v>
      </c>
      <c r="G5497" s="1932">
        <v>87777</v>
      </c>
      <c r="H5497" s="1930" t="s">
        <v>4104</v>
      </c>
      <c r="I5497" s="1930" t="s">
        <v>306</v>
      </c>
      <c r="J5497" s="1930" t="s">
        <v>320</v>
      </c>
      <c r="K5497" s="1933">
        <v>44.27</v>
      </c>
      <c r="L5497" s="1930" t="s">
        <v>138</v>
      </c>
    </row>
    <row r="5498" spans="1:12" ht="13.5" x14ac:dyDescent="0.25">
      <c r="A5498" s="1930" t="s">
        <v>4786</v>
      </c>
      <c r="B5498" s="1930" t="s">
        <v>4787</v>
      </c>
      <c r="C5498" s="1930" t="s">
        <v>4790</v>
      </c>
      <c r="D5498" s="1930" t="s">
        <v>4791</v>
      </c>
      <c r="E5498" s="1931" t="s">
        <v>33</v>
      </c>
      <c r="F5498" s="1930" t="s">
        <v>33</v>
      </c>
      <c r="G5498" s="1932">
        <v>87778</v>
      </c>
      <c r="H5498" s="1930" t="s">
        <v>4105</v>
      </c>
      <c r="I5498" s="1930" t="s">
        <v>306</v>
      </c>
      <c r="J5498" s="1930" t="s">
        <v>320</v>
      </c>
      <c r="K5498" s="1933">
        <v>48.34</v>
      </c>
      <c r="L5498" s="1930" t="s">
        <v>138</v>
      </c>
    </row>
    <row r="5499" spans="1:12" ht="13.5" x14ac:dyDescent="0.25">
      <c r="A5499" s="1930" t="s">
        <v>4786</v>
      </c>
      <c r="B5499" s="1930" t="s">
        <v>4787</v>
      </c>
      <c r="C5499" s="1930" t="s">
        <v>4790</v>
      </c>
      <c r="D5499" s="1930" t="s">
        <v>4791</v>
      </c>
      <c r="E5499" s="1931" t="s">
        <v>33</v>
      </c>
      <c r="F5499" s="1930" t="s">
        <v>33</v>
      </c>
      <c r="G5499" s="1932">
        <v>87779</v>
      </c>
      <c r="H5499" s="1930" t="s">
        <v>4106</v>
      </c>
      <c r="I5499" s="1930" t="s">
        <v>306</v>
      </c>
      <c r="J5499" s="1930" t="s">
        <v>320</v>
      </c>
      <c r="K5499" s="1933">
        <v>48.38</v>
      </c>
      <c r="L5499" s="1930" t="s">
        <v>138</v>
      </c>
    </row>
    <row r="5500" spans="1:12" ht="13.5" x14ac:dyDescent="0.25">
      <c r="A5500" s="1930" t="s">
        <v>4786</v>
      </c>
      <c r="B5500" s="1930" t="s">
        <v>4787</v>
      </c>
      <c r="C5500" s="1930" t="s">
        <v>4790</v>
      </c>
      <c r="D5500" s="1930" t="s">
        <v>4791</v>
      </c>
      <c r="E5500" s="1931" t="s">
        <v>33</v>
      </c>
      <c r="F5500" s="1930" t="s">
        <v>33</v>
      </c>
      <c r="G5500" s="1932">
        <v>87781</v>
      </c>
      <c r="H5500" s="1930" t="s">
        <v>4107</v>
      </c>
      <c r="I5500" s="1930" t="s">
        <v>306</v>
      </c>
      <c r="J5500" s="1930" t="s">
        <v>320</v>
      </c>
      <c r="K5500" s="1933">
        <v>52.23</v>
      </c>
      <c r="L5500" s="1930" t="s">
        <v>138</v>
      </c>
    </row>
    <row r="5501" spans="1:12" ht="13.5" x14ac:dyDescent="0.25">
      <c r="A5501" s="1930" t="s">
        <v>4786</v>
      </c>
      <c r="B5501" s="1930" t="s">
        <v>4787</v>
      </c>
      <c r="C5501" s="1930" t="s">
        <v>4790</v>
      </c>
      <c r="D5501" s="1930" t="s">
        <v>4791</v>
      </c>
      <c r="E5501" s="1931" t="s">
        <v>33</v>
      </c>
      <c r="F5501" s="1930" t="s">
        <v>33</v>
      </c>
      <c r="G5501" s="1932">
        <v>87783</v>
      </c>
      <c r="H5501" s="1930" t="s">
        <v>4108</v>
      </c>
      <c r="I5501" s="1930" t="s">
        <v>306</v>
      </c>
      <c r="J5501" s="1930" t="s">
        <v>320</v>
      </c>
      <c r="K5501" s="1933">
        <v>59.24</v>
      </c>
      <c r="L5501" s="1930" t="s">
        <v>138</v>
      </c>
    </row>
    <row r="5502" spans="1:12" ht="13.5" x14ac:dyDescent="0.25">
      <c r="A5502" s="1930" t="s">
        <v>4786</v>
      </c>
      <c r="B5502" s="1930" t="s">
        <v>4787</v>
      </c>
      <c r="C5502" s="1930" t="s">
        <v>4790</v>
      </c>
      <c r="D5502" s="1930" t="s">
        <v>4791</v>
      </c>
      <c r="E5502" s="1931" t="s">
        <v>33</v>
      </c>
      <c r="F5502" s="1930" t="s">
        <v>33</v>
      </c>
      <c r="G5502" s="1932">
        <v>87784</v>
      </c>
      <c r="H5502" s="1930" t="s">
        <v>4109</v>
      </c>
      <c r="I5502" s="1930" t="s">
        <v>306</v>
      </c>
      <c r="J5502" s="1930" t="s">
        <v>320</v>
      </c>
      <c r="K5502" s="1933">
        <v>55.37</v>
      </c>
      <c r="L5502" s="1930" t="s">
        <v>138</v>
      </c>
    </row>
    <row r="5503" spans="1:12" ht="13.5" x14ac:dyDescent="0.25">
      <c r="A5503" s="1930" t="s">
        <v>4786</v>
      </c>
      <c r="B5503" s="1930" t="s">
        <v>4787</v>
      </c>
      <c r="C5503" s="1930" t="s">
        <v>4790</v>
      </c>
      <c r="D5503" s="1930" t="s">
        <v>4791</v>
      </c>
      <c r="E5503" s="1931" t="s">
        <v>33</v>
      </c>
      <c r="F5503" s="1930" t="s">
        <v>33</v>
      </c>
      <c r="G5503" s="1932">
        <v>87786</v>
      </c>
      <c r="H5503" s="1930" t="s">
        <v>4110</v>
      </c>
      <c r="I5503" s="1930" t="s">
        <v>306</v>
      </c>
      <c r="J5503" s="1930" t="s">
        <v>320</v>
      </c>
      <c r="K5503" s="1933">
        <v>60.2</v>
      </c>
      <c r="L5503" s="1930" t="s">
        <v>138</v>
      </c>
    </row>
    <row r="5504" spans="1:12" ht="13.5" x14ac:dyDescent="0.25">
      <c r="A5504" s="1930" t="s">
        <v>4786</v>
      </c>
      <c r="B5504" s="1930" t="s">
        <v>4787</v>
      </c>
      <c r="C5504" s="1930" t="s">
        <v>4790</v>
      </c>
      <c r="D5504" s="1930" t="s">
        <v>4791</v>
      </c>
      <c r="E5504" s="1931" t="s">
        <v>33</v>
      </c>
      <c r="F5504" s="1930" t="s">
        <v>33</v>
      </c>
      <c r="G5504" s="1932">
        <v>87787</v>
      </c>
      <c r="H5504" s="1930" t="s">
        <v>4111</v>
      </c>
      <c r="I5504" s="1930" t="s">
        <v>306</v>
      </c>
      <c r="J5504" s="1930" t="s">
        <v>320</v>
      </c>
      <c r="K5504" s="1933">
        <v>70.17</v>
      </c>
      <c r="L5504" s="1930" t="s">
        <v>138</v>
      </c>
    </row>
    <row r="5505" spans="1:12" ht="13.5" x14ac:dyDescent="0.25">
      <c r="A5505" s="1930" t="s">
        <v>4786</v>
      </c>
      <c r="B5505" s="1930" t="s">
        <v>4787</v>
      </c>
      <c r="C5505" s="1930" t="s">
        <v>4790</v>
      </c>
      <c r="D5505" s="1930" t="s">
        <v>4791</v>
      </c>
      <c r="E5505" s="1931" t="s">
        <v>33</v>
      </c>
      <c r="F5505" s="1930" t="s">
        <v>33</v>
      </c>
      <c r="G5505" s="1932">
        <v>87788</v>
      </c>
      <c r="H5505" s="1930" t="s">
        <v>4112</v>
      </c>
      <c r="I5505" s="1930" t="s">
        <v>306</v>
      </c>
      <c r="J5505" s="1930" t="s">
        <v>320</v>
      </c>
      <c r="K5505" s="1933">
        <v>71.17</v>
      </c>
      <c r="L5505" s="1930" t="s">
        <v>138</v>
      </c>
    </row>
    <row r="5506" spans="1:12" ht="13.5" x14ac:dyDescent="0.25">
      <c r="A5506" s="1930" t="s">
        <v>4786</v>
      </c>
      <c r="B5506" s="1930" t="s">
        <v>4787</v>
      </c>
      <c r="C5506" s="1930" t="s">
        <v>4790</v>
      </c>
      <c r="D5506" s="1930" t="s">
        <v>4791</v>
      </c>
      <c r="E5506" s="1931" t="s">
        <v>33</v>
      </c>
      <c r="F5506" s="1930" t="s">
        <v>33</v>
      </c>
      <c r="G5506" s="1932">
        <v>87790</v>
      </c>
      <c r="H5506" s="1930" t="s">
        <v>4113</v>
      </c>
      <c r="I5506" s="1930" t="s">
        <v>306</v>
      </c>
      <c r="J5506" s="1930" t="s">
        <v>320</v>
      </c>
      <c r="K5506" s="1933">
        <v>76.48</v>
      </c>
      <c r="L5506" s="1930" t="s">
        <v>138</v>
      </c>
    </row>
    <row r="5507" spans="1:12" ht="13.5" x14ac:dyDescent="0.25">
      <c r="A5507" s="1930" t="s">
        <v>4786</v>
      </c>
      <c r="B5507" s="1930" t="s">
        <v>4787</v>
      </c>
      <c r="C5507" s="1930" t="s">
        <v>4790</v>
      </c>
      <c r="D5507" s="1930" t="s">
        <v>4791</v>
      </c>
      <c r="E5507" s="1931" t="s">
        <v>33</v>
      </c>
      <c r="F5507" s="1930" t="s">
        <v>33</v>
      </c>
      <c r="G5507" s="1932">
        <v>87791</v>
      </c>
      <c r="H5507" s="1930" t="s">
        <v>4114</v>
      </c>
      <c r="I5507" s="1930" t="s">
        <v>306</v>
      </c>
      <c r="J5507" s="1930" t="s">
        <v>320</v>
      </c>
      <c r="K5507" s="1933">
        <v>84.73</v>
      </c>
      <c r="L5507" s="1930" t="s">
        <v>138</v>
      </c>
    </row>
    <row r="5508" spans="1:12" ht="13.5" x14ac:dyDescent="0.25">
      <c r="A5508" s="1930" t="s">
        <v>4786</v>
      </c>
      <c r="B5508" s="1930" t="s">
        <v>4787</v>
      </c>
      <c r="C5508" s="1930" t="s">
        <v>4790</v>
      </c>
      <c r="D5508" s="1930" t="s">
        <v>4791</v>
      </c>
      <c r="E5508" s="1931" t="s">
        <v>33</v>
      </c>
      <c r="F5508" s="1930" t="s">
        <v>33</v>
      </c>
      <c r="G5508" s="1932">
        <v>87792</v>
      </c>
      <c r="H5508" s="1930" t="s">
        <v>4115</v>
      </c>
      <c r="I5508" s="1930" t="s">
        <v>306</v>
      </c>
      <c r="J5508" s="1930" t="s">
        <v>320</v>
      </c>
      <c r="K5508" s="1933">
        <v>27.44</v>
      </c>
      <c r="L5508" s="1930" t="s">
        <v>138</v>
      </c>
    </row>
    <row r="5509" spans="1:12" ht="13.5" x14ac:dyDescent="0.25">
      <c r="A5509" s="1930" t="s">
        <v>4786</v>
      </c>
      <c r="B5509" s="1930" t="s">
        <v>4787</v>
      </c>
      <c r="C5509" s="1930" t="s">
        <v>4790</v>
      </c>
      <c r="D5509" s="1930" t="s">
        <v>4791</v>
      </c>
      <c r="E5509" s="1931" t="s">
        <v>33</v>
      </c>
      <c r="F5509" s="1930" t="s">
        <v>33</v>
      </c>
      <c r="G5509" s="1932">
        <v>87794</v>
      </c>
      <c r="H5509" s="1930" t="s">
        <v>4116</v>
      </c>
      <c r="I5509" s="1930" t="s">
        <v>306</v>
      </c>
      <c r="J5509" s="1930" t="s">
        <v>320</v>
      </c>
      <c r="K5509" s="1933">
        <v>30.12</v>
      </c>
      <c r="L5509" s="1930" t="s">
        <v>138</v>
      </c>
    </row>
    <row r="5510" spans="1:12" ht="13.5" x14ac:dyDescent="0.25">
      <c r="A5510" s="1930" t="s">
        <v>4786</v>
      </c>
      <c r="B5510" s="1930" t="s">
        <v>4787</v>
      </c>
      <c r="C5510" s="1930" t="s">
        <v>4790</v>
      </c>
      <c r="D5510" s="1930" t="s">
        <v>4791</v>
      </c>
      <c r="E5510" s="1931" t="s">
        <v>33</v>
      </c>
      <c r="F5510" s="1930" t="s">
        <v>33</v>
      </c>
      <c r="G5510" s="1932">
        <v>87795</v>
      </c>
      <c r="H5510" s="1930" t="s">
        <v>4117</v>
      </c>
      <c r="I5510" s="1930" t="s">
        <v>306</v>
      </c>
      <c r="J5510" s="1930" t="s">
        <v>320</v>
      </c>
      <c r="K5510" s="1933">
        <v>33.61</v>
      </c>
      <c r="L5510" s="1930" t="s">
        <v>138</v>
      </c>
    </row>
    <row r="5511" spans="1:12" ht="13.5" x14ac:dyDescent="0.25">
      <c r="A5511" s="1930" t="s">
        <v>4786</v>
      </c>
      <c r="B5511" s="1930" t="s">
        <v>4787</v>
      </c>
      <c r="C5511" s="1930" t="s">
        <v>4790</v>
      </c>
      <c r="D5511" s="1930" t="s">
        <v>4791</v>
      </c>
      <c r="E5511" s="1931" t="s">
        <v>33</v>
      </c>
      <c r="F5511" s="1930" t="s">
        <v>33</v>
      </c>
      <c r="G5511" s="1932">
        <v>87797</v>
      </c>
      <c r="H5511" s="1930" t="s">
        <v>4118</v>
      </c>
      <c r="I5511" s="1930" t="s">
        <v>306</v>
      </c>
      <c r="J5511" s="1930" t="s">
        <v>320</v>
      </c>
      <c r="K5511" s="1933">
        <v>34.14</v>
      </c>
      <c r="L5511" s="1930" t="s">
        <v>138</v>
      </c>
    </row>
    <row r="5512" spans="1:12" ht="13.5" x14ac:dyDescent="0.25">
      <c r="A5512" s="1930" t="s">
        <v>4786</v>
      </c>
      <c r="B5512" s="1930" t="s">
        <v>4787</v>
      </c>
      <c r="C5512" s="1930" t="s">
        <v>4790</v>
      </c>
      <c r="D5512" s="1930" t="s">
        <v>4791</v>
      </c>
      <c r="E5512" s="1931" t="s">
        <v>33</v>
      </c>
      <c r="F5512" s="1930" t="s">
        <v>33</v>
      </c>
      <c r="G5512" s="1932">
        <v>87799</v>
      </c>
      <c r="H5512" s="1930" t="s">
        <v>4119</v>
      </c>
      <c r="I5512" s="1930" t="s">
        <v>306</v>
      </c>
      <c r="J5512" s="1930" t="s">
        <v>320</v>
      </c>
      <c r="K5512" s="1933">
        <v>37.74</v>
      </c>
      <c r="L5512" s="1930" t="s">
        <v>138</v>
      </c>
    </row>
    <row r="5513" spans="1:12" ht="13.5" x14ac:dyDescent="0.25">
      <c r="A5513" s="1930" t="s">
        <v>4786</v>
      </c>
      <c r="B5513" s="1930" t="s">
        <v>4787</v>
      </c>
      <c r="C5513" s="1930" t="s">
        <v>4790</v>
      </c>
      <c r="D5513" s="1930" t="s">
        <v>4791</v>
      </c>
      <c r="E5513" s="1931" t="s">
        <v>33</v>
      </c>
      <c r="F5513" s="1930" t="s">
        <v>33</v>
      </c>
      <c r="G5513" s="1932">
        <v>87800</v>
      </c>
      <c r="H5513" s="1930" t="s">
        <v>4120</v>
      </c>
      <c r="I5513" s="1930" t="s">
        <v>306</v>
      </c>
      <c r="J5513" s="1930" t="s">
        <v>320</v>
      </c>
      <c r="K5513" s="1933">
        <v>43.98</v>
      </c>
      <c r="L5513" s="1930" t="s">
        <v>138</v>
      </c>
    </row>
    <row r="5514" spans="1:12" ht="13.5" x14ac:dyDescent="0.25">
      <c r="A5514" s="1930" t="s">
        <v>4786</v>
      </c>
      <c r="B5514" s="1930" t="s">
        <v>4787</v>
      </c>
      <c r="C5514" s="1930" t="s">
        <v>4790</v>
      </c>
      <c r="D5514" s="1930" t="s">
        <v>4791</v>
      </c>
      <c r="E5514" s="1931" t="s">
        <v>33</v>
      </c>
      <c r="F5514" s="1930" t="s">
        <v>33</v>
      </c>
      <c r="G5514" s="1932">
        <v>87801</v>
      </c>
      <c r="H5514" s="1930" t="s">
        <v>4121</v>
      </c>
      <c r="I5514" s="1930" t="s">
        <v>306</v>
      </c>
      <c r="J5514" s="1930" t="s">
        <v>320</v>
      </c>
      <c r="K5514" s="1933">
        <v>40.86</v>
      </c>
      <c r="L5514" s="1930" t="s">
        <v>138</v>
      </c>
    </row>
    <row r="5515" spans="1:12" ht="13.5" x14ac:dyDescent="0.25">
      <c r="A5515" s="1930" t="s">
        <v>4786</v>
      </c>
      <c r="B5515" s="1930" t="s">
        <v>4787</v>
      </c>
      <c r="C5515" s="1930" t="s">
        <v>4790</v>
      </c>
      <c r="D5515" s="1930" t="s">
        <v>4791</v>
      </c>
      <c r="E5515" s="1931" t="s">
        <v>33</v>
      </c>
      <c r="F5515" s="1930" t="s">
        <v>33</v>
      </c>
      <c r="G5515" s="1932">
        <v>87803</v>
      </c>
      <c r="H5515" s="1930" t="s">
        <v>4122</v>
      </c>
      <c r="I5515" s="1930" t="s">
        <v>306</v>
      </c>
      <c r="J5515" s="1930" t="s">
        <v>320</v>
      </c>
      <c r="K5515" s="1933">
        <v>45.37</v>
      </c>
      <c r="L5515" s="1930" t="s">
        <v>138</v>
      </c>
    </row>
    <row r="5516" spans="1:12" ht="13.5" x14ac:dyDescent="0.25">
      <c r="A5516" s="1930" t="s">
        <v>4786</v>
      </c>
      <c r="B5516" s="1930" t="s">
        <v>4787</v>
      </c>
      <c r="C5516" s="1930" t="s">
        <v>4790</v>
      </c>
      <c r="D5516" s="1930" t="s">
        <v>4791</v>
      </c>
      <c r="E5516" s="1931" t="s">
        <v>33</v>
      </c>
      <c r="F5516" s="1930" t="s">
        <v>33</v>
      </c>
      <c r="G5516" s="1932">
        <v>87804</v>
      </c>
      <c r="H5516" s="1930" t="s">
        <v>4123</v>
      </c>
      <c r="I5516" s="1930" t="s">
        <v>306</v>
      </c>
      <c r="J5516" s="1930" t="s">
        <v>320</v>
      </c>
      <c r="K5516" s="1933">
        <v>54.37</v>
      </c>
      <c r="L5516" s="1930" t="s">
        <v>138</v>
      </c>
    </row>
    <row r="5517" spans="1:12" ht="13.5" x14ac:dyDescent="0.25">
      <c r="A5517" s="1930" t="s">
        <v>4786</v>
      </c>
      <c r="B5517" s="1930" t="s">
        <v>4787</v>
      </c>
      <c r="C5517" s="1930" t="s">
        <v>4790</v>
      </c>
      <c r="D5517" s="1930" t="s">
        <v>4791</v>
      </c>
      <c r="E5517" s="1931" t="s">
        <v>33</v>
      </c>
      <c r="F5517" s="1930" t="s">
        <v>33</v>
      </c>
      <c r="G5517" s="1932">
        <v>87805</v>
      </c>
      <c r="H5517" s="1930" t="s">
        <v>4124</v>
      </c>
      <c r="I5517" s="1930" t="s">
        <v>306</v>
      </c>
      <c r="J5517" s="1930" t="s">
        <v>320</v>
      </c>
      <c r="K5517" s="1933">
        <v>47.04</v>
      </c>
      <c r="L5517" s="1930" t="s">
        <v>138</v>
      </c>
    </row>
    <row r="5518" spans="1:12" ht="13.5" x14ac:dyDescent="0.25">
      <c r="A5518" s="1930" t="s">
        <v>4786</v>
      </c>
      <c r="B5518" s="1930" t="s">
        <v>4787</v>
      </c>
      <c r="C5518" s="1930" t="s">
        <v>4790</v>
      </c>
      <c r="D5518" s="1930" t="s">
        <v>4791</v>
      </c>
      <c r="E5518" s="1931" t="s">
        <v>33</v>
      </c>
      <c r="F5518" s="1930" t="s">
        <v>33</v>
      </c>
      <c r="G5518" s="1932">
        <v>87807</v>
      </c>
      <c r="H5518" s="1930" t="s">
        <v>4125</v>
      </c>
      <c r="I5518" s="1930" t="s">
        <v>306</v>
      </c>
      <c r="J5518" s="1930" t="s">
        <v>320</v>
      </c>
      <c r="K5518" s="1933">
        <v>52</v>
      </c>
      <c r="L5518" s="1930" t="s">
        <v>138</v>
      </c>
    </row>
    <row r="5519" spans="1:12" ht="13.5" x14ac:dyDescent="0.25">
      <c r="A5519" s="1930" t="s">
        <v>4786</v>
      </c>
      <c r="B5519" s="1930" t="s">
        <v>4787</v>
      </c>
      <c r="C5519" s="1930" t="s">
        <v>4790</v>
      </c>
      <c r="D5519" s="1930" t="s">
        <v>4791</v>
      </c>
      <c r="E5519" s="1931" t="s">
        <v>33</v>
      </c>
      <c r="F5519" s="1930" t="s">
        <v>33</v>
      </c>
      <c r="G5519" s="1932">
        <v>87808</v>
      </c>
      <c r="H5519" s="1930" t="s">
        <v>4126</v>
      </c>
      <c r="I5519" s="1930" t="s">
        <v>306</v>
      </c>
      <c r="J5519" s="1930" t="s">
        <v>320</v>
      </c>
      <c r="K5519" s="1933">
        <v>59.2</v>
      </c>
      <c r="L5519" s="1930" t="s">
        <v>138</v>
      </c>
    </row>
    <row r="5520" spans="1:12" ht="13.5" x14ac:dyDescent="0.25">
      <c r="A5520" s="1930" t="s">
        <v>4786</v>
      </c>
      <c r="B5520" s="1930" t="s">
        <v>4787</v>
      </c>
      <c r="C5520" s="1930" t="s">
        <v>4790</v>
      </c>
      <c r="D5520" s="1930" t="s">
        <v>4791</v>
      </c>
      <c r="E5520" s="1931" t="s">
        <v>33</v>
      </c>
      <c r="F5520" s="1930" t="s">
        <v>33</v>
      </c>
      <c r="G5520" s="1932">
        <v>87809</v>
      </c>
      <c r="H5520" s="1930" t="s">
        <v>4127</v>
      </c>
      <c r="I5520" s="1930" t="s">
        <v>306</v>
      </c>
      <c r="J5520" s="1930" t="s">
        <v>320</v>
      </c>
      <c r="K5520" s="1933">
        <v>66.010000000000005</v>
      </c>
      <c r="L5520" s="1930" t="s">
        <v>138</v>
      </c>
    </row>
    <row r="5521" spans="1:12" ht="13.5" x14ac:dyDescent="0.25">
      <c r="A5521" s="1930" t="s">
        <v>4786</v>
      </c>
      <c r="B5521" s="1930" t="s">
        <v>4787</v>
      </c>
      <c r="C5521" s="1930" t="s">
        <v>4790</v>
      </c>
      <c r="D5521" s="1930" t="s">
        <v>4791</v>
      </c>
      <c r="E5521" s="1931" t="s">
        <v>33</v>
      </c>
      <c r="F5521" s="1930" t="s">
        <v>33</v>
      </c>
      <c r="G5521" s="1932">
        <v>87811</v>
      </c>
      <c r="H5521" s="1930" t="s">
        <v>4128</v>
      </c>
      <c r="I5521" s="1930" t="s">
        <v>306</v>
      </c>
      <c r="J5521" s="1930" t="s">
        <v>320</v>
      </c>
      <c r="K5521" s="1933">
        <v>68.69</v>
      </c>
      <c r="L5521" s="1930" t="s">
        <v>138</v>
      </c>
    </row>
    <row r="5522" spans="1:12" ht="13.5" x14ac:dyDescent="0.25">
      <c r="A5522" s="1930" t="s">
        <v>4786</v>
      </c>
      <c r="B5522" s="1930" t="s">
        <v>4787</v>
      </c>
      <c r="C5522" s="1930" t="s">
        <v>4790</v>
      </c>
      <c r="D5522" s="1930" t="s">
        <v>4791</v>
      </c>
      <c r="E5522" s="1931" t="s">
        <v>33</v>
      </c>
      <c r="F5522" s="1930" t="s">
        <v>33</v>
      </c>
      <c r="G5522" s="1932">
        <v>87812</v>
      </c>
      <c r="H5522" s="1930" t="s">
        <v>4129</v>
      </c>
      <c r="I5522" s="1930" t="s">
        <v>306</v>
      </c>
      <c r="J5522" s="1930" t="s">
        <v>320</v>
      </c>
      <c r="K5522" s="1933">
        <v>71.83</v>
      </c>
      <c r="L5522" s="1930" t="s">
        <v>138</v>
      </c>
    </row>
    <row r="5523" spans="1:12" ht="13.5" x14ac:dyDescent="0.25">
      <c r="A5523" s="1930" t="s">
        <v>4786</v>
      </c>
      <c r="B5523" s="1930" t="s">
        <v>4787</v>
      </c>
      <c r="C5523" s="1930" t="s">
        <v>4790</v>
      </c>
      <c r="D5523" s="1930" t="s">
        <v>4791</v>
      </c>
      <c r="E5523" s="1931" t="s">
        <v>33</v>
      </c>
      <c r="F5523" s="1930" t="s">
        <v>33</v>
      </c>
      <c r="G5523" s="1932">
        <v>87813</v>
      </c>
      <c r="H5523" s="1930" t="s">
        <v>4130</v>
      </c>
      <c r="I5523" s="1930" t="s">
        <v>306</v>
      </c>
      <c r="J5523" s="1930" t="s">
        <v>320</v>
      </c>
      <c r="K5523" s="1933">
        <v>72.72</v>
      </c>
      <c r="L5523" s="1930" t="s">
        <v>138</v>
      </c>
    </row>
    <row r="5524" spans="1:12" ht="13.5" x14ac:dyDescent="0.25">
      <c r="A5524" s="1930" t="s">
        <v>4786</v>
      </c>
      <c r="B5524" s="1930" t="s">
        <v>4787</v>
      </c>
      <c r="C5524" s="1930" t="s">
        <v>4790</v>
      </c>
      <c r="D5524" s="1930" t="s">
        <v>4791</v>
      </c>
      <c r="E5524" s="1931" t="s">
        <v>33</v>
      </c>
      <c r="F5524" s="1930" t="s">
        <v>33</v>
      </c>
      <c r="G5524" s="1932">
        <v>87815</v>
      </c>
      <c r="H5524" s="1930" t="s">
        <v>4131</v>
      </c>
      <c r="I5524" s="1930" t="s">
        <v>306</v>
      </c>
      <c r="J5524" s="1930" t="s">
        <v>320</v>
      </c>
      <c r="K5524" s="1933">
        <v>76.319999999999993</v>
      </c>
      <c r="L5524" s="1930" t="s">
        <v>138</v>
      </c>
    </row>
    <row r="5525" spans="1:12" ht="13.5" x14ac:dyDescent="0.25">
      <c r="A5525" s="1930" t="s">
        <v>4786</v>
      </c>
      <c r="B5525" s="1930" t="s">
        <v>4787</v>
      </c>
      <c r="C5525" s="1930" t="s">
        <v>4790</v>
      </c>
      <c r="D5525" s="1930" t="s">
        <v>4791</v>
      </c>
      <c r="E5525" s="1931" t="s">
        <v>33</v>
      </c>
      <c r="F5525" s="1930" t="s">
        <v>33</v>
      </c>
      <c r="G5525" s="1932">
        <v>87816</v>
      </c>
      <c r="H5525" s="1930" t="s">
        <v>4132</v>
      </c>
      <c r="I5525" s="1930" t="s">
        <v>306</v>
      </c>
      <c r="J5525" s="1930" t="s">
        <v>320</v>
      </c>
      <c r="K5525" s="1933">
        <v>82.2</v>
      </c>
      <c r="L5525" s="1930" t="s">
        <v>138</v>
      </c>
    </row>
    <row r="5526" spans="1:12" ht="13.5" x14ac:dyDescent="0.25">
      <c r="A5526" s="1930" t="s">
        <v>4786</v>
      </c>
      <c r="B5526" s="1930" t="s">
        <v>4787</v>
      </c>
      <c r="C5526" s="1930" t="s">
        <v>4790</v>
      </c>
      <c r="D5526" s="1930" t="s">
        <v>4791</v>
      </c>
      <c r="E5526" s="1931" t="s">
        <v>33</v>
      </c>
      <c r="F5526" s="1930" t="s">
        <v>33</v>
      </c>
      <c r="G5526" s="1932">
        <v>87817</v>
      </c>
      <c r="H5526" s="1930" t="s">
        <v>4133</v>
      </c>
      <c r="I5526" s="1930" t="s">
        <v>306</v>
      </c>
      <c r="J5526" s="1930" t="s">
        <v>320</v>
      </c>
      <c r="K5526" s="1933">
        <v>79.08</v>
      </c>
      <c r="L5526" s="1930" t="s">
        <v>138</v>
      </c>
    </row>
    <row r="5527" spans="1:12" ht="13.5" x14ac:dyDescent="0.25">
      <c r="A5527" s="1930" t="s">
        <v>4786</v>
      </c>
      <c r="B5527" s="1930" t="s">
        <v>4787</v>
      </c>
      <c r="C5527" s="1930" t="s">
        <v>4790</v>
      </c>
      <c r="D5527" s="1930" t="s">
        <v>4791</v>
      </c>
      <c r="E5527" s="1931" t="s">
        <v>33</v>
      </c>
      <c r="F5527" s="1930" t="s">
        <v>33</v>
      </c>
      <c r="G5527" s="1932">
        <v>87819</v>
      </c>
      <c r="H5527" s="1930" t="s">
        <v>4134</v>
      </c>
      <c r="I5527" s="1930" t="s">
        <v>306</v>
      </c>
      <c r="J5527" s="1930" t="s">
        <v>320</v>
      </c>
      <c r="K5527" s="1933">
        <v>83.59</v>
      </c>
      <c r="L5527" s="1930" t="s">
        <v>138</v>
      </c>
    </row>
    <row r="5528" spans="1:12" ht="13.5" x14ac:dyDescent="0.25">
      <c r="A5528" s="1930" t="s">
        <v>4786</v>
      </c>
      <c r="B5528" s="1930" t="s">
        <v>4787</v>
      </c>
      <c r="C5528" s="1930" t="s">
        <v>4790</v>
      </c>
      <c r="D5528" s="1930" t="s">
        <v>4791</v>
      </c>
      <c r="E5528" s="1931" t="s">
        <v>33</v>
      </c>
      <c r="F5528" s="1930" t="s">
        <v>33</v>
      </c>
      <c r="G5528" s="1932">
        <v>87820</v>
      </c>
      <c r="H5528" s="1930" t="s">
        <v>4135</v>
      </c>
      <c r="I5528" s="1930" t="s">
        <v>306</v>
      </c>
      <c r="J5528" s="1930" t="s">
        <v>320</v>
      </c>
      <c r="K5528" s="1933">
        <v>92.59</v>
      </c>
      <c r="L5528" s="1930" t="s">
        <v>138</v>
      </c>
    </row>
    <row r="5529" spans="1:12" ht="13.5" x14ac:dyDescent="0.25">
      <c r="A5529" s="1930" t="s">
        <v>4786</v>
      </c>
      <c r="B5529" s="1930" t="s">
        <v>4787</v>
      </c>
      <c r="C5529" s="1930" t="s">
        <v>4790</v>
      </c>
      <c r="D5529" s="1930" t="s">
        <v>4791</v>
      </c>
      <c r="E5529" s="1931" t="s">
        <v>33</v>
      </c>
      <c r="F5529" s="1930" t="s">
        <v>33</v>
      </c>
      <c r="G5529" s="1932">
        <v>87821</v>
      </c>
      <c r="H5529" s="1930" t="s">
        <v>4136</v>
      </c>
      <c r="I5529" s="1930" t="s">
        <v>306</v>
      </c>
      <c r="J5529" s="1930" t="s">
        <v>320</v>
      </c>
      <c r="K5529" s="1933">
        <v>113.8</v>
      </c>
      <c r="L5529" s="1930" t="s">
        <v>138</v>
      </c>
    </row>
    <row r="5530" spans="1:12" ht="13.5" x14ac:dyDescent="0.25">
      <c r="A5530" s="1930" t="s">
        <v>4786</v>
      </c>
      <c r="B5530" s="1930" t="s">
        <v>4787</v>
      </c>
      <c r="C5530" s="1930" t="s">
        <v>4790</v>
      </c>
      <c r="D5530" s="1930" t="s">
        <v>4791</v>
      </c>
      <c r="E5530" s="1931" t="s">
        <v>33</v>
      </c>
      <c r="F5530" s="1930" t="s">
        <v>33</v>
      </c>
      <c r="G5530" s="1932">
        <v>87823</v>
      </c>
      <c r="H5530" s="1930" t="s">
        <v>4137</v>
      </c>
      <c r="I5530" s="1930" t="s">
        <v>306</v>
      </c>
      <c r="J5530" s="1930" t="s">
        <v>320</v>
      </c>
      <c r="K5530" s="1933">
        <v>118.76</v>
      </c>
      <c r="L5530" s="1930" t="s">
        <v>138</v>
      </c>
    </row>
    <row r="5531" spans="1:12" ht="13.5" x14ac:dyDescent="0.25">
      <c r="A5531" s="1930" t="s">
        <v>4786</v>
      </c>
      <c r="B5531" s="1930" t="s">
        <v>4787</v>
      </c>
      <c r="C5531" s="1930" t="s">
        <v>4790</v>
      </c>
      <c r="D5531" s="1930" t="s">
        <v>4791</v>
      </c>
      <c r="E5531" s="1931" t="s">
        <v>33</v>
      </c>
      <c r="F5531" s="1930" t="s">
        <v>33</v>
      </c>
      <c r="G5531" s="1932">
        <v>87824</v>
      </c>
      <c r="H5531" s="1930" t="s">
        <v>4138</v>
      </c>
      <c r="I5531" s="1930" t="s">
        <v>306</v>
      </c>
      <c r="J5531" s="1930" t="s">
        <v>320</v>
      </c>
      <c r="K5531" s="1933">
        <v>125.62</v>
      </c>
      <c r="L5531" s="1930" t="s">
        <v>138</v>
      </c>
    </row>
    <row r="5532" spans="1:12" ht="13.5" x14ac:dyDescent="0.25">
      <c r="A5532" s="1930" t="s">
        <v>4786</v>
      </c>
      <c r="B5532" s="1930" t="s">
        <v>4787</v>
      </c>
      <c r="C5532" s="1930" t="s">
        <v>4790</v>
      </c>
      <c r="D5532" s="1930" t="s">
        <v>4791</v>
      </c>
      <c r="E5532" s="1931" t="s">
        <v>33</v>
      </c>
      <c r="F5532" s="1930" t="s">
        <v>33</v>
      </c>
      <c r="G5532" s="1932">
        <v>87825</v>
      </c>
      <c r="H5532" s="1930" t="s">
        <v>4139</v>
      </c>
      <c r="I5532" s="1930" t="s">
        <v>306</v>
      </c>
      <c r="J5532" s="1930" t="s">
        <v>320</v>
      </c>
      <c r="K5532" s="1933">
        <v>52.37</v>
      </c>
      <c r="L5532" s="1930" t="s">
        <v>138</v>
      </c>
    </row>
    <row r="5533" spans="1:12" ht="13.5" x14ac:dyDescent="0.25">
      <c r="A5533" s="1930" t="s">
        <v>4786</v>
      </c>
      <c r="B5533" s="1930" t="s">
        <v>4787</v>
      </c>
      <c r="C5533" s="1930" t="s">
        <v>4790</v>
      </c>
      <c r="D5533" s="1930" t="s">
        <v>4791</v>
      </c>
      <c r="E5533" s="1931" t="s">
        <v>33</v>
      </c>
      <c r="F5533" s="1930" t="s">
        <v>33</v>
      </c>
      <c r="G5533" s="1932">
        <v>87827</v>
      </c>
      <c r="H5533" s="1930" t="s">
        <v>4140</v>
      </c>
      <c r="I5533" s="1930" t="s">
        <v>306</v>
      </c>
      <c r="J5533" s="1930" t="s">
        <v>320</v>
      </c>
      <c r="K5533" s="1933">
        <v>55.65</v>
      </c>
      <c r="L5533" s="1930" t="s">
        <v>138</v>
      </c>
    </row>
    <row r="5534" spans="1:12" ht="13.5" x14ac:dyDescent="0.25">
      <c r="A5534" s="1930" t="s">
        <v>4786</v>
      </c>
      <c r="B5534" s="1930" t="s">
        <v>4787</v>
      </c>
      <c r="C5534" s="1930" t="s">
        <v>4790</v>
      </c>
      <c r="D5534" s="1930" t="s">
        <v>4791</v>
      </c>
      <c r="E5534" s="1931" t="s">
        <v>33</v>
      </c>
      <c r="F5534" s="1930" t="s">
        <v>33</v>
      </c>
      <c r="G5534" s="1932">
        <v>87828</v>
      </c>
      <c r="H5534" s="1930" t="s">
        <v>4141</v>
      </c>
      <c r="I5534" s="1930" t="s">
        <v>306</v>
      </c>
      <c r="J5534" s="1930" t="s">
        <v>320</v>
      </c>
      <c r="K5534" s="1933">
        <v>60.96</v>
      </c>
      <c r="L5534" s="1930" t="s">
        <v>138</v>
      </c>
    </row>
    <row r="5535" spans="1:12" ht="13.5" x14ac:dyDescent="0.25">
      <c r="A5535" s="1930" t="s">
        <v>4786</v>
      </c>
      <c r="B5535" s="1930" t="s">
        <v>4787</v>
      </c>
      <c r="C5535" s="1930" t="s">
        <v>4790</v>
      </c>
      <c r="D5535" s="1930" t="s">
        <v>4791</v>
      </c>
      <c r="E5535" s="1931" t="s">
        <v>33</v>
      </c>
      <c r="F5535" s="1930" t="s">
        <v>33</v>
      </c>
      <c r="G5535" s="1932">
        <v>87829</v>
      </c>
      <c r="H5535" s="1930" t="s">
        <v>4142</v>
      </c>
      <c r="I5535" s="1930" t="s">
        <v>306</v>
      </c>
      <c r="J5535" s="1930" t="s">
        <v>320</v>
      </c>
      <c r="K5535" s="1933">
        <v>59.94</v>
      </c>
      <c r="L5535" s="1930" t="s">
        <v>138</v>
      </c>
    </row>
    <row r="5536" spans="1:12" ht="13.5" x14ac:dyDescent="0.25">
      <c r="A5536" s="1930" t="s">
        <v>4786</v>
      </c>
      <c r="B5536" s="1930" t="s">
        <v>4787</v>
      </c>
      <c r="C5536" s="1930" t="s">
        <v>4790</v>
      </c>
      <c r="D5536" s="1930" t="s">
        <v>4791</v>
      </c>
      <c r="E5536" s="1931" t="s">
        <v>33</v>
      </c>
      <c r="F5536" s="1930" t="s">
        <v>33</v>
      </c>
      <c r="G5536" s="1932">
        <v>87831</v>
      </c>
      <c r="H5536" s="1930" t="s">
        <v>4143</v>
      </c>
      <c r="I5536" s="1930" t="s">
        <v>306</v>
      </c>
      <c r="J5536" s="1930" t="s">
        <v>320</v>
      </c>
      <c r="K5536" s="1933">
        <v>64.34</v>
      </c>
      <c r="L5536" s="1930" t="s">
        <v>138</v>
      </c>
    </row>
    <row r="5537" spans="1:12" ht="13.5" x14ac:dyDescent="0.25">
      <c r="A5537" s="1930" t="s">
        <v>4786</v>
      </c>
      <c r="B5537" s="1930" t="s">
        <v>4787</v>
      </c>
      <c r="C5537" s="1930" t="s">
        <v>4790</v>
      </c>
      <c r="D5537" s="1930" t="s">
        <v>4791</v>
      </c>
      <c r="E5537" s="1931" t="s">
        <v>33</v>
      </c>
      <c r="F5537" s="1930" t="s">
        <v>33</v>
      </c>
      <c r="G5537" s="1932">
        <v>87832</v>
      </c>
      <c r="H5537" s="1930" t="s">
        <v>4144</v>
      </c>
      <c r="I5537" s="1930" t="s">
        <v>306</v>
      </c>
      <c r="J5537" s="1930" t="s">
        <v>320</v>
      </c>
      <c r="K5537" s="1933">
        <v>73.010000000000005</v>
      </c>
      <c r="L5537" s="1930" t="s">
        <v>138</v>
      </c>
    </row>
    <row r="5538" spans="1:12" ht="13.5" x14ac:dyDescent="0.25">
      <c r="A5538" s="1930" t="s">
        <v>4786</v>
      </c>
      <c r="B5538" s="1930" t="s">
        <v>4787</v>
      </c>
      <c r="C5538" s="1930" t="s">
        <v>4790</v>
      </c>
      <c r="D5538" s="1930" t="s">
        <v>4791</v>
      </c>
      <c r="E5538" s="1931" t="s">
        <v>33</v>
      </c>
      <c r="F5538" s="1930" t="s">
        <v>33</v>
      </c>
      <c r="G5538" s="1932">
        <v>87834</v>
      </c>
      <c r="H5538" s="1930" t="s">
        <v>4145</v>
      </c>
      <c r="I5538" s="1930" t="s">
        <v>306</v>
      </c>
      <c r="J5538" s="1930" t="s">
        <v>137</v>
      </c>
      <c r="K5538" s="1933">
        <v>107.94</v>
      </c>
      <c r="L5538" s="1930" t="s">
        <v>138</v>
      </c>
    </row>
    <row r="5539" spans="1:12" ht="13.5" x14ac:dyDescent="0.25">
      <c r="A5539" s="1930" t="s">
        <v>4786</v>
      </c>
      <c r="B5539" s="1930" t="s">
        <v>4787</v>
      </c>
      <c r="C5539" s="1930" t="s">
        <v>4790</v>
      </c>
      <c r="D5539" s="1930" t="s">
        <v>4791</v>
      </c>
      <c r="E5539" s="1931" t="s">
        <v>33</v>
      </c>
      <c r="F5539" s="1930" t="s">
        <v>33</v>
      </c>
      <c r="G5539" s="1932">
        <v>87835</v>
      </c>
      <c r="H5539" s="1930" t="s">
        <v>4146</v>
      </c>
      <c r="I5539" s="1930" t="s">
        <v>306</v>
      </c>
      <c r="J5539" s="1930" t="s">
        <v>137</v>
      </c>
      <c r="K5539" s="1933">
        <v>73.56</v>
      </c>
      <c r="L5539" s="1930" t="s">
        <v>138</v>
      </c>
    </row>
    <row r="5540" spans="1:12" ht="13.5" x14ac:dyDescent="0.25">
      <c r="A5540" s="1930" t="s">
        <v>4786</v>
      </c>
      <c r="B5540" s="1930" t="s">
        <v>4787</v>
      </c>
      <c r="C5540" s="1930" t="s">
        <v>4790</v>
      </c>
      <c r="D5540" s="1930" t="s">
        <v>4791</v>
      </c>
      <c r="E5540" s="1931" t="s">
        <v>33</v>
      </c>
      <c r="F5540" s="1930" t="s">
        <v>33</v>
      </c>
      <c r="G5540" s="1932">
        <v>87836</v>
      </c>
      <c r="H5540" s="1930" t="s">
        <v>4147</v>
      </c>
      <c r="I5540" s="1930" t="s">
        <v>306</v>
      </c>
      <c r="J5540" s="1930" t="s">
        <v>137</v>
      </c>
      <c r="K5540" s="1933">
        <v>102.38</v>
      </c>
      <c r="L5540" s="1930" t="s">
        <v>138</v>
      </c>
    </row>
    <row r="5541" spans="1:12" ht="13.5" x14ac:dyDescent="0.25">
      <c r="A5541" s="1930" t="s">
        <v>4786</v>
      </c>
      <c r="B5541" s="1930" t="s">
        <v>4787</v>
      </c>
      <c r="C5541" s="1930" t="s">
        <v>4790</v>
      </c>
      <c r="D5541" s="1930" t="s">
        <v>4791</v>
      </c>
      <c r="E5541" s="1931" t="s">
        <v>33</v>
      </c>
      <c r="F5541" s="1930" t="s">
        <v>33</v>
      </c>
      <c r="G5541" s="1932">
        <v>87837</v>
      </c>
      <c r="H5541" s="1930" t="s">
        <v>4148</v>
      </c>
      <c r="I5541" s="1930" t="s">
        <v>306</v>
      </c>
      <c r="J5541" s="1930" t="s">
        <v>137</v>
      </c>
      <c r="K5541" s="1933">
        <v>68.53</v>
      </c>
      <c r="L5541" s="1930" t="s">
        <v>138</v>
      </c>
    </row>
    <row r="5542" spans="1:12" ht="13.5" x14ac:dyDescent="0.25">
      <c r="A5542" s="1930" t="s">
        <v>4786</v>
      </c>
      <c r="B5542" s="1930" t="s">
        <v>4787</v>
      </c>
      <c r="C5542" s="1930" t="s">
        <v>4790</v>
      </c>
      <c r="D5542" s="1930" t="s">
        <v>4791</v>
      </c>
      <c r="E5542" s="1931" t="s">
        <v>33</v>
      </c>
      <c r="F5542" s="1930" t="s">
        <v>33</v>
      </c>
      <c r="G5542" s="1932">
        <v>87838</v>
      </c>
      <c r="H5542" s="1930" t="s">
        <v>4149</v>
      </c>
      <c r="I5542" s="1930" t="s">
        <v>306</v>
      </c>
      <c r="J5542" s="1930" t="s">
        <v>137</v>
      </c>
      <c r="K5542" s="1933">
        <v>114.37</v>
      </c>
      <c r="L5542" s="1930" t="s">
        <v>138</v>
      </c>
    </row>
    <row r="5543" spans="1:12" ht="13.5" x14ac:dyDescent="0.25">
      <c r="A5543" s="1930" t="s">
        <v>4786</v>
      </c>
      <c r="B5543" s="1930" t="s">
        <v>4787</v>
      </c>
      <c r="C5543" s="1930" t="s">
        <v>4790</v>
      </c>
      <c r="D5543" s="1930" t="s">
        <v>4791</v>
      </c>
      <c r="E5543" s="1931" t="s">
        <v>33</v>
      </c>
      <c r="F5543" s="1930" t="s">
        <v>33</v>
      </c>
      <c r="G5543" s="1932">
        <v>87839</v>
      </c>
      <c r="H5543" s="1930" t="s">
        <v>4150</v>
      </c>
      <c r="I5543" s="1930" t="s">
        <v>306</v>
      </c>
      <c r="J5543" s="1930" t="s">
        <v>137</v>
      </c>
      <c r="K5543" s="1933">
        <v>78.02</v>
      </c>
      <c r="L5543" s="1930" t="s">
        <v>138</v>
      </c>
    </row>
    <row r="5544" spans="1:12" ht="13.5" x14ac:dyDescent="0.25">
      <c r="A5544" s="1930" t="s">
        <v>4786</v>
      </c>
      <c r="B5544" s="1930" t="s">
        <v>4787</v>
      </c>
      <c r="C5544" s="1930" t="s">
        <v>4790</v>
      </c>
      <c r="D5544" s="1930" t="s">
        <v>4791</v>
      </c>
      <c r="E5544" s="1931" t="s">
        <v>33</v>
      </c>
      <c r="F5544" s="1930" t="s">
        <v>33</v>
      </c>
      <c r="G5544" s="1932">
        <v>87840</v>
      </c>
      <c r="H5544" s="1930" t="s">
        <v>4151</v>
      </c>
      <c r="I5544" s="1930" t="s">
        <v>306</v>
      </c>
      <c r="J5544" s="1930" t="s">
        <v>137</v>
      </c>
      <c r="K5544" s="1933">
        <v>107.43</v>
      </c>
      <c r="L5544" s="1930" t="s">
        <v>138</v>
      </c>
    </row>
    <row r="5545" spans="1:12" ht="13.5" x14ac:dyDescent="0.25">
      <c r="A5545" s="1930" t="s">
        <v>4786</v>
      </c>
      <c r="B5545" s="1930" t="s">
        <v>4787</v>
      </c>
      <c r="C5545" s="1930" t="s">
        <v>4790</v>
      </c>
      <c r="D5545" s="1930" t="s">
        <v>4791</v>
      </c>
      <c r="E5545" s="1931" t="s">
        <v>33</v>
      </c>
      <c r="F5545" s="1930" t="s">
        <v>33</v>
      </c>
      <c r="G5545" s="1932">
        <v>87841</v>
      </c>
      <c r="H5545" s="1930" t="s">
        <v>4152</v>
      </c>
      <c r="I5545" s="1930" t="s">
        <v>306</v>
      </c>
      <c r="J5545" s="1930" t="s">
        <v>137</v>
      </c>
      <c r="K5545" s="1933">
        <v>71.59</v>
      </c>
      <c r="L5545" s="1930" t="s">
        <v>138</v>
      </c>
    </row>
    <row r="5546" spans="1:12" ht="13.5" x14ac:dyDescent="0.25">
      <c r="A5546" s="1930" t="s">
        <v>4786</v>
      </c>
      <c r="B5546" s="1930" t="s">
        <v>4787</v>
      </c>
      <c r="C5546" s="1930" t="s">
        <v>4790</v>
      </c>
      <c r="D5546" s="1930" t="s">
        <v>4791</v>
      </c>
      <c r="E5546" s="1931" t="s">
        <v>33</v>
      </c>
      <c r="F5546" s="1930" t="s">
        <v>33</v>
      </c>
      <c r="G5546" s="1932">
        <v>87842</v>
      </c>
      <c r="H5546" s="1930" t="s">
        <v>4153</v>
      </c>
      <c r="I5546" s="1930" t="s">
        <v>306</v>
      </c>
      <c r="J5546" s="1930" t="s">
        <v>320</v>
      </c>
      <c r="K5546" s="1933">
        <v>113.03</v>
      </c>
      <c r="L5546" s="1930" t="s">
        <v>138</v>
      </c>
    </row>
    <row r="5547" spans="1:12" ht="13.5" x14ac:dyDescent="0.25">
      <c r="A5547" s="1930" t="s">
        <v>4786</v>
      </c>
      <c r="B5547" s="1930" t="s">
        <v>4787</v>
      </c>
      <c r="C5547" s="1930" t="s">
        <v>4790</v>
      </c>
      <c r="D5547" s="1930" t="s">
        <v>4791</v>
      </c>
      <c r="E5547" s="1931" t="s">
        <v>33</v>
      </c>
      <c r="F5547" s="1930" t="s">
        <v>33</v>
      </c>
      <c r="G5547" s="1932">
        <v>87843</v>
      </c>
      <c r="H5547" s="1930" t="s">
        <v>4154</v>
      </c>
      <c r="I5547" s="1930" t="s">
        <v>306</v>
      </c>
      <c r="J5547" s="1930" t="s">
        <v>320</v>
      </c>
      <c r="K5547" s="1933">
        <v>85.07</v>
      </c>
      <c r="L5547" s="1930" t="s">
        <v>138</v>
      </c>
    </row>
    <row r="5548" spans="1:12" ht="13.5" x14ac:dyDescent="0.25">
      <c r="A5548" s="1930" t="s">
        <v>4786</v>
      </c>
      <c r="B5548" s="1930" t="s">
        <v>4787</v>
      </c>
      <c r="C5548" s="1930" t="s">
        <v>4790</v>
      </c>
      <c r="D5548" s="1930" t="s">
        <v>4791</v>
      </c>
      <c r="E5548" s="1931" t="s">
        <v>33</v>
      </c>
      <c r="F5548" s="1930" t="s">
        <v>33</v>
      </c>
      <c r="G5548" s="1932">
        <v>87844</v>
      </c>
      <c r="H5548" s="1930" t="s">
        <v>4155</v>
      </c>
      <c r="I5548" s="1930" t="s">
        <v>306</v>
      </c>
      <c r="J5548" s="1930" t="s">
        <v>320</v>
      </c>
      <c r="K5548" s="1933">
        <v>102.42</v>
      </c>
      <c r="L5548" s="1930" t="s">
        <v>138</v>
      </c>
    </row>
    <row r="5549" spans="1:12" ht="13.5" x14ac:dyDescent="0.25">
      <c r="A5549" s="1930" t="s">
        <v>4786</v>
      </c>
      <c r="B5549" s="1930" t="s">
        <v>4787</v>
      </c>
      <c r="C5549" s="1930" t="s">
        <v>4790</v>
      </c>
      <c r="D5549" s="1930" t="s">
        <v>4791</v>
      </c>
      <c r="E5549" s="1931" t="s">
        <v>33</v>
      </c>
      <c r="F5549" s="1930" t="s">
        <v>33</v>
      </c>
      <c r="G5549" s="1932">
        <v>87845</v>
      </c>
      <c r="H5549" s="1930" t="s">
        <v>4156</v>
      </c>
      <c r="I5549" s="1930" t="s">
        <v>306</v>
      </c>
      <c r="J5549" s="1930" t="s">
        <v>320</v>
      </c>
      <c r="K5549" s="1933">
        <v>75.010000000000005</v>
      </c>
      <c r="L5549" s="1930" t="s">
        <v>138</v>
      </c>
    </row>
    <row r="5550" spans="1:12" ht="13.5" x14ac:dyDescent="0.25">
      <c r="A5550" s="1930" t="s">
        <v>4786</v>
      </c>
      <c r="B5550" s="1930" t="s">
        <v>4787</v>
      </c>
      <c r="C5550" s="1930" t="s">
        <v>4790</v>
      </c>
      <c r="D5550" s="1930" t="s">
        <v>4791</v>
      </c>
      <c r="E5550" s="1931" t="s">
        <v>33</v>
      </c>
      <c r="F5550" s="1930" t="s">
        <v>33</v>
      </c>
      <c r="G5550" s="1932">
        <v>87846</v>
      </c>
      <c r="H5550" s="1930" t="s">
        <v>4157</v>
      </c>
      <c r="I5550" s="1930" t="s">
        <v>306</v>
      </c>
      <c r="J5550" s="1930" t="s">
        <v>137</v>
      </c>
      <c r="K5550" s="1933">
        <v>117.43</v>
      </c>
      <c r="L5550" s="1930" t="s">
        <v>138</v>
      </c>
    </row>
    <row r="5551" spans="1:12" ht="13.5" x14ac:dyDescent="0.25">
      <c r="A5551" s="1930" t="s">
        <v>4786</v>
      </c>
      <c r="B5551" s="1930" t="s">
        <v>4787</v>
      </c>
      <c r="C5551" s="1930" t="s">
        <v>4790</v>
      </c>
      <c r="D5551" s="1930" t="s">
        <v>4791</v>
      </c>
      <c r="E5551" s="1931" t="s">
        <v>33</v>
      </c>
      <c r="F5551" s="1930" t="s">
        <v>33</v>
      </c>
      <c r="G5551" s="1932">
        <v>87847</v>
      </c>
      <c r="H5551" s="1930" t="s">
        <v>4158</v>
      </c>
      <c r="I5551" s="1930" t="s">
        <v>306</v>
      </c>
      <c r="J5551" s="1930" t="s">
        <v>137</v>
      </c>
      <c r="K5551" s="1933">
        <v>83.07</v>
      </c>
      <c r="L5551" s="1930" t="s">
        <v>138</v>
      </c>
    </row>
    <row r="5552" spans="1:12" ht="13.5" x14ac:dyDescent="0.25">
      <c r="A5552" s="1930" t="s">
        <v>4786</v>
      </c>
      <c r="B5552" s="1930" t="s">
        <v>4787</v>
      </c>
      <c r="C5552" s="1930" t="s">
        <v>4790</v>
      </c>
      <c r="D5552" s="1930" t="s">
        <v>4791</v>
      </c>
      <c r="E5552" s="1931" t="s">
        <v>33</v>
      </c>
      <c r="F5552" s="1930" t="s">
        <v>33</v>
      </c>
      <c r="G5552" s="1932">
        <v>87848</v>
      </c>
      <c r="H5552" s="1930" t="s">
        <v>4159</v>
      </c>
      <c r="I5552" s="1930" t="s">
        <v>306</v>
      </c>
      <c r="J5552" s="1930" t="s">
        <v>137</v>
      </c>
      <c r="K5552" s="1933">
        <v>110.83</v>
      </c>
      <c r="L5552" s="1930" t="s">
        <v>138</v>
      </c>
    </row>
    <row r="5553" spans="1:12" ht="13.5" x14ac:dyDescent="0.25">
      <c r="A5553" s="1930" t="s">
        <v>4786</v>
      </c>
      <c r="B5553" s="1930" t="s">
        <v>4787</v>
      </c>
      <c r="C5553" s="1930" t="s">
        <v>4790</v>
      </c>
      <c r="D5553" s="1930" t="s">
        <v>4791</v>
      </c>
      <c r="E5553" s="1931" t="s">
        <v>33</v>
      </c>
      <c r="F5553" s="1930" t="s">
        <v>33</v>
      </c>
      <c r="G5553" s="1932">
        <v>87849</v>
      </c>
      <c r="H5553" s="1930" t="s">
        <v>4160</v>
      </c>
      <c r="I5553" s="1930" t="s">
        <v>306</v>
      </c>
      <c r="J5553" s="1930" t="s">
        <v>137</v>
      </c>
      <c r="K5553" s="1933">
        <v>76.989999999999995</v>
      </c>
      <c r="L5553" s="1930" t="s">
        <v>138</v>
      </c>
    </row>
    <row r="5554" spans="1:12" ht="13.5" x14ac:dyDescent="0.25">
      <c r="A5554" s="1930" t="s">
        <v>4786</v>
      </c>
      <c r="B5554" s="1930" t="s">
        <v>4787</v>
      </c>
      <c r="C5554" s="1930" t="s">
        <v>4790</v>
      </c>
      <c r="D5554" s="1930" t="s">
        <v>4791</v>
      </c>
      <c r="E5554" s="1931" t="s">
        <v>33</v>
      </c>
      <c r="F5554" s="1930" t="s">
        <v>33</v>
      </c>
      <c r="G5554" s="1932">
        <v>87850</v>
      </c>
      <c r="H5554" s="1930" t="s">
        <v>4161</v>
      </c>
      <c r="I5554" s="1930" t="s">
        <v>306</v>
      </c>
      <c r="J5554" s="1930" t="s">
        <v>137</v>
      </c>
      <c r="K5554" s="1933">
        <v>123.88</v>
      </c>
      <c r="L5554" s="1930" t="s">
        <v>138</v>
      </c>
    </row>
    <row r="5555" spans="1:12" ht="13.5" x14ac:dyDescent="0.25">
      <c r="A5555" s="1930" t="s">
        <v>4786</v>
      </c>
      <c r="B5555" s="1930" t="s">
        <v>4787</v>
      </c>
      <c r="C5555" s="1930" t="s">
        <v>4790</v>
      </c>
      <c r="D5555" s="1930" t="s">
        <v>4791</v>
      </c>
      <c r="E5555" s="1931" t="s">
        <v>33</v>
      </c>
      <c r="F5555" s="1930" t="s">
        <v>33</v>
      </c>
      <c r="G5555" s="1932">
        <v>87851</v>
      </c>
      <c r="H5555" s="1930" t="s">
        <v>4162</v>
      </c>
      <c r="I5555" s="1930" t="s">
        <v>306</v>
      </c>
      <c r="J5555" s="1930" t="s">
        <v>137</v>
      </c>
      <c r="K5555" s="1933">
        <v>87.54</v>
      </c>
      <c r="L5555" s="1930" t="s">
        <v>138</v>
      </c>
    </row>
    <row r="5556" spans="1:12" ht="13.5" x14ac:dyDescent="0.25">
      <c r="A5556" s="1930" t="s">
        <v>4786</v>
      </c>
      <c r="B5556" s="1930" t="s">
        <v>4787</v>
      </c>
      <c r="C5556" s="1930" t="s">
        <v>4790</v>
      </c>
      <c r="D5556" s="1930" t="s">
        <v>4791</v>
      </c>
      <c r="E5556" s="1931" t="s">
        <v>33</v>
      </c>
      <c r="F5556" s="1930" t="s">
        <v>33</v>
      </c>
      <c r="G5556" s="1932">
        <v>87852</v>
      </c>
      <c r="H5556" s="1930" t="s">
        <v>4163</v>
      </c>
      <c r="I5556" s="1930" t="s">
        <v>306</v>
      </c>
      <c r="J5556" s="1930" t="s">
        <v>137</v>
      </c>
      <c r="K5556" s="1933">
        <v>115.86</v>
      </c>
      <c r="L5556" s="1930" t="s">
        <v>138</v>
      </c>
    </row>
    <row r="5557" spans="1:12" ht="13.5" x14ac:dyDescent="0.25">
      <c r="A5557" s="1930" t="s">
        <v>4786</v>
      </c>
      <c r="B5557" s="1930" t="s">
        <v>4787</v>
      </c>
      <c r="C5557" s="1930" t="s">
        <v>4790</v>
      </c>
      <c r="D5557" s="1930" t="s">
        <v>4791</v>
      </c>
      <c r="E5557" s="1931" t="s">
        <v>33</v>
      </c>
      <c r="F5557" s="1930" t="s">
        <v>33</v>
      </c>
      <c r="G5557" s="1932">
        <v>87853</v>
      </c>
      <c r="H5557" s="1930" t="s">
        <v>4164</v>
      </c>
      <c r="I5557" s="1930" t="s">
        <v>306</v>
      </c>
      <c r="J5557" s="1930" t="s">
        <v>137</v>
      </c>
      <c r="K5557" s="1933">
        <v>80.03</v>
      </c>
      <c r="L5557" s="1930" t="s">
        <v>138</v>
      </c>
    </row>
    <row r="5558" spans="1:12" ht="13.5" x14ac:dyDescent="0.25">
      <c r="A5558" s="1930" t="s">
        <v>4786</v>
      </c>
      <c r="B5558" s="1930" t="s">
        <v>4787</v>
      </c>
      <c r="C5558" s="1930" t="s">
        <v>4790</v>
      </c>
      <c r="D5558" s="1930" t="s">
        <v>4791</v>
      </c>
      <c r="E5558" s="1931" t="s">
        <v>33</v>
      </c>
      <c r="F5558" s="1930" t="s">
        <v>33</v>
      </c>
      <c r="G5558" s="1932">
        <v>87854</v>
      </c>
      <c r="H5558" s="1930" t="s">
        <v>4165</v>
      </c>
      <c r="I5558" s="1930" t="s">
        <v>306</v>
      </c>
      <c r="J5558" s="1930" t="s">
        <v>320</v>
      </c>
      <c r="K5558" s="1933">
        <v>122.52</v>
      </c>
      <c r="L5558" s="1930" t="s">
        <v>138</v>
      </c>
    </row>
    <row r="5559" spans="1:12" ht="13.5" x14ac:dyDescent="0.25">
      <c r="A5559" s="1930" t="s">
        <v>4786</v>
      </c>
      <c r="B5559" s="1930" t="s">
        <v>4787</v>
      </c>
      <c r="C5559" s="1930" t="s">
        <v>4790</v>
      </c>
      <c r="D5559" s="1930" t="s">
        <v>4791</v>
      </c>
      <c r="E5559" s="1931" t="s">
        <v>33</v>
      </c>
      <c r="F5559" s="1930" t="s">
        <v>33</v>
      </c>
      <c r="G5559" s="1932">
        <v>87855</v>
      </c>
      <c r="H5559" s="1930" t="s">
        <v>4166</v>
      </c>
      <c r="I5559" s="1930" t="s">
        <v>306</v>
      </c>
      <c r="J5559" s="1930" t="s">
        <v>320</v>
      </c>
      <c r="K5559" s="1933">
        <v>94.6</v>
      </c>
      <c r="L5559" s="1930" t="s">
        <v>138</v>
      </c>
    </row>
    <row r="5560" spans="1:12" ht="13.5" x14ac:dyDescent="0.25">
      <c r="A5560" s="1930" t="s">
        <v>4786</v>
      </c>
      <c r="B5560" s="1930" t="s">
        <v>4787</v>
      </c>
      <c r="C5560" s="1930" t="s">
        <v>4790</v>
      </c>
      <c r="D5560" s="1930" t="s">
        <v>4791</v>
      </c>
      <c r="E5560" s="1931" t="s">
        <v>33</v>
      </c>
      <c r="F5560" s="1930" t="s">
        <v>33</v>
      </c>
      <c r="G5560" s="1932">
        <v>87856</v>
      </c>
      <c r="H5560" s="1930" t="s">
        <v>4167</v>
      </c>
      <c r="I5560" s="1930" t="s">
        <v>306</v>
      </c>
      <c r="J5560" s="1930" t="s">
        <v>320</v>
      </c>
      <c r="K5560" s="1933">
        <v>110.87</v>
      </c>
      <c r="L5560" s="1930" t="s">
        <v>138</v>
      </c>
    </row>
    <row r="5561" spans="1:12" ht="13.5" x14ac:dyDescent="0.25">
      <c r="A5561" s="1930" t="s">
        <v>4786</v>
      </c>
      <c r="B5561" s="1930" t="s">
        <v>4787</v>
      </c>
      <c r="C5561" s="1930" t="s">
        <v>4790</v>
      </c>
      <c r="D5561" s="1930" t="s">
        <v>4791</v>
      </c>
      <c r="E5561" s="1931" t="s">
        <v>33</v>
      </c>
      <c r="F5561" s="1930" t="s">
        <v>33</v>
      </c>
      <c r="G5561" s="1932">
        <v>87857</v>
      </c>
      <c r="H5561" s="1930" t="s">
        <v>4168</v>
      </c>
      <c r="I5561" s="1930" t="s">
        <v>306</v>
      </c>
      <c r="J5561" s="1930" t="s">
        <v>320</v>
      </c>
      <c r="K5561" s="1933">
        <v>83.45</v>
      </c>
      <c r="L5561" s="1930" t="s">
        <v>138</v>
      </c>
    </row>
    <row r="5562" spans="1:12" ht="13.5" x14ac:dyDescent="0.25">
      <c r="A5562" s="1930" t="s">
        <v>4786</v>
      </c>
      <c r="B5562" s="1930" t="s">
        <v>4787</v>
      </c>
      <c r="C5562" s="1930" t="s">
        <v>4790</v>
      </c>
      <c r="D5562" s="1930" t="s">
        <v>4791</v>
      </c>
      <c r="E5562" s="1931" t="s">
        <v>33</v>
      </c>
      <c r="F5562" s="1930" t="s">
        <v>33</v>
      </c>
      <c r="G5562" s="1932">
        <v>87858</v>
      </c>
      <c r="H5562" s="1930" t="s">
        <v>4169</v>
      </c>
      <c r="I5562" s="1930" t="s">
        <v>306</v>
      </c>
      <c r="J5562" s="1930" t="s">
        <v>137</v>
      </c>
      <c r="K5562" s="1933">
        <v>81.150000000000006</v>
      </c>
      <c r="L5562" s="1930" t="s">
        <v>138</v>
      </c>
    </row>
    <row r="5563" spans="1:12" ht="13.5" x14ac:dyDescent="0.25">
      <c r="A5563" s="1930" t="s">
        <v>4786</v>
      </c>
      <c r="B5563" s="1930" t="s">
        <v>4787</v>
      </c>
      <c r="C5563" s="1930" t="s">
        <v>4790</v>
      </c>
      <c r="D5563" s="1930" t="s">
        <v>4791</v>
      </c>
      <c r="E5563" s="1931" t="s">
        <v>33</v>
      </c>
      <c r="F5563" s="1930" t="s">
        <v>33</v>
      </c>
      <c r="G5563" s="1932">
        <v>87859</v>
      </c>
      <c r="H5563" s="1930" t="s">
        <v>4170</v>
      </c>
      <c r="I5563" s="1930" t="s">
        <v>306</v>
      </c>
      <c r="J5563" s="1930" t="s">
        <v>137</v>
      </c>
      <c r="K5563" s="1933">
        <v>95.28</v>
      </c>
      <c r="L5563" s="1930" t="s">
        <v>138</v>
      </c>
    </row>
    <row r="5564" spans="1:12" ht="13.5" x14ac:dyDescent="0.25">
      <c r="A5564" s="1930" t="s">
        <v>4786</v>
      </c>
      <c r="B5564" s="1930" t="s">
        <v>4787</v>
      </c>
      <c r="C5564" s="1930" t="s">
        <v>4790</v>
      </c>
      <c r="D5564" s="1930" t="s">
        <v>4791</v>
      </c>
      <c r="E5564" s="1931" t="s">
        <v>33</v>
      </c>
      <c r="F5564" s="1930" t="s">
        <v>33</v>
      </c>
      <c r="G5564" s="1932">
        <v>89048</v>
      </c>
      <c r="H5564" s="1930" t="s">
        <v>4171</v>
      </c>
      <c r="I5564" s="1930" t="s">
        <v>306</v>
      </c>
      <c r="J5564" s="1930" t="s">
        <v>320</v>
      </c>
      <c r="K5564" s="1933">
        <v>27.27</v>
      </c>
      <c r="L5564" s="1930" t="s">
        <v>138</v>
      </c>
    </row>
    <row r="5565" spans="1:12" ht="13.5" x14ac:dyDescent="0.25">
      <c r="A5565" s="1930" t="s">
        <v>4786</v>
      </c>
      <c r="B5565" s="1930" t="s">
        <v>4787</v>
      </c>
      <c r="C5565" s="1930" t="s">
        <v>4790</v>
      </c>
      <c r="D5565" s="1930" t="s">
        <v>4791</v>
      </c>
      <c r="E5565" s="1931" t="s">
        <v>33</v>
      </c>
      <c r="F5565" s="1930" t="s">
        <v>33</v>
      </c>
      <c r="G5565" s="1932">
        <v>89049</v>
      </c>
      <c r="H5565" s="1930" t="s">
        <v>4172</v>
      </c>
      <c r="I5565" s="1930" t="s">
        <v>306</v>
      </c>
      <c r="J5565" s="1930" t="s">
        <v>320</v>
      </c>
      <c r="K5565" s="1933">
        <v>17.7</v>
      </c>
      <c r="L5565" s="1930" t="s">
        <v>138</v>
      </c>
    </row>
    <row r="5566" spans="1:12" ht="13.5" x14ac:dyDescent="0.25">
      <c r="A5566" s="1930" t="s">
        <v>4786</v>
      </c>
      <c r="B5566" s="1930" t="s">
        <v>4787</v>
      </c>
      <c r="C5566" s="1930" t="s">
        <v>4790</v>
      </c>
      <c r="D5566" s="1930" t="s">
        <v>4791</v>
      </c>
      <c r="E5566" s="1931" t="s">
        <v>33</v>
      </c>
      <c r="F5566" s="1930" t="s">
        <v>33</v>
      </c>
      <c r="G5566" s="1932">
        <v>89173</v>
      </c>
      <c r="H5566" s="1930" t="s">
        <v>4173</v>
      </c>
      <c r="I5566" s="1930" t="s">
        <v>306</v>
      </c>
      <c r="J5566" s="1930" t="s">
        <v>320</v>
      </c>
      <c r="K5566" s="1933">
        <v>26.83</v>
      </c>
      <c r="L5566" s="1930" t="s">
        <v>138</v>
      </c>
    </row>
    <row r="5567" spans="1:12" ht="13.5" x14ac:dyDescent="0.25">
      <c r="A5567" s="1930" t="s">
        <v>4786</v>
      </c>
      <c r="B5567" s="1930" t="s">
        <v>4787</v>
      </c>
      <c r="C5567" s="1930" t="s">
        <v>4790</v>
      </c>
      <c r="D5567" s="1930" t="s">
        <v>4791</v>
      </c>
      <c r="E5567" s="1931" t="s">
        <v>33</v>
      </c>
      <c r="F5567" s="1930" t="s">
        <v>33</v>
      </c>
      <c r="G5567" s="1932">
        <v>90406</v>
      </c>
      <c r="H5567" s="1930" t="s">
        <v>4174</v>
      </c>
      <c r="I5567" s="1930" t="s">
        <v>306</v>
      </c>
      <c r="J5567" s="1930" t="s">
        <v>320</v>
      </c>
      <c r="K5567" s="1933">
        <v>34.9</v>
      </c>
      <c r="L5567" s="1930" t="s">
        <v>138</v>
      </c>
    </row>
    <row r="5568" spans="1:12" ht="13.5" x14ac:dyDescent="0.25">
      <c r="A5568" s="1930" t="s">
        <v>4786</v>
      </c>
      <c r="B5568" s="1930" t="s">
        <v>4787</v>
      </c>
      <c r="C5568" s="1930" t="s">
        <v>4790</v>
      </c>
      <c r="D5568" s="1930" t="s">
        <v>4791</v>
      </c>
      <c r="E5568" s="1931" t="s">
        <v>33</v>
      </c>
      <c r="F5568" s="1930" t="s">
        <v>33</v>
      </c>
      <c r="G5568" s="1932">
        <v>90407</v>
      </c>
      <c r="H5568" s="1930" t="s">
        <v>4175</v>
      </c>
      <c r="I5568" s="1930" t="s">
        <v>306</v>
      </c>
      <c r="J5568" s="1930" t="s">
        <v>320</v>
      </c>
      <c r="K5568" s="1933">
        <v>38.340000000000003</v>
      </c>
      <c r="L5568" s="1930" t="s">
        <v>138</v>
      </c>
    </row>
    <row r="5569" spans="1:12" ht="13.5" x14ac:dyDescent="0.25">
      <c r="A5569" s="1930" t="s">
        <v>4786</v>
      </c>
      <c r="B5569" s="1930" t="s">
        <v>4787</v>
      </c>
      <c r="C5569" s="1930" t="s">
        <v>4790</v>
      </c>
      <c r="D5569" s="1930" t="s">
        <v>4791</v>
      </c>
      <c r="E5569" s="1931" t="s">
        <v>33</v>
      </c>
      <c r="F5569" s="1930" t="s">
        <v>33</v>
      </c>
      <c r="G5569" s="1932">
        <v>90408</v>
      </c>
      <c r="H5569" s="1930" t="s">
        <v>4176</v>
      </c>
      <c r="I5569" s="1930" t="s">
        <v>306</v>
      </c>
      <c r="J5569" s="1930" t="s">
        <v>320</v>
      </c>
      <c r="K5569" s="1933">
        <v>25.24</v>
      </c>
      <c r="L5569" s="1930" t="s">
        <v>138</v>
      </c>
    </row>
    <row r="5570" spans="1:12" ht="13.5" x14ac:dyDescent="0.25">
      <c r="A5570" s="1930" t="s">
        <v>4786</v>
      </c>
      <c r="B5570" s="1930" t="s">
        <v>4787</v>
      </c>
      <c r="C5570" s="1930" t="s">
        <v>4790</v>
      </c>
      <c r="D5570" s="1930" t="s">
        <v>4791</v>
      </c>
      <c r="E5570" s="1931" t="s">
        <v>33</v>
      </c>
      <c r="F5570" s="1930" t="s">
        <v>33</v>
      </c>
      <c r="G5570" s="1932">
        <v>90409</v>
      </c>
      <c r="H5570" s="1930" t="s">
        <v>4177</v>
      </c>
      <c r="I5570" s="1930" t="s">
        <v>306</v>
      </c>
      <c r="J5570" s="1930" t="s">
        <v>320</v>
      </c>
      <c r="K5570" s="1933">
        <v>27.19</v>
      </c>
      <c r="L5570" s="1930" t="s">
        <v>138</v>
      </c>
    </row>
    <row r="5571" spans="1:12" ht="13.5" x14ac:dyDescent="0.25">
      <c r="A5571" s="1930" t="s">
        <v>4786</v>
      </c>
      <c r="B5571" s="1930" t="s">
        <v>4787</v>
      </c>
      <c r="C5571" s="1930" t="s">
        <v>4792</v>
      </c>
      <c r="D5571" s="1930" t="s">
        <v>4793</v>
      </c>
      <c r="E5571" s="1931" t="s">
        <v>33</v>
      </c>
      <c r="F5571" s="1930" t="s">
        <v>33</v>
      </c>
      <c r="G5571" s="1932">
        <v>87242</v>
      </c>
      <c r="H5571" s="1930" t="s">
        <v>4178</v>
      </c>
      <c r="I5571" s="1930" t="s">
        <v>306</v>
      </c>
      <c r="J5571" s="1930" t="s">
        <v>320</v>
      </c>
      <c r="K5571" s="1933">
        <v>177.19</v>
      </c>
      <c r="L5571" s="1930" t="s">
        <v>138</v>
      </c>
    </row>
    <row r="5572" spans="1:12" ht="13.5" x14ac:dyDescent="0.25">
      <c r="A5572" s="1930" t="s">
        <v>4786</v>
      </c>
      <c r="B5572" s="1930" t="s">
        <v>4787</v>
      </c>
      <c r="C5572" s="1930" t="s">
        <v>4792</v>
      </c>
      <c r="D5572" s="1930" t="s">
        <v>4793</v>
      </c>
      <c r="E5572" s="1931" t="s">
        <v>33</v>
      </c>
      <c r="F5572" s="1930" t="s">
        <v>33</v>
      </c>
      <c r="G5572" s="1932">
        <v>87243</v>
      </c>
      <c r="H5572" s="1930" t="s">
        <v>4179</v>
      </c>
      <c r="I5572" s="1930" t="s">
        <v>306</v>
      </c>
      <c r="J5572" s="1930" t="s">
        <v>320</v>
      </c>
      <c r="K5572" s="1933">
        <v>162.16</v>
      </c>
      <c r="L5572" s="1930" t="s">
        <v>138</v>
      </c>
    </row>
    <row r="5573" spans="1:12" ht="13.5" x14ac:dyDescent="0.25">
      <c r="A5573" s="1930" t="s">
        <v>4786</v>
      </c>
      <c r="B5573" s="1930" t="s">
        <v>4787</v>
      </c>
      <c r="C5573" s="1930" t="s">
        <v>4792</v>
      </c>
      <c r="D5573" s="1930" t="s">
        <v>4793</v>
      </c>
      <c r="E5573" s="1931" t="s">
        <v>33</v>
      </c>
      <c r="F5573" s="1930" t="s">
        <v>33</v>
      </c>
      <c r="G5573" s="1932">
        <v>87244</v>
      </c>
      <c r="H5573" s="1930" t="s">
        <v>4180</v>
      </c>
      <c r="I5573" s="1930" t="s">
        <v>306</v>
      </c>
      <c r="J5573" s="1930" t="s">
        <v>320</v>
      </c>
      <c r="K5573" s="1933">
        <v>171.9</v>
      </c>
      <c r="L5573" s="1930" t="s">
        <v>138</v>
      </c>
    </row>
    <row r="5574" spans="1:12" ht="13.5" x14ac:dyDescent="0.25">
      <c r="A5574" s="1930" t="s">
        <v>4786</v>
      </c>
      <c r="B5574" s="1930" t="s">
        <v>4787</v>
      </c>
      <c r="C5574" s="1930" t="s">
        <v>4792</v>
      </c>
      <c r="D5574" s="1930" t="s">
        <v>4793</v>
      </c>
      <c r="E5574" s="1931" t="s">
        <v>33</v>
      </c>
      <c r="F5574" s="1930" t="s">
        <v>33</v>
      </c>
      <c r="G5574" s="1932">
        <v>87245</v>
      </c>
      <c r="H5574" s="1930" t="s">
        <v>4181</v>
      </c>
      <c r="I5574" s="1930" t="s">
        <v>306</v>
      </c>
      <c r="J5574" s="1930" t="s">
        <v>320</v>
      </c>
      <c r="K5574" s="1933">
        <v>207.14</v>
      </c>
      <c r="L5574" s="1930" t="s">
        <v>138</v>
      </c>
    </row>
    <row r="5575" spans="1:12" ht="13.5" x14ac:dyDescent="0.25">
      <c r="A5575" s="1930" t="s">
        <v>4786</v>
      </c>
      <c r="B5575" s="1930" t="s">
        <v>4787</v>
      </c>
      <c r="C5575" s="1930" t="s">
        <v>4792</v>
      </c>
      <c r="D5575" s="1930" t="s">
        <v>4793</v>
      </c>
      <c r="E5575" s="1931" t="s">
        <v>33</v>
      </c>
      <c r="F5575" s="1930" t="s">
        <v>33</v>
      </c>
      <c r="G5575" s="1932">
        <v>87264</v>
      </c>
      <c r="H5575" s="1930" t="s">
        <v>4182</v>
      </c>
      <c r="I5575" s="1930" t="s">
        <v>306</v>
      </c>
      <c r="J5575" s="1930" t="s">
        <v>320</v>
      </c>
      <c r="K5575" s="1933">
        <v>52.76</v>
      </c>
      <c r="L5575" s="1930" t="s">
        <v>138</v>
      </c>
    </row>
    <row r="5576" spans="1:12" ht="13.5" x14ac:dyDescent="0.25">
      <c r="A5576" s="1930" t="s">
        <v>4786</v>
      </c>
      <c r="B5576" s="1930" t="s">
        <v>4787</v>
      </c>
      <c r="C5576" s="1930" t="s">
        <v>4792</v>
      </c>
      <c r="D5576" s="1930" t="s">
        <v>4793</v>
      </c>
      <c r="E5576" s="1931" t="s">
        <v>33</v>
      </c>
      <c r="F5576" s="1930" t="s">
        <v>33</v>
      </c>
      <c r="G5576" s="1932">
        <v>87265</v>
      </c>
      <c r="H5576" s="1930" t="s">
        <v>4183</v>
      </c>
      <c r="I5576" s="1930" t="s">
        <v>306</v>
      </c>
      <c r="J5576" s="1930" t="s">
        <v>320</v>
      </c>
      <c r="K5576" s="1933">
        <v>46.5</v>
      </c>
      <c r="L5576" s="1930" t="s">
        <v>138</v>
      </c>
    </row>
    <row r="5577" spans="1:12" ht="13.5" x14ac:dyDescent="0.25">
      <c r="A5577" s="1930" t="s">
        <v>4786</v>
      </c>
      <c r="B5577" s="1930" t="s">
        <v>4787</v>
      </c>
      <c r="C5577" s="1930" t="s">
        <v>4792</v>
      </c>
      <c r="D5577" s="1930" t="s">
        <v>4793</v>
      </c>
      <c r="E5577" s="1931" t="s">
        <v>33</v>
      </c>
      <c r="F5577" s="1930" t="s">
        <v>33</v>
      </c>
      <c r="G5577" s="1932">
        <v>87266</v>
      </c>
      <c r="H5577" s="1930" t="s">
        <v>4184</v>
      </c>
      <c r="I5577" s="1930" t="s">
        <v>306</v>
      </c>
      <c r="J5577" s="1930" t="s">
        <v>320</v>
      </c>
      <c r="K5577" s="1933">
        <v>54.97</v>
      </c>
      <c r="L5577" s="1930" t="s">
        <v>138</v>
      </c>
    </row>
    <row r="5578" spans="1:12" ht="13.5" x14ac:dyDescent="0.25">
      <c r="A5578" s="1930" t="s">
        <v>4786</v>
      </c>
      <c r="B5578" s="1930" t="s">
        <v>4787</v>
      </c>
      <c r="C5578" s="1930" t="s">
        <v>4792</v>
      </c>
      <c r="D5578" s="1930" t="s">
        <v>4793</v>
      </c>
      <c r="E5578" s="1931" t="s">
        <v>33</v>
      </c>
      <c r="F5578" s="1930" t="s">
        <v>33</v>
      </c>
      <c r="G5578" s="1932">
        <v>87267</v>
      </c>
      <c r="H5578" s="1930" t="s">
        <v>4185</v>
      </c>
      <c r="I5578" s="1930" t="s">
        <v>306</v>
      </c>
      <c r="J5578" s="1930" t="s">
        <v>320</v>
      </c>
      <c r="K5578" s="1933">
        <v>52.2</v>
      </c>
      <c r="L5578" s="1930" t="s">
        <v>138</v>
      </c>
    </row>
    <row r="5579" spans="1:12" ht="13.5" x14ac:dyDescent="0.25">
      <c r="A5579" s="1930" t="s">
        <v>4786</v>
      </c>
      <c r="B5579" s="1930" t="s">
        <v>4787</v>
      </c>
      <c r="C5579" s="1930" t="s">
        <v>4792</v>
      </c>
      <c r="D5579" s="1930" t="s">
        <v>4793</v>
      </c>
      <c r="E5579" s="1931" t="s">
        <v>33</v>
      </c>
      <c r="F5579" s="1930" t="s">
        <v>33</v>
      </c>
      <c r="G5579" s="1932">
        <v>87268</v>
      </c>
      <c r="H5579" s="1930" t="s">
        <v>4186</v>
      </c>
      <c r="I5579" s="1930" t="s">
        <v>306</v>
      </c>
      <c r="J5579" s="1930" t="s">
        <v>320</v>
      </c>
      <c r="K5579" s="1933">
        <v>56.7</v>
      </c>
      <c r="L5579" s="1930" t="s">
        <v>138</v>
      </c>
    </row>
    <row r="5580" spans="1:12" ht="13.5" x14ac:dyDescent="0.25">
      <c r="A5580" s="1930" t="s">
        <v>4786</v>
      </c>
      <c r="B5580" s="1930" t="s">
        <v>4787</v>
      </c>
      <c r="C5580" s="1930" t="s">
        <v>4792</v>
      </c>
      <c r="D5580" s="1930" t="s">
        <v>4793</v>
      </c>
      <c r="E5580" s="1931" t="s">
        <v>33</v>
      </c>
      <c r="F5580" s="1930" t="s">
        <v>33</v>
      </c>
      <c r="G5580" s="1932">
        <v>87269</v>
      </c>
      <c r="H5580" s="1930" t="s">
        <v>4187</v>
      </c>
      <c r="I5580" s="1930" t="s">
        <v>306</v>
      </c>
      <c r="J5580" s="1930" t="s">
        <v>320</v>
      </c>
      <c r="K5580" s="1933">
        <v>49.89</v>
      </c>
      <c r="L5580" s="1930" t="s">
        <v>138</v>
      </c>
    </row>
    <row r="5581" spans="1:12" ht="13.5" x14ac:dyDescent="0.25">
      <c r="A5581" s="1930" t="s">
        <v>4786</v>
      </c>
      <c r="B5581" s="1930" t="s">
        <v>4787</v>
      </c>
      <c r="C5581" s="1930" t="s">
        <v>4792</v>
      </c>
      <c r="D5581" s="1930" t="s">
        <v>4793</v>
      </c>
      <c r="E5581" s="1931" t="s">
        <v>33</v>
      </c>
      <c r="F5581" s="1930" t="s">
        <v>33</v>
      </c>
      <c r="G5581" s="1932">
        <v>87270</v>
      </c>
      <c r="H5581" s="1930" t="s">
        <v>4188</v>
      </c>
      <c r="I5581" s="1930" t="s">
        <v>306</v>
      </c>
      <c r="J5581" s="1930" t="s">
        <v>320</v>
      </c>
      <c r="K5581" s="1933">
        <v>58.56</v>
      </c>
      <c r="L5581" s="1930" t="s">
        <v>138</v>
      </c>
    </row>
    <row r="5582" spans="1:12" ht="13.5" x14ac:dyDescent="0.25">
      <c r="A5582" s="1930" t="s">
        <v>4786</v>
      </c>
      <c r="B5582" s="1930" t="s">
        <v>4787</v>
      </c>
      <c r="C5582" s="1930" t="s">
        <v>4792</v>
      </c>
      <c r="D5582" s="1930" t="s">
        <v>4793</v>
      </c>
      <c r="E5582" s="1931" t="s">
        <v>33</v>
      </c>
      <c r="F5582" s="1930" t="s">
        <v>33</v>
      </c>
      <c r="G5582" s="1932">
        <v>87271</v>
      </c>
      <c r="H5582" s="1930" t="s">
        <v>4189</v>
      </c>
      <c r="I5582" s="1930" t="s">
        <v>306</v>
      </c>
      <c r="J5582" s="1930" t="s">
        <v>320</v>
      </c>
      <c r="K5582" s="1933">
        <v>55.32</v>
      </c>
      <c r="L5582" s="1930" t="s">
        <v>138</v>
      </c>
    </row>
    <row r="5583" spans="1:12" ht="13.5" x14ac:dyDescent="0.25">
      <c r="A5583" s="1930" t="s">
        <v>4786</v>
      </c>
      <c r="B5583" s="1930" t="s">
        <v>4787</v>
      </c>
      <c r="C5583" s="1930" t="s">
        <v>4792</v>
      </c>
      <c r="D5583" s="1930" t="s">
        <v>4793</v>
      </c>
      <c r="E5583" s="1931" t="s">
        <v>33</v>
      </c>
      <c r="F5583" s="1930" t="s">
        <v>33</v>
      </c>
      <c r="G5583" s="1932">
        <v>87272</v>
      </c>
      <c r="H5583" s="1930" t="s">
        <v>4190</v>
      </c>
      <c r="I5583" s="1930" t="s">
        <v>306</v>
      </c>
      <c r="J5583" s="1930" t="s">
        <v>320</v>
      </c>
      <c r="K5583" s="1933">
        <v>60.12</v>
      </c>
      <c r="L5583" s="1930" t="s">
        <v>138</v>
      </c>
    </row>
    <row r="5584" spans="1:12" ht="13.5" x14ac:dyDescent="0.25">
      <c r="A5584" s="1930" t="s">
        <v>4786</v>
      </c>
      <c r="B5584" s="1930" t="s">
        <v>4787</v>
      </c>
      <c r="C5584" s="1930" t="s">
        <v>4792</v>
      </c>
      <c r="D5584" s="1930" t="s">
        <v>4793</v>
      </c>
      <c r="E5584" s="1931" t="s">
        <v>33</v>
      </c>
      <c r="F5584" s="1930" t="s">
        <v>33</v>
      </c>
      <c r="G5584" s="1932">
        <v>87273</v>
      </c>
      <c r="H5584" s="1930" t="s">
        <v>4191</v>
      </c>
      <c r="I5584" s="1930" t="s">
        <v>306</v>
      </c>
      <c r="J5584" s="1930" t="s">
        <v>320</v>
      </c>
      <c r="K5584" s="1933">
        <v>51.8</v>
      </c>
      <c r="L5584" s="1930" t="s">
        <v>138</v>
      </c>
    </row>
    <row r="5585" spans="1:12" ht="13.5" x14ac:dyDescent="0.25">
      <c r="A5585" s="1930" t="s">
        <v>4786</v>
      </c>
      <c r="B5585" s="1930" t="s">
        <v>4787</v>
      </c>
      <c r="C5585" s="1930" t="s">
        <v>4792</v>
      </c>
      <c r="D5585" s="1930" t="s">
        <v>4793</v>
      </c>
      <c r="E5585" s="1931" t="s">
        <v>33</v>
      </c>
      <c r="F5585" s="1930" t="s">
        <v>33</v>
      </c>
      <c r="G5585" s="1932">
        <v>87274</v>
      </c>
      <c r="H5585" s="1930" t="s">
        <v>4192</v>
      </c>
      <c r="I5585" s="1930" t="s">
        <v>306</v>
      </c>
      <c r="J5585" s="1930" t="s">
        <v>320</v>
      </c>
      <c r="K5585" s="1933">
        <v>61.44</v>
      </c>
      <c r="L5585" s="1930" t="s">
        <v>138</v>
      </c>
    </row>
    <row r="5586" spans="1:12" ht="13.5" x14ac:dyDescent="0.25">
      <c r="A5586" s="1930" t="s">
        <v>4786</v>
      </c>
      <c r="B5586" s="1930" t="s">
        <v>4787</v>
      </c>
      <c r="C5586" s="1930" t="s">
        <v>4792</v>
      </c>
      <c r="D5586" s="1930" t="s">
        <v>4793</v>
      </c>
      <c r="E5586" s="1931" t="s">
        <v>33</v>
      </c>
      <c r="F5586" s="1930" t="s">
        <v>33</v>
      </c>
      <c r="G5586" s="1932">
        <v>87275</v>
      </c>
      <c r="H5586" s="1930" t="s">
        <v>4193</v>
      </c>
      <c r="I5586" s="1930" t="s">
        <v>306</v>
      </c>
      <c r="J5586" s="1930" t="s">
        <v>320</v>
      </c>
      <c r="K5586" s="1933">
        <v>58.62</v>
      </c>
      <c r="L5586" s="1930" t="s">
        <v>138</v>
      </c>
    </row>
    <row r="5587" spans="1:12" ht="13.5" x14ac:dyDescent="0.25">
      <c r="A5587" s="1930" t="s">
        <v>4786</v>
      </c>
      <c r="B5587" s="1930" t="s">
        <v>4787</v>
      </c>
      <c r="C5587" s="1930" t="s">
        <v>4792</v>
      </c>
      <c r="D5587" s="1930" t="s">
        <v>4793</v>
      </c>
      <c r="E5587" s="1931" t="s">
        <v>33</v>
      </c>
      <c r="F5587" s="1930" t="s">
        <v>33</v>
      </c>
      <c r="G5587" s="1932">
        <v>88786</v>
      </c>
      <c r="H5587" s="1930" t="s">
        <v>4194</v>
      </c>
      <c r="I5587" s="1930" t="s">
        <v>306</v>
      </c>
      <c r="J5587" s="1930" t="s">
        <v>320</v>
      </c>
      <c r="K5587" s="1933">
        <v>196.29</v>
      </c>
      <c r="L5587" s="1930" t="s">
        <v>138</v>
      </c>
    </row>
    <row r="5588" spans="1:12" ht="13.5" x14ac:dyDescent="0.25">
      <c r="A5588" s="1930" t="s">
        <v>4786</v>
      </c>
      <c r="B5588" s="1930" t="s">
        <v>4787</v>
      </c>
      <c r="C5588" s="1930" t="s">
        <v>4792</v>
      </c>
      <c r="D5588" s="1930" t="s">
        <v>4793</v>
      </c>
      <c r="E5588" s="1931" t="s">
        <v>33</v>
      </c>
      <c r="F5588" s="1930" t="s">
        <v>33</v>
      </c>
      <c r="G5588" s="1932">
        <v>88787</v>
      </c>
      <c r="H5588" s="1930" t="s">
        <v>4195</v>
      </c>
      <c r="I5588" s="1930" t="s">
        <v>306</v>
      </c>
      <c r="J5588" s="1930" t="s">
        <v>320</v>
      </c>
      <c r="K5588" s="1933">
        <v>180.34</v>
      </c>
      <c r="L5588" s="1930" t="s">
        <v>138</v>
      </c>
    </row>
    <row r="5589" spans="1:12" ht="13.5" x14ac:dyDescent="0.25">
      <c r="A5589" s="1930" t="s">
        <v>4786</v>
      </c>
      <c r="B5589" s="1930" t="s">
        <v>4787</v>
      </c>
      <c r="C5589" s="1930" t="s">
        <v>4792</v>
      </c>
      <c r="D5589" s="1930" t="s">
        <v>4793</v>
      </c>
      <c r="E5589" s="1931" t="s">
        <v>33</v>
      </c>
      <c r="F5589" s="1930" t="s">
        <v>33</v>
      </c>
      <c r="G5589" s="1932">
        <v>88788</v>
      </c>
      <c r="H5589" s="1930" t="s">
        <v>4196</v>
      </c>
      <c r="I5589" s="1930" t="s">
        <v>306</v>
      </c>
      <c r="J5589" s="1930" t="s">
        <v>320</v>
      </c>
      <c r="K5589" s="1933">
        <v>190.08</v>
      </c>
      <c r="L5589" s="1930" t="s">
        <v>138</v>
      </c>
    </row>
    <row r="5590" spans="1:12" ht="13.5" x14ac:dyDescent="0.25">
      <c r="A5590" s="1930" t="s">
        <v>4786</v>
      </c>
      <c r="B5590" s="1930" t="s">
        <v>4787</v>
      </c>
      <c r="C5590" s="1930" t="s">
        <v>4792</v>
      </c>
      <c r="D5590" s="1930" t="s">
        <v>4793</v>
      </c>
      <c r="E5590" s="1931" t="s">
        <v>33</v>
      </c>
      <c r="F5590" s="1930" t="s">
        <v>33</v>
      </c>
      <c r="G5590" s="1932">
        <v>88789</v>
      </c>
      <c r="H5590" s="1930" t="s">
        <v>4197</v>
      </c>
      <c r="I5590" s="1930" t="s">
        <v>306</v>
      </c>
      <c r="J5590" s="1930" t="s">
        <v>320</v>
      </c>
      <c r="K5590" s="1933">
        <v>228.46</v>
      </c>
      <c r="L5590" s="1930" t="s">
        <v>138</v>
      </c>
    </row>
    <row r="5591" spans="1:12" ht="13.5" x14ac:dyDescent="0.25">
      <c r="A5591" s="1930" t="s">
        <v>4786</v>
      </c>
      <c r="B5591" s="1930" t="s">
        <v>4787</v>
      </c>
      <c r="C5591" s="1930" t="s">
        <v>4792</v>
      </c>
      <c r="D5591" s="1930" t="s">
        <v>4793</v>
      </c>
      <c r="E5591" s="1931" t="s">
        <v>33</v>
      </c>
      <c r="F5591" s="1930" t="s">
        <v>33</v>
      </c>
      <c r="G5591" s="1932">
        <v>89045</v>
      </c>
      <c r="H5591" s="1930" t="s">
        <v>4198</v>
      </c>
      <c r="I5591" s="1930" t="s">
        <v>306</v>
      </c>
      <c r="J5591" s="1930" t="s">
        <v>320</v>
      </c>
      <c r="K5591" s="1933">
        <v>52.6</v>
      </c>
      <c r="L5591" s="1930" t="s">
        <v>138</v>
      </c>
    </row>
    <row r="5592" spans="1:12" ht="13.5" x14ac:dyDescent="0.25">
      <c r="A5592" s="1930" t="s">
        <v>4786</v>
      </c>
      <c r="B5592" s="1930" t="s">
        <v>4787</v>
      </c>
      <c r="C5592" s="1930" t="s">
        <v>4792</v>
      </c>
      <c r="D5592" s="1930" t="s">
        <v>4793</v>
      </c>
      <c r="E5592" s="1931" t="s">
        <v>33</v>
      </c>
      <c r="F5592" s="1930" t="s">
        <v>33</v>
      </c>
      <c r="G5592" s="1932">
        <v>89170</v>
      </c>
      <c r="H5592" s="1930" t="s">
        <v>4199</v>
      </c>
      <c r="I5592" s="1930" t="s">
        <v>306</v>
      </c>
      <c r="J5592" s="1930" t="s">
        <v>320</v>
      </c>
      <c r="K5592" s="1933">
        <v>51.03</v>
      </c>
      <c r="L5592" s="1930" t="s">
        <v>138</v>
      </c>
    </row>
    <row r="5593" spans="1:12" ht="13.5" x14ac:dyDescent="0.25">
      <c r="A5593" s="1930" t="s">
        <v>4786</v>
      </c>
      <c r="B5593" s="1930" t="s">
        <v>4787</v>
      </c>
      <c r="C5593" s="1930" t="s">
        <v>4792</v>
      </c>
      <c r="D5593" s="1930" t="s">
        <v>4793</v>
      </c>
      <c r="E5593" s="1931" t="s">
        <v>33</v>
      </c>
      <c r="F5593" s="1930" t="s">
        <v>33</v>
      </c>
      <c r="G5593" s="1932">
        <v>93392</v>
      </c>
      <c r="H5593" s="1930" t="s">
        <v>6646</v>
      </c>
      <c r="I5593" s="1930" t="s">
        <v>306</v>
      </c>
      <c r="J5593" s="1930" t="s">
        <v>320</v>
      </c>
      <c r="K5593" s="1933">
        <v>40.630000000000003</v>
      </c>
      <c r="L5593" s="1930" t="s">
        <v>138</v>
      </c>
    </row>
    <row r="5594" spans="1:12" ht="13.5" x14ac:dyDescent="0.25">
      <c r="A5594" s="1930" t="s">
        <v>4786</v>
      </c>
      <c r="B5594" s="1930" t="s">
        <v>4787</v>
      </c>
      <c r="C5594" s="1930" t="s">
        <v>4792</v>
      </c>
      <c r="D5594" s="1930" t="s">
        <v>4793</v>
      </c>
      <c r="E5594" s="1931" t="s">
        <v>33</v>
      </c>
      <c r="F5594" s="1930" t="s">
        <v>33</v>
      </c>
      <c r="G5594" s="1932">
        <v>93393</v>
      </c>
      <c r="H5594" s="1930" t="s">
        <v>6647</v>
      </c>
      <c r="I5594" s="1930" t="s">
        <v>306</v>
      </c>
      <c r="J5594" s="1930" t="s">
        <v>320</v>
      </c>
      <c r="K5594" s="1933">
        <v>34.49</v>
      </c>
      <c r="L5594" s="1930" t="s">
        <v>138</v>
      </c>
    </row>
    <row r="5595" spans="1:12" ht="13.5" x14ac:dyDescent="0.25">
      <c r="A5595" s="1930" t="s">
        <v>4786</v>
      </c>
      <c r="B5595" s="1930" t="s">
        <v>4787</v>
      </c>
      <c r="C5595" s="1930" t="s">
        <v>4792</v>
      </c>
      <c r="D5595" s="1930" t="s">
        <v>4793</v>
      </c>
      <c r="E5595" s="1931" t="s">
        <v>33</v>
      </c>
      <c r="F5595" s="1930" t="s">
        <v>33</v>
      </c>
      <c r="G5595" s="1932">
        <v>93394</v>
      </c>
      <c r="H5595" s="1930" t="s">
        <v>6648</v>
      </c>
      <c r="I5595" s="1930" t="s">
        <v>306</v>
      </c>
      <c r="J5595" s="1930" t="s">
        <v>320</v>
      </c>
      <c r="K5595" s="1933">
        <v>42.84</v>
      </c>
      <c r="L5595" s="1930" t="s">
        <v>138</v>
      </c>
    </row>
    <row r="5596" spans="1:12" ht="13.5" x14ac:dyDescent="0.25">
      <c r="A5596" s="1930" t="s">
        <v>4786</v>
      </c>
      <c r="B5596" s="1930" t="s">
        <v>4787</v>
      </c>
      <c r="C5596" s="1930" t="s">
        <v>4792</v>
      </c>
      <c r="D5596" s="1930" t="s">
        <v>4793</v>
      </c>
      <c r="E5596" s="1931" t="s">
        <v>33</v>
      </c>
      <c r="F5596" s="1930" t="s">
        <v>33</v>
      </c>
      <c r="G5596" s="1932">
        <v>93395</v>
      </c>
      <c r="H5596" s="1930" t="s">
        <v>6649</v>
      </c>
      <c r="I5596" s="1930" t="s">
        <v>306</v>
      </c>
      <c r="J5596" s="1930" t="s">
        <v>320</v>
      </c>
      <c r="K5596" s="1933">
        <v>40.07</v>
      </c>
      <c r="L5596" s="1930" t="s">
        <v>138</v>
      </c>
    </row>
    <row r="5597" spans="1:12" ht="13.5" x14ac:dyDescent="0.25">
      <c r="A5597" s="1930" t="s">
        <v>4786</v>
      </c>
      <c r="B5597" s="1930" t="s">
        <v>4787</v>
      </c>
      <c r="C5597" s="1930" t="s">
        <v>4792</v>
      </c>
      <c r="D5597" s="1930" t="s">
        <v>4793</v>
      </c>
      <c r="E5597" s="1931" t="s">
        <v>33</v>
      </c>
      <c r="F5597" s="1930" t="s">
        <v>33</v>
      </c>
      <c r="G5597" s="1932">
        <v>99194</v>
      </c>
      <c r="H5597" s="1930" t="s">
        <v>6650</v>
      </c>
      <c r="I5597" s="1930" t="s">
        <v>306</v>
      </c>
      <c r="J5597" s="1930" t="s">
        <v>320</v>
      </c>
      <c r="K5597" s="1933">
        <v>44.61</v>
      </c>
      <c r="L5597" s="1930" t="s">
        <v>138</v>
      </c>
    </row>
    <row r="5598" spans="1:12" ht="13.5" x14ac:dyDescent="0.25">
      <c r="A5598" s="1930" t="s">
        <v>4786</v>
      </c>
      <c r="B5598" s="1930" t="s">
        <v>4787</v>
      </c>
      <c r="C5598" s="1930" t="s">
        <v>4792</v>
      </c>
      <c r="D5598" s="1930" t="s">
        <v>4793</v>
      </c>
      <c r="E5598" s="1931" t="s">
        <v>33</v>
      </c>
      <c r="F5598" s="1930" t="s">
        <v>33</v>
      </c>
      <c r="G5598" s="1932">
        <v>99195</v>
      </c>
      <c r="H5598" s="1930" t="s">
        <v>6651</v>
      </c>
      <c r="I5598" s="1930" t="s">
        <v>306</v>
      </c>
      <c r="J5598" s="1930" t="s">
        <v>320</v>
      </c>
      <c r="K5598" s="1933">
        <v>38.47</v>
      </c>
      <c r="L5598" s="1930" t="s">
        <v>138</v>
      </c>
    </row>
    <row r="5599" spans="1:12" ht="13.5" x14ac:dyDescent="0.25">
      <c r="A5599" s="1930" t="s">
        <v>4786</v>
      </c>
      <c r="B5599" s="1930" t="s">
        <v>4787</v>
      </c>
      <c r="C5599" s="1930" t="s">
        <v>4792</v>
      </c>
      <c r="D5599" s="1930" t="s">
        <v>4793</v>
      </c>
      <c r="E5599" s="1931" t="s">
        <v>33</v>
      </c>
      <c r="F5599" s="1930" t="s">
        <v>33</v>
      </c>
      <c r="G5599" s="1932">
        <v>99196</v>
      </c>
      <c r="H5599" s="1930" t="s">
        <v>6652</v>
      </c>
      <c r="I5599" s="1930" t="s">
        <v>306</v>
      </c>
      <c r="J5599" s="1930" t="s">
        <v>320</v>
      </c>
      <c r="K5599" s="1933">
        <v>46.82</v>
      </c>
      <c r="L5599" s="1930" t="s">
        <v>138</v>
      </c>
    </row>
    <row r="5600" spans="1:12" ht="13.5" x14ac:dyDescent="0.25">
      <c r="A5600" s="1930" t="s">
        <v>4786</v>
      </c>
      <c r="B5600" s="1930" t="s">
        <v>4787</v>
      </c>
      <c r="C5600" s="1930" t="s">
        <v>4792</v>
      </c>
      <c r="D5600" s="1930" t="s">
        <v>4793</v>
      </c>
      <c r="E5600" s="1931" t="s">
        <v>33</v>
      </c>
      <c r="F5600" s="1930" t="s">
        <v>33</v>
      </c>
      <c r="G5600" s="1932">
        <v>99198</v>
      </c>
      <c r="H5600" s="1930" t="s">
        <v>6653</v>
      </c>
      <c r="I5600" s="1930" t="s">
        <v>306</v>
      </c>
      <c r="J5600" s="1930" t="s">
        <v>320</v>
      </c>
      <c r="K5600" s="1933">
        <v>44.05</v>
      </c>
      <c r="L5600" s="1930" t="s">
        <v>138</v>
      </c>
    </row>
    <row r="5601" spans="1:12" ht="13.5" x14ac:dyDescent="0.25">
      <c r="A5601" s="1930" t="s">
        <v>4786</v>
      </c>
      <c r="B5601" s="1930" t="s">
        <v>4787</v>
      </c>
      <c r="C5601" s="1930" t="s">
        <v>4794</v>
      </c>
      <c r="D5601" s="1930" t="s">
        <v>4795</v>
      </c>
      <c r="E5601" s="1931" t="s">
        <v>33</v>
      </c>
      <c r="F5601" s="1930" t="s">
        <v>33</v>
      </c>
      <c r="G5601" s="1932">
        <v>84088</v>
      </c>
      <c r="H5601" s="1930" t="s">
        <v>4200</v>
      </c>
      <c r="I5601" s="1930" t="s">
        <v>136</v>
      </c>
      <c r="J5601" s="1930" t="s">
        <v>320</v>
      </c>
      <c r="K5601" s="1933">
        <v>67.290000000000006</v>
      </c>
      <c r="L5601" s="1930" t="s">
        <v>138</v>
      </c>
    </row>
    <row r="5602" spans="1:12" ht="13.5" x14ac:dyDescent="0.25">
      <c r="A5602" s="1930" t="s">
        <v>4786</v>
      </c>
      <c r="B5602" s="1930" t="s">
        <v>4787</v>
      </c>
      <c r="C5602" s="1930" t="s">
        <v>4794</v>
      </c>
      <c r="D5602" s="1930" t="s">
        <v>4795</v>
      </c>
      <c r="E5602" s="1931" t="s">
        <v>33</v>
      </c>
      <c r="F5602" s="1930" t="s">
        <v>33</v>
      </c>
      <c r="G5602" s="1932">
        <v>84089</v>
      </c>
      <c r="H5602" s="1930" t="s">
        <v>4201</v>
      </c>
      <c r="I5602" s="1930" t="s">
        <v>136</v>
      </c>
      <c r="J5602" s="1930" t="s">
        <v>320</v>
      </c>
      <c r="K5602" s="1933">
        <v>95.34</v>
      </c>
      <c r="L5602" s="1930" t="s">
        <v>138</v>
      </c>
    </row>
    <row r="5603" spans="1:12" ht="13.5" x14ac:dyDescent="0.25">
      <c r="A5603" s="1930" t="s">
        <v>4786</v>
      </c>
      <c r="B5603" s="1930" t="s">
        <v>4787</v>
      </c>
      <c r="C5603" s="1930" t="s">
        <v>4796</v>
      </c>
      <c r="D5603" s="1930" t="s">
        <v>4797</v>
      </c>
      <c r="E5603" s="1931" t="s">
        <v>33</v>
      </c>
      <c r="F5603" s="1930" t="s">
        <v>33</v>
      </c>
      <c r="G5603" s="1932">
        <v>40675</v>
      </c>
      <c r="H5603" s="1930" t="s">
        <v>4202</v>
      </c>
      <c r="I5603" s="1930" t="s">
        <v>136</v>
      </c>
      <c r="J5603" s="1930" t="s">
        <v>346</v>
      </c>
      <c r="K5603" s="1933">
        <v>4.1399999999999997</v>
      </c>
      <c r="L5603" s="1930" t="s">
        <v>138</v>
      </c>
    </row>
    <row r="5604" spans="1:12" ht="13.5" x14ac:dyDescent="0.25">
      <c r="A5604" s="1930" t="s">
        <v>4786</v>
      </c>
      <c r="B5604" s="1930" t="s">
        <v>4787</v>
      </c>
      <c r="C5604" s="1930" t="s">
        <v>4798</v>
      </c>
      <c r="D5604" s="1930" t="s">
        <v>4799</v>
      </c>
      <c r="E5604" s="1931" t="s">
        <v>33</v>
      </c>
      <c r="F5604" s="1930" t="s">
        <v>33</v>
      </c>
      <c r="G5604" s="1932">
        <v>96112</v>
      </c>
      <c r="H5604" s="1930" t="s">
        <v>4203</v>
      </c>
      <c r="I5604" s="1930" t="s">
        <v>306</v>
      </c>
      <c r="J5604" s="1930" t="s">
        <v>320</v>
      </c>
      <c r="K5604" s="1933">
        <v>100.09</v>
      </c>
      <c r="L5604" s="1930" t="s">
        <v>138</v>
      </c>
    </row>
    <row r="5605" spans="1:12" ht="13.5" x14ac:dyDescent="0.25">
      <c r="A5605" s="1930" t="s">
        <v>4786</v>
      </c>
      <c r="B5605" s="1930" t="s">
        <v>4787</v>
      </c>
      <c r="C5605" s="1930" t="s">
        <v>4798</v>
      </c>
      <c r="D5605" s="1930" t="s">
        <v>4799</v>
      </c>
      <c r="E5605" s="1931" t="s">
        <v>33</v>
      </c>
      <c r="F5605" s="1930" t="s">
        <v>33</v>
      </c>
      <c r="G5605" s="1932">
        <v>96117</v>
      </c>
      <c r="H5605" s="1930" t="s">
        <v>4204</v>
      </c>
      <c r="I5605" s="1930" t="s">
        <v>306</v>
      </c>
      <c r="J5605" s="1930" t="s">
        <v>320</v>
      </c>
      <c r="K5605" s="1933">
        <v>124.95</v>
      </c>
      <c r="L5605" s="1930" t="s">
        <v>138</v>
      </c>
    </row>
    <row r="5606" spans="1:12" ht="13.5" x14ac:dyDescent="0.25">
      <c r="A5606" s="1930" t="s">
        <v>4786</v>
      </c>
      <c r="B5606" s="1930" t="s">
        <v>4787</v>
      </c>
      <c r="C5606" s="1930" t="s">
        <v>4798</v>
      </c>
      <c r="D5606" s="1930" t="s">
        <v>4799</v>
      </c>
      <c r="E5606" s="1931" t="s">
        <v>33</v>
      </c>
      <c r="F5606" s="1930" t="s">
        <v>33</v>
      </c>
      <c r="G5606" s="1932">
        <v>96122</v>
      </c>
      <c r="H5606" s="1930" t="s">
        <v>4205</v>
      </c>
      <c r="I5606" s="1930" t="s">
        <v>136</v>
      </c>
      <c r="J5606" s="1930" t="s">
        <v>320</v>
      </c>
      <c r="K5606" s="1933">
        <v>30.29</v>
      </c>
      <c r="L5606" s="1930" t="s">
        <v>138</v>
      </c>
    </row>
    <row r="5607" spans="1:12" ht="13.5" x14ac:dyDescent="0.25">
      <c r="A5607" s="1930" t="s">
        <v>4786</v>
      </c>
      <c r="B5607" s="1930" t="s">
        <v>4787</v>
      </c>
      <c r="C5607" s="1930" t="s">
        <v>4800</v>
      </c>
      <c r="D5607" s="1930" t="s">
        <v>4801</v>
      </c>
      <c r="E5607" s="1931" t="s">
        <v>33</v>
      </c>
      <c r="F5607" s="1930" t="s">
        <v>33</v>
      </c>
      <c r="G5607" s="1932">
        <v>96109</v>
      </c>
      <c r="H5607" s="1930" t="s">
        <v>4206</v>
      </c>
      <c r="I5607" s="1930" t="s">
        <v>306</v>
      </c>
      <c r="J5607" s="1930" t="s">
        <v>137</v>
      </c>
      <c r="K5607" s="1933">
        <v>38.07</v>
      </c>
      <c r="L5607" s="1930" t="s">
        <v>138</v>
      </c>
    </row>
    <row r="5608" spans="1:12" ht="13.5" x14ac:dyDescent="0.25">
      <c r="A5608" s="1930" t="s">
        <v>4786</v>
      </c>
      <c r="B5608" s="1930" t="s">
        <v>4787</v>
      </c>
      <c r="C5608" s="1930" t="s">
        <v>4800</v>
      </c>
      <c r="D5608" s="1930" t="s">
        <v>4801</v>
      </c>
      <c r="E5608" s="1931" t="s">
        <v>33</v>
      </c>
      <c r="F5608" s="1930" t="s">
        <v>33</v>
      </c>
      <c r="G5608" s="1932">
        <v>96110</v>
      </c>
      <c r="H5608" s="1930" t="s">
        <v>4207</v>
      </c>
      <c r="I5608" s="1930" t="s">
        <v>306</v>
      </c>
      <c r="J5608" s="1930" t="s">
        <v>320</v>
      </c>
      <c r="K5608" s="1933">
        <v>55.78</v>
      </c>
      <c r="L5608" s="1930" t="s">
        <v>138</v>
      </c>
    </row>
    <row r="5609" spans="1:12" ht="13.5" x14ac:dyDescent="0.25">
      <c r="A5609" s="1930" t="s">
        <v>4786</v>
      </c>
      <c r="B5609" s="1930" t="s">
        <v>4787</v>
      </c>
      <c r="C5609" s="1930" t="s">
        <v>4800</v>
      </c>
      <c r="D5609" s="1930" t="s">
        <v>4801</v>
      </c>
      <c r="E5609" s="1931" t="s">
        <v>33</v>
      </c>
      <c r="F5609" s="1930" t="s">
        <v>33</v>
      </c>
      <c r="G5609" s="1932">
        <v>96113</v>
      </c>
      <c r="H5609" s="1930" t="s">
        <v>4208</v>
      </c>
      <c r="I5609" s="1930" t="s">
        <v>306</v>
      </c>
      <c r="J5609" s="1930" t="s">
        <v>137</v>
      </c>
      <c r="K5609" s="1933">
        <v>34.1</v>
      </c>
      <c r="L5609" s="1930" t="s">
        <v>138</v>
      </c>
    </row>
    <row r="5610" spans="1:12" ht="13.5" x14ac:dyDescent="0.25">
      <c r="A5610" s="1930" t="s">
        <v>4786</v>
      </c>
      <c r="B5610" s="1930" t="s">
        <v>4787</v>
      </c>
      <c r="C5610" s="1930" t="s">
        <v>4800</v>
      </c>
      <c r="D5610" s="1930" t="s">
        <v>4801</v>
      </c>
      <c r="E5610" s="1931" t="s">
        <v>33</v>
      </c>
      <c r="F5610" s="1930" t="s">
        <v>33</v>
      </c>
      <c r="G5610" s="1932">
        <v>96114</v>
      </c>
      <c r="H5610" s="1930" t="s">
        <v>4209</v>
      </c>
      <c r="I5610" s="1930" t="s">
        <v>306</v>
      </c>
      <c r="J5610" s="1930" t="s">
        <v>320</v>
      </c>
      <c r="K5610" s="1933">
        <v>56.9</v>
      </c>
      <c r="L5610" s="1930" t="s">
        <v>138</v>
      </c>
    </row>
    <row r="5611" spans="1:12" ht="13.5" x14ac:dyDescent="0.25">
      <c r="A5611" s="1930" t="s">
        <v>4786</v>
      </c>
      <c r="B5611" s="1930" t="s">
        <v>4787</v>
      </c>
      <c r="C5611" s="1930" t="s">
        <v>4800</v>
      </c>
      <c r="D5611" s="1930" t="s">
        <v>4801</v>
      </c>
      <c r="E5611" s="1931" t="s">
        <v>33</v>
      </c>
      <c r="F5611" s="1930" t="s">
        <v>33</v>
      </c>
      <c r="G5611" s="1932">
        <v>96120</v>
      </c>
      <c r="H5611" s="1930" t="s">
        <v>4210</v>
      </c>
      <c r="I5611" s="1930" t="s">
        <v>136</v>
      </c>
      <c r="J5611" s="1930" t="s">
        <v>137</v>
      </c>
      <c r="K5611" s="1933">
        <v>2.63</v>
      </c>
      <c r="L5611" s="1930" t="s">
        <v>138</v>
      </c>
    </row>
    <row r="5612" spans="1:12" ht="13.5" x14ac:dyDescent="0.25">
      <c r="A5612" s="1930" t="s">
        <v>4786</v>
      </c>
      <c r="B5612" s="1930" t="s">
        <v>4787</v>
      </c>
      <c r="C5612" s="1930" t="s">
        <v>4800</v>
      </c>
      <c r="D5612" s="1930" t="s">
        <v>4801</v>
      </c>
      <c r="E5612" s="1931" t="s">
        <v>33</v>
      </c>
      <c r="F5612" s="1930" t="s">
        <v>33</v>
      </c>
      <c r="G5612" s="1932">
        <v>96123</v>
      </c>
      <c r="H5612" s="1930" t="s">
        <v>4211</v>
      </c>
      <c r="I5612" s="1930" t="s">
        <v>136</v>
      </c>
      <c r="J5612" s="1930" t="s">
        <v>320</v>
      </c>
      <c r="K5612" s="1933">
        <v>22.8</v>
      </c>
      <c r="L5612" s="1930" t="s">
        <v>138</v>
      </c>
    </row>
    <row r="5613" spans="1:12" ht="13.5" x14ac:dyDescent="0.25">
      <c r="A5613" s="1930" t="s">
        <v>4786</v>
      </c>
      <c r="B5613" s="1930" t="s">
        <v>4787</v>
      </c>
      <c r="C5613" s="1930" t="s">
        <v>4800</v>
      </c>
      <c r="D5613" s="1930" t="s">
        <v>4801</v>
      </c>
      <c r="E5613" s="1931" t="s">
        <v>33</v>
      </c>
      <c r="F5613" s="1930" t="s">
        <v>33</v>
      </c>
      <c r="G5613" s="1932">
        <v>99054</v>
      </c>
      <c r="H5613" s="1930" t="s">
        <v>6654</v>
      </c>
      <c r="I5613" s="1930" t="s">
        <v>306</v>
      </c>
      <c r="J5613" s="1930" t="s">
        <v>137</v>
      </c>
      <c r="K5613" s="1933">
        <v>46.36</v>
      </c>
      <c r="L5613" s="1930" t="s">
        <v>138</v>
      </c>
    </row>
    <row r="5614" spans="1:12" ht="13.5" x14ac:dyDescent="0.25">
      <c r="A5614" s="1930" t="s">
        <v>4786</v>
      </c>
      <c r="B5614" s="1930" t="s">
        <v>4787</v>
      </c>
      <c r="C5614" s="1930" t="s">
        <v>4802</v>
      </c>
      <c r="D5614" s="1930" t="s">
        <v>4803</v>
      </c>
      <c r="E5614" s="1931">
        <v>73807</v>
      </c>
      <c r="F5614" s="1930" t="s">
        <v>4804</v>
      </c>
      <c r="G5614" s="1932" t="s">
        <v>4212</v>
      </c>
      <c r="H5614" s="1930" t="s">
        <v>4213</v>
      </c>
      <c r="I5614" s="1930" t="s">
        <v>136</v>
      </c>
      <c r="J5614" s="1930" t="s">
        <v>320</v>
      </c>
      <c r="K5614" s="1933">
        <v>84.84</v>
      </c>
      <c r="L5614" s="1930" t="s">
        <v>138</v>
      </c>
    </row>
    <row r="5615" spans="1:12" ht="13.5" x14ac:dyDescent="0.25">
      <c r="A5615" s="1930" t="s">
        <v>4786</v>
      </c>
      <c r="B5615" s="1930" t="s">
        <v>4787</v>
      </c>
      <c r="C5615" s="1930" t="s">
        <v>4805</v>
      </c>
      <c r="D5615" s="1930" t="s">
        <v>4806</v>
      </c>
      <c r="E5615" s="1931" t="s">
        <v>33</v>
      </c>
      <c r="F5615" s="1930" t="s">
        <v>33</v>
      </c>
      <c r="G5615" s="1932">
        <v>96111</v>
      </c>
      <c r="H5615" s="1930" t="s">
        <v>4214</v>
      </c>
      <c r="I5615" s="1930" t="s">
        <v>306</v>
      </c>
      <c r="J5615" s="1930" t="s">
        <v>320</v>
      </c>
      <c r="K5615" s="1933">
        <v>33.950000000000003</v>
      </c>
      <c r="L5615" s="1930" t="s">
        <v>138</v>
      </c>
    </row>
    <row r="5616" spans="1:12" ht="13.5" x14ac:dyDescent="0.25">
      <c r="A5616" s="1930" t="s">
        <v>4786</v>
      </c>
      <c r="B5616" s="1930" t="s">
        <v>4787</v>
      </c>
      <c r="C5616" s="1930" t="s">
        <v>4805</v>
      </c>
      <c r="D5616" s="1930" t="s">
        <v>4806</v>
      </c>
      <c r="E5616" s="1931" t="s">
        <v>33</v>
      </c>
      <c r="F5616" s="1930" t="s">
        <v>33</v>
      </c>
      <c r="G5616" s="1932">
        <v>96116</v>
      </c>
      <c r="H5616" s="1930" t="s">
        <v>4215</v>
      </c>
      <c r="I5616" s="1930" t="s">
        <v>306</v>
      </c>
      <c r="J5616" s="1930" t="s">
        <v>320</v>
      </c>
      <c r="K5616" s="1933">
        <v>36.979999999999997</v>
      </c>
      <c r="L5616" s="1930" t="s">
        <v>138</v>
      </c>
    </row>
    <row r="5617" spans="1:12" ht="13.5" x14ac:dyDescent="0.25">
      <c r="A5617" s="1930" t="s">
        <v>4786</v>
      </c>
      <c r="B5617" s="1930" t="s">
        <v>4787</v>
      </c>
      <c r="C5617" s="1930" t="s">
        <v>4805</v>
      </c>
      <c r="D5617" s="1930" t="s">
        <v>4806</v>
      </c>
      <c r="E5617" s="1931" t="s">
        <v>33</v>
      </c>
      <c r="F5617" s="1930" t="s">
        <v>33</v>
      </c>
      <c r="G5617" s="1932">
        <v>96121</v>
      </c>
      <c r="H5617" s="1930" t="s">
        <v>4216</v>
      </c>
      <c r="I5617" s="1930" t="s">
        <v>136</v>
      </c>
      <c r="J5617" s="1930" t="s">
        <v>320</v>
      </c>
      <c r="K5617" s="1933">
        <v>7.21</v>
      </c>
      <c r="L5617" s="1930" t="s">
        <v>138</v>
      </c>
    </row>
    <row r="5618" spans="1:12" ht="13.5" x14ac:dyDescent="0.25">
      <c r="A5618" s="1930" t="s">
        <v>4786</v>
      </c>
      <c r="B5618" s="1930" t="s">
        <v>4787</v>
      </c>
      <c r="C5618" s="1930" t="s">
        <v>4805</v>
      </c>
      <c r="D5618" s="1930" t="s">
        <v>4806</v>
      </c>
      <c r="E5618" s="1931" t="s">
        <v>33</v>
      </c>
      <c r="F5618" s="1930" t="s">
        <v>33</v>
      </c>
      <c r="G5618" s="1932">
        <v>96485</v>
      </c>
      <c r="H5618" s="1930" t="s">
        <v>4217</v>
      </c>
      <c r="I5618" s="1930" t="s">
        <v>306</v>
      </c>
      <c r="J5618" s="1930" t="s">
        <v>320</v>
      </c>
      <c r="K5618" s="1933">
        <v>38.71</v>
      </c>
      <c r="L5618" s="1930" t="s">
        <v>138</v>
      </c>
    </row>
    <row r="5619" spans="1:12" ht="13.5" x14ac:dyDescent="0.25">
      <c r="A5619" s="1930" t="s">
        <v>4786</v>
      </c>
      <c r="B5619" s="1930" t="s">
        <v>4787</v>
      </c>
      <c r="C5619" s="1930" t="s">
        <v>4805</v>
      </c>
      <c r="D5619" s="1930" t="s">
        <v>4806</v>
      </c>
      <c r="E5619" s="1931" t="s">
        <v>33</v>
      </c>
      <c r="F5619" s="1930" t="s">
        <v>33</v>
      </c>
      <c r="G5619" s="1932">
        <v>96486</v>
      </c>
      <c r="H5619" s="1930" t="s">
        <v>4218</v>
      </c>
      <c r="I5619" s="1930" t="s">
        <v>306</v>
      </c>
      <c r="J5619" s="1930" t="s">
        <v>320</v>
      </c>
      <c r="K5619" s="1933">
        <v>42.03</v>
      </c>
      <c r="L5619" s="1930" t="s">
        <v>138</v>
      </c>
    </row>
    <row r="5620" spans="1:12" ht="13.5" x14ac:dyDescent="0.25">
      <c r="A5620" s="1930" t="s">
        <v>4786</v>
      </c>
      <c r="B5620" s="1930" t="s">
        <v>4787</v>
      </c>
      <c r="C5620" s="1930" t="s">
        <v>4807</v>
      </c>
      <c r="D5620" s="1930" t="s">
        <v>4808</v>
      </c>
      <c r="E5620" s="1931" t="s">
        <v>33</v>
      </c>
      <c r="F5620" s="1930" t="s">
        <v>33</v>
      </c>
      <c r="G5620" s="1932">
        <v>91514</v>
      </c>
      <c r="H5620" s="1930" t="s">
        <v>4219</v>
      </c>
      <c r="I5620" s="1930" t="s">
        <v>306</v>
      </c>
      <c r="J5620" s="1930" t="s">
        <v>320</v>
      </c>
      <c r="K5620" s="1933">
        <v>5.21</v>
      </c>
      <c r="L5620" s="1930" t="s">
        <v>138</v>
      </c>
    </row>
    <row r="5621" spans="1:12" ht="13.5" x14ac:dyDescent="0.25">
      <c r="A5621" s="1930" t="s">
        <v>4786</v>
      </c>
      <c r="B5621" s="1930" t="s">
        <v>4787</v>
      </c>
      <c r="C5621" s="1930" t="s">
        <v>4807</v>
      </c>
      <c r="D5621" s="1930" t="s">
        <v>4808</v>
      </c>
      <c r="E5621" s="1931" t="s">
        <v>33</v>
      </c>
      <c r="F5621" s="1930" t="s">
        <v>33</v>
      </c>
      <c r="G5621" s="1932">
        <v>91515</v>
      </c>
      <c r="H5621" s="1930" t="s">
        <v>4220</v>
      </c>
      <c r="I5621" s="1930" t="s">
        <v>306</v>
      </c>
      <c r="J5621" s="1930" t="s">
        <v>320</v>
      </c>
      <c r="K5621" s="1933">
        <v>6.91</v>
      </c>
      <c r="L5621" s="1930" t="s">
        <v>138</v>
      </c>
    </row>
    <row r="5622" spans="1:12" ht="13.5" x14ac:dyDescent="0.25">
      <c r="A5622" s="1930" t="s">
        <v>4786</v>
      </c>
      <c r="B5622" s="1930" t="s">
        <v>4787</v>
      </c>
      <c r="C5622" s="1930" t="s">
        <v>4807</v>
      </c>
      <c r="D5622" s="1930" t="s">
        <v>4808</v>
      </c>
      <c r="E5622" s="1931" t="s">
        <v>33</v>
      </c>
      <c r="F5622" s="1930" t="s">
        <v>33</v>
      </c>
      <c r="G5622" s="1932">
        <v>91516</v>
      </c>
      <c r="H5622" s="1930" t="s">
        <v>4221</v>
      </c>
      <c r="I5622" s="1930" t="s">
        <v>306</v>
      </c>
      <c r="J5622" s="1930" t="s">
        <v>320</v>
      </c>
      <c r="K5622" s="1933">
        <v>10.1</v>
      </c>
      <c r="L5622" s="1930" t="s">
        <v>138</v>
      </c>
    </row>
    <row r="5623" spans="1:12" ht="13.5" x14ac:dyDescent="0.25">
      <c r="A5623" s="1930" t="s">
        <v>4786</v>
      </c>
      <c r="B5623" s="1930" t="s">
        <v>4787</v>
      </c>
      <c r="C5623" s="1930" t="s">
        <v>4807</v>
      </c>
      <c r="D5623" s="1930" t="s">
        <v>4808</v>
      </c>
      <c r="E5623" s="1931" t="s">
        <v>33</v>
      </c>
      <c r="F5623" s="1930" t="s">
        <v>33</v>
      </c>
      <c r="G5623" s="1932">
        <v>91517</v>
      </c>
      <c r="H5623" s="1930" t="s">
        <v>4222</v>
      </c>
      <c r="I5623" s="1930" t="s">
        <v>306</v>
      </c>
      <c r="J5623" s="1930" t="s">
        <v>320</v>
      </c>
      <c r="K5623" s="1933">
        <v>11.25</v>
      </c>
      <c r="L5623" s="1930" t="s">
        <v>138</v>
      </c>
    </row>
    <row r="5624" spans="1:12" ht="13.5" x14ac:dyDescent="0.25">
      <c r="A5624" s="1930" t="s">
        <v>4786</v>
      </c>
      <c r="B5624" s="1930" t="s">
        <v>4787</v>
      </c>
      <c r="C5624" s="1930" t="s">
        <v>4807</v>
      </c>
      <c r="D5624" s="1930" t="s">
        <v>4808</v>
      </c>
      <c r="E5624" s="1931" t="s">
        <v>33</v>
      </c>
      <c r="F5624" s="1930" t="s">
        <v>33</v>
      </c>
      <c r="G5624" s="1932">
        <v>91519</v>
      </c>
      <c r="H5624" s="1930" t="s">
        <v>4223</v>
      </c>
      <c r="I5624" s="1930" t="s">
        <v>306</v>
      </c>
      <c r="J5624" s="1930" t="s">
        <v>320</v>
      </c>
      <c r="K5624" s="1933">
        <v>12.92</v>
      </c>
      <c r="L5624" s="1930" t="s">
        <v>138</v>
      </c>
    </row>
    <row r="5625" spans="1:12" ht="13.5" x14ac:dyDescent="0.25">
      <c r="A5625" s="1930" t="s">
        <v>4786</v>
      </c>
      <c r="B5625" s="1930" t="s">
        <v>4787</v>
      </c>
      <c r="C5625" s="1930" t="s">
        <v>4807</v>
      </c>
      <c r="D5625" s="1930" t="s">
        <v>4808</v>
      </c>
      <c r="E5625" s="1931" t="s">
        <v>33</v>
      </c>
      <c r="F5625" s="1930" t="s">
        <v>33</v>
      </c>
      <c r="G5625" s="1932">
        <v>91520</v>
      </c>
      <c r="H5625" s="1930" t="s">
        <v>4224</v>
      </c>
      <c r="I5625" s="1930" t="s">
        <v>306</v>
      </c>
      <c r="J5625" s="1930" t="s">
        <v>320</v>
      </c>
      <c r="K5625" s="1933">
        <v>1.87</v>
      </c>
      <c r="L5625" s="1930" t="s">
        <v>138</v>
      </c>
    </row>
    <row r="5626" spans="1:12" ht="13.5" x14ac:dyDescent="0.25">
      <c r="A5626" s="1930" t="s">
        <v>4786</v>
      </c>
      <c r="B5626" s="1930" t="s">
        <v>4787</v>
      </c>
      <c r="C5626" s="1930" t="s">
        <v>4807</v>
      </c>
      <c r="D5626" s="1930" t="s">
        <v>4808</v>
      </c>
      <c r="E5626" s="1931" t="s">
        <v>33</v>
      </c>
      <c r="F5626" s="1930" t="s">
        <v>33</v>
      </c>
      <c r="G5626" s="1932">
        <v>91522</v>
      </c>
      <c r="H5626" s="1930" t="s">
        <v>4225</v>
      </c>
      <c r="I5626" s="1930" t="s">
        <v>306</v>
      </c>
      <c r="J5626" s="1930" t="s">
        <v>320</v>
      </c>
      <c r="K5626" s="1933">
        <v>2.25</v>
      </c>
      <c r="L5626" s="1930" t="s">
        <v>138</v>
      </c>
    </row>
    <row r="5627" spans="1:12" ht="13.5" x14ac:dyDescent="0.25">
      <c r="A5627" s="1930" t="s">
        <v>4786</v>
      </c>
      <c r="B5627" s="1930" t="s">
        <v>4787</v>
      </c>
      <c r="C5627" s="1930" t="s">
        <v>4807</v>
      </c>
      <c r="D5627" s="1930" t="s">
        <v>4808</v>
      </c>
      <c r="E5627" s="1931" t="s">
        <v>33</v>
      </c>
      <c r="F5627" s="1930" t="s">
        <v>33</v>
      </c>
      <c r="G5627" s="1932">
        <v>91525</v>
      </c>
      <c r="H5627" s="1930" t="s">
        <v>4226</v>
      </c>
      <c r="I5627" s="1930" t="s">
        <v>306</v>
      </c>
      <c r="J5627" s="1930" t="s">
        <v>320</v>
      </c>
      <c r="K5627" s="1933">
        <v>4.04</v>
      </c>
      <c r="L5627" s="1930" t="s">
        <v>138</v>
      </c>
    </row>
    <row r="5628" spans="1:12" ht="13.5" x14ac:dyDescent="0.25">
      <c r="A5628" s="1930" t="s">
        <v>4628</v>
      </c>
      <c r="B5628" s="1930" t="s">
        <v>4809</v>
      </c>
      <c r="C5628" s="1930" t="s">
        <v>4810</v>
      </c>
      <c r="D5628" s="1930" t="s">
        <v>4811</v>
      </c>
      <c r="E5628" s="1931" t="s">
        <v>33</v>
      </c>
      <c r="F5628" s="1930" t="s">
        <v>33</v>
      </c>
      <c r="G5628" s="1932">
        <v>87280</v>
      </c>
      <c r="H5628" s="1930" t="s">
        <v>8388</v>
      </c>
      <c r="I5628" s="1930" t="s">
        <v>1208</v>
      </c>
      <c r="J5628" s="1930" t="s">
        <v>320</v>
      </c>
      <c r="K5628" s="1933">
        <v>297.52999999999997</v>
      </c>
      <c r="L5628" s="1930" t="s">
        <v>138</v>
      </c>
    </row>
    <row r="5629" spans="1:12" ht="13.5" x14ac:dyDescent="0.25">
      <c r="A5629" s="1930" t="s">
        <v>4628</v>
      </c>
      <c r="B5629" s="1930" t="s">
        <v>4809</v>
      </c>
      <c r="C5629" s="1930" t="s">
        <v>4810</v>
      </c>
      <c r="D5629" s="1930" t="s">
        <v>4811</v>
      </c>
      <c r="E5629" s="1931" t="s">
        <v>33</v>
      </c>
      <c r="F5629" s="1930" t="s">
        <v>33</v>
      </c>
      <c r="G5629" s="1932">
        <v>87281</v>
      </c>
      <c r="H5629" s="1930" t="s">
        <v>8389</v>
      </c>
      <c r="I5629" s="1930" t="s">
        <v>1208</v>
      </c>
      <c r="J5629" s="1930" t="s">
        <v>320</v>
      </c>
      <c r="K5629" s="1933">
        <v>292.85000000000002</v>
      </c>
      <c r="L5629" s="1930" t="s">
        <v>138</v>
      </c>
    </row>
    <row r="5630" spans="1:12" ht="13.5" x14ac:dyDescent="0.25">
      <c r="A5630" s="1930" t="s">
        <v>4628</v>
      </c>
      <c r="B5630" s="1930" t="s">
        <v>4809</v>
      </c>
      <c r="C5630" s="1930" t="s">
        <v>4810</v>
      </c>
      <c r="D5630" s="1930" t="s">
        <v>4811</v>
      </c>
      <c r="E5630" s="1931" t="s">
        <v>33</v>
      </c>
      <c r="F5630" s="1930" t="s">
        <v>33</v>
      </c>
      <c r="G5630" s="1932">
        <v>87283</v>
      </c>
      <c r="H5630" s="1930" t="s">
        <v>8390</v>
      </c>
      <c r="I5630" s="1930" t="s">
        <v>1208</v>
      </c>
      <c r="J5630" s="1930" t="s">
        <v>320</v>
      </c>
      <c r="K5630" s="1933">
        <v>303.62</v>
      </c>
      <c r="L5630" s="1930" t="s">
        <v>138</v>
      </c>
    </row>
    <row r="5631" spans="1:12" ht="13.5" x14ac:dyDescent="0.25">
      <c r="A5631" s="1930" t="s">
        <v>4628</v>
      </c>
      <c r="B5631" s="1930" t="s">
        <v>4809</v>
      </c>
      <c r="C5631" s="1930" t="s">
        <v>4810</v>
      </c>
      <c r="D5631" s="1930" t="s">
        <v>4811</v>
      </c>
      <c r="E5631" s="1931" t="s">
        <v>33</v>
      </c>
      <c r="F5631" s="1930" t="s">
        <v>33</v>
      </c>
      <c r="G5631" s="1932">
        <v>87284</v>
      </c>
      <c r="H5631" s="1930" t="s">
        <v>8391</v>
      </c>
      <c r="I5631" s="1930" t="s">
        <v>1208</v>
      </c>
      <c r="J5631" s="1930" t="s">
        <v>320</v>
      </c>
      <c r="K5631" s="1933">
        <v>297.92</v>
      </c>
      <c r="L5631" s="1930" t="s">
        <v>138</v>
      </c>
    </row>
    <row r="5632" spans="1:12" ht="13.5" x14ac:dyDescent="0.25">
      <c r="A5632" s="1930" t="s">
        <v>4628</v>
      </c>
      <c r="B5632" s="1930" t="s">
        <v>4809</v>
      </c>
      <c r="C5632" s="1930" t="s">
        <v>4810</v>
      </c>
      <c r="D5632" s="1930" t="s">
        <v>4811</v>
      </c>
      <c r="E5632" s="1931" t="s">
        <v>33</v>
      </c>
      <c r="F5632" s="1930" t="s">
        <v>33</v>
      </c>
      <c r="G5632" s="1932">
        <v>87286</v>
      </c>
      <c r="H5632" s="1930" t="s">
        <v>8392</v>
      </c>
      <c r="I5632" s="1930" t="s">
        <v>1208</v>
      </c>
      <c r="J5632" s="1930" t="s">
        <v>320</v>
      </c>
      <c r="K5632" s="1933">
        <v>385.31</v>
      </c>
      <c r="L5632" s="1930" t="s">
        <v>138</v>
      </c>
    </row>
    <row r="5633" spans="1:12" ht="13.5" x14ac:dyDescent="0.25">
      <c r="A5633" s="1930" t="s">
        <v>4628</v>
      </c>
      <c r="B5633" s="1930" t="s">
        <v>4809</v>
      </c>
      <c r="C5633" s="1930" t="s">
        <v>4810</v>
      </c>
      <c r="D5633" s="1930" t="s">
        <v>4811</v>
      </c>
      <c r="E5633" s="1931" t="s">
        <v>33</v>
      </c>
      <c r="F5633" s="1930" t="s">
        <v>33</v>
      </c>
      <c r="G5633" s="1932">
        <v>87287</v>
      </c>
      <c r="H5633" s="1930" t="s">
        <v>8393</v>
      </c>
      <c r="I5633" s="1930" t="s">
        <v>1208</v>
      </c>
      <c r="J5633" s="1930" t="s">
        <v>320</v>
      </c>
      <c r="K5633" s="1933">
        <v>373.01</v>
      </c>
      <c r="L5633" s="1930" t="s">
        <v>138</v>
      </c>
    </row>
    <row r="5634" spans="1:12" ht="13.5" x14ac:dyDescent="0.25">
      <c r="A5634" s="1930" t="s">
        <v>4628</v>
      </c>
      <c r="B5634" s="1930" t="s">
        <v>4809</v>
      </c>
      <c r="C5634" s="1930" t="s">
        <v>4810</v>
      </c>
      <c r="D5634" s="1930" t="s">
        <v>4811</v>
      </c>
      <c r="E5634" s="1931" t="s">
        <v>33</v>
      </c>
      <c r="F5634" s="1930" t="s">
        <v>33</v>
      </c>
      <c r="G5634" s="1932">
        <v>87289</v>
      </c>
      <c r="H5634" s="1930" t="s">
        <v>8394</v>
      </c>
      <c r="I5634" s="1930" t="s">
        <v>1208</v>
      </c>
      <c r="J5634" s="1930" t="s">
        <v>320</v>
      </c>
      <c r="K5634" s="1933">
        <v>378.76</v>
      </c>
      <c r="L5634" s="1930" t="s">
        <v>138</v>
      </c>
    </row>
    <row r="5635" spans="1:12" ht="13.5" x14ac:dyDescent="0.25">
      <c r="A5635" s="1930" t="s">
        <v>4628</v>
      </c>
      <c r="B5635" s="1930" t="s">
        <v>4809</v>
      </c>
      <c r="C5635" s="1930" t="s">
        <v>4810</v>
      </c>
      <c r="D5635" s="1930" t="s">
        <v>4811</v>
      </c>
      <c r="E5635" s="1931" t="s">
        <v>33</v>
      </c>
      <c r="F5635" s="1930" t="s">
        <v>33</v>
      </c>
      <c r="G5635" s="1932">
        <v>87290</v>
      </c>
      <c r="H5635" s="1930" t="s">
        <v>8395</v>
      </c>
      <c r="I5635" s="1930" t="s">
        <v>1208</v>
      </c>
      <c r="J5635" s="1930" t="s">
        <v>320</v>
      </c>
      <c r="K5635" s="1933">
        <v>372.06</v>
      </c>
      <c r="L5635" s="1930" t="s">
        <v>138</v>
      </c>
    </row>
    <row r="5636" spans="1:12" ht="13.5" x14ac:dyDescent="0.25">
      <c r="A5636" s="1930" t="s">
        <v>4628</v>
      </c>
      <c r="B5636" s="1930" t="s">
        <v>4809</v>
      </c>
      <c r="C5636" s="1930" t="s">
        <v>4810</v>
      </c>
      <c r="D5636" s="1930" t="s">
        <v>4811</v>
      </c>
      <c r="E5636" s="1931" t="s">
        <v>33</v>
      </c>
      <c r="F5636" s="1930" t="s">
        <v>33</v>
      </c>
      <c r="G5636" s="1932">
        <v>87292</v>
      </c>
      <c r="H5636" s="1930" t="s">
        <v>8396</v>
      </c>
      <c r="I5636" s="1930" t="s">
        <v>1208</v>
      </c>
      <c r="J5636" s="1930" t="s">
        <v>320</v>
      </c>
      <c r="K5636" s="1933">
        <v>389.55</v>
      </c>
      <c r="L5636" s="1930" t="s">
        <v>138</v>
      </c>
    </row>
    <row r="5637" spans="1:12" ht="13.5" x14ac:dyDescent="0.25">
      <c r="A5637" s="1930" t="s">
        <v>4628</v>
      </c>
      <c r="B5637" s="1930" t="s">
        <v>4809</v>
      </c>
      <c r="C5637" s="1930" t="s">
        <v>4810</v>
      </c>
      <c r="D5637" s="1930" t="s">
        <v>4811</v>
      </c>
      <c r="E5637" s="1931" t="s">
        <v>33</v>
      </c>
      <c r="F5637" s="1930" t="s">
        <v>33</v>
      </c>
      <c r="G5637" s="1932">
        <v>87294</v>
      </c>
      <c r="H5637" s="1930" t="s">
        <v>8397</v>
      </c>
      <c r="I5637" s="1930" t="s">
        <v>1208</v>
      </c>
      <c r="J5637" s="1930" t="s">
        <v>320</v>
      </c>
      <c r="K5637" s="1933">
        <v>374.33</v>
      </c>
      <c r="L5637" s="1930" t="s">
        <v>138</v>
      </c>
    </row>
    <row r="5638" spans="1:12" ht="13.5" x14ac:dyDescent="0.25">
      <c r="A5638" s="1930" t="s">
        <v>4628</v>
      </c>
      <c r="B5638" s="1930" t="s">
        <v>4809</v>
      </c>
      <c r="C5638" s="1930" t="s">
        <v>4810</v>
      </c>
      <c r="D5638" s="1930" t="s">
        <v>4811</v>
      </c>
      <c r="E5638" s="1931" t="s">
        <v>33</v>
      </c>
      <c r="F5638" s="1930" t="s">
        <v>33</v>
      </c>
      <c r="G5638" s="1932">
        <v>87295</v>
      </c>
      <c r="H5638" s="1930" t="s">
        <v>8398</v>
      </c>
      <c r="I5638" s="1930" t="s">
        <v>1208</v>
      </c>
      <c r="J5638" s="1930" t="s">
        <v>320</v>
      </c>
      <c r="K5638" s="1933">
        <v>389.23</v>
      </c>
      <c r="L5638" s="1930" t="s">
        <v>138</v>
      </c>
    </row>
    <row r="5639" spans="1:12" ht="13.5" x14ac:dyDescent="0.25">
      <c r="A5639" s="1930" t="s">
        <v>4628</v>
      </c>
      <c r="B5639" s="1930" t="s">
        <v>4809</v>
      </c>
      <c r="C5639" s="1930" t="s">
        <v>4810</v>
      </c>
      <c r="D5639" s="1930" t="s">
        <v>4811</v>
      </c>
      <c r="E5639" s="1931" t="s">
        <v>33</v>
      </c>
      <c r="F5639" s="1930" t="s">
        <v>33</v>
      </c>
      <c r="G5639" s="1932">
        <v>87296</v>
      </c>
      <c r="H5639" s="1930" t="s">
        <v>8399</v>
      </c>
      <c r="I5639" s="1930" t="s">
        <v>1208</v>
      </c>
      <c r="J5639" s="1930" t="s">
        <v>320</v>
      </c>
      <c r="K5639" s="1933">
        <v>369.96</v>
      </c>
      <c r="L5639" s="1930" t="s">
        <v>138</v>
      </c>
    </row>
    <row r="5640" spans="1:12" ht="13.5" x14ac:dyDescent="0.25">
      <c r="A5640" s="1930" t="s">
        <v>4628</v>
      </c>
      <c r="B5640" s="1930" t="s">
        <v>4809</v>
      </c>
      <c r="C5640" s="1930" t="s">
        <v>4810</v>
      </c>
      <c r="D5640" s="1930" t="s">
        <v>4811</v>
      </c>
      <c r="E5640" s="1931" t="s">
        <v>33</v>
      </c>
      <c r="F5640" s="1930" t="s">
        <v>33</v>
      </c>
      <c r="G5640" s="1932">
        <v>87298</v>
      </c>
      <c r="H5640" s="1930" t="s">
        <v>8400</v>
      </c>
      <c r="I5640" s="1930" t="s">
        <v>1208</v>
      </c>
      <c r="J5640" s="1930" t="s">
        <v>320</v>
      </c>
      <c r="K5640" s="1933">
        <v>419.28</v>
      </c>
      <c r="L5640" s="1930" t="s">
        <v>138</v>
      </c>
    </row>
    <row r="5641" spans="1:12" ht="13.5" x14ac:dyDescent="0.25">
      <c r="A5641" s="1930" t="s">
        <v>4628</v>
      </c>
      <c r="B5641" s="1930" t="s">
        <v>4809</v>
      </c>
      <c r="C5641" s="1930" t="s">
        <v>4810</v>
      </c>
      <c r="D5641" s="1930" t="s">
        <v>4811</v>
      </c>
      <c r="E5641" s="1931" t="s">
        <v>33</v>
      </c>
      <c r="F5641" s="1930" t="s">
        <v>33</v>
      </c>
      <c r="G5641" s="1932">
        <v>87299</v>
      </c>
      <c r="H5641" s="1930" t="s">
        <v>8401</v>
      </c>
      <c r="I5641" s="1930" t="s">
        <v>1208</v>
      </c>
      <c r="J5641" s="1930" t="s">
        <v>320</v>
      </c>
      <c r="K5641" s="1933">
        <v>297.44</v>
      </c>
      <c r="L5641" s="1930" t="s">
        <v>138</v>
      </c>
    </row>
    <row r="5642" spans="1:12" ht="13.5" x14ac:dyDescent="0.25">
      <c r="A5642" s="1930" t="s">
        <v>4628</v>
      </c>
      <c r="B5642" s="1930" t="s">
        <v>4809</v>
      </c>
      <c r="C5642" s="1930" t="s">
        <v>4810</v>
      </c>
      <c r="D5642" s="1930" t="s">
        <v>4811</v>
      </c>
      <c r="E5642" s="1931" t="s">
        <v>33</v>
      </c>
      <c r="F5642" s="1930" t="s">
        <v>33</v>
      </c>
      <c r="G5642" s="1932">
        <v>87301</v>
      </c>
      <c r="H5642" s="1930" t="s">
        <v>8402</v>
      </c>
      <c r="I5642" s="1930" t="s">
        <v>1208</v>
      </c>
      <c r="J5642" s="1930" t="s">
        <v>320</v>
      </c>
      <c r="K5642" s="1933">
        <v>389.05</v>
      </c>
      <c r="L5642" s="1930" t="s">
        <v>138</v>
      </c>
    </row>
    <row r="5643" spans="1:12" ht="13.5" x14ac:dyDescent="0.25">
      <c r="A5643" s="1930" t="s">
        <v>4628</v>
      </c>
      <c r="B5643" s="1930" t="s">
        <v>4809</v>
      </c>
      <c r="C5643" s="1930" t="s">
        <v>4810</v>
      </c>
      <c r="D5643" s="1930" t="s">
        <v>4811</v>
      </c>
      <c r="E5643" s="1931" t="s">
        <v>33</v>
      </c>
      <c r="F5643" s="1930" t="s">
        <v>33</v>
      </c>
      <c r="G5643" s="1932">
        <v>87302</v>
      </c>
      <c r="H5643" s="1930" t="s">
        <v>8403</v>
      </c>
      <c r="I5643" s="1930" t="s">
        <v>1208</v>
      </c>
      <c r="J5643" s="1930" t="s">
        <v>320</v>
      </c>
      <c r="K5643" s="1933">
        <v>382.63</v>
      </c>
      <c r="L5643" s="1930" t="s">
        <v>138</v>
      </c>
    </row>
    <row r="5644" spans="1:12" ht="13.5" x14ac:dyDescent="0.25">
      <c r="A5644" s="1930" t="s">
        <v>4628</v>
      </c>
      <c r="B5644" s="1930" t="s">
        <v>4809</v>
      </c>
      <c r="C5644" s="1930" t="s">
        <v>4810</v>
      </c>
      <c r="D5644" s="1930" t="s">
        <v>4811</v>
      </c>
      <c r="E5644" s="1931" t="s">
        <v>33</v>
      </c>
      <c r="F5644" s="1930" t="s">
        <v>33</v>
      </c>
      <c r="G5644" s="1932">
        <v>87304</v>
      </c>
      <c r="H5644" s="1930" t="s">
        <v>8404</v>
      </c>
      <c r="I5644" s="1930" t="s">
        <v>1208</v>
      </c>
      <c r="J5644" s="1930" t="s">
        <v>320</v>
      </c>
      <c r="K5644" s="1933">
        <v>359.6</v>
      </c>
      <c r="L5644" s="1930" t="s">
        <v>138</v>
      </c>
    </row>
    <row r="5645" spans="1:12" ht="13.5" x14ac:dyDescent="0.25">
      <c r="A5645" s="1930" t="s">
        <v>4628</v>
      </c>
      <c r="B5645" s="1930" t="s">
        <v>4809</v>
      </c>
      <c r="C5645" s="1930" t="s">
        <v>4810</v>
      </c>
      <c r="D5645" s="1930" t="s">
        <v>4811</v>
      </c>
      <c r="E5645" s="1931" t="s">
        <v>33</v>
      </c>
      <c r="F5645" s="1930" t="s">
        <v>33</v>
      </c>
      <c r="G5645" s="1932">
        <v>87305</v>
      </c>
      <c r="H5645" s="1930" t="s">
        <v>8405</v>
      </c>
      <c r="I5645" s="1930" t="s">
        <v>1208</v>
      </c>
      <c r="J5645" s="1930" t="s">
        <v>320</v>
      </c>
      <c r="K5645" s="1933">
        <v>361.17</v>
      </c>
      <c r="L5645" s="1930" t="s">
        <v>138</v>
      </c>
    </row>
    <row r="5646" spans="1:12" ht="13.5" x14ac:dyDescent="0.25">
      <c r="A5646" s="1930" t="s">
        <v>4628</v>
      </c>
      <c r="B5646" s="1930" t="s">
        <v>4809</v>
      </c>
      <c r="C5646" s="1930" t="s">
        <v>4810</v>
      </c>
      <c r="D5646" s="1930" t="s">
        <v>4811</v>
      </c>
      <c r="E5646" s="1931" t="s">
        <v>33</v>
      </c>
      <c r="F5646" s="1930" t="s">
        <v>33</v>
      </c>
      <c r="G5646" s="1932">
        <v>87307</v>
      </c>
      <c r="H5646" s="1930" t="s">
        <v>8406</v>
      </c>
      <c r="I5646" s="1930" t="s">
        <v>1208</v>
      </c>
      <c r="J5646" s="1930" t="s">
        <v>320</v>
      </c>
      <c r="K5646" s="1933">
        <v>349.46</v>
      </c>
      <c r="L5646" s="1930" t="s">
        <v>138</v>
      </c>
    </row>
    <row r="5647" spans="1:12" ht="13.5" x14ac:dyDescent="0.25">
      <c r="A5647" s="1930" t="s">
        <v>4628</v>
      </c>
      <c r="B5647" s="1930" t="s">
        <v>4809</v>
      </c>
      <c r="C5647" s="1930" t="s">
        <v>4810</v>
      </c>
      <c r="D5647" s="1930" t="s">
        <v>4811</v>
      </c>
      <c r="E5647" s="1931" t="s">
        <v>33</v>
      </c>
      <c r="F5647" s="1930" t="s">
        <v>33</v>
      </c>
      <c r="G5647" s="1932">
        <v>87308</v>
      </c>
      <c r="H5647" s="1930" t="s">
        <v>8407</v>
      </c>
      <c r="I5647" s="1930" t="s">
        <v>1208</v>
      </c>
      <c r="J5647" s="1930" t="s">
        <v>320</v>
      </c>
      <c r="K5647" s="1933">
        <v>342.39</v>
      </c>
      <c r="L5647" s="1930" t="s">
        <v>138</v>
      </c>
    </row>
    <row r="5648" spans="1:12" ht="13.5" x14ac:dyDescent="0.25">
      <c r="A5648" s="1930" t="s">
        <v>4628</v>
      </c>
      <c r="B5648" s="1930" t="s">
        <v>4809</v>
      </c>
      <c r="C5648" s="1930" t="s">
        <v>4810</v>
      </c>
      <c r="D5648" s="1930" t="s">
        <v>4811</v>
      </c>
      <c r="E5648" s="1931" t="s">
        <v>33</v>
      </c>
      <c r="F5648" s="1930" t="s">
        <v>33</v>
      </c>
      <c r="G5648" s="1932">
        <v>87310</v>
      </c>
      <c r="H5648" s="1930" t="s">
        <v>8408</v>
      </c>
      <c r="I5648" s="1930" t="s">
        <v>1208</v>
      </c>
      <c r="J5648" s="1930" t="s">
        <v>320</v>
      </c>
      <c r="K5648" s="1933">
        <v>307.52999999999997</v>
      </c>
      <c r="L5648" s="1930" t="s">
        <v>138</v>
      </c>
    </row>
    <row r="5649" spans="1:12" ht="13.5" x14ac:dyDescent="0.25">
      <c r="A5649" s="1930" t="s">
        <v>4628</v>
      </c>
      <c r="B5649" s="1930" t="s">
        <v>4809</v>
      </c>
      <c r="C5649" s="1930" t="s">
        <v>4810</v>
      </c>
      <c r="D5649" s="1930" t="s">
        <v>4811</v>
      </c>
      <c r="E5649" s="1931" t="s">
        <v>33</v>
      </c>
      <c r="F5649" s="1930" t="s">
        <v>33</v>
      </c>
      <c r="G5649" s="1932">
        <v>87311</v>
      </c>
      <c r="H5649" s="1930" t="s">
        <v>8409</v>
      </c>
      <c r="I5649" s="1930" t="s">
        <v>1208</v>
      </c>
      <c r="J5649" s="1930" t="s">
        <v>320</v>
      </c>
      <c r="K5649" s="1933">
        <v>300.67</v>
      </c>
      <c r="L5649" s="1930" t="s">
        <v>138</v>
      </c>
    </row>
    <row r="5650" spans="1:12" ht="13.5" x14ac:dyDescent="0.25">
      <c r="A5650" s="1930" t="s">
        <v>4628</v>
      </c>
      <c r="B5650" s="1930" t="s">
        <v>4809</v>
      </c>
      <c r="C5650" s="1930" t="s">
        <v>4810</v>
      </c>
      <c r="D5650" s="1930" t="s">
        <v>4811</v>
      </c>
      <c r="E5650" s="1931" t="s">
        <v>33</v>
      </c>
      <c r="F5650" s="1930" t="s">
        <v>33</v>
      </c>
      <c r="G5650" s="1932">
        <v>87313</v>
      </c>
      <c r="H5650" s="1930" t="s">
        <v>8410</v>
      </c>
      <c r="I5650" s="1930" t="s">
        <v>1208</v>
      </c>
      <c r="J5650" s="1930" t="s">
        <v>320</v>
      </c>
      <c r="K5650" s="1933">
        <v>348.75</v>
      </c>
      <c r="L5650" s="1930" t="s">
        <v>138</v>
      </c>
    </row>
    <row r="5651" spans="1:12" ht="13.5" x14ac:dyDescent="0.25">
      <c r="A5651" s="1930" t="s">
        <v>4628</v>
      </c>
      <c r="B5651" s="1930" t="s">
        <v>4809</v>
      </c>
      <c r="C5651" s="1930" t="s">
        <v>4810</v>
      </c>
      <c r="D5651" s="1930" t="s">
        <v>4811</v>
      </c>
      <c r="E5651" s="1931" t="s">
        <v>33</v>
      </c>
      <c r="F5651" s="1930" t="s">
        <v>33</v>
      </c>
      <c r="G5651" s="1932">
        <v>87314</v>
      </c>
      <c r="H5651" s="1930" t="s">
        <v>8411</v>
      </c>
      <c r="I5651" s="1930" t="s">
        <v>1208</v>
      </c>
      <c r="J5651" s="1930" t="s">
        <v>320</v>
      </c>
      <c r="K5651" s="1933">
        <v>342.86</v>
      </c>
      <c r="L5651" s="1930" t="s">
        <v>138</v>
      </c>
    </row>
    <row r="5652" spans="1:12" ht="13.5" x14ac:dyDescent="0.25">
      <c r="A5652" s="1930" t="s">
        <v>4628</v>
      </c>
      <c r="B5652" s="1930" t="s">
        <v>4809</v>
      </c>
      <c r="C5652" s="1930" t="s">
        <v>4810</v>
      </c>
      <c r="D5652" s="1930" t="s">
        <v>4811</v>
      </c>
      <c r="E5652" s="1931" t="s">
        <v>33</v>
      </c>
      <c r="F5652" s="1930" t="s">
        <v>33</v>
      </c>
      <c r="G5652" s="1932">
        <v>87316</v>
      </c>
      <c r="H5652" s="1930" t="s">
        <v>8412</v>
      </c>
      <c r="I5652" s="1930" t="s">
        <v>1208</v>
      </c>
      <c r="J5652" s="1930" t="s">
        <v>320</v>
      </c>
      <c r="K5652" s="1933">
        <v>328.69</v>
      </c>
      <c r="L5652" s="1930" t="s">
        <v>138</v>
      </c>
    </row>
    <row r="5653" spans="1:12" ht="13.5" x14ac:dyDescent="0.25">
      <c r="A5653" s="1930" t="s">
        <v>4628</v>
      </c>
      <c r="B5653" s="1930" t="s">
        <v>4809</v>
      </c>
      <c r="C5653" s="1930" t="s">
        <v>4810</v>
      </c>
      <c r="D5653" s="1930" t="s">
        <v>4811</v>
      </c>
      <c r="E5653" s="1931" t="s">
        <v>33</v>
      </c>
      <c r="F5653" s="1930" t="s">
        <v>33</v>
      </c>
      <c r="G5653" s="1932">
        <v>87317</v>
      </c>
      <c r="H5653" s="1930" t="s">
        <v>8413</v>
      </c>
      <c r="I5653" s="1930" t="s">
        <v>1208</v>
      </c>
      <c r="J5653" s="1930" t="s">
        <v>320</v>
      </c>
      <c r="K5653" s="1933">
        <v>317.91000000000003</v>
      </c>
      <c r="L5653" s="1930" t="s">
        <v>138</v>
      </c>
    </row>
    <row r="5654" spans="1:12" ht="13.5" x14ac:dyDescent="0.25">
      <c r="A5654" s="1930" t="s">
        <v>4628</v>
      </c>
      <c r="B5654" s="1930" t="s">
        <v>4809</v>
      </c>
      <c r="C5654" s="1930" t="s">
        <v>4810</v>
      </c>
      <c r="D5654" s="1930" t="s">
        <v>4811</v>
      </c>
      <c r="E5654" s="1931" t="s">
        <v>33</v>
      </c>
      <c r="F5654" s="1930" t="s">
        <v>33</v>
      </c>
      <c r="G5654" s="1932">
        <v>87319</v>
      </c>
      <c r="H5654" s="1930" t="s">
        <v>8414</v>
      </c>
      <c r="I5654" s="1930" t="s">
        <v>1208</v>
      </c>
      <c r="J5654" s="1930" t="s">
        <v>320</v>
      </c>
      <c r="K5654" s="1933">
        <v>2468.14</v>
      </c>
      <c r="L5654" s="1930" t="s">
        <v>138</v>
      </c>
    </row>
    <row r="5655" spans="1:12" ht="13.5" x14ac:dyDescent="0.25">
      <c r="A5655" s="1930" t="s">
        <v>4628</v>
      </c>
      <c r="B5655" s="1930" t="s">
        <v>4809</v>
      </c>
      <c r="C5655" s="1930" t="s">
        <v>4810</v>
      </c>
      <c r="D5655" s="1930" t="s">
        <v>4811</v>
      </c>
      <c r="E5655" s="1931" t="s">
        <v>33</v>
      </c>
      <c r="F5655" s="1930" t="s">
        <v>33</v>
      </c>
      <c r="G5655" s="1932">
        <v>87320</v>
      </c>
      <c r="H5655" s="1930" t="s">
        <v>8415</v>
      </c>
      <c r="I5655" s="1930" t="s">
        <v>1208</v>
      </c>
      <c r="J5655" s="1930" t="s">
        <v>320</v>
      </c>
      <c r="K5655" s="1933">
        <v>2472.2199999999998</v>
      </c>
      <c r="L5655" s="1930" t="s">
        <v>138</v>
      </c>
    </row>
    <row r="5656" spans="1:12" ht="13.5" x14ac:dyDescent="0.25">
      <c r="A5656" s="1930" t="s">
        <v>4628</v>
      </c>
      <c r="B5656" s="1930" t="s">
        <v>4809</v>
      </c>
      <c r="C5656" s="1930" t="s">
        <v>4810</v>
      </c>
      <c r="D5656" s="1930" t="s">
        <v>4811</v>
      </c>
      <c r="E5656" s="1931" t="s">
        <v>33</v>
      </c>
      <c r="F5656" s="1930" t="s">
        <v>33</v>
      </c>
      <c r="G5656" s="1932">
        <v>87322</v>
      </c>
      <c r="H5656" s="1930" t="s">
        <v>8416</v>
      </c>
      <c r="I5656" s="1930" t="s">
        <v>1208</v>
      </c>
      <c r="J5656" s="1930" t="s">
        <v>320</v>
      </c>
      <c r="K5656" s="1933">
        <v>2526.81</v>
      </c>
      <c r="L5656" s="1930" t="s">
        <v>138</v>
      </c>
    </row>
    <row r="5657" spans="1:12" ht="13.5" x14ac:dyDescent="0.25">
      <c r="A5657" s="1930" t="s">
        <v>4628</v>
      </c>
      <c r="B5657" s="1930" t="s">
        <v>4809</v>
      </c>
      <c r="C5657" s="1930" t="s">
        <v>4810</v>
      </c>
      <c r="D5657" s="1930" t="s">
        <v>4811</v>
      </c>
      <c r="E5657" s="1931" t="s">
        <v>33</v>
      </c>
      <c r="F5657" s="1930" t="s">
        <v>33</v>
      </c>
      <c r="G5657" s="1932">
        <v>87323</v>
      </c>
      <c r="H5657" s="1930" t="s">
        <v>8417</v>
      </c>
      <c r="I5657" s="1930" t="s">
        <v>1208</v>
      </c>
      <c r="J5657" s="1930" t="s">
        <v>320</v>
      </c>
      <c r="K5657" s="1933">
        <v>2525.8200000000002</v>
      </c>
      <c r="L5657" s="1930" t="s">
        <v>138</v>
      </c>
    </row>
    <row r="5658" spans="1:12" ht="13.5" x14ac:dyDescent="0.25">
      <c r="A5658" s="1930" t="s">
        <v>4628</v>
      </c>
      <c r="B5658" s="1930" t="s">
        <v>4809</v>
      </c>
      <c r="C5658" s="1930" t="s">
        <v>4810</v>
      </c>
      <c r="D5658" s="1930" t="s">
        <v>4811</v>
      </c>
      <c r="E5658" s="1931" t="s">
        <v>33</v>
      </c>
      <c r="F5658" s="1930" t="s">
        <v>33</v>
      </c>
      <c r="G5658" s="1932">
        <v>87325</v>
      </c>
      <c r="H5658" s="1930" t="s">
        <v>8418</v>
      </c>
      <c r="I5658" s="1930" t="s">
        <v>1208</v>
      </c>
      <c r="J5658" s="1930" t="s">
        <v>320</v>
      </c>
      <c r="K5658" s="1933">
        <v>2480.21</v>
      </c>
      <c r="L5658" s="1930" t="s">
        <v>138</v>
      </c>
    </row>
    <row r="5659" spans="1:12" ht="13.5" x14ac:dyDescent="0.25">
      <c r="A5659" s="1930" t="s">
        <v>4628</v>
      </c>
      <c r="B5659" s="1930" t="s">
        <v>4809</v>
      </c>
      <c r="C5659" s="1930" t="s">
        <v>4810</v>
      </c>
      <c r="D5659" s="1930" t="s">
        <v>4811</v>
      </c>
      <c r="E5659" s="1931" t="s">
        <v>33</v>
      </c>
      <c r="F5659" s="1930" t="s">
        <v>33</v>
      </c>
      <c r="G5659" s="1932">
        <v>87326</v>
      </c>
      <c r="H5659" s="1930" t="s">
        <v>8419</v>
      </c>
      <c r="I5659" s="1930" t="s">
        <v>1208</v>
      </c>
      <c r="J5659" s="1930" t="s">
        <v>320</v>
      </c>
      <c r="K5659" s="1933">
        <v>2486.54</v>
      </c>
      <c r="L5659" s="1930" t="s">
        <v>138</v>
      </c>
    </row>
    <row r="5660" spans="1:12" ht="13.5" x14ac:dyDescent="0.25">
      <c r="A5660" s="1930" t="s">
        <v>4628</v>
      </c>
      <c r="B5660" s="1930" t="s">
        <v>4809</v>
      </c>
      <c r="C5660" s="1930" t="s">
        <v>4810</v>
      </c>
      <c r="D5660" s="1930" t="s">
        <v>4811</v>
      </c>
      <c r="E5660" s="1931" t="s">
        <v>33</v>
      </c>
      <c r="F5660" s="1930" t="s">
        <v>33</v>
      </c>
      <c r="G5660" s="1932">
        <v>87327</v>
      </c>
      <c r="H5660" s="1930" t="s">
        <v>8420</v>
      </c>
      <c r="I5660" s="1930" t="s">
        <v>1208</v>
      </c>
      <c r="J5660" s="1930" t="s">
        <v>320</v>
      </c>
      <c r="K5660" s="1933">
        <v>313.49</v>
      </c>
      <c r="L5660" s="1930" t="s">
        <v>138</v>
      </c>
    </row>
    <row r="5661" spans="1:12" ht="13.5" x14ac:dyDescent="0.25">
      <c r="A5661" s="1930" t="s">
        <v>4628</v>
      </c>
      <c r="B5661" s="1930" t="s">
        <v>4809</v>
      </c>
      <c r="C5661" s="1930" t="s">
        <v>4810</v>
      </c>
      <c r="D5661" s="1930" t="s">
        <v>4811</v>
      </c>
      <c r="E5661" s="1931" t="s">
        <v>33</v>
      </c>
      <c r="F5661" s="1930" t="s">
        <v>33</v>
      </c>
      <c r="G5661" s="1932">
        <v>87328</v>
      </c>
      <c r="H5661" s="1930" t="s">
        <v>8421</v>
      </c>
      <c r="I5661" s="1930" t="s">
        <v>1208</v>
      </c>
      <c r="J5661" s="1930" t="s">
        <v>320</v>
      </c>
      <c r="K5661" s="1933">
        <v>272.89999999999998</v>
      </c>
      <c r="L5661" s="1930" t="s">
        <v>138</v>
      </c>
    </row>
    <row r="5662" spans="1:12" ht="13.5" x14ac:dyDescent="0.25">
      <c r="A5662" s="1930" t="s">
        <v>4628</v>
      </c>
      <c r="B5662" s="1930" t="s">
        <v>4809</v>
      </c>
      <c r="C5662" s="1930" t="s">
        <v>4810</v>
      </c>
      <c r="D5662" s="1930" t="s">
        <v>4811</v>
      </c>
      <c r="E5662" s="1931" t="s">
        <v>33</v>
      </c>
      <c r="F5662" s="1930" t="s">
        <v>33</v>
      </c>
      <c r="G5662" s="1932">
        <v>87329</v>
      </c>
      <c r="H5662" s="1930" t="s">
        <v>8422</v>
      </c>
      <c r="I5662" s="1930" t="s">
        <v>1208</v>
      </c>
      <c r="J5662" s="1930" t="s">
        <v>320</v>
      </c>
      <c r="K5662" s="1933">
        <v>331.95</v>
      </c>
      <c r="L5662" s="1930" t="s">
        <v>138</v>
      </c>
    </row>
    <row r="5663" spans="1:12" ht="13.5" x14ac:dyDescent="0.25">
      <c r="A5663" s="1930" t="s">
        <v>4628</v>
      </c>
      <c r="B5663" s="1930" t="s">
        <v>4809</v>
      </c>
      <c r="C5663" s="1930" t="s">
        <v>4810</v>
      </c>
      <c r="D5663" s="1930" t="s">
        <v>4811</v>
      </c>
      <c r="E5663" s="1931" t="s">
        <v>33</v>
      </c>
      <c r="F5663" s="1930" t="s">
        <v>33</v>
      </c>
      <c r="G5663" s="1932">
        <v>87330</v>
      </c>
      <c r="H5663" s="1930" t="s">
        <v>8423</v>
      </c>
      <c r="I5663" s="1930" t="s">
        <v>1208</v>
      </c>
      <c r="J5663" s="1930" t="s">
        <v>320</v>
      </c>
      <c r="K5663" s="1933">
        <v>285.95</v>
      </c>
      <c r="L5663" s="1930" t="s">
        <v>138</v>
      </c>
    </row>
    <row r="5664" spans="1:12" ht="13.5" x14ac:dyDescent="0.25">
      <c r="A5664" s="1930" t="s">
        <v>4628</v>
      </c>
      <c r="B5664" s="1930" t="s">
        <v>4809</v>
      </c>
      <c r="C5664" s="1930" t="s">
        <v>4810</v>
      </c>
      <c r="D5664" s="1930" t="s">
        <v>4811</v>
      </c>
      <c r="E5664" s="1931" t="s">
        <v>33</v>
      </c>
      <c r="F5664" s="1930" t="s">
        <v>33</v>
      </c>
      <c r="G5664" s="1932">
        <v>87331</v>
      </c>
      <c r="H5664" s="1930" t="s">
        <v>8424</v>
      </c>
      <c r="I5664" s="1930" t="s">
        <v>1208</v>
      </c>
      <c r="J5664" s="1930" t="s">
        <v>320</v>
      </c>
      <c r="K5664" s="1933">
        <v>400.79</v>
      </c>
      <c r="L5664" s="1930" t="s">
        <v>138</v>
      </c>
    </row>
    <row r="5665" spans="1:12" ht="13.5" x14ac:dyDescent="0.25">
      <c r="A5665" s="1930" t="s">
        <v>4628</v>
      </c>
      <c r="B5665" s="1930" t="s">
        <v>4809</v>
      </c>
      <c r="C5665" s="1930" t="s">
        <v>4810</v>
      </c>
      <c r="D5665" s="1930" t="s">
        <v>4811</v>
      </c>
      <c r="E5665" s="1931" t="s">
        <v>33</v>
      </c>
      <c r="F5665" s="1930" t="s">
        <v>33</v>
      </c>
      <c r="G5665" s="1932">
        <v>87332</v>
      </c>
      <c r="H5665" s="1930" t="s">
        <v>8425</v>
      </c>
      <c r="I5665" s="1930" t="s">
        <v>1208</v>
      </c>
      <c r="J5665" s="1930" t="s">
        <v>320</v>
      </c>
      <c r="K5665" s="1933">
        <v>358.67</v>
      </c>
      <c r="L5665" s="1930" t="s">
        <v>138</v>
      </c>
    </row>
    <row r="5666" spans="1:12" ht="13.5" x14ac:dyDescent="0.25">
      <c r="A5666" s="1930" t="s">
        <v>4628</v>
      </c>
      <c r="B5666" s="1930" t="s">
        <v>4809</v>
      </c>
      <c r="C5666" s="1930" t="s">
        <v>4810</v>
      </c>
      <c r="D5666" s="1930" t="s">
        <v>4811</v>
      </c>
      <c r="E5666" s="1931" t="s">
        <v>33</v>
      </c>
      <c r="F5666" s="1930" t="s">
        <v>33</v>
      </c>
      <c r="G5666" s="1932">
        <v>87333</v>
      </c>
      <c r="H5666" s="1930" t="s">
        <v>8426</v>
      </c>
      <c r="I5666" s="1930" t="s">
        <v>1208</v>
      </c>
      <c r="J5666" s="1930" t="s">
        <v>320</v>
      </c>
      <c r="K5666" s="1933">
        <v>381.72</v>
      </c>
      <c r="L5666" s="1930" t="s">
        <v>138</v>
      </c>
    </row>
    <row r="5667" spans="1:12" ht="13.5" x14ac:dyDescent="0.25">
      <c r="A5667" s="1930" t="s">
        <v>4628</v>
      </c>
      <c r="B5667" s="1930" t="s">
        <v>4809</v>
      </c>
      <c r="C5667" s="1930" t="s">
        <v>4810</v>
      </c>
      <c r="D5667" s="1930" t="s">
        <v>4811</v>
      </c>
      <c r="E5667" s="1931" t="s">
        <v>33</v>
      </c>
      <c r="F5667" s="1930" t="s">
        <v>33</v>
      </c>
      <c r="G5667" s="1932">
        <v>87334</v>
      </c>
      <c r="H5667" s="1930" t="s">
        <v>8427</v>
      </c>
      <c r="I5667" s="1930" t="s">
        <v>1208</v>
      </c>
      <c r="J5667" s="1930" t="s">
        <v>320</v>
      </c>
      <c r="K5667" s="1933">
        <v>356.36</v>
      </c>
      <c r="L5667" s="1930" t="s">
        <v>138</v>
      </c>
    </row>
    <row r="5668" spans="1:12" ht="13.5" x14ac:dyDescent="0.25">
      <c r="A5668" s="1930" t="s">
        <v>4628</v>
      </c>
      <c r="B5668" s="1930" t="s">
        <v>4809</v>
      </c>
      <c r="C5668" s="1930" t="s">
        <v>4810</v>
      </c>
      <c r="D5668" s="1930" t="s">
        <v>4811</v>
      </c>
      <c r="E5668" s="1931" t="s">
        <v>33</v>
      </c>
      <c r="F5668" s="1930" t="s">
        <v>33</v>
      </c>
      <c r="G5668" s="1932">
        <v>87335</v>
      </c>
      <c r="H5668" s="1930" t="s">
        <v>8428</v>
      </c>
      <c r="I5668" s="1930" t="s">
        <v>1208</v>
      </c>
      <c r="J5668" s="1930" t="s">
        <v>320</v>
      </c>
      <c r="K5668" s="1933">
        <v>376.86</v>
      </c>
      <c r="L5668" s="1930" t="s">
        <v>138</v>
      </c>
    </row>
    <row r="5669" spans="1:12" ht="13.5" x14ac:dyDescent="0.25">
      <c r="A5669" s="1930" t="s">
        <v>4628</v>
      </c>
      <c r="B5669" s="1930" t="s">
        <v>4809</v>
      </c>
      <c r="C5669" s="1930" t="s">
        <v>4810</v>
      </c>
      <c r="D5669" s="1930" t="s">
        <v>4811</v>
      </c>
      <c r="E5669" s="1931" t="s">
        <v>33</v>
      </c>
      <c r="F5669" s="1930" t="s">
        <v>33</v>
      </c>
      <c r="G5669" s="1932">
        <v>87336</v>
      </c>
      <c r="H5669" s="1930" t="s">
        <v>8429</v>
      </c>
      <c r="I5669" s="1930" t="s">
        <v>1208</v>
      </c>
      <c r="J5669" s="1930" t="s">
        <v>320</v>
      </c>
      <c r="K5669" s="1933">
        <v>370.22</v>
      </c>
      <c r="L5669" s="1930" t="s">
        <v>138</v>
      </c>
    </row>
    <row r="5670" spans="1:12" ht="13.5" x14ac:dyDescent="0.25">
      <c r="A5670" s="1930" t="s">
        <v>4628</v>
      </c>
      <c r="B5670" s="1930" t="s">
        <v>4809</v>
      </c>
      <c r="C5670" s="1930" t="s">
        <v>4810</v>
      </c>
      <c r="D5670" s="1930" t="s">
        <v>4811</v>
      </c>
      <c r="E5670" s="1931" t="s">
        <v>33</v>
      </c>
      <c r="F5670" s="1930" t="s">
        <v>33</v>
      </c>
      <c r="G5670" s="1932">
        <v>87337</v>
      </c>
      <c r="H5670" s="1930" t="s">
        <v>8430</v>
      </c>
      <c r="I5670" s="1930" t="s">
        <v>1208</v>
      </c>
      <c r="J5670" s="1930" t="s">
        <v>320</v>
      </c>
      <c r="K5670" s="1933">
        <v>376.06</v>
      </c>
      <c r="L5670" s="1930" t="s">
        <v>138</v>
      </c>
    </row>
    <row r="5671" spans="1:12" ht="13.5" x14ac:dyDescent="0.25">
      <c r="A5671" s="1930" t="s">
        <v>4628</v>
      </c>
      <c r="B5671" s="1930" t="s">
        <v>4809</v>
      </c>
      <c r="C5671" s="1930" t="s">
        <v>4810</v>
      </c>
      <c r="D5671" s="1930" t="s">
        <v>4811</v>
      </c>
      <c r="E5671" s="1931" t="s">
        <v>33</v>
      </c>
      <c r="F5671" s="1930" t="s">
        <v>33</v>
      </c>
      <c r="G5671" s="1932">
        <v>87338</v>
      </c>
      <c r="H5671" s="1930" t="s">
        <v>8431</v>
      </c>
      <c r="I5671" s="1930" t="s">
        <v>1208</v>
      </c>
      <c r="J5671" s="1930" t="s">
        <v>320</v>
      </c>
      <c r="K5671" s="1933">
        <v>368.37</v>
      </c>
      <c r="L5671" s="1930" t="s">
        <v>138</v>
      </c>
    </row>
    <row r="5672" spans="1:12" ht="13.5" x14ac:dyDescent="0.25">
      <c r="A5672" s="1930" t="s">
        <v>4628</v>
      </c>
      <c r="B5672" s="1930" t="s">
        <v>4809</v>
      </c>
      <c r="C5672" s="1930" t="s">
        <v>4810</v>
      </c>
      <c r="D5672" s="1930" t="s">
        <v>4811</v>
      </c>
      <c r="E5672" s="1931" t="s">
        <v>33</v>
      </c>
      <c r="F5672" s="1930" t="s">
        <v>33</v>
      </c>
      <c r="G5672" s="1932">
        <v>87339</v>
      </c>
      <c r="H5672" s="1930" t="s">
        <v>8432</v>
      </c>
      <c r="I5672" s="1930" t="s">
        <v>1208</v>
      </c>
      <c r="J5672" s="1930" t="s">
        <v>320</v>
      </c>
      <c r="K5672" s="1933">
        <v>504.79</v>
      </c>
      <c r="L5672" s="1930" t="s">
        <v>138</v>
      </c>
    </row>
    <row r="5673" spans="1:12" ht="13.5" x14ac:dyDescent="0.25">
      <c r="A5673" s="1930" t="s">
        <v>4628</v>
      </c>
      <c r="B5673" s="1930" t="s">
        <v>4809</v>
      </c>
      <c r="C5673" s="1930" t="s">
        <v>4810</v>
      </c>
      <c r="D5673" s="1930" t="s">
        <v>4811</v>
      </c>
      <c r="E5673" s="1931" t="s">
        <v>33</v>
      </c>
      <c r="F5673" s="1930" t="s">
        <v>33</v>
      </c>
      <c r="G5673" s="1932">
        <v>87340</v>
      </c>
      <c r="H5673" s="1930" t="s">
        <v>8433</v>
      </c>
      <c r="I5673" s="1930" t="s">
        <v>1208</v>
      </c>
      <c r="J5673" s="1930" t="s">
        <v>320</v>
      </c>
      <c r="K5673" s="1933">
        <v>419.35</v>
      </c>
      <c r="L5673" s="1930" t="s">
        <v>138</v>
      </c>
    </row>
    <row r="5674" spans="1:12" ht="13.5" x14ac:dyDescent="0.25">
      <c r="A5674" s="1930" t="s">
        <v>4628</v>
      </c>
      <c r="B5674" s="1930" t="s">
        <v>4809</v>
      </c>
      <c r="C5674" s="1930" t="s">
        <v>4810</v>
      </c>
      <c r="D5674" s="1930" t="s">
        <v>4811</v>
      </c>
      <c r="E5674" s="1931" t="s">
        <v>33</v>
      </c>
      <c r="F5674" s="1930" t="s">
        <v>33</v>
      </c>
      <c r="G5674" s="1932">
        <v>87341</v>
      </c>
      <c r="H5674" s="1930" t="s">
        <v>8434</v>
      </c>
      <c r="I5674" s="1930" t="s">
        <v>1208</v>
      </c>
      <c r="J5674" s="1930" t="s">
        <v>320</v>
      </c>
      <c r="K5674" s="1933">
        <v>397.64</v>
      </c>
      <c r="L5674" s="1930" t="s">
        <v>138</v>
      </c>
    </row>
    <row r="5675" spans="1:12" ht="13.5" x14ac:dyDescent="0.25">
      <c r="A5675" s="1930" t="s">
        <v>4628</v>
      </c>
      <c r="B5675" s="1930" t="s">
        <v>4809</v>
      </c>
      <c r="C5675" s="1930" t="s">
        <v>4810</v>
      </c>
      <c r="D5675" s="1930" t="s">
        <v>4811</v>
      </c>
      <c r="E5675" s="1931" t="s">
        <v>33</v>
      </c>
      <c r="F5675" s="1930" t="s">
        <v>33</v>
      </c>
      <c r="G5675" s="1932">
        <v>87342</v>
      </c>
      <c r="H5675" s="1930" t="s">
        <v>8435</v>
      </c>
      <c r="I5675" s="1930" t="s">
        <v>1208</v>
      </c>
      <c r="J5675" s="1930" t="s">
        <v>320</v>
      </c>
      <c r="K5675" s="1933">
        <v>439.11</v>
      </c>
      <c r="L5675" s="1930" t="s">
        <v>138</v>
      </c>
    </row>
    <row r="5676" spans="1:12" ht="13.5" x14ac:dyDescent="0.25">
      <c r="A5676" s="1930" t="s">
        <v>4628</v>
      </c>
      <c r="B5676" s="1930" t="s">
        <v>4809</v>
      </c>
      <c r="C5676" s="1930" t="s">
        <v>4810</v>
      </c>
      <c r="D5676" s="1930" t="s">
        <v>4811</v>
      </c>
      <c r="E5676" s="1931" t="s">
        <v>33</v>
      </c>
      <c r="F5676" s="1930" t="s">
        <v>33</v>
      </c>
      <c r="G5676" s="1932">
        <v>87343</v>
      </c>
      <c r="H5676" s="1930" t="s">
        <v>8436</v>
      </c>
      <c r="I5676" s="1930" t="s">
        <v>1208</v>
      </c>
      <c r="J5676" s="1930" t="s">
        <v>320</v>
      </c>
      <c r="K5676" s="1933">
        <v>390.75</v>
      </c>
      <c r="L5676" s="1930" t="s">
        <v>138</v>
      </c>
    </row>
    <row r="5677" spans="1:12" ht="13.5" x14ac:dyDescent="0.25">
      <c r="A5677" s="1930" t="s">
        <v>4628</v>
      </c>
      <c r="B5677" s="1930" t="s">
        <v>4809</v>
      </c>
      <c r="C5677" s="1930" t="s">
        <v>4810</v>
      </c>
      <c r="D5677" s="1930" t="s">
        <v>4811</v>
      </c>
      <c r="E5677" s="1931" t="s">
        <v>33</v>
      </c>
      <c r="F5677" s="1930" t="s">
        <v>33</v>
      </c>
      <c r="G5677" s="1932">
        <v>87344</v>
      </c>
      <c r="H5677" s="1930" t="s">
        <v>8437</v>
      </c>
      <c r="I5677" s="1930" t="s">
        <v>1208</v>
      </c>
      <c r="J5677" s="1930" t="s">
        <v>320</v>
      </c>
      <c r="K5677" s="1933">
        <v>363.87</v>
      </c>
      <c r="L5677" s="1930" t="s">
        <v>138</v>
      </c>
    </row>
    <row r="5678" spans="1:12" ht="13.5" x14ac:dyDescent="0.25">
      <c r="A5678" s="1930" t="s">
        <v>4628</v>
      </c>
      <c r="B5678" s="1930" t="s">
        <v>4809</v>
      </c>
      <c r="C5678" s="1930" t="s">
        <v>4810</v>
      </c>
      <c r="D5678" s="1930" t="s">
        <v>4811</v>
      </c>
      <c r="E5678" s="1931" t="s">
        <v>33</v>
      </c>
      <c r="F5678" s="1930" t="s">
        <v>33</v>
      </c>
      <c r="G5678" s="1932">
        <v>87345</v>
      </c>
      <c r="H5678" s="1930" t="s">
        <v>8438</v>
      </c>
      <c r="I5678" s="1930" t="s">
        <v>1208</v>
      </c>
      <c r="J5678" s="1930" t="s">
        <v>320</v>
      </c>
      <c r="K5678" s="1933">
        <v>401.44</v>
      </c>
      <c r="L5678" s="1930" t="s">
        <v>138</v>
      </c>
    </row>
    <row r="5679" spans="1:12" ht="13.5" x14ac:dyDescent="0.25">
      <c r="A5679" s="1930" t="s">
        <v>4628</v>
      </c>
      <c r="B5679" s="1930" t="s">
        <v>4809</v>
      </c>
      <c r="C5679" s="1930" t="s">
        <v>4810</v>
      </c>
      <c r="D5679" s="1930" t="s">
        <v>4811</v>
      </c>
      <c r="E5679" s="1931" t="s">
        <v>33</v>
      </c>
      <c r="F5679" s="1930" t="s">
        <v>33</v>
      </c>
      <c r="G5679" s="1932">
        <v>87346</v>
      </c>
      <c r="H5679" s="1930" t="s">
        <v>8439</v>
      </c>
      <c r="I5679" s="1930" t="s">
        <v>1208</v>
      </c>
      <c r="J5679" s="1930" t="s">
        <v>320</v>
      </c>
      <c r="K5679" s="1933">
        <v>361.52</v>
      </c>
      <c r="L5679" s="1930" t="s">
        <v>138</v>
      </c>
    </row>
    <row r="5680" spans="1:12" ht="13.5" x14ac:dyDescent="0.25">
      <c r="A5680" s="1930" t="s">
        <v>4628</v>
      </c>
      <c r="B5680" s="1930" t="s">
        <v>4809</v>
      </c>
      <c r="C5680" s="1930" t="s">
        <v>4810</v>
      </c>
      <c r="D5680" s="1930" t="s">
        <v>4811</v>
      </c>
      <c r="E5680" s="1931" t="s">
        <v>33</v>
      </c>
      <c r="F5680" s="1930" t="s">
        <v>33</v>
      </c>
      <c r="G5680" s="1932">
        <v>87347</v>
      </c>
      <c r="H5680" s="1930" t="s">
        <v>8440</v>
      </c>
      <c r="I5680" s="1930" t="s">
        <v>1208</v>
      </c>
      <c r="J5680" s="1930" t="s">
        <v>320</v>
      </c>
      <c r="K5680" s="1933">
        <v>340.35</v>
      </c>
      <c r="L5680" s="1930" t="s">
        <v>138</v>
      </c>
    </row>
    <row r="5681" spans="1:12" ht="13.5" x14ac:dyDescent="0.25">
      <c r="A5681" s="1930" t="s">
        <v>4628</v>
      </c>
      <c r="B5681" s="1930" t="s">
        <v>4809</v>
      </c>
      <c r="C5681" s="1930" t="s">
        <v>4810</v>
      </c>
      <c r="D5681" s="1930" t="s">
        <v>4811</v>
      </c>
      <c r="E5681" s="1931" t="s">
        <v>33</v>
      </c>
      <c r="F5681" s="1930" t="s">
        <v>33</v>
      </c>
      <c r="G5681" s="1932">
        <v>87348</v>
      </c>
      <c r="H5681" s="1930" t="s">
        <v>8441</v>
      </c>
      <c r="I5681" s="1930" t="s">
        <v>1208</v>
      </c>
      <c r="J5681" s="1930" t="s">
        <v>320</v>
      </c>
      <c r="K5681" s="1933">
        <v>373.31</v>
      </c>
      <c r="L5681" s="1930" t="s">
        <v>138</v>
      </c>
    </row>
    <row r="5682" spans="1:12" ht="13.5" x14ac:dyDescent="0.25">
      <c r="A5682" s="1930" t="s">
        <v>4628</v>
      </c>
      <c r="B5682" s="1930" t="s">
        <v>4809</v>
      </c>
      <c r="C5682" s="1930" t="s">
        <v>4810</v>
      </c>
      <c r="D5682" s="1930" t="s">
        <v>4811</v>
      </c>
      <c r="E5682" s="1931" t="s">
        <v>33</v>
      </c>
      <c r="F5682" s="1930" t="s">
        <v>33</v>
      </c>
      <c r="G5682" s="1932">
        <v>87349</v>
      </c>
      <c r="H5682" s="1930" t="s">
        <v>8442</v>
      </c>
      <c r="I5682" s="1930" t="s">
        <v>1208</v>
      </c>
      <c r="J5682" s="1930" t="s">
        <v>320</v>
      </c>
      <c r="K5682" s="1933">
        <v>321.08</v>
      </c>
      <c r="L5682" s="1930" t="s">
        <v>138</v>
      </c>
    </row>
    <row r="5683" spans="1:12" ht="13.5" x14ac:dyDescent="0.25">
      <c r="A5683" s="1930" t="s">
        <v>4628</v>
      </c>
      <c r="B5683" s="1930" t="s">
        <v>4809</v>
      </c>
      <c r="C5683" s="1930" t="s">
        <v>4810</v>
      </c>
      <c r="D5683" s="1930" t="s">
        <v>4811</v>
      </c>
      <c r="E5683" s="1931" t="s">
        <v>33</v>
      </c>
      <c r="F5683" s="1930" t="s">
        <v>33</v>
      </c>
      <c r="G5683" s="1932">
        <v>87350</v>
      </c>
      <c r="H5683" s="1930" t="s">
        <v>8443</v>
      </c>
      <c r="I5683" s="1930" t="s">
        <v>1208</v>
      </c>
      <c r="J5683" s="1930" t="s">
        <v>320</v>
      </c>
      <c r="K5683" s="1933">
        <v>338.9</v>
      </c>
      <c r="L5683" s="1930" t="s">
        <v>138</v>
      </c>
    </row>
    <row r="5684" spans="1:12" ht="13.5" x14ac:dyDescent="0.25">
      <c r="A5684" s="1930" t="s">
        <v>4628</v>
      </c>
      <c r="B5684" s="1930" t="s">
        <v>4809</v>
      </c>
      <c r="C5684" s="1930" t="s">
        <v>4810</v>
      </c>
      <c r="D5684" s="1930" t="s">
        <v>4811</v>
      </c>
      <c r="E5684" s="1931" t="s">
        <v>33</v>
      </c>
      <c r="F5684" s="1930" t="s">
        <v>33</v>
      </c>
      <c r="G5684" s="1932">
        <v>87351</v>
      </c>
      <c r="H5684" s="1930" t="s">
        <v>8444</v>
      </c>
      <c r="I5684" s="1930" t="s">
        <v>1208</v>
      </c>
      <c r="J5684" s="1930" t="s">
        <v>320</v>
      </c>
      <c r="K5684" s="1933">
        <v>289.72000000000003</v>
      </c>
      <c r="L5684" s="1930" t="s">
        <v>138</v>
      </c>
    </row>
    <row r="5685" spans="1:12" ht="13.5" x14ac:dyDescent="0.25">
      <c r="A5685" s="1930" t="s">
        <v>4628</v>
      </c>
      <c r="B5685" s="1930" t="s">
        <v>4809</v>
      </c>
      <c r="C5685" s="1930" t="s">
        <v>4810</v>
      </c>
      <c r="D5685" s="1930" t="s">
        <v>4811</v>
      </c>
      <c r="E5685" s="1931" t="s">
        <v>33</v>
      </c>
      <c r="F5685" s="1930" t="s">
        <v>33</v>
      </c>
      <c r="G5685" s="1932">
        <v>87352</v>
      </c>
      <c r="H5685" s="1930" t="s">
        <v>8445</v>
      </c>
      <c r="I5685" s="1930" t="s">
        <v>1208</v>
      </c>
      <c r="J5685" s="1930" t="s">
        <v>320</v>
      </c>
      <c r="K5685" s="1933">
        <v>404.9</v>
      </c>
      <c r="L5685" s="1930" t="s">
        <v>138</v>
      </c>
    </row>
    <row r="5686" spans="1:12" ht="13.5" x14ac:dyDescent="0.25">
      <c r="A5686" s="1930" t="s">
        <v>4628</v>
      </c>
      <c r="B5686" s="1930" t="s">
        <v>4809</v>
      </c>
      <c r="C5686" s="1930" t="s">
        <v>4810</v>
      </c>
      <c r="D5686" s="1930" t="s">
        <v>4811</v>
      </c>
      <c r="E5686" s="1931" t="s">
        <v>33</v>
      </c>
      <c r="F5686" s="1930" t="s">
        <v>33</v>
      </c>
      <c r="G5686" s="1932">
        <v>87353</v>
      </c>
      <c r="H5686" s="1930" t="s">
        <v>8446</v>
      </c>
      <c r="I5686" s="1930" t="s">
        <v>1208</v>
      </c>
      <c r="J5686" s="1930" t="s">
        <v>320</v>
      </c>
      <c r="K5686" s="1933">
        <v>351.86</v>
      </c>
      <c r="L5686" s="1930" t="s">
        <v>138</v>
      </c>
    </row>
    <row r="5687" spans="1:12" ht="13.5" x14ac:dyDescent="0.25">
      <c r="A5687" s="1930" t="s">
        <v>4628</v>
      </c>
      <c r="B5687" s="1930" t="s">
        <v>4809</v>
      </c>
      <c r="C5687" s="1930" t="s">
        <v>4810</v>
      </c>
      <c r="D5687" s="1930" t="s">
        <v>4811</v>
      </c>
      <c r="E5687" s="1931" t="s">
        <v>33</v>
      </c>
      <c r="F5687" s="1930" t="s">
        <v>33</v>
      </c>
      <c r="G5687" s="1932">
        <v>87354</v>
      </c>
      <c r="H5687" s="1930" t="s">
        <v>8447</v>
      </c>
      <c r="I5687" s="1930" t="s">
        <v>1208</v>
      </c>
      <c r="J5687" s="1930" t="s">
        <v>320</v>
      </c>
      <c r="K5687" s="1933">
        <v>328.22</v>
      </c>
      <c r="L5687" s="1930" t="s">
        <v>138</v>
      </c>
    </row>
    <row r="5688" spans="1:12" ht="13.5" x14ac:dyDescent="0.25">
      <c r="A5688" s="1930" t="s">
        <v>4628</v>
      </c>
      <c r="B5688" s="1930" t="s">
        <v>4809</v>
      </c>
      <c r="C5688" s="1930" t="s">
        <v>4810</v>
      </c>
      <c r="D5688" s="1930" t="s">
        <v>4811</v>
      </c>
      <c r="E5688" s="1931" t="s">
        <v>33</v>
      </c>
      <c r="F5688" s="1930" t="s">
        <v>33</v>
      </c>
      <c r="G5688" s="1932">
        <v>87355</v>
      </c>
      <c r="H5688" s="1930" t="s">
        <v>8448</v>
      </c>
      <c r="I5688" s="1930" t="s">
        <v>1208</v>
      </c>
      <c r="J5688" s="1930" t="s">
        <v>320</v>
      </c>
      <c r="K5688" s="1933">
        <v>355.12</v>
      </c>
      <c r="L5688" s="1930" t="s">
        <v>138</v>
      </c>
    </row>
    <row r="5689" spans="1:12" ht="13.5" x14ac:dyDescent="0.25">
      <c r="A5689" s="1930" t="s">
        <v>4628</v>
      </c>
      <c r="B5689" s="1930" t="s">
        <v>4809</v>
      </c>
      <c r="C5689" s="1930" t="s">
        <v>4810</v>
      </c>
      <c r="D5689" s="1930" t="s">
        <v>4811</v>
      </c>
      <c r="E5689" s="1931" t="s">
        <v>33</v>
      </c>
      <c r="F5689" s="1930" t="s">
        <v>33</v>
      </c>
      <c r="G5689" s="1932">
        <v>87356</v>
      </c>
      <c r="H5689" s="1930" t="s">
        <v>8449</v>
      </c>
      <c r="I5689" s="1930" t="s">
        <v>1208</v>
      </c>
      <c r="J5689" s="1930" t="s">
        <v>320</v>
      </c>
      <c r="K5689" s="1933">
        <v>319.66000000000003</v>
      </c>
      <c r="L5689" s="1930" t="s">
        <v>138</v>
      </c>
    </row>
    <row r="5690" spans="1:12" ht="13.5" x14ac:dyDescent="0.25">
      <c r="A5690" s="1930" t="s">
        <v>4628</v>
      </c>
      <c r="B5690" s="1930" t="s">
        <v>4809</v>
      </c>
      <c r="C5690" s="1930" t="s">
        <v>4810</v>
      </c>
      <c r="D5690" s="1930" t="s">
        <v>4811</v>
      </c>
      <c r="E5690" s="1931" t="s">
        <v>33</v>
      </c>
      <c r="F5690" s="1930" t="s">
        <v>33</v>
      </c>
      <c r="G5690" s="1932">
        <v>87357</v>
      </c>
      <c r="H5690" s="1930" t="s">
        <v>8450</v>
      </c>
      <c r="I5690" s="1930" t="s">
        <v>1208</v>
      </c>
      <c r="J5690" s="1930" t="s">
        <v>320</v>
      </c>
      <c r="K5690" s="1933">
        <v>302.19</v>
      </c>
      <c r="L5690" s="1930" t="s">
        <v>138</v>
      </c>
    </row>
    <row r="5691" spans="1:12" ht="13.5" x14ac:dyDescent="0.25">
      <c r="A5691" s="1930" t="s">
        <v>4628</v>
      </c>
      <c r="B5691" s="1930" t="s">
        <v>4809</v>
      </c>
      <c r="C5691" s="1930" t="s">
        <v>4810</v>
      </c>
      <c r="D5691" s="1930" t="s">
        <v>4811</v>
      </c>
      <c r="E5691" s="1931" t="s">
        <v>33</v>
      </c>
      <c r="F5691" s="1930" t="s">
        <v>33</v>
      </c>
      <c r="G5691" s="1932">
        <v>87358</v>
      </c>
      <c r="H5691" s="1930" t="s">
        <v>8451</v>
      </c>
      <c r="I5691" s="1930" t="s">
        <v>1208</v>
      </c>
      <c r="J5691" s="1930" t="s">
        <v>320</v>
      </c>
      <c r="K5691" s="1933">
        <v>2440.85</v>
      </c>
      <c r="L5691" s="1930" t="s">
        <v>138</v>
      </c>
    </row>
    <row r="5692" spans="1:12" ht="13.5" x14ac:dyDescent="0.25">
      <c r="A5692" s="1930" t="s">
        <v>4628</v>
      </c>
      <c r="B5692" s="1930" t="s">
        <v>4809</v>
      </c>
      <c r="C5692" s="1930" t="s">
        <v>4810</v>
      </c>
      <c r="D5692" s="1930" t="s">
        <v>4811</v>
      </c>
      <c r="E5692" s="1931" t="s">
        <v>33</v>
      </c>
      <c r="F5692" s="1930" t="s">
        <v>33</v>
      </c>
      <c r="G5692" s="1932">
        <v>87359</v>
      </c>
      <c r="H5692" s="1930" t="s">
        <v>8452</v>
      </c>
      <c r="I5692" s="1930" t="s">
        <v>1208</v>
      </c>
      <c r="J5692" s="1930" t="s">
        <v>320</v>
      </c>
      <c r="K5692" s="1933">
        <v>2421.69</v>
      </c>
      <c r="L5692" s="1930" t="s">
        <v>138</v>
      </c>
    </row>
    <row r="5693" spans="1:12" ht="13.5" x14ac:dyDescent="0.25">
      <c r="A5693" s="1930" t="s">
        <v>4628</v>
      </c>
      <c r="B5693" s="1930" t="s">
        <v>4809</v>
      </c>
      <c r="C5693" s="1930" t="s">
        <v>4810</v>
      </c>
      <c r="D5693" s="1930" t="s">
        <v>4811</v>
      </c>
      <c r="E5693" s="1931" t="s">
        <v>33</v>
      </c>
      <c r="F5693" s="1930" t="s">
        <v>33</v>
      </c>
      <c r="G5693" s="1932">
        <v>87360</v>
      </c>
      <c r="H5693" s="1930" t="s">
        <v>8453</v>
      </c>
      <c r="I5693" s="1930" t="s">
        <v>1208</v>
      </c>
      <c r="J5693" s="1930" t="s">
        <v>320</v>
      </c>
      <c r="K5693" s="1933">
        <v>2496.6</v>
      </c>
      <c r="L5693" s="1930" t="s">
        <v>138</v>
      </c>
    </row>
    <row r="5694" spans="1:12" ht="13.5" x14ac:dyDescent="0.25">
      <c r="A5694" s="1930" t="s">
        <v>4628</v>
      </c>
      <c r="B5694" s="1930" t="s">
        <v>4809</v>
      </c>
      <c r="C5694" s="1930" t="s">
        <v>4810</v>
      </c>
      <c r="D5694" s="1930" t="s">
        <v>4811</v>
      </c>
      <c r="E5694" s="1931" t="s">
        <v>33</v>
      </c>
      <c r="F5694" s="1930" t="s">
        <v>33</v>
      </c>
      <c r="G5694" s="1932">
        <v>87361</v>
      </c>
      <c r="H5694" s="1930" t="s">
        <v>8454</v>
      </c>
      <c r="I5694" s="1930" t="s">
        <v>1208</v>
      </c>
      <c r="J5694" s="1930" t="s">
        <v>320</v>
      </c>
      <c r="K5694" s="1933">
        <v>2467.0700000000002</v>
      </c>
      <c r="L5694" s="1930" t="s">
        <v>138</v>
      </c>
    </row>
    <row r="5695" spans="1:12" ht="13.5" x14ac:dyDescent="0.25">
      <c r="A5695" s="1930" t="s">
        <v>4628</v>
      </c>
      <c r="B5695" s="1930" t="s">
        <v>4809</v>
      </c>
      <c r="C5695" s="1930" t="s">
        <v>4810</v>
      </c>
      <c r="D5695" s="1930" t="s">
        <v>4811</v>
      </c>
      <c r="E5695" s="1931" t="s">
        <v>33</v>
      </c>
      <c r="F5695" s="1930" t="s">
        <v>33</v>
      </c>
      <c r="G5695" s="1932">
        <v>87362</v>
      </c>
      <c r="H5695" s="1930" t="s">
        <v>8455</v>
      </c>
      <c r="I5695" s="1930" t="s">
        <v>1208</v>
      </c>
      <c r="J5695" s="1930" t="s">
        <v>320</v>
      </c>
      <c r="K5695" s="1933">
        <v>2466.62</v>
      </c>
      <c r="L5695" s="1930" t="s">
        <v>138</v>
      </c>
    </row>
    <row r="5696" spans="1:12" ht="13.5" x14ac:dyDescent="0.25">
      <c r="A5696" s="1930" t="s">
        <v>4628</v>
      </c>
      <c r="B5696" s="1930" t="s">
        <v>4809</v>
      </c>
      <c r="C5696" s="1930" t="s">
        <v>4810</v>
      </c>
      <c r="D5696" s="1930" t="s">
        <v>4811</v>
      </c>
      <c r="E5696" s="1931" t="s">
        <v>33</v>
      </c>
      <c r="F5696" s="1930" t="s">
        <v>33</v>
      </c>
      <c r="G5696" s="1932">
        <v>87363</v>
      </c>
      <c r="H5696" s="1930" t="s">
        <v>8456</v>
      </c>
      <c r="I5696" s="1930" t="s">
        <v>1208</v>
      </c>
      <c r="J5696" s="1930" t="s">
        <v>320</v>
      </c>
      <c r="K5696" s="1933">
        <v>2459.54</v>
      </c>
      <c r="L5696" s="1930" t="s">
        <v>138</v>
      </c>
    </row>
    <row r="5697" spans="1:12" ht="13.5" x14ac:dyDescent="0.25">
      <c r="A5697" s="1930" t="s">
        <v>4628</v>
      </c>
      <c r="B5697" s="1930" t="s">
        <v>4809</v>
      </c>
      <c r="C5697" s="1930" t="s">
        <v>4810</v>
      </c>
      <c r="D5697" s="1930" t="s">
        <v>4811</v>
      </c>
      <c r="E5697" s="1931" t="s">
        <v>33</v>
      </c>
      <c r="F5697" s="1930" t="s">
        <v>33</v>
      </c>
      <c r="G5697" s="1932">
        <v>87364</v>
      </c>
      <c r="H5697" s="1930" t="s">
        <v>8457</v>
      </c>
      <c r="I5697" s="1930" t="s">
        <v>1208</v>
      </c>
      <c r="J5697" s="1930" t="s">
        <v>320</v>
      </c>
      <c r="K5697" s="1933">
        <v>2441.29</v>
      </c>
      <c r="L5697" s="1930" t="s">
        <v>138</v>
      </c>
    </row>
    <row r="5698" spans="1:12" ht="13.5" x14ac:dyDescent="0.25">
      <c r="A5698" s="1930" t="s">
        <v>4628</v>
      </c>
      <c r="B5698" s="1930" t="s">
        <v>4809</v>
      </c>
      <c r="C5698" s="1930" t="s">
        <v>4810</v>
      </c>
      <c r="D5698" s="1930" t="s">
        <v>4811</v>
      </c>
      <c r="E5698" s="1931" t="s">
        <v>33</v>
      </c>
      <c r="F5698" s="1930" t="s">
        <v>33</v>
      </c>
      <c r="G5698" s="1932">
        <v>87365</v>
      </c>
      <c r="H5698" s="1930" t="s">
        <v>8458</v>
      </c>
      <c r="I5698" s="1930" t="s">
        <v>1208</v>
      </c>
      <c r="J5698" s="1930" t="s">
        <v>320</v>
      </c>
      <c r="K5698" s="1933">
        <v>383.34</v>
      </c>
      <c r="L5698" s="1930" t="s">
        <v>138</v>
      </c>
    </row>
    <row r="5699" spans="1:12" ht="13.5" x14ac:dyDescent="0.25">
      <c r="A5699" s="1930" t="s">
        <v>4628</v>
      </c>
      <c r="B5699" s="1930" t="s">
        <v>4809</v>
      </c>
      <c r="C5699" s="1930" t="s">
        <v>4810</v>
      </c>
      <c r="D5699" s="1930" t="s">
        <v>4811</v>
      </c>
      <c r="E5699" s="1931" t="s">
        <v>33</v>
      </c>
      <c r="F5699" s="1930" t="s">
        <v>33</v>
      </c>
      <c r="G5699" s="1932">
        <v>87366</v>
      </c>
      <c r="H5699" s="1930" t="s">
        <v>8459</v>
      </c>
      <c r="I5699" s="1930" t="s">
        <v>1208</v>
      </c>
      <c r="J5699" s="1930" t="s">
        <v>320</v>
      </c>
      <c r="K5699" s="1933">
        <v>399.41</v>
      </c>
      <c r="L5699" s="1930" t="s">
        <v>138</v>
      </c>
    </row>
    <row r="5700" spans="1:12" ht="13.5" x14ac:dyDescent="0.25">
      <c r="A5700" s="1930" t="s">
        <v>4628</v>
      </c>
      <c r="B5700" s="1930" t="s">
        <v>4809</v>
      </c>
      <c r="C5700" s="1930" t="s">
        <v>4810</v>
      </c>
      <c r="D5700" s="1930" t="s">
        <v>4811</v>
      </c>
      <c r="E5700" s="1931" t="s">
        <v>33</v>
      </c>
      <c r="F5700" s="1930" t="s">
        <v>33</v>
      </c>
      <c r="G5700" s="1932">
        <v>87367</v>
      </c>
      <c r="H5700" s="1930" t="s">
        <v>8460</v>
      </c>
      <c r="I5700" s="1930" t="s">
        <v>1208</v>
      </c>
      <c r="J5700" s="1930" t="s">
        <v>320</v>
      </c>
      <c r="K5700" s="1933">
        <v>471.59</v>
      </c>
      <c r="L5700" s="1930" t="s">
        <v>138</v>
      </c>
    </row>
    <row r="5701" spans="1:12" ht="13.5" x14ac:dyDescent="0.25">
      <c r="A5701" s="1930" t="s">
        <v>4628</v>
      </c>
      <c r="B5701" s="1930" t="s">
        <v>4809</v>
      </c>
      <c r="C5701" s="1930" t="s">
        <v>4810</v>
      </c>
      <c r="D5701" s="1930" t="s">
        <v>4811</v>
      </c>
      <c r="E5701" s="1931" t="s">
        <v>33</v>
      </c>
      <c r="F5701" s="1930" t="s">
        <v>33</v>
      </c>
      <c r="G5701" s="1932">
        <v>87368</v>
      </c>
      <c r="H5701" s="1930" t="s">
        <v>8461</v>
      </c>
      <c r="I5701" s="1930" t="s">
        <v>1208</v>
      </c>
      <c r="J5701" s="1930" t="s">
        <v>320</v>
      </c>
      <c r="K5701" s="1933">
        <v>468.1</v>
      </c>
      <c r="L5701" s="1930" t="s">
        <v>138</v>
      </c>
    </row>
    <row r="5702" spans="1:12" ht="13.5" x14ac:dyDescent="0.25">
      <c r="A5702" s="1930" t="s">
        <v>4628</v>
      </c>
      <c r="B5702" s="1930" t="s">
        <v>4809</v>
      </c>
      <c r="C5702" s="1930" t="s">
        <v>4810</v>
      </c>
      <c r="D5702" s="1930" t="s">
        <v>4811</v>
      </c>
      <c r="E5702" s="1931" t="s">
        <v>33</v>
      </c>
      <c r="F5702" s="1930" t="s">
        <v>33</v>
      </c>
      <c r="G5702" s="1932">
        <v>87369</v>
      </c>
      <c r="H5702" s="1930" t="s">
        <v>8462</v>
      </c>
      <c r="I5702" s="1930" t="s">
        <v>1208</v>
      </c>
      <c r="J5702" s="1930" t="s">
        <v>320</v>
      </c>
      <c r="K5702" s="1933">
        <v>481.02</v>
      </c>
      <c r="L5702" s="1930" t="s">
        <v>138</v>
      </c>
    </row>
    <row r="5703" spans="1:12" ht="13.5" x14ac:dyDescent="0.25">
      <c r="A5703" s="1930" t="s">
        <v>4628</v>
      </c>
      <c r="B5703" s="1930" t="s">
        <v>4809</v>
      </c>
      <c r="C5703" s="1930" t="s">
        <v>4810</v>
      </c>
      <c r="D5703" s="1930" t="s">
        <v>4811</v>
      </c>
      <c r="E5703" s="1931" t="s">
        <v>33</v>
      </c>
      <c r="F5703" s="1930" t="s">
        <v>33</v>
      </c>
      <c r="G5703" s="1932">
        <v>87370</v>
      </c>
      <c r="H5703" s="1930" t="s">
        <v>8463</v>
      </c>
      <c r="I5703" s="1930" t="s">
        <v>1208</v>
      </c>
      <c r="J5703" s="1930" t="s">
        <v>320</v>
      </c>
      <c r="K5703" s="1933">
        <v>466.61</v>
      </c>
      <c r="L5703" s="1930" t="s">
        <v>138</v>
      </c>
    </row>
    <row r="5704" spans="1:12" ht="13.5" x14ac:dyDescent="0.25">
      <c r="A5704" s="1930" t="s">
        <v>4628</v>
      </c>
      <c r="B5704" s="1930" t="s">
        <v>4809</v>
      </c>
      <c r="C5704" s="1930" t="s">
        <v>4810</v>
      </c>
      <c r="D5704" s="1930" t="s">
        <v>4811</v>
      </c>
      <c r="E5704" s="1931" t="s">
        <v>33</v>
      </c>
      <c r="F5704" s="1930" t="s">
        <v>33</v>
      </c>
      <c r="G5704" s="1932">
        <v>87371</v>
      </c>
      <c r="H5704" s="1930" t="s">
        <v>8464</v>
      </c>
      <c r="I5704" s="1930" t="s">
        <v>1208</v>
      </c>
      <c r="J5704" s="1930" t="s">
        <v>320</v>
      </c>
      <c r="K5704" s="1933">
        <v>463.93</v>
      </c>
      <c r="L5704" s="1930" t="s">
        <v>138</v>
      </c>
    </row>
    <row r="5705" spans="1:12" ht="13.5" x14ac:dyDescent="0.25">
      <c r="A5705" s="1930" t="s">
        <v>4628</v>
      </c>
      <c r="B5705" s="1930" t="s">
        <v>4809</v>
      </c>
      <c r="C5705" s="1930" t="s">
        <v>4810</v>
      </c>
      <c r="D5705" s="1930" t="s">
        <v>4811</v>
      </c>
      <c r="E5705" s="1931" t="s">
        <v>33</v>
      </c>
      <c r="F5705" s="1930" t="s">
        <v>33</v>
      </c>
      <c r="G5705" s="1932">
        <v>87372</v>
      </c>
      <c r="H5705" s="1930" t="s">
        <v>8465</v>
      </c>
      <c r="I5705" s="1930" t="s">
        <v>1208</v>
      </c>
      <c r="J5705" s="1930" t="s">
        <v>320</v>
      </c>
      <c r="K5705" s="1933">
        <v>519.86</v>
      </c>
      <c r="L5705" s="1930" t="s">
        <v>138</v>
      </c>
    </row>
    <row r="5706" spans="1:12" ht="13.5" x14ac:dyDescent="0.25">
      <c r="A5706" s="1930" t="s">
        <v>4628</v>
      </c>
      <c r="B5706" s="1930" t="s">
        <v>4809</v>
      </c>
      <c r="C5706" s="1930" t="s">
        <v>4810</v>
      </c>
      <c r="D5706" s="1930" t="s">
        <v>4811</v>
      </c>
      <c r="E5706" s="1931" t="s">
        <v>33</v>
      </c>
      <c r="F5706" s="1930" t="s">
        <v>33</v>
      </c>
      <c r="G5706" s="1932">
        <v>87373</v>
      </c>
      <c r="H5706" s="1930" t="s">
        <v>8466</v>
      </c>
      <c r="I5706" s="1930" t="s">
        <v>1208</v>
      </c>
      <c r="J5706" s="1930" t="s">
        <v>320</v>
      </c>
      <c r="K5706" s="1933">
        <v>476.26</v>
      </c>
      <c r="L5706" s="1930" t="s">
        <v>138</v>
      </c>
    </row>
    <row r="5707" spans="1:12" ht="13.5" x14ac:dyDescent="0.25">
      <c r="A5707" s="1930" t="s">
        <v>4628</v>
      </c>
      <c r="B5707" s="1930" t="s">
        <v>4809</v>
      </c>
      <c r="C5707" s="1930" t="s">
        <v>4810</v>
      </c>
      <c r="D5707" s="1930" t="s">
        <v>4811</v>
      </c>
      <c r="E5707" s="1931" t="s">
        <v>33</v>
      </c>
      <c r="F5707" s="1930" t="s">
        <v>33</v>
      </c>
      <c r="G5707" s="1932">
        <v>87374</v>
      </c>
      <c r="H5707" s="1930" t="s">
        <v>8467</v>
      </c>
      <c r="I5707" s="1930" t="s">
        <v>1208</v>
      </c>
      <c r="J5707" s="1930" t="s">
        <v>320</v>
      </c>
      <c r="K5707" s="1933">
        <v>453.69</v>
      </c>
      <c r="L5707" s="1930" t="s">
        <v>138</v>
      </c>
    </row>
    <row r="5708" spans="1:12" ht="13.5" x14ac:dyDescent="0.25">
      <c r="A5708" s="1930" t="s">
        <v>4628</v>
      </c>
      <c r="B5708" s="1930" t="s">
        <v>4809</v>
      </c>
      <c r="C5708" s="1930" t="s">
        <v>4810</v>
      </c>
      <c r="D5708" s="1930" t="s">
        <v>4811</v>
      </c>
      <c r="E5708" s="1931" t="s">
        <v>33</v>
      </c>
      <c r="F5708" s="1930" t="s">
        <v>33</v>
      </c>
      <c r="G5708" s="1932">
        <v>87375</v>
      </c>
      <c r="H5708" s="1930" t="s">
        <v>8468</v>
      </c>
      <c r="I5708" s="1930" t="s">
        <v>1208</v>
      </c>
      <c r="J5708" s="1930" t="s">
        <v>320</v>
      </c>
      <c r="K5708" s="1933">
        <v>440.36</v>
      </c>
      <c r="L5708" s="1930" t="s">
        <v>138</v>
      </c>
    </row>
    <row r="5709" spans="1:12" ht="13.5" x14ac:dyDescent="0.25">
      <c r="A5709" s="1930" t="s">
        <v>4628</v>
      </c>
      <c r="B5709" s="1930" t="s">
        <v>4809</v>
      </c>
      <c r="C5709" s="1930" t="s">
        <v>4810</v>
      </c>
      <c r="D5709" s="1930" t="s">
        <v>4811</v>
      </c>
      <c r="E5709" s="1931" t="s">
        <v>33</v>
      </c>
      <c r="F5709" s="1930" t="s">
        <v>33</v>
      </c>
      <c r="G5709" s="1932">
        <v>87376</v>
      </c>
      <c r="H5709" s="1930" t="s">
        <v>8469</v>
      </c>
      <c r="I5709" s="1930" t="s">
        <v>1208</v>
      </c>
      <c r="J5709" s="1930" t="s">
        <v>320</v>
      </c>
      <c r="K5709" s="1933">
        <v>400.17</v>
      </c>
      <c r="L5709" s="1930" t="s">
        <v>138</v>
      </c>
    </row>
    <row r="5710" spans="1:12" ht="13.5" x14ac:dyDescent="0.25">
      <c r="A5710" s="1930" t="s">
        <v>4628</v>
      </c>
      <c r="B5710" s="1930" t="s">
        <v>4809</v>
      </c>
      <c r="C5710" s="1930" t="s">
        <v>4810</v>
      </c>
      <c r="D5710" s="1930" t="s">
        <v>4811</v>
      </c>
      <c r="E5710" s="1931" t="s">
        <v>33</v>
      </c>
      <c r="F5710" s="1930" t="s">
        <v>33</v>
      </c>
      <c r="G5710" s="1932">
        <v>87377</v>
      </c>
      <c r="H5710" s="1930" t="s">
        <v>8470</v>
      </c>
      <c r="I5710" s="1930" t="s">
        <v>1208</v>
      </c>
      <c r="J5710" s="1930" t="s">
        <v>320</v>
      </c>
      <c r="K5710" s="1933">
        <v>444.59</v>
      </c>
      <c r="L5710" s="1930" t="s">
        <v>138</v>
      </c>
    </row>
    <row r="5711" spans="1:12" ht="13.5" x14ac:dyDescent="0.25">
      <c r="A5711" s="1930" t="s">
        <v>4628</v>
      </c>
      <c r="B5711" s="1930" t="s">
        <v>4809</v>
      </c>
      <c r="C5711" s="1930" t="s">
        <v>4810</v>
      </c>
      <c r="D5711" s="1930" t="s">
        <v>4811</v>
      </c>
      <c r="E5711" s="1931" t="s">
        <v>33</v>
      </c>
      <c r="F5711" s="1930" t="s">
        <v>33</v>
      </c>
      <c r="G5711" s="1932">
        <v>87378</v>
      </c>
      <c r="H5711" s="1930" t="s">
        <v>8471</v>
      </c>
      <c r="I5711" s="1930" t="s">
        <v>1208</v>
      </c>
      <c r="J5711" s="1930" t="s">
        <v>320</v>
      </c>
      <c r="K5711" s="1933">
        <v>414.42</v>
      </c>
      <c r="L5711" s="1930" t="s">
        <v>138</v>
      </c>
    </row>
    <row r="5712" spans="1:12" ht="13.5" x14ac:dyDescent="0.25">
      <c r="A5712" s="1930" t="s">
        <v>4628</v>
      </c>
      <c r="B5712" s="1930" t="s">
        <v>4809</v>
      </c>
      <c r="C5712" s="1930" t="s">
        <v>4810</v>
      </c>
      <c r="D5712" s="1930" t="s">
        <v>4811</v>
      </c>
      <c r="E5712" s="1931" t="s">
        <v>33</v>
      </c>
      <c r="F5712" s="1930" t="s">
        <v>33</v>
      </c>
      <c r="G5712" s="1932">
        <v>87379</v>
      </c>
      <c r="H5712" s="1930" t="s">
        <v>8472</v>
      </c>
      <c r="I5712" s="1930" t="s">
        <v>1208</v>
      </c>
      <c r="J5712" s="1930" t="s">
        <v>320</v>
      </c>
      <c r="K5712" s="1933">
        <v>2545.81</v>
      </c>
      <c r="L5712" s="1930" t="s">
        <v>138</v>
      </c>
    </row>
    <row r="5713" spans="1:12" ht="13.5" x14ac:dyDescent="0.25">
      <c r="A5713" s="1930" t="s">
        <v>4628</v>
      </c>
      <c r="B5713" s="1930" t="s">
        <v>4809</v>
      </c>
      <c r="C5713" s="1930" t="s">
        <v>4810</v>
      </c>
      <c r="D5713" s="1930" t="s">
        <v>4811</v>
      </c>
      <c r="E5713" s="1931" t="s">
        <v>33</v>
      </c>
      <c r="F5713" s="1930" t="s">
        <v>33</v>
      </c>
      <c r="G5713" s="1932">
        <v>87380</v>
      </c>
      <c r="H5713" s="1930" t="s">
        <v>8473</v>
      </c>
      <c r="I5713" s="1930" t="s">
        <v>1208</v>
      </c>
      <c r="J5713" s="1930" t="s">
        <v>320</v>
      </c>
      <c r="K5713" s="1933">
        <v>2593.83</v>
      </c>
      <c r="L5713" s="1930" t="s">
        <v>138</v>
      </c>
    </row>
    <row r="5714" spans="1:12" ht="13.5" x14ac:dyDescent="0.25">
      <c r="A5714" s="1930" t="s">
        <v>4628</v>
      </c>
      <c r="B5714" s="1930" t="s">
        <v>4809</v>
      </c>
      <c r="C5714" s="1930" t="s">
        <v>4810</v>
      </c>
      <c r="D5714" s="1930" t="s">
        <v>4811</v>
      </c>
      <c r="E5714" s="1931" t="s">
        <v>33</v>
      </c>
      <c r="F5714" s="1930" t="s">
        <v>33</v>
      </c>
      <c r="G5714" s="1932">
        <v>87381</v>
      </c>
      <c r="H5714" s="1930" t="s">
        <v>8474</v>
      </c>
      <c r="I5714" s="1930" t="s">
        <v>1208</v>
      </c>
      <c r="J5714" s="1930" t="s">
        <v>320</v>
      </c>
      <c r="K5714" s="1933">
        <v>2561.2600000000002</v>
      </c>
      <c r="L5714" s="1930" t="s">
        <v>138</v>
      </c>
    </row>
    <row r="5715" spans="1:12" ht="13.5" x14ac:dyDescent="0.25">
      <c r="A5715" s="1930" t="s">
        <v>4628</v>
      </c>
      <c r="B5715" s="1930" t="s">
        <v>4809</v>
      </c>
      <c r="C5715" s="1930" t="s">
        <v>4810</v>
      </c>
      <c r="D5715" s="1930" t="s">
        <v>4811</v>
      </c>
      <c r="E5715" s="1931" t="s">
        <v>33</v>
      </c>
      <c r="F5715" s="1930" t="s">
        <v>33</v>
      </c>
      <c r="G5715" s="1932">
        <v>87382</v>
      </c>
      <c r="H5715" s="1930" t="s">
        <v>8475</v>
      </c>
      <c r="I5715" s="1930" t="s">
        <v>1208</v>
      </c>
      <c r="J5715" s="1930" t="s">
        <v>320</v>
      </c>
      <c r="K5715" s="1933">
        <v>734.86</v>
      </c>
      <c r="L5715" s="1930" t="s">
        <v>138</v>
      </c>
    </row>
    <row r="5716" spans="1:12" ht="13.5" x14ac:dyDescent="0.25">
      <c r="A5716" s="1930" t="s">
        <v>4628</v>
      </c>
      <c r="B5716" s="1930" t="s">
        <v>4809</v>
      </c>
      <c r="C5716" s="1930" t="s">
        <v>4810</v>
      </c>
      <c r="D5716" s="1930" t="s">
        <v>4811</v>
      </c>
      <c r="E5716" s="1931" t="s">
        <v>33</v>
      </c>
      <c r="F5716" s="1930" t="s">
        <v>33</v>
      </c>
      <c r="G5716" s="1932">
        <v>87383</v>
      </c>
      <c r="H5716" s="1930" t="s">
        <v>8476</v>
      </c>
      <c r="I5716" s="1930" t="s">
        <v>1208</v>
      </c>
      <c r="J5716" s="1930" t="s">
        <v>320</v>
      </c>
      <c r="K5716" s="1933">
        <v>726.74</v>
      </c>
      <c r="L5716" s="1930" t="s">
        <v>138</v>
      </c>
    </row>
    <row r="5717" spans="1:12" ht="13.5" x14ac:dyDescent="0.25">
      <c r="A5717" s="1930" t="s">
        <v>4628</v>
      </c>
      <c r="B5717" s="1930" t="s">
        <v>4809</v>
      </c>
      <c r="C5717" s="1930" t="s">
        <v>4810</v>
      </c>
      <c r="D5717" s="1930" t="s">
        <v>4811</v>
      </c>
      <c r="E5717" s="1931" t="s">
        <v>33</v>
      </c>
      <c r="F5717" s="1930" t="s">
        <v>33</v>
      </c>
      <c r="G5717" s="1932">
        <v>87384</v>
      </c>
      <c r="H5717" s="1930" t="s">
        <v>8477</v>
      </c>
      <c r="I5717" s="1930" t="s">
        <v>1208</v>
      </c>
      <c r="J5717" s="1930" t="s">
        <v>320</v>
      </c>
      <c r="K5717" s="1933">
        <v>717.65</v>
      </c>
      <c r="L5717" s="1930" t="s">
        <v>138</v>
      </c>
    </row>
    <row r="5718" spans="1:12" ht="13.5" x14ac:dyDescent="0.25">
      <c r="A5718" s="1930" t="s">
        <v>4628</v>
      </c>
      <c r="B5718" s="1930" t="s">
        <v>4809</v>
      </c>
      <c r="C5718" s="1930" t="s">
        <v>4810</v>
      </c>
      <c r="D5718" s="1930" t="s">
        <v>4811</v>
      </c>
      <c r="E5718" s="1931" t="s">
        <v>33</v>
      </c>
      <c r="F5718" s="1930" t="s">
        <v>33</v>
      </c>
      <c r="G5718" s="1932">
        <v>87385</v>
      </c>
      <c r="H5718" s="1930" t="s">
        <v>8478</v>
      </c>
      <c r="I5718" s="1930" t="s">
        <v>1208</v>
      </c>
      <c r="J5718" s="1930" t="s">
        <v>320</v>
      </c>
      <c r="K5718" s="1933">
        <v>1032.93</v>
      </c>
      <c r="L5718" s="1930" t="s">
        <v>138</v>
      </c>
    </row>
    <row r="5719" spans="1:12" ht="13.5" x14ac:dyDescent="0.25">
      <c r="A5719" s="1930" t="s">
        <v>4628</v>
      </c>
      <c r="B5719" s="1930" t="s">
        <v>4809</v>
      </c>
      <c r="C5719" s="1930" t="s">
        <v>4810</v>
      </c>
      <c r="D5719" s="1930" t="s">
        <v>4811</v>
      </c>
      <c r="E5719" s="1931" t="s">
        <v>33</v>
      </c>
      <c r="F5719" s="1930" t="s">
        <v>33</v>
      </c>
      <c r="G5719" s="1932">
        <v>87386</v>
      </c>
      <c r="H5719" s="1930" t="s">
        <v>8479</v>
      </c>
      <c r="I5719" s="1930" t="s">
        <v>1208</v>
      </c>
      <c r="J5719" s="1930" t="s">
        <v>320</v>
      </c>
      <c r="K5719" s="1933">
        <v>1022.25</v>
      </c>
      <c r="L5719" s="1930" t="s">
        <v>138</v>
      </c>
    </row>
    <row r="5720" spans="1:12" ht="13.5" x14ac:dyDescent="0.25">
      <c r="A5720" s="1930" t="s">
        <v>4628</v>
      </c>
      <c r="B5720" s="1930" t="s">
        <v>4809</v>
      </c>
      <c r="C5720" s="1930" t="s">
        <v>4810</v>
      </c>
      <c r="D5720" s="1930" t="s">
        <v>4811</v>
      </c>
      <c r="E5720" s="1931" t="s">
        <v>33</v>
      </c>
      <c r="F5720" s="1930" t="s">
        <v>33</v>
      </c>
      <c r="G5720" s="1932">
        <v>87387</v>
      </c>
      <c r="H5720" s="1930" t="s">
        <v>8480</v>
      </c>
      <c r="I5720" s="1930" t="s">
        <v>1208</v>
      </c>
      <c r="J5720" s="1930" t="s">
        <v>320</v>
      </c>
      <c r="K5720" s="1933">
        <v>1015</v>
      </c>
      <c r="L5720" s="1930" t="s">
        <v>138</v>
      </c>
    </row>
    <row r="5721" spans="1:12" ht="13.5" x14ac:dyDescent="0.25">
      <c r="A5721" s="1930" t="s">
        <v>4628</v>
      </c>
      <c r="B5721" s="1930" t="s">
        <v>4809</v>
      </c>
      <c r="C5721" s="1930" t="s">
        <v>4810</v>
      </c>
      <c r="D5721" s="1930" t="s">
        <v>4811</v>
      </c>
      <c r="E5721" s="1931" t="s">
        <v>33</v>
      </c>
      <c r="F5721" s="1930" t="s">
        <v>33</v>
      </c>
      <c r="G5721" s="1932">
        <v>87388</v>
      </c>
      <c r="H5721" s="1930" t="s">
        <v>8481</v>
      </c>
      <c r="I5721" s="1930" t="s">
        <v>1208</v>
      </c>
      <c r="J5721" s="1930" t="s">
        <v>320</v>
      </c>
      <c r="K5721" s="1933">
        <v>2418.62</v>
      </c>
      <c r="L5721" s="1930" t="s">
        <v>138</v>
      </c>
    </row>
    <row r="5722" spans="1:12" ht="13.5" x14ac:dyDescent="0.25">
      <c r="A5722" s="1930" t="s">
        <v>4628</v>
      </c>
      <c r="B5722" s="1930" t="s">
        <v>4809</v>
      </c>
      <c r="C5722" s="1930" t="s">
        <v>4810</v>
      </c>
      <c r="D5722" s="1930" t="s">
        <v>4811</v>
      </c>
      <c r="E5722" s="1931" t="s">
        <v>33</v>
      </c>
      <c r="F5722" s="1930" t="s">
        <v>33</v>
      </c>
      <c r="G5722" s="1932">
        <v>87389</v>
      </c>
      <c r="H5722" s="1930" t="s">
        <v>8482</v>
      </c>
      <c r="I5722" s="1930" t="s">
        <v>1208</v>
      </c>
      <c r="J5722" s="1930" t="s">
        <v>320</v>
      </c>
      <c r="K5722" s="1933">
        <v>2422.6</v>
      </c>
      <c r="L5722" s="1930" t="s">
        <v>138</v>
      </c>
    </row>
    <row r="5723" spans="1:12" ht="13.5" x14ac:dyDescent="0.25">
      <c r="A5723" s="1930" t="s">
        <v>4628</v>
      </c>
      <c r="B5723" s="1930" t="s">
        <v>4809</v>
      </c>
      <c r="C5723" s="1930" t="s">
        <v>4810</v>
      </c>
      <c r="D5723" s="1930" t="s">
        <v>4811</v>
      </c>
      <c r="E5723" s="1931" t="s">
        <v>33</v>
      </c>
      <c r="F5723" s="1930" t="s">
        <v>33</v>
      </c>
      <c r="G5723" s="1932">
        <v>87390</v>
      </c>
      <c r="H5723" s="1930" t="s">
        <v>8483</v>
      </c>
      <c r="I5723" s="1930" t="s">
        <v>1208</v>
      </c>
      <c r="J5723" s="1930" t="s">
        <v>320</v>
      </c>
      <c r="K5723" s="1933">
        <v>2430.58</v>
      </c>
      <c r="L5723" s="1930" t="s">
        <v>138</v>
      </c>
    </row>
    <row r="5724" spans="1:12" ht="13.5" x14ac:dyDescent="0.25">
      <c r="A5724" s="1930" t="s">
        <v>4628</v>
      </c>
      <c r="B5724" s="1930" t="s">
        <v>4809</v>
      </c>
      <c r="C5724" s="1930" t="s">
        <v>4810</v>
      </c>
      <c r="D5724" s="1930" t="s">
        <v>4811</v>
      </c>
      <c r="E5724" s="1931" t="s">
        <v>33</v>
      </c>
      <c r="F5724" s="1930" t="s">
        <v>33</v>
      </c>
      <c r="G5724" s="1932">
        <v>87391</v>
      </c>
      <c r="H5724" s="1930" t="s">
        <v>8484</v>
      </c>
      <c r="I5724" s="1930" t="s">
        <v>1208</v>
      </c>
      <c r="J5724" s="1930" t="s">
        <v>320</v>
      </c>
      <c r="K5724" s="1933">
        <v>3476.81</v>
      </c>
      <c r="L5724" s="1930" t="s">
        <v>138</v>
      </c>
    </row>
    <row r="5725" spans="1:12" ht="13.5" x14ac:dyDescent="0.25">
      <c r="A5725" s="1930" t="s">
        <v>4628</v>
      </c>
      <c r="B5725" s="1930" t="s">
        <v>4809</v>
      </c>
      <c r="C5725" s="1930" t="s">
        <v>4810</v>
      </c>
      <c r="D5725" s="1930" t="s">
        <v>4811</v>
      </c>
      <c r="E5725" s="1931" t="s">
        <v>33</v>
      </c>
      <c r="F5725" s="1930" t="s">
        <v>33</v>
      </c>
      <c r="G5725" s="1932">
        <v>87393</v>
      </c>
      <c r="H5725" s="1930" t="s">
        <v>8485</v>
      </c>
      <c r="I5725" s="1930" t="s">
        <v>1208</v>
      </c>
      <c r="J5725" s="1930" t="s">
        <v>320</v>
      </c>
      <c r="K5725" s="1933">
        <v>3505.4</v>
      </c>
      <c r="L5725" s="1930" t="s">
        <v>138</v>
      </c>
    </row>
    <row r="5726" spans="1:12" ht="13.5" x14ac:dyDescent="0.25">
      <c r="A5726" s="1930" t="s">
        <v>4628</v>
      </c>
      <c r="B5726" s="1930" t="s">
        <v>4809</v>
      </c>
      <c r="C5726" s="1930" t="s">
        <v>4810</v>
      </c>
      <c r="D5726" s="1930" t="s">
        <v>4811</v>
      </c>
      <c r="E5726" s="1931" t="s">
        <v>33</v>
      </c>
      <c r="F5726" s="1930" t="s">
        <v>33</v>
      </c>
      <c r="G5726" s="1932">
        <v>87394</v>
      </c>
      <c r="H5726" s="1930" t="s">
        <v>8486</v>
      </c>
      <c r="I5726" s="1930" t="s">
        <v>1208</v>
      </c>
      <c r="J5726" s="1930" t="s">
        <v>320</v>
      </c>
      <c r="K5726" s="1933">
        <v>3534.38</v>
      </c>
      <c r="L5726" s="1930" t="s">
        <v>138</v>
      </c>
    </row>
    <row r="5727" spans="1:12" ht="13.5" x14ac:dyDescent="0.25">
      <c r="A5727" s="1930" t="s">
        <v>4628</v>
      </c>
      <c r="B5727" s="1930" t="s">
        <v>4809</v>
      </c>
      <c r="C5727" s="1930" t="s">
        <v>4810</v>
      </c>
      <c r="D5727" s="1930" t="s">
        <v>4811</v>
      </c>
      <c r="E5727" s="1931" t="s">
        <v>33</v>
      </c>
      <c r="F5727" s="1930" t="s">
        <v>33</v>
      </c>
      <c r="G5727" s="1932">
        <v>87395</v>
      </c>
      <c r="H5727" s="1930" t="s">
        <v>8487</v>
      </c>
      <c r="I5727" s="1930" t="s">
        <v>1208</v>
      </c>
      <c r="J5727" s="1930" t="s">
        <v>320</v>
      </c>
      <c r="K5727" s="1933">
        <v>2733.92</v>
      </c>
      <c r="L5727" s="1930" t="s">
        <v>138</v>
      </c>
    </row>
    <row r="5728" spans="1:12" ht="13.5" x14ac:dyDescent="0.25">
      <c r="A5728" s="1930" t="s">
        <v>4628</v>
      </c>
      <c r="B5728" s="1930" t="s">
        <v>4809</v>
      </c>
      <c r="C5728" s="1930" t="s">
        <v>4810</v>
      </c>
      <c r="D5728" s="1930" t="s">
        <v>4811</v>
      </c>
      <c r="E5728" s="1931" t="s">
        <v>33</v>
      </c>
      <c r="F5728" s="1930" t="s">
        <v>33</v>
      </c>
      <c r="G5728" s="1932">
        <v>87396</v>
      </c>
      <c r="H5728" s="1930" t="s">
        <v>8488</v>
      </c>
      <c r="I5728" s="1930" t="s">
        <v>1208</v>
      </c>
      <c r="J5728" s="1930" t="s">
        <v>320</v>
      </c>
      <c r="K5728" s="1933">
        <v>2752.54</v>
      </c>
      <c r="L5728" s="1930" t="s">
        <v>138</v>
      </c>
    </row>
    <row r="5729" spans="1:12" ht="13.5" x14ac:dyDescent="0.25">
      <c r="A5729" s="1930" t="s">
        <v>4628</v>
      </c>
      <c r="B5729" s="1930" t="s">
        <v>4809</v>
      </c>
      <c r="C5729" s="1930" t="s">
        <v>4810</v>
      </c>
      <c r="D5729" s="1930" t="s">
        <v>4811</v>
      </c>
      <c r="E5729" s="1931" t="s">
        <v>33</v>
      </c>
      <c r="F5729" s="1930" t="s">
        <v>33</v>
      </c>
      <c r="G5729" s="1932">
        <v>87397</v>
      </c>
      <c r="H5729" s="1930" t="s">
        <v>8489</v>
      </c>
      <c r="I5729" s="1930" t="s">
        <v>1208</v>
      </c>
      <c r="J5729" s="1930" t="s">
        <v>320</v>
      </c>
      <c r="K5729" s="1933">
        <v>2771.98</v>
      </c>
      <c r="L5729" s="1930" t="s">
        <v>138</v>
      </c>
    </row>
    <row r="5730" spans="1:12" ht="13.5" x14ac:dyDescent="0.25">
      <c r="A5730" s="1930" t="s">
        <v>4628</v>
      </c>
      <c r="B5730" s="1930" t="s">
        <v>4809</v>
      </c>
      <c r="C5730" s="1930" t="s">
        <v>4810</v>
      </c>
      <c r="D5730" s="1930" t="s">
        <v>4811</v>
      </c>
      <c r="E5730" s="1931" t="s">
        <v>33</v>
      </c>
      <c r="F5730" s="1930" t="s">
        <v>33</v>
      </c>
      <c r="G5730" s="1932">
        <v>87398</v>
      </c>
      <c r="H5730" s="1930" t="s">
        <v>8490</v>
      </c>
      <c r="I5730" s="1930" t="s">
        <v>1208</v>
      </c>
      <c r="J5730" s="1930" t="s">
        <v>320</v>
      </c>
      <c r="K5730" s="1933">
        <v>870.25</v>
      </c>
      <c r="L5730" s="1930" t="s">
        <v>138</v>
      </c>
    </row>
    <row r="5731" spans="1:12" ht="13.5" x14ac:dyDescent="0.25">
      <c r="A5731" s="1930" t="s">
        <v>4628</v>
      </c>
      <c r="B5731" s="1930" t="s">
        <v>4809</v>
      </c>
      <c r="C5731" s="1930" t="s">
        <v>4810</v>
      </c>
      <c r="D5731" s="1930" t="s">
        <v>4811</v>
      </c>
      <c r="E5731" s="1931" t="s">
        <v>33</v>
      </c>
      <c r="F5731" s="1930" t="s">
        <v>33</v>
      </c>
      <c r="G5731" s="1932">
        <v>87399</v>
      </c>
      <c r="H5731" s="1930" t="s">
        <v>8491</v>
      </c>
      <c r="I5731" s="1930" t="s">
        <v>1208</v>
      </c>
      <c r="J5731" s="1930" t="s">
        <v>320</v>
      </c>
      <c r="K5731" s="1933">
        <v>1174.23</v>
      </c>
      <c r="L5731" s="1930" t="s">
        <v>138</v>
      </c>
    </row>
    <row r="5732" spans="1:12" ht="13.5" x14ac:dyDescent="0.25">
      <c r="A5732" s="1930" t="s">
        <v>4628</v>
      </c>
      <c r="B5732" s="1930" t="s">
        <v>4809</v>
      </c>
      <c r="C5732" s="1930" t="s">
        <v>4810</v>
      </c>
      <c r="D5732" s="1930" t="s">
        <v>4811</v>
      </c>
      <c r="E5732" s="1931" t="s">
        <v>33</v>
      </c>
      <c r="F5732" s="1930" t="s">
        <v>33</v>
      </c>
      <c r="G5732" s="1932">
        <v>87401</v>
      </c>
      <c r="H5732" s="1930" t="s">
        <v>8492</v>
      </c>
      <c r="I5732" s="1930" t="s">
        <v>1208</v>
      </c>
      <c r="J5732" s="1930" t="s">
        <v>320</v>
      </c>
      <c r="K5732" s="1933">
        <v>3689.31</v>
      </c>
      <c r="L5732" s="1930" t="s">
        <v>138</v>
      </c>
    </row>
    <row r="5733" spans="1:12" ht="13.5" x14ac:dyDescent="0.25">
      <c r="A5733" s="1930" t="s">
        <v>4628</v>
      </c>
      <c r="B5733" s="1930" t="s">
        <v>4809</v>
      </c>
      <c r="C5733" s="1930" t="s">
        <v>4810</v>
      </c>
      <c r="D5733" s="1930" t="s">
        <v>4811</v>
      </c>
      <c r="E5733" s="1931" t="s">
        <v>33</v>
      </c>
      <c r="F5733" s="1930" t="s">
        <v>33</v>
      </c>
      <c r="G5733" s="1932">
        <v>87402</v>
      </c>
      <c r="H5733" s="1930" t="s">
        <v>8493</v>
      </c>
      <c r="I5733" s="1930" t="s">
        <v>1208</v>
      </c>
      <c r="J5733" s="1930" t="s">
        <v>320</v>
      </c>
      <c r="K5733" s="1933">
        <v>2931.21</v>
      </c>
      <c r="L5733" s="1930" t="s">
        <v>138</v>
      </c>
    </row>
    <row r="5734" spans="1:12" ht="13.5" x14ac:dyDescent="0.25">
      <c r="A5734" s="1930" t="s">
        <v>4628</v>
      </c>
      <c r="B5734" s="1930" t="s">
        <v>4809</v>
      </c>
      <c r="C5734" s="1930" t="s">
        <v>4810</v>
      </c>
      <c r="D5734" s="1930" t="s">
        <v>4811</v>
      </c>
      <c r="E5734" s="1931" t="s">
        <v>33</v>
      </c>
      <c r="F5734" s="1930" t="s">
        <v>33</v>
      </c>
      <c r="G5734" s="1932">
        <v>87404</v>
      </c>
      <c r="H5734" s="1930" t="s">
        <v>8494</v>
      </c>
      <c r="I5734" s="1930" t="s">
        <v>1208</v>
      </c>
      <c r="J5734" s="1930" t="s">
        <v>320</v>
      </c>
      <c r="K5734" s="1933">
        <v>2530.8200000000002</v>
      </c>
      <c r="L5734" s="1930" t="s">
        <v>138</v>
      </c>
    </row>
    <row r="5735" spans="1:12" ht="13.5" x14ac:dyDescent="0.25">
      <c r="A5735" s="1930" t="s">
        <v>4628</v>
      </c>
      <c r="B5735" s="1930" t="s">
        <v>4809</v>
      </c>
      <c r="C5735" s="1930" t="s">
        <v>4810</v>
      </c>
      <c r="D5735" s="1930" t="s">
        <v>4811</v>
      </c>
      <c r="E5735" s="1931" t="s">
        <v>33</v>
      </c>
      <c r="F5735" s="1930" t="s">
        <v>33</v>
      </c>
      <c r="G5735" s="1932">
        <v>87405</v>
      </c>
      <c r="H5735" s="1930" t="s">
        <v>4227</v>
      </c>
      <c r="I5735" s="1930" t="s">
        <v>1208</v>
      </c>
      <c r="J5735" s="1930" t="s">
        <v>320</v>
      </c>
      <c r="K5735" s="1933">
        <v>2528.36</v>
      </c>
      <c r="L5735" s="1930" t="s">
        <v>138</v>
      </c>
    </row>
    <row r="5736" spans="1:12" ht="13.5" x14ac:dyDescent="0.25">
      <c r="A5736" s="1930" t="s">
        <v>4628</v>
      </c>
      <c r="B5736" s="1930" t="s">
        <v>4809</v>
      </c>
      <c r="C5736" s="1930" t="s">
        <v>4810</v>
      </c>
      <c r="D5736" s="1930" t="s">
        <v>4811</v>
      </c>
      <c r="E5736" s="1931" t="s">
        <v>33</v>
      </c>
      <c r="F5736" s="1930" t="s">
        <v>33</v>
      </c>
      <c r="G5736" s="1932">
        <v>87407</v>
      </c>
      <c r="H5736" s="1930" t="s">
        <v>8495</v>
      </c>
      <c r="I5736" s="1930" t="s">
        <v>1208</v>
      </c>
      <c r="J5736" s="1930" t="s">
        <v>320</v>
      </c>
      <c r="K5736" s="1933">
        <v>756.44</v>
      </c>
      <c r="L5736" s="1930" t="s">
        <v>138</v>
      </c>
    </row>
    <row r="5737" spans="1:12" ht="13.5" x14ac:dyDescent="0.25">
      <c r="A5737" s="1930" t="s">
        <v>4628</v>
      </c>
      <c r="B5737" s="1930" t="s">
        <v>4809</v>
      </c>
      <c r="C5737" s="1930" t="s">
        <v>4810</v>
      </c>
      <c r="D5737" s="1930" t="s">
        <v>4811</v>
      </c>
      <c r="E5737" s="1931" t="s">
        <v>33</v>
      </c>
      <c r="F5737" s="1930" t="s">
        <v>33</v>
      </c>
      <c r="G5737" s="1932">
        <v>87408</v>
      </c>
      <c r="H5737" s="1930" t="s">
        <v>4228</v>
      </c>
      <c r="I5737" s="1930" t="s">
        <v>1208</v>
      </c>
      <c r="J5737" s="1930" t="s">
        <v>320</v>
      </c>
      <c r="K5737" s="1933">
        <v>743.93</v>
      </c>
      <c r="L5737" s="1930" t="s">
        <v>138</v>
      </c>
    </row>
    <row r="5738" spans="1:12" ht="13.5" x14ac:dyDescent="0.25">
      <c r="A5738" s="1930" t="s">
        <v>4628</v>
      </c>
      <c r="B5738" s="1930" t="s">
        <v>4809</v>
      </c>
      <c r="C5738" s="1930" t="s">
        <v>4810</v>
      </c>
      <c r="D5738" s="1930" t="s">
        <v>4811</v>
      </c>
      <c r="E5738" s="1931" t="s">
        <v>33</v>
      </c>
      <c r="F5738" s="1930" t="s">
        <v>33</v>
      </c>
      <c r="G5738" s="1932">
        <v>87410</v>
      </c>
      <c r="H5738" s="1930" t="s">
        <v>8496</v>
      </c>
      <c r="I5738" s="1930" t="s">
        <v>1208</v>
      </c>
      <c r="J5738" s="1930" t="s">
        <v>320</v>
      </c>
      <c r="K5738" s="1933">
        <v>788.3</v>
      </c>
      <c r="L5738" s="1930" t="s">
        <v>138</v>
      </c>
    </row>
    <row r="5739" spans="1:12" ht="13.5" x14ac:dyDescent="0.25">
      <c r="A5739" s="1930" t="s">
        <v>4628</v>
      </c>
      <c r="B5739" s="1930" t="s">
        <v>4809</v>
      </c>
      <c r="C5739" s="1930" t="s">
        <v>4810</v>
      </c>
      <c r="D5739" s="1930" t="s">
        <v>4811</v>
      </c>
      <c r="E5739" s="1931" t="s">
        <v>33</v>
      </c>
      <c r="F5739" s="1930" t="s">
        <v>33</v>
      </c>
      <c r="G5739" s="1932">
        <v>88626</v>
      </c>
      <c r="H5739" s="1930" t="s">
        <v>8497</v>
      </c>
      <c r="I5739" s="1930" t="s">
        <v>1208</v>
      </c>
      <c r="J5739" s="1930" t="s">
        <v>320</v>
      </c>
      <c r="K5739" s="1933">
        <v>360.51</v>
      </c>
      <c r="L5739" s="1930" t="s">
        <v>138</v>
      </c>
    </row>
    <row r="5740" spans="1:12" ht="13.5" x14ac:dyDescent="0.25">
      <c r="A5740" s="1930" t="s">
        <v>4628</v>
      </c>
      <c r="B5740" s="1930" t="s">
        <v>4809</v>
      </c>
      <c r="C5740" s="1930" t="s">
        <v>4810</v>
      </c>
      <c r="D5740" s="1930" t="s">
        <v>4811</v>
      </c>
      <c r="E5740" s="1931" t="s">
        <v>33</v>
      </c>
      <c r="F5740" s="1930" t="s">
        <v>33</v>
      </c>
      <c r="G5740" s="1932">
        <v>88627</v>
      </c>
      <c r="H5740" s="1930" t="s">
        <v>8498</v>
      </c>
      <c r="I5740" s="1930" t="s">
        <v>1208</v>
      </c>
      <c r="J5740" s="1930" t="s">
        <v>320</v>
      </c>
      <c r="K5740" s="1933">
        <v>432.19</v>
      </c>
      <c r="L5740" s="1930" t="s">
        <v>138</v>
      </c>
    </row>
    <row r="5741" spans="1:12" ht="13.5" x14ac:dyDescent="0.25">
      <c r="A5741" s="1930" t="s">
        <v>4628</v>
      </c>
      <c r="B5741" s="1930" t="s">
        <v>4809</v>
      </c>
      <c r="C5741" s="1930" t="s">
        <v>4810</v>
      </c>
      <c r="D5741" s="1930" t="s">
        <v>4811</v>
      </c>
      <c r="E5741" s="1931" t="s">
        <v>33</v>
      </c>
      <c r="F5741" s="1930" t="s">
        <v>33</v>
      </c>
      <c r="G5741" s="1932">
        <v>88628</v>
      </c>
      <c r="H5741" s="1930" t="s">
        <v>8499</v>
      </c>
      <c r="I5741" s="1930" t="s">
        <v>1208</v>
      </c>
      <c r="J5741" s="1930" t="s">
        <v>320</v>
      </c>
      <c r="K5741" s="1933">
        <v>348.67</v>
      </c>
      <c r="L5741" s="1930" t="s">
        <v>138</v>
      </c>
    </row>
    <row r="5742" spans="1:12" ht="13.5" x14ac:dyDescent="0.25">
      <c r="A5742" s="1930" t="s">
        <v>4628</v>
      </c>
      <c r="B5742" s="1930" t="s">
        <v>4809</v>
      </c>
      <c r="C5742" s="1930" t="s">
        <v>4810</v>
      </c>
      <c r="D5742" s="1930" t="s">
        <v>4811</v>
      </c>
      <c r="E5742" s="1931" t="s">
        <v>33</v>
      </c>
      <c r="F5742" s="1930" t="s">
        <v>33</v>
      </c>
      <c r="G5742" s="1932">
        <v>88629</v>
      </c>
      <c r="H5742" s="1930" t="s">
        <v>8500</v>
      </c>
      <c r="I5742" s="1930" t="s">
        <v>1208</v>
      </c>
      <c r="J5742" s="1930" t="s">
        <v>320</v>
      </c>
      <c r="K5742" s="1933">
        <v>424.06</v>
      </c>
      <c r="L5742" s="1930" t="s">
        <v>138</v>
      </c>
    </row>
    <row r="5743" spans="1:12" ht="13.5" x14ac:dyDescent="0.25">
      <c r="A5743" s="1930" t="s">
        <v>4628</v>
      </c>
      <c r="B5743" s="1930" t="s">
        <v>4809</v>
      </c>
      <c r="C5743" s="1930" t="s">
        <v>4810</v>
      </c>
      <c r="D5743" s="1930" t="s">
        <v>4811</v>
      </c>
      <c r="E5743" s="1931" t="s">
        <v>33</v>
      </c>
      <c r="F5743" s="1930" t="s">
        <v>33</v>
      </c>
      <c r="G5743" s="1932">
        <v>88630</v>
      </c>
      <c r="H5743" s="1930" t="s">
        <v>4229</v>
      </c>
      <c r="I5743" s="1930" t="s">
        <v>1208</v>
      </c>
      <c r="J5743" s="1930" t="s">
        <v>320</v>
      </c>
      <c r="K5743" s="1933">
        <v>311.45</v>
      </c>
      <c r="L5743" s="1930" t="s">
        <v>138</v>
      </c>
    </row>
    <row r="5744" spans="1:12" ht="13.5" x14ac:dyDescent="0.25">
      <c r="A5744" s="1930" t="s">
        <v>4628</v>
      </c>
      <c r="B5744" s="1930" t="s">
        <v>4809</v>
      </c>
      <c r="C5744" s="1930" t="s">
        <v>4810</v>
      </c>
      <c r="D5744" s="1930" t="s">
        <v>4811</v>
      </c>
      <c r="E5744" s="1931" t="s">
        <v>33</v>
      </c>
      <c r="F5744" s="1930" t="s">
        <v>33</v>
      </c>
      <c r="G5744" s="1932">
        <v>88631</v>
      </c>
      <c r="H5744" s="1930" t="s">
        <v>8501</v>
      </c>
      <c r="I5744" s="1930" t="s">
        <v>1208</v>
      </c>
      <c r="J5744" s="1930" t="s">
        <v>320</v>
      </c>
      <c r="K5744" s="1933">
        <v>390.07</v>
      </c>
      <c r="L5744" s="1930" t="s">
        <v>138</v>
      </c>
    </row>
    <row r="5745" spans="1:12" ht="13.5" x14ac:dyDescent="0.25">
      <c r="A5745" s="1930" t="s">
        <v>4628</v>
      </c>
      <c r="B5745" s="1930" t="s">
        <v>4809</v>
      </c>
      <c r="C5745" s="1930" t="s">
        <v>4810</v>
      </c>
      <c r="D5745" s="1930" t="s">
        <v>4811</v>
      </c>
      <c r="E5745" s="1931" t="s">
        <v>33</v>
      </c>
      <c r="F5745" s="1930" t="s">
        <v>33</v>
      </c>
      <c r="G5745" s="1932">
        <v>88715</v>
      </c>
      <c r="H5745" s="1930" t="s">
        <v>8502</v>
      </c>
      <c r="I5745" s="1930" t="s">
        <v>1208</v>
      </c>
      <c r="J5745" s="1930" t="s">
        <v>320</v>
      </c>
      <c r="K5745" s="1933">
        <v>370.46</v>
      </c>
      <c r="L5745" s="1930" t="s">
        <v>138</v>
      </c>
    </row>
    <row r="5746" spans="1:12" ht="13.5" x14ac:dyDescent="0.25">
      <c r="A5746" s="1930" t="s">
        <v>4628</v>
      </c>
      <c r="B5746" s="1930" t="s">
        <v>4809</v>
      </c>
      <c r="C5746" s="1930" t="s">
        <v>4810</v>
      </c>
      <c r="D5746" s="1930" t="s">
        <v>4811</v>
      </c>
      <c r="E5746" s="1931" t="s">
        <v>33</v>
      </c>
      <c r="F5746" s="1930" t="s">
        <v>33</v>
      </c>
      <c r="G5746" s="1932">
        <v>95563</v>
      </c>
      <c r="H5746" s="1930" t="s">
        <v>14958</v>
      </c>
      <c r="I5746" s="1930" t="s">
        <v>1208</v>
      </c>
      <c r="J5746" s="1930" t="s">
        <v>320</v>
      </c>
      <c r="K5746" s="1933">
        <v>503.79</v>
      </c>
      <c r="L5746" s="1930" t="s">
        <v>138</v>
      </c>
    </row>
    <row r="5747" spans="1:12" ht="13.5" x14ac:dyDescent="0.25">
      <c r="A5747" s="1930" t="s">
        <v>4628</v>
      </c>
      <c r="B5747" s="1930" t="s">
        <v>4809</v>
      </c>
      <c r="C5747" s="1930" t="s">
        <v>4810</v>
      </c>
      <c r="D5747" s="1930" t="s">
        <v>4811</v>
      </c>
      <c r="E5747" s="1931" t="s">
        <v>33</v>
      </c>
      <c r="F5747" s="1930" t="s">
        <v>33</v>
      </c>
      <c r="G5747" s="1932">
        <v>100464</v>
      </c>
      <c r="H5747" s="1930" t="s">
        <v>8503</v>
      </c>
      <c r="I5747" s="1930" t="s">
        <v>1208</v>
      </c>
      <c r="J5747" s="1930" t="s">
        <v>320</v>
      </c>
      <c r="K5747" s="1933">
        <v>378.56</v>
      </c>
      <c r="L5747" s="1930" t="s">
        <v>138</v>
      </c>
    </row>
    <row r="5748" spans="1:12" ht="13.5" x14ac:dyDescent="0.25">
      <c r="A5748" s="1930" t="s">
        <v>4628</v>
      </c>
      <c r="B5748" s="1930" t="s">
        <v>4809</v>
      </c>
      <c r="C5748" s="1930" t="s">
        <v>4810</v>
      </c>
      <c r="D5748" s="1930" t="s">
        <v>4811</v>
      </c>
      <c r="E5748" s="1931" t="s">
        <v>33</v>
      </c>
      <c r="F5748" s="1930" t="s">
        <v>33</v>
      </c>
      <c r="G5748" s="1932">
        <v>100465</v>
      </c>
      <c r="H5748" s="1930" t="s">
        <v>8504</v>
      </c>
      <c r="I5748" s="1930" t="s">
        <v>1208</v>
      </c>
      <c r="J5748" s="1930" t="s">
        <v>320</v>
      </c>
      <c r="K5748" s="1933">
        <v>352.16</v>
      </c>
      <c r="L5748" s="1930" t="s">
        <v>138</v>
      </c>
    </row>
    <row r="5749" spans="1:12" ht="13.5" x14ac:dyDescent="0.25">
      <c r="A5749" s="1930" t="s">
        <v>4628</v>
      </c>
      <c r="B5749" s="1930" t="s">
        <v>4809</v>
      </c>
      <c r="C5749" s="1930" t="s">
        <v>4810</v>
      </c>
      <c r="D5749" s="1930" t="s">
        <v>4811</v>
      </c>
      <c r="E5749" s="1931" t="s">
        <v>33</v>
      </c>
      <c r="F5749" s="1930" t="s">
        <v>33</v>
      </c>
      <c r="G5749" s="1932">
        <v>100466</v>
      </c>
      <c r="H5749" s="1930" t="s">
        <v>8505</v>
      </c>
      <c r="I5749" s="1930" t="s">
        <v>1208</v>
      </c>
      <c r="J5749" s="1930" t="s">
        <v>320</v>
      </c>
      <c r="K5749" s="1933">
        <v>339.3</v>
      </c>
      <c r="L5749" s="1930" t="s">
        <v>138</v>
      </c>
    </row>
    <row r="5750" spans="1:12" ht="13.5" x14ac:dyDescent="0.25">
      <c r="A5750" s="1930" t="s">
        <v>4628</v>
      </c>
      <c r="B5750" s="1930" t="s">
        <v>4809</v>
      </c>
      <c r="C5750" s="1930" t="s">
        <v>4810</v>
      </c>
      <c r="D5750" s="1930" t="s">
        <v>4811</v>
      </c>
      <c r="E5750" s="1931" t="s">
        <v>33</v>
      </c>
      <c r="F5750" s="1930" t="s">
        <v>33</v>
      </c>
      <c r="G5750" s="1932">
        <v>100468</v>
      </c>
      <c r="H5750" s="1930" t="s">
        <v>8506</v>
      </c>
      <c r="I5750" s="1930" t="s">
        <v>1208</v>
      </c>
      <c r="J5750" s="1930" t="s">
        <v>320</v>
      </c>
      <c r="K5750" s="1933">
        <v>428.47</v>
      </c>
      <c r="L5750" s="1930" t="s">
        <v>138</v>
      </c>
    </row>
    <row r="5751" spans="1:12" ht="13.5" x14ac:dyDescent="0.25">
      <c r="A5751" s="1930" t="s">
        <v>4628</v>
      </c>
      <c r="B5751" s="1930" t="s">
        <v>4809</v>
      </c>
      <c r="C5751" s="1930" t="s">
        <v>4810</v>
      </c>
      <c r="D5751" s="1930" t="s">
        <v>4811</v>
      </c>
      <c r="E5751" s="1931" t="s">
        <v>33</v>
      </c>
      <c r="F5751" s="1930" t="s">
        <v>33</v>
      </c>
      <c r="G5751" s="1932">
        <v>100469</v>
      </c>
      <c r="H5751" s="1930" t="s">
        <v>8507</v>
      </c>
      <c r="I5751" s="1930" t="s">
        <v>1208</v>
      </c>
      <c r="J5751" s="1930" t="s">
        <v>320</v>
      </c>
      <c r="K5751" s="1933">
        <v>342.77</v>
      </c>
      <c r="L5751" s="1930" t="s">
        <v>138</v>
      </c>
    </row>
    <row r="5752" spans="1:12" ht="13.5" x14ac:dyDescent="0.25">
      <c r="A5752" s="1930" t="s">
        <v>4628</v>
      </c>
      <c r="B5752" s="1930" t="s">
        <v>4809</v>
      </c>
      <c r="C5752" s="1930" t="s">
        <v>4810</v>
      </c>
      <c r="D5752" s="1930" t="s">
        <v>4811</v>
      </c>
      <c r="E5752" s="1931" t="s">
        <v>33</v>
      </c>
      <c r="F5752" s="1930" t="s">
        <v>33</v>
      </c>
      <c r="G5752" s="1932">
        <v>100470</v>
      </c>
      <c r="H5752" s="1930" t="s">
        <v>8508</v>
      </c>
      <c r="I5752" s="1930" t="s">
        <v>1208</v>
      </c>
      <c r="J5752" s="1930" t="s">
        <v>320</v>
      </c>
      <c r="K5752" s="1933">
        <v>315.73</v>
      </c>
      <c r="L5752" s="1930" t="s">
        <v>138</v>
      </c>
    </row>
    <row r="5753" spans="1:12" ht="13.5" x14ac:dyDescent="0.25">
      <c r="A5753" s="1930" t="s">
        <v>4628</v>
      </c>
      <c r="B5753" s="1930" t="s">
        <v>4809</v>
      </c>
      <c r="C5753" s="1930" t="s">
        <v>4810</v>
      </c>
      <c r="D5753" s="1930" t="s">
        <v>4811</v>
      </c>
      <c r="E5753" s="1931" t="s">
        <v>33</v>
      </c>
      <c r="F5753" s="1930" t="s">
        <v>33</v>
      </c>
      <c r="G5753" s="1932">
        <v>100472</v>
      </c>
      <c r="H5753" s="1930" t="s">
        <v>8509</v>
      </c>
      <c r="I5753" s="1930" t="s">
        <v>1208</v>
      </c>
      <c r="J5753" s="1930" t="s">
        <v>320</v>
      </c>
      <c r="K5753" s="1933">
        <v>351.4</v>
      </c>
      <c r="L5753" s="1930" t="s">
        <v>138</v>
      </c>
    </row>
    <row r="5754" spans="1:12" ht="13.5" x14ac:dyDescent="0.25">
      <c r="A5754" s="1930" t="s">
        <v>4628</v>
      </c>
      <c r="B5754" s="1930" t="s">
        <v>4809</v>
      </c>
      <c r="C5754" s="1930" t="s">
        <v>4810</v>
      </c>
      <c r="D5754" s="1930" t="s">
        <v>4811</v>
      </c>
      <c r="E5754" s="1931" t="s">
        <v>33</v>
      </c>
      <c r="F5754" s="1930" t="s">
        <v>33</v>
      </c>
      <c r="G5754" s="1932">
        <v>100473</v>
      </c>
      <c r="H5754" s="1930" t="s">
        <v>8510</v>
      </c>
      <c r="I5754" s="1930" t="s">
        <v>1208</v>
      </c>
      <c r="J5754" s="1930" t="s">
        <v>320</v>
      </c>
      <c r="K5754" s="1933">
        <v>317.91000000000003</v>
      </c>
      <c r="L5754" s="1930" t="s">
        <v>138</v>
      </c>
    </row>
    <row r="5755" spans="1:12" ht="13.5" x14ac:dyDescent="0.25">
      <c r="A5755" s="1930" t="s">
        <v>4628</v>
      </c>
      <c r="B5755" s="1930" t="s">
        <v>4809</v>
      </c>
      <c r="C5755" s="1930" t="s">
        <v>4810</v>
      </c>
      <c r="D5755" s="1930" t="s">
        <v>4811</v>
      </c>
      <c r="E5755" s="1931" t="s">
        <v>33</v>
      </c>
      <c r="F5755" s="1930" t="s">
        <v>33</v>
      </c>
      <c r="G5755" s="1932">
        <v>100474</v>
      </c>
      <c r="H5755" s="1930" t="s">
        <v>8511</v>
      </c>
      <c r="I5755" s="1930" t="s">
        <v>1208</v>
      </c>
      <c r="J5755" s="1930" t="s">
        <v>320</v>
      </c>
      <c r="K5755" s="1933">
        <v>303.24</v>
      </c>
      <c r="L5755" s="1930" t="s">
        <v>138</v>
      </c>
    </row>
    <row r="5756" spans="1:12" ht="13.5" x14ac:dyDescent="0.25">
      <c r="A5756" s="1930" t="s">
        <v>4628</v>
      </c>
      <c r="B5756" s="1930" t="s">
        <v>4809</v>
      </c>
      <c r="C5756" s="1930" t="s">
        <v>4810</v>
      </c>
      <c r="D5756" s="1930" t="s">
        <v>4811</v>
      </c>
      <c r="E5756" s="1931" t="s">
        <v>33</v>
      </c>
      <c r="F5756" s="1930" t="s">
        <v>33</v>
      </c>
      <c r="G5756" s="1932">
        <v>100475</v>
      </c>
      <c r="H5756" s="1930" t="s">
        <v>8512</v>
      </c>
      <c r="I5756" s="1930" t="s">
        <v>1208</v>
      </c>
      <c r="J5756" s="1930" t="s">
        <v>320</v>
      </c>
      <c r="K5756" s="1933">
        <v>448.22</v>
      </c>
      <c r="L5756" s="1930" t="s">
        <v>138</v>
      </c>
    </row>
    <row r="5757" spans="1:12" ht="13.5" x14ac:dyDescent="0.25">
      <c r="A5757" s="1930" t="s">
        <v>4628</v>
      </c>
      <c r="B5757" s="1930" t="s">
        <v>4809</v>
      </c>
      <c r="C5757" s="1930" t="s">
        <v>4810</v>
      </c>
      <c r="D5757" s="1930" t="s">
        <v>4811</v>
      </c>
      <c r="E5757" s="1931" t="s">
        <v>33</v>
      </c>
      <c r="F5757" s="1930" t="s">
        <v>33</v>
      </c>
      <c r="G5757" s="1932">
        <v>100477</v>
      </c>
      <c r="H5757" s="1930" t="s">
        <v>8513</v>
      </c>
      <c r="I5757" s="1930" t="s">
        <v>1208</v>
      </c>
      <c r="J5757" s="1930" t="s">
        <v>320</v>
      </c>
      <c r="K5757" s="1933">
        <v>492.07</v>
      </c>
      <c r="L5757" s="1930" t="s">
        <v>138</v>
      </c>
    </row>
    <row r="5758" spans="1:12" ht="13.5" x14ac:dyDescent="0.25">
      <c r="A5758" s="1930" t="s">
        <v>4628</v>
      </c>
      <c r="B5758" s="1930" t="s">
        <v>4809</v>
      </c>
      <c r="C5758" s="1930" t="s">
        <v>4810</v>
      </c>
      <c r="D5758" s="1930" t="s">
        <v>4811</v>
      </c>
      <c r="E5758" s="1931" t="s">
        <v>33</v>
      </c>
      <c r="F5758" s="1930" t="s">
        <v>33</v>
      </c>
      <c r="G5758" s="1932">
        <v>100478</v>
      </c>
      <c r="H5758" s="1930" t="s">
        <v>8514</v>
      </c>
      <c r="I5758" s="1930" t="s">
        <v>1208</v>
      </c>
      <c r="J5758" s="1930" t="s">
        <v>320</v>
      </c>
      <c r="K5758" s="1933">
        <v>440.08</v>
      </c>
      <c r="L5758" s="1930" t="s">
        <v>138</v>
      </c>
    </row>
    <row r="5759" spans="1:12" ht="13.5" x14ac:dyDescent="0.25">
      <c r="A5759" s="1930" t="s">
        <v>4628</v>
      </c>
      <c r="B5759" s="1930" t="s">
        <v>4809</v>
      </c>
      <c r="C5759" s="1930" t="s">
        <v>4810</v>
      </c>
      <c r="D5759" s="1930" t="s">
        <v>4811</v>
      </c>
      <c r="E5759" s="1931" t="s">
        <v>33</v>
      </c>
      <c r="F5759" s="1930" t="s">
        <v>33</v>
      </c>
      <c r="G5759" s="1932">
        <v>100479</v>
      </c>
      <c r="H5759" s="1930" t="s">
        <v>8515</v>
      </c>
      <c r="I5759" s="1930" t="s">
        <v>1208</v>
      </c>
      <c r="J5759" s="1930" t="s">
        <v>320</v>
      </c>
      <c r="K5759" s="1933">
        <v>428.88</v>
      </c>
      <c r="L5759" s="1930" t="s">
        <v>138</v>
      </c>
    </row>
    <row r="5760" spans="1:12" ht="13.5" x14ac:dyDescent="0.25">
      <c r="A5760" s="1930" t="s">
        <v>4628</v>
      </c>
      <c r="B5760" s="1930" t="s">
        <v>4809</v>
      </c>
      <c r="C5760" s="1930" t="s">
        <v>4810</v>
      </c>
      <c r="D5760" s="1930" t="s">
        <v>4811</v>
      </c>
      <c r="E5760" s="1931" t="s">
        <v>33</v>
      </c>
      <c r="F5760" s="1930" t="s">
        <v>33</v>
      </c>
      <c r="G5760" s="1932">
        <v>100480</v>
      </c>
      <c r="H5760" s="1930" t="s">
        <v>8516</v>
      </c>
      <c r="I5760" s="1930" t="s">
        <v>1208</v>
      </c>
      <c r="J5760" s="1930" t="s">
        <v>320</v>
      </c>
      <c r="K5760" s="1933">
        <v>522.96</v>
      </c>
      <c r="L5760" s="1930" t="s">
        <v>138</v>
      </c>
    </row>
    <row r="5761" spans="1:12" ht="13.5" x14ac:dyDescent="0.25">
      <c r="A5761" s="1930" t="s">
        <v>4628</v>
      </c>
      <c r="B5761" s="1930" t="s">
        <v>4809</v>
      </c>
      <c r="C5761" s="1930" t="s">
        <v>4810</v>
      </c>
      <c r="D5761" s="1930" t="s">
        <v>4811</v>
      </c>
      <c r="E5761" s="1931" t="s">
        <v>33</v>
      </c>
      <c r="F5761" s="1930" t="s">
        <v>33</v>
      </c>
      <c r="G5761" s="1932">
        <v>100481</v>
      </c>
      <c r="H5761" s="1930" t="s">
        <v>8517</v>
      </c>
      <c r="I5761" s="1930" t="s">
        <v>1208</v>
      </c>
      <c r="J5761" s="1930" t="s">
        <v>320</v>
      </c>
      <c r="K5761" s="1933">
        <v>395.68</v>
      </c>
      <c r="L5761" s="1930" t="s">
        <v>138</v>
      </c>
    </row>
    <row r="5762" spans="1:12" ht="13.5" x14ac:dyDescent="0.25">
      <c r="A5762" s="1930" t="s">
        <v>4628</v>
      </c>
      <c r="B5762" s="1930" t="s">
        <v>4809</v>
      </c>
      <c r="C5762" s="1930" t="s">
        <v>4810</v>
      </c>
      <c r="D5762" s="1930" t="s">
        <v>4811</v>
      </c>
      <c r="E5762" s="1931" t="s">
        <v>33</v>
      </c>
      <c r="F5762" s="1930" t="s">
        <v>33</v>
      </c>
      <c r="G5762" s="1932">
        <v>100483</v>
      </c>
      <c r="H5762" s="1930" t="s">
        <v>8518</v>
      </c>
      <c r="I5762" s="1930" t="s">
        <v>1208</v>
      </c>
      <c r="J5762" s="1930" t="s">
        <v>320</v>
      </c>
      <c r="K5762" s="1933">
        <v>428.15</v>
      </c>
      <c r="L5762" s="1930" t="s">
        <v>138</v>
      </c>
    </row>
    <row r="5763" spans="1:12" ht="13.5" x14ac:dyDescent="0.25">
      <c r="A5763" s="1930" t="s">
        <v>4628</v>
      </c>
      <c r="B5763" s="1930" t="s">
        <v>4809</v>
      </c>
      <c r="C5763" s="1930" t="s">
        <v>4810</v>
      </c>
      <c r="D5763" s="1930" t="s">
        <v>4811</v>
      </c>
      <c r="E5763" s="1931" t="s">
        <v>33</v>
      </c>
      <c r="F5763" s="1930" t="s">
        <v>33</v>
      </c>
      <c r="G5763" s="1932">
        <v>100484</v>
      </c>
      <c r="H5763" s="1930" t="s">
        <v>8519</v>
      </c>
      <c r="I5763" s="1930" t="s">
        <v>1208</v>
      </c>
      <c r="J5763" s="1930" t="s">
        <v>320</v>
      </c>
      <c r="K5763" s="1933">
        <v>395.3</v>
      </c>
      <c r="L5763" s="1930" t="s">
        <v>138</v>
      </c>
    </row>
    <row r="5764" spans="1:12" ht="13.5" x14ac:dyDescent="0.25">
      <c r="A5764" s="1930" t="s">
        <v>4628</v>
      </c>
      <c r="B5764" s="1930" t="s">
        <v>4809</v>
      </c>
      <c r="C5764" s="1930" t="s">
        <v>4810</v>
      </c>
      <c r="D5764" s="1930" t="s">
        <v>4811</v>
      </c>
      <c r="E5764" s="1931" t="s">
        <v>33</v>
      </c>
      <c r="F5764" s="1930" t="s">
        <v>33</v>
      </c>
      <c r="G5764" s="1932">
        <v>100485</v>
      </c>
      <c r="H5764" s="1930" t="s">
        <v>8520</v>
      </c>
      <c r="I5764" s="1930" t="s">
        <v>1208</v>
      </c>
      <c r="J5764" s="1930" t="s">
        <v>320</v>
      </c>
      <c r="K5764" s="1933">
        <v>381.96</v>
      </c>
      <c r="L5764" s="1930" t="s">
        <v>138</v>
      </c>
    </row>
    <row r="5765" spans="1:12" ht="13.5" x14ac:dyDescent="0.25">
      <c r="A5765" s="1930" t="s">
        <v>4628</v>
      </c>
      <c r="B5765" s="1930" t="s">
        <v>4809</v>
      </c>
      <c r="C5765" s="1930" t="s">
        <v>4810</v>
      </c>
      <c r="D5765" s="1930" t="s">
        <v>4811</v>
      </c>
      <c r="E5765" s="1931" t="s">
        <v>33</v>
      </c>
      <c r="F5765" s="1930" t="s">
        <v>33</v>
      </c>
      <c r="G5765" s="1932">
        <v>100486</v>
      </c>
      <c r="H5765" s="1930" t="s">
        <v>8521</v>
      </c>
      <c r="I5765" s="1930" t="s">
        <v>1208</v>
      </c>
      <c r="J5765" s="1930" t="s">
        <v>320</v>
      </c>
      <c r="K5765" s="1933">
        <v>473.14</v>
      </c>
      <c r="L5765" s="1930" t="s">
        <v>138</v>
      </c>
    </row>
    <row r="5766" spans="1:12" ht="13.5" x14ac:dyDescent="0.25">
      <c r="A5766" s="1930" t="s">
        <v>4628</v>
      </c>
      <c r="B5766" s="1930" t="s">
        <v>4809</v>
      </c>
      <c r="C5766" s="1930" t="s">
        <v>4810</v>
      </c>
      <c r="D5766" s="1930" t="s">
        <v>4811</v>
      </c>
      <c r="E5766" s="1931" t="s">
        <v>33</v>
      </c>
      <c r="F5766" s="1930" t="s">
        <v>33</v>
      </c>
      <c r="G5766" s="1932">
        <v>100487</v>
      </c>
      <c r="H5766" s="1930" t="s">
        <v>8522</v>
      </c>
      <c r="I5766" s="1930" t="s">
        <v>1208</v>
      </c>
      <c r="J5766" s="1930" t="s">
        <v>320</v>
      </c>
      <c r="K5766" s="1933">
        <v>353.04</v>
      </c>
      <c r="L5766" s="1930" t="s">
        <v>138</v>
      </c>
    </row>
    <row r="5767" spans="1:12" ht="13.5" x14ac:dyDescent="0.25">
      <c r="A5767" s="1930" t="s">
        <v>4628</v>
      </c>
      <c r="B5767" s="1930" t="s">
        <v>4809</v>
      </c>
      <c r="C5767" s="1930" t="s">
        <v>4810</v>
      </c>
      <c r="D5767" s="1930" t="s">
        <v>4811</v>
      </c>
      <c r="E5767" s="1931" t="s">
        <v>33</v>
      </c>
      <c r="F5767" s="1930" t="s">
        <v>33</v>
      </c>
      <c r="G5767" s="1932">
        <v>100488</v>
      </c>
      <c r="H5767" s="1930" t="s">
        <v>8523</v>
      </c>
      <c r="I5767" s="1930" t="s">
        <v>1208</v>
      </c>
      <c r="J5767" s="1930" t="s">
        <v>320</v>
      </c>
      <c r="K5767" s="1933">
        <v>354.83</v>
      </c>
      <c r="L5767" s="1930" t="s">
        <v>138</v>
      </c>
    </row>
    <row r="5768" spans="1:12" ht="13.5" x14ac:dyDescent="0.25">
      <c r="A5768" s="1930" t="s">
        <v>4628</v>
      </c>
      <c r="B5768" s="1930" t="s">
        <v>4809</v>
      </c>
      <c r="C5768" s="1930" t="s">
        <v>4810</v>
      </c>
      <c r="D5768" s="1930" t="s">
        <v>4811</v>
      </c>
      <c r="E5768" s="1931" t="s">
        <v>33</v>
      </c>
      <c r="F5768" s="1930" t="s">
        <v>33</v>
      </c>
      <c r="G5768" s="1932">
        <v>100489</v>
      </c>
      <c r="H5768" s="1930" t="s">
        <v>8524</v>
      </c>
      <c r="I5768" s="1930" t="s">
        <v>1208</v>
      </c>
      <c r="J5768" s="1930" t="s">
        <v>320</v>
      </c>
      <c r="K5768" s="1933">
        <v>347.48</v>
      </c>
      <c r="L5768" s="1930" t="s">
        <v>138</v>
      </c>
    </row>
    <row r="5769" spans="1:12" ht="13.5" x14ac:dyDescent="0.25">
      <c r="A5769" s="1930" t="s">
        <v>4628</v>
      </c>
      <c r="B5769" s="1930" t="s">
        <v>4809</v>
      </c>
      <c r="C5769" s="1930" t="s">
        <v>4810</v>
      </c>
      <c r="D5769" s="1930" t="s">
        <v>4811</v>
      </c>
      <c r="E5769" s="1931" t="s">
        <v>33</v>
      </c>
      <c r="F5769" s="1930" t="s">
        <v>33</v>
      </c>
      <c r="G5769" s="1932">
        <v>100490</v>
      </c>
      <c r="H5769" s="1930" t="s">
        <v>8525</v>
      </c>
      <c r="I5769" s="1930" t="s">
        <v>1208</v>
      </c>
      <c r="J5769" s="1930" t="s">
        <v>320</v>
      </c>
      <c r="K5769" s="1933">
        <v>315.64999999999998</v>
      </c>
      <c r="L5769" s="1930" t="s">
        <v>138</v>
      </c>
    </row>
    <row r="5770" spans="1:12" ht="13.5" x14ac:dyDescent="0.25">
      <c r="A5770" s="1930" t="s">
        <v>4628</v>
      </c>
      <c r="B5770" s="1930" t="s">
        <v>4809</v>
      </c>
      <c r="C5770" s="1930" t="s">
        <v>4810</v>
      </c>
      <c r="D5770" s="1930" t="s">
        <v>4811</v>
      </c>
      <c r="E5770" s="1931" t="s">
        <v>33</v>
      </c>
      <c r="F5770" s="1930" t="s">
        <v>33</v>
      </c>
      <c r="G5770" s="1932">
        <v>100491</v>
      </c>
      <c r="H5770" s="1930" t="s">
        <v>8526</v>
      </c>
      <c r="I5770" s="1930" t="s">
        <v>1208</v>
      </c>
      <c r="J5770" s="1930" t="s">
        <v>320</v>
      </c>
      <c r="K5770" s="1933">
        <v>447.86</v>
      </c>
      <c r="L5770" s="1930" t="s">
        <v>138</v>
      </c>
    </row>
    <row r="5771" spans="1:12" ht="13.5" x14ac:dyDescent="0.25">
      <c r="A5771" s="1930" t="s">
        <v>4628</v>
      </c>
      <c r="B5771" s="1930" t="s">
        <v>4809</v>
      </c>
      <c r="C5771" s="1930" t="s">
        <v>4810</v>
      </c>
      <c r="D5771" s="1930" t="s">
        <v>4811</v>
      </c>
      <c r="E5771" s="1931" t="s">
        <v>33</v>
      </c>
      <c r="F5771" s="1930" t="s">
        <v>33</v>
      </c>
      <c r="G5771" s="1932">
        <v>100492</v>
      </c>
      <c r="H5771" s="1930" t="s">
        <v>8527</v>
      </c>
      <c r="I5771" s="1930" t="s">
        <v>1208</v>
      </c>
      <c r="J5771" s="1930" t="s">
        <v>320</v>
      </c>
      <c r="K5771" s="1933">
        <v>395.52</v>
      </c>
      <c r="L5771" s="1930" t="s">
        <v>138</v>
      </c>
    </row>
    <row r="5772" spans="1:12" ht="13.5" x14ac:dyDescent="0.25">
      <c r="A5772" s="1930" t="s">
        <v>4628</v>
      </c>
      <c r="B5772" s="1930" t="s">
        <v>4809</v>
      </c>
      <c r="C5772" s="1930" t="s">
        <v>4812</v>
      </c>
      <c r="D5772" s="1930" t="s">
        <v>4813</v>
      </c>
      <c r="E5772" s="1931" t="s">
        <v>33</v>
      </c>
      <c r="F5772" s="1930" t="s">
        <v>33</v>
      </c>
      <c r="G5772" s="1932">
        <v>92121</v>
      </c>
      <c r="H5772" s="1930" t="s">
        <v>4231</v>
      </c>
      <c r="I5772" s="1930" t="s">
        <v>1208</v>
      </c>
      <c r="J5772" s="1930" t="s">
        <v>320</v>
      </c>
      <c r="K5772" s="1933">
        <v>21.49</v>
      </c>
      <c r="L5772" s="1930" t="s">
        <v>138</v>
      </c>
    </row>
    <row r="5773" spans="1:12" ht="13.5" x14ac:dyDescent="0.25">
      <c r="A5773" s="1930" t="s">
        <v>4628</v>
      </c>
      <c r="B5773" s="1930" t="s">
        <v>4809</v>
      </c>
      <c r="C5773" s="1930" t="s">
        <v>4812</v>
      </c>
      <c r="D5773" s="1930" t="s">
        <v>4813</v>
      </c>
      <c r="E5773" s="1931" t="s">
        <v>33</v>
      </c>
      <c r="F5773" s="1930" t="s">
        <v>33</v>
      </c>
      <c r="G5773" s="1932">
        <v>92122</v>
      </c>
      <c r="H5773" s="1930" t="s">
        <v>4232</v>
      </c>
      <c r="I5773" s="1930" t="s">
        <v>1208</v>
      </c>
      <c r="J5773" s="1930" t="s">
        <v>346</v>
      </c>
      <c r="K5773" s="1933">
        <v>36.159999999999997</v>
      </c>
      <c r="L5773" s="1930" t="s">
        <v>138</v>
      </c>
    </row>
    <row r="5774" spans="1:12" ht="13.5" x14ac:dyDescent="0.25">
      <c r="A5774" s="1930" t="s">
        <v>4628</v>
      </c>
      <c r="B5774" s="1930" t="s">
        <v>4809</v>
      </c>
      <c r="C5774" s="1930" t="s">
        <v>4812</v>
      </c>
      <c r="D5774" s="1930" t="s">
        <v>4813</v>
      </c>
      <c r="E5774" s="1931" t="s">
        <v>33</v>
      </c>
      <c r="F5774" s="1930" t="s">
        <v>33</v>
      </c>
      <c r="G5774" s="1932">
        <v>92123</v>
      </c>
      <c r="H5774" s="1930" t="s">
        <v>4233</v>
      </c>
      <c r="I5774" s="1930" t="s">
        <v>1208</v>
      </c>
      <c r="J5774" s="1930" t="s">
        <v>137</v>
      </c>
      <c r="K5774" s="1933">
        <v>36.700000000000003</v>
      </c>
      <c r="L5774" s="1930" t="s">
        <v>138</v>
      </c>
    </row>
    <row r="5775" spans="1:12" ht="13.5" x14ac:dyDescent="0.25">
      <c r="A5775" s="1930" t="s">
        <v>4628</v>
      </c>
      <c r="B5775" s="1930" t="s">
        <v>4809</v>
      </c>
      <c r="C5775" s="1930" t="s">
        <v>4812</v>
      </c>
      <c r="D5775" s="1930" t="s">
        <v>4813</v>
      </c>
      <c r="E5775" s="1931" t="s">
        <v>33</v>
      </c>
      <c r="F5775" s="1930" t="s">
        <v>33</v>
      </c>
      <c r="G5775" s="1932">
        <v>100195</v>
      </c>
      <c r="H5775" s="1930" t="s">
        <v>8130</v>
      </c>
      <c r="I5775" s="1930" t="s">
        <v>8131</v>
      </c>
      <c r="J5775" s="1930" t="s">
        <v>346</v>
      </c>
      <c r="K5775" s="1933">
        <v>0.55000000000000004</v>
      </c>
      <c r="L5775" s="1930" t="s">
        <v>138</v>
      </c>
    </row>
    <row r="5776" spans="1:12" ht="13.5" x14ac:dyDescent="0.25">
      <c r="A5776" s="1930" t="s">
        <v>4628</v>
      </c>
      <c r="B5776" s="1930" t="s">
        <v>4809</v>
      </c>
      <c r="C5776" s="1930" t="s">
        <v>4812</v>
      </c>
      <c r="D5776" s="1930" t="s">
        <v>4813</v>
      </c>
      <c r="E5776" s="1931" t="s">
        <v>33</v>
      </c>
      <c r="F5776" s="1930" t="s">
        <v>33</v>
      </c>
      <c r="G5776" s="1932">
        <v>100196</v>
      </c>
      <c r="H5776" s="1930" t="s">
        <v>8132</v>
      </c>
      <c r="I5776" s="1930" t="s">
        <v>8131</v>
      </c>
      <c r="J5776" s="1930" t="s">
        <v>346</v>
      </c>
      <c r="K5776" s="1933">
        <v>0.92</v>
      </c>
      <c r="L5776" s="1930" t="s">
        <v>138</v>
      </c>
    </row>
    <row r="5777" spans="1:12" ht="13.5" x14ac:dyDescent="0.25">
      <c r="A5777" s="1930" t="s">
        <v>4628</v>
      </c>
      <c r="B5777" s="1930" t="s">
        <v>4809</v>
      </c>
      <c r="C5777" s="1930" t="s">
        <v>4812</v>
      </c>
      <c r="D5777" s="1930" t="s">
        <v>4813</v>
      </c>
      <c r="E5777" s="1931" t="s">
        <v>33</v>
      </c>
      <c r="F5777" s="1930" t="s">
        <v>33</v>
      </c>
      <c r="G5777" s="1932">
        <v>100197</v>
      </c>
      <c r="H5777" s="1930" t="s">
        <v>8133</v>
      </c>
      <c r="I5777" s="1930" t="s">
        <v>8131</v>
      </c>
      <c r="J5777" s="1930" t="s">
        <v>346</v>
      </c>
      <c r="K5777" s="1933">
        <v>1.38</v>
      </c>
      <c r="L5777" s="1930" t="s">
        <v>138</v>
      </c>
    </row>
    <row r="5778" spans="1:12" ht="13.5" x14ac:dyDescent="0.25">
      <c r="A5778" s="1930" t="s">
        <v>4628</v>
      </c>
      <c r="B5778" s="1930" t="s">
        <v>4809</v>
      </c>
      <c r="C5778" s="1930" t="s">
        <v>4812</v>
      </c>
      <c r="D5778" s="1930" t="s">
        <v>4813</v>
      </c>
      <c r="E5778" s="1931" t="s">
        <v>33</v>
      </c>
      <c r="F5778" s="1930" t="s">
        <v>33</v>
      </c>
      <c r="G5778" s="1932">
        <v>100198</v>
      </c>
      <c r="H5778" s="1930" t="s">
        <v>8134</v>
      </c>
      <c r="I5778" s="1930" t="s">
        <v>8131</v>
      </c>
      <c r="J5778" s="1930" t="s">
        <v>346</v>
      </c>
      <c r="K5778" s="1933">
        <v>0.19</v>
      </c>
      <c r="L5778" s="1930" t="s">
        <v>138</v>
      </c>
    </row>
    <row r="5779" spans="1:12" ht="13.5" x14ac:dyDescent="0.25">
      <c r="A5779" s="1930" t="s">
        <v>4628</v>
      </c>
      <c r="B5779" s="1930" t="s">
        <v>4809</v>
      </c>
      <c r="C5779" s="1930" t="s">
        <v>4812</v>
      </c>
      <c r="D5779" s="1930" t="s">
        <v>4813</v>
      </c>
      <c r="E5779" s="1931" t="s">
        <v>33</v>
      </c>
      <c r="F5779" s="1930" t="s">
        <v>33</v>
      </c>
      <c r="G5779" s="1932">
        <v>100199</v>
      </c>
      <c r="H5779" s="1930" t="s">
        <v>8135</v>
      </c>
      <c r="I5779" s="1930" t="s">
        <v>8131</v>
      </c>
      <c r="J5779" s="1930" t="s">
        <v>346</v>
      </c>
      <c r="K5779" s="1933">
        <v>0.23</v>
      </c>
      <c r="L5779" s="1930" t="s">
        <v>138</v>
      </c>
    </row>
    <row r="5780" spans="1:12" ht="13.5" x14ac:dyDescent="0.25">
      <c r="A5780" s="1930" t="s">
        <v>4628</v>
      </c>
      <c r="B5780" s="1930" t="s">
        <v>4809</v>
      </c>
      <c r="C5780" s="1930" t="s">
        <v>4812</v>
      </c>
      <c r="D5780" s="1930" t="s">
        <v>4813</v>
      </c>
      <c r="E5780" s="1931" t="s">
        <v>33</v>
      </c>
      <c r="F5780" s="1930" t="s">
        <v>33</v>
      </c>
      <c r="G5780" s="1932">
        <v>100200</v>
      </c>
      <c r="H5780" s="1930" t="s">
        <v>8136</v>
      </c>
      <c r="I5780" s="1930" t="s">
        <v>8131</v>
      </c>
      <c r="J5780" s="1930" t="s">
        <v>346</v>
      </c>
      <c r="K5780" s="1933">
        <v>0.28000000000000003</v>
      </c>
      <c r="L5780" s="1930" t="s">
        <v>138</v>
      </c>
    </row>
    <row r="5781" spans="1:12" ht="13.5" x14ac:dyDescent="0.25">
      <c r="A5781" s="1930" t="s">
        <v>4628</v>
      </c>
      <c r="B5781" s="1930" t="s">
        <v>4809</v>
      </c>
      <c r="C5781" s="1930" t="s">
        <v>4812</v>
      </c>
      <c r="D5781" s="1930" t="s">
        <v>4813</v>
      </c>
      <c r="E5781" s="1931" t="s">
        <v>33</v>
      </c>
      <c r="F5781" s="1930" t="s">
        <v>33</v>
      </c>
      <c r="G5781" s="1932">
        <v>100201</v>
      </c>
      <c r="H5781" s="1930" t="s">
        <v>8137</v>
      </c>
      <c r="I5781" s="1930" t="s">
        <v>8131</v>
      </c>
      <c r="J5781" s="1930" t="s">
        <v>346</v>
      </c>
      <c r="K5781" s="1933">
        <v>0.56000000000000005</v>
      </c>
      <c r="L5781" s="1930" t="s">
        <v>138</v>
      </c>
    </row>
    <row r="5782" spans="1:12" ht="13.5" x14ac:dyDescent="0.25">
      <c r="A5782" s="1930" t="s">
        <v>4628</v>
      </c>
      <c r="B5782" s="1930" t="s">
        <v>4809</v>
      </c>
      <c r="C5782" s="1930" t="s">
        <v>4812</v>
      </c>
      <c r="D5782" s="1930" t="s">
        <v>4813</v>
      </c>
      <c r="E5782" s="1931" t="s">
        <v>33</v>
      </c>
      <c r="F5782" s="1930" t="s">
        <v>33</v>
      </c>
      <c r="G5782" s="1932">
        <v>100202</v>
      </c>
      <c r="H5782" s="1930" t="s">
        <v>8138</v>
      </c>
      <c r="I5782" s="1930" t="s">
        <v>8131</v>
      </c>
      <c r="J5782" s="1930" t="s">
        <v>346</v>
      </c>
      <c r="K5782" s="1933">
        <v>0.65</v>
      </c>
      <c r="L5782" s="1930" t="s">
        <v>138</v>
      </c>
    </row>
    <row r="5783" spans="1:12" ht="13.5" x14ac:dyDescent="0.25">
      <c r="A5783" s="1930" t="s">
        <v>4628</v>
      </c>
      <c r="B5783" s="1930" t="s">
        <v>4809</v>
      </c>
      <c r="C5783" s="1930" t="s">
        <v>4812</v>
      </c>
      <c r="D5783" s="1930" t="s">
        <v>4813</v>
      </c>
      <c r="E5783" s="1931" t="s">
        <v>33</v>
      </c>
      <c r="F5783" s="1930" t="s">
        <v>33</v>
      </c>
      <c r="G5783" s="1932">
        <v>100203</v>
      </c>
      <c r="H5783" s="1930" t="s">
        <v>8139</v>
      </c>
      <c r="I5783" s="1930" t="s">
        <v>8131</v>
      </c>
      <c r="J5783" s="1930" t="s">
        <v>346</v>
      </c>
      <c r="K5783" s="1933">
        <v>0.77</v>
      </c>
      <c r="L5783" s="1930" t="s">
        <v>138</v>
      </c>
    </row>
    <row r="5784" spans="1:12" ht="13.5" x14ac:dyDescent="0.25">
      <c r="A5784" s="1930" t="s">
        <v>4628</v>
      </c>
      <c r="B5784" s="1930" t="s">
        <v>4809</v>
      </c>
      <c r="C5784" s="1930" t="s">
        <v>4812</v>
      </c>
      <c r="D5784" s="1930" t="s">
        <v>4813</v>
      </c>
      <c r="E5784" s="1931" t="s">
        <v>33</v>
      </c>
      <c r="F5784" s="1930" t="s">
        <v>33</v>
      </c>
      <c r="G5784" s="1932">
        <v>100204</v>
      </c>
      <c r="H5784" s="1930" t="s">
        <v>8140</v>
      </c>
      <c r="I5784" s="1930" t="s">
        <v>8131</v>
      </c>
      <c r="J5784" s="1930" t="s">
        <v>137</v>
      </c>
      <c r="K5784" s="1933">
        <v>7.0000000000000007E-2</v>
      </c>
      <c r="L5784" s="1930" t="s">
        <v>138</v>
      </c>
    </row>
    <row r="5785" spans="1:12" ht="13.5" x14ac:dyDescent="0.25">
      <c r="A5785" s="1930" t="s">
        <v>4628</v>
      </c>
      <c r="B5785" s="1930" t="s">
        <v>4809</v>
      </c>
      <c r="C5785" s="1930" t="s">
        <v>4812</v>
      </c>
      <c r="D5785" s="1930" t="s">
        <v>4813</v>
      </c>
      <c r="E5785" s="1931" t="s">
        <v>33</v>
      </c>
      <c r="F5785" s="1930" t="s">
        <v>33</v>
      </c>
      <c r="G5785" s="1932">
        <v>100205</v>
      </c>
      <c r="H5785" s="1930" t="s">
        <v>8141</v>
      </c>
      <c r="I5785" s="1930" t="s">
        <v>3531</v>
      </c>
      <c r="J5785" s="1930" t="s">
        <v>346</v>
      </c>
      <c r="K5785" s="1933">
        <v>1030.06</v>
      </c>
      <c r="L5785" s="1930" t="s">
        <v>138</v>
      </c>
    </row>
    <row r="5786" spans="1:12" ht="13.5" x14ac:dyDescent="0.25">
      <c r="A5786" s="1930" t="s">
        <v>4628</v>
      </c>
      <c r="B5786" s="1930" t="s">
        <v>4809</v>
      </c>
      <c r="C5786" s="1930" t="s">
        <v>4812</v>
      </c>
      <c r="D5786" s="1930" t="s">
        <v>4813</v>
      </c>
      <c r="E5786" s="1931" t="s">
        <v>33</v>
      </c>
      <c r="F5786" s="1930" t="s">
        <v>33</v>
      </c>
      <c r="G5786" s="1932">
        <v>100206</v>
      </c>
      <c r="H5786" s="1930" t="s">
        <v>8142</v>
      </c>
      <c r="I5786" s="1930" t="s">
        <v>3531</v>
      </c>
      <c r="J5786" s="1930" t="s">
        <v>346</v>
      </c>
      <c r="K5786" s="1933">
        <v>744.55</v>
      </c>
      <c r="L5786" s="1930" t="s">
        <v>138</v>
      </c>
    </row>
    <row r="5787" spans="1:12" ht="13.5" x14ac:dyDescent="0.25">
      <c r="A5787" s="1930" t="s">
        <v>4628</v>
      </c>
      <c r="B5787" s="1930" t="s">
        <v>4809</v>
      </c>
      <c r="C5787" s="1930" t="s">
        <v>4812</v>
      </c>
      <c r="D5787" s="1930" t="s">
        <v>4813</v>
      </c>
      <c r="E5787" s="1931" t="s">
        <v>33</v>
      </c>
      <c r="F5787" s="1930" t="s">
        <v>33</v>
      </c>
      <c r="G5787" s="1932">
        <v>100207</v>
      </c>
      <c r="H5787" s="1930" t="s">
        <v>8143</v>
      </c>
      <c r="I5787" s="1930" t="s">
        <v>3531</v>
      </c>
      <c r="J5787" s="1930" t="s">
        <v>137</v>
      </c>
      <c r="K5787" s="1933">
        <v>280.62</v>
      </c>
      <c r="L5787" s="1930" t="s">
        <v>138</v>
      </c>
    </row>
    <row r="5788" spans="1:12" ht="13.5" x14ac:dyDescent="0.25">
      <c r="A5788" s="1930" t="s">
        <v>4628</v>
      </c>
      <c r="B5788" s="1930" t="s">
        <v>4809</v>
      </c>
      <c r="C5788" s="1930" t="s">
        <v>4812</v>
      </c>
      <c r="D5788" s="1930" t="s">
        <v>4813</v>
      </c>
      <c r="E5788" s="1931" t="s">
        <v>33</v>
      </c>
      <c r="F5788" s="1930" t="s">
        <v>33</v>
      </c>
      <c r="G5788" s="1932">
        <v>100208</v>
      </c>
      <c r="H5788" s="1930" t="s">
        <v>8144</v>
      </c>
      <c r="I5788" s="1930" t="s">
        <v>8145</v>
      </c>
      <c r="J5788" s="1930" t="s">
        <v>346</v>
      </c>
      <c r="K5788" s="1933">
        <v>13.62</v>
      </c>
      <c r="L5788" s="1930" t="s">
        <v>138</v>
      </c>
    </row>
    <row r="5789" spans="1:12" ht="13.5" x14ac:dyDescent="0.25">
      <c r="A5789" s="1930" t="s">
        <v>4628</v>
      </c>
      <c r="B5789" s="1930" t="s">
        <v>4809</v>
      </c>
      <c r="C5789" s="1930" t="s">
        <v>4812</v>
      </c>
      <c r="D5789" s="1930" t="s">
        <v>4813</v>
      </c>
      <c r="E5789" s="1931" t="s">
        <v>33</v>
      </c>
      <c r="F5789" s="1930" t="s">
        <v>33</v>
      </c>
      <c r="G5789" s="1932">
        <v>100209</v>
      </c>
      <c r="H5789" s="1930" t="s">
        <v>8146</v>
      </c>
      <c r="I5789" s="1930" t="s">
        <v>8145</v>
      </c>
      <c r="J5789" s="1930" t="s">
        <v>346</v>
      </c>
      <c r="K5789" s="1933">
        <v>6.81</v>
      </c>
      <c r="L5789" s="1930" t="s">
        <v>138</v>
      </c>
    </row>
    <row r="5790" spans="1:12" ht="13.5" x14ac:dyDescent="0.25">
      <c r="A5790" s="1930" t="s">
        <v>4628</v>
      </c>
      <c r="B5790" s="1930" t="s">
        <v>4809</v>
      </c>
      <c r="C5790" s="1930" t="s">
        <v>4812</v>
      </c>
      <c r="D5790" s="1930" t="s">
        <v>4813</v>
      </c>
      <c r="E5790" s="1931" t="s">
        <v>33</v>
      </c>
      <c r="F5790" s="1930" t="s">
        <v>33</v>
      </c>
      <c r="G5790" s="1932">
        <v>100210</v>
      </c>
      <c r="H5790" s="1930" t="s">
        <v>8147</v>
      </c>
      <c r="I5790" s="1930" t="s">
        <v>8145</v>
      </c>
      <c r="J5790" s="1930" t="s">
        <v>346</v>
      </c>
      <c r="K5790" s="1933">
        <v>12.55</v>
      </c>
      <c r="L5790" s="1930" t="s">
        <v>138</v>
      </c>
    </row>
    <row r="5791" spans="1:12" ht="13.5" x14ac:dyDescent="0.25">
      <c r="A5791" s="1930" t="s">
        <v>4628</v>
      </c>
      <c r="B5791" s="1930" t="s">
        <v>4809</v>
      </c>
      <c r="C5791" s="1930" t="s">
        <v>4812</v>
      </c>
      <c r="D5791" s="1930" t="s">
        <v>4813</v>
      </c>
      <c r="E5791" s="1931" t="s">
        <v>33</v>
      </c>
      <c r="F5791" s="1930" t="s">
        <v>33</v>
      </c>
      <c r="G5791" s="1932">
        <v>100211</v>
      </c>
      <c r="H5791" s="1930" t="s">
        <v>8148</v>
      </c>
      <c r="I5791" s="1930" t="s">
        <v>8145</v>
      </c>
      <c r="J5791" s="1930" t="s">
        <v>346</v>
      </c>
      <c r="K5791" s="1933">
        <v>4.84</v>
      </c>
      <c r="L5791" s="1930" t="s">
        <v>138</v>
      </c>
    </row>
    <row r="5792" spans="1:12" ht="13.5" x14ac:dyDescent="0.25">
      <c r="A5792" s="1930" t="s">
        <v>4628</v>
      </c>
      <c r="B5792" s="1930" t="s">
        <v>4809</v>
      </c>
      <c r="C5792" s="1930" t="s">
        <v>4812</v>
      </c>
      <c r="D5792" s="1930" t="s">
        <v>4813</v>
      </c>
      <c r="E5792" s="1931" t="s">
        <v>33</v>
      </c>
      <c r="F5792" s="1930" t="s">
        <v>33</v>
      </c>
      <c r="G5792" s="1932">
        <v>100212</v>
      </c>
      <c r="H5792" s="1930" t="s">
        <v>8149</v>
      </c>
      <c r="I5792" s="1930" t="s">
        <v>8145</v>
      </c>
      <c r="J5792" s="1930" t="s">
        <v>346</v>
      </c>
      <c r="K5792" s="1933">
        <v>5.35</v>
      </c>
      <c r="L5792" s="1930" t="s">
        <v>138</v>
      </c>
    </row>
    <row r="5793" spans="1:12" ht="13.5" x14ac:dyDescent="0.25">
      <c r="A5793" s="1930" t="s">
        <v>4628</v>
      </c>
      <c r="B5793" s="1930" t="s">
        <v>4809</v>
      </c>
      <c r="C5793" s="1930" t="s">
        <v>4812</v>
      </c>
      <c r="D5793" s="1930" t="s">
        <v>4813</v>
      </c>
      <c r="E5793" s="1931" t="s">
        <v>33</v>
      </c>
      <c r="F5793" s="1930" t="s">
        <v>33</v>
      </c>
      <c r="G5793" s="1932">
        <v>100213</v>
      </c>
      <c r="H5793" s="1930" t="s">
        <v>8150</v>
      </c>
      <c r="I5793" s="1930" t="s">
        <v>8145</v>
      </c>
      <c r="J5793" s="1930" t="s">
        <v>346</v>
      </c>
      <c r="K5793" s="1933">
        <v>1.92</v>
      </c>
      <c r="L5793" s="1930" t="s">
        <v>138</v>
      </c>
    </row>
    <row r="5794" spans="1:12" ht="13.5" x14ac:dyDescent="0.25">
      <c r="A5794" s="1930" t="s">
        <v>4628</v>
      </c>
      <c r="B5794" s="1930" t="s">
        <v>4809</v>
      </c>
      <c r="C5794" s="1930" t="s">
        <v>4812</v>
      </c>
      <c r="D5794" s="1930" t="s">
        <v>4813</v>
      </c>
      <c r="E5794" s="1931" t="s">
        <v>33</v>
      </c>
      <c r="F5794" s="1930" t="s">
        <v>33</v>
      </c>
      <c r="G5794" s="1932">
        <v>100214</v>
      </c>
      <c r="H5794" s="1930" t="s">
        <v>8151</v>
      </c>
      <c r="I5794" s="1930" t="s">
        <v>8145</v>
      </c>
      <c r="J5794" s="1930" t="s">
        <v>346</v>
      </c>
      <c r="K5794" s="1933">
        <v>2.95</v>
      </c>
      <c r="L5794" s="1930" t="s">
        <v>138</v>
      </c>
    </row>
    <row r="5795" spans="1:12" ht="13.5" x14ac:dyDescent="0.25">
      <c r="A5795" s="1930" t="s">
        <v>4628</v>
      </c>
      <c r="B5795" s="1930" t="s">
        <v>4809</v>
      </c>
      <c r="C5795" s="1930" t="s">
        <v>4812</v>
      </c>
      <c r="D5795" s="1930" t="s">
        <v>4813</v>
      </c>
      <c r="E5795" s="1931" t="s">
        <v>33</v>
      </c>
      <c r="F5795" s="1930" t="s">
        <v>33</v>
      </c>
      <c r="G5795" s="1932">
        <v>100215</v>
      </c>
      <c r="H5795" s="1930" t="s">
        <v>8152</v>
      </c>
      <c r="I5795" s="1930" t="s">
        <v>8145</v>
      </c>
      <c r="J5795" s="1930" t="s">
        <v>346</v>
      </c>
      <c r="K5795" s="1933">
        <v>2.52</v>
      </c>
      <c r="L5795" s="1930" t="s">
        <v>138</v>
      </c>
    </row>
    <row r="5796" spans="1:12" ht="13.5" x14ac:dyDescent="0.25">
      <c r="A5796" s="1930" t="s">
        <v>4628</v>
      </c>
      <c r="B5796" s="1930" t="s">
        <v>4809</v>
      </c>
      <c r="C5796" s="1930" t="s">
        <v>4812</v>
      </c>
      <c r="D5796" s="1930" t="s">
        <v>4813</v>
      </c>
      <c r="E5796" s="1931" t="s">
        <v>33</v>
      </c>
      <c r="F5796" s="1930" t="s">
        <v>33</v>
      </c>
      <c r="G5796" s="1932">
        <v>100216</v>
      </c>
      <c r="H5796" s="1930" t="s">
        <v>8153</v>
      </c>
      <c r="I5796" s="1930" t="s">
        <v>8145</v>
      </c>
      <c r="J5796" s="1930" t="s">
        <v>346</v>
      </c>
      <c r="K5796" s="1933">
        <v>0.68</v>
      </c>
      <c r="L5796" s="1930" t="s">
        <v>138</v>
      </c>
    </row>
    <row r="5797" spans="1:12" ht="13.5" x14ac:dyDescent="0.25">
      <c r="A5797" s="1930" t="s">
        <v>4628</v>
      </c>
      <c r="B5797" s="1930" t="s">
        <v>4809</v>
      </c>
      <c r="C5797" s="1930" t="s">
        <v>4812</v>
      </c>
      <c r="D5797" s="1930" t="s">
        <v>4813</v>
      </c>
      <c r="E5797" s="1931" t="s">
        <v>33</v>
      </c>
      <c r="F5797" s="1930" t="s">
        <v>33</v>
      </c>
      <c r="G5797" s="1932">
        <v>100217</v>
      </c>
      <c r="H5797" s="1930" t="s">
        <v>8154</v>
      </c>
      <c r="I5797" s="1930" t="s">
        <v>8145</v>
      </c>
      <c r="J5797" s="1930" t="s">
        <v>137</v>
      </c>
      <c r="K5797" s="1933">
        <v>1.93</v>
      </c>
      <c r="L5797" s="1930" t="s">
        <v>138</v>
      </c>
    </row>
    <row r="5798" spans="1:12" ht="13.5" x14ac:dyDescent="0.25">
      <c r="A5798" s="1930" t="s">
        <v>4628</v>
      </c>
      <c r="B5798" s="1930" t="s">
        <v>4809</v>
      </c>
      <c r="C5798" s="1930" t="s">
        <v>4812</v>
      </c>
      <c r="D5798" s="1930" t="s">
        <v>4813</v>
      </c>
      <c r="E5798" s="1931" t="s">
        <v>33</v>
      </c>
      <c r="F5798" s="1930" t="s">
        <v>33</v>
      </c>
      <c r="G5798" s="1932">
        <v>100218</v>
      </c>
      <c r="H5798" s="1930" t="s">
        <v>8155</v>
      </c>
      <c r="I5798" s="1930" t="s">
        <v>8145</v>
      </c>
      <c r="J5798" s="1930" t="s">
        <v>137</v>
      </c>
      <c r="K5798" s="1933">
        <v>1.33</v>
      </c>
      <c r="L5798" s="1930" t="s">
        <v>138</v>
      </c>
    </row>
    <row r="5799" spans="1:12" ht="13.5" x14ac:dyDescent="0.25">
      <c r="A5799" s="1930" t="s">
        <v>4628</v>
      </c>
      <c r="B5799" s="1930" t="s">
        <v>4809</v>
      </c>
      <c r="C5799" s="1930" t="s">
        <v>4812</v>
      </c>
      <c r="D5799" s="1930" t="s">
        <v>4813</v>
      </c>
      <c r="E5799" s="1931" t="s">
        <v>33</v>
      </c>
      <c r="F5799" s="1930" t="s">
        <v>33</v>
      </c>
      <c r="G5799" s="1932">
        <v>100219</v>
      </c>
      <c r="H5799" s="1930" t="s">
        <v>8156</v>
      </c>
      <c r="I5799" s="1930" t="s">
        <v>8145</v>
      </c>
      <c r="J5799" s="1930" t="s">
        <v>137</v>
      </c>
      <c r="K5799" s="1933">
        <v>0.28999999999999998</v>
      </c>
      <c r="L5799" s="1930" t="s">
        <v>138</v>
      </c>
    </row>
    <row r="5800" spans="1:12" ht="13.5" x14ac:dyDescent="0.25">
      <c r="A5800" s="1930" t="s">
        <v>4628</v>
      </c>
      <c r="B5800" s="1930" t="s">
        <v>4809</v>
      </c>
      <c r="C5800" s="1930" t="s">
        <v>4812</v>
      </c>
      <c r="D5800" s="1930" t="s">
        <v>4813</v>
      </c>
      <c r="E5800" s="1931" t="s">
        <v>33</v>
      </c>
      <c r="F5800" s="1930" t="s">
        <v>33</v>
      </c>
      <c r="G5800" s="1932">
        <v>100220</v>
      </c>
      <c r="H5800" s="1930" t="s">
        <v>8157</v>
      </c>
      <c r="I5800" s="1930" t="s">
        <v>8158</v>
      </c>
      <c r="J5800" s="1930" t="s">
        <v>346</v>
      </c>
      <c r="K5800" s="1933">
        <v>19.57</v>
      </c>
      <c r="L5800" s="1930" t="s">
        <v>138</v>
      </c>
    </row>
    <row r="5801" spans="1:12" ht="13.5" x14ac:dyDescent="0.25">
      <c r="A5801" s="1930" t="s">
        <v>4628</v>
      </c>
      <c r="B5801" s="1930" t="s">
        <v>4809</v>
      </c>
      <c r="C5801" s="1930" t="s">
        <v>4812</v>
      </c>
      <c r="D5801" s="1930" t="s">
        <v>4813</v>
      </c>
      <c r="E5801" s="1931" t="s">
        <v>33</v>
      </c>
      <c r="F5801" s="1930" t="s">
        <v>33</v>
      </c>
      <c r="G5801" s="1932">
        <v>100221</v>
      </c>
      <c r="H5801" s="1930" t="s">
        <v>8159</v>
      </c>
      <c r="I5801" s="1930" t="s">
        <v>8158</v>
      </c>
      <c r="J5801" s="1930" t="s">
        <v>346</v>
      </c>
      <c r="K5801" s="1933">
        <v>22.19</v>
      </c>
      <c r="L5801" s="1930" t="s">
        <v>138</v>
      </c>
    </row>
    <row r="5802" spans="1:12" ht="13.5" x14ac:dyDescent="0.25">
      <c r="A5802" s="1930" t="s">
        <v>4628</v>
      </c>
      <c r="B5802" s="1930" t="s">
        <v>4809</v>
      </c>
      <c r="C5802" s="1930" t="s">
        <v>4812</v>
      </c>
      <c r="D5802" s="1930" t="s">
        <v>4813</v>
      </c>
      <c r="E5802" s="1931" t="s">
        <v>33</v>
      </c>
      <c r="F5802" s="1930" t="s">
        <v>33</v>
      </c>
      <c r="G5802" s="1932">
        <v>100222</v>
      </c>
      <c r="H5802" s="1930" t="s">
        <v>8160</v>
      </c>
      <c r="I5802" s="1930" t="s">
        <v>8158</v>
      </c>
      <c r="J5802" s="1930" t="s">
        <v>346</v>
      </c>
      <c r="K5802" s="1933">
        <v>8.4</v>
      </c>
      <c r="L5802" s="1930" t="s">
        <v>138</v>
      </c>
    </row>
    <row r="5803" spans="1:12" ht="13.5" x14ac:dyDescent="0.25">
      <c r="A5803" s="1930" t="s">
        <v>4628</v>
      </c>
      <c r="B5803" s="1930" t="s">
        <v>4809</v>
      </c>
      <c r="C5803" s="1930" t="s">
        <v>4812</v>
      </c>
      <c r="D5803" s="1930" t="s">
        <v>4813</v>
      </c>
      <c r="E5803" s="1931" t="s">
        <v>33</v>
      </c>
      <c r="F5803" s="1930" t="s">
        <v>33</v>
      </c>
      <c r="G5803" s="1932">
        <v>100223</v>
      </c>
      <c r="H5803" s="1930" t="s">
        <v>8161</v>
      </c>
      <c r="I5803" s="1930" t="s">
        <v>8158</v>
      </c>
      <c r="J5803" s="1930" t="s">
        <v>346</v>
      </c>
      <c r="K5803" s="1933">
        <v>3.93</v>
      </c>
      <c r="L5803" s="1930" t="s">
        <v>138</v>
      </c>
    </row>
    <row r="5804" spans="1:12" ht="13.5" x14ac:dyDescent="0.25">
      <c r="A5804" s="1930" t="s">
        <v>4628</v>
      </c>
      <c r="B5804" s="1930" t="s">
        <v>4809</v>
      </c>
      <c r="C5804" s="1930" t="s">
        <v>4812</v>
      </c>
      <c r="D5804" s="1930" t="s">
        <v>4813</v>
      </c>
      <c r="E5804" s="1931" t="s">
        <v>33</v>
      </c>
      <c r="F5804" s="1930" t="s">
        <v>33</v>
      </c>
      <c r="G5804" s="1932">
        <v>100224</v>
      </c>
      <c r="H5804" s="1930" t="s">
        <v>8162</v>
      </c>
      <c r="I5804" s="1930" t="s">
        <v>8158</v>
      </c>
      <c r="J5804" s="1930" t="s">
        <v>137</v>
      </c>
      <c r="K5804" s="1933">
        <v>1.93</v>
      </c>
      <c r="L5804" s="1930" t="s">
        <v>138</v>
      </c>
    </row>
    <row r="5805" spans="1:12" ht="13.5" x14ac:dyDescent="0.25">
      <c r="A5805" s="1930" t="s">
        <v>4628</v>
      </c>
      <c r="B5805" s="1930" t="s">
        <v>4809</v>
      </c>
      <c r="C5805" s="1930" t="s">
        <v>4812</v>
      </c>
      <c r="D5805" s="1930" t="s">
        <v>4813</v>
      </c>
      <c r="E5805" s="1931" t="s">
        <v>33</v>
      </c>
      <c r="F5805" s="1930" t="s">
        <v>33</v>
      </c>
      <c r="G5805" s="1932">
        <v>100225</v>
      </c>
      <c r="H5805" s="1930" t="s">
        <v>8163</v>
      </c>
      <c r="I5805" s="1930" t="s">
        <v>8164</v>
      </c>
      <c r="J5805" s="1930" t="s">
        <v>346</v>
      </c>
      <c r="K5805" s="1933">
        <v>1.53</v>
      </c>
      <c r="L5805" s="1930" t="s">
        <v>138</v>
      </c>
    </row>
    <row r="5806" spans="1:12" ht="13.5" x14ac:dyDescent="0.25">
      <c r="A5806" s="1930" t="s">
        <v>4628</v>
      </c>
      <c r="B5806" s="1930" t="s">
        <v>4809</v>
      </c>
      <c r="C5806" s="1930" t="s">
        <v>4812</v>
      </c>
      <c r="D5806" s="1930" t="s">
        <v>4813</v>
      </c>
      <c r="E5806" s="1931" t="s">
        <v>33</v>
      </c>
      <c r="F5806" s="1930" t="s">
        <v>33</v>
      </c>
      <c r="G5806" s="1932">
        <v>100226</v>
      </c>
      <c r="H5806" s="1930" t="s">
        <v>8165</v>
      </c>
      <c r="I5806" s="1930" t="s">
        <v>8164</v>
      </c>
      <c r="J5806" s="1930" t="s">
        <v>346</v>
      </c>
      <c r="K5806" s="1933">
        <v>0.48</v>
      </c>
      <c r="L5806" s="1930" t="s">
        <v>138</v>
      </c>
    </row>
    <row r="5807" spans="1:12" ht="13.5" x14ac:dyDescent="0.25">
      <c r="A5807" s="1930" t="s">
        <v>4628</v>
      </c>
      <c r="B5807" s="1930" t="s">
        <v>4809</v>
      </c>
      <c r="C5807" s="1930" t="s">
        <v>4812</v>
      </c>
      <c r="D5807" s="1930" t="s">
        <v>4813</v>
      </c>
      <c r="E5807" s="1931" t="s">
        <v>33</v>
      </c>
      <c r="F5807" s="1930" t="s">
        <v>33</v>
      </c>
      <c r="G5807" s="1932">
        <v>100227</v>
      </c>
      <c r="H5807" s="1930" t="s">
        <v>8166</v>
      </c>
      <c r="I5807" s="1930" t="s">
        <v>8164</v>
      </c>
      <c r="J5807" s="1930" t="s">
        <v>346</v>
      </c>
      <c r="K5807" s="1933">
        <v>0.71</v>
      </c>
      <c r="L5807" s="1930" t="s">
        <v>138</v>
      </c>
    </row>
    <row r="5808" spans="1:12" ht="13.5" x14ac:dyDescent="0.25">
      <c r="A5808" s="1930" t="s">
        <v>4628</v>
      </c>
      <c r="B5808" s="1930" t="s">
        <v>4809</v>
      </c>
      <c r="C5808" s="1930" t="s">
        <v>4812</v>
      </c>
      <c r="D5808" s="1930" t="s">
        <v>4813</v>
      </c>
      <c r="E5808" s="1931" t="s">
        <v>33</v>
      </c>
      <c r="F5808" s="1930" t="s">
        <v>33</v>
      </c>
      <c r="G5808" s="1932">
        <v>100228</v>
      </c>
      <c r="H5808" s="1930" t="s">
        <v>8167</v>
      </c>
      <c r="I5808" s="1930" t="s">
        <v>8164</v>
      </c>
      <c r="J5808" s="1930" t="s">
        <v>137</v>
      </c>
      <c r="K5808" s="1933">
        <v>0.19</v>
      </c>
      <c r="L5808" s="1930" t="s">
        <v>138</v>
      </c>
    </row>
    <row r="5809" spans="1:12" ht="13.5" x14ac:dyDescent="0.25">
      <c r="A5809" s="1930" t="s">
        <v>4628</v>
      </c>
      <c r="B5809" s="1930" t="s">
        <v>4809</v>
      </c>
      <c r="C5809" s="1930" t="s">
        <v>4812</v>
      </c>
      <c r="D5809" s="1930" t="s">
        <v>4813</v>
      </c>
      <c r="E5809" s="1931" t="s">
        <v>33</v>
      </c>
      <c r="F5809" s="1930" t="s">
        <v>33</v>
      </c>
      <c r="G5809" s="1932">
        <v>100229</v>
      </c>
      <c r="H5809" s="1930" t="s">
        <v>8168</v>
      </c>
      <c r="I5809" s="1930" t="s">
        <v>305</v>
      </c>
      <c r="J5809" s="1930" t="s">
        <v>346</v>
      </c>
      <c r="K5809" s="1933">
        <v>0.01</v>
      </c>
      <c r="L5809" s="1930" t="s">
        <v>138</v>
      </c>
    </row>
    <row r="5810" spans="1:12" ht="13.5" x14ac:dyDescent="0.25">
      <c r="A5810" s="1930" t="s">
        <v>4628</v>
      </c>
      <c r="B5810" s="1930" t="s">
        <v>4809</v>
      </c>
      <c r="C5810" s="1930" t="s">
        <v>4812</v>
      </c>
      <c r="D5810" s="1930" t="s">
        <v>4813</v>
      </c>
      <c r="E5810" s="1931" t="s">
        <v>33</v>
      </c>
      <c r="F5810" s="1930" t="s">
        <v>33</v>
      </c>
      <c r="G5810" s="1932">
        <v>100230</v>
      </c>
      <c r="H5810" s="1930" t="s">
        <v>8169</v>
      </c>
      <c r="I5810" s="1930" t="s">
        <v>305</v>
      </c>
      <c r="J5810" s="1930" t="s">
        <v>346</v>
      </c>
      <c r="K5810" s="1933">
        <v>0.01</v>
      </c>
      <c r="L5810" s="1930" t="s">
        <v>138</v>
      </c>
    </row>
    <row r="5811" spans="1:12" ht="13.5" x14ac:dyDescent="0.25">
      <c r="A5811" s="1930" t="s">
        <v>4628</v>
      </c>
      <c r="B5811" s="1930" t="s">
        <v>4809</v>
      </c>
      <c r="C5811" s="1930" t="s">
        <v>4812</v>
      </c>
      <c r="D5811" s="1930" t="s">
        <v>4813</v>
      </c>
      <c r="E5811" s="1931" t="s">
        <v>33</v>
      </c>
      <c r="F5811" s="1930" t="s">
        <v>33</v>
      </c>
      <c r="G5811" s="1932">
        <v>100231</v>
      </c>
      <c r="H5811" s="1930" t="s">
        <v>8170</v>
      </c>
      <c r="I5811" s="1930" t="s">
        <v>305</v>
      </c>
      <c r="J5811" s="1930" t="s">
        <v>346</v>
      </c>
      <c r="K5811" s="1933">
        <v>0.02</v>
      </c>
      <c r="L5811" s="1930" t="s">
        <v>138</v>
      </c>
    </row>
    <row r="5812" spans="1:12" ht="13.5" x14ac:dyDescent="0.25">
      <c r="A5812" s="1930" t="s">
        <v>4628</v>
      </c>
      <c r="B5812" s="1930" t="s">
        <v>4809</v>
      </c>
      <c r="C5812" s="1930" t="s">
        <v>4812</v>
      </c>
      <c r="D5812" s="1930" t="s">
        <v>4813</v>
      </c>
      <c r="E5812" s="1931" t="s">
        <v>33</v>
      </c>
      <c r="F5812" s="1930" t="s">
        <v>33</v>
      </c>
      <c r="G5812" s="1932">
        <v>100232</v>
      </c>
      <c r="H5812" s="1930" t="s">
        <v>8171</v>
      </c>
      <c r="I5812" s="1930" t="s">
        <v>168</v>
      </c>
      <c r="J5812" s="1930" t="s">
        <v>346</v>
      </c>
      <c r="K5812" s="1933">
        <v>0.25</v>
      </c>
      <c r="L5812" s="1930" t="s">
        <v>138</v>
      </c>
    </row>
    <row r="5813" spans="1:12" ht="13.5" x14ac:dyDescent="0.25">
      <c r="A5813" s="1930" t="s">
        <v>4628</v>
      </c>
      <c r="B5813" s="1930" t="s">
        <v>4809</v>
      </c>
      <c r="C5813" s="1930" t="s">
        <v>4812</v>
      </c>
      <c r="D5813" s="1930" t="s">
        <v>4813</v>
      </c>
      <c r="E5813" s="1931" t="s">
        <v>33</v>
      </c>
      <c r="F5813" s="1930" t="s">
        <v>33</v>
      </c>
      <c r="G5813" s="1932">
        <v>100233</v>
      </c>
      <c r="H5813" s="1930" t="s">
        <v>8172</v>
      </c>
      <c r="I5813" s="1930" t="s">
        <v>168</v>
      </c>
      <c r="J5813" s="1930" t="s">
        <v>346</v>
      </c>
      <c r="K5813" s="1933">
        <v>0.12</v>
      </c>
      <c r="L5813" s="1930" t="s">
        <v>138</v>
      </c>
    </row>
    <row r="5814" spans="1:12" ht="13.5" x14ac:dyDescent="0.25">
      <c r="A5814" s="1930" t="s">
        <v>4628</v>
      </c>
      <c r="B5814" s="1930" t="s">
        <v>4809</v>
      </c>
      <c r="C5814" s="1930" t="s">
        <v>4812</v>
      </c>
      <c r="D5814" s="1930" t="s">
        <v>4813</v>
      </c>
      <c r="E5814" s="1931" t="s">
        <v>33</v>
      </c>
      <c r="F5814" s="1930" t="s">
        <v>33</v>
      </c>
      <c r="G5814" s="1932">
        <v>100234</v>
      </c>
      <c r="H5814" s="1930" t="s">
        <v>8173</v>
      </c>
      <c r="I5814" s="1930" t="s">
        <v>306</v>
      </c>
      <c r="J5814" s="1930" t="s">
        <v>346</v>
      </c>
      <c r="K5814" s="1933">
        <v>0.38</v>
      </c>
      <c r="L5814" s="1930" t="s">
        <v>138</v>
      </c>
    </row>
    <row r="5815" spans="1:12" ht="13.5" x14ac:dyDescent="0.25">
      <c r="A5815" s="1930" t="s">
        <v>4628</v>
      </c>
      <c r="B5815" s="1930" t="s">
        <v>4809</v>
      </c>
      <c r="C5815" s="1930" t="s">
        <v>4812</v>
      </c>
      <c r="D5815" s="1930" t="s">
        <v>4813</v>
      </c>
      <c r="E5815" s="1931" t="s">
        <v>33</v>
      </c>
      <c r="F5815" s="1930" t="s">
        <v>33</v>
      </c>
      <c r="G5815" s="1932">
        <v>100235</v>
      </c>
      <c r="H5815" s="1930" t="s">
        <v>8174</v>
      </c>
      <c r="I5815" s="1930" t="s">
        <v>4230</v>
      </c>
      <c r="J5815" s="1930" t="s">
        <v>346</v>
      </c>
      <c r="K5815" s="1933">
        <v>0.03</v>
      </c>
      <c r="L5815" s="1930" t="s">
        <v>138</v>
      </c>
    </row>
    <row r="5816" spans="1:12" ht="13.5" x14ac:dyDescent="0.25">
      <c r="A5816" s="1930" t="s">
        <v>4628</v>
      </c>
      <c r="B5816" s="1930" t="s">
        <v>4809</v>
      </c>
      <c r="C5816" s="1930" t="s">
        <v>4812</v>
      </c>
      <c r="D5816" s="1930" t="s">
        <v>4813</v>
      </c>
      <c r="E5816" s="1931" t="s">
        <v>33</v>
      </c>
      <c r="F5816" s="1930" t="s">
        <v>33</v>
      </c>
      <c r="G5816" s="1932">
        <v>100236</v>
      </c>
      <c r="H5816" s="1930" t="s">
        <v>8175</v>
      </c>
      <c r="I5816" s="1930" t="s">
        <v>8176</v>
      </c>
      <c r="J5816" s="1930" t="s">
        <v>346</v>
      </c>
      <c r="K5816" s="1933">
        <v>1.95</v>
      </c>
      <c r="L5816" s="1930" t="s">
        <v>138</v>
      </c>
    </row>
    <row r="5817" spans="1:12" ht="13.5" x14ac:dyDescent="0.25">
      <c r="A5817" s="1930" t="s">
        <v>4628</v>
      </c>
      <c r="B5817" s="1930" t="s">
        <v>4809</v>
      </c>
      <c r="C5817" s="1930" t="s">
        <v>4812</v>
      </c>
      <c r="D5817" s="1930" t="s">
        <v>4813</v>
      </c>
      <c r="E5817" s="1931" t="s">
        <v>33</v>
      </c>
      <c r="F5817" s="1930" t="s">
        <v>33</v>
      </c>
      <c r="G5817" s="1932">
        <v>100237</v>
      </c>
      <c r="H5817" s="1930" t="s">
        <v>8177</v>
      </c>
      <c r="I5817" s="1930" t="s">
        <v>8176</v>
      </c>
      <c r="J5817" s="1930" t="s">
        <v>346</v>
      </c>
      <c r="K5817" s="1933">
        <v>2.34</v>
      </c>
      <c r="L5817" s="1930" t="s">
        <v>138</v>
      </c>
    </row>
    <row r="5818" spans="1:12" ht="13.5" x14ac:dyDescent="0.25">
      <c r="A5818" s="1930" t="s">
        <v>4628</v>
      </c>
      <c r="B5818" s="1930" t="s">
        <v>4809</v>
      </c>
      <c r="C5818" s="1930" t="s">
        <v>4812</v>
      </c>
      <c r="D5818" s="1930" t="s">
        <v>4813</v>
      </c>
      <c r="E5818" s="1931" t="s">
        <v>33</v>
      </c>
      <c r="F5818" s="1930" t="s">
        <v>33</v>
      </c>
      <c r="G5818" s="1932">
        <v>100238</v>
      </c>
      <c r="H5818" s="1930" t="s">
        <v>8178</v>
      </c>
      <c r="I5818" s="1930" t="s">
        <v>8176</v>
      </c>
      <c r="J5818" s="1930" t="s">
        <v>346</v>
      </c>
      <c r="K5818" s="1933">
        <v>3.74</v>
      </c>
      <c r="L5818" s="1930" t="s">
        <v>138</v>
      </c>
    </row>
    <row r="5819" spans="1:12" ht="13.5" x14ac:dyDescent="0.25">
      <c r="A5819" s="1930" t="s">
        <v>4628</v>
      </c>
      <c r="B5819" s="1930" t="s">
        <v>4809</v>
      </c>
      <c r="C5819" s="1930" t="s">
        <v>4812</v>
      </c>
      <c r="D5819" s="1930" t="s">
        <v>4813</v>
      </c>
      <c r="E5819" s="1931" t="s">
        <v>33</v>
      </c>
      <c r="F5819" s="1930" t="s">
        <v>33</v>
      </c>
      <c r="G5819" s="1932">
        <v>100239</v>
      </c>
      <c r="H5819" s="1930" t="s">
        <v>8179</v>
      </c>
      <c r="I5819" s="1930" t="s">
        <v>8176</v>
      </c>
      <c r="J5819" s="1930" t="s">
        <v>346</v>
      </c>
      <c r="K5819" s="1933">
        <v>4.68</v>
      </c>
      <c r="L5819" s="1930" t="s">
        <v>138</v>
      </c>
    </row>
    <row r="5820" spans="1:12" ht="13.5" x14ac:dyDescent="0.25">
      <c r="A5820" s="1930" t="s">
        <v>4628</v>
      </c>
      <c r="B5820" s="1930" t="s">
        <v>4809</v>
      </c>
      <c r="C5820" s="1930" t="s">
        <v>4812</v>
      </c>
      <c r="D5820" s="1930" t="s">
        <v>4813</v>
      </c>
      <c r="E5820" s="1931" t="s">
        <v>33</v>
      </c>
      <c r="F5820" s="1930" t="s">
        <v>33</v>
      </c>
      <c r="G5820" s="1932">
        <v>100240</v>
      </c>
      <c r="H5820" s="1930" t="s">
        <v>8180</v>
      </c>
      <c r="I5820" s="1930" t="s">
        <v>8176</v>
      </c>
      <c r="J5820" s="1930" t="s">
        <v>346</v>
      </c>
      <c r="K5820" s="1933">
        <v>2.8</v>
      </c>
      <c r="L5820" s="1930" t="s">
        <v>138</v>
      </c>
    </row>
    <row r="5821" spans="1:12" ht="13.5" x14ac:dyDescent="0.25">
      <c r="A5821" s="1930" t="s">
        <v>4628</v>
      </c>
      <c r="B5821" s="1930" t="s">
        <v>4809</v>
      </c>
      <c r="C5821" s="1930" t="s">
        <v>4812</v>
      </c>
      <c r="D5821" s="1930" t="s">
        <v>4813</v>
      </c>
      <c r="E5821" s="1931" t="s">
        <v>33</v>
      </c>
      <c r="F5821" s="1930" t="s">
        <v>33</v>
      </c>
      <c r="G5821" s="1932">
        <v>100241</v>
      </c>
      <c r="H5821" s="1930" t="s">
        <v>8181</v>
      </c>
      <c r="I5821" s="1930" t="s">
        <v>8176</v>
      </c>
      <c r="J5821" s="1930" t="s">
        <v>346</v>
      </c>
      <c r="K5821" s="1933">
        <v>4.68</v>
      </c>
      <c r="L5821" s="1930" t="s">
        <v>138</v>
      </c>
    </row>
    <row r="5822" spans="1:12" ht="13.5" x14ac:dyDescent="0.25">
      <c r="A5822" s="1930" t="s">
        <v>4628</v>
      </c>
      <c r="B5822" s="1930" t="s">
        <v>4809</v>
      </c>
      <c r="C5822" s="1930" t="s">
        <v>4812</v>
      </c>
      <c r="D5822" s="1930" t="s">
        <v>4813</v>
      </c>
      <c r="E5822" s="1931" t="s">
        <v>33</v>
      </c>
      <c r="F5822" s="1930" t="s">
        <v>33</v>
      </c>
      <c r="G5822" s="1932">
        <v>100242</v>
      </c>
      <c r="H5822" s="1930" t="s">
        <v>8182</v>
      </c>
      <c r="I5822" s="1930" t="s">
        <v>8176</v>
      </c>
      <c r="J5822" s="1930" t="s">
        <v>346</v>
      </c>
      <c r="K5822" s="1933">
        <v>13.83</v>
      </c>
      <c r="L5822" s="1930" t="s">
        <v>138</v>
      </c>
    </row>
    <row r="5823" spans="1:12" ht="13.5" x14ac:dyDescent="0.25">
      <c r="A5823" s="1930" t="s">
        <v>4628</v>
      </c>
      <c r="B5823" s="1930" t="s">
        <v>4809</v>
      </c>
      <c r="C5823" s="1930" t="s">
        <v>4812</v>
      </c>
      <c r="D5823" s="1930" t="s">
        <v>4813</v>
      </c>
      <c r="E5823" s="1931" t="s">
        <v>33</v>
      </c>
      <c r="F5823" s="1930" t="s">
        <v>33</v>
      </c>
      <c r="G5823" s="1932">
        <v>100243</v>
      </c>
      <c r="H5823" s="1930" t="s">
        <v>8183</v>
      </c>
      <c r="I5823" s="1930" t="s">
        <v>8176</v>
      </c>
      <c r="J5823" s="1930" t="s">
        <v>346</v>
      </c>
      <c r="K5823" s="1933">
        <v>2.2400000000000002</v>
      </c>
      <c r="L5823" s="1930" t="s">
        <v>138</v>
      </c>
    </row>
    <row r="5824" spans="1:12" ht="13.5" x14ac:dyDescent="0.25">
      <c r="A5824" s="1930" t="s">
        <v>4628</v>
      </c>
      <c r="B5824" s="1930" t="s">
        <v>4809</v>
      </c>
      <c r="C5824" s="1930" t="s">
        <v>4812</v>
      </c>
      <c r="D5824" s="1930" t="s">
        <v>4813</v>
      </c>
      <c r="E5824" s="1931" t="s">
        <v>33</v>
      </c>
      <c r="F5824" s="1930" t="s">
        <v>33</v>
      </c>
      <c r="G5824" s="1932">
        <v>100244</v>
      </c>
      <c r="H5824" s="1930" t="s">
        <v>8184</v>
      </c>
      <c r="I5824" s="1930" t="s">
        <v>8176</v>
      </c>
      <c r="J5824" s="1930" t="s">
        <v>346</v>
      </c>
      <c r="K5824" s="1933">
        <v>2.8</v>
      </c>
      <c r="L5824" s="1930" t="s">
        <v>138</v>
      </c>
    </row>
    <row r="5825" spans="1:12" ht="13.5" x14ac:dyDescent="0.25">
      <c r="A5825" s="1930" t="s">
        <v>4628</v>
      </c>
      <c r="B5825" s="1930" t="s">
        <v>4809</v>
      </c>
      <c r="C5825" s="1930" t="s">
        <v>4812</v>
      </c>
      <c r="D5825" s="1930" t="s">
        <v>4813</v>
      </c>
      <c r="E5825" s="1931" t="s">
        <v>33</v>
      </c>
      <c r="F5825" s="1930" t="s">
        <v>33</v>
      </c>
      <c r="G5825" s="1932">
        <v>100245</v>
      </c>
      <c r="H5825" s="1930" t="s">
        <v>8185</v>
      </c>
      <c r="I5825" s="1930" t="s">
        <v>8176</v>
      </c>
      <c r="J5825" s="1930" t="s">
        <v>346</v>
      </c>
      <c r="K5825" s="1933">
        <v>5.62</v>
      </c>
      <c r="L5825" s="1930" t="s">
        <v>138</v>
      </c>
    </row>
    <row r="5826" spans="1:12" ht="13.5" x14ac:dyDescent="0.25">
      <c r="A5826" s="1930" t="s">
        <v>4628</v>
      </c>
      <c r="B5826" s="1930" t="s">
        <v>4809</v>
      </c>
      <c r="C5826" s="1930" t="s">
        <v>4812</v>
      </c>
      <c r="D5826" s="1930" t="s">
        <v>4813</v>
      </c>
      <c r="E5826" s="1931" t="s">
        <v>33</v>
      </c>
      <c r="F5826" s="1930" t="s">
        <v>33</v>
      </c>
      <c r="G5826" s="1932">
        <v>100246</v>
      </c>
      <c r="H5826" s="1930" t="s">
        <v>8186</v>
      </c>
      <c r="I5826" s="1930" t="s">
        <v>8176</v>
      </c>
      <c r="J5826" s="1930" t="s">
        <v>346</v>
      </c>
      <c r="K5826" s="1933">
        <v>1.87</v>
      </c>
      <c r="L5826" s="1930" t="s">
        <v>138</v>
      </c>
    </row>
    <row r="5827" spans="1:12" ht="13.5" x14ac:dyDescent="0.25">
      <c r="A5827" s="1930" t="s">
        <v>4628</v>
      </c>
      <c r="B5827" s="1930" t="s">
        <v>4809</v>
      </c>
      <c r="C5827" s="1930" t="s">
        <v>4812</v>
      </c>
      <c r="D5827" s="1930" t="s">
        <v>4813</v>
      </c>
      <c r="E5827" s="1931" t="s">
        <v>33</v>
      </c>
      <c r="F5827" s="1930" t="s">
        <v>33</v>
      </c>
      <c r="G5827" s="1932">
        <v>100247</v>
      </c>
      <c r="H5827" s="1930" t="s">
        <v>8187</v>
      </c>
      <c r="I5827" s="1930" t="s">
        <v>8176</v>
      </c>
      <c r="J5827" s="1930" t="s">
        <v>346</v>
      </c>
      <c r="K5827" s="1933">
        <v>2.34</v>
      </c>
      <c r="L5827" s="1930" t="s">
        <v>138</v>
      </c>
    </row>
    <row r="5828" spans="1:12" ht="13.5" x14ac:dyDescent="0.25">
      <c r="A5828" s="1930" t="s">
        <v>4628</v>
      </c>
      <c r="B5828" s="1930" t="s">
        <v>4809</v>
      </c>
      <c r="C5828" s="1930" t="s">
        <v>4812</v>
      </c>
      <c r="D5828" s="1930" t="s">
        <v>4813</v>
      </c>
      <c r="E5828" s="1931" t="s">
        <v>33</v>
      </c>
      <c r="F5828" s="1930" t="s">
        <v>33</v>
      </c>
      <c r="G5828" s="1932">
        <v>100248</v>
      </c>
      <c r="H5828" s="1930" t="s">
        <v>8188</v>
      </c>
      <c r="I5828" s="1930" t="s">
        <v>8176</v>
      </c>
      <c r="J5828" s="1930" t="s">
        <v>346</v>
      </c>
      <c r="K5828" s="1933">
        <v>9.2200000000000006</v>
      </c>
      <c r="L5828" s="1930" t="s">
        <v>138</v>
      </c>
    </row>
    <row r="5829" spans="1:12" ht="13.5" x14ac:dyDescent="0.25">
      <c r="A5829" s="1930" t="s">
        <v>4628</v>
      </c>
      <c r="B5829" s="1930" t="s">
        <v>4809</v>
      </c>
      <c r="C5829" s="1930" t="s">
        <v>4812</v>
      </c>
      <c r="D5829" s="1930" t="s">
        <v>4813</v>
      </c>
      <c r="E5829" s="1931" t="s">
        <v>33</v>
      </c>
      <c r="F5829" s="1930" t="s">
        <v>33</v>
      </c>
      <c r="G5829" s="1932">
        <v>100249</v>
      </c>
      <c r="H5829" s="1930" t="s">
        <v>8189</v>
      </c>
      <c r="I5829" s="1930" t="s">
        <v>8176</v>
      </c>
      <c r="J5829" s="1930" t="s">
        <v>346</v>
      </c>
      <c r="K5829" s="1933">
        <v>1.87</v>
      </c>
      <c r="L5829" s="1930" t="s">
        <v>138</v>
      </c>
    </row>
    <row r="5830" spans="1:12" ht="13.5" x14ac:dyDescent="0.25">
      <c r="A5830" s="1930" t="s">
        <v>4628</v>
      </c>
      <c r="B5830" s="1930" t="s">
        <v>4809</v>
      </c>
      <c r="C5830" s="1930" t="s">
        <v>4812</v>
      </c>
      <c r="D5830" s="1930" t="s">
        <v>4813</v>
      </c>
      <c r="E5830" s="1931" t="s">
        <v>33</v>
      </c>
      <c r="F5830" s="1930" t="s">
        <v>33</v>
      </c>
      <c r="G5830" s="1932">
        <v>100250</v>
      </c>
      <c r="H5830" s="1930" t="s">
        <v>8190</v>
      </c>
      <c r="I5830" s="1930" t="s">
        <v>8176</v>
      </c>
      <c r="J5830" s="1930" t="s">
        <v>346</v>
      </c>
      <c r="K5830" s="1933">
        <v>3.12</v>
      </c>
      <c r="L5830" s="1930" t="s">
        <v>138</v>
      </c>
    </row>
    <row r="5831" spans="1:12" ht="13.5" x14ac:dyDescent="0.25">
      <c r="A5831" s="1930" t="s">
        <v>4628</v>
      </c>
      <c r="B5831" s="1930" t="s">
        <v>4809</v>
      </c>
      <c r="C5831" s="1930" t="s">
        <v>4812</v>
      </c>
      <c r="D5831" s="1930" t="s">
        <v>4813</v>
      </c>
      <c r="E5831" s="1931" t="s">
        <v>33</v>
      </c>
      <c r="F5831" s="1930" t="s">
        <v>33</v>
      </c>
      <c r="G5831" s="1932">
        <v>100251</v>
      </c>
      <c r="H5831" s="1930" t="s">
        <v>8191</v>
      </c>
      <c r="I5831" s="1930" t="s">
        <v>8176</v>
      </c>
      <c r="J5831" s="1930" t="s">
        <v>346</v>
      </c>
      <c r="K5831" s="1933">
        <v>9.2200000000000006</v>
      </c>
      <c r="L5831" s="1930" t="s">
        <v>138</v>
      </c>
    </row>
    <row r="5832" spans="1:12" ht="13.5" x14ac:dyDescent="0.25">
      <c r="A5832" s="1930" t="s">
        <v>4628</v>
      </c>
      <c r="B5832" s="1930" t="s">
        <v>4809</v>
      </c>
      <c r="C5832" s="1930" t="s">
        <v>4812</v>
      </c>
      <c r="D5832" s="1930" t="s">
        <v>4813</v>
      </c>
      <c r="E5832" s="1931" t="s">
        <v>33</v>
      </c>
      <c r="F5832" s="1930" t="s">
        <v>33</v>
      </c>
      <c r="G5832" s="1932">
        <v>100252</v>
      </c>
      <c r="H5832" s="1930" t="s">
        <v>8192</v>
      </c>
      <c r="I5832" s="1930" t="s">
        <v>8176</v>
      </c>
      <c r="J5832" s="1930" t="s">
        <v>346</v>
      </c>
      <c r="K5832" s="1933">
        <v>13.83</v>
      </c>
      <c r="L5832" s="1930" t="s">
        <v>138</v>
      </c>
    </row>
    <row r="5833" spans="1:12" ht="13.5" x14ac:dyDescent="0.25">
      <c r="A5833" s="1930" t="s">
        <v>4628</v>
      </c>
      <c r="B5833" s="1930" t="s">
        <v>4809</v>
      </c>
      <c r="C5833" s="1930" t="s">
        <v>4812</v>
      </c>
      <c r="D5833" s="1930" t="s">
        <v>4813</v>
      </c>
      <c r="E5833" s="1931" t="s">
        <v>33</v>
      </c>
      <c r="F5833" s="1930" t="s">
        <v>33</v>
      </c>
      <c r="G5833" s="1932">
        <v>100253</v>
      </c>
      <c r="H5833" s="1930" t="s">
        <v>8193</v>
      </c>
      <c r="I5833" s="1930" t="s">
        <v>8176</v>
      </c>
      <c r="J5833" s="1930" t="s">
        <v>346</v>
      </c>
      <c r="K5833" s="1933">
        <v>18.45</v>
      </c>
      <c r="L5833" s="1930" t="s">
        <v>138</v>
      </c>
    </row>
    <row r="5834" spans="1:12" ht="13.5" x14ac:dyDescent="0.25">
      <c r="A5834" s="1930" t="s">
        <v>4628</v>
      </c>
      <c r="B5834" s="1930" t="s">
        <v>4809</v>
      </c>
      <c r="C5834" s="1930" t="s">
        <v>4812</v>
      </c>
      <c r="D5834" s="1930" t="s">
        <v>4813</v>
      </c>
      <c r="E5834" s="1931" t="s">
        <v>33</v>
      </c>
      <c r="F5834" s="1930" t="s">
        <v>33</v>
      </c>
      <c r="G5834" s="1932">
        <v>100254</v>
      </c>
      <c r="H5834" s="1930" t="s">
        <v>8194</v>
      </c>
      <c r="I5834" s="1930" t="s">
        <v>8176</v>
      </c>
      <c r="J5834" s="1930" t="s">
        <v>346</v>
      </c>
      <c r="K5834" s="1933">
        <v>27.67</v>
      </c>
      <c r="L5834" s="1930" t="s">
        <v>138</v>
      </c>
    </row>
    <row r="5835" spans="1:12" ht="13.5" x14ac:dyDescent="0.25">
      <c r="A5835" s="1930" t="s">
        <v>4628</v>
      </c>
      <c r="B5835" s="1930" t="s">
        <v>4809</v>
      </c>
      <c r="C5835" s="1930" t="s">
        <v>4812</v>
      </c>
      <c r="D5835" s="1930" t="s">
        <v>4813</v>
      </c>
      <c r="E5835" s="1931" t="s">
        <v>33</v>
      </c>
      <c r="F5835" s="1930" t="s">
        <v>33</v>
      </c>
      <c r="G5835" s="1932">
        <v>100255</v>
      </c>
      <c r="H5835" s="1930" t="s">
        <v>8195</v>
      </c>
      <c r="I5835" s="1930" t="s">
        <v>8176</v>
      </c>
      <c r="J5835" s="1930" t="s">
        <v>346</v>
      </c>
      <c r="K5835" s="1933">
        <v>9.36</v>
      </c>
      <c r="L5835" s="1930" t="s">
        <v>138</v>
      </c>
    </row>
    <row r="5836" spans="1:12" ht="13.5" x14ac:dyDescent="0.25">
      <c r="A5836" s="1930" t="s">
        <v>4628</v>
      </c>
      <c r="B5836" s="1930" t="s">
        <v>4809</v>
      </c>
      <c r="C5836" s="1930" t="s">
        <v>4812</v>
      </c>
      <c r="D5836" s="1930" t="s">
        <v>4813</v>
      </c>
      <c r="E5836" s="1931" t="s">
        <v>33</v>
      </c>
      <c r="F5836" s="1930" t="s">
        <v>33</v>
      </c>
      <c r="G5836" s="1932">
        <v>100256</v>
      </c>
      <c r="H5836" s="1930" t="s">
        <v>8196</v>
      </c>
      <c r="I5836" s="1930" t="s">
        <v>8176</v>
      </c>
      <c r="J5836" s="1930" t="s">
        <v>346</v>
      </c>
      <c r="K5836" s="1933">
        <v>6.24</v>
      </c>
      <c r="L5836" s="1930" t="s">
        <v>138</v>
      </c>
    </row>
    <row r="5837" spans="1:12" ht="13.5" x14ac:dyDescent="0.25">
      <c r="A5837" s="1930" t="s">
        <v>4628</v>
      </c>
      <c r="B5837" s="1930" t="s">
        <v>4809</v>
      </c>
      <c r="C5837" s="1930" t="s">
        <v>4812</v>
      </c>
      <c r="D5837" s="1930" t="s">
        <v>4813</v>
      </c>
      <c r="E5837" s="1931" t="s">
        <v>33</v>
      </c>
      <c r="F5837" s="1930" t="s">
        <v>33</v>
      </c>
      <c r="G5837" s="1932">
        <v>100257</v>
      </c>
      <c r="H5837" s="1930" t="s">
        <v>8197</v>
      </c>
      <c r="I5837" s="1930" t="s">
        <v>8176</v>
      </c>
      <c r="J5837" s="1930" t="s">
        <v>346</v>
      </c>
      <c r="K5837" s="1933">
        <v>3.74</v>
      </c>
      <c r="L5837" s="1930" t="s">
        <v>138</v>
      </c>
    </row>
    <row r="5838" spans="1:12" ht="13.5" x14ac:dyDescent="0.25">
      <c r="A5838" s="1930" t="s">
        <v>4628</v>
      </c>
      <c r="B5838" s="1930" t="s">
        <v>4809</v>
      </c>
      <c r="C5838" s="1930" t="s">
        <v>4812</v>
      </c>
      <c r="D5838" s="1930" t="s">
        <v>4813</v>
      </c>
      <c r="E5838" s="1931" t="s">
        <v>33</v>
      </c>
      <c r="F5838" s="1930" t="s">
        <v>33</v>
      </c>
      <c r="G5838" s="1932">
        <v>100258</v>
      </c>
      <c r="H5838" s="1930" t="s">
        <v>8198</v>
      </c>
      <c r="I5838" s="1930" t="s">
        <v>8176</v>
      </c>
      <c r="J5838" s="1930" t="s">
        <v>346</v>
      </c>
      <c r="K5838" s="1933">
        <v>9.36</v>
      </c>
      <c r="L5838" s="1930" t="s">
        <v>138</v>
      </c>
    </row>
    <row r="5839" spans="1:12" ht="13.5" x14ac:dyDescent="0.25">
      <c r="A5839" s="1930" t="s">
        <v>4628</v>
      </c>
      <c r="B5839" s="1930" t="s">
        <v>4809</v>
      </c>
      <c r="C5839" s="1930" t="s">
        <v>4812</v>
      </c>
      <c r="D5839" s="1930" t="s">
        <v>4813</v>
      </c>
      <c r="E5839" s="1931" t="s">
        <v>33</v>
      </c>
      <c r="F5839" s="1930" t="s">
        <v>33</v>
      </c>
      <c r="G5839" s="1932">
        <v>100259</v>
      </c>
      <c r="H5839" s="1930" t="s">
        <v>8199</v>
      </c>
      <c r="I5839" s="1930" t="s">
        <v>8176</v>
      </c>
      <c r="J5839" s="1930" t="s">
        <v>346</v>
      </c>
      <c r="K5839" s="1933">
        <v>18.45</v>
      </c>
      <c r="L5839" s="1930" t="s">
        <v>138</v>
      </c>
    </row>
    <row r="5840" spans="1:12" ht="13.5" x14ac:dyDescent="0.25">
      <c r="A5840" s="1930" t="s">
        <v>4628</v>
      </c>
      <c r="B5840" s="1930" t="s">
        <v>4809</v>
      </c>
      <c r="C5840" s="1930" t="s">
        <v>4812</v>
      </c>
      <c r="D5840" s="1930" t="s">
        <v>4813</v>
      </c>
      <c r="E5840" s="1931" t="s">
        <v>33</v>
      </c>
      <c r="F5840" s="1930" t="s">
        <v>33</v>
      </c>
      <c r="G5840" s="1932">
        <v>100260</v>
      </c>
      <c r="H5840" s="1930" t="s">
        <v>8200</v>
      </c>
      <c r="I5840" s="1930" t="s">
        <v>8131</v>
      </c>
      <c r="J5840" s="1930" t="s">
        <v>346</v>
      </c>
      <c r="K5840" s="1933">
        <v>6.08</v>
      </c>
      <c r="L5840" s="1930" t="s">
        <v>138</v>
      </c>
    </row>
    <row r="5841" spans="1:12" ht="13.5" x14ac:dyDescent="0.25">
      <c r="A5841" s="1930" t="s">
        <v>4628</v>
      </c>
      <c r="B5841" s="1930" t="s">
        <v>4809</v>
      </c>
      <c r="C5841" s="1930" t="s">
        <v>4812</v>
      </c>
      <c r="D5841" s="1930" t="s">
        <v>4813</v>
      </c>
      <c r="E5841" s="1931" t="s">
        <v>33</v>
      </c>
      <c r="F5841" s="1930" t="s">
        <v>33</v>
      </c>
      <c r="G5841" s="1932">
        <v>100261</v>
      </c>
      <c r="H5841" s="1930" t="s">
        <v>8201</v>
      </c>
      <c r="I5841" s="1930" t="s">
        <v>8131</v>
      </c>
      <c r="J5841" s="1930" t="s">
        <v>346</v>
      </c>
      <c r="K5841" s="1933">
        <v>3.82</v>
      </c>
      <c r="L5841" s="1930" t="s">
        <v>138</v>
      </c>
    </row>
    <row r="5842" spans="1:12" ht="13.5" x14ac:dyDescent="0.25">
      <c r="A5842" s="1930" t="s">
        <v>4628</v>
      </c>
      <c r="B5842" s="1930" t="s">
        <v>4809</v>
      </c>
      <c r="C5842" s="1930" t="s">
        <v>4812</v>
      </c>
      <c r="D5842" s="1930" t="s">
        <v>4813</v>
      </c>
      <c r="E5842" s="1931" t="s">
        <v>33</v>
      </c>
      <c r="F5842" s="1930" t="s">
        <v>33</v>
      </c>
      <c r="G5842" s="1932">
        <v>100262</v>
      </c>
      <c r="H5842" s="1930" t="s">
        <v>8202</v>
      </c>
      <c r="I5842" s="1930" t="s">
        <v>8131</v>
      </c>
      <c r="J5842" s="1930" t="s">
        <v>346</v>
      </c>
      <c r="K5842" s="1933">
        <v>2.37</v>
      </c>
      <c r="L5842" s="1930" t="s">
        <v>138</v>
      </c>
    </row>
    <row r="5843" spans="1:12" ht="13.5" x14ac:dyDescent="0.25">
      <c r="A5843" s="1930" t="s">
        <v>4628</v>
      </c>
      <c r="B5843" s="1930" t="s">
        <v>4809</v>
      </c>
      <c r="C5843" s="1930" t="s">
        <v>4812</v>
      </c>
      <c r="D5843" s="1930" t="s">
        <v>4813</v>
      </c>
      <c r="E5843" s="1931" t="s">
        <v>33</v>
      </c>
      <c r="F5843" s="1930" t="s">
        <v>33</v>
      </c>
      <c r="G5843" s="1932">
        <v>100263</v>
      </c>
      <c r="H5843" s="1930" t="s">
        <v>8203</v>
      </c>
      <c r="I5843" s="1930" t="s">
        <v>8131</v>
      </c>
      <c r="J5843" s="1930" t="s">
        <v>346</v>
      </c>
      <c r="K5843" s="1933">
        <v>1.51</v>
      </c>
      <c r="L5843" s="1930" t="s">
        <v>138</v>
      </c>
    </row>
    <row r="5844" spans="1:12" ht="13.5" x14ac:dyDescent="0.25">
      <c r="A5844" s="1930" t="s">
        <v>4628</v>
      </c>
      <c r="B5844" s="1930" t="s">
        <v>4809</v>
      </c>
      <c r="C5844" s="1930" t="s">
        <v>4812</v>
      </c>
      <c r="D5844" s="1930" t="s">
        <v>4813</v>
      </c>
      <c r="E5844" s="1931" t="s">
        <v>33</v>
      </c>
      <c r="F5844" s="1930" t="s">
        <v>33</v>
      </c>
      <c r="G5844" s="1932">
        <v>100264</v>
      </c>
      <c r="H5844" s="1930" t="s">
        <v>8204</v>
      </c>
      <c r="I5844" s="1930" t="s">
        <v>8158</v>
      </c>
      <c r="J5844" s="1930" t="s">
        <v>346</v>
      </c>
      <c r="K5844" s="1933">
        <v>27.63</v>
      </c>
      <c r="L5844" s="1930" t="s">
        <v>138</v>
      </c>
    </row>
    <row r="5845" spans="1:12" ht="13.5" x14ac:dyDescent="0.25">
      <c r="A5845" s="1930" t="s">
        <v>4628</v>
      </c>
      <c r="B5845" s="1930" t="s">
        <v>4809</v>
      </c>
      <c r="C5845" s="1930" t="s">
        <v>4812</v>
      </c>
      <c r="D5845" s="1930" t="s">
        <v>4813</v>
      </c>
      <c r="E5845" s="1931" t="s">
        <v>33</v>
      </c>
      <c r="F5845" s="1930" t="s">
        <v>33</v>
      </c>
      <c r="G5845" s="1932">
        <v>100265</v>
      </c>
      <c r="H5845" s="1930" t="s">
        <v>8205</v>
      </c>
      <c r="I5845" s="1930" t="s">
        <v>306</v>
      </c>
      <c r="J5845" s="1930" t="s">
        <v>346</v>
      </c>
      <c r="K5845" s="1933">
        <v>0.57999999999999996</v>
      </c>
      <c r="L5845" s="1930" t="s">
        <v>138</v>
      </c>
    </row>
    <row r="5846" spans="1:12" ht="13.5" x14ac:dyDescent="0.25">
      <c r="A5846" s="1930" t="s">
        <v>4628</v>
      </c>
      <c r="B5846" s="1930" t="s">
        <v>4809</v>
      </c>
      <c r="C5846" s="1930" t="s">
        <v>4812</v>
      </c>
      <c r="D5846" s="1930" t="s">
        <v>4813</v>
      </c>
      <c r="E5846" s="1931" t="s">
        <v>33</v>
      </c>
      <c r="F5846" s="1930" t="s">
        <v>33</v>
      </c>
      <c r="G5846" s="1932">
        <v>100266</v>
      </c>
      <c r="H5846" s="1930" t="s">
        <v>8206</v>
      </c>
      <c r="I5846" s="1930" t="s">
        <v>8145</v>
      </c>
      <c r="J5846" s="1930" t="s">
        <v>346</v>
      </c>
      <c r="K5846" s="1933">
        <v>58.73</v>
      </c>
      <c r="L5846" s="1930" t="s">
        <v>138</v>
      </c>
    </row>
    <row r="5847" spans="1:12" ht="13.5" x14ac:dyDescent="0.25">
      <c r="A5847" s="1930" t="s">
        <v>4628</v>
      </c>
      <c r="B5847" s="1930" t="s">
        <v>4809</v>
      </c>
      <c r="C5847" s="1930" t="s">
        <v>4812</v>
      </c>
      <c r="D5847" s="1930" t="s">
        <v>4813</v>
      </c>
      <c r="E5847" s="1931" t="s">
        <v>33</v>
      </c>
      <c r="F5847" s="1930" t="s">
        <v>33</v>
      </c>
      <c r="G5847" s="1932">
        <v>100267</v>
      </c>
      <c r="H5847" s="1930" t="s">
        <v>8207</v>
      </c>
      <c r="I5847" s="1930" t="s">
        <v>168</v>
      </c>
      <c r="J5847" s="1930" t="s">
        <v>346</v>
      </c>
      <c r="K5847" s="1933">
        <v>1.1599999999999999</v>
      </c>
      <c r="L5847" s="1930" t="s">
        <v>138</v>
      </c>
    </row>
    <row r="5848" spans="1:12" ht="13.5" x14ac:dyDescent="0.25">
      <c r="A5848" s="1930" t="s">
        <v>4628</v>
      </c>
      <c r="B5848" s="1930" t="s">
        <v>4809</v>
      </c>
      <c r="C5848" s="1930" t="s">
        <v>4812</v>
      </c>
      <c r="D5848" s="1930" t="s">
        <v>4813</v>
      </c>
      <c r="E5848" s="1931" t="s">
        <v>33</v>
      </c>
      <c r="F5848" s="1930" t="s">
        <v>33</v>
      </c>
      <c r="G5848" s="1932">
        <v>100268</v>
      </c>
      <c r="H5848" s="1930" t="s">
        <v>8208</v>
      </c>
      <c r="I5848" s="1930" t="s">
        <v>8145</v>
      </c>
      <c r="J5848" s="1930" t="s">
        <v>346</v>
      </c>
      <c r="K5848" s="1933">
        <v>58.73</v>
      </c>
      <c r="L5848" s="1930" t="s">
        <v>138</v>
      </c>
    </row>
    <row r="5849" spans="1:12" ht="13.5" x14ac:dyDescent="0.25">
      <c r="A5849" s="1930" t="s">
        <v>4628</v>
      </c>
      <c r="B5849" s="1930" t="s">
        <v>4809</v>
      </c>
      <c r="C5849" s="1930" t="s">
        <v>4812</v>
      </c>
      <c r="D5849" s="1930" t="s">
        <v>4813</v>
      </c>
      <c r="E5849" s="1931" t="s">
        <v>33</v>
      </c>
      <c r="F5849" s="1930" t="s">
        <v>33</v>
      </c>
      <c r="G5849" s="1932">
        <v>100269</v>
      </c>
      <c r="H5849" s="1930" t="s">
        <v>8209</v>
      </c>
      <c r="I5849" s="1930" t="s">
        <v>168</v>
      </c>
      <c r="J5849" s="1930" t="s">
        <v>346</v>
      </c>
      <c r="K5849" s="1933">
        <v>1.1599999999999999</v>
      </c>
      <c r="L5849" s="1930" t="s">
        <v>138</v>
      </c>
    </row>
    <row r="5850" spans="1:12" ht="13.5" x14ac:dyDescent="0.25">
      <c r="A5850" s="1930" t="s">
        <v>4628</v>
      </c>
      <c r="B5850" s="1930" t="s">
        <v>4809</v>
      </c>
      <c r="C5850" s="1930" t="s">
        <v>4812</v>
      </c>
      <c r="D5850" s="1930" t="s">
        <v>4813</v>
      </c>
      <c r="E5850" s="1931" t="s">
        <v>33</v>
      </c>
      <c r="F5850" s="1930" t="s">
        <v>33</v>
      </c>
      <c r="G5850" s="1932">
        <v>100270</v>
      </c>
      <c r="H5850" s="1930" t="s">
        <v>8210</v>
      </c>
      <c r="I5850" s="1930" t="s">
        <v>8145</v>
      </c>
      <c r="J5850" s="1930" t="s">
        <v>346</v>
      </c>
      <c r="K5850" s="1933">
        <v>44.02</v>
      </c>
      <c r="L5850" s="1930" t="s">
        <v>138</v>
      </c>
    </row>
    <row r="5851" spans="1:12" ht="13.5" x14ac:dyDescent="0.25">
      <c r="A5851" s="1930" t="s">
        <v>4628</v>
      </c>
      <c r="B5851" s="1930" t="s">
        <v>4809</v>
      </c>
      <c r="C5851" s="1930" t="s">
        <v>4812</v>
      </c>
      <c r="D5851" s="1930" t="s">
        <v>4813</v>
      </c>
      <c r="E5851" s="1931" t="s">
        <v>33</v>
      </c>
      <c r="F5851" s="1930" t="s">
        <v>33</v>
      </c>
      <c r="G5851" s="1932">
        <v>100271</v>
      </c>
      <c r="H5851" s="1930" t="s">
        <v>8211</v>
      </c>
      <c r="I5851" s="1930" t="s">
        <v>8158</v>
      </c>
      <c r="J5851" s="1930" t="s">
        <v>346</v>
      </c>
      <c r="K5851" s="1933">
        <v>44.04</v>
      </c>
      <c r="L5851" s="1930" t="s">
        <v>138</v>
      </c>
    </row>
    <row r="5852" spans="1:12" ht="13.5" x14ac:dyDescent="0.25">
      <c r="A5852" s="1930" t="s">
        <v>4628</v>
      </c>
      <c r="B5852" s="1930" t="s">
        <v>4809</v>
      </c>
      <c r="C5852" s="1930" t="s">
        <v>4812</v>
      </c>
      <c r="D5852" s="1930" t="s">
        <v>4813</v>
      </c>
      <c r="E5852" s="1931" t="s">
        <v>33</v>
      </c>
      <c r="F5852" s="1930" t="s">
        <v>33</v>
      </c>
      <c r="G5852" s="1932">
        <v>100272</v>
      </c>
      <c r="H5852" s="1930" t="s">
        <v>8212</v>
      </c>
      <c r="I5852" s="1930" t="s">
        <v>306</v>
      </c>
      <c r="J5852" s="1930" t="s">
        <v>346</v>
      </c>
      <c r="K5852" s="1933">
        <v>0.87</v>
      </c>
      <c r="L5852" s="1930" t="s">
        <v>138</v>
      </c>
    </row>
    <row r="5853" spans="1:12" ht="13.5" x14ac:dyDescent="0.25">
      <c r="A5853" s="1930" t="s">
        <v>4628</v>
      </c>
      <c r="B5853" s="1930" t="s">
        <v>4809</v>
      </c>
      <c r="C5853" s="1930" t="s">
        <v>4812</v>
      </c>
      <c r="D5853" s="1930" t="s">
        <v>4813</v>
      </c>
      <c r="E5853" s="1931" t="s">
        <v>33</v>
      </c>
      <c r="F5853" s="1930" t="s">
        <v>33</v>
      </c>
      <c r="G5853" s="1932">
        <v>100273</v>
      </c>
      <c r="H5853" s="1930" t="s">
        <v>8213</v>
      </c>
      <c r="I5853" s="1930" t="s">
        <v>8131</v>
      </c>
      <c r="J5853" s="1930" t="s">
        <v>346</v>
      </c>
      <c r="K5853" s="1933">
        <v>2.29</v>
      </c>
      <c r="L5853" s="1930" t="s">
        <v>138</v>
      </c>
    </row>
    <row r="5854" spans="1:12" ht="13.5" x14ac:dyDescent="0.25">
      <c r="A5854" s="1930" t="s">
        <v>4628</v>
      </c>
      <c r="B5854" s="1930" t="s">
        <v>4809</v>
      </c>
      <c r="C5854" s="1930" t="s">
        <v>4812</v>
      </c>
      <c r="D5854" s="1930" t="s">
        <v>4813</v>
      </c>
      <c r="E5854" s="1931" t="s">
        <v>33</v>
      </c>
      <c r="F5854" s="1930" t="s">
        <v>33</v>
      </c>
      <c r="G5854" s="1932">
        <v>100274</v>
      </c>
      <c r="H5854" s="1930" t="s">
        <v>8214</v>
      </c>
      <c r="I5854" s="1930" t="s">
        <v>8158</v>
      </c>
      <c r="J5854" s="1930" t="s">
        <v>346</v>
      </c>
      <c r="K5854" s="1933">
        <v>19.579999999999998</v>
      </c>
      <c r="L5854" s="1930" t="s">
        <v>138</v>
      </c>
    </row>
    <row r="5855" spans="1:12" ht="13.5" x14ac:dyDescent="0.25">
      <c r="A5855" s="1930" t="s">
        <v>4628</v>
      </c>
      <c r="B5855" s="1930" t="s">
        <v>4809</v>
      </c>
      <c r="C5855" s="1930" t="s">
        <v>4812</v>
      </c>
      <c r="D5855" s="1930" t="s">
        <v>4813</v>
      </c>
      <c r="E5855" s="1931" t="s">
        <v>33</v>
      </c>
      <c r="F5855" s="1930" t="s">
        <v>33</v>
      </c>
      <c r="G5855" s="1932">
        <v>100275</v>
      </c>
      <c r="H5855" s="1930" t="s">
        <v>8215</v>
      </c>
      <c r="I5855" s="1930" t="s">
        <v>8158</v>
      </c>
      <c r="J5855" s="1930" t="s">
        <v>346</v>
      </c>
      <c r="K5855" s="1933">
        <v>12.66</v>
      </c>
      <c r="L5855" s="1930" t="s">
        <v>138</v>
      </c>
    </row>
    <row r="5856" spans="1:12" ht="13.5" x14ac:dyDescent="0.25">
      <c r="A5856" s="1930" t="s">
        <v>4628</v>
      </c>
      <c r="B5856" s="1930" t="s">
        <v>4809</v>
      </c>
      <c r="C5856" s="1930" t="s">
        <v>4812</v>
      </c>
      <c r="D5856" s="1930" t="s">
        <v>4813</v>
      </c>
      <c r="E5856" s="1931" t="s">
        <v>33</v>
      </c>
      <c r="F5856" s="1930" t="s">
        <v>33</v>
      </c>
      <c r="G5856" s="1932">
        <v>100276</v>
      </c>
      <c r="H5856" s="1930" t="s">
        <v>8216</v>
      </c>
      <c r="I5856" s="1930" t="s">
        <v>8158</v>
      </c>
      <c r="J5856" s="1930" t="s">
        <v>346</v>
      </c>
      <c r="K5856" s="1933">
        <v>23.11</v>
      </c>
      <c r="L5856" s="1930" t="s">
        <v>138</v>
      </c>
    </row>
    <row r="5857" spans="1:12" ht="13.5" x14ac:dyDescent="0.25">
      <c r="A5857" s="1930" t="s">
        <v>4628</v>
      </c>
      <c r="B5857" s="1930" t="s">
        <v>4809</v>
      </c>
      <c r="C5857" s="1930" t="s">
        <v>4812</v>
      </c>
      <c r="D5857" s="1930" t="s">
        <v>4813</v>
      </c>
      <c r="E5857" s="1931" t="s">
        <v>33</v>
      </c>
      <c r="F5857" s="1930" t="s">
        <v>33</v>
      </c>
      <c r="G5857" s="1932">
        <v>100277</v>
      </c>
      <c r="H5857" s="1930" t="s">
        <v>8217</v>
      </c>
      <c r="I5857" s="1930" t="s">
        <v>8158</v>
      </c>
      <c r="J5857" s="1930" t="s">
        <v>137</v>
      </c>
      <c r="K5857" s="1933">
        <v>1.24</v>
      </c>
      <c r="L5857" s="1930" t="s">
        <v>138</v>
      </c>
    </row>
    <row r="5858" spans="1:12" ht="13.5" x14ac:dyDescent="0.25">
      <c r="A5858" s="1930" t="s">
        <v>4628</v>
      </c>
      <c r="B5858" s="1930" t="s">
        <v>4809</v>
      </c>
      <c r="C5858" s="1930" t="s">
        <v>4812</v>
      </c>
      <c r="D5858" s="1930" t="s">
        <v>4813</v>
      </c>
      <c r="E5858" s="1931" t="s">
        <v>33</v>
      </c>
      <c r="F5858" s="1930" t="s">
        <v>33</v>
      </c>
      <c r="G5858" s="1932">
        <v>100278</v>
      </c>
      <c r="H5858" s="1930" t="s">
        <v>8218</v>
      </c>
      <c r="I5858" s="1930" t="s">
        <v>8145</v>
      </c>
      <c r="J5858" s="1930" t="s">
        <v>346</v>
      </c>
      <c r="K5858" s="1933">
        <v>28.1</v>
      </c>
      <c r="L5858" s="1930" t="s">
        <v>138</v>
      </c>
    </row>
    <row r="5859" spans="1:12" ht="13.5" x14ac:dyDescent="0.25">
      <c r="A5859" s="1930" t="s">
        <v>4628</v>
      </c>
      <c r="B5859" s="1930" t="s">
        <v>4809</v>
      </c>
      <c r="C5859" s="1930" t="s">
        <v>4812</v>
      </c>
      <c r="D5859" s="1930" t="s">
        <v>4813</v>
      </c>
      <c r="E5859" s="1931" t="s">
        <v>33</v>
      </c>
      <c r="F5859" s="1930" t="s">
        <v>33</v>
      </c>
      <c r="G5859" s="1932">
        <v>100279</v>
      </c>
      <c r="H5859" s="1930" t="s">
        <v>8219</v>
      </c>
      <c r="I5859" s="1930" t="s">
        <v>168</v>
      </c>
      <c r="J5859" s="1930" t="s">
        <v>346</v>
      </c>
      <c r="K5859" s="1933">
        <v>0.54</v>
      </c>
      <c r="L5859" s="1930" t="s">
        <v>138</v>
      </c>
    </row>
    <row r="5860" spans="1:12" ht="13.5" x14ac:dyDescent="0.25">
      <c r="A5860" s="1930" t="s">
        <v>4628</v>
      </c>
      <c r="B5860" s="1930" t="s">
        <v>4809</v>
      </c>
      <c r="C5860" s="1930" t="s">
        <v>4812</v>
      </c>
      <c r="D5860" s="1930" t="s">
        <v>4813</v>
      </c>
      <c r="E5860" s="1931" t="s">
        <v>33</v>
      </c>
      <c r="F5860" s="1930" t="s">
        <v>33</v>
      </c>
      <c r="G5860" s="1932">
        <v>100280</v>
      </c>
      <c r="H5860" s="1930" t="s">
        <v>8220</v>
      </c>
      <c r="I5860" s="1930" t="s">
        <v>8145</v>
      </c>
      <c r="J5860" s="1930" t="s">
        <v>346</v>
      </c>
      <c r="K5860" s="1933">
        <v>12.9</v>
      </c>
      <c r="L5860" s="1930" t="s">
        <v>138</v>
      </c>
    </row>
    <row r="5861" spans="1:12" ht="13.5" x14ac:dyDescent="0.25">
      <c r="A5861" s="1930" t="s">
        <v>4628</v>
      </c>
      <c r="B5861" s="1930" t="s">
        <v>4809</v>
      </c>
      <c r="C5861" s="1930" t="s">
        <v>4812</v>
      </c>
      <c r="D5861" s="1930" t="s">
        <v>4813</v>
      </c>
      <c r="E5861" s="1931" t="s">
        <v>33</v>
      </c>
      <c r="F5861" s="1930" t="s">
        <v>33</v>
      </c>
      <c r="G5861" s="1932">
        <v>100281</v>
      </c>
      <c r="H5861" s="1930" t="s">
        <v>8221</v>
      </c>
      <c r="I5861" s="1930" t="s">
        <v>8145</v>
      </c>
      <c r="J5861" s="1930" t="s">
        <v>137</v>
      </c>
      <c r="K5861" s="1933">
        <v>2.38</v>
      </c>
      <c r="L5861" s="1930" t="s">
        <v>138</v>
      </c>
    </row>
    <row r="5862" spans="1:12" ht="13.5" x14ac:dyDescent="0.25">
      <c r="A5862" s="1930" t="s">
        <v>4628</v>
      </c>
      <c r="B5862" s="1930" t="s">
        <v>4809</v>
      </c>
      <c r="C5862" s="1930" t="s">
        <v>4812</v>
      </c>
      <c r="D5862" s="1930" t="s">
        <v>4813</v>
      </c>
      <c r="E5862" s="1931" t="s">
        <v>33</v>
      </c>
      <c r="F5862" s="1930" t="s">
        <v>33</v>
      </c>
      <c r="G5862" s="1932">
        <v>100282</v>
      </c>
      <c r="H5862" s="1930" t="s">
        <v>8222</v>
      </c>
      <c r="I5862" s="1930" t="s">
        <v>8158</v>
      </c>
      <c r="J5862" s="1930" t="s">
        <v>346</v>
      </c>
      <c r="K5862" s="1933">
        <v>110.03</v>
      </c>
      <c r="L5862" s="1930" t="s">
        <v>138</v>
      </c>
    </row>
    <row r="5863" spans="1:12" ht="13.5" x14ac:dyDescent="0.25">
      <c r="A5863" s="1930" t="s">
        <v>4628</v>
      </c>
      <c r="B5863" s="1930" t="s">
        <v>4809</v>
      </c>
      <c r="C5863" s="1930" t="s">
        <v>4812</v>
      </c>
      <c r="D5863" s="1930" t="s">
        <v>4813</v>
      </c>
      <c r="E5863" s="1931" t="s">
        <v>33</v>
      </c>
      <c r="F5863" s="1930" t="s">
        <v>33</v>
      </c>
      <c r="G5863" s="1932">
        <v>100283</v>
      </c>
      <c r="H5863" s="1930" t="s">
        <v>8223</v>
      </c>
      <c r="I5863" s="1930" t="s">
        <v>8158</v>
      </c>
      <c r="J5863" s="1930" t="s">
        <v>346</v>
      </c>
      <c r="K5863" s="1933">
        <v>17.77</v>
      </c>
      <c r="L5863" s="1930" t="s">
        <v>138</v>
      </c>
    </row>
    <row r="5864" spans="1:12" ht="13.5" x14ac:dyDescent="0.25">
      <c r="A5864" s="1930" t="s">
        <v>4628</v>
      </c>
      <c r="B5864" s="1930" t="s">
        <v>4809</v>
      </c>
      <c r="C5864" s="1930" t="s">
        <v>4812</v>
      </c>
      <c r="D5864" s="1930" t="s">
        <v>4813</v>
      </c>
      <c r="E5864" s="1931" t="s">
        <v>33</v>
      </c>
      <c r="F5864" s="1930" t="s">
        <v>33</v>
      </c>
      <c r="G5864" s="1932">
        <v>100284</v>
      </c>
      <c r="H5864" s="1930" t="s">
        <v>8224</v>
      </c>
      <c r="I5864" s="1930" t="s">
        <v>8158</v>
      </c>
      <c r="J5864" s="1930" t="s">
        <v>137</v>
      </c>
      <c r="K5864" s="1933">
        <v>6.94</v>
      </c>
      <c r="L5864" s="1930" t="s">
        <v>138</v>
      </c>
    </row>
    <row r="5865" spans="1:12" ht="13.5" x14ac:dyDescent="0.25">
      <c r="A5865" s="1930" t="s">
        <v>4628</v>
      </c>
      <c r="B5865" s="1930" t="s">
        <v>4809</v>
      </c>
      <c r="C5865" s="1930" t="s">
        <v>4812</v>
      </c>
      <c r="D5865" s="1930" t="s">
        <v>4813</v>
      </c>
      <c r="E5865" s="1931" t="s">
        <v>33</v>
      </c>
      <c r="F5865" s="1930" t="s">
        <v>33</v>
      </c>
      <c r="G5865" s="1932">
        <v>100285</v>
      </c>
      <c r="H5865" s="1930" t="s">
        <v>8225</v>
      </c>
      <c r="I5865" s="1930" t="s">
        <v>8176</v>
      </c>
      <c r="J5865" s="1930" t="s">
        <v>346</v>
      </c>
      <c r="K5865" s="1933">
        <v>29.56</v>
      </c>
      <c r="L5865" s="1930" t="s">
        <v>138</v>
      </c>
    </row>
    <row r="5866" spans="1:12" ht="13.5" x14ac:dyDescent="0.25">
      <c r="A5866" s="1930" t="s">
        <v>4628</v>
      </c>
      <c r="B5866" s="1930" t="s">
        <v>4809</v>
      </c>
      <c r="C5866" s="1930" t="s">
        <v>4812</v>
      </c>
      <c r="D5866" s="1930" t="s">
        <v>4813</v>
      </c>
      <c r="E5866" s="1931" t="s">
        <v>33</v>
      </c>
      <c r="F5866" s="1930" t="s">
        <v>33</v>
      </c>
      <c r="G5866" s="1932">
        <v>100286</v>
      </c>
      <c r="H5866" s="1930" t="s">
        <v>8226</v>
      </c>
      <c r="I5866" s="1930" t="s">
        <v>8176</v>
      </c>
      <c r="J5866" s="1930" t="s">
        <v>346</v>
      </c>
      <c r="K5866" s="1933">
        <v>9.6300000000000008</v>
      </c>
      <c r="L5866" s="1930" t="s">
        <v>138</v>
      </c>
    </row>
    <row r="5867" spans="1:12" ht="13.5" x14ac:dyDescent="0.25">
      <c r="A5867" s="1930" t="s">
        <v>4628</v>
      </c>
      <c r="B5867" s="1930" t="s">
        <v>4809</v>
      </c>
      <c r="C5867" s="1930" t="s">
        <v>4812</v>
      </c>
      <c r="D5867" s="1930" t="s">
        <v>4813</v>
      </c>
      <c r="E5867" s="1931" t="s">
        <v>33</v>
      </c>
      <c r="F5867" s="1930" t="s">
        <v>33</v>
      </c>
      <c r="G5867" s="1932">
        <v>100287</v>
      </c>
      <c r="H5867" s="1930" t="s">
        <v>8227</v>
      </c>
      <c r="I5867" s="1930" t="s">
        <v>8176</v>
      </c>
      <c r="J5867" s="1930" t="s">
        <v>346</v>
      </c>
      <c r="K5867" s="1933">
        <v>9.2200000000000006</v>
      </c>
      <c r="L5867" s="1930" t="s">
        <v>138</v>
      </c>
    </row>
    <row r="5868" spans="1:12" ht="13.5" x14ac:dyDescent="0.25">
      <c r="A5868" s="1930" t="s">
        <v>4628</v>
      </c>
      <c r="B5868" s="1930" t="s">
        <v>4809</v>
      </c>
      <c r="C5868" s="1930" t="s">
        <v>4814</v>
      </c>
      <c r="D5868" s="1930" t="s">
        <v>4815</v>
      </c>
      <c r="E5868" s="1931" t="s">
        <v>33</v>
      </c>
      <c r="F5868" s="1930" t="s">
        <v>33</v>
      </c>
      <c r="G5868" s="1932">
        <v>84117</v>
      </c>
      <c r="H5868" s="1930" t="s">
        <v>4234</v>
      </c>
      <c r="I5868" s="1930" t="s">
        <v>306</v>
      </c>
      <c r="J5868" s="1930" t="s">
        <v>320</v>
      </c>
      <c r="K5868" s="1933">
        <v>18.78</v>
      </c>
      <c r="L5868" s="1930" t="s">
        <v>138</v>
      </c>
    </row>
    <row r="5869" spans="1:12" ht="13.5" x14ac:dyDescent="0.25">
      <c r="A5869" s="1930" t="s">
        <v>4628</v>
      </c>
      <c r="B5869" s="1930" t="s">
        <v>4809</v>
      </c>
      <c r="C5869" s="1930" t="s">
        <v>4814</v>
      </c>
      <c r="D5869" s="1930" t="s">
        <v>4815</v>
      </c>
      <c r="E5869" s="1931" t="s">
        <v>33</v>
      </c>
      <c r="F5869" s="1930" t="s">
        <v>33</v>
      </c>
      <c r="G5869" s="1932">
        <v>84120</v>
      </c>
      <c r="H5869" s="1930" t="s">
        <v>4235</v>
      </c>
      <c r="I5869" s="1930" t="s">
        <v>306</v>
      </c>
      <c r="J5869" s="1930" t="s">
        <v>320</v>
      </c>
      <c r="K5869" s="1933">
        <v>13.01</v>
      </c>
      <c r="L5869" s="1930" t="s">
        <v>138</v>
      </c>
    </row>
    <row r="5870" spans="1:12" ht="13.5" x14ac:dyDescent="0.25">
      <c r="A5870" s="1930" t="s">
        <v>4628</v>
      </c>
      <c r="B5870" s="1930" t="s">
        <v>4809</v>
      </c>
      <c r="C5870" s="1930" t="s">
        <v>4814</v>
      </c>
      <c r="D5870" s="1930" t="s">
        <v>4815</v>
      </c>
      <c r="E5870" s="1931" t="s">
        <v>33</v>
      </c>
      <c r="F5870" s="1930" t="s">
        <v>33</v>
      </c>
      <c r="G5870" s="1932">
        <v>99802</v>
      </c>
      <c r="H5870" s="1930" t="s">
        <v>8228</v>
      </c>
      <c r="I5870" s="1930" t="s">
        <v>306</v>
      </c>
      <c r="J5870" s="1930" t="s">
        <v>346</v>
      </c>
      <c r="K5870" s="1933">
        <v>0.37</v>
      </c>
      <c r="L5870" s="1930" t="s">
        <v>138</v>
      </c>
    </row>
    <row r="5871" spans="1:12" ht="13.5" x14ac:dyDescent="0.25">
      <c r="A5871" s="1930" t="s">
        <v>4628</v>
      </c>
      <c r="B5871" s="1930" t="s">
        <v>4809</v>
      </c>
      <c r="C5871" s="1930" t="s">
        <v>4814</v>
      </c>
      <c r="D5871" s="1930" t="s">
        <v>4815</v>
      </c>
      <c r="E5871" s="1931" t="s">
        <v>33</v>
      </c>
      <c r="F5871" s="1930" t="s">
        <v>33</v>
      </c>
      <c r="G5871" s="1932">
        <v>99803</v>
      </c>
      <c r="H5871" s="1930" t="s">
        <v>8229</v>
      </c>
      <c r="I5871" s="1930" t="s">
        <v>306</v>
      </c>
      <c r="J5871" s="1930" t="s">
        <v>346</v>
      </c>
      <c r="K5871" s="1933">
        <v>1.46</v>
      </c>
      <c r="L5871" s="1930" t="s">
        <v>138</v>
      </c>
    </row>
    <row r="5872" spans="1:12" ht="13.5" x14ac:dyDescent="0.25">
      <c r="A5872" s="1930" t="s">
        <v>4628</v>
      </c>
      <c r="B5872" s="1930" t="s">
        <v>4809</v>
      </c>
      <c r="C5872" s="1930" t="s">
        <v>4814</v>
      </c>
      <c r="D5872" s="1930" t="s">
        <v>4815</v>
      </c>
      <c r="E5872" s="1931" t="s">
        <v>33</v>
      </c>
      <c r="F5872" s="1930" t="s">
        <v>33</v>
      </c>
      <c r="G5872" s="1932">
        <v>99805</v>
      </c>
      <c r="H5872" s="1930" t="s">
        <v>8230</v>
      </c>
      <c r="I5872" s="1930" t="s">
        <v>306</v>
      </c>
      <c r="J5872" s="1930" t="s">
        <v>320</v>
      </c>
      <c r="K5872" s="1933">
        <v>7.63</v>
      </c>
      <c r="L5872" s="1930" t="s">
        <v>138</v>
      </c>
    </row>
    <row r="5873" spans="1:12" ht="13.5" x14ac:dyDescent="0.25">
      <c r="A5873" s="1930" t="s">
        <v>4628</v>
      </c>
      <c r="B5873" s="1930" t="s">
        <v>4809</v>
      </c>
      <c r="C5873" s="1930" t="s">
        <v>4814</v>
      </c>
      <c r="D5873" s="1930" t="s">
        <v>4815</v>
      </c>
      <c r="E5873" s="1931" t="s">
        <v>33</v>
      </c>
      <c r="F5873" s="1930" t="s">
        <v>33</v>
      </c>
      <c r="G5873" s="1932">
        <v>99806</v>
      </c>
      <c r="H5873" s="1930" t="s">
        <v>8231</v>
      </c>
      <c r="I5873" s="1930" t="s">
        <v>306</v>
      </c>
      <c r="J5873" s="1930" t="s">
        <v>346</v>
      </c>
      <c r="K5873" s="1933">
        <v>0.6</v>
      </c>
      <c r="L5873" s="1930" t="s">
        <v>138</v>
      </c>
    </row>
    <row r="5874" spans="1:12" ht="13.5" x14ac:dyDescent="0.25">
      <c r="A5874" s="1930" t="s">
        <v>4628</v>
      </c>
      <c r="B5874" s="1930" t="s">
        <v>4809</v>
      </c>
      <c r="C5874" s="1930" t="s">
        <v>4814</v>
      </c>
      <c r="D5874" s="1930" t="s">
        <v>4815</v>
      </c>
      <c r="E5874" s="1931" t="s">
        <v>33</v>
      </c>
      <c r="F5874" s="1930" t="s">
        <v>33</v>
      </c>
      <c r="G5874" s="1932">
        <v>99808</v>
      </c>
      <c r="H5874" s="1930" t="s">
        <v>8232</v>
      </c>
      <c r="I5874" s="1930" t="s">
        <v>306</v>
      </c>
      <c r="J5874" s="1930" t="s">
        <v>320</v>
      </c>
      <c r="K5874" s="1933">
        <v>2.5</v>
      </c>
      <c r="L5874" s="1930" t="s">
        <v>138</v>
      </c>
    </row>
    <row r="5875" spans="1:12" ht="13.5" x14ac:dyDescent="0.25">
      <c r="A5875" s="1930" t="s">
        <v>4628</v>
      </c>
      <c r="B5875" s="1930" t="s">
        <v>4809</v>
      </c>
      <c r="C5875" s="1930" t="s">
        <v>4814</v>
      </c>
      <c r="D5875" s="1930" t="s">
        <v>4815</v>
      </c>
      <c r="E5875" s="1931" t="s">
        <v>33</v>
      </c>
      <c r="F5875" s="1930" t="s">
        <v>33</v>
      </c>
      <c r="G5875" s="1932">
        <v>99809</v>
      </c>
      <c r="H5875" s="1930" t="s">
        <v>8233</v>
      </c>
      <c r="I5875" s="1930" t="s">
        <v>306</v>
      </c>
      <c r="J5875" s="1930" t="s">
        <v>346</v>
      </c>
      <c r="K5875" s="1933">
        <v>4.16</v>
      </c>
      <c r="L5875" s="1930" t="s">
        <v>138</v>
      </c>
    </row>
    <row r="5876" spans="1:12" ht="13.5" x14ac:dyDescent="0.25">
      <c r="A5876" s="1930" t="s">
        <v>4628</v>
      </c>
      <c r="B5876" s="1930" t="s">
        <v>4809</v>
      </c>
      <c r="C5876" s="1930" t="s">
        <v>4814</v>
      </c>
      <c r="D5876" s="1930" t="s">
        <v>4815</v>
      </c>
      <c r="E5876" s="1931" t="s">
        <v>33</v>
      </c>
      <c r="F5876" s="1930" t="s">
        <v>33</v>
      </c>
      <c r="G5876" s="1932">
        <v>99811</v>
      </c>
      <c r="H5876" s="1930" t="s">
        <v>8234</v>
      </c>
      <c r="I5876" s="1930" t="s">
        <v>306</v>
      </c>
      <c r="J5876" s="1930" t="s">
        <v>346</v>
      </c>
      <c r="K5876" s="1933">
        <v>2.48</v>
      </c>
      <c r="L5876" s="1930" t="s">
        <v>138</v>
      </c>
    </row>
    <row r="5877" spans="1:12" ht="13.5" x14ac:dyDescent="0.25">
      <c r="A5877" s="1930" t="s">
        <v>4628</v>
      </c>
      <c r="B5877" s="1930" t="s">
        <v>4809</v>
      </c>
      <c r="C5877" s="1930" t="s">
        <v>4814</v>
      </c>
      <c r="D5877" s="1930" t="s">
        <v>4815</v>
      </c>
      <c r="E5877" s="1931" t="s">
        <v>33</v>
      </c>
      <c r="F5877" s="1930" t="s">
        <v>33</v>
      </c>
      <c r="G5877" s="1932">
        <v>99812</v>
      </c>
      <c r="H5877" s="1930" t="s">
        <v>8235</v>
      </c>
      <c r="I5877" s="1930" t="s">
        <v>306</v>
      </c>
      <c r="J5877" s="1930" t="s">
        <v>346</v>
      </c>
      <c r="K5877" s="1933">
        <v>0.79</v>
      </c>
      <c r="L5877" s="1930" t="s">
        <v>138</v>
      </c>
    </row>
    <row r="5878" spans="1:12" ht="13.5" x14ac:dyDescent="0.25">
      <c r="A5878" s="1930" t="s">
        <v>4628</v>
      </c>
      <c r="B5878" s="1930" t="s">
        <v>4809</v>
      </c>
      <c r="C5878" s="1930" t="s">
        <v>4814</v>
      </c>
      <c r="D5878" s="1930" t="s">
        <v>4815</v>
      </c>
      <c r="E5878" s="1931" t="s">
        <v>33</v>
      </c>
      <c r="F5878" s="1930" t="s">
        <v>33</v>
      </c>
      <c r="G5878" s="1932">
        <v>99814</v>
      </c>
      <c r="H5878" s="1930" t="s">
        <v>8236</v>
      </c>
      <c r="I5878" s="1930" t="s">
        <v>306</v>
      </c>
      <c r="J5878" s="1930" t="s">
        <v>137</v>
      </c>
      <c r="K5878" s="1933">
        <v>1.35</v>
      </c>
      <c r="L5878" s="1930" t="s">
        <v>138</v>
      </c>
    </row>
    <row r="5879" spans="1:12" ht="13.5" x14ac:dyDescent="0.25">
      <c r="A5879" s="1930" t="s">
        <v>4628</v>
      </c>
      <c r="B5879" s="1930" t="s">
        <v>4809</v>
      </c>
      <c r="C5879" s="1930" t="s">
        <v>4814</v>
      </c>
      <c r="D5879" s="1930" t="s">
        <v>4815</v>
      </c>
      <c r="E5879" s="1931" t="s">
        <v>33</v>
      </c>
      <c r="F5879" s="1930" t="s">
        <v>33</v>
      </c>
      <c r="G5879" s="1932">
        <v>99822</v>
      </c>
      <c r="H5879" s="1930" t="s">
        <v>8237</v>
      </c>
      <c r="I5879" s="1930" t="s">
        <v>306</v>
      </c>
      <c r="J5879" s="1930" t="s">
        <v>346</v>
      </c>
      <c r="K5879" s="1933">
        <v>0.7</v>
      </c>
      <c r="L5879" s="1930" t="s">
        <v>138</v>
      </c>
    </row>
    <row r="5880" spans="1:12" ht="13.5" x14ac:dyDescent="0.25">
      <c r="A5880" s="1930" t="s">
        <v>4628</v>
      </c>
      <c r="B5880" s="1930" t="s">
        <v>4809</v>
      </c>
      <c r="C5880" s="1930" t="s">
        <v>4814</v>
      </c>
      <c r="D5880" s="1930" t="s">
        <v>4815</v>
      </c>
      <c r="E5880" s="1931" t="s">
        <v>33</v>
      </c>
      <c r="F5880" s="1930" t="s">
        <v>33</v>
      </c>
      <c r="G5880" s="1932">
        <v>99826</v>
      </c>
      <c r="H5880" s="1930" t="s">
        <v>8238</v>
      </c>
      <c r="I5880" s="1930" t="s">
        <v>306</v>
      </c>
      <c r="J5880" s="1930" t="s">
        <v>346</v>
      </c>
      <c r="K5880" s="1933">
        <v>1.08</v>
      </c>
      <c r="L5880" s="1930" t="s">
        <v>138</v>
      </c>
    </row>
    <row r="5881" spans="1:12" ht="13.5" x14ac:dyDescent="0.25">
      <c r="A5881" s="1930" t="s">
        <v>4628</v>
      </c>
      <c r="B5881" s="1930" t="s">
        <v>4809</v>
      </c>
      <c r="C5881" s="1930" t="s">
        <v>4816</v>
      </c>
      <c r="D5881" s="1930" t="s">
        <v>4817</v>
      </c>
      <c r="E5881" s="1931" t="s">
        <v>33</v>
      </c>
      <c r="F5881" s="1930" t="s">
        <v>33</v>
      </c>
      <c r="G5881" s="1932">
        <v>71516</v>
      </c>
      <c r="H5881" s="1930" t="s">
        <v>4236</v>
      </c>
      <c r="I5881" s="1930" t="s">
        <v>168</v>
      </c>
      <c r="J5881" s="1930" t="s">
        <v>346</v>
      </c>
      <c r="K5881" s="1933">
        <v>480</v>
      </c>
      <c r="L5881" s="1930" t="s">
        <v>138</v>
      </c>
    </row>
    <row r="5882" spans="1:12" ht="13.5" x14ac:dyDescent="0.25">
      <c r="A5882" s="1930" t="s">
        <v>4628</v>
      </c>
      <c r="B5882" s="1930" t="s">
        <v>4809</v>
      </c>
      <c r="C5882" s="1930" t="s">
        <v>4816</v>
      </c>
      <c r="D5882" s="1930" t="s">
        <v>4817</v>
      </c>
      <c r="E5882" s="1931" t="s">
        <v>33</v>
      </c>
      <c r="F5882" s="1930" t="s">
        <v>33</v>
      </c>
      <c r="G5882" s="1932">
        <v>73361</v>
      </c>
      <c r="H5882" s="1930" t="s">
        <v>4237</v>
      </c>
      <c r="I5882" s="1930" t="s">
        <v>1208</v>
      </c>
      <c r="J5882" s="1930" t="s">
        <v>137</v>
      </c>
      <c r="K5882" s="1933">
        <v>380.1</v>
      </c>
      <c r="L5882" s="1930" t="s">
        <v>138</v>
      </c>
    </row>
    <row r="5883" spans="1:12" ht="13.5" x14ac:dyDescent="0.25">
      <c r="A5883" s="1930" t="s">
        <v>4628</v>
      </c>
      <c r="B5883" s="1930" t="s">
        <v>4809</v>
      </c>
      <c r="C5883" s="1930" t="s">
        <v>4816</v>
      </c>
      <c r="D5883" s="1930" t="s">
        <v>4817</v>
      </c>
      <c r="E5883" s="1931" t="s">
        <v>33</v>
      </c>
      <c r="F5883" s="1930" t="s">
        <v>33</v>
      </c>
      <c r="G5883" s="1932">
        <v>73714</v>
      </c>
      <c r="H5883" s="1930" t="s">
        <v>4238</v>
      </c>
      <c r="I5883" s="1930" t="s">
        <v>168</v>
      </c>
      <c r="J5883" s="1930" t="s">
        <v>137</v>
      </c>
      <c r="K5883" s="1933">
        <v>1319.45</v>
      </c>
      <c r="L5883" s="1930" t="s">
        <v>138</v>
      </c>
    </row>
    <row r="5884" spans="1:12" ht="13.5" x14ac:dyDescent="0.25">
      <c r="A5884" s="1930" t="s">
        <v>4628</v>
      </c>
      <c r="B5884" s="1930" t="s">
        <v>4809</v>
      </c>
      <c r="C5884" s="1930" t="s">
        <v>4816</v>
      </c>
      <c r="D5884" s="1930" t="s">
        <v>4817</v>
      </c>
      <c r="E5884" s="1931" t="s">
        <v>33</v>
      </c>
      <c r="F5884" s="1930" t="s">
        <v>33</v>
      </c>
      <c r="G5884" s="1932">
        <v>97010</v>
      </c>
      <c r="H5884" s="1930" t="s">
        <v>4960</v>
      </c>
      <c r="I5884" s="1930" t="s">
        <v>136</v>
      </c>
      <c r="J5884" s="1930" t="s">
        <v>137</v>
      </c>
      <c r="K5884" s="1933">
        <v>48.91</v>
      </c>
      <c r="L5884" s="1930" t="s">
        <v>138</v>
      </c>
    </row>
    <row r="5885" spans="1:12" ht="13.5" x14ac:dyDescent="0.25">
      <c r="A5885" s="1930" t="s">
        <v>4628</v>
      </c>
      <c r="B5885" s="1930" t="s">
        <v>4809</v>
      </c>
      <c r="C5885" s="1930" t="s">
        <v>4816</v>
      </c>
      <c r="D5885" s="1930" t="s">
        <v>4817</v>
      </c>
      <c r="E5885" s="1931" t="s">
        <v>33</v>
      </c>
      <c r="F5885" s="1930" t="s">
        <v>33</v>
      </c>
      <c r="G5885" s="1932">
        <v>97011</v>
      </c>
      <c r="H5885" s="1930" t="s">
        <v>4961</v>
      </c>
      <c r="I5885" s="1930" t="s">
        <v>136</v>
      </c>
      <c r="J5885" s="1930" t="s">
        <v>137</v>
      </c>
      <c r="K5885" s="1933">
        <v>37.56</v>
      </c>
      <c r="L5885" s="1930" t="s">
        <v>138</v>
      </c>
    </row>
    <row r="5886" spans="1:12" ht="13.5" x14ac:dyDescent="0.25">
      <c r="A5886" s="1930" t="s">
        <v>4628</v>
      </c>
      <c r="B5886" s="1930" t="s">
        <v>4809</v>
      </c>
      <c r="C5886" s="1930" t="s">
        <v>4816</v>
      </c>
      <c r="D5886" s="1930" t="s">
        <v>4817</v>
      </c>
      <c r="E5886" s="1931" t="s">
        <v>33</v>
      </c>
      <c r="F5886" s="1930" t="s">
        <v>33</v>
      </c>
      <c r="G5886" s="1932">
        <v>97012</v>
      </c>
      <c r="H5886" s="1930" t="s">
        <v>4962</v>
      </c>
      <c r="I5886" s="1930" t="s">
        <v>136</v>
      </c>
      <c r="J5886" s="1930" t="s">
        <v>137</v>
      </c>
      <c r="K5886" s="1933">
        <v>31.88</v>
      </c>
      <c r="L5886" s="1930" t="s">
        <v>138</v>
      </c>
    </row>
    <row r="5887" spans="1:12" ht="13.5" x14ac:dyDescent="0.25">
      <c r="A5887" s="1930" t="s">
        <v>4628</v>
      </c>
      <c r="B5887" s="1930" t="s">
        <v>4809</v>
      </c>
      <c r="C5887" s="1930" t="s">
        <v>4816</v>
      </c>
      <c r="D5887" s="1930" t="s">
        <v>4817</v>
      </c>
      <c r="E5887" s="1931" t="s">
        <v>33</v>
      </c>
      <c r="F5887" s="1930" t="s">
        <v>33</v>
      </c>
      <c r="G5887" s="1932">
        <v>97013</v>
      </c>
      <c r="H5887" s="1930" t="s">
        <v>4963</v>
      </c>
      <c r="I5887" s="1930" t="s">
        <v>136</v>
      </c>
      <c r="J5887" s="1930" t="s">
        <v>320</v>
      </c>
      <c r="K5887" s="1933">
        <v>55.63</v>
      </c>
      <c r="L5887" s="1930" t="s">
        <v>138</v>
      </c>
    </row>
    <row r="5888" spans="1:12" ht="13.5" x14ac:dyDescent="0.25">
      <c r="A5888" s="1930" t="s">
        <v>4628</v>
      </c>
      <c r="B5888" s="1930" t="s">
        <v>4809</v>
      </c>
      <c r="C5888" s="1930" t="s">
        <v>4816</v>
      </c>
      <c r="D5888" s="1930" t="s">
        <v>4817</v>
      </c>
      <c r="E5888" s="1931" t="s">
        <v>33</v>
      </c>
      <c r="F5888" s="1930" t="s">
        <v>33</v>
      </c>
      <c r="G5888" s="1932">
        <v>97014</v>
      </c>
      <c r="H5888" s="1930" t="s">
        <v>4964</v>
      </c>
      <c r="I5888" s="1930" t="s">
        <v>136</v>
      </c>
      <c r="J5888" s="1930" t="s">
        <v>320</v>
      </c>
      <c r="K5888" s="1933">
        <v>42.24</v>
      </c>
      <c r="L5888" s="1930" t="s">
        <v>138</v>
      </c>
    </row>
    <row r="5889" spans="1:12" ht="13.5" x14ac:dyDescent="0.25">
      <c r="A5889" s="1930" t="s">
        <v>4628</v>
      </c>
      <c r="B5889" s="1930" t="s">
        <v>4809</v>
      </c>
      <c r="C5889" s="1930" t="s">
        <v>4816</v>
      </c>
      <c r="D5889" s="1930" t="s">
        <v>4817</v>
      </c>
      <c r="E5889" s="1931" t="s">
        <v>33</v>
      </c>
      <c r="F5889" s="1930" t="s">
        <v>33</v>
      </c>
      <c r="G5889" s="1932">
        <v>97015</v>
      </c>
      <c r="H5889" s="1930" t="s">
        <v>4965</v>
      </c>
      <c r="I5889" s="1930" t="s">
        <v>136</v>
      </c>
      <c r="J5889" s="1930" t="s">
        <v>320</v>
      </c>
      <c r="K5889" s="1933">
        <v>35.450000000000003</v>
      </c>
      <c r="L5889" s="1930" t="s">
        <v>138</v>
      </c>
    </row>
    <row r="5890" spans="1:12" ht="13.5" x14ac:dyDescent="0.25">
      <c r="A5890" s="1930" t="s">
        <v>4628</v>
      </c>
      <c r="B5890" s="1930" t="s">
        <v>4809</v>
      </c>
      <c r="C5890" s="1930" t="s">
        <v>4816</v>
      </c>
      <c r="D5890" s="1930" t="s">
        <v>4817</v>
      </c>
      <c r="E5890" s="1931" t="s">
        <v>33</v>
      </c>
      <c r="F5890" s="1930" t="s">
        <v>33</v>
      </c>
      <c r="G5890" s="1932">
        <v>97016</v>
      </c>
      <c r="H5890" s="1930" t="s">
        <v>4966</v>
      </c>
      <c r="I5890" s="1930" t="s">
        <v>136</v>
      </c>
      <c r="J5890" s="1930" t="s">
        <v>137</v>
      </c>
      <c r="K5890" s="1933">
        <v>43.16</v>
      </c>
      <c r="L5890" s="1930" t="s">
        <v>138</v>
      </c>
    </row>
    <row r="5891" spans="1:12" ht="13.5" x14ac:dyDescent="0.25">
      <c r="A5891" s="1930" t="s">
        <v>4628</v>
      </c>
      <c r="B5891" s="1930" t="s">
        <v>4809</v>
      </c>
      <c r="C5891" s="1930" t="s">
        <v>4816</v>
      </c>
      <c r="D5891" s="1930" t="s">
        <v>4817</v>
      </c>
      <c r="E5891" s="1931" t="s">
        <v>33</v>
      </c>
      <c r="F5891" s="1930" t="s">
        <v>33</v>
      </c>
      <c r="G5891" s="1932">
        <v>97017</v>
      </c>
      <c r="H5891" s="1930" t="s">
        <v>4967</v>
      </c>
      <c r="I5891" s="1930" t="s">
        <v>136</v>
      </c>
      <c r="J5891" s="1930" t="s">
        <v>137</v>
      </c>
      <c r="K5891" s="1933">
        <v>32.39</v>
      </c>
      <c r="L5891" s="1930" t="s">
        <v>138</v>
      </c>
    </row>
    <row r="5892" spans="1:12" ht="13.5" x14ac:dyDescent="0.25">
      <c r="A5892" s="1930" t="s">
        <v>4628</v>
      </c>
      <c r="B5892" s="1930" t="s">
        <v>4809</v>
      </c>
      <c r="C5892" s="1930" t="s">
        <v>4816</v>
      </c>
      <c r="D5892" s="1930" t="s">
        <v>4817</v>
      </c>
      <c r="E5892" s="1931" t="s">
        <v>33</v>
      </c>
      <c r="F5892" s="1930" t="s">
        <v>33</v>
      </c>
      <c r="G5892" s="1932">
        <v>97018</v>
      </c>
      <c r="H5892" s="1930" t="s">
        <v>4968</v>
      </c>
      <c r="I5892" s="1930" t="s">
        <v>136</v>
      </c>
      <c r="J5892" s="1930" t="s">
        <v>137</v>
      </c>
      <c r="K5892" s="1933">
        <v>26.78</v>
      </c>
      <c r="L5892" s="1930" t="s">
        <v>138</v>
      </c>
    </row>
    <row r="5893" spans="1:12" ht="13.5" x14ac:dyDescent="0.25">
      <c r="A5893" s="1930" t="s">
        <v>4628</v>
      </c>
      <c r="B5893" s="1930" t="s">
        <v>4809</v>
      </c>
      <c r="C5893" s="1930" t="s">
        <v>4816</v>
      </c>
      <c r="D5893" s="1930" t="s">
        <v>4817</v>
      </c>
      <c r="E5893" s="1931" t="s">
        <v>33</v>
      </c>
      <c r="F5893" s="1930" t="s">
        <v>33</v>
      </c>
      <c r="G5893" s="1932">
        <v>97031</v>
      </c>
      <c r="H5893" s="1930" t="s">
        <v>4969</v>
      </c>
      <c r="I5893" s="1930" t="s">
        <v>136</v>
      </c>
      <c r="J5893" s="1930" t="s">
        <v>137</v>
      </c>
      <c r="K5893" s="1933">
        <v>68.09</v>
      </c>
      <c r="L5893" s="1930" t="s">
        <v>138</v>
      </c>
    </row>
    <row r="5894" spans="1:12" ht="13.5" x14ac:dyDescent="0.25">
      <c r="A5894" s="1930" t="s">
        <v>4628</v>
      </c>
      <c r="B5894" s="1930" t="s">
        <v>4809</v>
      </c>
      <c r="C5894" s="1930" t="s">
        <v>4816</v>
      </c>
      <c r="D5894" s="1930" t="s">
        <v>4817</v>
      </c>
      <c r="E5894" s="1931" t="s">
        <v>33</v>
      </c>
      <c r="F5894" s="1930" t="s">
        <v>33</v>
      </c>
      <c r="G5894" s="1932">
        <v>97032</v>
      </c>
      <c r="H5894" s="1930" t="s">
        <v>6655</v>
      </c>
      <c r="I5894" s="1930" t="s">
        <v>136</v>
      </c>
      <c r="J5894" s="1930" t="s">
        <v>137</v>
      </c>
      <c r="K5894" s="1933">
        <v>41.97</v>
      </c>
      <c r="L5894" s="1930" t="s">
        <v>138</v>
      </c>
    </row>
    <row r="5895" spans="1:12" ht="13.5" x14ac:dyDescent="0.25">
      <c r="A5895" s="1930" t="s">
        <v>4628</v>
      </c>
      <c r="B5895" s="1930" t="s">
        <v>4809</v>
      </c>
      <c r="C5895" s="1930" t="s">
        <v>4816</v>
      </c>
      <c r="D5895" s="1930" t="s">
        <v>4817</v>
      </c>
      <c r="E5895" s="1931" t="s">
        <v>33</v>
      </c>
      <c r="F5895" s="1930" t="s">
        <v>33</v>
      </c>
      <c r="G5895" s="1932">
        <v>97033</v>
      </c>
      <c r="H5895" s="1930" t="s">
        <v>5649</v>
      </c>
      <c r="I5895" s="1930" t="s">
        <v>136</v>
      </c>
      <c r="J5895" s="1930" t="s">
        <v>137</v>
      </c>
      <c r="K5895" s="1933">
        <v>74.290000000000006</v>
      </c>
      <c r="L5895" s="1930" t="s">
        <v>138</v>
      </c>
    </row>
    <row r="5896" spans="1:12" ht="13.5" x14ac:dyDescent="0.25">
      <c r="A5896" s="1930" t="s">
        <v>4628</v>
      </c>
      <c r="B5896" s="1930" t="s">
        <v>4809</v>
      </c>
      <c r="C5896" s="1930" t="s">
        <v>4816</v>
      </c>
      <c r="D5896" s="1930" t="s">
        <v>4817</v>
      </c>
      <c r="E5896" s="1931" t="s">
        <v>33</v>
      </c>
      <c r="F5896" s="1930" t="s">
        <v>33</v>
      </c>
      <c r="G5896" s="1932">
        <v>97034</v>
      </c>
      <c r="H5896" s="1930" t="s">
        <v>5650</v>
      </c>
      <c r="I5896" s="1930" t="s">
        <v>136</v>
      </c>
      <c r="J5896" s="1930" t="s">
        <v>137</v>
      </c>
      <c r="K5896" s="1933">
        <v>44.42</v>
      </c>
      <c r="L5896" s="1930" t="s">
        <v>138</v>
      </c>
    </row>
    <row r="5897" spans="1:12" ht="13.5" x14ac:dyDescent="0.25">
      <c r="A5897" s="1930" t="s">
        <v>4628</v>
      </c>
      <c r="B5897" s="1930" t="s">
        <v>4809</v>
      </c>
      <c r="C5897" s="1930" t="s">
        <v>4816</v>
      </c>
      <c r="D5897" s="1930" t="s">
        <v>4817</v>
      </c>
      <c r="E5897" s="1931" t="s">
        <v>33</v>
      </c>
      <c r="F5897" s="1930" t="s">
        <v>33</v>
      </c>
      <c r="G5897" s="1932">
        <v>97039</v>
      </c>
      <c r="H5897" s="1930" t="s">
        <v>4970</v>
      </c>
      <c r="I5897" s="1930" t="s">
        <v>306</v>
      </c>
      <c r="J5897" s="1930" t="s">
        <v>320</v>
      </c>
      <c r="K5897" s="1933">
        <v>29.1</v>
      </c>
      <c r="L5897" s="1930" t="s">
        <v>138</v>
      </c>
    </row>
    <row r="5898" spans="1:12" ht="13.5" x14ac:dyDescent="0.25">
      <c r="A5898" s="1930" t="s">
        <v>4628</v>
      </c>
      <c r="B5898" s="1930" t="s">
        <v>4809</v>
      </c>
      <c r="C5898" s="1930" t="s">
        <v>4816</v>
      </c>
      <c r="D5898" s="1930" t="s">
        <v>4817</v>
      </c>
      <c r="E5898" s="1931" t="s">
        <v>33</v>
      </c>
      <c r="F5898" s="1930" t="s">
        <v>33</v>
      </c>
      <c r="G5898" s="1932">
        <v>97040</v>
      </c>
      <c r="H5898" s="1930" t="s">
        <v>4971</v>
      </c>
      <c r="I5898" s="1930" t="s">
        <v>306</v>
      </c>
      <c r="J5898" s="1930" t="s">
        <v>320</v>
      </c>
      <c r="K5898" s="1933">
        <v>10.52</v>
      </c>
      <c r="L5898" s="1930" t="s">
        <v>138</v>
      </c>
    </row>
    <row r="5899" spans="1:12" ht="13.5" x14ac:dyDescent="0.25">
      <c r="A5899" s="1930" t="s">
        <v>4628</v>
      </c>
      <c r="B5899" s="1930" t="s">
        <v>4809</v>
      </c>
      <c r="C5899" s="1930" t="s">
        <v>4816</v>
      </c>
      <c r="D5899" s="1930" t="s">
        <v>4817</v>
      </c>
      <c r="E5899" s="1931" t="s">
        <v>33</v>
      </c>
      <c r="F5899" s="1930" t="s">
        <v>33</v>
      </c>
      <c r="G5899" s="1932">
        <v>97041</v>
      </c>
      <c r="H5899" s="1930" t="s">
        <v>4972</v>
      </c>
      <c r="I5899" s="1930" t="s">
        <v>306</v>
      </c>
      <c r="J5899" s="1930" t="s">
        <v>320</v>
      </c>
      <c r="K5899" s="1933">
        <v>149.91</v>
      </c>
      <c r="L5899" s="1930" t="s">
        <v>138</v>
      </c>
    </row>
    <row r="5900" spans="1:12" ht="13.5" x14ac:dyDescent="0.25">
      <c r="A5900" s="1930" t="s">
        <v>4628</v>
      </c>
      <c r="B5900" s="1930" t="s">
        <v>4809</v>
      </c>
      <c r="C5900" s="1930" t="s">
        <v>4816</v>
      </c>
      <c r="D5900" s="1930" t="s">
        <v>4817</v>
      </c>
      <c r="E5900" s="1931" t="s">
        <v>33</v>
      </c>
      <c r="F5900" s="1930" t="s">
        <v>33</v>
      </c>
      <c r="G5900" s="1932">
        <v>97046</v>
      </c>
      <c r="H5900" s="1930" t="s">
        <v>5651</v>
      </c>
      <c r="I5900" s="1930" t="s">
        <v>306</v>
      </c>
      <c r="J5900" s="1930" t="s">
        <v>137</v>
      </c>
      <c r="K5900" s="1933">
        <v>0.24</v>
      </c>
      <c r="L5900" s="1930" t="s">
        <v>138</v>
      </c>
    </row>
    <row r="5901" spans="1:12" ht="13.5" x14ac:dyDescent="0.25">
      <c r="A5901" s="1930" t="s">
        <v>4628</v>
      </c>
      <c r="B5901" s="1930" t="s">
        <v>4809</v>
      </c>
      <c r="C5901" s="1930" t="s">
        <v>4816</v>
      </c>
      <c r="D5901" s="1930" t="s">
        <v>4817</v>
      </c>
      <c r="E5901" s="1931" t="s">
        <v>33</v>
      </c>
      <c r="F5901" s="1930" t="s">
        <v>33</v>
      </c>
      <c r="G5901" s="1932">
        <v>97047</v>
      </c>
      <c r="H5901" s="1930" t="s">
        <v>5652</v>
      </c>
      <c r="I5901" s="1930" t="s">
        <v>306</v>
      </c>
      <c r="J5901" s="1930" t="s">
        <v>137</v>
      </c>
      <c r="K5901" s="1933">
        <v>0.09</v>
      </c>
      <c r="L5901" s="1930" t="s">
        <v>138</v>
      </c>
    </row>
    <row r="5902" spans="1:12" ht="13.5" x14ac:dyDescent="0.25">
      <c r="A5902" s="1930" t="s">
        <v>4628</v>
      </c>
      <c r="B5902" s="1930" t="s">
        <v>4809</v>
      </c>
      <c r="C5902" s="1930" t="s">
        <v>4816</v>
      </c>
      <c r="D5902" s="1930" t="s">
        <v>4817</v>
      </c>
      <c r="E5902" s="1931" t="s">
        <v>33</v>
      </c>
      <c r="F5902" s="1930" t="s">
        <v>33</v>
      </c>
      <c r="G5902" s="1932">
        <v>97048</v>
      </c>
      <c r="H5902" s="1930" t="s">
        <v>5653</v>
      </c>
      <c r="I5902" s="1930" t="s">
        <v>306</v>
      </c>
      <c r="J5902" s="1930" t="s">
        <v>137</v>
      </c>
      <c r="K5902" s="1933">
        <v>7.0000000000000007E-2</v>
      </c>
      <c r="L5902" s="1930" t="s">
        <v>138</v>
      </c>
    </row>
    <row r="5903" spans="1:12" ht="13.5" x14ac:dyDescent="0.25">
      <c r="A5903" s="1930" t="s">
        <v>4628</v>
      </c>
      <c r="B5903" s="1930" t="s">
        <v>4809</v>
      </c>
      <c r="C5903" s="1930" t="s">
        <v>4816</v>
      </c>
      <c r="D5903" s="1930" t="s">
        <v>4817</v>
      </c>
      <c r="E5903" s="1931" t="s">
        <v>33</v>
      </c>
      <c r="F5903" s="1930" t="s">
        <v>33</v>
      </c>
      <c r="G5903" s="1932">
        <v>97051</v>
      </c>
      <c r="H5903" s="1930" t="s">
        <v>5276</v>
      </c>
      <c r="I5903" s="1930" t="s">
        <v>136</v>
      </c>
      <c r="J5903" s="1930" t="s">
        <v>137</v>
      </c>
      <c r="K5903" s="1933">
        <v>0.51</v>
      </c>
      <c r="L5903" s="1930" t="s">
        <v>138</v>
      </c>
    </row>
    <row r="5904" spans="1:12" ht="13.5" x14ac:dyDescent="0.25">
      <c r="A5904" s="1930" t="s">
        <v>4628</v>
      </c>
      <c r="B5904" s="1930" t="s">
        <v>4809</v>
      </c>
      <c r="C5904" s="1930" t="s">
        <v>4816</v>
      </c>
      <c r="D5904" s="1930" t="s">
        <v>4817</v>
      </c>
      <c r="E5904" s="1931" t="s">
        <v>33</v>
      </c>
      <c r="F5904" s="1930" t="s">
        <v>33</v>
      </c>
      <c r="G5904" s="1932">
        <v>97053</v>
      </c>
      <c r="H5904" s="1930" t="s">
        <v>5277</v>
      </c>
      <c r="I5904" s="1930" t="s">
        <v>136</v>
      </c>
      <c r="J5904" s="1930" t="s">
        <v>137</v>
      </c>
      <c r="K5904" s="1933">
        <v>23.32</v>
      </c>
      <c r="L5904" s="1930" t="s">
        <v>138</v>
      </c>
    </row>
    <row r="5905" spans="1:12" ht="13.5" x14ac:dyDescent="0.25">
      <c r="A5905" s="1930" t="s">
        <v>4628</v>
      </c>
      <c r="B5905" s="1930" t="s">
        <v>4809</v>
      </c>
      <c r="C5905" s="1930" t="s">
        <v>4816</v>
      </c>
      <c r="D5905" s="1930" t="s">
        <v>4817</v>
      </c>
      <c r="E5905" s="1931" t="s">
        <v>33</v>
      </c>
      <c r="F5905" s="1930" t="s">
        <v>33</v>
      </c>
      <c r="G5905" s="1932">
        <v>97062</v>
      </c>
      <c r="H5905" s="1930" t="s">
        <v>4973</v>
      </c>
      <c r="I5905" s="1930" t="s">
        <v>306</v>
      </c>
      <c r="J5905" s="1930" t="s">
        <v>137</v>
      </c>
      <c r="K5905" s="1933">
        <v>5.03</v>
      </c>
      <c r="L5905" s="1930" t="s">
        <v>138</v>
      </c>
    </row>
    <row r="5906" spans="1:12" ht="13.5" x14ac:dyDescent="0.25">
      <c r="A5906" s="1930" t="s">
        <v>4628</v>
      </c>
      <c r="B5906" s="1930" t="s">
        <v>4809</v>
      </c>
      <c r="C5906" s="1930" t="s">
        <v>4816</v>
      </c>
      <c r="D5906" s="1930" t="s">
        <v>4817</v>
      </c>
      <c r="E5906" s="1931" t="s">
        <v>33</v>
      </c>
      <c r="F5906" s="1930" t="s">
        <v>33</v>
      </c>
      <c r="G5906" s="1932">
        <v>97063</v>
      </c>
      <c r="H5906" s="1930" t="s">
        <v>4974</v>
      </c>
      <c r="I5906" s="1930" t="s">
        <v>306</v>
      </c>
      <c r="J5906" s="1930" t="s">
        <v>320</v>
      </c>
      <c r="K5906" s="1933">
        <v>6.99</v>
      </c>
      <c r="L5906" s="1930" t="s">
        <v>138</v>
      </c>
    </row>
    <row r="5907" spans="1:12" ht="13.5" x14ac:dyDescent="0.25">
      <c r="A5907" s="1930" t="s">
        <v>4628</v>
      </c>
      <c r="B5907" s="1930" t="s">
        <v>4809</v>
      </c>
      <c r="C5907" s="1930" t="s">
        <v>4816</v>
      </c>
      <c r="D5907" s="1930" t="s">
        <v>4817</v>
      </c>
      <c r="E5907" s="1931" t="s">
        <v>33</v>
      </c>
      <c r="F5907" s="1930" t="s">
        <v>33</v>
      </c>
      <c r="G5907" s="1932">
        <v>97064</v>
      </c>
      <c r="H5907" s="1930" t="s">
        <v>4975</v>
      </c>
      <c r="I5907" s="1930" t="s">
        <v>136</v>
      </c>
      <c r="J5907" s="1930" t="s">
        <v>320</v>
      </c>
      <c r="K5907" s="1933">
        <v>12.94</v>
      </c>
      <c r="L5907" s="1930" t="s">
        <v>138</v>
      </c>
    </row>
    <row r="5908" spans="1:12" ht="13.5" x14ac:dyDescent="0.25">
      <c r="A5908" s="1930" t="s">
        <v>4628</v>
      </c>
      <c r="B5908" s="1930" t="s">
        <v>4809</v>
      </c>
      <c r="C5908" s="1930" t="s">
        <v>4816</v>
      </c>
      <c r="D5908" s="1930" t="s">
        <v>4817</v>
      </c>
      <c r="E5908" s="1931" t="s">
        <v>33</v>
      </c>
      <c r="F5908" s="1930" t="s">
        <v>33</v>
      </c>
      <c r="G5908" s="1932">
        <v>97065</v>
      </c>
      <c r="H5908" s="1930" t="s">
        <v>4976</v>
      </c>
      <c r="I5908" s="1930" t="s">
        <v>1208</v>
      </c>
      <c r="J5908" s="1930" t="s">
        <v>320</v>
      </c>
      <c r="K5908" s="1933">
        <v>4.54</v>
      </c>
      <c r="L5908" s="1930" t="s">
        <v>138</v>
      </c>
    </row>
    <row r="5909" spans="1:12" ht="13.5" x14ac:dyDescent="0.25">
      <c r="A5909" s="1930" t="s">
        <v>4628</v>
      </c>
      <c r="B5909" s="1930" t="s">
        <v>4809</v>
      </c>
      <c r="C5909" s="1930" t="s">
        <v>4816</v>
      </c>
      <c r="D5909" s="1930" t="s">
        <v>4817</v>
      </c>
      <c r="E5909" s="1931" t="s">
        <v>33</v>
      </c>
      <c r="F5909" s="1930" t="s">
        <v>33</v>
      </c>
      <c r="G5909" s="1932">
        <v>97066</v>
      </c>
      <c r="H5909" s="1930" t="s">
        <v>6656</v>
      </c>
      <c r="I5909" s="1930" t="s">
        <v>306</v>
      </c>
      <c r="J5909" s="1930" t="s">
        <v>320</v>
      </c>
      <c r="K5909" s="1933">
        <v>50.42</v>
      </c>
      <c r="L5909" s="1930" t="s">
        <v>138</v>
      </c>
    </row>
    <row r="5910" spans="1:12" ht="13.5" x14ac:dyDescent="0.25">
      <c r="A5910" s="1930" t="s">
        <v>4628</v>
      </c>
      <c r="B5910" s="1930" t="s">
        <v>4809</v>
      </c>
      <c r="C5910" s="1930" t="s">
        <v>4816</v>
      </c>
      <c r="D5910" s="1930" t="s">
        <v>4817</v>
      </c>
      <c r="E5910" s="1931" t="s">
        <v>33</v>
      </c>
      <c r="F5910" s="1930" t="s">
        <v>33</v>
      </c>
      <c r="G5910" s="1932">
        <v>97067</v>
      </c>
      <c r="H5910" s="1930" t="s">
        <v>4977</v>
      </c>
      <c r="I5910" s="1930" t="s">
        <v>136</v>
      </c>
      <c r="J5910" s="1930" t="s">
        <v>320</v>
      </c>
      <c r="K5910" s="1933">
        <v>585.21</v>
      </c>
      <c r="L5910" s="1930" t="s">
        <v>138</v>
      </c>
    </row>
    <row r="5911" spans="1:12" ht="13.5" x14ac:dyDescent="0.25">
      <c r="A5911" s="1930" t="s">
        <v>4818</v>
      </c>
      <c r="B5911" s="1930" t="s">
        <v>4819</v>
      </c>
      <c r="C5911" s="1930" t="s">
        <v>4820</v>
      </c>
      <c r="D5911" s="1930" t="s">
        <v>4821</v>
      </c>
      <c r="E5911" s="1931" t="s">
        <v>33</v>
      </c>
      <c r="F5911" s="1930" t="s">
        <v>33</v>
      </c>
      <c r="G5911" s="1932">
        <v>85421</v>
      </c>
      <c r="H5911" s="1930" t="s">
        <v>4239</v>
      </c>
      <c r="I5911" s="1930" t="s">
        <v>306</v>
      </c>
      <c r="J5911" s="1930" t="s">
        <v>320</v>
      </c>
      <c r="K5911" s="1933">
        <v>12.4</v>
      </c>
      <c r="L5911" s="1930" t="s">
        <v>138</v>
      </c>
    </row>
    <row r="5912" spans="1:12" ht="13.5" x14ac:dyDescent="0.25">
      <c r="A5912" s="1930" t="s">
        <v>4818</v>
      </c>
      <c r="B5912" s="1930" t="s">
        <v>4819</v>
      </c>
      <c r="C5912" s="1930" t="s">
        <v>4820</v>
      </c>
      <c r="D5912" s="1930" t="s">
        <v>4821</v>
      </c>
      <c r="E5912" s="1931" t="s">
        <v>33</v>
      </c>
      <c r="F5912" s="1930" t="s">
        <v>33</v>
      </c>
      <c r="G5912" s="1932">
        <v>97621</v>
      </c>
      <c r="H5912" s="1930" t="s">
        <v>5047</v>
      </c>
      <c r="I5912" s="1930" t="s">
        <v>1208</v>
      </c>
      <c r="J5912" s="1930" t="s">
        <v>346</v>
      </c>
      <c r="K5912" s="1933">
        <v>81.22</v>
      </c>
      <c r="L5912" s="1930" t="s">
        <v>138</v>
      </c>
    </row>
    <row r="5913" spans="1:12" ht="13.5" x14ac:dyDescent="0.25">
      <c r="A5913" s="1930" t="s">
        <v>4818</v>
      </c>
      <c r="B5913" s="1930" t="s">
        <v>4819</v>
      </c>
      <c r="C5913" s="1930" t="s">
        <v>4820</v>
      </c>
      <c r="D5913" s="1930" t="s">
        <v>4821</v>
      </c>
      <c r="E5913" s="1931" t="s">
        <v>33</v>
      </c>
      <c r="F5913" s="1930" t="s">
        <v>33</v>
      </c>
      <c r="G5913" s="1932">
        <v>97622</v>
      </c>
      <c r="H5913" s="1930" t="s">
        <v>5048</v>
      </c>
      <c r="I5913" s="1930" t="s">
        <v>1208</v>
      </c>
      <c r="J5913" s="1930" t="s">
        <v>346</v>
      </c>
      <c r="K5913" s="1933">
        <v>39.58</v>
      </c>
      <c r="L5913" s="1930" t="s">
        <v>138</v>
      </c>
    </row>
    <row r="5914" spans="1:12" ht="13.5" x14ac:dyDescent="0.25">
      <c r="A5914" s="1930" t="s">
        <v>4818</v>
      </c>
      <c r="B5914" s="1930" t="s">
        <v>4819</v>
      </c>
      <c r="C5914" s="1930" t="s">
        <v>4820</v>
      </c>
      <c r="D5914" s="1930" t="s">
        <v>4821</v>
      </c>
      <c r="E5914" s="1931" t="s">
        <v>33</v>
      </c>
      <c r="F5914" s="1930" t="s">
        <v>33</v>
      </c>
      <c r="G5914" s="1932">
        <v>97623</v>
      </c>
      <c r="H5914" s="1930" t="s">
        <v>5049</v>
      </c>
      <c r="I5914" s="1930" t="s">
        <v>1208</v>
      </c>
      <c r="J5914" s="1930" t="s">
        <v>346</v>
      </c>
      <c r="K5914" s="1933">
        <v>121.26</v>
      </c>
      <c r="L5914" s="1930" t="s">
        <v>138</v>
      </c>
    </row>
    <row r="5915" spans="1:12" ht="13.5" x14ac:dyDescent="0.25">
      <c r="A5915" s="1930" t="s">
        <v>4818</v>
      </c>
      <c r="B5915" s="1930" t="s">
        <v>4819</v>
      </c>
      <c r="C5915" s="1930" t="s">
        <v>4820</v>
      </c>
      <c r="D5915" s="1930" t="s">
        <v>4821</v>
      </c>
      <c r="E5915" s="1931" t="s">
        <v>33</v>
      </c>
      <c r="F5915" s="1930" t="s">
        <v>33</v>
      </c>
      <c r="G5915" s="1932">
        <v>97624</v>
      </c>
      <c r="H5915" s="1930" t="s">
        <v>5050</v>
      </c>
      <c r="I5915" s="1930" t="s">
        <v>1208</v>
      </c>
      <c r="J5915" s="1930" t="s">
        <v>346</v>
      </c>
      <c r="K5915" s="1933">
        <v>74.42</v>
      </c>
      <c r="L5915" s="1930" t="s">
        <v>138</v>
      </c>
    </row>
    <row r="5916" spans="1:12" ht="13.5" x14ac:dyDescent="0.25">
      <c r="A5916" s="1930" t="s">
        <v>4818</v>
      </c>
      <c r="B5916" s="1930" t="s">
        <v>4819</v>
      </c>
      <c r="C5916" s="1930" t="s">
        <v>4820</v>
      </c>
      <c r="D5916" s="1930" t="s">
        <v>4821</v>
      </c>
      <c r="E5916" s="1931" t="s">
        <v>33</v>
      </c>
      <c r="F5916" s="1930" t="s">
        <v>33</v>
      </c>
      <c r="G5916" s="1932">
        <v>97625</v>
      </c>
      <c r="H5916" s="1930" t="s">
        <v>5051</v>
      </c>
      <c r="I5916" s="1930" t="s">
        <v>1208</v>
      </c>
      <c r="J5916" s="1930" t="s">
        <v>137</v>
      </c>
      <c r="K5916" s="1933">
        <v>34.25</v>
      </c>
      <c r="L5916" s="1930" t="s">
        <v>138</v>
      </c>
    </row>
    <row r="5917" spans="1:12" ht="13.5" x14ac:dyDescent="0.25">
      <c r="A5917" s="1930" t="s">
        <v>4818</v>
      </c>
      <c r="B5917" s="1930" t="s">
        <v>4819</v>
      </c>
      <c r="C5917" s="1930" t="s">
        <v>4820</v>
      </c>
      <c r="D5917" s="1930" t="s">
        <v>4821</v>
      </c>
      <c r="E5917" s="1931" t="s">
        <v>33</v>
      </c>
      <c r="F5917" s="1930" t="s">
        <v>33</v>
      </c>
      <c r="G5917" s="1932">
        <v>97626</v>
      </c>
      <c r="H5917" s="1930" t="s">
        <v>5052</v>
      </c>
      <c r="I5917" s="1930" t="s">
        <v>1208</v>
      </c>
      <c r="J5917" s="1930" t="s">
        <v>320</v>
      </c>
      <c r="K5917" s="1933">
        <v>411.02</v>
      </c>
      <c r="L5917" s="1930" t="s">
        <v>138</v>
      </c>
    </row>
    <row r="5918" spans="1:12" ht="13.5" x14ac:dyDescent="0.25">
      <c r="A5918" s="1930" t="s">
        <v>4818</v>
      </c>
      <c r="B5918" s="1930" t="s">
        <v>4819</v>
      </c>
      <c r="C5918" s="1930" t="s">
        <v>4820</v>
      </c>
      <c r="D5918" s="1930" t="s">
        <v>4821</v>
      </c>
      <c r="E5918" s="1931" t="s">
        <v>33</v>
      </c>
      <c r="F5918" s="1930" t="s">
        <v>33</v>
      </c>
      <c r="G5918" s="1932">
        <v>97627</v>
      </c>
      <c r="H5918" s="1930" t="s">
        <v>5053</v>
      </c>
      <c r="I5918" s="1930" t="s">
        <v>1208</v>
      </c>
      <c r="J5918" s="1930" t="s">
        <v>137</v>
      </c>
      <c r="K5918" s="1933">
        <v>190.45</v>
      </c>
      <c r="L5918" s="1930" t="s">
        <v>138</v>
      </c>
    </row>
    <row r="5919" spans="1:12" ht="13.5" x14ac:dyDescent="0.25">
      <c r="A5919" s="1930" t="s">
        <v>4818</v>
      </c>
      <c r="B5919" s="1930" t="s">
        <v>4819</v>
      </c>
      <c r="C5919" s="1930" t="s">
        <v>4820</v>
      </c>
      <c r="D5919" s="1930" t="s">
        <v>4821</v>
      </c>
      <c r="E5919" s="1931" t="s">
        <v>33</v>
      </c>
      <c r="F5919" s="1930" t="s">
        <v>33</v>
      </c>
      <c r="G5919" s="1932">
        <v>97628</v>
      </c>
      <c r="H5919" s="1930" t="s">
        <v>5054</v>
      </c>
      <c r="I5919" s="1930" t="s">
        <v>1208</v>
      </c>
      <c r="J5919" s="1930" t="s">
        <v>346</v>
      </c>
      <c r="K5919" s="1933">
        <v>195.64</v>
      </c>
      <c r="L5919" s="1930" t="s">
        <v>138</v>
      </c>
    </row>
    <row r="5920" spans="1:12" ht="13.5" x14ac:dyDescent="0.25">
      <c r="A5920" s="1930" t="s">
        <v>4818</v>
      </c>
      <c r="B5920" s="1930" t="s">
        <v>4819</v>
      </c>
      <c r="C5920" s="1930" t="s">
        <v>4820</v>
      </c>
      <c r="D5920" s="1930" t="s">
        <v>4821</v>
      </c>
      <c r="E5920" s="1931" t="s">
        <v>33</v>
      </c>
      <c r="F5920" s="1930" t="s">
        <v>33</v>
      </c>
      <c r="G5920" s="1932">
        <v>97629</v>
      </c>
      <c r="H5920" s="1930" t="s">
        <v>5055</v>
      </c>
      <c r="I5920" s="1930" t="s">
        <v>1208</v>
      </c>
      <c r="J5920" s="1930" t="s">
        <v>137</v>
      </c>
      <c r="K5920" s="1933">
        <v>89.9</v>
      </c>
      <c r="L5920" s="1930" t="s">
        <v>138</v>
      </c>
    </row>
    <row r="5921" spans="1:12" ht="13.5" x14ac:dyDescent="0.25">
      <c r="A5921" s="1930" t="s">
        <v>4818</v>
      </c>
      <c r="B5921" s="1930" t="s">
        <v>4819</v>
      </c>
      <c r="C5921" s="1930" t="s">
        <v>4820</v>
      </c>
      <c r="D5921" s="1930" t="s">
        <v>4821</v>
      </c>
      <c r="E5921" s="1931" t="s">
        <v>33</v>
      </c>
      <c r="F5921" s="1930" t="s">
        <v>33</v>
      </c>
      <c r="G5921" s="1932">
        <v>97631</v>
      </c>
      <c r="H5921" s="1930" t="s">
        <v>5056</v>
      </c>
      <c r="I5921" s="1930" t="s">
        <v>306</v>
      </c>
      <c r="J5921" s="1930" t="s">
        <v>346</v>
      </c>
      <c r="K5921" s="1933">
        <v>2.33</v>
      </c>
      <c r="L5921" s="1930" t="s">
        <v>138</v>
      </c>
    </row>
    <row r="5922" spans="1:12" ht="13.5" x14ac:dyDescent="0.25">
      <c r="A5922" s="1930" t="s">
        <v>4818</v>
      </c>
      <c r="B5922" s="1930" t="s">
        <v>4819</v>
      </c>
      <c r="C5922" s="1930" t="s">
        <v>4820</v>
      </c>
      <c r="D5922" s="1930" t="s">
        <v>4821</v>
      </c>
      <c r="E5922" s="1931" t="s">
        <v>33</v>
      </c>
      <c r="F5922" s="1930" t="s">
        <v>33</v>
      </c>
      <c r="G5922" s="1932">
        <v>97632</v>
      </c>
      <c r="H5922" s="1930" t="s">
        <v>5057</v>
      </c>
      <c r="I5922" s="1930" t="s">
        <v>136</v>
      </c>
      <c r="J5922" s="1930" t="s">
        <v>320</v>
      </c>
      <c r="K5922" s="1933">
        <v>1.82</v>
      </c>
      <c r="L5922" s="1930" t="s">
        <v>138</v>
      </c>
    </row>
    <row r="5923" spans="1:12" ht="13.5" x14ac:dyDescent="0.25">
      <c r="A5923" s="1930" t="s">
        <v>4818</v>
      </c>
      <c r="B5923" s="1930" t="s">
        <v>4819</v>
      </c>
      <c r="C5923" s="1930" t="s">
        <v>4820</v>
      </c>
      <c r="D5923" s="1930" t="s">
        <v>4821</v>
      </c>
      <c r="E5923" s="1931" t="s">
        <v>33</v>
      </c>
      <c r="F5923" s="1930" t="s">
        <v>33</v>
      </c>
      <c r="G5923" s="1932">
        <v>97633</v>
      </c>
      <c r="H5923" s="1930" t="s">
        <v>5058</v>
      </c>
      <c r="I5923" s="1930" t="s">
        <v>306</v>
      </c>
      <c r="J5923" s="1930" t="s">
        <v>320</v>
      </c>
      <c r="K5923" s="1933">
        <v>15.97</v>
      </c>
      <c r="L5923" s="1930" t="s">
        <v>138</v>
      </c>
    </row>
    <row r="5924" spans="1:12" ht="13.5" x14ac:dyDescent="0.25">
      <c r="A5924" s="1930" t="s">
        <v>4818</v>
      </c>
      <c r="B5924" s="1930" t="s">
        <v>4819</v>
      </c>
      <c r="C5924" s="1930" t="s">
        <v>4820</v>
      </c>
      <c r="D5924" s="1930" t="s">
        <v>4821</v>
      </c>
      <c r="E5924" s="1931" t="s">
        <v>33</v>
      </c>
      <c r="F5924" s="1930" t="s">
        <v>33</v>
      </c>
      <c r="G5924" s="1932">
        <v>97634</v>
      </c>
      <c r="H5924" s="1930" t="s">
        <v>5059</v>
      </c>
      <c r="I5924" s="1930" t="s">
        <v>306</v>
      </c>
      <c r="J5924" s="1930" t="s">
        <v>137</v>
      </c>
      <c r="K5924" s="1933">
        <v>8.69</v>
      </c>
      <c r="L5924" s="1930" t="s">
        <v>138</v>
      </c>
    </row>
    <row r="5925" spans="1:12" ht="13.5" x14ac:dyDescent="0.25">
      <c r="A5925" s="1930" t="s">
        <v>4818</v>
      </c>
      <c r="B5925" s="1930" t="s">
        <v>4819</v>
      </c>
      <c r="C5925" s="1930" t="s">
        <v>4820</v>
      </c>
      <c r="D5925" s="1930" t="s">
        <v>4821</v>
      </c>
      <c r="E5925" s="1931" t="s">
        <v>33</v>
      </c>
      <c r="F5925" s="1930" t="s">
        <v>33</v>
      </c>
      <c r="G5925" s="1932">
        <v>97635</v>
      </c>
      <c r="H5925" s="1930" t="s">
        <v>5060</v>
      </c>
      <c r="I5925" s="1930" t="s">
        <v>306</v>
      </c>
      <c r="J5925" s="1930" t="s">
        <v>320</v>
      </c>
      <c r="K5925" s="1933">
        <v>11.09</v>
      </c>
      <c r="L5925" s="1930" t="s">
        <v>138</v>
      </c>
    </row>
    <row r="5926" spans="1:12" ht="13.5" x14ac:dyDescent="0.25">
      <c r="A5926" s="1930" t="s">
        <v>4818</v>
      </c>
      <c r="B5926" s="1930" t="s">
        <v>4819</v>
      </c>
      <c r="C5926" s="1930" t="s">
        <v>4820</v>
      </c>
      <c r="D5926" s="1930" t="s">
        <v>4821</v>
      </c>
      <c r="E5926" s="1931" t="s">
        <v>33</v>
      </c>
      <c r="F5926" s="1930" t="s">
        <v>33</v>
      </c>
      <c r="G5926" s="1932">
        <v>97636</v>
      </c>
      <c r="H5926" s="1930" t="s">
        <v>5061</v>
      </c>
      <c r="I5926" s="1930" t="s">
        <v>306</v>
      </c>
      <c r="J5926" s="1930" t="s">
        <v>137</v>
      </c>
      <c r="K5926" s="1933">
        <v>8.7200000000000006</v>
      </c>
      <c r="L5926" s="1930" t="s">
        <v>138</v>
      </c>
    </row>
    <row r="5927" spans="1:12" ht="13.5" x14ac:dyDescent="0.25">
      <c r="A5927" s="1930" t="s">
        <v>4818</v>
      </c>
      <c r="B5927" s="1930" t="s">
        <v>4819</v>
      </c>
      <c r="C5927" s="1930" t="s">
        <v>4820</v>
      </c>
      <c r="D5927" s="1930" t="s">
        <v>4821</v>
      </c>
      <c r="E5927" s="1931" t="s">
        <v>33</v>
      </c>
      <c r="F5927" s="1930" t="s">
        <v>33</v>
      </c>
      <c r="G5927" s="1932">
        <v>97637</v>
      </c>
      <c r="H5927" s="1930" t="s">
        <v>5062</v>
      </c>
      <c r="I5927" s="1930" t="s">
        <v>306</v>
      </c>
      <c r="J5927" s="1930" t="s">
        <v>320</v>
      </c>
      <c r="K5927" s="1933">
        <v>1.83</v>
      </c>
      <c r="L5927" s="1930" t="s">
        <v>138</v>
      </c>
    </row>
    <row r="5928" spans="1:12" ht="13.5" x14ac:dyDescent="0.25">
      <c r="A5928" s="1930" t="s">
        <v>4818</v>
      </c>
      <c r="B5928" s="1930" t="s">
        <v>4819</v>
      </c>
      <c r="C5928" s="1930" t="s">
        <v>4820</v>
      </c>
      <c r="D5928" s="1930" t="s">
        <v>4821</v>
      </c>
      <c r="E5928" s="1931" t="s">
        <v>33</v>
      </c>
      <c r="F5928" s="1930" t="s">
        <v>33</v>
      </c>
      <c r="G5928" s="1932">
        <v>97638</v>
      </c>
      <c r="H5928" s="1930" t="s">
        <v>5063</v>
      </c>
      <c r="I5928" s="1930" t="s">
        <v>306</v>
      </c>
      <c r="J5928" s="1930" t="s">
        <v>320</v>
      </c>
      <c r="K5928" s="1933">
        <v>5.34</v>
      </c>
      <c r="L5928" s="1930" t="s">
        <v>138</v>
      </c>
    </row>
    <row r="5929" spans="1:12" ht="13.5" x14ac:dyDescent="0.25">
      <c r="A5929" s="1930" t="s">
        <v>4818</v>
      </c>
      <c r="B5929" s="1930" t="s">
        <v>4819</v>
      </c>
      <c r="C5929" s="1930" t="s">
        <v>4820</v>
      </c>
      <c r="D5929" s="1930" t="s">
        <v>4821</v>
      </c>
      <c r="E5929" s="1931" t="s">
        <v>33</v>
      </c>
      <c r="F5929" s="1930" t="s">
        <v>33</v>
      </c>
      <c r="G5929" s="1932">
        <v>97639</v>
      </c>
      <c r="H5929" s="1930" t="s">
        <v>5064</v>
      </c>
      <c r="I5929" s="1930" t="s">
        <v>306</v>
      </c>
      <c r="J5929" s="1930" t="s">
        <v>346</v>
      </c>
      <c r="K5929" s="1933">
        <v>14.15</v>
      </c>
      <c r="L5929" s="1930" t="s">
        <v>138</v>
      </c>
    </row>
    <row r="5930" spans="1:12" ht="13.5" x14ac:dyDescent="0.25">
      <c r="A5930" s="1930" t="s">
        <v>4818</v>
      </c>
      <c r="B5930" s="1930" t="s">
        <v>4819</v>
      </c>
      <c r="C5930" s="1930" t="s">
        <v>4820</v>
      </c>
      <c r="D5930" s="1930" t="s">
        <v>4821</v>
      </c>
      <c r="E5930" s="1931" t="s">
        <v>33</v>
      </c>
      <c r="F5930" s="1930" t="s">
        <v>33</v>
      </c>
      <c r="G5930" s="1932">
        <v>97640</v>
      </c>
      <c r="H5930" s="1930" t="s">
        <v>5065</v>
      </c>
      <c r="I5930" s="1930" t="s">
        <v>306</v>
      </c>
      <c r="J5930" s="1930" t="s">
        <v>320</v>
      </c>
      <c r="K5930" s="1933">
        <v>1.1499999999999999</v>
      </c>
      <c r="L5930" s="1930" t="s">
        <v>138</v>
      </c>
    </row>
    <row r="5931" spans="1:12" ht="13.5" x14ac:dyDescent="0.25">
      <c r="A5931" s="1930" t="s">
        <v>4818</v>
      </c>
      <c r="B5931" s="1930" t="s">
        <v>4819</v>
      </c>
      <c r="C5931" s="1930" t="s">
        <v>4820</v>
      </c>
      <c r="D5931" s="1930" t="s">
        <v>4821</v>
      </c>
      <c r="E5931" s="1931" t="s">
        <v>33</v>
      </c>
      <c r="F5931" s="1930" t="s">
        <v>33</v>
      </c>
      <c r="G5931" s="1932">
        <v>97641</v>
      </c>
      <c r="H5931" s="1930" t="s">
        <v>5066</v>
      </c>
      <c r="I5931" s="1930" t="s">
        <v>306</v>
      </c>
      <c r="J5931" s="1930" t="s">
        <v>320</v>
      </c>
      <c r="K5931" s="1933">
        <v>3.54</v>
      </c>
      <c r="L5931" s="1930" t="s">
        <v>138</v>
      </c>
    </row>
    <row r="5932" spans="1:12" ht="13.5" x14ac:dyDescent="0.25">
      <c r="A5932" s="1930" t="s">
        <v>4818</v>
      </c>
      <c r="B5932" s="1930" t="s">
        <v>4819</v>
      </c>
      <c r="C5932" s="1930" t="s">
        <v>4820</v>
      </c>
      <c r="D5932" s="1930" t="s">
        <v>4821</v>
      </c>
      <c r="E5932" s="1931" t="s">
        <v>33</v>
      </c>
      <c r="F5932" s="1930" t="s">
        <v>33</v>
      </c>
      <c r="G5932" s="1932">
        <v>97642</v>
      </c>
      <c r="H5932" s="1930" t="s">
        <v>5067</v>
      </c>
      <c r="I5932" s="1930" t="s">
        <v>306</v>
      </c>
      <c r="J5932" s="1930" t="s">
        <v>320</v>
      </c>
      <c r="K5932" s="1933">
        <v>2.0699999999999998</v>
      </c>
      <c r="L5932" s="1930" t="s">
        <v>138</v>
      </c>
    </row>
    <row r="5933" spans="1:12" ht="13.5" x14ac:dyDescent="0.25">
      <c r="A5933" s="1930" t="s">
        <v>4818</v>
      </c>
      <c r="B5933" s="1930" t="s">
        <v>4819</v>
      </c>
      <c r="C5933" s="1930" t="s">
        <v>4820</v>
      </c>
      <c r="D5933" s="1930" t="s">
        <v>4821</v>
      </c>
      <c r="E5933" s="1931" t="s">
        <v>33</v>
      </c>
      <c r="F5933" s="1930" t="s">
        <v>33</v>
      </c>
      <c r="G5933" s="1932">
        <v>97643</v>
      </c>
      <c r="H5933" s="1930" t="s">
        <v>5068</v>
      </c>
      <c r="I5933" s="1930" t="s">
        <v>306</v>
      </c>
      <c r="J5933" s="1930" t="s">
        <v>346</v>
      </c>
      <c r="K5933" s="1933">
        <v>17.38</v>
      </c>
      <c r="L5933" s="1930" t="s">
        <v>138</v>
      </c>
    </row>
    <row r="5934" spans="1:12" ht="13.5" x14ac:dyDescent="0.25">
      <c r="A5934" s="1930" t="s">
        <v>4818</v>
      </c>
      <c r="B5934" s="1930" t="s">
        <v>4819</v>
      </c>
      <c r="C5934" s="1930" t="s">
        <v>4820</v>
      </c>
      <c r="D5934" s="1930" t="s">
        <v>4821</v>
      </c>
      <c r="E5934" s="1931" t="s">
        <v>33</v>
      </c>
      <c r="F5934" s="1930" t="s">
        <v>33</v>
      </c>
      <c r="G5934" s="1932">
        <v>97644</v>
      </c>
      <c r="H5934" s="1930" t="s">
        <v>5069</v>
      </c>
      <c r="I5934" s="1930" t="s">
        <v>306</v>
      </c>
      <c r="J5934" s="1930" t="s">
        <v>346</v>
      </c>
      <c r="K5934" s="1933">
        <v>6.53</v>
      </c>
      <c r="L5934" s="1930" t="s">
        <v>138</v>
      </c>
    </row>
    <row r="5935" spans="1:12" ht="13.5" x14ac:dyDescent="0.25">
      <c r="A5935" s="1930" t="s">
        <v>4818</v>
      </c>
      <c r="B5935" s="1930" t="s">
        <v>4819</v>
      </c>
      <c r="C5935" s="1930" t="s">
        <v>4820</v>
      </c>
      <c r="D5935" s="1930" t="s">
        <v>4821</v>
      </c>
      <c r="E5935" s="1931" t="s">
        <v>33</v>
      </c>
      <c r="F5935" s="1930" t="s">
        <v>33</v>
      </c>
      <c r="G5935" s="1932">
        <v>97645</v>
      </c>
      <c r="H5935" s="1930" t="s">
        <v>5070</v>
      </c>
      <c r="I5935" s="1930" t="s">
        <v>306</v>
      </c>
      <c r="J5935" s="1930" t="s">
        <v>320</v>
      </c>
      <c r="K5935" s="1933">
        <v>19.11</v>
      </c>
      <c r="L5935" s="1930" t="s">
        <v>138</v>
      </c>
    </row>
    <row r="5936" spans="1:12" ht="13.5" x14ac:dyDescent="0.25">
      <c r="A5936" s="1930" t="s">
        <v>4818</v>
      </c>
      <c r="B5936" s="1930" t="s">
        <v>4819</v>
      </c>
      <c r="C5936" s="1930" t="s">
        <v>4820</v>
      </c>
      <c r="D5936" s="1930" t="s">
        <v>4821</v>
      </c>
      <c r="E5936" s="1931" t="s">
        <v>33</v>
      </c>
      <c r="F5936" s="1930" t="s">
        <v>33</v>
      </c>
      <c r="G5936" s="1932">
        <v>97647</v>
      </c>
      <c r="H5936" s="1930" t="s">
        <v>5071</v>
      </c>
      <c r="I5936" s="1930" t="s">
        <v>306</v>
      </c>
      <c r="J5936" s="1930" t="s">
        <v>320</v>
      </c>
      <c r="K5936" s="1933">
        <v>2.5099999999999998</v>
      </c>
      <c r="L5936" s="1930" t="s">
        <v>138</v>
      </c>
    </row>
    <row r="5937" spans="1:12" ht="13.5" x14ac:dyDescent="0.25">
      <c r="A5937" s="1930" t="s">
        <v>4818</v>
      </c>
      <c r="B5937" s="1930" t="s">
        <v>4819</v>
      </c>
      <c r="C5937" s="1930" t="s">
        <v>4820</v>
      </c>
      <c r="D5937" s="1930" t="s">
        <v>4821</v>
      </c>
      <c r="E5937" s="1931" t="s">
        <v>33</v>
      </c>
      <c r="F5937" s="1930" t="s">
        <v>33</v>
      </c>
      <c r="G5937" s="1932">
        <v>97648</v>
      </c>
      <c r="H5937" s="1930" t="s">
        <v>5072</v>
      </c>
      <c r="I5937" s="1930" t="s">
        <v>306</v>
      </c>
      <c r="J5937" s="1930" t="s">
        <v>320</v>
      </c>
      <c r="K5937" s="1933">
        <v>1.44</v>
      </c>
      <c r="L5937" s="1930" t="s">
        <v>138</v>
      </c>
    </row>
    <row r="5938" spans="1:12" ht="13.5" x14ac:dyDescent="0.25">
      <c r="A5938" s="1930" t="s">
        <v>4818</v>
      </c>
      <c r="B5938" s="1930" t="s">
        <v>4819</v>
      </c>
      <c r="C5938" s="1930" t="s">
        <v>4820</v>
      </c>
      <c r="D5938" s="1930" t="s">
        <v>4821</v>
      </c>
      <c r="E5938" s="1931" t="s">
        <v>33</v>
      </c>
      <c r="F5938" s="1930" t="s">
        <v>33</v>
      </c>
      <c r="G5938" s="1932">
        <v>97649</v>
      </c>
      <c r="H5938" s="1930" t="s">
        <v>5073</v>
      </c>
      <c r="I5938" s="1930" t="s">
        <v>306</v>
      </c>
      <c r="J5938" s="1930" t="s">
        <v>137</v>
      </c>
      <c r="K5938" s="1933">
        <v>3.07</v>
      </c>
      <c r="L5938" s="1930" t="s">
        <v>138</v>
      </c>
    </row>
    <row r="5939" spans="1:12" ht="13.5" x14ac:dyDescent="0.25">
      <c r="A5939" s="1930" t="s">
        <v>4818</v>
      </c>
      <c r="B5939" s="1930" t="s">
        <v>4819</v>
      </c>
      <c r="C5939" s="1930" t="s">
        <v>4820</v>
      </c>
      <c r="D5939" s="1930" t="s">
        <v>4821</v>
      </c>
      <c r="E5939" s="1931" t="s">
        <v>33</v>
      </c>
      <c r="F5939" s="1930" t="s">
        <v>33</v>
      </c>
      <c r="G5939" s="1932">
        <v>97650</v>
      </c>
      <c r="H5939" s="1930" t="s">
        <v>5074</v>
      </c>
      <c r="I5939" s="1930" t="s">
        <v>306</v>
      </c>
      <c r="J5939" s="1930" t="s">
        <v>320</v>
      </c>
      <c r="K5939" s="1933">
        <v>5.4</v>
      </c>
      <c r="L5939" s="1930" t="s">
        <v>138</v>
      </c>
    </row>
    <row r="5940" spans="1:12" ht="13.5" x14ac:dyDescent="0.25">
      <c r="A5940" s="1930" t="s">
        <v>4818</v>
      </c>
      <c r="B5940" s="1930" t="s">
        <v>4819</v>
      </c>
      <c r="C5940" s="1930" t="s">
        <v>4820</v>
      </c>
      <c r="D5940" s="1930" t="s">
        <v>4821</v>
      </c>
      <c r="E5940" s="1931" t="s">
        <v>33</v>
      </c>
      <c r="F5940" s="1930" t="s">
        <v>33</v>
      </c>
      <c r="G5940" s="1932">
        <v>97651</v>
      </c>
      <c r="H5940" s="1930" t="s">
        <v>5075</v>
      </c>
      <c r="I5940" s="1930" t="s">
        <v>168</v>
      </c>
      <c r="J5940" s="1930" t="s">
        <v>320</v>
      </c>
      <c r="K5940" s="1933">
        <v>59.8</v>
      </c>
      <c r="L5940" s="1930" t="s">
        <v>138</v>
      </c>
    </row>
    <row r="5941" spans="1:12" ht="13.5" x14ac:dyDescent="0.25">
      <c r="A5941" s="1930" t="s">
        <v>4818</v>
      </c>
      <c r="B5941" s="1930" t="s">
        <v>4819</v>
      </c>
      <c r="C5941" s="1930" t="s">
        <v>4820</v>
      </c>
      <c r="D5941" s="1930" t="s">
        <v>4821</v>
      </c>
      <c r="E5941" s="1931" t="s">
        <v>33</v>
      </c>
      <c r="F5941" s="1930" t="s">
        <v>33</v>
      </c>
      <c r="G5941" s="1932">
        <v>97652</v>
      </c>
      <c r="H5941" s="1930" t="s">
        <v>5076</v>
      </c>
      <c r="I5941" s="1930" t="s">
        <v>168</v>
      </c>
      <c r="J5941" s="1930" t="s">
        <v>320</v>
      </c>
      <c r="K5941" s="1933">
        <v>135.59</v>
      </c>
      <c r="L5941" s="1930" t="s">
        <v>138</v>
      </c>
    </row>
    <row r="5942" spans="1:12" ht="13.5" x14ac:dyDescent="0.25">
      <c r="A5942" s="1930" t="s">
        <v>4818</v>
      </c>
      <c r="B5942" s="1930" t="s">
        <v>4819</v>
      </c>
      <c r="C5942" s="1930" t="s">
        <v>4820</v>
      </c>
      <c r="D5942" s="1930" t="s">
        <v>4821</v>
      </c>
      <c r="E5942" s="1931" t="s">
        <v>33</v>
      </c>
      <c r="F5942" s="1930" t="s">
        <v>33</v>
      </c>
      <c r="G5942" s="1932">
        <v>97653</v>
      </c>
      <c r="H5942" s="1930" t="s">
        <v>5077</v>
      </c>
      <c r="I5942" s="1930" t="s">
        <v>168</v>
      </c>
      <c r="J5942" s="1930" t="s">
        <v>137</v>
      </c>
      <c r="K5942" s="1933">
        <v>80.02</v>
      </c>
      <c r="L5942" s="1930" t="s">
        <v>138</v>
      </c>
    </row>
    <row r="5943" spans="1:12" ht="13.5" x14ac:dyDescent="0.25">
      <c r="A5943" s="1930" t="s">
        <v>4818</v>
      </c>
      <c r="B5943" s="1930" t="s">
        <v>4819</v>
      </c>
      <c r="C5943" s="1930" t="s">
        <v>4820</v>
      </c>
      <c r="D5943" s="1930" t="s">
        <v>4821</v>
      </c>
      <c r="E5943" s="1931" t="s">
        <v>33</v>
      </c>
      <c r="F5943" s="1930" t="s">
        <v>33</v>
      </c>
      <c r="G5943" s="1932">
        <v>97654</v>
      </c>
      <c r="H5943" s="1930" t="s">
        <v>5078</v>
      </c>
      <c r="I5943" s="1930" t="s">
        <v>168</v>
      </c>
      <c r="J5943" s="1930" t="s">
        <v>137</v>
      </c>
      <c r="K5943" s="1933">
        <v>100.77</v>
      </c>
      <c r="L5943" s="1930" t="s">
        <v>138</v>
      </c>
    </row>
    <row r="5944" spans="1:12" ht="13.5" x14ac:dyDescent="0.25">
      <c r="A5944" s="1930" t="s">
        <v>4818</v>
      </c>
      <c r="B5944" s="1930" t="s">
        <v>4819</v>
      </c>
      <c r="C5944" s="1930" t="s">
        <v>4820</v>
      </c>
      <c r="D5944" s="1930" t="s">
        <v>4821</v>
      </c>
      <c r="E5944" s="1931" t="s">
        <v>33</v>
      </c>
      <c r="F5944" s="1930" t="s">
        <v>33</v>
      </c>
      <c r="G5944" s="1932">
        <v>97655</v>
      </c>
      <c r="H5944" s="1930" t="s">
        <v>5079</v>
      </c>
      <c r="I5944" s="1930" t="s">
        <v>306</v>
      </c>
      <c r="J5944" s="1930" t="s">
        <v>137</v>
      </c>
      <c r="K5944" s="1933">
        <v>15.23</v>
      </c>
      <c r="L5944" s="1930" t="s">
        <v>138</v>
      </c>
    </row>
    <row r="5945" spans="1:12" ht="13.5" x14ac:dyDescent="0.25">
      <c r="A5945" s="1930" t="s">
        <v>4818</v>
      </c>
      <c r="B5945" s="1930" t="s">
        <v>4819</v>
      </c>
      <c r="C5945" s="1930" t="s">
        <v>4820</v>
      </c>
      <c r="D5945" s="1930" t="s">
        <v>4821</v>
      </c>
      <c r="E5945" s="1931" t="s">
        <v>33</v>
      </c>
      <c r="F5945" s="1930" t="s">
        <v>33</v>
      </c>
      <c r="G5945" s="1932">
        <v>97656</v>
      </c>
      <c r="H5945" s="1930" t="s">
        <v>5080</v>
      </c>
      <c r="I5945" s="1930" t="s">
        <v>168</v>
      </c>
      <c r="J5945" s="1930" t="s">
        <v>137</v>
      </c>
      <c r="K5945" s="1933">
        <v>153.5</v>
      </c>
      <c r="L5945" s="1930" t="s">
        <v>138</v>
      </c>
    </row>
    <row r="5946" spans="1:12" ht="13.5" x14ac:dyDescent="0.25">
      <c r="A5946" s="1930" t="s">
        <v>4818</v>
      </c>
      <c r="B5946" s="1930" t="s">
        <v>4819</v>
      </c>
      <c r="C5946" s="1930" t="s">
        <v>4820</v>
      </c>
      <c r="D5946" s="1930" t="s">
        <v>4821</v>
      </c>
      <c r="E5946" s="1931" t="s">
        <v>33</v>
      </c>
      <c r="F5946" s="1930" t="s">
        <v>33</v>
      </c>
      <c r="G5946" s="1932">
        <v>97657</v>
      </c>
      <c r="H5946" s="1930" t="s">
        <v>5081</v>
      </c>
      <c r="I5946" s="1930" t="s">
        <v>168</v>
      </c>
      <c r="J5946" s="1930" t="s">
        <v>137</v>
      </c>
      <c r="K5946" s="1933">
        <v>304.25</v>
      </c>
      <c r="L5946" s="1930" t="s">
        <v>138</v>
      </c>
    </row>
    <row r="5947" spans="1:12" ht="13.5" x14ac:dyDescent="0.25">
      <c r="A5947" s="1930" t="s">
        <v>4818</v>
      </c>
      <c r="B5947" s="1930" t="s">
        <v>4819</v>
      </c>
      <c r="C5947" s="1930" t="s">
        <v>4820</v>
      </c>
      <c r="D5947" s="1930" t="s">
        <v>4821</v>
      </c>
      <c r="E5947" s="1931" t="s">
        <v>33</v>
      </c>
      <c r="F5947" s="1930" t="s">
        <v>33</v>
      </c>
      <c r="G5947" s="1932">
        <v>97658</v>
      </c>
      <c r="H5947" s="1930" t="s">
        <v>5082</v>
      </c>
      <c r="I5947" s="1930" t="s">
        <v>168</v>
      </c>
      <c r="J5947" s="1930" t="s">
        <v>137</v>
      </c>
      <c r="K5947" s="1933">
        <v>117.25</v>
      </c>
      <c r="L5947" s="1930" t="s">
        <v>138</v>
      </c>
    </row>
    <row r="5948" spans="1:12" ht="13.5" x14ac:dyDescent="0.25">
      <c r="A5948" s="1930" t="s">
        <v>4818</v>
      </c>
      <c r="B5948" s="1930" t="s">
        <v>4819</v>
      </c>
      <c r="C5948" s="1930" t="s">
        <v>4820</v>
      </c>
      <c r="D5948" s="1930" t="s">
        <v>4821</v>
      </c>
      <c r="E5948" s="1931" t="s">
        <v>33</v>
      </c>
      <c r="F5948" s="1930" t="s">
        <v>33</v>
      </c>
      <c r="G5948" s="1932">
        <v>97659</v>
      </c>
      <c r="H5948" s="1930" t="s">
        <v>5083</v>
      </c>
      <c r="I5948" s="1930" t="s">
        <v>168</v>
      </c>
      <c r="J5948" s="1930" t="s">
        <v>137</v>
      </c>
      <c r="K5948" s="1933">
        <v>160.72999999999999</v>
      </c>
      <c r="L5948" s="1930" t="s">
        <v>138</v>
      </c>
    </row>
    <row r="5949" spans="1:12" ht="13.5" x14ac:dyDescent="0.25">
      <c r="A5949" s="1930" t="s">
        <v>4818</v>
      </c>
      <c r="B5949" s="1930" t="s">
        <v>4819</v>
      </c>
      <c r="C5949" s="1930" t="s">
        <v>4820</v>
      </c>
      <c r="D5949" s="1930" t="s">
        <v>4821</v>
      </c>
      <c r="E5949" s="1931" t="s">
        <v>33</v>
      </c>
      <c r="F5949" s="1930" t="s">
        <v>33</v>
      </c>
      <c r="G5949" s="1932">
        <v>97660</v>
      </c>
      <c r="H5949" s="1930" t="s">
        <v>5084</v>
      </c>
      <c r="I5949" s="1930" t="s">
        <v>168</v>
      </c>
      <c r="J5949" s="1930" t="s">
        <v>346</v>
      </c>
      <c r="K5949" s="1933">
        <v>0.47</v>
      </c>
      <c r="L5949" s="1930" t="s">
        <v>138</v>
      </c>
    </row>
    <row r="5950" spans="1:12" ht="13.5" x14ac:dyDescent="0.25">
      <c r="A5950" s="1930" t="s">
        <v>4818</v>
      </c>
      <c r="B5950" s="1930" t="s">
        <v>4819</v>
      </c>
      <c r="C5950" s="1930" t="s">
        <v>4820</v>
      </c>
      <c r="D5950" s="1930" t="s">
        <v>4821</v>
      </c>
      <c r="E5950" s="1931" t="s">
        <v>33</v>
      </c>
      <c r="F5950" s="1930" t="s">
        <v>33</v>
      </c>
      <c r="G5950" s="1932">
        <v>97661</v>
      </c>
      <c r="H5950" s="1930" t="s">
        <v>5085</v>
      </c>
      <c r="I5950" s="1930" t="s">
        <v>136</v>
      </c>
      <c r="J5950" s="1930" t="s">
        <v>346</v>
      </c>
      <c r="K5950" s="1933">
        <v>0.47</v>
      </c>
      <c r="L5950" s="1930" t="s">
        <v>138</v>
      </c>
    </row>
    <row r="5951" spans="1:12" ht="13.5" x14ac:dyDescent="0.25">
      <c r="A5951" s="1930" t="s">
        <v>4818</v>
      </c>
      <c r="B5951" s="1930" t="s">
        <v>4819</v>
      </c>
      <c r="C5951" s="1930" t="s">
        <v>4820</v>
      </c>
      <c r="D5951" s="1930" t="s">
        <v>4821</v>
      </c>
      <c r="E5951" s="1931" t="s">
        <v>33</v>
      </c>
      <c r="F5951" s="1930" t="s">
        <v>33</v>
      </c>
      <c r="G5951" s="1932">
        <v>97662</v>
      </c>
      <c r="H5951" s="1930" t="s">
        <v>5086</v>
      </c>
      <c r="I5951" s="1930" t="s">
        <v>136</v>
      </c>
      <c r="J5951" s="1930" t="s">
        <v>346</v>
      </c>
      <c r="K5951" s="1933">
        <v>0.35</v>
      </c>
      <c r="L5951" s="1930" t="s">
        <v>138</v>
      </c>
    </row>
    <row r="5952" spans="1:12" ht="13.5" x14ac:dyDescent="0.25">
      <c r="A5952" s="1930" t="s">
        <v>4818</v>
      </c>
      <c r="B5952" s="1930" t="s">
        <v>4819</v>
      </c>
      <c r="C5952" s="1930" t="s">
        <v>4820</v>
      </c>
      <c r="D5952" s="1930" t="s">
        <v>4821</v>
      </c>
      <c r="E5952" s="1931" t="s">
        <v>33</v>
      </c>
      <c r="F5952" s="1930" t="s">
        <v>33</v>
      </c>
      <c r="G5952" s="1932">
        <v>97663</v>
      </c>
      <c r="H5952" s="1930" t="s">
        <v>5087</v>
      </c>
      <c r="I5952" s="1930" t="s">
        <v>168</v>
      </c>
      <c r="J5952" s="1930" t="s">
        <v>346</v>
      </c>
      <c r="K5952" s="1933">
        <v>8.65</v>
      </c>
      <c r="L5952" s="1930" t="s">
        <v>138</v>
      </c>
    </row>
    <row r="5953" spans="1:12" ht="13.5" x14ac:dyDescent="0.25">
      <c r="A5953" s="1930" t="s">
        <v>4818</v>
      </c>
      <c r="B5953" s="1930" t="s">
        <v>4819</v>
      </c>
      <c r="C5953" s="1930" t="s">
        <v>4820</v>
      </c>
      <c r="D5953" s="1930" t="s">
        <v>4821</v>
      </c>
      <c r="E5953" s="1931" t="s">
        <v>33</v>
      </c>
      <c r="F5953" s="1930" t="s">
        <v>33</v>
      </c>
      <c r="G5953" s="1932">
        <v>97664</v>
      </c>
      <c r="H5953" s="1930" t="s">
        <v>5088</v>
      </c>
      <c r="I5953" s="1930" t="s">
        <v>168</v>
      </c>
      <c r="J5953" s="1930" t="s">
        <v>346</v>
      </c>
      <c r="K5953" s="1933">
        <v>1.07</v>
      </c>
      <c r="L5953" s="1930" t="s">
        <v>138</v>
      </c>
    </row>
    <row r="5954" spans="1:12" ht="13.5" x14ac:dyDescent="0.25">
      <c r="A5954" s="1930" t="s">
        <v>4818</v>
      </c>
      <c r="B5954" s="1930" t="s">
        <v>4819</v>
      </c>
      <c r="C5954" s="1930" t="s">
        <v>4820</v>
      </c>
      <c r="D5954" s="1930" t="s">
        <v>4821</v>
      </c>
      <c r="E5954" s="1931" t="s">
        <v>33</v>
      </c>
      <c r="F5954" s="1930" t="s">
        <v>33</v>
      </c>
      <c r="G5954" s="1932">
        <v>97665</v>
      </c>
      <c r="H5954" s="1930" t="s">
        <v>5089</v>
      </c>
      <c r="I5954" s="1930" t="s">
        <v>168</v>
      </c>
      <c r="J5954" s="1930" t="s">
        <v>346</v>
      </c>
      <c r="K5954" s="1933">
        <v>0.91</v>
      </c>
      <c r="L5954" s="1930" t="s">
        <v>138</v>
      </c>
    </row>
    <row r="5955" spans="1:12" ht="13.5" x14ac:dyDescent="0.25">
      <c r="A5955" s="1930" t="s">
        <v>4818</v>
      </c>
      <c r="B5955" s="1930" t="s">
        <v>4819</v>
      </c>
      <c r="C5955" s="1930" t="s">
        <v>4820</v>
      </c>
      <c r="D5955" s="1930" t="s">
        <v>4821</v>
      </c>
      <c r="E5955" s="1931" t="s">
        <v>33</v>
      </c>
      <c r="F5955" s="1930" t="s">
        <v>33</v>
      </c>
      <c r="G5955" s="1932">
        <v>97666</v>
      </c>
      <c r="H5955" s="1930" t="s">
        <v>5090</v>
      </c>
      <c r="I5955" s="1930" t="s">
        <v>168</v>
      </c>
      <c r="J5955" s="1930" t="s">
        <v>346</v>
      </c>
      <c r="K5955" s="1933">
        <v>6.31</v>
      </c>
      <c r="L5955" s="1930" t="s">
        <v>138</v>
      </c>
    </row>
    <row r="5956" spans="1:12" ht="13.5" x14ac:dyDescent="0.25">
      <c r="A5956" s="1930" t="s">
        <v>4822</v>
      </c>
      <c r="B5956" s="1930" t="s">
        <v>4823</v>
      </c>
      <c r="C5956" s="1930" t="s">
        <v>4824</v>
      </c>
      <c r="D5956" s="1930" t="s">
        <v>4825</v>
      </c>
      <c r="E5956" s="1931" t="s">
        <v>33</v>
      </c>
      <c r="F5956" s="1930" t="s">
        <v>33</v>
      </c>
      <c r="G5956" s="1932">
        <v>95967</v>
      </c>
      <c r="H5956" s="1930" t="s">
        <v>4240</v>
      </c>
      <c r="I5956" s="1930" t="s">
        <v>65</v>
      </c>
      <c r="J5956" s="1930" t="s">
        <v>320</v>
      </c>
      <c r="K5956" s="1933">
        <v>101.41</v>
      </c>
      <c r="L5956" s="1930" t="s">
        <v>138</v>
      </c>
    </row>
    <row r="5957" spans="1:12" ht="13.5" x14ac:dyDescent="0.25">
      <c r="A5957" s="1930" t="s">
        <v>4822</v>
      </c>
      <c r="B5957" s="1930" t="s">
        <v>4823</v>
      </c>
      <c r="C5957" s="1930" t="s">
        <v>4826</v>
      </c>
      <c r="D5957" s="1930" t="s">
        <v>4827</v>
      </c>
      <c r="E5957" s="1931" t="s">
        <v>33</v>
      </c>
      <c r="F5957" s="1930" t="s">
        <v>33</v>
      </c>
      <c r="G5957" s="1932">
        <v>99058</v>
      </c>
      <c r="H5957" s="1930" t="s">
        <v>6657</v>
      </c>
      <c r="I5957" s="1930" t="s">
        <v>168</v>
      </c>
      <c r="J5957" s="1930" t="s">
        <v>137</v>
      </c>
      <c r="K5957" s="1933">
        <v>6.53</v>
      </c>
      <c r="L5957" s="1930" t="s">
        <v>138</v>
      </c>
    </row>
    <row r="5958" spans="1:12" ht="13.5" x14ac:dyDescent="0.25">
      <c r="A5958" s="1930" t="s">
        <v>4822</v>
      </c>
      <c r="B5958" s="1930" t="s">
        <v>4823</v>
      </c>
      <c r="C5958" s="1930" t="s">
        <v>4826</v>
      </c>
      <c r="D5958" s="1930" t="s">
        <v>4827</v>
      </c>
      <c r="E5958" s="1931" t="s">
        <v>33</v>
      </c>
      <c r="F5958" s="1930" t="s">
        <v>33</v>
      </c>
      <c r="G5958" s="1932">
        <v>99059</v>
      </c>
      <c r="H5958" s="1930" t="s">
        <v>6658</v>
      </c>
      <c r="I5958" s="1930" t="s">
        <v>136</v>
      </c>
      <c r="J5958" s="1930" t="s">
        <v>320</v>
      </c>
      <c r="K5958" s="1933">
        <v>38.11</v>
      </c>
      <c r="L5958" s="1930" t="s">
        <v>138</v>
      </c>
    </row>
    <row r="5959" spans="1:12" ht="13.5" x14ac:dyDescent="0.25">
      <c r="A5959" s="1930" t="s">
        <v>4822</v>
      </c>
      <c r="B5959" s="1930" t="s">
        <v>4823</v>
      </c>
      <c r="C5959" s="1930" t="s">
        <v>4826</v>
      </c>
      <c r="D5959" s="1930" t="s">
        <v>4827</v>
      </c>
      <c r="E5959" s="1931" t="s">
        <v>33</v>
      </c>
      <c r="F5959" s="1930" t="s">
        <v>33</v>
      </c>
      <c r="G5959" s="1932">
        <v>99060</v>
      </c>
      <c r="H5959" s="1930" t="s">
        <v>6659</v>
      </c>
      <c r="I5959" s="1930" t="s">
        <v>168</v>
      </c>
      <c r="J5959" s="1930" t="s">
        <v>320</v>
      </c>
      <c r="K5959" s="1933">
        <v>100.7</v>
      </c>
      <c r="L5959" s="1930" t="s">
        <v>138</v>
      </c>
    </row>
    <row r="5960" spans="1:12" ht="13.5" x14ac:dyDescent="0.25">
      <c r="A5960" s="1930" t="s">
        <v>4822</v>
      </c>
      <c r="B5960" s="1930" t="s">
        <v>4823</v>
      </c>
      <c r="C5960" s="1930" t="s">
        <v>4826</v>
      </c>
      <c r="D5960" s="1930" t="s">
        <v>4827</v>
      </c>
      <c r="E5960" s="1931" t="s">
        <v>33</v>
      </c>
      <c r="F5960" s="1930" t="s">
        <v>33</v>
      </c>
      <c r="G5960" s="1932">
        <v>99061</v>
      </c>
      <c r="H5960" s="1930" t="s">
        <v>6660</v>
      </c>
      <c r="I5960" s="1930" t="s">
        <v>168</v>
      </c>
      <c r="J5960" s="1930" t="s">
        <v>320</v>
      </c>
      <c r="K5960" s="1933">
        <v>66.52</v>
      </c>
      <c r="L5960" s="1930" t="s">
        <v>138</v>
      </c>
    </row>
    <row r="5961" spans="1:12" ht="13.5" x14ac:dyDescent="0.25">
      <c r="A5961" s="1930" t="s">
        <v>4822</v>
      </c>
      <c r="B5961" s="1930" t="s">
        <v>4823</v>
      </c>
      <c r="C5961" s="1930" t="s">
        <v>4826</v>
      </c>
      <c r="D5961" s="1930" t="s">
        <v>4827</v>
      </c>
      <c r="E5961" s="1931" t="s">
        <v>33</v>
      </c>
      <c r="F5961" s="1930" t="s">
        <v>33</v>
      </c>
      <c r="G5961" s="1932">
        <v>99062</v>
      </c>
      <c r="H5961" s="1930" t="s">
        <v>6661</v>
      </c>
      <c r="I5961" s="1930" t="s">
        <v>168</v>
      </c>
      <c r="J5961" s="1930" t="s">
        <v>320</v>
      </c>
      <c r="K5961" s="1933">
        <v>1.86</v>
      </c>
      <c r="L5961" s="1930" t="s">
        <v>138</v>
      </c>
    </row>
    <row r="5962" spans="1:12" ht="13.5" x14ac:dyDescent="0.25">
      <c r="A5962" s="1930" t="s">
        <v>4822</v>
      </c>
      <c r="B5962" s="1930" t="s">
        <v>4823</v>
      </c>
      <c r="C5962" s="1930" t="s">
        <v>4826</v>
      </c>
      <c r="D5962" s="1930" t="s">
        <v>4827</v>
      </c>
      <c r="E5962" s="1931" t="s">
        <v>33</v>
      </c>
      <c r="F5962" s="1930" t="s">
        <v>33</v>
      </c>
      <c r="G5962" s="1932">
        <v>99063</v>
      </c>
      <c r="H5962" s="1930" t="s">
        <v>6662</v>
      </c>
      <c r="I5962" s="1930" t="s">
        <v>136</v>
      </c>
      <c r="J5962" s="1930" t="s">
        <v>320</v>
      </c>
      <c r="K5962" s="1933">
        <v>3.32</v>
      </c>
      <c r="L5962" s="1930" t="s">
        <v>138</v>
      </c>
    </row>
    <row r="5963" spans="1:12" ht="13.5" x14ac:dyDescent="0.25">
      <c r="A5963" s="1930" t="s">
        <v>4822</v>
      </c>
      <c r="B5963" s="1930" t="s">
        <v>4823</v>
      </c>
      <c r="C5963" s="1930" t="s">
        <v>4826</v>
      </c>
      <c r="D5963" s="1930" t="s">
        <v>4827</v>
      </c>
      <c r="E5963" s="1931" t="s">
        <v>33</v>
      </c>
      <c r="F5963" s="1930" t="s">
        <v>33</v>
      </c>
      <c r="G5963" s="1932">
        <v>99064</v>
      </c>
      <c r="H5963" s="1930" t="s">
        <v>6663</v>
      </c>
      <c r="I5963" s="1930" t="s">
        <v>136</v>
      </c>
      <c r="J5963" s="1930" t="s">
        <v>137</v>
      </c>
      <c r="K5963" s="1933">
        <v>0.32</v>
      </c>
      <c r="L5963" s="1930" t="s">
        <v>138</v>
      </c>
    </row>
    <row r="5964" spans="1:12" ht="13.5" x14ac:dyDescent="0.25">
      <c r="A5964" s="1930" t="s">
        <v>4828</v>
      </c>
      <c r="B5964" s="1930" t="s">
        <v>4829</v>
      </c>
      <c r="C5964" s="1930" t="s">
        <v>4830</v>
      </c>
      <c r="D5964" s="1930" t="s">
        <v>4831</v>
      </c>
      <c r="E5964" s="1931" t="s">
        <v>33</v>
      </c>
      <c r="F5964" s="1930" t="s">
        <v>33</v>
      </c>
      <c r="G5964" s="1932">
        <v>93588</v>
      </c>
      <c r="H5964" s="1930" t="s">
        <v>4241</v>
      </c>
      <c r="I5964" s="1930" t="s">
        <v>3531</v>
      </c>
      <c r="J5964" s="1930" t="s">
        <v>137</v>
      </c>
      <c r="K5964" s="1933">
        <v>1.37</v>
      </c>
      <c r="L5964" s="1930" t="s">
        <v>138</v>
      </c>
    </row>
    <row r="5965" spans="1:12" ht="13.5" x14ac:dyDescent="0.25">
      <c r="A5965" s="1930" t="s">
        <v>4828</v>
      </c>
      <c r="B5965" s="1930" t="s">
        <v>4829</v>
      </c>
      <c r="C5965" s="1930" t="s">
        <v>4830</v>
      </c>
      <c r="D5965" s="1930" t="s">
        <v>4831</v>
      </c>
      <c r="E5965" s="1931" t="s">
        <v>33</v>
      </c>
      <c r="F5965" s="1930" t="s">
        <v>33</v>
      </c>
      <c r="G5965" s="1932">
        <v>93589</v>
      </c>
      <c r="H5965" s="1930" t="s">
        <v>4242</v>
      </c>
      <c r="I5965" s="1930" t="s">
        <v>3531</v>
      </c>
      <c r="J5965" s="1930" t="s">
        <v>137</v>
      </c>
      <c r="K5965" s="1933">
        <v>1.05</v>
      </c>
      <c r="L5965" s="1930" t="s">
        <v>138</v>
      </c>
    </row>
    <row r="5966" spans="1:12" ht="13.5" x14ac:dyDescent="0.25">
      <c r="A5966" s="1930" t="s">
        <v>4828</v>
      </c>
      <c r="B5966" s="1930" t="s">
        <v>4829</v>
      </c>
      <c r="C5966" s="1930" t="s">
        <v>4830</v>
      </c>
      <c r="D5966" s="1930" t="s">
        <v>4831</v>
      </c>
      <c r="E5966" s="1931" t="s">
        <v>33</v>
      </c>
      <c r="F5966" s="1930" t="s">
        <v>33</v>
      </c>
      <c r="G5966" s="1932">
        <v>93590</v>
      </c>
      <c r="H5966" s="1930" t="s">
        <v>4243</v>
      </c>
      <c r="I5966" s="1930" t="s">
        <v>3531</v>
      </c>
      <c r="J5966" s="1930" t="s">
        <v>137</v>
      </c>
      <c r="K5966" s="1933">
        <v>0.69</v>
      </c>
      <c r="L5966" s="1930" t="s">
        <v>138</v>
      </c>
    </row>
    <row r="5967" spans="1:12" ht="13.5" x14ac:dyDescent="0.25">
      <c r="A5967" s="1930" t="s">
        <v>4828</v>
      </c>
      <c r="B5967" s="1930" t="s">
        <v>4829</v>
      </c>
      <c r="C5967" s="1930" t="s">
        <v>4830</v>
      </c>
      <c r="D5967" s="1930" t="s">
        <v>4831</v>
      </c>
      <c r="E5967" s="1931" t="s">
        <v>33</v>
      </c>
      <c r="F5967" s="1930" t="s">
        <v>33</v>
      </c>
      <c r="G5967" s="1932">
        <v>93591</v>
      </c>
      <c r="H5967" s="1930" t="s">
        <v>4244</v>
      </c>
      <c r="I5967" s="1930" t="s">
        <v>3531</v>
      </c>
      <c r="J5967" s="1930" t="s">
        <v>137</v>
      </c>
      <c r="K5967" s="1933">
        <v>1.23</v>
      </c>
      <c r="L5967" s="1930" t="s">
        <v>138</v>
      </c>
    </row>
    <row r="5968" spans="1:12" ht="13.5" x14ac:dyDescent="0.25">
      <c r="A5968" s="1930" t="s">
        <v>4828</v>
      </c>
      <c r="B5968" s="1930" t="s">
        <v>4829</v>
      </c>
      <c r="C5968" s="1930" t="s">
        <v>4830</v>
      </c>
      <c r="D5968" s="1930" t="s">
        <v>4831</v>
      </c>
      <c r="E5968" s="1931" t="s">
        <v>33</v>
      </c>
      <c r="F5968" s="1930" t="s">
        <v>33</v>
      </c>
      <c r="G5968" s="1932">
        <v>93592</v>
      </c>
      <c r="H5968" s="1930" t="s">
        <v>4245</v>
      </c>
      <c r="I5968" s="1930" t="s">
        <v>3531</v>
      </c>
      <c r="J5968" s="1930" t="s">
        <v>137</v>
      </c>
      <c r="K5968" s="1933">
        <v>0.93</v>
      </c>
      <c r="L5968" s="1930" t="s">
        <v>138</v>
      </c>
    </row>
    <row r="5969" spans="1:12" ht="13.5" x14ac:dyDescent="0.25">
      <c r="A5969" s="1930" t="s">
        <v>4828</v>
      </c>
      <c r="B5969" s="1930" t="s">
        <v>4829</v>
      </c>
      <c r="C5969" s="1930" t="s">
        <v>4830</v>
      </c>
      <c r="D5969" s="1930" t="s">
        <v>4831</v>
      </c>
      <c r="E5969" s="1931" t="s">
        <v>33</v>
      </c>
      <c r="F5969" s="1930" t="s">
        <v>33</v>
      </c>
      <c r="G5969" s="1932">
        <v>93593</v>
      </c>
      <c r="H5969" s="1930" t="s">
        <v>4246</v>
      </c>
      <c r="I5969" s="1930" t="s">
        <v>3531</v>
      </c>
      <c r="J5969" s="1930" t="s">
        <v>137</v>
      </c>
      <c r="K5969" s="1933">
        <v>0.62</v>
      </c>
      <c r="L5969" s="1930" t="s">
        <v>138</v>
      </c>
    </row>
    <row r="5970" spans="1:12" ht="13.5" x14ac:dyDescent="0.25">
      <c r="A5970" s="1930" t="s">
        <v>4828</v>
      </c>
      <c r="B5970" s="1930" t="s">
        <v>4829</v>
      </c>
      <c r="C5970" s="1930" t="s">
        <v>4830</v>
      </c>
      <c r="D5970" s="1930" t="s">
        <v>4831</v>
      </c>
      <c r="E5970" s="1931" t="s">
        <v>33</v>
      </c>
      <c r="F5970" s="1930" t="s">
        <v>33</v>
      </c>
      <c r="G5970" s="1932">
        <v>93594</v>
      </c>
      <c r="H5970" s="1930" t="s">
        <v>5150</v>
      </c>
      <c r="I5970" s="1930" t="s">
        <v>3520</v>
      </c>
      <c r="J5970" s="1930" t="s">
        <v>137</v>
      </c>
      <c r="K5970" s="1933">
        <v>0.91</v>
      </c>
      <c r="L5970" s="1930" t="s">
        <v>138</v>
      </c>
    </row>
    <row r="5971" spans="1:12" ht="13.5" x14ac:dyDescent="0.25">
      <c r="A5971" s="1930" t="s">
        <v>4828</v>
      </c>
      <c r="B5971" s="1930" t="s">
        <v>4829</v>
      </c>
      <c r="C5971" s="1930" t="s">
        <v>4830</v>
      </c>
      <c r="D5971" s="1930" t="s">
        <v>4831</v>
      </c>
      <c r="E5971" s="1931" t="s">
        <v>33</v>
      </c>
      <c r="F5971" s="1930" t="s">
        <v>33</v>
      </c>
      <c r="G5971" s="1932">
        <v>93595</v>
      </c>
      <c r="H5971" s="1930" t="s">
        <v>5151</v>
      </c>
      <c r="I5971" s="1930" t="s">
        <v>3520</v>
      </c>
      <c r="J5971" s="1930" t="s">
        <v>137</v>
      </c>
      <c r="K5971" s="1933">
        <v>0.69</v>
      </c>
      <c r="L5971" s="1930" t="s">
        <v>138</v>
      </c>
    </row>
    <row r="5972" spans="1:12" ht="13.5" x14ac:dyDescent="0.25">
      <c r="A5972" s="1930" t="s">
        <v>4828</v>
      </c>
      <c r="B5972" s="1930" t="s">
        <v>4829</v>
      </c>
      <c r="C5972" s="1930" t="s">
        <v>4830</v>
      </c>
      <c r="D5972" s="1930" t="s">
        <v>4831</v>
      </c>
      <c r="E5972" s="1931" t="s">
        <v>33</v>
      </c>
      <c r="F5972" s="1930" t="s">
        <v>33</v>
      </c>
      <c r="G5972" s="1932">
        <v>93596</v>
      </c>
      <c r="H5972" s="1930" t="s">
        <v>5152</v>
      </c>
      <c r="I5972" s="1930" t="s">
        <v>3520</v>
      </c>
      <c r="J5972" s="1930" t="s">
        <v>137</v>
      </c>
      <c r="K5972" s="1933">
        <v>0.46</v>
      </c>
      <c r="L5972" s="1930" t="s">
        <v>138</v>
      </c>
    </row>
    <row r="5973" spans="1:12" ht="13.5" x14ac:dyDescent="0.25">
      <c r="A5973" s="1930" t="s">
        <v>4828</v>
      </c>
      <c r="B5973" s="1930" t="s">
        <v>4829</v>
      </c>
      <c r="C5973" s="1930" t="s">
        <v>4830</v>
      </c>
      <c r="D5973" s="1930" t="s">
        <v>4831</v>
      </c>
      <c r="E5973" s="1931" t="s">
        <v>33</v>
      </c>
      <c r="F5973" s="1930" t="s">
        <v>33</v>
      </c>
      <c r="G5973" s="1932">
        <v>93597</v>
      </c>
      <c r="H5973" s="1930" t="s">
        <v>5153</v>
      </c>
      <c r="I5973" s="1930" t="s">
        <v>3520</v>
      </c>
      <c r="J5973" s="1930" t="s">
        <v>137</v>
      </c>
      <c r="K5973" s="1933">
        <v>0.82</v>
      </c>
      <c r="L5973" s="1930" t="s">
        <v>138</v>
      </c>
    </row>
    <row r="5974" spans="1:12" ht="13.5" x14ac:dyDescent="0.25">
      <c r="A5974" s="1930" t="s">
        <v>4828</v>
      </c>
      <c r="B5974" s="1930" t="s">
        <v>4829</v>
      </c>
      <c r="C5974" s="1930" t="s">
        <v>4830</v>
      </c>
      <c r="D5974" s="1930" t="s">
        <v>4831</v>
      </c>
      <c r="E5974" s="1931" t="s">
        <v>33</v>
      </c>
      <c r="F5974" s="1930" t="s">
        <v>33</v>
      </c>
      <c r="G5974" s="1932">
        <v>93598</v>
      </c>
      <c r="H5974" s="1930" t="s">
        <v>5154</v>
      </c>
      <c r="I5974" s="1930" t="s">
        <v>3520</v>
      </c>
      <c r="J5974" s="1930" t="s">
        <v>137</v>
      </c>
      <c r="K5974" s="1933">
        <v>0.62</v>
      </c>
      <c r="L5974" s="1930" t="s">
        <v>138</v>
      </c>
    </row>
    <row r="5975" spans="1:12" ht="13.5" x14ac:dyDescent="0.25">
      <c r="A5975" s="1930" t="s">
        <v>4828</v>
      </c>
      <c r="B5975" s="1930" t="s">
        <v>4829</v>
      </c>
      <c r="C5975" s="1930" t="s">
        <v>4830</v>
      </c>
      <c r="D5975" s="1930" t="s">
        <v>4831</v>
      </c>
      <c r="E5975" s="1931" t="s">
        <v>33</v>
      </c>
      <c r="F5975" s="1930" t="s">
        <v>33</v>
      </c>
      <c r="G5975" s="1932">
        <v>93599</v>
      </c>
      <c r="H5975" s="1930" t="s">
        <v>5155</v>
      </c>
      <c r="I5975" s="1930" t="s">
        <v>3520</v>
      </c>
      <c r="J5975" s="1930" t="s">
        <v>137</v>
      </c>
      <c r="K5975" s="1933">
        <v>0.42</v>
      </c>
      <c r="L5975" s="1930" t="s">
        <v>138</v>
      </c>
    </row>
    <row r="5976" spans="1:12" ht="13.5" x14ac:dyDescent="0.25">
      <c r="A5976" s="1930" t="s">
        <v>4828</v>
      </c>
      <c r="B5976" s="1930" t="s">
        <v>4829</v>
      </c>
      <c r="C5976" s="1930" t="s">
        <v>4830</v>
      </c>
      <c r="D5976" s="1930" t="s">
        <v>4831</v>
      </c>
      <c r="E5976" s="1931" t="s">
        <v>33</v>
      </c>
      <c r="F5976" s="1930" t="s">
        <v>33</v>
      </c>
      <c r="G5976" s="1932">
        <v>95425</v>
      </c>
      <c r="H5976" s="1930" t="s">
        <v>4247</v>
      </c>
      <c r="I5976" s="1930" t="s">
        <v>3531</v>
      </c>
      <c r="J5976" s="1930" t="s">
        <v>137</v>
      </c>
      <c r="K5976" s="1933">
        <v>1.06</v>
      </c>
      <c r="L5976" s="1930" t="s">
        <v>138</v>
      </c>
    </row>
    <row r="5977" spans="1:12" ht="13.5" x14ac:dyDescent="0.25">
      <c r="A5977" s="1930" t="s">
        <v>4828</v>
      </c>
      <c r="B5977" s="1930" t="s">
        <v>4829</v>
      </c>
      <c r="C5977" s="1930" t="s">
        <v>4830</v>
      </c>
      <c r="D5977" s="1930" t="s">
        <v>4831</v>
      </c>
      <c r="E5977" s="1931" t="s">
        <v>33</v>
      </c>
      <c r="F5977" s="1930" t="s">
        <v>33</v>
      </c>
      <c r="G5977" s="1932">
        <v>95426</v>
      </c>
      <c r="H5977" s="1930" t="s">
        <v>4248</v>
      </c>
      <c r="I5977" s="1930" t="s">
        <v>3531</v>
      </c>
      <c r="J5977" s="1930" t="s">
        <v>137</v>
      </c>
      <c r="K5977" s="1933">
        <v>0.8</v>
      </c>
      <c r="L5977" s="1930" t="s">
        <v>138</v>
      </c>
    </row>
    <row r="5978" spans="1:12" ht="13.5" x14ac:dyDescent="0.25">
      <c r="A5978" s="1930" t="s">
        <v>4828</v>
      </c>
      <c r="B5978" s="1930" t="s">
        <v>4829</v>
      </c>
      <c r="C5978" s="1930" t="s">
        <v>4830</v>
      </c>
      <c r="D5978" s="1930" t="s">
        <v>4831</v>
      </c>
      <c r="E5978" s="1931" t="s">
        <v>33</v>
      </c>
      <c r="F5978" s="1930" t="s">
        <v>33</v>
      </c>
      <c r="G5978" s="1932">
        <v>95427</v>
      </c>
      <c r="H5978" s="1930" t="s">
        <v>4249</v>
      </c>
      <c r="I5978" s="1930" t="s">
        <v>3531</v>
      </c>
      <c r="J5978" s="1930" t="s">
        <v>137</v>
      </c>
      <c r="K5978" s="1933">
        <v>0.53</v>
      </c>
      <c r="L5978" s="1930" t="s">
        <v>138</v>
      </c>
    </row>
    <row r="5979" spans="1:12" ht="13.5" x14ac:dyDescent="0.25">
      <c r="A5979" s="1930" t="s">
        <v>4828</v>
      </c>
      <c r="B5979" s="1930" t="s">
        <v>4829</v>
      </c>
      <c r="C5979" s="1930" t="s">
        <v>4830</v>
      </c>
      <c r="D5979" s="1930" t="s">
        <v>4831</v>
      </c>
      <c r="E5979" s="1931" t="s">
        <v>33</v>
      </c>
      <c r="F5979" s="1930" t="s">
        <v>33</v>
      </c>
      <c r="G5979" s="1932">
        <v>95428</v>
      </c>
      <c r="H5979" s="1930" t="s">
        <v>5156</v>
      </c>
      <c r="I5979" s="1930" t="s">
        <v>3520</v>
      </c>
      <c r="J5979" s="1930" t="s">
        <v>137</v>
      </c>
      <c r="K5979" s="1933">
        <v>0.7</v>
      </c>
      <c r="L5979" s="1930" t="s">
        <v>138</v>
      </c>
    </row>
    <row r="5980" spans="1:12" ht="13.5" x14ac:dyDescent="0.25">
      <c r="A5980" s="1930" t="s">
        <v>4828</v>
      </c>
      <c r="B5980" s="1930" t="s">
        <v>4829</v>
      </c>
      <c r="C5980" s="1930" t="s">
        <v>4830</v>
      </c>
      <c r="D5980" s="1930" t="s">
        <v>4831</v>
      </c>
      <c r="E5980" s="1931" t="s">
        <v>33</v>
      </c>
      <c r="F5980" s="1930" t="s">
        <v>33</v>
      </c>
      <c r="G5980" s="1932">
        <v>95429</v>
      </c>
      <c r="H5980" s="1930" t="s">
        <v>5157</v>
      </c>
      <c r="I5980" s="1930" t="s">
        <v>3520</v>
      </c>
      <c r="J5980" s="1930" t="s">
        <v>137</v>
      </c>
      <c r="K5980" s="1933">
        <v>0.53</v>
      </c>
      <c r="L5980" s="1930" t="s">
        <v>138</v>
      </c>
    </row>
    <row r="5981" spans="1:12" ht="13.5" x14ac:dyDescent="0.25">
      <c r="A5981" s="1930" t="s">
        <v>4828</v>
      </c>
      <c r="B5981" s="1930" t="s">
        <v>4829</v>
      </c>
      <c r="C5981" s="1930" t="s">
        <v>4830</v>
      </c>
      <c r="D5981" s="1930" t="s">
        <v>4831</v>
      </c>
      <c r="E5981" s="1931" t="s">
        <v>33</v>
      </c>
      <c r="F5981" s="1930" t="s">
        <v>33</v>
      </c>
      <c r="G5981" s="1932">
        <v>95430</v>
      </c>
      <c r="H5981" s="1930" t="s">
        <v>5158</v>
      </c>
      <c r="I5981" s="1930" t="s">
        <v>3520</v>
      </c>
      <c r="J5981" s="1930" t="s">
        <v>137</v>
      </c>
      <c r="K5981" s="1933">
        <v>0.35</v>
      </c>
      <c r="L5981" s="1930" t="s">
        <v>138</v>
      </c>
    </row>
    <row r="5982" spans="1:12" ht="13.5" x14ac:dyDescent="0.25">
      <c r="A5982" s="1930" t="s">
        <v>4828</v>
      </c>
      <c r="B5982" s="1930" t="s">
        <v>4829</v>
      </c>
      <c r="C5982" s="1930" t="s">
        <v>4830</v>
      </c>
      <c r="D5982" s="1930" t="s">
        <v>4831</v>
      </c>
      <c r="E5982" s="1931" t="s">
        <v>33</v>
      </c>
      <c r="F5982" s="1930" t="s">
        <v>33</v>
      </c>
      <c r="G5982" s="1932">
        <v>95875</v>
      </c>
      <c r="H5982" s="1930" t="s">
        <v>4250</v>
      </c>
      <c r="I5982" s="1930" t="s">
        <v>3531</v>
      </c>
      <c r="J5982" s="1930" t="s">
        <v>137</v>
      </c>
      <c r="K5982" s="1933">
        <v>0.98</v>
      </c>
      <c r="L5982" s="1930" t="s">
        <v>138</v>
      </c>
    </row>
    <row r="5983" spans="1:12" ht="13.5" x14ac:dyDescent="0.25">
      <c r="A5983" s="1930" t="s">
        <v>4828</v>
      </c>
      <c r="B5983" s="1930" t="s">
        <v>4829</v>
      </c>
      <c r="C5983" s="1930" t="s">
        <v>4830</v>
      </c>
      <c r="D5983" s="1930" t="s">
        <v>4831</v>
      </c>
      <c r="E5983" s="1931" t="s">
        <v>33</v>
      </c>
      <c r="F5983" s="1930" t="s">
        <v>33</v>
      </c>
      <c r="G5983" s="1932">
        <v>95876</v>
      </c>
      <c r="H5983" s="1930" t="s">
        <v>4251</v>
      </c>
      <c r="I5983" s="1930" t="s">
        <v>3531</v>
      </c>
      <c r="J5983" s="1930" t="s">
        <v>137</v>
      </c>
      <c r="K5983" s="1933">
        <v>0.88</v>
      </c>
      <c r="L5983" s="1930" t="s">
        <v>138</v>
      </c>
    </row>
    <row r="5984" spans="1:12" ht="13.5" x14ac:dyDescent="0.25">
      <c r="A5984" s="1930" t="s">
        <v>4828</v>
      </c>
      <c r="B5984" s="1930" t="s">
        <v>4829</v>
      </c>
      <c r="C5984" s="1930" t="s">
        <v>4830</v>
      </c>
      <c r="D5984" s="1930" t="s">
        <v>4831</v>
      </c>
      <c r="E5984" s="1931" t="s">
        <v>33</v>
      </c>
      <c r="F5984" s="1930" t="s">
        <v>33</v>
      </c>
      <c r="G5984" s="1932">
        <v>95877</v>
      </c>
      <c r="H5984" s="1930" t="s">
        <v>4252</v>
      </c>
      <c r="I5984" s="1930" t="s">
        <v>3531</v>
      </c>
      <c r="J5984" s="1930" t="s">
        <v>137</v>
      </c>
      <c r="K5984" s="1933">
        <v>0.75</v>
      </c>
      <c r="L5984" s="1930" t="s">
        <v>138</v>
      </c>
    </row>
    <row r="5985" spans="1:12" ht="13.5" x14ac:dyDescent="0.25">
      <c r="A5985" s="1930" t="s">
        <v>4828</v>
      </c>
      <c r="B5985" s="1930" t="s">
        <v>4829</v>
      </c>
      <c r="C5985" s="1930" t="s">
        <v>4830</v>
      </c>
      <c r="D5985" s="1930" t="s">
        <v>4831</v>
      </c>
      <c r="E5985" s="1931" t="s">
        <v>33</v>
      </c>
      <c r="F5985" s="1930" t="s">
        <v>33</v>
      </c>
      <c r="G5985" s="1932">
        <v>95878</v>
      </c>
      <c r="H5985" s="1930" t="s">
        <v>5159</v>
      </c>
      <c r="I5985" s="1930" t="s">
        <v>3520</v>
      </c>
      <c r="J5985" s="1930" t="s">
        <v>137</v>
      </c>
      <c r="K5985" s="1933">
        <v>0.65</v>
      </c>
      <c r="L5985" s="1930" t="s">
        <v>138</v>
      </c>
    </row>
    <row r="5986" spans="1:12" ht="13.5" x14ac:dyDescent="0.25">
      <c r="A5986" s="1930" t="s">
        <v>4828</v>
      </c>
      <c r="B5986" s="1930" t="s">
        <v>4829</v>
      </c>
      <c r="C5986" s="1930" t="s">
        <v>4830</v>
      </c>
      <c r="D5986" s="1930" t="s">
        <v>4831</v>
      </c>
      <c r="E5986" s="1931" t="s">
        <v>33</v>
      </c>
      <c r="F5986" s="1930" t="s">
        <v>33</v>
      </c>
      <c r="G5986" s="1932">
        <v>95879</v>
      </c>
      <c r="H5986" s="1930" t="s">
        <v>5160</v>
      </c>
      <c r="I5986" s="1930" t="s">
        <v>3520</v>
      </c>
      <c r="J5986" s="1930" t="s">
        <v>137</v>
      </c>
      <c r="K5986" s="1933">
        <v>0.59</v>
      </c>
      <c r="L5986" s="1930" t="s">
        <v>138</v>
      </c>
    </row>
    <row r="5987" spans="1:12" ht="13.5" x14ac:dyDescent="0.25">
      <c r="A5987" s="1930" t="s">
        <v>4828</v>
      </c>
      <c r="B5987" s="1930" t="s">
        <v>4829</v>
      </c>
      <c r="C5987" s="1930" t="s">
        <v>4830</v>
      </c>
      <c r="D5987" s="1930" t="s">
        <v>4831</v>
      </c>
      <c r="E5987" s="1931" t="s">
        <v>33</v>
      </c>
      <c r="F5987" s="1930" t="s">
        <v>33</v>
      </c>
      <c r="G5987" s="1932">
        <v>95880</v>
      </c>
      <c r="H5987" s="1930" t="s">
        <v>5161</v>
      </c>
      <c r="I5987" s="1930" t="s">
        <v>3520</v>
      </c>
      <c r="J5987" s="1930" t="s">
        <v>137</v>
      </c>
      <c r="K5987" s="1933">
        <v>0.5</v>
      </c>
      <c r="L5987" s="1930" t="s">
        <v>138</v>
      </c>
    </row>
    <row r="5988" spans="1:12" ht="13.5" x14ac:dyDescent="0.25">
      <c r="A5988" s="1930" t="s">
        <v>4828</v>
      </c>
      <c r="B5988" s="1930" t="s">
        <v>4829</v>
      </c>
      <c r="C5988" s="1930" t="s">
        <v>4830</v>
      </c>
      <c r="D5988" s="1930" t="s">
        <v>4831</v>
      </c>
      <c r="E5988" s="1931" t="s">
        <v>33</v>
      </c>
      <c r="F5988" s="1930" t="s">
        <v>33</v>
      </c>
      <c r="G5988" s="1932">
        <v>97912</v>
      </c>
      <c r="H5988" s="1930" t="s">
        <v>5142</v>
      </c>
      <c r="I5988" s="1930" t="s">
        <v>3531</v>
      </c>
      <c r="J5988" s="1930" t="s">
        <v>137</v>
      </c>
      <c r="K5988" s="1933">
        <v>1.63</v>
      </c>
      <c r="L5988" s="1930" t="s">
        <v>138</v>
      </c>
    </row>
    <row r="5989" spans="1:12" ht="13.5" x14ac:dyDescent="0.25">
      <c r="A5989" s="1930" t="s">
        <v>4828</v>
      </c>
      <c r="B5989" s="1930" t="s">
        <v>4829</v>
      </c>
      <c r="C5989" s="1930" t="s">
        <v>4830</v>
      </c>
      <c r="D5989" s="1930" t="s">
        <v>4831</v>
      </c>
      <c r="E5989" s="1931" t="s">
        <v>33</v>
      </c>
      <c r="F5989" s="1930" t="s">
        <v>33</v>
      </c>
      <c r="G5989" s="1932">
        <v>97913</v>
      </c>
      <c r="H5989" s="1930" t="s">
        <v>5143</v>
      </c>
      <c r="I5989" s="1930" t="s">
        <v>3531</v>
      </c>
      <c r="J5989" s="1930" t="s">
        <v>137</v>
      </c>
      <c r="K5989" s="1933">
        <v>1.25</v>
      </c>
      <c r="L5989" s="1930" t="s">
        <v>138</v>
      </c>
    </row>
    <row r="5990" spans="1:12" ht="13.5" x14ac:dyDescent="0.25">
      <c r="A5990" s="1930" t="s">
        <v>4828</v>
      </c>
      <c r="B5990" s="1930" t="s">
        <v>4829</v>
      </c>
      <c r="C5990" s="1930" t="s">
        <v>4830</v>
      </c>
      <c r="D5990" s="1930" t="s">
        <v>4831</v>
      </c>
      <c r="E5990" s="1931" t="s">
        <v>33</v>
      </c>
      <c r="F5990" s="1930" t="s">
        <v>33</v>
      </c>
      <c r="G5990" s="1932">
        <v>97914</v>
      </c>
      <c r="H5990" s="1930" t="s">
        <v>5144</v>
      </c>
      <c r="I5990" s="1930" t="s">
        <v>3531</v>
      </c>
      <c r="J5990" s="1930" t="s">
        <v>137</v>
      </c>
      <c r="K5990" s="1933">
        <v>1.17</v>
      </c>
      <c r="L5990" s="1930" t="s">
        <v>138</v>
      </c>
    </row>
    <row r="5991" spans="1:12" ht="13.5" x14ac:dyDescent="0.25">
      <c r="A5991" s="1930" t="s">
        <v>4828</v>
      </c>
      <c r="B5991" s="1930" t="s">
        <v>4829</v>
      </c>
      <c r="C5991" s="1930" t="s">
        <v>4830</v>
      </c>
      <c r="D5991" s="1930" t="s">
        <v>4831</v>
      </c>
      <c r="E5991" s="1931" t="s">
        <v>33</v>
      </c>
      <c r="F5991" s="1930" t="s">
        <v>33</v>
      </c>
      <c r="G5991" s="1932">
        <v>97915</v>
      </c>
      <c r="H5991" s="1930" t="s">
        <v>5145</v>
      </c>
      <c r="I5991" s="1930" t="s">
        <v>3531</v>
      </c>
      <c r="J5991" s="1930" t="s">
        <v>137</v>
      </c>
      <c r="K5991" s="1933">
        <v>0.83</v>
      </c>
      <c r="L5991" s="1930" t="s">
        <v>138</v>
      </c>
    </row>
    <row r="5992" spans="1:12" ht="13.5" x14ac:dyDescent="0.25">
      <c r="A5992" s="1930" t="s">
        <v>4828</v>
      </c>
      <c r="B5992" s="1930" t="s">
        <v>4829</v>
      </c>
      <c r="C5992" s="1930" t="s">
        <v>4832</v>
      </c>
      <c r="D5992" s="1930" t="s">
        <v>4833</v>
      </c>
      <c r="E5992" s="1931" t="s">
        <v>33</v>
      </c>
      <c r="F5992" s="1930" t="s">
        <v>33</v>
      </c>
      <c r="G5992" s="1932">
        <v>93176</v>
      </c>
      <c r="H5992" s="1930" t="s">
        <v>4253</v>
      </c>
      <c r="I5992" s="1930" t="s">
        <v>3520</v>
      </c>
      <c r="J5992" s="1930" t="s">
        <v>137</v>
      </c>
      <c r="K5992" s="1933">
        <v>0.49</v>
      </c>
      <c r="L5992" s="1930" t="s">
        <v>138</v>
      </c>
    </row>
    <row r="5993" spans="1:12" ht="13.5" x14ac:dyDescent="0.25">
      <c r="A5993" s="1930" t="s">
        <v>4828</v>
      </c>
      <c r="B5993" s="1930" t="s">
        <v>4829</v>
      </c>
      <c r="C5993" s="1930" t="s">
        <v>4832</v>
      </c>
      <c r="D5993" s="1930" t="s">
        <v>4833</v>
      </c>
      <c r="E5993" s="1931" t="s">
        <v>33</v>
      </c>
      <c r="F5993" s="1930" t="s">
        <v>33</v>
      </c>
      <c r="G5993" s="1932">
        <v>93177</v>
      </c>
      <c r="H5993" s="1930" t="s">
        <v>4254</v>
      </c>
      <c r="I5993" s="1930" t="s">
        <v>3520</v>
      </c>
      <c r="J5993" s="1930" t="s">
        <v>137</v>
      </c>
      <c r="K5993" s="1933">
        <v>1.72</v>
      </c>
      <c r="L5993" s="1930" t="s">
        <v>138</v>
      </c>
    </row>
    <row r="5994" spans="1:12" ht="13.5" x14ac:dyDescent="0.25">
      <c r="A5994" s="1930" t="s">
        <v>4828</v>
      </c>
      <c r="B5994" s="1930" t="s">
        <v>4829</v>
      </c>
      <c r="C5994" s="1930" t="s">
        <v>4832</v>
      </c>
      <c r="D5994" s="1930" t="s">
        <v>4833</v>
      </c>
      <c r="E5994" s="1931" t="s">
        <v>33</v>
      </c>
      <c r="F5994" s="1930" t="s">
        <v>33</v>
      </c>
      <c r="G5994" s="1932">
        <v>93178</v>
      </c>
      <c r="H5994" s="1930" t="s">
        <v>4255</v>
      </c>
      <c r="I5994" s="1930" t="s">
        <v>3520</v>
      </c>
      <c r="J5994" s="1930" t="s">
        <v>137</v>
      </c>
      <c r="K5994" s="1933">
        <v>0.56000000000000005</v>
      </c>
      <c r="L5994" s="1930" t="s">
        <v>138</v>
      </c>
    </row>
    <row r="5995" spans="1:12" ht="13.5" x14ac:dyDescent="0.25">
      <c r="A5995" s="1930" t="s">
        <v>4828</v>
      </c>
      <c r="B5995" s="1930" t="s">
        <v>4829</v>
      </c>
      <c r="C5995" s="1930" t="s">
        <v>4832</v>
      </c>
      <c r="D5995" s="1930" t="s">
        <v>4833</v>
      </c>
      <c r="E5995" s="1931" t="s">
        <v>33</v>
      </c>
      <c r="F5995" s="1930" t="s">
        <v>33</v>
      </c>
      <c r="G5995" s="1932">
        <v>93179</v>
      </c>
      <c r="H5995" s="1930" t="s">
        <v>4256</v>
      </c>
      <c r="I5995" s="1930" t="s">
        <v>3520</v>
      </c>
      <c r="J5995" s="1930" t="s">
        <v>137</v>
      </c>
      <c r="K5995" s="1933">
        <v>1.91</v>
      </c>
      <c r="L5995" s="1930" t="s">
        <v>138</v>
      </c>
    </row>
    <row r="5996" spans="1:12" ht="13.5" x14ac:dyDescent="0.25">
      <c r="A5996" s="1930" t="s">
        <v>4834</v>
      </c>
      <c r="B5996" s="1930" t="s">
        <v>4835</v>
      </c>
      <c r="C5996" s="1930" t="s">
        <v>4836</v>
      </c>
      <c r="D5996" s="1930" t="s">
        <v>4837</v>
      </c>
      <c r="E5996" s="1931">
        <v>74038</v>
      </c>
      <c r="F5996" s="1930" t="s">
        <v>4838</v>
      </c>
      <c r="G5996" s="1932" t="s">
        <v>4257</v>
      </c>
      <c r="H5996" s="1930" t="s">
        <v>4258</v>
      </c>
      <c r="I5996" s="1930" t="s">
        <v>136</v>
      </c>
      <c r="J5996" s="1930" t="s">
        <v>137</v>
      </c>
      <c r="K5996" s="1933">
        <v>28.93</v>
      </c>
      <c r="L5996" s="1930" t="s">
        <v>138</v>
      </c>
    </row>
    <row r="5997" spans="1:12" ht="13.5" x14ac:dyDescent="0.25">
      <c r="A5997" s="1930" t="s">
        <v>4834</v>
      </c>
      <c r="B5997" s="1930" t="s">
        <v>4835</v>
      </c>
      <c r="C5997" s="1930" t="s">
        <v>4836</v>
      </c>
      <c r="D5997" s="1930" t="s">
        <v>4837</v>
      </c>
      <c r="E5997" s="1931">
        <v>74039</v>
      </c>
      <c r="F5997" s="1930" t="s">
        <v>4839</v>
      </c>
      <c r="G5997" s="1932" t="s">
        <v>4259</v>
      </c>
      <c r="H5997" s="1930" t="s">
        <v>4260</v>
      </c>
      <c r="I5997" s="1930" t="s">
        <v>136</v>
      </c>
      <c r="J5997" s="1930" t="s">
        <v>137</v>
      </c>
      <c r="K5997" s="1933">
        <v>28.93</v>
      </c>
      <c r="L5997" s="1930" t="s">
        <v>138</v>
      </c>
    </row>
    <row r="5998" spans="1:12" ht="13.5" x14ac:dyDescent="0.25">
      <c r="A5998" s="1930" t="s">
        <v>4834</v>
      </c>
      <c r="B5998" s="1930" t="s">
        <v>4835</v>
      </c>
      <c r="C5998" s="1930" t="s">
        <v>4836</v>
      </c>
      <c r="D5998" s="1930" t="s">
        <v>4837</v>
      </c>
      <c r="E5998" s="1931">
        <v>74142</v>
      </c>
      <c r="F5998" s="1930" t="s">
        <v>4840</v>
      </c>
      <c r="G5998" s="1932" t="s">
        <v>4261</v>
      </c>
      <c r="H5998" s="1930" t="s">
        <v>4262</v>
      </c>
      <c r="I5998" s="1930" t="s">
        <v>136</v>
      </c>
      <c r="J5998" s="1930" t="s">
        <v>320</v>
      </c>
      <c r="K5998" s="1933">
        <v>46.51</v>
      </c>
      <c r="L5998" s="1930" t="s">
        <v>138</v>
      </c>
    </row>
    <row r="5999" spans="1:12" ht="13.5" x14ac:dyDescent="0.25">
      <c r="A5999" s="1930" t="s">
        <v>4834</v>
      </c>
      <c r="B5999" s="1930" t="s">
        <v>4835</v>
      </c>
      <c r="C5999" s="1930" t="s">
        <v>4836</v>
      </c>
      <c r="D5999" s="1930" t="s">
        <v>4837</v>
      </c>
      <c r="E5999" s="1931">
        <v>74142</v>
      </c>
      <c r="F5999" s="1930" t="s">
        <v>4840</v>
      </c>
      <c r="G5999" s="1932" t="s">
        <v>4263</v>
      </c>
      <c r="H5999" s="1930" t="s">
        <v>4264</v>
      </c>
      <c r="I5999" s="1930" t="s">
        <v>136</v>
      </c>
      <c r="J5999" s="1930" t="s">
        <v>320</v>
      </c>
      <c r="K5999" s="1933">
        <v>24.27</v>
      </c>
      <c r="L5999" s="1930" t="s">
        <v>138</v>
      </c>
    </row>
    <row r="6000" spans="1:12" ht="13.5" x14ac:dyDescent="0.25">
      <c r="A6000" s="1930" t="s">
        <v>4834</v>
      </c>
      <c r="B6000" s="1930" t="s">
        <v>4835</v>
      </c>
      <c r="C6000" s="1930" t="s">
        <v>4836</v>
      </c>
      <c r="D6000" s="1930" t="s">
        <v>4837</v>
      </c>
      <c r="E6000" s="1931">
        <v>74142</v>
      </c>
      <c r="F6000" s="1930" t="s">
        <v>4840</v>
      </c>
      <c r="G6000" s="1932" t="s">
        <v>4265</v>
      </c>
      <c r="H6000" s="1930" t="s">
        <v>4266</v>
      </c>
      <c r="I6000" s="1930" t="s">
        <v>136</v>
      </c>
      <c r="J6000" s="1930" t="s">
        <v>320</v>
      </c>
      <c r="K6000" s="1933">
        <v>36.380000000000003</v>
      </c>
      <c r="L6000" s="1930" t="s">
        <v>138</v>
      </c>
    </row>
    <row r="6001" spans="1:12" ht="13.5" x14ac:dyDescent="0.25">
      <c r="A6001" s="1930" t="s">
        <v>4834</v>
      </c>
      <c r="B6001" s="1930" t="s">
        <v>4835</v>
      </c>
      <c r="C6001" s="1930" t="s">
        <v>4836</v>
      </c>
      <c r="D6001" s="1930" t="s">
        <v>4837</v>
      </c>
      <c r="E6001" s="1931">
        <v>74142</v>
      </c>
      <c r="F6001" s="1930" t="s">
        <v>4840</v>
      </c>
      <c r="G6001" s="1932" t="s">
        <v>4267</v>
      </c>
      <c r="H6001" s="1930" t="s">
        <v>4268</v>
      </c>
      <c r="I6001" s="1930" t="s">
        <v>136</v>
      </c>
      <c r="J6001" s="1930" t="s">
        <v>320</v>
      </c>
      <c r="K6001" s="1933">
        <v>54.86</v>
      </c>
      <c r="L6001" s="1930" t="s">
        <v>138</v>
      </c>
    </row>
    <row r="6002" spans="1:12" ht="13.5" x14ac:dyDescent="0.25">
      <c r="A6002" s="1930" t="s">
        <v>4834</v>
      </c>
      <c r="B6002" s="1930" t="s">
        <v>4835</v>
      </c>
      <c r="C6002" s="1930" t="s">
        <v>4836</v>
      </c>
      <c r="D6002" s="1930" t="s">
        <v>4837</v>
      </c>
      <c r="E6002" s="1931">
        <v>74143</v>
      </c>
      <c r="F6002" s="1930" t="s">
        <v>4841</v>
      </c>
      <c r="G6002" s="1932" t="s">
        <v>4269</v>
      </c>
      <c r="H6002" s="1930" t="s">
        <v>4270</v>
      </c>
      <c r="I6002" s="1930" t="s">
        <v>136</v>
      </c>
      <c r="J6002" s="1930" t="s">
        <v>320</v>
      </c>
      <c r="K6002" s="1933">
        <v>56.72</v>
      </c>
      <c r="L6002" s="1930" t="s">
        <v>138</v>
      </c>
    </row>
    <row r="6003" spans="1:12" ht="13.5" x14ac:dyDescent="0.25">
      <c r="A6003" s="1930" t="s">
        <v>4834</v>
      </c>
      <c r="B6003" s="1930" t="s">
        <v>4835</v>
      </c>
      <c r="C6003" s="1930" t="s">
        <v>4836</v>
      </c>
      <c r="D6003" s="1930" t="s">
        <v>4837</v>
      </c>
      <c r="E6003" s="1931">
        <v>74143</v>
      </c>
      <c r="F6003" s="1930" t="s">
        <v>4841</v>
      </c>
      <c r="G6003" s="1932" t="s">
        <v>4271</v>
      </c>
      <c r="H6003" s="1930" t="s">
        <v>4272</v>
      </c>
      <c r="I6003" s="1930" t="s">
        <v>136</v>
      </c>
      <c r="J6003" s="1930" t="s">
        <v>320</v>
      </c>
      <c r="K6003" s="1933">
        <v>54.12</v>
      </c>
      <c r="L6003" s="1930" t="s">
        <v>138</v>
      </c>
    </row>
    <row r="6004" spans="1:12" ht="13.5" x14ac:dyDescent="0.25">
      <c r="A6004" s="1930" t="s">
        <v>4834</v>
      </c>
      <c r="B6004" s="1930" t="s">
        <v>4835</v>
      </c>
      <c r="C6004" s="1930" t="s">
        <v>4836</v>
      </c>
      <c r="D6004" s="1930" t="s">
        <v>4837</v>
      </c>
      <c r="E6004" s="1931" t="s">
        <v>33</v>
      </c>
      <c r="F6004" s="1930" t="s">
        <v>33</v>
      </c>
      <c r="G6004" s="1932">
        <v>85171</v>
      </c>
      <c r="H6004" s="1930" t="s">
        <v>4273</v>
      </c>
      <c r="I6004" s="1930" t="s">
        <v>136</v>
      </c>
      <c r="J6004" s="1930" t="s">
        <v>320</v>
      </c>
      <c r="K6004" s="1933">
        <v>3.84</v>
      </c>
      <c r="L6004" s="1930" t="s">
        <v>138</v>
      </c>
    </row>
    <row r="6005" spans="1:12" ht="13.5" x14ac:dyDescent="0.25">
      <c r="A6005" s="1930" t="s">
        <v>4834</v>
      </c>
      <c r="B6005" s="1930" t="s">
        <v>4835</v>
      </c>
      <c r="C6005" s="1930" t="s">
        <v>4842</v>
      </c>
      <c r="D6005" s="1930" t="s">
        <v>4843</v>
      </c>
      <c r="E6005" s="1931">
        <v>74244</v>
      </c>
      <c r="F6005" s="1930" t="s">
        <v>4844</v>
      </c>
      <c r="G6005" s="1932" t="s">
        <v>4274</v>
      </c>
      <c r="H6005" s="1930" t="s">
        <v>4275</v>
      </c>
      <c r="I6005" s="1930" t="s">
        <v>306</v>
      </c>
      <c r="J6005" s="1930" t="s">
        <v>320</v>
      </c>
      <c r="K6005" s="1933">
        <v>128.34</v>
      </c>
      <c r="L6005" s="1930" t="s">
        <v>138</v>
      </c>
    </row>
    <row r="6006" spans="1:12" ht="13.5" x14ac:dyDescent="0.25">
      <c r="A6006" s="1930" t="s">
        <v>4834</v>
      </c>
      <c r="B6006" s="1930" t="s">
        <v>4835</v>
      </c>
      <c r="C6006" s="1930" t="s">
        <v>4845</v>
      </c>
      <c r="D6006" s="1930" t="s">
        <v>4846</v>
      </c>
      <c r="E6006" s="1931" t="s">
        <v>33</v>
      </c>
      <c r="F6006" s="1930" t="s">
        <v>33</v>
      </c>
      <c r="G6006" s="1932">
        <v>98509</v>
      </c>
      <c r="H6006" s="1930" t="s">
        <v>5654</v>
      </c>
      <c r="I6006" s="1930" t="s">
        <v>168</v>
      </c>
      <c r="J6006" s="1930" t="s">
        <v>320</v>
      </c>
      <c r="K6006" s="1933">
        <v>31.77</v>
      </c>
      <c r="L6006" s="1930" t="s">
        <v>138</v>
      </c>
    </row>
    <row r="6007" spans="1:12" ht="13.5" x14ac:dyDescent="0.25">
      <c r="A6007" s="1930" t="s">
        <v>4834</v>
      </c>
      <c r="B6007" s="1930" t="s">
        <v>4835</v>
      </c>
      <c r="C6007" s="1930" t="s">
        <v>4845</v>
      </c>
      <c r="D6007" s="1930" t="s">
        <v>4846</v>
      </c>
      <c r="E6007" s="1931" t="s">
        <v>33</v>
      </c>
      <c r="F6007" s="1930" t="s">
        <v>33</v>
      </c>
      <c r="G6007" s="1932">
        <v>98510</v>
      </c>
      <c r="H6007" s="1930" t="s">
        <v>5655</v>
      </c>
      <c r="I6007" s="1930" t="s">
        <v>168</v>
      </c>
      <c r="J6007" s="1930" t="s">
        <v>320</v>
      </c>
      <c r="K6007" s="1933">
        <v>50.02</v>
      </c>
      <c r="L6007" s="1930" t="s">
        <v>138</v>
      </c>
    </row>
    <row r="6008" spans="1:12" ht="13.5" x14ac:dyDescent="0.25">
      <c r="A6008" s="1930" t="s">
        <v>4834</v>
      </c>
      <c r="B6008" s="1930" t="s">
        <v>4835</v>
      </c>
      <c r="C6008" s="1930" t="s">
        <v>4845</v>
      </c>
      <c r="D6008" s="1930" t="s">
        <v>4846</v>
      </c>
      <c r="E6008" s="1931" t="s">
        <v>33</v>
      </c>
      <c r="F6008" s="1930" t="s">
        <v>33</v>
      </c>
      <c r="G6008" s="1932">
        <v>98511</v>
      </c>
      <c r="H6008" s="1930" t="s">
        <v>5656</v>
      </c>
      <c r="I6008" s="1930" t="s">
        <v>168</v>
      </c>
      <c r="J6008" s="1930" t="s">
        <v>320</v>
      </c>
      <c r="K6008" s="1933">
        <v>93.69</v>
      </c>
      <c r="L6008" s="1930" t="s">
        <v>138</v>
      </c>
    </row>
    <row r="6009" spans="1:12" ht="13.5" x14ac:dyDescent="0.25">
      <c r="A6009" s="1930" t="s">
        <v>4834</v>
      </c>
      <c r="B6009" s="1930" t="s">
        <v>4835</v>
      </c>
      <c r="C6009" s="1930" t="s">
        <v>4845</v>
      </c>
      <c r="D6009" s="1930" t="s">
        <v>4846</v>
      </c>
      <c r="E6009" s="1931" t="s">
        <v>33</v>
      </c>
      <c r="F6009" s="1930" t="s">
        <v>33</v>
      </c>
      <c r="G6009" s="1932">
        <v>98516</v>
      </c>
      <c r="H6009" s="1930" t="s">
        <v>5657</v>
      </c>
      <c r="I6009" s="1930" t="s">
        <v>168</v>
      </c>
      <c r="J6009" s="1930" t="s">
        <v>137</v>
      </c>
      <c r="K6009" s="1933">
        <v>231.57</v>
      </c>
      <c r="L6009" s="1930" t="s">
        <v>138</v>
      </c>
    </row>
    <row r="6010" spans="1:12" ht="13.5" x14ac:dyDescent="0.25">
      <c r="A6010" s="1930" t="s">
        <v>4834</v>
      </c>
      <c r="B6010" s="1930" t="s">
        <v>4835</v>
      </c>
      <c r="C6010" s="1930" t="s">
        <v>4845</v>
      </c>
      <c r="D6010" s="1930" t="s">
        <v>4846</v>
      </c>
      <c r="E6010" s="1931" t="s">
        <v>33</v>
      </c>
      <c r="F6010" s="1930" t="s">
        <v>33</v>
      </c>
      <c r="G6010" s="1932">
        <v>98519</v>
      </c>
      <c r="H6010" s="1930" t="s">
        <v>5658</v>
      </c>
      <c r="I6010" s="1930" t="s">
        <v>306</v>
      </c>
      <c r="J6010" s="1930" t="s">
        <v>320</v>
      </c>
      <c r="K6010" s="1933">
        <v>1.51</v>
      </c>
      <c r="L6010" s="1930" t="s">
        <v>138</v>
      </c>
    </row>
    <row r="6011" spans="1:12" ht="13.5" x14ac:dyDescent="0.25">
      <c r="A6011" s="1930" t="s">
        <v>4834</v>
      </c>
      <c r="B6011" s="1930" t="s">
        <v>4835</v>
      </c>
      <c r="C6011" s="1930" t="s">
        <v>4845</v>
      </c>
      <c r="D6011" s="1930" t="s">
        <v>4846</v>
      </c>
      <c r="E6011" s="1931" t="s">
        <v>33</v>
      </c>
      <c r="F6011" s="1930" t="s">
        <v>33</v>
      </c>
      <c r="G6011" s="1932">
        <v>98520</v>
      </c>
      <c r="H6011" s="1930" t="s">
        <v>5659</v>
      </c>
      <c r="I6011" s="1930" t="s">
        <v>306</v>
      </c>
      <c r="J6011" s="1930" t="s">
        <v>320</v>
      </c>
      <c r="K6011" s="1933">
        <v>3.59</v>
      </c>
      <c r="L6011" s="1930" t="s">
        <v>138</v>
      </c>
    </row>
    <row r="6012" spans="1:12" ht="13.5" x14ac:dyDescent="0.25">
      <c r="A6012" s="1930" t="s">
        <v>4834</v>
      </c>
      <c r="B6012" s="1930" t="s">
        <v>4835</v>
      </c>
      <c r="C6012" s="1930" t="s">
        <v>4845</v>
      </c>
      <c r="D6012" s="1930" t="s">
        <v>4846</v>
      </c>
      <c r="E6012" s="1931" t="s">
        <v>33</v>
      </c>
      <c r="F6012" s="1930" t="s">
        <v>33</v>
      </c>
      <c r="G6012" s="1932">
        <v>98521</v>
      </c>
      <c r="H6012" s="1930" t="s">
        <v>5660</v>
      </c>
      <c r="I6012" s="1930" t="s">
        <v>306</v>
      </c>
      <c r="J6012" s="1930" t="s">
        <v>320</v>
      </c>
      <c r="K6012" s="1933">
        <v>0.27</v>
      </c>
      <c r="L6012" s="1930" t="s">
        <v>138</v>
      </c>
    </row>
    <row r="6013" spans="1:12" ht="13.5" x14ac:dyDescent="0.25">
      <c r="A6013" s="1930" t="s">
        <v>4834</v>
      </c>
      <c r="B6013" s="1930" t="s">
        <v>4835</v>
      </c>
      <c r="C6013" s="1930" t="s">
        <v>4845</v>
      </c>
      <c r="D6013" s="1930" t="s">
        <v>4846</v>
      </c>
      <c r="E6013" s="1931" t="s">
        <v>33</v>
      </c>
      <c r="F6013" s="1930" t="s">
        <v>33</v>
      </c>
      <c r="G6013" s="1932">
        <v>98522</v>
      </c>
      <c r="H6013" s="1930" t="s">
        <v>5661</v>
      </c>
      <c r="I6013" s="1930" t="s">
        <v>136</v>
      </c>
      <c r="J6013" s="1930" t="s">
        <v>320</v>
      </c>
      <c r="K6013" s="1933">
        <v>107.46</v>
      </c>
      <c r="L6013" s="1930" t="s">
        <v>138</v>
      </c>
    </row>
    <row r="6014" spans="1:12" ht="13.5" x14ac:dyDescent="0.25">
      <c r="A6014" s="1930" t="s">
        <v>4834</v>
      </c>
      <c r="B6014" s="1930" t="s">
        <v>4835</v>
      </c>
      <c r="C6014" s="1930" t="s">
        <v>4845</v>
      </c>
      <c r="D6014" s="1930" t="s">
        <v>4846</v>
      </c>
      <c r="E6014" s="1931" t="s">
        <v>33</v>
      </c>
      <c r="F6014" s="1930" t="s">
        <v>33</v>
      </c>
      <c r="G6014" s="1932">
        <v>98524</v>
      </c>
      <c r="H6014" s="1930" t="s">
        <v>5662</v>
      </c>
      <c r="I6014" s="1930" t="s">
        <v>306</v>
      </c>
      <c r="J6014" s="1930" t="s">
        <v>320</v>
      </c>
      <c r="K6014" s="1933">
        <v>2.48</v>
      </c>
      <c r="L6014" s="1930" t="s">
        <v>138</v>
      </c>
    </row>
    <row r="6015" spans="1:12" ht="13.5" x14ac:dyDescent="0.25">
      <c r="A6015" s="1930" t="s">
        <v>4834</v>
      </c>
      <c r="B6015" s="1930" t="s">
        <v>4835</v>
      </c>
      <c r="C6015" s="1930" t="s">
        <v>4847</v>
      </c>
      <c r="D6015" s="1930" t="s">
        <v>4848</v>
      </c>
      <c r="E6015" s="1931" t="s">
        <v>33</v>
      </c>
      <c r="F6015" s="1930" t="s">
        <v>33</v>
      </c>
      <c r="G6015" s="1932">
        <v>98503</v>
      </c>
      <c r="H6015" s="1930" t="s">
        <v>5663</v>
      </c>
      <c r="I6015" s="1930" t="s">
        <v>306</v>
      </c>
      <c r="J6015" s="1930" t="s">
        <v>320</v>
      </c>
      <c r="K6015" s="1933">
        <v>13.05</v>
      </c>
      <c r="L6015" s="1930" t="s">
        <v>138</v>
      </c>
    </row>
    <row r="6016" spans="1:12" ht="13.5" x14ac:dyDescent="0.25">
      <c r="A6016" s="1930" t="s">
        <v>4834</v>
      </c>
      <c r="B6016" s="1930" t="s">
        <v>4835</v>
      </c>
      <c r="C6016" s="1930" t="s">
        <v>4847</v>
      </c>
      <c r="D6016" s="1930" t="s">
        <v>4848</v>
      </c>
      <c r="E6016" s="1931" t="s">
        <v>33</v>
      </c>
      <c r="F6016" s="1930" t="s">
        <v>33</v>
      </c>
      <c r="G6016" s="1932">
        <v>98504</v>
      </c>
      <c r="H6016" s="1930" t="s">
        <v>5664</v>
      </c>
      <c r="I6016" s="1930" t="s">
        <v>306</v>
      </c>
      <c r="J6016" s="1930" t="s">
        <v>320</v>
      </c>
      <c r="K6016" s="1933">
        <v>8.1</v>
      </c>
      <c r="L6016" s="1930" t="s">
        <v>138</v>
      </c>
    </row>
    <row r="6017" spans="1:12" ht="13.5" x14ac:dyDescent="0.25">
      <c r="A6017" s="1930" t="s">
        <v>4834</v>
      </c>
      <c r="B6017" s="1930" t="s">
        <v>4835</v>
      </c>
      <c r="C6017" s="1930" t="s">
        <v>4847</v>
      </c>
      <c r="D6017" s="1930" t="s">
        <v>4848</v>
      </c>
      <c r="E6017" s="1931" t="s">
        <v>33</v>
      </c>
      <c r="F6017" s="1930" t="s">
        <v>33</v>
      </c>
      <c r="G6017" s="1932">
        <v>98505</v>
      </c>
      <c r="H6017" s="1930" t="s">
        <v>5665</v>
      </c>
      <c r="I6017" s="1930" t="s">
        <v>306</v>
      </c>
      <c r="J6017" s="1930" t="s">
        <v>320</v>
      </c>
      <c r="K6017" s="1933">
        <v>45.96</v>
      </c>
      <c r="L6017" s="1930" t="s">
        <v>138</v>
      </c>
    </row>
    <row r="6018" spans="1:12" ht="13.5" x14ac:dyDescent="0.25">
      <c r="A6018" s="1930" t="s">
        <v>4834</v>
      </c>
      <c r="B6018" s="1930" t="s">
        <v>4835</v>
      </c>
      <c r="C6018" s="1930" t="s">
        <v>4849</v>
      </c>
      <c r="D6018" s="1930" t="s">
        <v>4850</v>
      </c>
      <c r="E6018" s="1931" t="s">
        <v>33</v>
      </c>
      <c r="F6018" s="1930" t="s">
        <v>33</v>
      </c>
      <c r="G6018" s="1932">
        <v>98525</v>
      </c>
      <c r="H6018" s="1930" t="s">
        <v>5666</v>
      </c>
      <c r="I6018" s="1930" t="s">
        <v>306</v>
      </c>
      <c r="J6018" s="1930" t="s">
        <v>137</v>
      </c>
      <c r="K6018" s="1933">
        <v>0.24</v>
      </c>
      <c r="L6018" s="1930" t="s">
        <v>138</v>
      </c>
    </row>
    <row r="6019" spans="1:12" ht="13.5" x14ac:dyDescent="0.25">
      <c r="A6019" s="1930" t="s">
        <v>4834</v>
      </c>
      <c r="B6019" s="1930" t="s">
        <v>4835</v>
      </c>
      <c r="C6019" s="1930" t="s">
        <v>4849</v>
      </c>
      <c r="D6019" s="1930" t="s">
        <v>4850</v>
      </c>
      <c r="E6019" s="1931" t="s">
        <v>33</v>
      </c>
      <c r="F6019" s="1930" t="s">
        <v>33</v>
      </c>
      <c r="G6019" s="1932">
        <v>98526</v>
      </c>
      <c r="H6019" s="1930" t="s">
        <v>5667</v>
      </c>
      <c r="I6019" s="1930" t="s">
        <v>168</v>
      </c>
      <c r="J6019" s="1930" t="s">
        <v>137</v>
      </c>
      <c r="K6019" s="1933">
        <v>53.02</v>
      </c>
      <c r="L6019" s="1930" t="s">
        <v>138</v>
      </c>
    </row>
    <row r="6020" spans="1:12" ht="13.5" x14ac:dyDescent="0.25">
      <c r="A6020" s="1930" t="s">
        <v>4834</v>
      </c>
      <c r="B6020" s="1930" t="s">
        <v>4835</v>
      </c>
      <c r="C6020" s="1930" t="s">
        <v>4849</v>
      </c>
      <c r="D6020" s="1930" t="s">
        <v>4850</v>
      </c>
      <c r="E6020" s="1931" t="s">
        <v>33</v>
      </c>
      <c r="F6020" s="1930" t="s">
        <v>33</v>
      </c>
      <c r="G6020" s="1932">
        <v>98527</v>
      </c>
      <c r="H6020" s="1930" t="s">
        <v>5668</v>
      </c>
      <c r="I6020" s="1930" t="s">
        <v>168</v>
      </c>
      <c r="J6020" s="1930" t="s">
        <v>137</v>
      </c>
      <c r="K6020" s="1933">
        <v>114.14</v>
      </c>
      <c r="L6020" s="1930" t="s">
        <v>138</v>
      </c>
    </row>
    <row r="6021" spans="1:12" ht="13.5" x14ac:dyDescent="0.25">
      <c r="A6021" s="1930" t="s">
        <v>4834</v>
      </c>
      <c r="B6021" s="1930" t="s">
        <v>4835</v>
      </c>
      <c r="C6021" s="1930" t="s">
        <v>4849</v>
      </c>
      <c r="D6021" s="1930" t="s">
        <v>4850</v>
      </c>
      <c r="E6021" s="1931" t="s">
        <v>33</v>
      </c>
      <c r="F6021" s="1930" t="s">
        <v>33</v>
      </c>
      <c r="G6021" s="1932">
        <v>98528</v>
      </c>
      <c r="H6021" s="1930" t="s">
        <v>5669</v>
      </c>
      <c r="I6021" s="1930" t="s">
        <v>168</v>
      </c>
      <c r="J6021" s="1930" t="s">
        <v>137</v>
      </c>
      <c r="K6021" s="1933">
        <v>166.91</v>
      </c>
      <c r="L6021" s="1930" t="s">
        <v>138</v>
      </c>
    </row>
    <row r="6022" spans="1:12" ht="13.5" x14ac:dyDescent="0.25">
      <c r="A6022" s="1930" t="s">
        <v>4834</v>
      </c>
      <c r="B6022" s="1930" t="s">
        <v>4835</v>
      </c>
      <c r="C6022" s="1930" t="s">
        <v>4849</v>
      </c>
      <c r="D6022" s="1930" t="s">
        <v>4850</v>
      </c>
      <c r="E6022" s="1931" t="s">
        <v>33</v>
      </c>
      <c r="F6022" s="1930" t="s">
        <v>33</v>
      </c>
      <c r="G6022" s="1932">
        <v>98529</v>
      </c>
      <c r="H6022" s="1930" t="s">
        <v>5670</v>
      </c>
      <c r="I6022" s="1930" t="s">
        <v>168</v>
      </c>
      <c r="J6022" s="1930" t="s">
        <v>320</v>
      </c>
      <c r="K6022" s="1933">
        <v>53.44</v>
      </c>
      <c r="L6022" s="1930" t="s">
        <v>138</v>
      </c>
    </row>
    <row r="6023" spans="1:12" ht="13.5" x14ac:dyDescent="0.25">
      <c r="A6023" s="1930" t="s">
        <v>4834</v>
      </c>
      <c r="B6023" s="1930" t="s">
        <v>4835</v>
      </c>
      <c r="C6023" s="1930" t="s">
        <v>4849</v>
      </c>
      <c r="D6023" s="1930" t="s">
        <v>4850</v>
      </c>
      <c r="E6023" s="1931" t="s">
        <v>33</v>
      </c>
      <c r="F6023" s="1930" t="s">
        <v>33</v>
      </c>
      <c r="G6023" s="1932">
        <v>98530</v>
      </c>
      <c r="H6023" s="1930" t="s">
        <v>5671</v>
      </c>
      <c r="I6023" s="1930" t="s">
        <v>168</v>
      </c>
      <c r="J6023" s="1930" t="s">
        <v>320</v>
      </c>
      <c r="K6023" s="1933">
        <v>95.2</v>
      </c>
      <c r="L6023" s="1930" t="s">
        <v>138</v>
      </c>
    </row>
    <row r="6024" spans="1:12" ht="13.5" x14ac:dyDescent="0.25">
      <c r="A6024" s="1930" t="s">
        <v>4834</v>
      </c>
      <c r="B6024" s="1930" t="s">
        <v>4835</v>
      </c>
      <c r="C6024" s="1930" t="s">
        <v>4849</v>
      </c>
      <c r="D6024" s="1930" t="s">
        <v>4850</v>
      </c>
      <c r="E6024" s="1931" t="s">
        <v>33</v>
      </c>
      <c r="F6024" s="1930" t="s">
        <v>33</v>
      </c>
      <c r="G6024" s="1932">
        <v>98531</v>
      </c>
      <c r="H6024" s="1930" t="s">
        <v>5672</v>
      </c>
      <c r="I6024" s="1930" t="s">
        <v>168</v>
      </c>
      <c r="J6024" s="1930" t="s">
        <v>137</v>
      </c>
      <c r="K6024" s="1933">
        <v>186.88</v>
      </c>
      <c r="L6024" s="1930" t="s">
        <v>138</v>
      </c>
    </row>
    <row r="6025" spans="1:12" ht="13.5" x14ac:dyDescent="0.25">
      <c r="A6025" s="1930" t="s">
        <v>4834</v>
      </c>
      <c r="B6025" s="1930" t="s">
        <v>4835</v>
      </c>
      <c r="C6025" s="1930" t="s">
        <v>4849</v>
      </c>
      <c r="D6025" s="1930" t="s">
        <v>4850</v>
      </c>
      <c r="E6025" s="1931" t="s">
        <v>33</v>
      </c>
      <c r="F6025" s="1930" t="s">
        <v>33</v>
      </c>
      <c r="G6025" s="1932">
        <v>98532</v>
      </c>
      <c r="H6025" s="1930" t="s">
        <v>5673</v>
      </c>
      <c r="I6025" s="1930" t="s">
        <v>168</v>
      </c>
      <c r="J6025" s="1930" t="s">
        <v>137</v>
      </c>
      <c r="K6025" s="1933">
        <v>67.790000000000006</v>
      </c>
      <c r="L6025" s="1930" t="s">
        <v>138</v>
      </c>
    </row>
    <row r="6026" spans="1:12" ht="13.5" x14ac:dyDescent="0.25">
      <c r="A6026" s="1930" t="s">
        <v>4834</v>
      </c>
      <c r="B6026" s="1930" t="s">
        <v>4835</v>
      </c>
      <c r="C6026" s="1930" t="s">
        <v>4849</v>
      </c>
      <c r="D6026" s="1930" t="s">
        <v>4850</v>
      </c>
      <c r="E6026" s="1931" t="s">
        <v>33</v>
      </c>
      <c r="F6026" s="1930" t="s">
        <v>33</v>
      </c>
      <c r="G6026" s="1932">
        <v>98533</v>
      </c>
      <c r="H6026" s="1930" t="s">
        <v>5674</v>
      </c>
      <c r="I6026" s="1930" t="s">
        <v>168</v>
      </c>
      <c r="J6026" s="1930" t="s">
        <v>137</v>
      </c>
      <c r="K6026" s="1933">
        <v>184.72</v>
      </c>
      <c r="L6026" s="1930" t="s">
        <v>138</v>
      </c>
    </row>
    <row r="6027" spans="1:12" ht="13.5" x14ac:dyDescent="0.25">
      <c r="A6027" s="1930" t="s">
        <v>4834</v>
      </c>
      <c r="B6027" s="1930" t="s">
        <v>4835</v>
      </c>
      <c r="C6027" s="1930" t="s">
        <v>4849</v>
      </c>
      <c r="D6027" s="1930" t="s">
        <v>4850</v>
      </c>
      <c r="E6027" s="1931" t="s">
        <v>33</v>
      </c>
      <c r="F6027" s="1930" t="s">
        <v>33</v>
      </c>
      <c r="G6027" s="1932">
        <v>98534</v>
      </c>
      <c r="H6027" s="1930" t="s">
        <v>5675</v>
      </c>
      <c r="I6027" s="1930" t="s">
        <v>168</v>
      </c>
      <c r="J6027" s="1930" t="s">
        <v>137</v>
      </c>
      <c r="K6027" s="1933">
        <v>474.35</v>
      </c>
      <c r="L6027" s="1930" t="s">
        <v>138</v>
      </c>
    </row>
    <row r="6028" spans="1:12" ht="13.5" x14ac:dyDescent="0.25">
      <c r="A6028" s="1930" t="s">
        <v>4834</v>
      </c>
      <c r="B6028" s="1930" t="s">
        <v>4835</v>
      </c>
      <c r="C6028" s="1930" t="s">
        <v>4849</v>
      </c>
      <c r="D6028" s="1930" t="s">
        <v>4850</v>
      </c>
      <c r="E6028" s="1931" t="s">
        <v>33</v>
      </c>
      <c r="F6028" s="1930" t="s">
        <v>33</v>
      </c>
      <c r="G6028" s="1932">
        <v>98535</v>
      </c>
      <c r="H6028" s="1930" t="s">
        <v>5676</v>
      </c>
      <c r="I6028" s="1930" t="s">
        <v>168</v>
      </c>
      <c r="J6028" s="1930" t="s">
        <v>137</v>
      </c>
      <c r="K6028" s="1933">
        <v>748.9</v>
      </c>
      <c r="L6028" s="1930" t="s">
        <v>138</v>
      </c>
    </row>
    <row r="6029" spans="1:12" ht="13.5" x14ac:dyDescent="0.25">
      <c r="A6029" s="1930" t="s">
        <v>4628</v>
      </c>
      <c r="B6029" s="1930" t="s">
        <v>4809</v>
      </c>
      <c r="C6029" s="1930" t="s">
        <v>4816</v>
      </c>
      <c r="D6029" s="1930" t="s">
        <v>4817</v>
      </c>
      <c r="E6029" s="1931" t="s">
        <v>33</v>
      </c>
      <c r="F6029" s="1930" t="s">
        <v>33</v>
      </c>
      <c r="G6029" s="1932">
        <v>88238</v>
      </c>
      <c r="H6029" s="1930" t="s">
        <v>4277</v>
      </c>
      <c r="I6029" s="1930" t="s">
        <v>65</v>
      </c>
      <c r="J6029" s="1930" t="s">
        <v>320</v>
      </c>
      <c r="K6029" s="1933">
        <v>15.72</v>
      </c>
      <c r="L6029" s="1930" t="s">
        <v>4276</v>
      </c>
    </row>
    <row r="6030" spans="1:12" ht="13.5" x14ac:dyDescent="0.25">
      <c r="A6030" s="1930" t="s">
        <v>4628</v>
      </c>
      <c r="B6030" s="1930" t="s">
        <v>4809</v>
      </c>
      <c r="C6030" s="1930" t="s">
        <v>4816</v>
      </c>
      <c r="D6030" s="1930" t="s">
        <v>4817</v>
      </c>
      <c r="E6030" s="1931" t="s">
        <v>33</v>
      </c>
      <c r="F6030" s="1930" t="s">
        <v>33</v>
      </c>
      <c r="G6030" s="1932">
        <v>88239</v>
      </c>
      <c r="H6030" s="1930" t="s">
        <v>4278</v>
      </c>
      <c r="I6030" s="1930" t="s">
        <v>65</v>
      </c>
      <c r="J6030" s="1930" t="s">
        <v>320</v>
      </c>
      <c r="K6030" s="1933">
        <v>17.010000000000002</v>
      </c>
      <c r="L6030" s="1930" t="s">
        <v>4276</v>
      </c>
    </row>
    <row r="6031" spans="1:12" ht="13.5" x14ac:dyDescent="0.25">
      <c r="A6031" s="1930" t="s">
        <v>4628</v>
      </c>
      <c r="B6031" s="1930" t="s">
        <v>4809</v>
      </c>
      <c r="C6031" s="1930" t="s">
        <v>4816</v>
      </c>
      <c r="D6031" s="1930" t="s">
        <v>4817</v>
      </c>
      <c r="E6031" s="1931" t="s">
        <v>33</v>
      </c>
      <c r="F6031" s="1930" t="s">
        <v>33</v>
      </c>
      <c r="G6031" s="1932">
        <v>88240</v>
      </c>
      <c r="H6031" s="1930" t="s">
        <v>4279</v>
      </c>
      <c r="I6031" s="1930" t="s">
        <v>65</v>
      </c>
      <c r="J6031" s="1930" t="s">
        <v>320</v>
      </c>
      <c r="K6031" s="1933">
        <v>12.53</v>
      </c>
      <c r="L6031" s="1930" t="s">
        <v>4276</v>
      </c>
    </row>
    <row r="6032" spans="1:12" ht="13.5" x14ac:dyDescent="0.25">
      <c r="A6032" s="1930" t="s">
        <v>4628</v>
      </c>
      <c r="B6032" s="1930" t="s">
        <v>4809</v>
      </c>
      <c r="C6032" s="1930" t="s">
        <v>4816</v>
      </c>
      <c r="D6032" s="1930" t="s">
        <v>4817</v>
      </c>
      <c r="E6032" s="1931" t="s">
        <v>33</v>
      </c>
      <c r="F6032" s="1930" t="s">
        <v>33</v>
      </c>
      <c r="G6032" s="1932">
        <v>88241</v>
      </c>
      <c r="H6032" s="1930" t="s">
        <v>4280</v>
      </c>
      <c r="I6032" s="1930" t="s">
        <v>65</v>
      </c>
      <c r="J6032" s="1930" t="s">
        <v>320</v>
      </c>
      <c r="K6032" s="1933">
        <v>16.079999999999998</v>
      </c>
      <c r="L6032" s="1930" t="s">
        <v>4276</v>
      </c>
    </row>
    <row r="6033" spans="1:12" ht="13.5" x14ac:dyDescent="0.25">
      <c r="A6033" s="1930" t="s">
        <v>4628</v>
      </c>
      <c r="B6033" s="1930" t="s">
        <v>4809</v>
      </c>
      <c r="C6033" s="1930" t="s">
        <v>4816</v>
      </c>
      <c r="D6033" s="1930" t="s">
        <v>4817</v>
      </c>
      <c r="E6033" s="1931" t="s">
        <v>33</v>
      </c>
      <c r="F6033" s="1930" t="s">
        <v>33</v>
      </c>
      <c r="G6033" s="1932">
        <v>88242</v>
      </c>
      <c r="H6033" s="1930" t="s">
        <v>4281</v>
      </c>
      <c r="I6033" s="1930" t="s">
        <v>65</v>
      </c>
      <c r="J6033" s="1930" t="s">
        <v>320</v>
      </c>
      <c r="K6033" s="1933">
        <v>15.07</v>
      </c>
      <c r="L6033" s="1930" t="s">
        <v>4276</v>
      </c>
    </row>
    <row r="6034" spans="1:12" ht="13.5" x14ac:dyDescent="0.25">
      <c r="A6034" s="1930" t="s">
        <v>4628</v>
      </c>
      <c r="B6034" s="1930" t="s">
        <v>4809</v>
      </c>
      <c r="C6034" s="1930" t="s">
        <v>4816</v>
      </c>
      <c r="D6034" s="1930" t="s">
        <v>4817</v>
      </c>
      <c r="E6034" s="1931" t="s">
        <v>33</v>
      </c>
      <c r="F6034" s="1930" t="s">
        <v>33</v>
      </c>
      <c r="G6034" s="1932">
        <v>88243</v>
      </c>
      <c r="H6034" s="1930" t="s">
        <v>99</v>
      </c>
      <c r="I6034" s="1930" t="s">
        <v>65</v>
      </c>
      <c r="J6034" s="1930" t="s">
        <v>320</v>
      </c>
      <c r="K6034" s="1933">
        <v>17.77</v>
      </c>
      <c r="L6034" s="1930" t="s">
        <v>4276</v>
      </c>
    </row>
    <row r="6035" spans="1:12" ht="13.5" x14ac:dyDescent="0.25">
      <c r="A6035" s="1930" t="s">
        <v>4628</v>
      </c>
      <c r="B6035" s="1930" t="s">
        <v>4809</v>
      </c>
      <c r="C6035" s="1930" t="s">
        <v>4816</v>
      </c>
      <c r="D6035" s="1930" t="s">
        <v>4817</v>
      </c>
      <c r="E6035" s="1931" t="s">
        <v>33</v>
      </c>
      <c r="F6035" s="1930" t="s">
        <v>33</v>
      </c>
      <c r="G6035" s="1932">
        <v>88245</v>
      </c>
      <c r="H6035" s="1930" t="s">
        <v>67</v>
      </c>
      <c r="I6035" s="1930" t="s">
        <v>65</v>
      </c>
      <c r="J6035" s="1930" t="s">
        <v>320</v>
      </c>
      <c r="K6035" s="1933">
        <v>20.059999999999999</v>
      </c>
      <c r="L6035" s="1930" t="s">
        <v>4276</v>
      </c>
    </row>
    <row r="6036" spans="1:12" ht="13.5" x14ac:dyDescent="0.25">
      <c r="A6036" s="1930" t="s">
        <v>4628</v>
      </c>
      <c r="B6036" s="1930" t="s">
        <v>4809</v>
      </c>
      <c r="C6036" s="1930" t="s">
        <v>4816</v>
      </c>
      <c r="D6036" s="1930" t="s">
        <v>4817</v>
      </c>
      <c r="E6036" s="1931" t="s">
        <v>33</v>
      </c>
      <c r="F6036" s="1930" t="s">
        <v>33</v>
      </c>
      <c r="G6036" s="1932">
        <v>88246</v>
      </c>
      <c r="H6036" s="1930" t="s">
        <v>69</v>
      </c>
      <c r="I6036" s="1930" t="s">
        <v>65</v>
      </c>
      <c r="J6036" s="1930" t="s">
        <v>320</v>
      </c>
      <c r="K6036" s="1933">
        <v>15.84</v>
      </c>
      <c r="L6036" s="1930" t="s">
        <v>4276</v>
      </c>
    </row>
    <row r="6037" spans="1:12" ht="13.5" x14ac:dyDescent="0.25">
      <c r="A6037" s="1930" t="s">
        <v>4628</v>
      </c>
      <c r="B6037" s="1930" t="s">
        <v>4809</v>
      </c>
      <c r="C6037" s="1930" t="s">
        <v>4816</v>
      </c>
      <c r="D6037" s="1930" t="s">
        <v>4817</v>
      </c>
      <c r="E6037" s="1931" t="s">
        <v>33</v>
      </c>
      <c r="F6037" s="1930" t="s">
        <v>33</v>
      </c>
      <c r="G6037" s="1932">
        <v>88247</v>
      </c>
      <c r="H6037" s="1930" t="s">
        <v>71</v>
      </c>
      <c r="I6037" s="1930" t="s">
        <v>65</v>
      </c>
      <c r="J6037" s="1930" t="s">
        <v>320</v>
      </c>
      <c r="K6037" s="1933">
        <v>16.02</v>
      </c>
      <c r="L6037" s="1930" t="s">
        <v>4276</v>
      </c>
    </row>
    <row r="6038" spans="1:12" ht="13.5" x14ac:dyDescent="0.25">
      <c r="A6038" s="1930" t="s">
        <v>4628</v>
      </c>
      <c r="B6038" s="1930" t="s">
        <v>4809</v>
      </c>
      <c r="C6038" s="1930" t="s">
        <v>4816</v>
      </c>
      <c r="D6038" s="1930" t="s">
        <v>4817</v>
      </c>
      <c r="E6038" s="1931" t="s">
        <v>33</v>
      </c>
      <c r="F6038" s="1930" t="s">
        <v>33</v>
      </c>
      <c r="G6038" s="1932">
        <v>88248</v>
      </c>
      <c r="H6038" s="1930" t="s">
        <v>73</v>
      </c>
      <c r="I6038" s="1930" t="s">
        <v>65</v>
      </c>
      <c r="J6038" s="1930" t="s">
        <v>320</v>
      </c>
      <c r="K6038" s="1933">
        <v>15.55</v>
      </c>
      <c r="L6038" s="1930" t="s">
        <v>4276</v>
      </c>
    </row>
    <row r="6039" spans="1:12" ht="13.5" x14ac:dyDescent="0.25">
      <c r="A6039" s="1930" t="s">
        <v>4628</v>
      </c>
      <c r="B6039" s="1930" t="s">
        <v>4809</v>
      </c>
      <c r="C6039" s="1930" t="s">
        <v>4816</v>
      </c>
      <c r="D6039" s="1930" t="s">
        <v>4817</v>
      </c>
      <c r="E6039" s="1931" t="s">
        <v>33</v>
      </c>
      <c r="F6039" s="1930" t="s">
        <v>33</v>
      </c>
      <c r="G6039" s="1932">
        <v>88249</v>
      </c>
      <c r="H6039" s="1930" t="s">
        <v>4282</v>
      </c>
      <c r="I6039" s="1930" t="s">
        <v>65</v>
      </c>
      <c r="J6039" s="1930" t="s">
        <v>320</v>
      </c>
      <c r="K6039" s="1933">
        <v>29.17</v>
      </c>
      <c r="L6039" s="1930" t="s">
        <v>4276</v>
      </c>
    </row>
    <row r="6040" spans="1:12" ht="13.5" x14ac:dyDescent="0.25">
      <c r="A6040" s="1930" t="s">
        <v>4628</v>
      </c>
      <c r="B6040" s="1930" t="s">
        <v>4809</v>
      </c>
      <c r="C6040" s="1930" t="s">
        <v>4816</v>
      </c>
      <c r="D6040" s="1930" t="s">
        <v>4817</v>
      </c>
      <c r="E6040" s="1931" t="s">
        <v>33</v>
      </c>
      <c r="F6040" s="1930" t="s">
        <v>33</v>
      </c>
      <c r="G6040" s="1932">
        <v>88250</v>
      </c>
      <c r="H6040" s="1930" t="s">
        <v>4283</v>
      </c>
      <c r="I6040" s="1930" t="s">
        <v>65</v>
      </c>
      <c r="J6040" s="1930" t="s">
        <v>320</v>
      </c>
      <c r="K6040" s="1933">
        <v>14.24</v>
      </c>
      <c r="L6040" s="1930" t="s">
        <v>4276</v>
      </c>
    </row>
    <row r="6041" spans="1:12" ht="13.5" x14ac:dyDescent="0.25">
      <c r="A6041" s="1930" t="s">
        <v>4628</v>
      </c>
      <c r="B6041" s="1930" t="s">
        <v>4809</v>
      </c>
      <c r="C6041" s="1930" t="s">
        <v>4816</v>
      </c>
      <c r="D6041" s="1930" t="s">
        <v>4817</v>
      </c>
      <c r="E6041" s="1931" t="s">
        <v>33</v>
      </c>
      <c r="F6041" s="1930" t="s">
        <v>33</v>
      </c>
      <c r="G6041" s="1932">
        <v>88251</v>
      </c>
      <c r="H6041" s="1930" t="s">
        <v>75</v>
      </c>
      <c r="I6041" s="1930" t="s">
        <v>65</v>
      </c>
      <c r="J6041" s="1930" t="s">
        <v>320</v>
      </c>
      <c r="K6041" s="1933">
        <v>16.45</v>
      </c>
      <c r="L6041" s="1930" t="s">
        <v>4276</v>
      </c>
    </row>
    <row r="6042" spans="1:12" ht="13.5" x14ac:dyDescent="0.25">
      <c r="A6042" s="1930" t="s">
        <v>4628</v>
      </c>
      <c r="B6042" s="1930" t="s">
        <v>4809</v>
      </c>
      <c r="C6042" s="1930" t="s">
        <v>4816</v>
      </c>
      <c r="D6042" s="1930" t="s">
        <v>4817</v>
      </c>
      <c r="E6042" s="1931" t="s">
        <v>33</v>
      </c>
      <c r="F6042" s="1930" t="s">
        <v>33</v>
      </c>
      <c r="G6042" s="1932">
        <v>88252</v>
      </c>
      <c r="H6042" s="1930" t="s">
        <v>4284</v>
      </c>
      <c r="I6042" s="1930" t="s">
        <v>65</v>
      </c>
      <c r="J6042" s="1930" t="s">
        <v>320</v>
      </c>
      <c r="K6042" s="1933">
        <v>15.72</v>
      </c>
      <c r="L6042" s="1930" t="s">
        <v>4276</v>
      </c>
    </row>
    <row r="6043" spans="1:12" ht="13.5" x14ac:dyDescent="0.25">
      <c r="A6043" s="1930" t="s">
        <v>4628</v>
      </c>
      <c r="B6043" s="1930" t="s">
        <v>4809</v>
      </c>
      <c r="C6043" s="1930" t="s">
        <v>4816</v>
      </c>
      <c r="D6043" s="1930" t="s">
        <v>4817</v>
      </c>
      <c r="E6043" s="1931" t="s">
        <v>33</v>
      </c>
      <c r="F6043" s="1930" t="s">
        <v>33</v>
      </c>
      <c r="G6043" s="1932">
        <v>88253</v>
      </c>
      <c r="H6043" s="1930" t="s">
        <v>4285</v>
      </c>
      <c r="I6043" s="1930" t="s">
        <v>65</v>
      </c>
      <c r="J6043" s="1930" t="s">
        <v>320</v>
      </c>
      <c r="K6043" s="1933">
        <v>10.72</v>
      </c>
      <c r="L6043" s="1930" t="s">
        <v>4276</v>
      </c>
    </row>
    <row r="6044" spans="1:12" ht="13.5" x14ac:dyDescent="0.25">
      <c r="A6044" s="1930" t="s">
        <v>4628</v>
      </c>
      <c r="B6044" s="1930" t="s">
        <v>4809</v>
      </c>
      <c r="C6044" s="1930" t="s">
        <v>4816</v>
      </c>
      <c r="D6044" s="1930" t="s">
        <v>4817</v>
      </c>
      <c r="E6044" s="1931" t="s">
        <v>33</v>
      </c>
      <c r="F6044" s="1930" t="s">
        <v>33</v>
      </c>
      <c r="G6044" s="1932">
        <v>88255</v>
      </c>
      <c r="H6044" s="1930" t="s">
        <v>4286</v>
      </c>
      <c r="I6044" s="1930" t="s">
        <v>65</v>
      </c>
      <c r="J6044" s="1930" t="s">
        <v>320</v>
      </c>
      <c r="K6044" s="1933">
        <v>30.08</v>
      </c>
      <c r="L6044" s="1930" t="s">
        <v>4276</v>
      </c>
    </row>
    <row r="6045" spans="1:12" ht="13.5" x14ac:dyDescent="0.25">
      <c r="A6045" s="1930" t="s">
        <v>4628</v>
      </c>
      <c r="B6045" s="1930" t="s">
        <v>4809</v>
      </c>
      <c r="C6045" s="1930" t="s">
        <v>4816</v>
      </c>
      <c r="D6045" s="1930" t="s">
        <v>4817</v>
      </c>
      <c r="E6045" s="1931" t="s">
        <v>33</v>
      </c>
      <c r="F6045" s="1930" t="s">
        <v>33</v>
      </c>
      <c r="G6045" s="1932">
        <v>88256</v>
      </c>
      <c r="H6045" s="1930" t="s">
        <v>77</v>
      </c>
      <c r="I6045" s="1930" t="s">
        <v>65</v>
      </c>
      <c r="J6045" s="1930" t="s">
        <v>320</v>
      </c>
      <c r="K6045" s="1933">
        <v>20.09</v>
      </c>
      <c r="L6045" s="1930" t="s">
        <v>4276</v>
      </c>
    </row>
    <row r="6046" spans="1:12" ht="13.5" x14ac:dyDescent="0.25">
      <c r="A6046" s="1930" t="s">
        <v>4628</v>
      </c>
      <c r="B6046" s="1930" t="s">
        <v>4809</v>
      </c>
      <c r="C6046" s="1930" t="s">
        <v>4816</v>
      </c>
      <c r="D6046" s="1930" t="s">
        <v>4817</v>
      </c>
      <c r="E6046" s="1931" t="s">
        <v>33</v>
      </c>
      <c r="F6046" s="1930" t="s">
        <v>33</v>
      </c>
      <c r="G6046" s="1932">
        <v>88257</v>
      </c>
      <c r="H6046" s="1930" t="s">
        <v>4287</v>
      </c>
      <c r="I6046" s="1930" t="s">
        <v>65</v>
      </c>
      <c r="J6046" s="1930" t="s">
        <v>320</v>
      </c>
      <c r="K6046" s="1933">
        <v>15.06</v>
      </c>
      <c r="L6046" s="1930" t="s">
        <v>4276</v>
      </c>
    </row>
    <row r="6047" spans="1:12" ht="13.5" x14ac:dyDescent="0.25">
      <c r="A6047" s="1930" t="s">
        <v>4628</v>
      </c>
      <c r="B6047" s="1930" t="s">
        <v>4809</v>
      </c>
      <c r="C6047" s="1930" t="s">
        <v>4816</v>
      </c>
      <c r="D6047" s="1930" t="s">
        <v>4817</v>
      </c>
      <c r="E6047" s="1931" t="s">
        <v>33</v>
      </c>
      <c r="F6047" s="1930" t="s">
        <v>33</v>
      </c>
      <c r="G6047" s="1932">
        <v>88258</v>
      </c>
      <c r="H6047" s="1930" t="s">
        <v>4288</v>
      </c>
      <c r="I6047" s="1930" t="s">
        <v>65</v>
      </c>
      <c r="J6047" s="1930" t="s">
        <v>320</v>
      </c>
      <c r="K6047" s="1933">
        <v>23.56</v>
      </c>
      <c r="L6047" s="1930" t="s">
        <v>4276</v>
      </c>
    </row>
    <row r="6048" spans="1:12" ht="13.5" x14ac:dyDescent="0.25">
      <c r="A6048" s="1930" t="s">
        <v>4628</v>
      </c>
      <c r="B6048" s="1930" t="s">
        <v>4809</v>
      </c>
      <c r="C6048" s="1930" t="s">
        <v>4816</v>
      </c>
      <c r="D6048" s="1930" t="s">
        <v>4817</v>
      </c>
      <c r="E6048" s="1931" t="s">
        <v>33</v>
      </c>
      <c r="F6048" s="1930" t="s">
        <v>33</v>
      </c>
      <c r="G6048" s="1932">
        <v>88259</v>
      </c>
      <c r="H6048" s="1930" t="s">
        <v>4289</v>
      </c>
      <c r="I6048" s="1930" t="s">
        <v>65</v>
      </c>
      <c r="J6048" s="1930" t="s">
        <v>320</v>
      </c>
      <c r="K6048" s="1933">
        <v>23.2</v>
      </c>
      <c r="L6048" s="1930" t="s">
        <v>4276</v>
      </c>
    </row>
    <row r="6049" spans="1:12" ht="13.5" x14ac:dyDescent="0.25">
      <c r="A6049" s="1930" t="s">
        <v>4628</v>
      </c>
      <c r="B6049" s="1930" t="s">
        <v>4809</v>
      </c>
      <c r="C6049" s="1930" t="s">
        <v>4816</v>
      </c>
      <c r="D6049" s="1930" t="s">
        <v>4817</v>
      </c>
      <c r="E6049" s="1931" t="s">
        <v>33</v>
      </c>
      <c r="F6049" s="1930" t="s">
        <v>33</v>
      </c>
      <c r="G6049" s="1932">
        <v>88260</v>
      </c>
      <c r="H6049" s="1930" t="s">
        <v>4290</v>
      </c>
      <c r="I6049" s="1930" t="s">
        <v>65</v>
      </c>
      <c r="J6049" s="1930" t="s">
        <v>320</v>
      </c>
      <c r="K6049" s="1933">
        <v>18.98</v>
      </c>
      <c r="L6049" s="1930" t="s">
        <v>4276</v>
      </c>
    </row>
    <row r="6050" spans="1:12" ht="13.5" x14ac:dyDescent="0.25">
      <c r="A6050" s="1930" t="s">
        <v>4628</v>
      </c>
      <c r="B6050" s="1930" t="s">
        <v>4809</v>
      </c>
      <c r="C6050" s="1930" t="s">
        <v>4816</v>
      </c>
      <c r="D6050" s="1930" t="s">
        <v>4817</v>
      </c>
      <c r="E6050" s="1931" t="s">
        <v>33</v>
      </c>
      <c r="F6050" s="1930" t="s">
        <v>33</v>
      </c>
      <c r="G6050" s="1932">
        <v>88261</v>
      </c>
      <c r="H6050" s="1930" t="s">
        <v>4291</v>
      </c>
      <c r="I6050" s="1930" t="s">
        <v>65</v>
      </c>
      <c r="J6050" s="1930" t="s">
        <v>320</v>
      </c>
      <c r="K6050" s="1933">
        <v>20.05</v>
      </c>
      <c r="L6050" s="1930" t="s">
        <v>4276</v>
      </c>
    </row>
    <row r="6051" spans="1:12" ht="13.5" x14ac:dyDescent="0.25">
      <c r="A6051" s="1930" t="s">
        <v>4628</v>
      </c>
      <c r="B6051" s="1930" t="s">
        <v>4809</v>
      </c>
      <c r="C6051" s="1930" t="s">
        <v>4816</v>
      </c>
      <c r="D6051" s="1930" t="s">
        <v>4817</v>
      </c>
      <c r="E6051" s="1931" t="s">
        <v>33</v>
      </c>
      <c r="F6051" s="1930" t="s">
        <v>33</v>
      </c>
      <c r="G6051" s="1932">
        <v>88262</v>
      </c>
      <c r="H6051" s="1930" t="s">
        <v>80</v>
      </c>
      <c r="I6051" s="1930" t="s">
        <v>65</v>
      </c>
      <c r="J6051" s="1930" t="s">
        <v>346</v>
      </c>
      <c r="K6051" s="1933">
        <v>20.02</v>
      </c>
      <c r="L6051" s="1930" t="s">
        <v>4276</v>
      </c>
    </row>
    <row r="6052" spans="1:12" ht="13.5" x14ac:dyDescent="0.25">
      <c r="A6052" s="1930" t="s">
        <v>4628</v>
      </c>
      <c r="B6052" s="1930" t="s">
        <v>4809</v>
      </c>
      <c r="C6052" s="1930" t="s">
        <v>4816</v>
      </c>
      <c r="D6052" s="1930" t="s">
        <v>4817</v>
      </c>
      <c r="E6052" s="1931" t="s">
        <v>33</v>
      </c>
      <c r="F6052" s="1930" t="s">
        <v>33</v>
      </c>
      <c r="G6052" s="1932">
        <v>88263</v>
      </c>
      <c r="H6052" s="1930" t="s">
        <v>4292</v>
      </c>
      <c r="I6052" s="1930" t="s">
        <v>65</v>
      </c>
      <c r="J6052" s="1930" t="s">
        <v>320</v>
      </c>
      <c r="K6052" s="1933">
        <v>13.66</v>
      </c>
      <c r="L6052" s="1930" t="s">
        <v>4276</v>
      </c>
    </row>
    <row r="6053" spans="1:12" ht="13.5" x14ac:dyDescent="0.25">
      <c r="A6053" s="1930" t="s">
        <v>4628</v>
      </c>
      <c r="B6053" s="1930" t="s">
        <v>4809</v>
      </c>
      <c r="C6053" s="1930" t="s">
        <v>4816</v>
      </c>
      <c r="D6053" s="1930" t="s">
        <v>4817</v>
      </c>
      <c r="E6053" s="1931" t="s">
        <v>33</v>
      </c>
      <c r="F6053" s="1930" t="s">
        <v>33</v>
      </c>
      <c r="G6053" s="1932">
        <v>88264</v>
      </c>
      <c r="H6053" s="1930" t="s">
        <v>81</v>
      </c>
      <c r="I6053" s="1930" t="s">
        <v>65</v>
      </c>
      <c r="J6053" s="1930" t="s">
        <v>346</v>
      </c>
      <c r="K6053" s="1933">
        <v>20.329999999999998</v>
      </c>
      <c r="L6053" s="1930" t="s">
        <v>4276</v>
      </c>
    </row>
    <row r="6054" spans="1:12" ht="13.5" x14ac:dyDescent="0.25">
      <c r="A6054" s="1930" t="s">
        <v>4628</v>
      </c>
      <c r="B6054" s="1930" t="s">
        <v>4809</v>
      </c>
      <c r="C6054" s="1930" t="s">
        <v>4816</v>
      </c>
      <c r="D6054" s="1930" t="s">
        <v>4817</v>
      </c>
      <c r="E6054" s="1931" t="s">
        <v>33</v>
      </c>
      <c r="F6054" s="1930" t="s">
        <v>33</v>
      </c>
      <c r="G6054" s="1932">
        <v>88265</v>
      </c>
      <c r="H6054" s="1930" t="s">
        <v>4293</v>
      </c>
      <c r="I6054" s="1930" t="s">
        <v>65</v>
      </c>
      <c r="J6054" s="1930" t="s">
        <v>320</v>
      </c>
      <c r="K6054" s="1933">
        <v>20.329999999999998</v>
      </c>
      <c r="L6054" s="1930" t="s">
        <v>4276</v>
      </c>
    </row>
    <row r="6055" spans="1:12" ht="13.5" x14ac:dyDescent="0.25">
      <c r="A6055" s="1930" t="s">
        <v>4628</v>
      </c>
      <c r="B6055" s="1930" t="s">
        <v>4809</v>
      </c>
      <c r="C6055" s="1930" t="s">
        <v>4816</v>
      </c>
      <c r="D6055" s="1930" t="s">
        <v>4817</v>
      </c>
      <c r="E6055" s="1931" t="s">
        <v>33</v>
      </c>
      <c r="F6055" s="1930" t="s">
        <v>33</v>
      </c>
      <c r="G6055" s="1932">
        <v>88266</v>
      </c>
      <c r="H6055" s="1930" t="s">
        <v>4294</v>
      </c>
      <c r="I6055" s="1930" t="s">
        <v>65</v>
      </c>
      <c r="J6055" s="1930" t="s">
        <v>320</v>
      </c>
      <c r="K6055" s="1933">
        <v>27.12</v>
      </c>
      <c r="L6055" s="1930" t="s">
        <v>4276</v>
      </c>
    </row>
    <row r="6056" spans="1:12" ht="13.5" x14ac:dyDescent="0.25">
      <c r="A6056" s="1930" t="s">
        <v>4628</v>
      </c>
      <c r="B6056" s="1930" t="s">
        <v>4809</v>
      </c>
      <c r="C6056" s="1930" t="s">
        <v>4816</v>
      </c>
      <c r="D6056" s="1930" t="s">
        <v>4817</v>
      </c>
      <c r="E6056" s="1931" t="s">
        <v>33</v>
      </c>
      <c r="F6056" s="1930" t="s">
        <v>33</v>
      </c>
      <c r="G6056" s="1932">
        <v>88267</v>
      </c>
      <c r="H6056" s="1930" t="s">
        <v>83</v>
      </c>
      <c r="I6056" s="1930" t="s">
        <v>65</v>
      </c>
      <c r="J6056" s="1930" t="s">
        <v>346</v>
      </c>
      <c r="K6056" s="1933">
        <v>19.73</v>
      </c>
      <c r="L6056" s="1930" t="s">
        <v>4276</v>
      </c>
    </row>
    <row r="6057" spans="1:12" ht="13.5" x14ac:dyDescent="0.25">
      <c r="A6057" s="1930" t="s">
        <v>4628</v>
      </c>
      <c r="B6057" s="1930" t="s">
        <v>4809</v>
      </c>
      <c r="C6057" s="1930" t="s">
        <v>4816</v>
      </c>
      <c r="D6057" s="1930" t="s">
        <v>4817</v>
      </c>
      <c r="E6057" s="1931" t="s">
        <v>33</v>
      </c>
      <c r="F6057" s="1930" t="s">
        <v>33</v>
      </c>
      <c r="G6057" s="1932">
        <v>88268</v>
      </c>
      <c r="H6057" s="1930" t="s">
        <v>4295</v>
      </c>
      <c r="I6057" s="1930" t="s">
        <v>65</v>
      </c>
      <c r="J6057" s="1930" t="s">
        <v>320</v>
      </c>
      <c r="K6057" s="1933">
        <v>20.73</v>
      </c>
      <c r="L6057" s="1930" t="s">
        <v>4276</v>
      </c>
    </row>
    <row r="6058" spans="1:12" ht="13.5" x14ac:dyDescent="0.25">
      <c r="A6058" s="1930" t="s">
        <v>4628</v>
      </c>
      <c r="B6058" s="1930" t="s">
        <v>4809</v>
      </c>
      <c r="C6058" s="1930" t="s">
        <v>4816</v>
      </c>
      <c r="D6058" s="1930" t="s">
        <v>4817</v>
      </c>
      <c r="E6058" s="1931" t="s">
        <v>33</v>
      </c>
      <c r="F6058" s="1930" t="s">
        <v>33</v>
      </c>
      <c r="G6058" s="1932">
        <v>88269</v>
      </c>
      <c r="H6058" s="1930" t="s">
        <v>84</v>
      </c>
      <c r="I6058" s="1930" t="s">
        <v>65</v>
      </c>
      <c r="J6058" s="1930" t="s">
        <v>320</v>
      </c>
      <c r="K6058" s="1933">
        <v>20.059999999999999</v>
      </c>
      <c r="L6058" s="1930" t="s">
        <v>4276</v>
      </c>
    </row>
    <row r="6059" spans="1:12" ht="13.5" x14ac:dyDescent="0.25">
      <c r="A6059" s="1930" t="s">
        <v>4628</v>
      </c>
      <c r="B6059" s="1930" t="s">
        <v>4809</v>
      </c>
      <c r="C6059" s="1930" t="s">
        <v>4816</v>
      </c>
      <c r="D6059" s="1930" t="s">
        <v>4817</v>
      </c>
      <c r="E6059" s="1931" t="s">
        <v>33</v>
      </c>
      <c r="F6059" s="1930" t="s">
        <v>33</v>
      </c>
      <c r="G6059" s="1932">
        <v>88270</v>
      </c>
      <c r="H6059" s="1930" t="s">
        <v>100</v>
      </c>
      <c r="I6059" s="1930" t="s">
        <v>65</v>
      </c>
      <c r="J6059" s="1930" t="s">
        <v>320</v>
      </c>
      <c r="K6059" s="1933">
        <v>20.149999999999999</v>
      </c>
      <c r="L6059" s="1930" t="s">
        <v>4276</v>
      </c>
    </row>
    <row r="6060" spans="1:12" ht="13.5" x14ac:dyDescent="0.25">
      <c r="A6060" s="1930" t="s">
        <v>4628</v>
      </c>
      <c r="B6060" s="1930" t="s">
        <v>4809</v>
      </c>
      <c r="C6060" s="1930" t="s">
        <v>4816</v>
      </c>
      <c r="D6060" s="1930" t="s">
        <v>4817</v>
      </c>
      <c r="E6060" s="1931" t="s">
        <v>33</v>
      </c>
      <c r="F6060" s="1930" t="s">
        <v>33</v>
      </c>
      <c r="G6060" s="1932">
        <v>88272</v>
      </c>
      <c r="H6060" s="1930" t="s">
        <v>4296</v>
      </c>
      <c r="I6060" s="1930" t="s">
        <v>65</v>
      </c>
      <c r="J6060" s="1930" t="s">
        <v>320</v>
      </c>
      <c r="K6060" s="1933">
        <v>20.350000000000001</v>
      </c>
      <c r="L6060" s="1930" t="s">
        <v>4276</v>
      </c>
    </row>
    <row r="6061" spans="1:12" ht="13.5" x14ac:dyDescent="0.25">
      <c r="A6061" s="1930" t="s">
        <v>4628</v>
      </c>
      <c r="B6061" s="1930" t="s">
        <v>4809</v>
      </c>
      <c r="C6061" s="1930" t="s">
        <v>4816</v>
      </c>
      <c r="D6061" s="1930" t="s">
        <v>4817</v>
      </c>
      <c r="E6061" s="1931" t="s">
        <v>33</v>
      </c>
      <c r="F6061" s="1930" t="s">
        <v>33</v>
      </c>
      <c r="G6061" s="1932">
        <v>88273</v>
      </c>
      <c r="H6061" s="1930" t="s">
        <v>4297</v>
      </c>
      <c r="I6061" s="1930" t="s">
        <v>65</v>
      </c>
      <c r="J6061" s="1930" t="s">
        <v>320</v>
      </c>
      <c r="K6061" s="1933">
        <v>20.36</v>
      </c>
      <c r="L6061" s="1930" t="s">
        <v>4276</v>
      </c>
    </row>
    <row r="6062" spans="1:12" ht="13.5" x14ac:dyDescent="0.25">
      <c r="A6062" s="1930" t="s">
        <v>4628</v>
      </c>
      <c r="B6062" s="1930" t="s">
        <v>4809</v>
      </c>
      <c r="C6062" s="1930" t="s">
        <v>4816</v>
      </c>
      <c r="D6062" s="1930" t="s">
        <v>4817</v>
      </c>
      <c r="E6062" s="1931" t="s">
        <v>33</v>
      </c>
      <c r="F6062" s="1930" t="s">
        <v>33</v>
      </c>
      <c r="G6062" s="1932">
        <v>88274</v>
      </c>
      <c r="H6062" s="1930" t="s">
        <v>4298</v>
      </c>
      <c r="I6062" s="1930" t="s">
        <v>65</v>
      </c>
      <c r="J6062" s="1930" t="s">
        <v>320</v>
      </c>
      <c r="K6062" s="1933">
        <v>16.940000000000001</v>
      </c>
      <c r="L6062" s="1930" t="s">
        <v>4276</v>
      </c>
    </row>
    <row r="6063" spans="1:12" ht="13.5" x14ac:dyDescent="0.25">
      <c r="A6063" s="1930" t="s">
        <v>4628</v>
      </c>
      <c r="B6063" s="1930" t="s">
        <v>4809</v>
      </c>
      <c r="C6063" s="1930" t="s">
        <v>4816</v>
      </c>
      <c r="D6063" s="1930" t="s">
        <v>4817</v>
      </c>
      <c r="E6063" s="1931" t="s">
        <v>33</v>
      </c>
      <c r="F6063" s="1930" t="s">
        <v>33</v>
      </c>
      <c r="G6063" s="1932">
        <v>88275</v>
      </c>
      <c r="H6063" s="1930" t="s">
        <v>4299</v>
      </c>
      <c r="I6063" s="1930" t="s">
        <v>65</v>
      </c>
      <c r="J6063" s="1930" t="s">
        <v>320</v>
      </c>
      <c r="K6063" s="1933">
        <v>21.12</v>
      </c>
      <c r="L6063" s="1930" t="s">
        <v>4276</v>
      </c>
    </row>
    <row r="6064" spans="1:12" ht="13.5" x14ac:dyDescent="0.25">
      <c r="A6064" s="1930" t="s">
        <v>4628</v>
      </c>
      <c r="B6064" s="1930" t="s">
        <v>4809</v>
      </c>
      <c r="C6064" s="1930" t="s">
        <v>4816</v>
      </c>
      <c r="D6064" s="1930" t="s">
        <v>4817</v>
      </c>
      <c r="E6064" s="1931" t="s">
        <v>33</v>
      </c>
      <c r="F6064" s="1930" t="s">
        <v>33</v>
      </c>
      <c r="G6064" s="1932">
        <v>88277</v>
      </c>
      <c r="H6064" s="1930" t="s">
        <v>4300</v>
      </c>
      <c r="I6064" s="1930" t="s">
        <v>65</v>
      </c>
      <c r="J6064" s="1930" t="s">
        <v>320</v>
      </c>
      <c r="K6064" s="1933">
        <v>16.02</v>
      </c>
      <c r="L6064" s="1930" t="s">
        <v>4276</v>
      </c>
    </row>
    <row r="6065" spans="1:12" ht="13.5" x14ac:dyDescent="0.25">
      <c r="A6065" s="1930" t="s">
        <v>4628</v>
      </c>
      <c r="B6065" s="1930" t="s">
        <v>4809</v>
      </c>
      <c r="C6065" s="1930" t="s">
        <v>4816</v>
      </c>
      <c r="D6065" s="1930" t="s">
        <v>4817</v>
      </c>
      <c r="E6065" s="1931" t="s">
        <v>33</v>
      </c>
      <c r="F6065" s="1930" t="s">
        <v>33</v>
      </c>
      <c r="G6065" s="1932">
        <v>88278</v>
      </c>
      <c r="H6065" s="1930" t="s">
        <v>4301</v>
      </c>
      <c r="I6065" s="1930" t="s">
        <v>65</v>
      </c>
      <c r="J6065" s="1930" t="s">
        <v>320</v>
      </c>
      <c r="K6065" s="1933">
        <v>15.49</v>
      </c>
      <c r="L6065" s="1930" t="s">
        <v>4276</v>
      </c>
    </row>
    <row r="6066" spans="1:12" ht="13.5" x14ac:dyDescent="0.25">
      <c r="A6066" s="1930" t="s">
        <v>4628</v>
      </c>
      <c r="B6066" s="1930" t="s">
        <v>4809</v>
      </c>
      <c r="C6066" s="1930" t="s">
        <v>4816</v>
      </c>
      <c r="D6066" s="1930" t="s">
        <v>4817</v>
      </c>
      <c r="E6066" s="1931" t="s">
        <v>33</v>
      </c>
      <c r="F6066" s="1930" t="s">
        <v>33</v>
      </c>
      <c r="G6066" s="1932">
        <v>88279</v>
      </c>
      <c r="H6066" s="1930" t="s">
        <v>4302</v>
      </c>
      <c r="I6066" s="1930" t="s">
        <v>65</v>
      </c>
      <c r="J6066" s="1930" t="s">
        <v>320</v>
      </c>
      <c r="K6066" s="1933">
        <v>21.03</v>
      </c>
      <c r="L6066" s="1930" t="s">
        <v>4276</v>
      </c>
    </row>
    <row r="6067" spans="1:12" ht="13.5" x14ac:dyDescent="0.25">
      <c r="A6067" s="1930" t="s">
        <v>4628</v>
      </c>
      <c r="B6067" s="1930" t="s">
        <v>4809</v>
      </c>
      <c r="C6067" s="1930" t="s">
        <v>4816</v>
      </c>
      <c r="D6067" s="1930" t="s">
        <v>4817</v>
      </c>
      <c r="E6067" s="1931" t="s">
        <v>33</v>
      </c>
      <c r="F6067" s="1930" t="s">
        <v>33</v>
      </c>
      <c r="G6067" s="1932">
        <v>88281</v>
      </c>
      <c r="H6067" s="1930" t="s">
        <v>4303</v>
      </c>
      <c r="I6067" s="1930" t="s">
        <v>65</v>
      </c>
      <c r="J6067" s="1930" t="s">
        <v>320</v>
      </c>
      <c r="K6067" s="1933">
        <v>16.010000000000002</v>
      </c>
      <c r="L6067" s="1930" t="s">
        <v>4276</v>
      </c>
    </row>
    <row r="6068" spans="1:12" ht="13.5" x14ac:dyDescent="0.25">
      <c r="A6068" s="1930" t="s">
        <v>4628</v>
      </c>
      <c r="B6068" s="1930" t="s">
        <v>4809</v>
      </c>
      <c r="C6068" s="1930" t="s">
        <v>4816</v>
      </c>
      <c r="D6068" s="1930" t="s">
        <v>4817</v>
      </c>
      <c r="E6068" s="1931" t="s">
        <v>33</v>
      </c>
      <c r="F6068" s="1930" t="s">
        <v>33</v>
      </c>
      <c r="G6068" s="1932">
        <v>88282</v>
      </c>
      <c r="H6068" s="1930" t="s">
        <v>101</v>
      </c>
      <c r="I6068" s="1930" t="s">
        <v>65</v>
      </c>
      <c r="J6068" s="1930" t="s">
        <v>320</v>
      </c>
      <c r="K6068" s="1933">
        <v>16.68</v>
      </c>
      <c r="L6068" s="1930" t="s">
        <v>4276</v>
      </c>
    </row>
    <row r="6069" spans="1:12" ht="13.5" x14ac:dyDescent="0.25">
      <c r="A6069" s="1930" t="s">
        <v>4628</v>
      </c>
      <c r="B6069" s="1930" t="s">
        <v>4809</v>
      </c>
      <c r="C6069" s="1930" t="s">
        <v>4816</v>
      </c>
      <c r="D6069" s="1930" t="s">
        <v>4817</v>
      </c>
      <c r="E6069" s="1931" t="s">
        <v>33</v>
      </c>
      <c r="F6069" s="1930" t="s">
        <v>33</v>
      </c>
      <c r="G6069" s="1932">
        <v>88283</v>
      </c>
      <c r="H6069" s="1930" t="s">
        <v>4304</v>
      </c>
      <c r="I6069" s="1930" t="s">
        <v>65</v>
      </c>
      <c r="J6069" s="1930" t="s">
        <v>320</v>
      </c>
      <c r="K6069" s="1933">
        <v>20.58</v>
      </c>
      <c r="L6069" s="1930" t="s">
        <v>4276</v>
      </c>
    </row>
    <row r="6070" spans="1:12" ht="13.5" x14ac:dyDescent="0.25">
      <c r="A6070" s="1930" t="s">
        <v>4628</v>
      </c>
      <c r="B6070" s="1930" t="s">
        <v>4809</v>
      </c>
      <c r="C6070" s="1930" t="s">
        <v>4816</v>
      </c>
      <c r="D6070" s="1930" t="s">
        <v>4817</v>
      </c>
      <c r="E6070" s="1931" t="s">
        <v>33</v>
      </c>
      <c r="F6070" s="1930" t="s">
        <v>33</v>
      </c>
      <c r="G6070" s="1932">
        <v>88284</v>
      </c>
      <c r="H6070" s="1930" t="s">
        <v>4305</v>
      </c>
      <c r="I6070" s="1930" t="s">
        <v>65</v>
      </c>
      <c r="J6070" s="1930" t="s">
        <v>320</v>
      </c>
      <c r="K6070" s="1933">
        <v>15.77</v>
      </c>
      <c r="L6070" s="1930" t="s">
        <v>4276</v>
      </c>
    </row>
    <row r="6071" spans="1:12" ht="13.5" x14ac:dyDescent="0.25">
      <c r="A6071" s="1930" t="s">
        <v>4628</v>
      </c>
      <c r="B6071" s="1930" t="s">
        <v>4809</v>
      </c>
      <c r="C6071" s="1930" t="s">
        <v>4816</v>
      </c>
      <c r="D6071" s="1930" t="s">
        <v>4817</v>
      </c>
      <c r="E6071" s="1931" t="s">
        <v>33</v>
      </c>
      <c r="F6071" s="1930" t="s">
        <v>33</v>
      </c>
      <c r="G6071" s="1932">
        <v>88285</v>
      </c>
      <c r="H6071" s="1930" t="s">
        <v>4306</v>
      </c>
      <c r="I6071" s="1930" t="s">
        <v>65</v>
      </c>
      <c r="J6071" s="1930" t="s">
        <v>320</v>
      </c>
      <c r="K6071" s="1933">
        <v>15.7</v>
      </c>
      <c r="L6071" s="1930" t="s">
        <v>4276</v>
      </c>
    </row>
    <row r="6072" spans="1:12" ht="13.5" x14ac:dyDescent="0.25">
      <c r="A6072" s="1930" t="s">
        <v>4628</v>
      </c>
      <c r="B6072" s="1930" t="s">
        <v>4809</v>
      </c>
      <c r="C6072" s="1930" t="s">
        <v>4816</v>
      </c>
      <c r="D6072" s="1930" t="s">
        <v>4817</v>
      </c>
      <c r="E6072" s="1931" t="s">
        <v>33</v>
      </c>
      <c r="F6072" s="1930" t="s">
        <v>33</v>
      </c>
      <c r="G6072" s="1932">
        <v>88286</v>
      </c>
      <c r="H6072" s="1930" t="s">
        <v>4307</v>
      </c>
      <c r="I6072" s="1930" t="s">
        <v>65</v>
      </c>
      <c r="J6072" s="1930" t="s">
        <v>320</v>
      </c>
      <c r="K6072" s="1933">
        <v>15.86</v>
      </c>
      <c r="L6072" s="1930" t="s">
        <v>4276</v>
      </c>
    </row>
    <row r="6073" spans="1:12" ht="13.5" x14ac:dyDescent="0.25">
      <c r="A6073" s="1930" t="s">
        <v>4628</v>
      </c>
      <c r="B6073" s="1930" t="s">
        <v>4809</v>
      </c>
      <c r="C6073" s="1930" t="s">
        <v>4816</v>
      </c>
      <c r="D6073" s="1930" t="s">
        <v>4817</v>
      </c>
      <c r="E6073" s="1931" t="s">
        <v>33</v>
      </c>
      <c r="F6073" s="1930" t="s">
        <v>33</v>
      </c>
      <c r="G6073" s="1932">
        <v>88288</v>
      </c>
      <c r="H6073" s="1930" t="s">
        <v>4308</v>
      </c>
      <c r="I6073" s="1930" t="s">
        <v>65</v>
      </c>
      <c r="J6073" s="1930" t="s">
        <v>320</v>
      </c>
      <c r="K6073" s="1933">
        <v>12.24</v>
      </c>
      <c r="L6073" s="1930" t="s">
        <v>4276</v>
      </c>
    </row>
    <row r="6074" spans="1:12" ht="13.5" x14ac:dyDescent="0.25">
      <c r="A6074" s="1930" t="s">
        <v>4628</v>
      </c>
      <c r="B6074" s="1930" t="s">
        <v>4809</v>
      </c>
      <c r="C6074" s="1930" t="s">
        <v>4816</v>
      </c>
      <c r="D6074" s="1930" t="s">
        <v>4817</v>
      </c>
      <c r="E6074" s="1931" t="s">
        <v>33</v>
      </c>
      <c r="F6074" s="1930" t="s">
        <v>33</v>
      </c>
      <c r="G6074" s="1932">
        <v>88291</v>
      </c>
      <c r="H6074" s="1930" t="s">
        <v>4309</v>
      </c>
      <c r="I6074" s="1930" t="s">
        <v>65</v>
      </c>
      <c r="J6074" s="1930" t="s">
        <v>320</v>
      </c>
      <c r="K6074" s="1933">
        <v>15.54</v>
      </c>
      <c r="L6074" s="1930" t="s">
        <v>4276</v>
      </c>
    </row>
    <row r="6075" spans="1:12" ht="13.5" x14ac:dyDescent="0.25">
      <c r="A6075" s="1930" t="s">
        <v>4628</v>
      </c>
      <c r="B6075" s="1930" t="s">
        <v>4809</v>
      </c>
      <c r="C6075" s="1930" t="s">
        <v>4816</v>
      </c>
      <c r="D6075" s="1930" t="s">
        <v>4817</v>
      </c>
      <c r="E6075" s="1931" t="s">
        <v>33</v>
      </c>
      <c r="F6075" s="1930" t="s">
        <v>33</v>
      </c>
      <c r="G6075" s="1932">
        <v>88292</v>
      </c>
      <c r="H6075" s="1930" t="s">
        <v>4310</v>
      </c>
      <c r="I6075" s="1930" t="s">
        <v>65</v>
      </c>
      <c r="J6075" s="1930" t="s">
        <v>320</v>
      </c>
      <c r="K6075" s="1933">
        <v>15.82</v>
      </c>
      <c r="L6075" s="1930" t="s">
        <v>4276</v>
      </c>
    </row>
    <row r="6076" spans="1:12" ht="13.5" x14ac:dyDescent="0.25">
      <c r="A6076" s="1930" t="s">
        <v>4628</v>
      </c>
      <c r="B6076" s="1930" t="s">
        <v>4809</v>
      </c>
      <c r="C6076" s="1930" t="s">
        <v>4816</v>
      </c>
      <c r="D6076" s="1930" t="s">
        <v>4817</v>
      </c>
      <c r="E6076" s="1931" t="s">
        <v>33</v>
      </c>
      <c r="F6076" s="1930" t="s">
        <v>33</v>
      </c>
      <c r="G6076" s="1932">
        <v>88293</v>
      </c>
      <c r="H6076" s="1930" t="s">
        <v>4311</v>
      </c>
      <c r="I6076" s="1930" t="s">
        <v>65</v>
      </c>
      <c r="J6076" s="1930" t="s">
        <v>320</v>
      </c>
      <c r="K6076" s="1933">
        <v>17.98</v>
      </c>
      <c r="L6076" s="1930" t="s">
        <v>4276</v>
      </c>
    </row>
    <row r="6077" spans="1:12" ht="13.5" x14ac:dyDescent="0.25">
      <c r="A6077" s="1930" t="s">
        <v>4628</v>
      </c>
      <c r="B6077" s="1930" t="s">
        <v>4809</v>
      </c>
      <c r="C6077" s="1930" t="s">
        <v>4816</v>
      </c>
      <c r="D6077" s="1930" t="s">
        <v>4817</v>
      </c>
      <c r="E6077" s="1931" t="s">
        <v>33</v>
      </c>
      <c r="F6077" s="1930" t="s">
        <v>33</v>
      </c>
      <c r="G6077" s="1932">
        <v>88294</v>
      </c>
      <c r="H6077" s="1930" t="s">
        <v>103</v>
      </c>
      <c r="I6077" s="1930" t="s">
        <v>65</v>
      </c>
      <c r="J6077" s="1930" t="s">
        <v>346</v>
      </c>
      <c r="K6077" s="1933">
        <v>19.27</v>
      </c>
      <c r="L6077" s="1930" t="s">
        <v>4276</v>
      </c>
    </row>
    <row r="6078" spans="1:12" ht="13.5" x14ac:dyDescent="0.25">
      <c r="A6078" s="1930" t="s">
        <v>4628</v>
      </c>
      <c r="B6078" s="1930" t="s">
        <v>4809</v>
      </c>
      <c r="C6078" s="1930" t="s">
        <v>4816</v>
      </c>
      <c r="D6078" s="1930" t="s">
        <v>4817</v>
      </c>
      <c r="E6078" s="1931" t="s">
        <v>33</v>
      </c>
      <c r="F6078" s="1930" t="s">
        <v>33</v>
      </c>
      <c r="G6078" s="1932">
        <v>88295</v>
      </c>
      <c r="H6078" s="1930" t="s">
        <v>4312</v>
      </c>
      <c r="I6078" s="1930" t="s">
        <v>65</v>
      </c>
      <c r="J6078" s="1930" t="s">
        <v>320</v>
      </c>
      <c r="K6078" s="1933">
        <v>15.86</v>
      </c>
      <c r="L6078" s="1930" t="s">
        <v>4276</v>
      </c>
    </row>
    <row r="6079" spans="1:12" ht="13.5" x14ac:dyDescent="0.25">
      <c r="A6079" s="1930" t="s">
        <v>4628</v>
      </c>
      <c r="B6079" s="1930" t="s">
        <v>4809</v>
      </c>
      <c r="C6079" s="1930" t="s">
        <v>4816</v>
      </c>
      <c r="D6079" s="1930" t="s">
        <v>4817</v>
      </c>
      <c r="E6079" s="1931" t="s">
        <v>33</v>
      </c>
      <c r="F6079" s="1930" t="s">
        <v>33</v>
      </c>
      <c r="G6079" s="1932">
        <v>88296</v>
      </c>
      <c r="H6079" s="1930" t="s">
        <v>4313</v>
      </c>
      <c r="I6079" s="1930" t="s">
        <v>65</v>
      </c>
      <c r="J6079" s="1930" t="s">
        <v>320</v>
      </c>
      <c r="K6079" s="1933">
        <v>15.86</v>
      </c>
      <c r="L6079" s="1930" t="s">
        <v>4276</v>
      </c>
    </row>
    <row r="6080" spans="1:12" ht="13.5" x14ac:dyDescent="0.25">
      <c r="A6080" s="1930" t="s">
        <v>4628</v>
      </c>
      <c r="B6080" s="1930" t="s">
        <v>4809</v>
      </c>
      <c r="C6080" s="1930" t="s">
        <v>4816</v>
      </c>
      <c r="D6080" s="1930" t="s">
        <v>4817</v>
      </c>
      <c r="E6080" s="1931" t="s">
        <v>33</v>
      </c>
      <c r="F6080" s="1930" t="s">
        <v>33</v>
      </c>
      <c r="G6080" s="1932">
        <v>88297</v>
      </c>
      <c r="H6080" s="1930" t="s">
        <v>104</v>
      </c>
      <c r="I6080" s="1930" t="s">
        <v>65</v>
      </c>
      <c r="J6080" s="1930" t="s">
        <v>320</v>
      </c>
      <c r="K6080" s="1933">
        <v>15.84</v>
      </c>
      <c r="L6080" s="1930" t="s">
        <v>4276</v>
      </c>
    </row>
    <row r="6081" spans="1:12" ht="13.5" x14ac:dyDescent="0.25">
      <c r="A6081" s="1930" t="s">
        <v>4628</v>
      </c>
      <c r="B6081" s="1930" t="s">
        <v>4809</v>
      </c>
      <c r="C6081" s="1930" t="s">
        <v>4816</v>
      </c>
      <c r="D6081" s="1930" t="s">
        <v>4817</v>
      </c>
      <c r="E6081" s="1931" t="s">
        <v>33</v>
      </c>
      <c r="F6081" s="1930" t="s">
        <v>33</v>
      </c>
      <c r="G6081" s="1932">
        <v>88298</v>
      </c>
      <c r="H6081" s="1930" t="s">
        <v>4314</v>
      </c>
      <c r="I6081" s="1930" t="s">
        <v>65</v>
      </c>
      <c r="J6081" s="1930" t="s">
        <v>320</v>
      </c>
      <c r="K6081" s="1933">
        <v>16.12</v>
      </c>
      <c r="L6081" s="1930" t="s">
        <v>4276</v>
      </c>
    </row>
    <row r="6082" spans="1:12" ht="13.5" x14ac:dyDescent="0.25">
      <c r="A6082" s="1930" t="s">
        <v>4628</v>
      </c>
      <c r="B6082" s="1930" t="s">
        <v>4809</v>
      </c>
      <c r="C6082" s="1930" t="s">
        <v>4816</v>
      </c>
      <c r="D6082" s="1930" t="s">
        <v>4817</v>
      </c>
      <c r="E6082" s="1931" t="s">
        <v>33</v>
      </c>
      <c r="F6082" s="1930" t="s">
        <v>33</v>
      </c>
      <c r="G6082" s="1932">
        <v>88299</v>
      </c>
      <c r="H6082" s="1930" t="s">
        <v>4315</v>
      </c>
      <c r="I6082" s="1930" t="s">
        <v>65</v>
      </c>
      <c r="J6082" s="1930" t="s">
        <v>320</v>
      </c>
      <c r="K6082" s="1933">
        <v>18.2</v>
      </c>
      <c r="L6082" s="1930" t="s">
        <v>4276</v>
      </c>
    </row>
    <row r="6083" spans="1:12" ht="13.5" x14ac:dyDescent="0.25">
      <c r="A6083" s="1930" t="s">
        <v>4628</v>
      </c>
      <c r="B6083" s="1930" t="s">
        <v>4809</v>
      </c>
      <c r="C6083" s="1930" t="s">
        <v>4816</v>
      </c>
      <c r="D6083" s="1930" t="s">
        <v>4817</v>
      </c>
      <c r="E6083" s="1931" t="s">
        <v>33</v>
      </c>
      <c r="F6083" s="1930" t="s">
        <v>33</v>
      </c>
      <c r="G6083" s="1932">
        <v>88300</v>
      </c>
      <c r="H6083" s="1930" t="s">
        <v>4316</v>
      </c>
      <c r="I6083" s="1930" t="s">
        <v>65</v>
      </c>
      <c r="J6083" s="1930" t="s">
        <v>320</v>
      </c>
      <c r="K6083" s="1933">
        <v>21.21</v>
      </c>
      <c r="L6083" s="1930" t="s">
        <v>4276</v>
      </c>
    </row>
    <row r="6084" spans="1:12" ht="13.5" x14ac:dyDescent="0.25">
      <c r="A6084" s="1930" t="s">
        <v>4628</v>
      </c>
      <c r="B6084" s="1930" t="s">
        <v>4809</v>
      </c>
      <c r="C6084" s="1930" t="s">
        <v>4816</v>
      </c>
      <c r="D6084" s="1930" t="s">
        <v>4817</v>
      </c>
      <c r="E6084" s="1931" t="s">
        <v>33</v>
      </c>
      <c r="F6084" s="1930" t="s">
        <v>33</v>
      </c>
      <c r="G6084" s="1932">
        <v>88301</v>
      </c>
      <c r="H6084" s="1930" t="s">
        <v>105</v>
      </c>
      <c r="I6084" s="1930" t="s">
        <v>65</v>
      </c>
      <c r="J6084" s="1930" t="s">
        <v>320</v>
      </c>
      <c r="K6084" s="1933">
        <v>17.34</v>
      </c>
      <c r="L6084" s="1930" t="s">
        <v>4276</v>
      </c>
    </row>
    <row r="6085" spans="1:12" ht="13.5" x14ac:dyDescent="0.25">
      <c r="A6085" s="1930" t="s">
        <v>4628</v>
      </c>
      <c r="B6085" s="1930" t="s">
        <v>4809</v>
      </c>
      <c r="C6085" s="1930" t="s">
        <v>4816</v>
      </c>
      <c r="D6085" s="1930" t="s">
        <v>4817</v>
      </c>
      <c r="E6085" s="1931" t="s">
        <v>33</v>
      </c>
      <c r="F6085" s="1930" t="s">
        <v>33</v>
      </c>
      <c r="G6085" s="1932">
        <v>88302</v>
      </c>
      <c r="H6085" s="1930" t="s">
        <v>106</v>
      </c>
      <c r="I6085" s="1930" t="s">
        <v>65</v>
      </c>
      <c r="J6085" s="1930" t="s">
        <v>320</v>
      </c>
      <c r="K6085" s="1933">
        <v>18.64</v>
      </c>
      <c r="L6085" s="1930" t="s">
        <v>4276</v>
      </c>
    </row>
    <row r="6086" spans="1:12" ht="13.5" x14ac:dyDescent="0.25">
      <c r="A6086" s="1930" t="s">
        <v>4628</v>
      </c>
      <c r="B6086" s="1930" t="s">
        <v>4809</v>
      </c>
      <c r="C6086" s="1930" t="s">
        <v>4816</v>
      </c>
      <c r="D6086" s="1930" t="s">
        <v>4817</v>
      </c>
      <c r="E6086" s="1931" t="s">
        <v>33</v>
      </c>
      <c r="F6086" s="1930" t="s">
        <v>33</v>
      </c>
      <c r="G6086" s="1932">
        <v>88303</v>
      </c>
      <c r="H6086" s="1930" t="s">
        <v>107</v>
      </c>
      <c r="I6086" s="1930" t="s">
        <v>65</v>
      </c>
      <c r="J6086" s="1930" t="s">
        <v>320</v>
      </c>
      <c r="K6086" s="1933">
        <v>15.9</v>
      </c>
      <c r="L6086" s="1930" t="s">
        <v>4276</v>
      </c>
    </row>
    <row r="6087" spans="1:12" ht="13.5" x14ac:dyDescent="0.25">
      <c r="A6087" s="1930" t="s">
        <v>4628</v>
      </c>
      <c r="B6087" s="1930" t="s">
        <v>4809</v>
      </c>
      <c r="C6087" s="1930" t="s">
        <v>4816</v>
      </c>
      <c r="D6087" s="1930" t="s">
        <v>4817</v>
      </c>
      <c r="E6087" s="1931" t="s">
        <v>33</v>
      </c>
      <c r="F6087" s="1930" t="s">
        <v>33</v>
      </c>
      <c r="G6087" s="1932">
        <v>88304</v>
      </c>
      <c r="H6087" s="1930" t="s">
        <v>4317</v>
      </c>
      <c r="I6087" s="1930" t="s">
        <v>65</v>
      </c>
      <c r="J6087" s="1930" t="s">
        <v>320</v>
      </c>
      <c r="K6087" s="1933">
        <v>16.7</v>
      </c>
      <c r="L6087" s="1930" t="s">
        <v>4276</v>
      </c>
    </row>
    <row r="6088" spans="1:12" ht="13.5" x14ac:dyDescent="0.25">
      <c r="A6088" s="1930" t="s">
        <v>4628</v>
      </c>
      <c r="B6088" s="1930" t="s">
        <v>4809</v>
      </c>
      <c r="C6088" s="1930" t="s">
        <v>4816</v>
      </c>
      <c r="D6088" s="1930" t="s">
        <v>4817</v>
      </c>
      <c r="E6088" s="1931" t="s">
        <v>33</v>
      </c>
      <c r="F6088" s="1930" t="s">
        <v>33</v>
      </c>
      <c r="G6088" s="1932">
        <v>88306</v>
      </c>
      <c r="H6088" s="1930" t="s">
        <v>4318</v>
      </c>
      <c r="I6088" s="1930" t="s">
        <v>65</v>
      </c>
      <c r="J6088" s="1930" t="s">
        <v>320</v>
      </c>
      <c r="K6088" s="1933">
        <v>17.760000000000002</v>
      </c>
      <c r="L6088" s="1930" t="s">
        <v>4276</v>
      </c>
    </row>
    <row r="6089" spans="1:12" ht="13.5" x14ac:dyDescent="0.25">
      <c r="A6089" s="1930" t="s">
        <v>4628</v>
      </c>
      <c r="B6089" s="1930" t="s">
        <v>4809</v>
      </c>
      <c r="C6089" s="1930" t="s">
        <v>4816</v>
      </c>
      <c r="D6089" s="1930" t="s">
        <v>4817</v>
      </c>
      <c r="E6089" s="1931" t="s">
        <v>33</v>
      </c>
      <c r="F6089" s="1930" t="s">
        <v>33</v>
      </c>
      <c r="G6089" s="1932">
        <v>88307</v>
      </c>
      <c r="H6089" s="1930" t="s">
        <v>4319</v>
      </c>
      <c r="I6089" s="1930" t="s">
        <v>65</v>
      </c>
      <c r="J6089" s="1930" t="s">
        <v>320</v>
      </c>
      <c r="K6089" s="1933">
        <v>17.14</v>
      </c>
      <c r="L6089" s="1930" t="s">
        <v>4276</v>
      </c>
    </row>
    <row r="6090" spans="1:12" ht="13.5" x14ac:dyDescent="0.25">
      <c r="A6090" s="1930" t="s">
        <v>4628</v>
      </c>
      <c r="B6090" s="1930" t="s">
        <v>4809</v>
      </c>
      <c r="C6090" s="1930" t="s">
        <v>4816</v>
      </c>
      <c r="D6090" s="1930" t="s">
        <v>4817</v>
      </c>
      <c r="E6090" s="1931" t="s">
        <v>33</v>
      </c>
      <c r="F6090" s="1930" t="s">
        <v>33</v>
      </c>
      <c r="G6090" s="1932">
        <v>88308</v>
      </c>
      <c r="H6090" s="1930" t="s">
        <v>4320</v>
      </c>
      <c r="I6090" s="1930" t="s">
        <v>65</v>
      </c>
      <c r="J6090" s="1930" t="s">
        <v>320</v>
      </c>
      <c r="K6090" s="1933">
        <v>21.38</v>
      </c>
      <c r="L6090" s="1930" t="s">
        <v>4276</v>
      </c>
    </row>
    <row r="6091" spans="1:12" ht="13.5" x14ac:dyDescent="0.25">
      <c r="A6091" s="1930" t="s">
        <v>4628</v>
      </c>
      <c r="B6091" s="1930" t="s">
        <v>4809</v>
      </c>
      <c r="C6091" s="1930" t="s">
        <v>4816</v>
      </c>
      <c r="D6091" s="1930" t="s">
        <v>4817</v>
      </c>
      <c r="E6091" s="1931" t="s">
        <v>33</v>
      </c>
      <c r="F6091" s="1930" t="s">
        <v>33</v>
      </c>
      <c r="G6091" s="1932">
        <v>88309</v>
      </c>
      <c r="H6091" s="1930" t="s">
        <v>87</v>
      </c>
      <c r="I6091" s="1930" t="s">
        <v>65</v>
      </c>
      <c r="J6091" s="1930" t="s">
        <v>346</v>
      </c>
      <c r="K6091" s="1933">
        <v>20.149999999999999</v>
      </c>
      <c r="L6091" s="1930" t="s">
        <v>4276</v>
      </c>
    </row>
    <row r="6092" spans="1:12" ht="13.5" x14ac:dyDescent="0.25">
      <c r="A6092" s="1930" t="s">
        <v>4628</v>
      </c>
      <c r="B6092" s="1930" t="s">
        <v>4809</v>
      </c>
      <c r="C6092" s="1930" t="s">
        <v>4816</v>
      </c>
      <c r="D6092" s="1930" t="s">
        <v>4817</v>
      </c>
      <c r="E6092" s="1931" t="s">
        <v>33</v>
      </c>
      <c r="F6092" s="1930" t="s">
        <v>33</v>
      </c>
      <c r="G6092" s="1932">
        <v>88310</v>
      </c>
      <c r="H6092" s="1930" t="s">
        <v>89</v>
      </c>
      <c r="I6092" s="1930" t="s">
        <v>65</v>
      </c>
      <c r="J6092" s="1930" t="s">
        <v>346</v>
      </c>
      <c r="K6092" s="1933">
        <v>21.26</v>
      </c>
      <c r="L6092" s="1930" t="s">
        <v>4276</v>
      </c>
    </row>
    <row r="6093" spans="1:12" ht="13.5" x14ac:dyDescent="0.25">
      <c r="A6093" s="1930" t="s">
        <v>4628</v>
      </c>
      <c r="B6093" s="1930" t="s">
        <v>4809</v>
      </c>
      <c r="C6093" s="1930" t="s">
        <v>4816</v>
      </c>
      <c r="D6093" s="1930" t="s">
        <v>4817</v>
      </c>
      <c r="E6093" s="1931" t="s">
        <v>33</v>
      </c>
      <c r="F6093" s="1930" t="s">
        <v>33</v>
      </c>
      <c r="G6093" s="1932">
        <v>88311</v>
      </c>
      <c r="H6093" s="1930" t="s">
        <v>4321</v>
      </c>
      <c r="I6093" s="1930" t="s">
        <v>65</v>
      </c>
      <c r="J6093" s="1930" t="s">
        <v>320</v>
      </c>
      <c r="K6093" s="1933">
        <v>22.38</v>
      </c>
      <c r="L6093" s="1930" t="s">
        <v>4276</v>
      </c>
    </row>
    <row r="6094" spans="1:12" ht="13.5" x14ac:dyDescent="0.25">
      <c r="A6094" s="1930" t="s">
        <v>4628</v>
      </c>
      <c r="B6094" s="1930" t="s">
        <v>4809</v>
      </c>
      <c r="C6094" s="1930" t="s">
        <v>4816</v>
      </c>
      <c r="D6094" s="1930" t="s">
        <v>4817</v>
      </c>
      <c r="E6094" s="1931" t="s">
        <v>33</v>
      </c>
      <c r="F6094" s="1930" t="s">
        <v>33</v>
      </c>
      <c r="G6094" s="1932">
        <v>88312</v>
      </c>
      <c r="H6094" s="1930" t="s">
        <v>4322</v>
      </c>
      <c r="I6094" s="1930" t="s">
        <v>65</v>
      </c>
      <c r="J6094" s="1930" t="s">
        <v>320</v>
      </c>
      <c r="K6094" s="1933">
        <v>22.33</v>
      </c>
      <c r="L6094" s="1930" t="s">
        <v>4276</v>
      </c>
    </row>
    <row r="6095" spans="1:12" ht="13.5" x14ac:dyDescent="0.25">
      <c r="A6095" s="1930" t="s">
        <v>4628</v>
      </c>
      <c r="B6095" s="1930" t="s">
        <v>4809</v>
      </c>
      <c r="C6095" s="1930" t="s">
        <v>4816</v>
      </c>
      <c r="D6095" s="1930" t="s">
        <v>4817</v>
      </c>
      <c r="E6095" s="1931" t="s">
        <v>33</v>
      </c>
      <c r="F6095" s="1930" t="s">
        <v>33</v>
      </c>
      <c r="G6095" s="1932">
        <v>88313</v>
      </c>
      <c r="H6095" s="1930" t="s">
        <v>4323</v>
      </c>
      <c r="I6095" s="1930" t="s">
        <v>65</v>
      </c>
      <c r="J6095" s="1930" t="s">
        <v>320</v>
      </c>
      <c r="K6095" s="1933">
        <v>14.59</v>
      </c>
      <c r="L6095" s="1930" t="s">
        <v>4276</v>
      </c>
    </row>
    <row r="6096" spans="1:12" ht="13.5" x14ac:dyDescent="0.25">
      <c r="A6096" s="1930" t="s">
        <v>4628</v>
      </c>
      <c r="B6096" s="1930" t="s">
        <v>4809</v>
      </c>
      <c r="C6096" s="1930" t="s">
        <v>4816</v>
      </c>
      <c r="D6096" s="1930" t="s">
        <v>4817</v>
      </c>
      <c r="E6096" s="1931" t="s">
        <v>33</v>
      </c>
      <c r="F6096" s="1930" t="s">
        <v>33</v>
      </c>
      <c r="G6096" s="1932">
        <v>88314</v>
      </c>
      <c r="H6096" s="1930" t="s">
        <v>108</v>
      </c>
      <c r="I6096" s="1930" t="s">
        <v>65</v>
      </c>
      <c r="J6096" s="1930" t="s">
        <v>320</v>
      </c>
      <c r="K6096" s="1933">
        <v>14.2</v>
      </c>
      <c r="L6096" s="1930" t="s">
        <v>4276</v>
      </c>
    </row>
    <row r="6097" spans="1:12" ht="13.5" x14ac:dyDescent="0.25">
      <c r="A6097" s="1930" t="s">
        <v>4628</v>
      </c>
      <c r="B6097" s="1930" t="s">
        <v>4809</v>
      </c>
      <c r="C6097" s="1930" t="s">
        <v>4816</v>
      </c>
      <c r="D6097" s="1930" t="s">
        <v>4817</v>
      </c>
      <c r="E6097" s="1931" t="s">
        <v>33</v>
      </c>
      <c r="F6097" s="1930" t="s">
        <v>33</v>
      </c>
      <c r="G6097" s="1932">
        <v>88315</v>
      </c>
      <c r="H6097" s="1930" t="s">
        <v>109</v>
      </c>
      <c r="I6097" s="1930" t="s">
        <v>65</v>
      </c>
      <c r="J6097" s="1930" t="s">
        <v>320</v>
      </c>
      <c r="K6097" s="1933">
        <v>20.059999999999999</v>
      </c>
      <c r="L6097" s="1930" t="s">
        <v>4276</v>
      </c>
    </row>
    <row r="6098" spans="1:12" ht="13.5" x14ac:dyDescent="0.25">
      <c r="A6098" s="1930" t="s">
        <v>4628</v>
      </c>
      <c r="B6098" s="1930" t="s">
        <v>4809</v>
      </c>
      <c r="C6098" s="1930" t="s">
        <v>4816</v>
      </c>
      <c r="D6098" s="1930" t="s">
        <v>4817</v>
      </c>
      <c r="E6098" s="1931" t="s">
        <v>33</v>
      </c>
      <c r="F6098" s="1930" t="s">
        <v>33</v>
      </c>
      <c r="G6098" s="1932">
        <v>88316</v>
      </c>
      <c r="H6098" s="1930" t="s">
        <v>64</v>
      </c>
      <c r="I6098" s="1930" t="s">
        <v>65</v>
      </c>
      <c r="J6098" s="1930" t="s">
        <v>346</v>
      </c>
      <c r="K6098" s="1933">
        <v>15.08</v>
      </c>
      <c r="L6098" s="1930" t="s">
        <v>4276</v>
      </c>
    </row>
    <row r="6099" spans="1:12" ht="13.5" x14ac:dyDescent="0.25">
      <c r="A6099" s="1930" t="s">
        <v>4628</v>
      </c>
      <c r="B6099" s="1930" t="s">
        <v>4809</v>
      </c>
      <c r="C6099" s="1930" t="s">
        <v>4816</v>
      </c>
      <c r="D6099" s="1930" t="s">
        <v>4817</v>
      </c>
      <c r="E6099" s="1931" t="s">
        <v>33</v>
      </c>
      <c r="F6099" s="1930" t="s">
        <v>33</v>
      </c>
      <c r="G6099" s="1932">
        <v>88317</v>
      </c>
      <c r="H6099" s="1930" t="s">
        <v>4324</v>
      </c>
      <c r="I6099" s="1930" t="s">
        <v>65</v>
      </c>
      <c r="J6099" s="1930" t="s">
        <v>346</v>
      </c>
      <c r="K6099" s="1933">
        <v>20.8</v>
      </c>
      <c r="L6099" s="1930" t="s">
        <v>4276</v>
      </c>
    </row>
    <row r="6100" spans="1:12" ht="13.5" x14ac:dyDescent="0.25">
      <c r="A6100" s="1930" t="s">
        <v>4628</v>
      </c>
      <c r="B6100" s="1930" t="s">
        <v>4809</v>
      </c>
      <c r="C6100" s="1930" t="s">
        <v>4816</v>
      </c>
      <c r="D6100" s="1930" t="s">
        <v>4817</v>
      </c>
      <c r="E6100" s="1931" t="s">
        <v>33</v>
      </c>
      <c r="F6100" s="1930" t="s">
        <v>33</v>
      </c>
      <c r="G6100" s="1932">
        <v>88318</v>
      </c>
      <c r="H6100" s="1930" t="s">
        <v>4325</v>
      </c>
      <c r="I6100" s="1930" t="s">
        <v>65</v>
      </c>
      <c r="J6100" s="1930" t="s">
        <v>320</v>
      </c>
      <c r="K6100" s="1933">
        <v>22.44</v>
      </c>
      <c r="L6100" s="1930" t="s">
        <v>4276</v>
      </c>
    </row>
    <row r="6101" spans="1:12" ht="13.5" x14ac:dyDescent="0.25">
      <c r="A6101" s="1930" t="s">
        <v>4628</v>
      </c>
      <c r="B6101" s="1930" t="s">
        <v>4809</v>
      </c>
      <c r="C6101" s="1930" t="s">
        <v>4816</v>
      </c>
      <c r="D6101" s="1930" t="s">
        <v>4817</v>
      </c>
      <c r="E6101" s="1931" t="s">
        <v>33</v>
      </c>
      <c r="F6101" s="1930" t="s">
        <v>33</v>
      </c>
      <c r="G6101" s="1932">
        <v>88320</v>
      </c>
      <c r="H6101" s="1930" t="s">
        <v>4326</v>
      </c>
      <c r="I6101" s="1930" t="s">
        <v>65</v>
      </c>
      <c r="J6101" s="1930" t="s">
        <v>320</v>
      </c>
      <c r="K6101" s="1933">
        <v>23.24</v>
      </c>
      <c r="L6101" s="1930" t="s">
        <v>4276</v>
      </c>
    </row>
    <row r="6102" spans="1:12" ht="13.5" x14ac:dyDescent="0.25">
      <c r="A6102" s="1930" t="s">
        <v>4628</v>
      </c>
      <c r="B6102" s="1930" t="s">
        <v>4809</v>
      </c>
      <c r="C6102" s="1930" t="s">
        <v>4816</v>
      </c>
      <c r="D6102" s="1930" t="s">
        <v>4817</v>
      </c>
      <c r="E6102" s="1931" t="s">
        <v>33</v>
      </c>
      <c r="F6102" s="1930" t="s">
        <v>33</v>
      </c>
      <c r="G6102" s="1932">
        <v>88321</v>
      </c>
      <c r="H6102" s="1930" t="s">
        <v>4327</v>
      </c>
      <c r="I6102" s="1930" t="s">
        <v>65</v>
      </c>
      <c r="J6102" s="1930" t="s">
        <v>320</v>
      </c>
      <c r="K6102" s="1933">
        <v>39.700000000000003</v>
      </c>
      <c r="L6102" s="1930" t="s">
        <v>4276</v>
      </c>
    </row>
    <row r="6103" spans="1:12" ht="13.5" x14ac:dyDescent="0.25">
      <c r="A6103" s="1930" t="s">
        <v>4628</v>
      </c>
      <c r="B6103" s="1930" t="s">
        <v>4809</v>
      </c>
      <c r="C6103" s="1930" t="s">
        <v>4816</v>
      </c>
      <c r="D6103" s="1930" t="s">
        <v>4817</v>
      </c>
      <c r="E6103" s="1931" t="s">
        <v>33</v>
      </c>
      <c r="F6103" s="1930" t="s">
        <v>33</v>
      </c>
      <c r="G6103" s="1932">
        <v>88322</v>
      </c>
      <c r="H6103" s="1930" t="s">
        <v>4328</v>
      </c>
      <c r="I6103" s="1930" t="s">
        <v>65</v>
      </c>
      <c r="J6103" s="1930" t="s">
        <v>320</v>
      </c>
      <c r="K6103" s="1933">
        <v>19.93</v>
      </c>
      <c r="L6103" s="1930" t="s">
        <v>4276</v>
      </c>
    </row>
    <row r="6104" spans="1:12" ht="13.5" x14ac:dyDescent="0.25">
      <c r="A6104" s="1930" t="s">
        <v>4628</v>
      </c>
      <c r="B6104" s="1930" t="s">
        <v>4809</v>
      </c>
      <c r="C6104" s="1930" t="s">
        <v>4816</v>
      </c>
      <c r="D6104" s="1930" t="s">
        <v>4817</v>
      </c>
      <c r="E6104" s="1931" t="s">
        <v>33</v>
      </c>
      <c r="F6104" s="1930" t="s">
        <v>33</v>
      </c>
      <c r="G6104" s="1932">
        <v>88323</v>
      </c>
      <c r="H6104" s="1930" t="s">
        <v>91</v>
      </c>
      <c r="I6104" s="1930" t="s">
        <v>65</v>
      </c>
      <c r="J6104" s="1930" t="s">
        <v>320</v>
      </c>
      <c r="K6104" s="1933">
        <v>21.31</v>
      </c>
      <c r="L6104" s="1930" t="s">
        <v>4276</v>
      </c>
    </row>
    <row r="6105" spans="1:12" ht="13.5" x14ac:dyDescent="0.25">
      <c r="A6105" s="1930" t="s">
        <v>4628</v>
      </c>
      <c r="B6105" s="1930" t="s">
        <v>4809</v>
      </c>
      <c r="C6105" s="1930" t="s">
        <v>4816</v>
      </c>
      <c r="D6105" s="1930" t="s">
        <v>4817</v>
      </c>
      <c r="E6105" s="1931" t="s">
        <v>33</v>
      </c>
      <c r="F6105" s="1930" t="s">
        <v>33</v>
      </c>
      <c r="G6105" s="1932">
        <v>88324</v>
      </c>
      <c r="H6105" s="1930" t="s">
        <v>102</v>
      </c>
      <c r="I6105" s="1930" t="s">
        <v>65</v>
      </c>
      <c r="J6105" s="1930" t="s">
        <v>320</v>
      </c>
      <c r="K6105" s="1933">
        <v>15.82</v>
      </c>
      <c r="L6105" s="1930" t="s">
        <v>4276</v>
      </c>
    </row>
    <row r="6106" spans="1:12" ht="13.5" x14ac:dyDescent="0.25">
      <c r="A6106" s="1930" t="s">
        <v>4628</v>
      </c>
      <c r="B6106" s="1930" t="s">
        <v>4809</v>
      </c>
      <c r="C6106" s="1930" t="s">
        <v>4816</v>
      </c>
      <c r="D6106" s="1930" t="s">
        <v>4817</v>
      </c>
      <c r="E6106" s="1931" t="s">
        <v>33</v>
      </c>
      <c r="F6106" s="1930" t="s">
        <v>33</v>
      </c>
      <c r="G6106" s="1932">
        <v>88325</v>
      </c>
      <c r="H6106" s="1930" t="s">
        <v>94</v>
      </c>
      <c r="I6106" s="1930" t="s">
        <v>65</v>
      </c>
      <c r="J6106" s="1930" t="s">
        <v>320</v>
      </c>
      <c r="K6106" s="1933">
        <v>18.79</v>
      </c>
      <c r="L6106" s="1930" t="s">
        <v>4276</v>
      </c>
    </row>
    <row r="6107" spans="1:12" ht="13.5" x14ac:dyDescent="0.25">
      <c r="A6107" s="1930" t="s">
        <v>4628</v>
      </c>
      <c r="B6107" s="1930" t="s">
        <v>4809</v>
      </c>
      <c r="C6107" s="1930" t="s">
        <v>4816</v>
      </c>
      <c r="D6107" s="1930" t="s">
        <v>4817</v>
      </c>
      <c r="E6107" s="1931" t="s">
        <v>33</v>
      </c>
      <c r="F6107" s="1930" t="s">
        <v>33</v>
      </c>
      <c r="G6107" s="1932">
        <v>88326</v>
      </c>
      <c r="H6107" s="1930" t="s">
        <v>4329</v>
      </c>
      <c r="I6107" s="1930" t="s">
        <v>65</v>
      </c>
      <c r="J6107" s="1930" t="s">
        <v>320</v>
      </c>
      <c r="K6107" s="1933">
        <v>18.93</v>
      </c>
      <c r="L6107" s="1930" t="s">
        <v>4276</v>
      </c>
    </row>
    <row r="6108" spans="1:12" ht="13.5" x14ac:dyDescent="0.25">
      <c r="A6108" s="1930" t="s">
        <v>4628</v>
      </c>
      <c r="B6108" s="1930" t="s">
        <v>4809</v>
      </c>
      <c r="C6108" s="1930" t="s">
        <v>4816</v>
      </c>
      <c r="D6108" s="1930" t="s">
        <v>4817</v>
      </c>
      <c r="E6108" s="1931" t="s">
        <v>33</v>
      </c>
      <c r="F6108" s="1930" t="s">
        <v>33</v>
      </c>
      <c r="G6108" s="1932">
        <v>88377</v>
      </c>
      <c r="H6108" s="1930" t="s">
        <v>95</v>
      </c>
      <c r="I6108" s="1930" t="s">
        <v>65</v>
      </c>
      <c r="J6108" s="1930" t="s">
        <v>320</v>
      </c>
      <c r="K6108" s="1933">
        <v>15.17</v>
      </c>
      <c r="L6108" s="1930" t="s">
        <v>4276</v>
      </c>
    </row>
    <row r="6109" spans="1:12" ht="13.5" x14ac:dyDescent="0.25">
      <c r="A6109" s="1930" t="s">
        <v>4628</v>
      </c>
      <c r="B6109" s="1930" t="s">
        <v>4809</v>
      </c>
      <c r="C6109" s="1930" t="s">
        <v>4816</v>
      </c>
      <c r="D6109" s="1930" t="s">
        <v>4817</v>
      </c>
      <c r="E6109" s="1931" t="s">
        <v>33</v>
      </c>
      <c r="F6109" s="1930" t="s">
        <v>33</v>
      </c>
      <c r="G6109" s="1932">
        <v>88441</v>
      </c>
      <c r="H6109" s="1930" t="s">
        <v>4330</v>
      </c>
      <c r="I6109" s="1930" t="s">
        <v>65</v>
      </c>
      <c r="J6109" s="1930" t="s">
        <v>320</v>
      </c>
      <c r="K6109" s="1933">
        <v>19.53</v>
      </c>
      <c r="L6109" s="1930" t="s">
        <v>4276</v>
      </c>
    </row>
    <row r="6110" spans="1:12" ht="13.5" x14ac:dyDescent="0.25">
      <c r="A6110" s="1930" t="s">
        <v>4628</v>
      </c>
      <c r="B6110" s="1930" t="s">
        <v>4809</v>
      </c>
      <c r="C6110" s="1930" t="s">
        <v>4816</v>
      </c>
      <c r="D6110" s="1930" t="s">
        <v>4817</v>
      </c>
      <c r="E6110" s="1931" t="s">
        <v>33</v>
      </c>
      <c r="F6110" s="1930" t="s">
        <v>33</v>
      </c>
      <c r="G6110" s="1932">
        <v>88597</v>
      </c>
      <c r="H6110" s="1930" t="s">
        <v>4331</v>
      </c>
      <c r="I6110" s="1930" t="s">
        <v>65</v>
      </c>
      <c r="J6110" s="1930" t="s">
        <v>320</v>
      </c>
      <c r="K6110" s="1933">
        <v>23.56</v>
      </c>
      <c r="L6110" s="1930" t="s">
        <v>4276</v>
      </c>
    </row>
    <row r="6111" spans="1:12" ht="13.5" x14ac:dyDescent="0.25">
      <c r="A6111" s="1930" t="s">
        <v>4628</v>
      </c>
      <c r="B6111" s="1930" t="s">
        <v>4809</v>
      </c>
      <c r="C6111" s="1930" t="s">
        <v>4816</v>
      </c>
      <c r="D6111" s="1930" t="s">
        <v>4817</v>
      </c>
      <c r="E6111" s="1931" t="s">
        <v>33</v>
      </c>
      <c r="F6111" s="1930" t="s">
        <v>33</v>
      </c>
      <c r="G6111" s="1932">
        <v>90766</v>
      </c>
      <c r="H6111" s="1930" t="s">
        <v>4332</v>
      </c>
      <c r="I6111" s="1930" t="s">
        <v>65</v>
      </c>
      <c r="J6111" s="1930" t="s">
        <v>346</v>
      </c>
      <c r="K6111" s="1933">
        <v>23.12</v>
      </c>
      <c r="L6111" s="1930" t="s">
        <v>4276</v>
      </c>
    </row>
    <row r="6112" spans="1:12" ht="13.5" x14ac:dyDescent="0.25">
      <c r="A6112" s="1930" t="s">
        <v>4628</v>
      </c>
      <c r="B6112" s="1930" t="s">
        <v>4809</v>
      </c>
      <c r="C6112" s="1930" t="s">
        <v>4816</v>
      </c>
      <c r="D6112" s="1930" t="s">
        <v>4817</v>
      </c>
      <c r="E6112" s="1931" t="s">
        <v>33</v>
      </c>
      <c r="F6112" s="1930" t="s">
        <v>33</v>
      </c>
      <c r="G6112" s="1932">
        <v>90767</v>
      </c>
      <c r="H6112" s="1930" t="s">
        <v>4333</v>
      </c>
      <c r="I6112" s="1930" t="s">
        <v>65</v>
      </c>
      <c r="J6112" s="1930" t="s">
        <v>320</v>
      </c>
      <c r="K6112" s="1933">
        <v>27.85</v>
      </c>
      <c r="L6112" s="1930" t="s">
        <v>4276</v>
      </c>
    </row>
    <row r="6113" spans="1:12" ht="13.5" x14ac:dyDescent="0.25">
      <c r="A6113" s="1930" t="s">
        <v>4628</v>
      </c>
      <c r="B6113" s="1930" t="s">
        <v>4809</v>
      </c>
      <c r="C6113" s="1930" t="s">
        <v>4816</v>
      </c>
      <c r="D6113" s="1930" t="s">
        <v>4817</v>
      </c>
      <c r="E6113" s="1931" t="s">
        <v>33</v>
      </c>
      <c r="F6113" s="1930" t="s">
        <v>33</v>
      </c>
      <c r="G6113" s="1932">
        <v>90768</v>
      </c>
      <c r="H6113" s="1930" t="s">
        <v>4334</v>
      </c>
      <c r="I6113" s="1930" t="s">
        <v>65</v>
      </c>
      <c r="J6113" s="1930" t="s">
        <v>320</v>
      </c>
      <c r="K6113" s="1933">
        <v>55.54</v>
      </c>
      <c r="L6113" s="1930" t="s">
        <v>4276</v>
      </c>
    </row>
    <row r="6114" spans="1:12" ht="13.5" x14ac:dyDescent="0.25">
      <c r="A6114" s="1930" t="s">
        <v>4628</v>
      </c>
      <c r="B6114" s="1930" t="s">
        <v>4809</v>
      </c>
      <c r="C6114" s="1930" t="s">
        <v>4816</v>
      </c>
      <c r="D6114" s="1930" t="s">
        <v>4817</v>
      </c>
      <c r="E6114" s="1931" t="s">
        <v>33</v>
      </c>
      <c r="F6114" s="1930" t="s">
        <v>33</v>
      </c>
      <c r="G6114" s="1932">
        <v>90769</v>
      </c>
      <c r="H6114" s="1930" t="s">
        <v>4335</v>
      </c>
      <c r="I6114" s="1930" t="s">
        <v>65</v>
      </c>
      <c r="J6114" s="1930" t="s">
        <v>320</v>
      </c>
      <c r="K6114" s="1933">
        <v>78.489999999999995</v>
      </c>
      <c r="L6114" s="1930" t="s">
        <v>4276</v>
      </c>
    </row>
    <row r="6115" spans="1:12" ht="13.5" x14ac:dyDescent="0.25">
      <c r="A6115" s="1930" t="s">
        <v>4628</v>
      </c>
      <c r="B6115" s="1930" t="s">
        <v>4809</v>
      </c>
      <c r="C6115" s="1930" t="s">
        <v>4816</v>
      </c>
      <c r="D6115" s="1930" t="s">
        <v>4817</v>
      </c>
      <c r="E6115" s="1931" t="s">
        <v>33</v>
      </c>
      <c r="F6115" s="1930" t="s">
        <v>33</v>
      </c>
      <c r="G6115" s="1932">
        <v>90770</v>
      </c>
      <c r="H6115" s="1930" t="s">
        <v>4336</v>
      </c>
      <c r="I6115" s="1930" t="s">
        <v>65</v>
      </c>
      <c r="J6115" s="1930" t="s">
        <v>320</v>
      </c>
      <c r="K6115" s="1933">
        <v>103.47</v>
      </c>
      <c r="L6115" s="1930" t="s">
        <v>4276</v>
      </c>
    </row>
    <row r="6116" spans="1:12" ht="13.5" x14ac:dyDescent="0.25">
      <c r="A6116" s="1930" t="s">
        <v>4628</v>
      </c>
      <c r="B6116" s="1930" t="s">
        <v>4809</v>
      </c>
      <c r="C6116" s="1930" t="s">
        <v>4816</v>
      </c>
      <c r="D6116" s="1930" t="s">
        <v>4817</v>
      </c>
      <c r="E6116" s="1931" t="s">
        <v>33</v>
      </c>
      <c r="F6116" s="1930" t="s">
        <v>33</v>
      </c>
      <c r="G6116" s="1932">
        <v>90771</v>
      </c>
      <c r="H6116" s="1930" t="s">
        <v>4337</v>
      </c>
      <c r="I6116" s="1930" t="s">
        <v>65</v>
      </c>
      <c r="J6116" s="1930" t="s">
        <v>320</v>
      </c>
      <c r="K6116" s="1933">
        <v>25.11</v>
      </c>
      <c r="L6116" s="1930" t="s">
        <v>4276</v>
      </c>
    </row>
    <row r="6117" spans="1:12" ht="13.5" x14ac:dyDescent="0.25">
      <c r="A6117" s="1930" t="s">
        <v>4628</v>
      </c>
      <c r="B6117" s="1930" t="s">
        <v>4809</v>
      </c>
      <c r="C6117" s="1930" t="s">
        <v>4816</v>
      </c>
      <c r="D6117" s="1930" t="s">
        <v>4817</v>
      </c>
      <c r="E6117" s="1931" t="s">
        <v>33</v>
      </c>
      <c r="F6117" s="1930" t="s">
        <v>33</v>
      </c>
      <c r="G6117" s="1932">
        <v>90772</v>
      </c>
      <c r="H6117" s="1930" t="s">
        <v>4338</v>
      </c>
      <c r="I6117" s="1930" t="s">
        <v>65</v>
      </c>
      <c r="J6117" s="1930" t="s">
        <v>320</v>
      </c>
      <c r="K6117" s="1933">
        <v>19.54</v>
      </c>
      <c r="L6117" s="1930" t="s">
        <v>4276</v>
      </c>
    </row>
    <row r="6118" spans="1:12" ht="13.5" x14ac:dyDescent="0.25">
      <c r="A6118" s="1930" t="s">
        <v>4628</v>
      </c>
      <c r="B6118" s="1930" t="s">
        <v>4809</v>
      </c>
      <c r="C6118" s="1930" t="s">
        <v>4816</v>
      </c>
      <c r="D6118" s="1930" t="s">
        <v>4817</v>
      </c>
      <c r="E6118" s="1931" t="s">
        <v>33</v>
      </c>
      <c r="F6118" s="1930" t="s">
        <v>33</v>
      </c>
      <c r="G6118" s="1932">
        <v>90773</v>
      </c>
      <c r="H6118" s="1930" t="s">
        <v>4339</v>
      </c>
      <c r="I6118" s="1930" t="s">
        <v>65</v>
      </c>
      <c r="J6118" s="1930" t="s">
        <v>320</v>
      </c>
      <c r="K6118" s="1933">
        <v>11.56</v>
      </c>
      <c r="L6118" s="1930" t="s">
        <v>4276</v>
      </c>
    </row>
    <row r="6119" spans="1:12" ht="13.5" x14ac:dyDescent="0.25">
      <c r="A6119" s="1930" t="s">
        <v>4628</v>
      </c>
      <c r="B6119" s="1930" t="s">
        <v>4809</v>
      </c>
      <c r="C6119" s="1930" t="s">
        <v>4816</v>
      </c>
      <c r="D6119" s="1930" t="s">
        <v>4817</v>
      </c>
      <c r="E6119" s="1931" t="s">
        <v>33</v>
      </c>
      <c r="F6119" s="1930" t="s">
        <v>33</v>
      </c>
      <c r="G6119" s="1932">
        <v>90775</v>
      </c>
      <c r="H6119" s="1930" t="s">
        <v>4340</v>
      </c>
      <c r="I6119" s="1930" t="s">
        <v>65</v>
      </c>
      <c r="J6119" s="1930" t="s">
        <v>320</v>
      </c>
      <c r="K6119" s="1933">
        <v>21.18</v>
      </c>
      <c r="L6119" s="1930" t="s">
        <v>4276</v>
      </c>
    </row>
    <row r="6120" spans="1:12" ht="13.5" x14ac:dyDescent="0.25">
      <c r="A6120" s="1930" t="s">
        <v>4628</v>
      </c>
      <c r="B6120" s="1930" t="s">
        <v>4809</v>
      </c>
      <c r="C6120" s="1930" t="s">
        <v>4816</v>
      </c>
      <c r="D6120" s="1930" t="s">
        <v>4817</v>
      </c>
      <c r="E6120" s="1931" t="s">
        <v>33</v>
      </c>
      <c r="F6120" s="1930" t="s">
        <v>33</v>
      </c>
      <c r="G6120" s="1932">
        <v>90776</v>
      </c>
      <c r="H6120" s="1930" t="s">
        <v>4341</v>
      </c>
      <c r="I6120" s="1930" t="s">
        <v>65</v>
      </c>
      <c r="J6120" s="1930" t="s">
        <v>346</v>
      </c>
      <c r="K6120" s="1933">
        <v>15.79</v>
      </c>
      <c r="L6120" s="1930" t="s">
        <v>4276</v>
      </c>
    </row>
    <row r="6121" spans="1:12" ht="13.5" x14ac:dyDescent="0.25">
      <c r="A6121" s="1930" t="s">
        <v>4628</v>
      </c>
      <c r="B6121" s="1930" t="s">
        <v>4809</v>
      </c>
      <c r="C6121" s="1930" t="s">
        <v>4816</v>
      </c>
      <c r="D6121" s="1930" t="s">
        <v>4817</v>
      </c>
      <c r="E6121" s="1931" t="s">
        <v>33</v>
      </c>
      <c r="F6121" s="1930" t="s">
        <v>33</v>
      </c>
      <c r="G6121" s="1932">
        <v>90777</v>
      </c>
      <c r="H6121" s="1930" t="s">
        <v>4342</v>
      </c>
      <c r="I6121" s="1930" t="s">
        <v>65</v>
      </c>
      <c r="J6121" s="1930" t="s">
        <v>346</v>
      </c>
      <c r="K6121" s="1933">
        <v>75.36</v>
      </c>
      <c r="L6121" s="1930" t="s">
        <v>4276</v>
      </c>
    </row>
    <row r="6122" spans="1:12" ht="13.5" x14ac:dyDescent="0.25">
      <c r="A6122" s="1930" t="s">
        <v>4628</v>
      </c>
      <c r="B6122" s="1930" t="s">
        <v>4809</v>
      </c>
      <c r="C6122" s="1930" t="s">
        <v>4816</v>
      </c>
      <c r="D6122" s="1930" t="s">
        <v>4817</v>
      </c>
      <c r="E6122" s="1931" t="s">
        <v>33</v>
      </c>
      <c r="F6122" s="1930" t="s">
        <v>33</v>
      </c>
      <c r="G6122" s="1932">
        <v>90778</v>
      </c>
      <c r="H6122" s="1930" t="s">
        <v>4343</v>
      </c>
      <c r="I6122" s="1930" t="s">
        <v>65</v>
      </c>
      <c r="J6122" s="1930" t="s">
        <v>320</v>
      </c>
      <c r="K6122" s="1933">
        <v>85.62</v>
      </c>
      <c r="L6122" s="1930" t="s">
        <v>4276</v>
      </c>
    </row>
    <row r="6123" spans="1:12" ht="13.5" x14ac:dyDescent="0.25">
      <c r="A6123" s="1930" t="s">
        <v>4628</v>
      </c>
      <c r="B6123" s="1930" t="s">
        <v>4809</v>
      </c>
      <c r="C6123" s="1930" t="s">
        <v>4816</v>
      </c>
      <c r="D6123" s="1930" t="s">
        <v>4817</v>
      </c>
      <c r="E6123" s="1931" t="s">
        <v>33</v>
      </c>
      <c r="F6123" s="1930" t="s">
        <v>33</v>
      </c>
      <c r="G6123" s="1932">
        <v>90779</v>
      </c>
      <c r="H6123" s="1930" t="s">
        <v>4344</v>
      </c>
      <c r="I6123" s="1930" t="s">
        <v>65</v>
      </c>
      <c r="J6123" s="1930" t="s">
        <v>320</v>
      </c>
      <c r="K6123" s="1933">
        <v>116.69</v>
      </c>
      <c r="L6123" s="1930" t="s">
        <v>4276</v>
      </c>
    </row>
    <row r="6124" spans="1:12" ht="13.5" x14ac:dyDescent="0.25">
      <c r="A6124" s="1930" t="s">
        <v>4628</v>
      </c>
      <c r="B6124" s="1930" t="s">
        <v>4809</v>
      </c>
      <c r="C6124" s="1930" t="s">
        <v>4816</v>
      </c>
      <c r="D6124" s="1930" t="s">
        <v>4817</v>
      </c>
      <c r="E6124" s="1931" t="s">
        <v>33</v>
      </c>
      <c r="F6124" s="1930" t="s">
        <v>33</v>
      </c>
      <c r="G6124" s="1932">
        <v>90780</v>
      </c>
      <c r="H6124" s="1930" t="s">
        <v>4345</v>
      </c>
      <c r="I6124" s="1930" t="s">
        <v>65</v>
      </c>
      <c r="J6124" s="1930" t="s">
        <v>320</v>
      </c>
      <c r="K6124" s="1933">
        <v>23.21</v>
      </c>
      <c r="L6124" s="1930" t="s">
        <v>4276</v>
      </c>
    </row>
    <row r="6125" spans="1:12" ht="13.5" x14ac:dyDescent="0.25">
      <c r="A6125" s="1930" t="s">
        <v>4628</v>
      </c>
      <c r="B6125" s="1930" t="s">
        <v>4809</v>
      </c>
      <c r="C6125" s="1930" t="s">
        <v>4816</v>
      </c>
      <c r="D6125" s="1930" t="s">
        <v>4817</v>
      </c>
      <c r="E6125" s="1931" t="s">
        <v>33</v>
      </c>
      <c r="F6125" s="1930" t="s">
        <v>33</v>
      </c>
      <c r="G6125" s="1932">
        <v>90781</v>
      </c>
      <c r="H6125" s="1930" t="s">
        <v>4346</v>
      </c>
      <c r="I6125" s="1930" t="s">
        <v>65</v>
      </c>
      <c r="J6125" s="1930" t="s">
        <v>346</v>
      </c>
      <c r="K6125" s="1933">
        <v>19.16</v>
      </c>
      <c r="L6125" s="1930" t="s">
        <v>4276</v>
      </c>
    </row>
    <row r="6126" spans="1:12" ht="13.5" x14ac:dyDescent="0.25">
      <c r="A6126" s="1930" t="s">
        <v>4628</v>
      </c>
      <c r="B6126" s="1930" t="s">
        <v>4809</v>
      </c>
      <c r="C6126" s="1930" t="s">
        <v>4816</v>
      </c>
      <c r="D6126" s="1930" t="s">
        <v>4817</v>
      </c>
      <c r="E6126" s="1931" t="s">
        <v>33</v>
      </c>
      <c r="F6126" s="1930" t="s">
        <v>33</v>
      </c>
      <c r="G6126" s="1932">
        <v>91677</v>
      </c>
      <c r="H6126" s="1930" t="s">
        <v>4347</v>
      </c>
      <c r="I6126" s="1930" t="s">
        <v>65</v>
      </c>
      <c r="J6126" s="1930" t="s">
        <v>320</v>
      </c>
      <c r="K6126" s="1933">
        <v>89.4</v>
      </c>
      <c r="L6126" s="1930" t="s">
        <v>4276</v>
      </c>
    </row>
    <row r="6127" spans="1:12" ht="13.5" x14ac:dyDescent="0.25">
      <c r="A6127" s="1930" t="s">
        <v>4628</v>
      </c>
      <c r="B6127" s="1930" t="s">
        <v>4809</v>
      </c>
      <c r="C6127" s="1930" t="s">
        <v>4816</v>
      </c>
      <c r="D6127" s="1930" t="s">
        <v>4817</v>
      </c>
      <c r="E6127" s="1931" t="s">
        <v>33</v>
      </c>
      <c r="F6127" s="1930" t="s">
        <v>33</v>
      </c>
      <c r="G6127" s="1932">
        <v>91678</v>
      </c>
      <c r="H6127" s="1930" t="s">
        <v>4348</v>
      </c>
      <c r="I6127" s="1930" t="s">
        <v>65</v>
      </c>
      <c r="J6127" s="1930" t="s">
        <v>320</v>
      </c>
      <c r="K6127" s="1933">
        <v>82.57</v>
      </c>
      <c r="L6127" s="1930" t="s">
        <v>4276</v>
      </c>
    </row>
    <row r="6128" spans="1:12" ht="13.5" x14ac:dyDescent="0.25">
      <c r="A6128" s="1930" t="s">
        <v>4628</v>
      </c>
      <c r="B6128" s="1930" t="s">
        <v>4809</v>
      </c>
      <c r="C6128" s="1930" t="s">
        <v>4816</v>
      </c>
      <c r="D6128" s="1930" t="s">
        <v>4817</v>
      </c>
      <c r="E6128" s="1931" t="s">
        <v>33</v>
      </c>
      <c r="F6128" s="1930" t="s">
        <v>33</v>
      </c>
      <c r="G6128" s="1932">
        <v>93558</v>
      </c>
      <c r="H6128" s="1930" t="s">
        <v>4349</v>
      </c>
      <c r="I6128" s="1930" t="s">
        <v>319</v>
      </c>
      <c r="J6128" s="1930" t="s">
        <v>320</v>
      </c>
      <c r="K6128" s="1933">
        <v>3026.29</v>
      </c>
      <c r="L6128" s="1930" t="s">
        <v>4276</v>
      </c>
    </row>
    <row r="6129" spans="1:12" ht="13.5" x14ac:dyDescent="0.25">
      <c r="A6129" s="1930" t="s">
        <v>4628</v>
      </c>
      <c r="B6129" s="1930" t="s">
        <v>4809</v>
      </c>
      <c r="C6129" s="1930" t="s">
        <v>4816</v>
      </c>
      <c r="D6129" s="1930" t="s">
        <v>4817</v>
      </c>
      <c r="E6129" s="1931" t="s">
        <v>33</v>
      </c>
      <c r="F6129" s="1930" t="s">
        <v>33</v>
      </c>
      <c r="G6129" s="1932">
        <v>93559</v>
      </c>
      <c r="H6129" s="1930" t="s">
        <v>4331</v>
      </c>
      <c r="I6129" s="1930" t="s">
        <v>319</v>
      </c>
      <c r="J6129" s="1930" t="s">
        <v>320</v>
      </c>
      <c r="K6129" s="1933">
        <v>4213.62</v>
      </c>
      <c r="L6129" s="1930" t="s">
        <v>4276</v>
      </c>
    </row>
    <row r="6130" spans="1:12" ht="13.5" x14ac:dyDescent="0.25">
      <c r="A6130" s="1930" t="s">
        <v>4628</v>
      </c>
      <c r="B6130" s="1930" t="s">
        <v>4809</v>
      </c>
      <c r="C6130" s="1930" t="s">
        <v>4816</v>
      </c>
      <c r="D6130" s="1930" t="s">
        <v>4817</v>
      </c>
      <c r="E6130" s="1931" t="s">
        <v>33</v>
      </c>
      <c r="F6130" s="1930" t="s">
        <v>33</v>
      </c>
      <c r="G6130" s="1932">
        <v>93560</v>
      </c>
      <c r="H6130" s="1930" t="s">
        <v>4339</v>
      </c>
      <c r="I6130" s="1930" t="s">
        <v>319</v>
      </c>
      <c r="J6130" s="1930" t="s">
        <v>320</v>
      </c>
      <c r="K6130" s="1933">
        <v>2074.5500000000002</v>
      </c>
      <c r="L6130" s="1930" t="s">
        <v>4276</v>
      </c>
    </row>
    <row r="6131" spans="1:12" ht="13.5" x14ac:dyDescent="0.25">
      <c r="A6131" s="1930" t="s">
        <v>4628</v>
      </c>
      <c r="B6131" s="1930" t="s">
        <v>4809</v>
      </c>
      <c r="C6131" s="1930" t="s">
        <v>4816</v>
      </c>
      <c r="D6131" s="1930" t="s">
        <v>4817</v>
      </c>
      <c r="E6131" s="1931" t="s">
        <v>33</v>
      </c>
      <c r="F6131" s="1930" t="s">
        <v>33</v>
      </c>
      <c r="G6131" s="1932">
        <v>93561</v>
      </c>
      <c r="H6131" s="1930" t="s">
        <v>4340</v>
      </c>
      <c r="I6131" s="1930" t="s">
        <v>319</v>
      </c>
      <c r="J6131" s="1930" t="s">
        <v>320</v>
      </c>
      <c r="K6131" s="1933">
        <v>3786.56</v>
      </c>
      <c r="L6131" s="1930" t="s">
        <v>4276</v>
      </c>
    </row>
    <row r="6132" spans="1:12" ht="13.5" x14ac:dyDescent="0.25">
      <c r="A6132" s="1930" t="s">
        <v>4628</v>
      </c>
      <c r="B6132" s="1930" t="s">
        <v>4809</v>
      </c>
      <c r="C6132" s="1930" t="s">
        <v>4816</v>
      </c>
      <c r="D6132" s="1930" t="s">
        <v>4817</v>
      </c>
      <c r="E6132" s="1931" t="s">
        <v>33</v>
      </c>
      <c r="F6132" s="1930" t="s">
        <v>33</v>
      </c>
      <c r="G6132" s="1932">
        <v>93562</v>
      </c>
      <c r="H6132" s="1930" t="s">
        <v>4337</v>
      </c>
      <c r="I6132" s="1930" t="s">
        <v>319</v>
      </c>
      <c r="J6132" s="1930" t="s">
        <v>320</v>
      </c>
      <c r="K6132" s="1933">
        <v>4487.28</v>
      </c>
      <c r="L6132" s="1930" t="s">
        <v>4276</v>
      </c>
    </row>
    <row r="6133" spans="1:12" ht="13.5" x14ac:dyDescent="0.25">
      <c r="A6133" s="1930" t="s">
        <v>4628</v>
      </c>
      <c r="B6133" s="1930" t="s">
        <v>4809</v>
      </c>
      <c r="C6133" s="1930" t="s">
        <v>4816</v>
      </c>
      <c r="D6133" s="1930" t="s">
        <v>4817</v>
      </c>
      <c r="E6133" s="1931" t="s">
        <v>33</v>
      </c>
      <c r="F6133" s="1930" t="s">
        <v>33</v>
      </c>
      <c r="G6133" s="1932">
        <v>93563</v>
      </c>
      <c r="H6133" s="1930" t="s">
        <v>4332</v>
      </c>
      <c r="I6133" s="1930" t="s">
        <v>319</v>
      </c>
      <c r="J6133" s="1930" t="s">
        <v>320</v>
      </c>
      <c r="K6133" s="1933">
        <v>4131.6400000000003</v>
      </c>
      <c r="L6133" s="1930" t="s">
        <v>4276</v>
      </c>
    </row>
    <row r="6134" spans="1:12" ht="13.5" x14ac:dyDescent="0.25">
      <c r="A6134" s="1930" t="s">
        <v>4628</v>
      </c>
      <c r="B6134" s="1930" t="s">
        <v>4809</v>
      </c>
      <c r="C6134" s="1930" t="s">
        <v>4816</v>
      </c>
      <c r="D6134" s="1930" t="s">
        <v>4817</v>
      </c>
      <c r="E6134" s="1931" t="s">
        <v>33</v>
      </c>
      <c r="F6134" s="1930" t="s">
        <v>33</v>
      </c>
      <c r="G6134" s="1932">
        <v>93564</v>
      </c>
      <c r="H6134" s="1930" t="s">
        <v>4333</v>
      </c>
      <c r="I6134" s="1930" t="s">
        <v>319</v>
      </c>
      <c r="J6134" s="1930" t="s">
        <v>320</v>
      </c>
      <c r="K6134" s="1933">
        <v>4963.6400000000003</v>
      </c>
      <c r="L6134" s="1930" t="s">
        <v>4276</v>
      </c>
    </row>
    <row r="6135" spans="1:12" ht="13.5" x14ac:dyDescent="0.25">
      <c r="A6135" s="1930" t="s">
        <v>4628</v>
      </c>
      <c r="B6135" s="1930" t="s">
        <v>4809</v>
      </c>
      <c r="C6135" s="1930" t="s">
        <v>4816</v>
      </c>
      <c r="D6135" s="1930" t="s">
        <v>4817</v>
      </c>
      <c r="E6135" s="1931" t="s">
        <v>33</v>
      </c>
      <c r="F6135" s="1930" t="s">
        <v>33</v>
      </c>
      <c r="G6135" s="1932">
        <v>93565</v>
      </c>
      <c r="H6135" s="1930" t="s">
        <v>4342</v>
      </c>
      <c r="I6135" s="1930" t="s">
        <v>319</v>
      </c>
      <c r="J6135" s="1930" t="s">
        <v>320</v>
      </c>
      <c r="K6135" s="1933">
        <v>13416.28</v>
      </c>
      <c r="L6135" s="1930" t="s">
        <v>4276</v>
      </c>
    </row>
    <row r="6136" spans="1:12" ht="13.5" x14ac:dyDescent="0.25">
      <c r="A6136" s="1930" t="s">
        <v>4628</v>
      </c>
      <c r="B6136" s="1930" t="s">
        <v>4809</v>
      </c>
      <c r="C6136" s="1930" t="s">
        <v>4816</v>
      </c>
      <c r="D6136" s="1930" t="s">
        <v>4817</v>
      </c>
      <c r="E6136" s="1931" t="s">
        <v>33</v>
      </c>
      <c r="F6136" s="1930" t="s">
        <v>33</v>
      </c>
      <c r="G6136" s="1932">
        <v>93566</v>
      </c>
      <c r="H6136" s="1930" t="s">
        <v>4338</v>
      </c>
      <c r="I6136" s="1930" t="s">
        <v>319</v>
      </c>
      <c r="J6136" s="1930" t="s">
        <v>320</v>
      </c>
      <c r="K6136" s="1933">
        <v>3493.04</v>
      </c>
      <c r="L6136" s="1930" t="s">
        <v>4276</v>
      </c>
    </row>
    <row r="6137" spans="1:12" ht="13.5" x14ac:dyDescent="0.25">
      <c r="A6137" s="1930" t="s">
        <v>4628</v>
      </c>
      <c r="B6137" s="1930" t="s">
        <v>4809</v>
      </c>
      <c r="C6137" s="1930" t="s">
        <v>4816</v>
      </c>
      <c r="D6137" s="1930" t="s">
        <v>4817</v>
      </c>
      <c r="E6137" s="1931" t="s">
        <v>33</v>
      </c>
      <c r="F6137" s="1930" t="s">
        <v>33</v>
      </c>
      <c r="G6137" s="1932">
        <v>93567</v>
      </c>
      <c r="H6137" s="1930" t="s">
        <v>4343</v>
      </c>
      <c r="I6137" s="1930" t="s">
        <v>319</v>
      </c>
      <c r="J6137" s="1930" t="s">
        <v>320</v>
      </c>
      <c r="K6137" s="1933">
        <v>15244.42</v>
      </c>
      <c r="L6137" s="1930" t="s">
        <v>4276</v>
      </c>
    </row>
    <row r="6138" spans="1:12" ht="13.5" x14ac:dyDescent="0.25">
      <c r="A6138" s="1930" t="s">
        <v>4628</v>
      </c>
      <c r="B6138" s="1930" t="s">
        <v>4809</v>
      </c>
      <c r="C6138" s="1930" t="s">
        <v>4816</v>
      </c>
      <c r="D6138" s="1930" t="s">
        <v>4817</v>
      </c>
      <c r="E6138" s="1931" t="s">
        <v>33</v>
      </c>
      <c r="F6138" s="1930" t="s">
        <v>33</v>
      </c>
      <c r="G6138" s="1932">
        <v>93568</v>
      </c>
      <c r="H6138" s="1930" t="s">
        <v>4344</v>
      </c>
      <c r="I6138" s="1930" t="s">
        <v>319</v>
      </c>
      <c r="J6138" s="1930" t="s">
        <v>320</v>
      </c>
      <c r="K6138" s="1933">
        <v>20769.45</v>
      </c>
      <c r="L6138" s="1930" t="s">
        <v>4276</v>
      </c>
    </row>
    <row r="6139" spans="1:12" ht="13.5" x14ac:dyDescent="0.25">
      <c r="A6139" s="1930" t="s">
        <v>4628</v>
      </c>
      <c r="B6139" s="1930" t="s">
        <v>4809</v>
      </c>
      <c r="C6139" s="1930" t="s">
        <v>4816</v>
      </c>
      <c r="D6139" s="1930" t="s">
        <v>4817</v>
      </c>
      <c r="E6139" s="1931" t="s">
        <v>33</v>
      </c>
      <c r="F6139" s="1930" t="s">
        <v>33</v>
      </c>
      <c r="G6139" s="1932">
        <v>93569</v>
      </c>
      <c r="H6139" s="1930" t="s">
        <v>4350</v>
      </c>
      <c r="I6139" s="1930" t="s">
        <v>319</v>
      </c>
      <c r="J6139" s="1930" t="s">
        <v>320</v>
      </c>
      <c r="K6139" s="1933">
        <v>9905.85</v>
      </c>
      <c r="L6139" s="1930" t="s">
        <v>4276</v>
      </c>
    </row>
    <row r="6140" spans="1:12" ht="13.5" x14ac:dyDescent="0.25">
      <c r="A6140" s="1930" t="s">
        <v>4628</v>
      </c>
      <c r="B6140" s="1930" t="s">
        <v>4809</v>
      </c>
      <c r="C6140" s="1930" t="s">
        <v>4816</v>
      </c>
      <c r="D6140" s="1930" t="s">
        <v>4817</v>
      </c>
      <c r="E6140" s="1931" t="s">
        <v>33</v>
      </c>
      <c r="F6140" s="1930" t="s">
        <v>33</v>
      </c>
      <c r="G6140" s="1932">
        <v>93570</v>
      </c>
      <c r="H6140" s="1930" t="s">
        <v>4351</v>
      </c>
      <c r="I6140" s="1930" t="s">
        <v>319</v>
      </c>
      <c r="J6140" s="1930" t="s">
        <v>320</v>
      </c>
      <c r="K6140" s="1933">
        <v>13991.13</v>
      </c>
      <c r="L6140" s="1930" t="s">
        <v>4276</v>
      </c>
    </row>
    <row r="6141" spans="1:12" ht="13.5" x14ac:dyDescent="0.25">
      <c r="A6141" s="1930" t="s">
        <v>4628</v>
      </c>
      <c r="B6141" s="1930" t="s">
        <v>4809</v>
      </c>
      <c r="C6141" s="1930" t="s">
        <v>4816</v>
      </c>
      <c r="D6141" s="1930" t="s">
        <v>4817</v>
      </c>
      <c r="E6141" s="1931" t="s">
        <v>33</v>
      </c>
      <c r="F6141" s="1930" t="s">
        <v>33</v>
      </c>
      <c r="G6141" s="1932">
        <v>93571</v>
      </c>
      <c r="H6141" s="1930" t="s">
        <v>4352</v>
      </c>
      <c r="I6141" s="1930" t="s">
        <v>319</v>
      </c>
      <c r="J6141" s="1930" t="s">
        <v>320</v>
      </c>
      <c r="K6141" s="1933">
        <v>18436.73</v>
      </c>
      <c r="L6141" s="1930" t="s">
        <v>4276</v>
      </c>
    </row>
    <row r="6142" spans="1:12" ht="13.5" x14ac:dyDescent="0.25">
      <c r="A6142" s="1930" t="s">
        <v>4628</v>
      </c>
      <c r="B6142" s="1930" t="s">
        <v>4809</v>
      </c>
      <c r="C6142" s="1930" t="s">
        <v>4816</v>
      </c>
      <c r="D6142" s="1930" t="s">
        <v>4817</v>
      </c>
      <c r="E6142" s="1931" t="s">
        <v>33</v>
      </c>
      <c r="F6142" s="1930" t="s">
        <v>33</v>
      </c>
      <c r="G6142" s="1932">
        <v>93572</v>
      </c>
      <c r="H6142" s="1930" t="s">
        <v>4353</v>
      </c>
      <c r="I6142" s="1930" t="s">
        <v>319</v>
      </c>
      <c r="J6142" s="1930" t="s">
        <v>320</v>
      </c>
      <c r="K6142" s="1933">
        <v>2822</v>
      </c>
      <c r="L6142" s="1930" t="s">
        <v>4276</v>
      </c>
    </row>
    <row r="6143" spans="1:12" ht="13.5" x14ac:dyDescent="0.25">
      <c r="A6143" s="1930" t="s">
        <v>4628</v>
      </c>
      <c r="B6143" s="1930" t="s">
        <v>4809</v>
      </c>
      <c r="C6143" s="1930" t="s">
        <v>4816</v>
      </c>
      <c r="D6143" s="1930" t="s">
        <v>4817</v>
      </c>
      <c r="E6143" s="1931" t="s">
        <v>33</v>
      </c>
      <c r="F6143" s="1930" t="s">
        <v>33</v>
      </c>
      <c r="G6143" s="1932">
        <v>94295</v>
      </c>
      <c r="H6143" s="1930" t="s">
        <v>4345</v>
      </c>
      <c r="I6143" s="1930" t="s">
        <v>319</v>
      </c>
      <c r="J6143" s="1930" t="s">
        <v>320</v>
      </c>
      <c r="K6143" s="1933">
        <v>4141.8900000000003</v>
      </c>
      <c r="L6143" s="1930" t="s">
        <v>4276</v>
      </c>
    </row>
    <row r="6144" spans="1:12" ht="13.5" x14ac:dyDescent="0.25">
      <c r="A6144" s="1930" t="s">
        <v>4628</v>
      </c>
      <c r="B6144" s="1930" t="s">
        <v>4809</v>
      </c>
      <c r="C6144" s="1930" t="s">
        <v>4816</v>
      </c>
      <c r="D6144" s="1930" t="s">
        <v>4817</v>
      </c>
      <c r="E6144" s="1931" t="s">
        <v>33</v>
      </c>
      <c r="F6144" s="1930" t="s">
        <v>33</v>
      </c>
      <c r="G6144" s="1932">
        <v>94296</v>
      </c>
      <c r="H6144" s="1930" t="s">
        <v>4346</v>
      </c>
      <c r="I6144" s="1930" t="s">
        <v>319</v>
      </c>
      <c r="J6144" s="1930" t="s">
        <v>320</v>
      </c>
      <c r="K6144" s="1933">
        <v>3466.4</v>
      </c>
      <c r="L6144" s="1930" t="s">
        <v>4276</v>
      </c>
    </row>
    <row r="6145" spans="1:12" ht="13.5" x14ac:dyDescent="0.25">
      <c r="A6145" s="1930" t="s">
        <v>4628</v>
      </c>
      <c r="B6145" s="1930" t="s">
        <v>4809</v>
      </c>
      <c r="C6145" s="1930" t="s">
        <v>4816</v>
      </c>
      <c r="D6145" s="1930" t="s">
        <v>4817</v>
      </c>
      <c r="E6145" s="1931" t="s">
        <v>33</v>
      </c>
      <c r="F6145" s="1930" t="s">
        <v>33</v>
      </c>
      <c r="G6145" s="1932">
        <v>95308</v>
      </c>
      <c r="H6145" s="1930" t="s">
        <v>4354</v>
      </c>
      <c r="I6145" s="1930" t="s">
        <v>65</v>
      </c>
      <c r="J6145" s="1930" t="s">
        <v>320</v>
      </c>
      <c r="K6145" s="1933">
        <v>7.0000000000000007E-2</v>
      </c>
      <c r="L6145" s="1930" t="s">
        <v>4276</v>
      </c>
    </row>
    <row r="6146" spans="1:12" ht="13.5" x14ac:dyDescent="0.25">
      <c r="A6146" s="1930" t="s">
        <v>4628</v>
      </c>
      <c r="B6146" s="1930" t="s">
        <v>4809</v>
      </c>
      <c r="C6146" s="1930" t="s">
        <v>4816</v>
      </c>
      <c r="D6146" s="1930" t="s">
        <v>4817</v>
      </c>
      <c r="E6146" s="1931" t="s">
        <v>33</v>
      </c>
      <c r="F6146" s="1930" t="s">
        <v>33</v>
      </c>
      <c r="G6146" s="1932">
        <v>95309</v>
      </c>
      <c r="H6146" s="1930" t="s">
        <v>118</v>
      </c>
      <c r="I6146" s="1930" t="s">
        <v>65</v>
      </c>
      <c r="J6146" s="1930" t="s">
        <v>320</v>
      </c>
      <c r="K6146" s="1933">
        <v>0.11</v>
      </c>
      <c r="L6146" s="1930" t="s">
        <v>4276</v>
      </c>
    </row>
    <row r="6147" spans="1:12" ht="13.5" x14ac:dyDescent="0.25">
      <c r="A6147" s="1930" t="s">
        <v>4628</v>
      </c>
      <c r="B6147" s="1930" t="s">
        <v>4809</v>
      </c>
      <c r="C6147" s="1930" t="s">
        <v>4816</v>
      </c>
      <c r="D6147" s="1930" t="s">
        <v>4817</v>
      </c>
      <c r="E6147" s="1931" t="s">
        <v>33</v>
      </c>
      <c r="F6147" s="1930" t="s">
        <v>33</v>
      </c>
      <c r="G6147" s="1932">
        <v>95310</v>
      </c>
      <c r="H6147" s="1930" t="s">
        <v>4355</v>
      </c>
      <c r="I6147" s="1930" t="s">
        <v>65</v>
      </c>
      <c r="J6147" s="1930" t="s">
        <v>320</v>
      </c>
      <c r="K6147" s="1933">
        <v>0.05</v>
      </c>
      <c r="L6147" s="1930" t="s">
        <v>4276</v>
      </c>
    </row>
    <row r="6148" spans="1:12" ht="13.5" x14ac:dyDescent="0.25">
      <c r="A6148" s="1930" t="s">
        <v>4628</v>
      </c>
      <c r="B6148" s="1930" t="s">
        <v>4809</v>
      </c>
      <c r="C6148" s="1930" t="s">
        <v>4816</v>
      </c>
      <c r="D6148" s="1930" t="s">
        <v>4817</v>
      </c>
      <c r="E6148" s="1931" t="s">
        <v>33</v>
      </c>
      <c r="F6148" s="1930" t="s">
        <v>33</v>
      </c>
      <c r="G6148" s="1932">
        <v>95311</v>
      </c>
      <c r="H6148" s="1930" t="s">
        <v>4356</v>
      </c>
      <c r="I6148" s="1930" t="s">
        <v>65</v>
      </c>
      <c r="J6148" s="1930" t="s">
        <v>320</v>
      </c>
      <c r="K6148" s="1933">
        <v>0.08</v>
      </c>
      <c r="L6148" s="1930" t="s">
        <v>4276</v>
      </c>
    </row>
    <row r="6149" spans="1:12" ht="13.5" x14ac:dyDescent="0.25">
      <c r="A6149" s="1930" t="s">
        <v>4628</v>
      </c>
      <c r="B6149" s="1930" t="s">
        <v>4809</v>
      </c>
      <c r="C6149" s="1930" t="s">
        <v>4816</v>
      </c>
      <c r="D6149" s="1930" t="s">
        <v>4817</v>
      </c>
      <c r="E6149" s="1931" t="s">
        <v>33</v>
      </c>
      <c r="F6149" s="1930" t="s">
        <v>33</v>
      </c>
      <c r="G6149" s="1932">
        <v>95312</v>
      </c>
      <c r="H6149" s="1930" t="s">
        <v>4357</v>
      </c>
      <c r="I6149" s="1930" t="s">
        <v>65</v>
      </c>
      <c r="J6149" s="1930" t="s">
        <v>320</v>
      </c>
      <c r="K6149" s="1933">
        <v>0.09</v>
      </c>
      <c r="L6149" s="1930" t="s">
        <v>4276</v>
      </c>
    </row>
    <row r="6150" spans="1:12" ht="13.5" x14ac:dyDescent="0.25">
      <c r="A6150" s="1930" t="s">
        <v>4628</v>
      </c>
      <c r="B6150" s="1930" t="s">
        <v>4809</v>
      </c>
      <c r="C6150" s="1930" t="s">
        <v>4816</v>
      </c>
      <c r="D6150" s="1930" t="s">
        <v>4817</v>
      </c>
      <c r="E6150" s="1931" t="s">
        <v>33</v>
      </c>
      <c r="F6150" s="1930" t="s">
        <v>33</v>
      </c>
      <c r="G6150" s="1932">
        <v>95313</v>
      </c>
      <c r="H6150" s="1930" t="s">
        <v>68</v>
      </c>
      <c r="I6150" s="1930" t="s">
        <v>65</v>
      </c>
      <c r="J6150" s="1930" t="s">
        <v>320</v>
      </c>
      <c r="K6150" s="1933">
        <v>0.09</v>
      </c>
      <c r="L6150" s="1930" t="s">
        <v>4276</v>
      </c>
    </row>
    <row r="6151" spans="1:12" ht="13.5" x14ac:dyDescent="0.25">
      <c r="A6151" s="1930" t="s">
        <v>4628</v>
      </c>
      <c r="B6151" s="1930" t="s">
        <v>4809</v>
      </c>
      <c r="C6151" s="1930" t="s">
        <v>4816</v>
      </c>
      <c r="D6151" s="1930" t="s">
        <v>4817</v>
      </c>
      <c r="E6151" s="1931" t="s">
        <v>33</v>
      </c>
      <c r="F6151" s="1930" t="s">
        <v>33</v>
      </c>
      <c r="G6151" s="1932">
        <v>95314</v>
      </c>
      <c r="H6151" s="1930" t="s">
        <v>110</v>
      </c>
      <c r="I6151" s="1930" t="s">
        <v>65</v>
      </c>
      <c r="J6151" s="1930" t="s">
        <v>320</v>
      </c>
      <c r="K6151" s="1933">
        <v>0.11</v>
      </c>
      <c r="L6151" s="1930" t="s">
        <v>4276</v>
      </c>
    </row>
    <row r="6152" spans="1:12" ht="13.5" x14ac:dyDescent="0.25">
      <c r="A6152" s="1930" t="s">
        <v>4628</v>
      </c>
      <c r="B6152" s="1930" t="s">
        <v>4809</v>
      </c>
      <c r="C6152" s="1930" t="s">
        <v>4816</v>
      </c>
      <c r="D6152" s="1930" t="s">
        <v>4817</v>
      </c>
      <c r="E6152" s="1931" t="s">
        <v>33</v>
      </c>
      <c r="F6152" s="1930" t="s">
        <v>33</v>
      </c>
      <c r="G6152" s="1932">
        <v>95315</v>
      </c>
      <c r="H6152" s="1930" t="s">
        <v>70</v>
      </c>
      <c r="I6152" s="1930" t="s">
        <v>65</v>
      </c>
      <c r="J6152" s="1930" t="s">
        <v>320</v>
      </c>
      <c r="K6152" s="1933">
        <v>0.1</v>
      </c>
      <c r="L6152" s="1930" t="s">
        <v>4276</v>
      </c>
    </row>
    <row r="6153" spans="1:12" ht="13.5" x14ac:dyDescent="0.25">
      <c r="A6153" s="1930" t="s">
        <v>4628</v>
      </c>
      <c r="B6153" s="1930" t="s">
        <v>4809</v>
      </c>
      <c r="C6153" s="1930" t="s">
        <v>4816</v>
      </c>
      <c r="D6153" s="1930" t="s">
        <v>4817</v>
      </c>
      <c r="E6153" s="1931" t="s">
        <v>33</v>
      </c>
      <c r="F6153" s="1930" t="s">
        <v>33</v>
      </c>
      <c r="G6153" s="1932">
        <v>95316</v>
      </c>
      <c r="H6153" s="1930" t="s">
        <v>72</v>
      </c>
      <c r="I6153" s="1930" t="s">
        <v>65</v>
      </c>
      <c r="J6153" s="1930" t="s">
        <v>320</v>
      </c>
      <c r="K6153" s="1933">
        <v>0.25</v>
      </c>
      <c r="L6153" s="1930" t="s">
        <v>4276</v>
      </c>
    </row>
    <row r="6154" spans="1:12" ht="13.5" x14ac:dyDescent="0.25">
      <c r="A6154" s="1930" t="s">
        <v>4628</v>
      </c>
      <c r="B6154" s="1930" t="s">
        <v>4809</v>
      </c>
      <c r="C6154" s="1930" t="s">
        <v>4816</v>
      </c>
      <c r="D6154" s="1930" t="s">
        <v>4817</v>
      </c>
      <c r="E6154" s="1931" t="s">
        <v>33</v>
      </c>
      <c r="F6154" s="1930" t="s">
        <v>33</v>
      </c>
      <c r="G6154" s="1932">
        <v>95317</v>
      </c>
      <c r="H6154" s="1930" t="s">
        <v>74</v>
      </c>
      <c r="I6154" s="1930" t="s">
        <v>65</v>
      </c>
      <c r="J6154" s="1930" t="s">
        <v>320</v>
      </c>
      <c r="K6154" s="1933">
        <v>0.12</v>
      </c>
      <c r="L6154" s="1930" t="s">
        <v>4276</v>
      </c>
    </row>
    <row r="6155" spans="1:12" ht="13.5" x14ac:dyDescent="0.25">
      <c r="A6155" s="1930" t="s">
        <v>4628</v>
      </c>
      <c r="B6155" s="1930" t="s">
        <v>4809</v>
      </c>
      <c r="C6155" s="1930" t="s">
        <v>4816</v>
      </c>
      <c r="D6155" s="1930" t="s">
        <v>4817</v>
      </c>
      <c r="E6155" s="1931" t="s">
        <v>33</v>
      </c>
      <c r="F6155" s="1930" t="s">
        <v>33</v>
      </c>
      <c r="G6155" s="1932">
        <v>95318</v>
      </c>
      <c r="H6155" s="1930" t="s">
        <v>4358</v>
      </c>
      <c r="I6155" s="1930" t="s">
        <v>65</v>
      </c>
      <c r="J6155" s="1930" t="s">
        <v>320</v>
      </c>
      <c r="K6155" s="1933">
        <v>0.13</v>
      </c>
      <c r="L6155" s="1930" t="s">
        <v>4276</v>
      </c>
    </row>
    <row r="6156" spans="1:12" ht="13.5" x14ac:dyDescent="0.25">
      <c r="A6156" s="1930" t="s">
        <v>4628</v>
      </c>
      <c r="B6156" s="1930" t="s">
        <v>4809</v>
      </c>
      <c r="C6156" s="1930" t="s">
        <v>4816</v>
      </c>
      <c r="D6156" s="1930" t="s">
        <v>4817</v>
      </c>
      <c r="E6156" s="1931" t="s">
        <v>33</v>
      </c>
      <c r="F6156" s="1930" t="s">
        <v>33</v>
      </c>
      <c r="G6156" s="1932">
        <v>95319</v>
      </c>
      <c r="H6156" s="1930" t="s">
        <v>4359</v>
      </c>
      <c r="I6156" s="1930" t="s">
        <v>65</v>
      </c>
      <c r="J6156" s="1930" t="s">
        <v>320</v>
      </c>
      <c r="K6156" s="1933">
        <v>7.0000000000000007E-2</v>
      </c>
      <c r="L6156" s="1930" t="s">
        <v>4276</v>
      </c>
    </row>
    <row r="6157" spans="1:12" ht="13.5" x14ac:dyDescent="0.25">
      <c r="A6157" s="1930" t="s">
        <v>4628</v>
      </c>
      <c r="B6157" s="1930" t="s">
        <v>4809</v>
      </c>
      <c r="C6157" s="1930" t="s">
        <v>4816</v>
      </c>
      <c r="D6157" s="1930" t="s">
        <v>4817</v>
      </c>
      <c r="E6157" s="1931" t="s">
        <v>33</v>
      </c>
      <c r="F6157" s="1930" t="s">
        <v>33</v>
      </c>
      <c r="G6157" s="1932">
        <v>95320</v>
      </c>
      <c r="H6157" s="1930" t="s">
        <v>76</v>
      </c>
      <c r="I6157" s="1930" t="s">
        <v>65</v>
      </c>
      <c r="J6157" s="1930" t="s">
        <v>320</v>
      </c>
      <c r="K6157" s="1933">
        <v>0.08</v>
      </c>
      <c r="L6157" s="1930" t="s">
        <v>4276</v>
      </c>
    </row>
    <row r="6158" spans="1:12" ht="13.5" x14ac:dyDescent="0.25">
      <c r="A6158" s="1930" t="s">
        <v>4628</v>
      </c>
      <c r="B6158" s="1930" t="s">
        <v>4809</v>
      </c>
      <c r="C6158" s="1930" t="s">
        <v>4816</v>
      </c>
      <c r="D6158" s="1930" t="s">
        <v>4817</v>
      </c>
      <c r="E6158" s="1931" t="s">
        <v>33</v>
      </c>
      <c r="F6158" s="1930" t="s">
        <v>33</v>
      </c>
      <c r="G6158" s="1932">
        <v>95321</v>
      </c>
      <c r="H6158" s="1930" t="s">
        <v>4360</v>
      </c>
      <c r="I6158" s="1930" t="s">
        <v>65</v>
      </c>
      <c r="J6158" s="1930" t="s">
        <v>320</v>
      </c>
      <c r="K6158" s="1933">
        <v>7.0000000000000007E-2</v>
      </c>
      <c r="L6158" s="1930" t="s">
        <v>4276</v>
      </c>
    </row>
    <row r="6159" spans="1:12" ht="13.5" x14ac:dyDescent="0.25">
      <c r="A6159" s="1930" t="s">
        <v>4628</v>
      </c>
      <c r="B6159" s="1930" t="s">
        <v>4809</v>
      </c>
      <c r="C6159" s="1930" t="s">
        <v>4816</v>
      </c>
      <c r="D6159" s="1930" t="s">
        <v>4817</v>
      </c>
      <c r="E6159" s="1931" t="s">
        <v>33</v>
      </c>
      <c r="F6159" s="1930" t="s">
        <v>33</v>
      </c>
      <c r="G6159" s="1932">
        <v>95322</v>
      </c>
      <c r="H6159" s="1930" t="s">
        <v>4361</v>
      </c>
      <c r="I6159" s="1930" t="s">
        <v>65</v>
      </c>
      <c r="J6159" s="1930" t="s">
        <v>320</v>
      </c>
      <c r="K6159" s="1933">
        <v>0.03</v>
      </c>
      <c r="L6159" s="1930" t="s">
        <v>4276</v>
      </c>
    </row>
    <row r="6160" spans="1:12" ht="13.5" x14ac:dyDescent="0.25">
      <c r="A6160" s="1930" t="s">
        <v>4628</v>
      </c>
      <c r="B6160" s="1930" t="s">
        <v>4809</v>
      </c>
      <c r="C6160" s="1930" t="s">
        <v>4816</v>
      </c>
      <c r="D6160" s="1930" t="s">
        <v>4817</v>
      </c>
      <c r="E6160" s="1931" t="s">
        <v>33</v>
      </c>
      <c r="F6160" s="1930" t="s">
        <v>33</v>
      </c>
      <c r="G6160" s="1932">
        <v>95323</v>
      </c>
      <c r="H6160" s="1930" t="s">
        <v>4362</v>
      </c>
      <c r="I6160" s="1930" t="s">
        <v>65</v>
      </c>
      <c r="J6160" s="1930" t="s">
        <v>320</v>
      </c>
      <c r="K6160" s="1933">
        <v>0.16</v>
      </c>
      <c r="L6160" s="1930" t="s">
        <v>4276</v>
      </c>
    </row>
    <row r="6161" spans="1:12" ht="13.5" x14ac:dyDescent="0.25">
      <c r="A6161" s="1930" t="s">
        <v>4628</v>
      </c>
      <c r="B6161" s="1930" t="s">
        <v>4809</v>
      </c>
      <c r="C6161" s="1930" t="s">
        <v>4816</v>
      </c>
      <c r="D6161" s="1930" t="s">
        <v>4817</v>
      </c>
      <c r="E6161" s="1931" t="s">
        <v>33</v>
      </c>
      <c r="F6161" s="1930" t="s">
        <v>33</v>
      </c>
      <c r="G6161" s="1932">
        <v>95324</v>
      </c>
      <c r="H6161" s="1930" t="s">
        <v>78</v>
      </c>
      <c r="I6161" s="1930" t="s">
        <v>65</v>
      </c>
      <c r="J6161" s="1930" t="s">
        <v>320</v>
      </c>
      <c r="K6161" s="1933">
        <v>0.14000000000000001</v>
      </c>
      <c r="L6161" s="1930" t="s">
        <v>4276</v>
      </c>
    </row>
    <row r="6162" spans="1:12" ht="13.5" x14ac:dyDescent="0.25">
      <c r="A6162" s="1930" t="s">
        <v>4628</v>
      </c>
      <c r="B6162" s="1930" t="s">
        <v>4809</v>
      </c>
      <c r="C6162" s="1930" t="s">
        <v>4816</v>
      </c>
      <c r="D6162" s="1930" t="s">
        <v>4817</v>
      </c>
      <c r="E6162" s="1931" t="s">
        <v>33</v>
      </c>
      <c r="F6162" s="1930" t="s">
        <v>33</v>
      </c>
      <c r="G6162" s="1932">
        <v>95325</v>
      </c>
      <c r="H6162" s="1930" t="s">
        <v>4363</v>
      </c>
      <c r="I6162" s="1930" t="s">
        <v>65</v>
      </c>
      <c r="J6162" s="1930" t="s">
        <v>320</v>
      </c>
      <c r="K6162" s="1933">
        <v>0.12</v>
      </c>
      <c r="L6162" s="1930" t="s">
        <v>4276</v>
      </c>
    </row>
    <row r="6163" spans="1:12" ht="13.5" x14ac:dyDescent="0.25">
      <c r="A6163" s="1930" t="s">
        <v>4628</v>
      </c>
      <c r="B6163" s="1930" t="s">
        <v>4809</v>
      </c>
      <c r="C6163" s="1930" t="s">
        <v>4816</v>
      </c>
      <c r="D6163" s="1930" t="s">
        <v>4817</v>
      </c>
      <c r="E6163" s="1931" t="s">
        <v>33</v>
      </c>
      <c r="F6163" s="1930" t="s">
        <v>33</v>
      </c>
      <c r="G6163" s="1932">
        <v>95326</v>
      </c>
      <c r="H6163" s="1930" t="s">
        <v>4364</v>
      </c>
      <c r="I6163" s="1930" t="s">
        <v>65</v>
      </c>
      <c r="J6163" s="1930" t="s">
        <v>320</v>
      </c>
      <c r="K6163" s="1933">
        <v>0.06</v>
      </c>
      <c r="L6163" s="1930" t="s">
        <v>4276</v>
      </c>
    </row>
    <row r="6164" spans="1:12" ht="13.5" x14ac:dyDescent="0.25">
      <c r="A6164" s="1930" t="s">
        <v>4628</v>
      </c>
      <c r="B6164" s="1930" t="s">
        <v>4809</v>
      </c>
      <c r="C6164" s="1930" t="s">
        <v>4816</v>
      </c>
      <c r="D6164" s="1930" t="s">
        <v>4817</v>
      </c>
      <c r="E6164" s="1931" t="s">
        <v>33</v>
      </c>
      <c r="F6164" s="1930" t="s">
        <v>33</v>
      </c>
      <c r="G6164" s="1932">
        <v>95327</v>
      </c>
      <c r="H6164" s="1930" t="s">
        <v>4365</v>
      </c>
      <c r="I6164" s="1930" t="s">
        <v>65</v>
      </c>
      <c r="J6164" s="1930" t="s">
        <v>320</v>
      </c>
      <c r="K6164" s="1933">
        <v>0.17</v>
      </c>
      <c r="L6164" s="1930" t="s">
        <v>4276</v>
      </c>
    </row>
    <row r="6165" spans="1:12" ht="13.5" x14ac:dyDescent="0.25">
      <c r="A6165" s="1930" t="s">
        <v>4628</v>
      </c>
      <c r="B6165" s="1930" t="s">
        <v>4809</v>
      </c>
      <c r="C6165" s="1930" t="s">
        <v>4816</v>
      </c>
      <c r="D6165" s="1930" t="s">
        <v>4817</v>
      </c>
      <c r="E6165" s="1931" t="s">
        <v>33</v>
      </c>
      <c r="F6165" s="1930" t="s">
        <v>33</v>
      </c>
      <c r="G6165" s="1932">
        <v>95328</v>
      </c>
      <c r="H6165" s="1930" t="s">
        <v>4366</v>
      </c>
      <c r="I6165" s="1930" t="s">
        <v>65</v>
      </c>
      <c r="J6165" s="1930" t="s">
        <v>320</v>
      </c>
      <c r="K6165" s="1933">
        <v>0.1</v>
      </c>
      <c r="L6165" s="1930" t="s">
        <v>4276</v>
      </c>
    </row>
    <row r="6166" spans="1:12" ht="13.5" x14ac:dyDescent="0.25">
      <c r="A6166" s="1930" t="s">
        <v>4628</v>
      </c>
      <c r="B6166" s="1930" t="s">
        <v>4809</v>
      </c>
      <c r="C6166" s="1930" t="s">
        <v>4816</v>
      </c>
      <c r="D6166" s="1930" t="s">
        <v>4817</v>
      </c>
      <c r="E6166" s="1931" t="s">
        <v>33</v>
      </c>
      <c r="F6166" s="1930" t="s">
        <v>33</v>
      </c>
      <c r="G6166" s="1932">
        <v>95329</v>
      </c>
      <c r="H6166" s="1930" t="s">
        <v>79</v>
      </c>
      <c r="I6166" s="1930" t="s">
        <v>65</v>
      </c>
      <c r="J6166" s="1930" t="s">
        <v>320</v>
      </c>
      <c r="K6166" s="1933">
        <v>0.14000000000000001</v>
      </c>
      <c r="L6166" s="1930" t="s">
        <v>4276</v>
      </c>
    </row>
    <row r="6167" spans="1:12" ht="13.5" x14ac:dyDescent="0.25">
      <c r="A6167" s="1930" t="s">
        <v>4628</v>
      </c>
      <c r="B6167" s="1930" t="s">
        <v>4809</v>
      </c>
      <c r="C6167" s="1930" t="s">
        <v>4816</v>
      </c>
      <c r="D6167" s="1930" t="s">
        <v>4817</v>
      </c>
      <c r="E6167" s="1931" t="s">
        <v>33</v>
      </c>
      <c r="F6167" s="1930" t="s">
        <v>33</v>
      </c>
      <c r="G6167" s="1932">
        <v>95330</v>
      </c>
      <c r="H6167" s="1930" t="s">
        <v>4367</v>
      </c>
      <c r="I6167" s="1930" t="s">
        <v>65</v>
      </c>
      <c r="J6167" s="1930" t="s">
        <v>346</v>
      </c>
      <c r="K6167" s="1933">
        <v>0.11</v>
      </c>
      <c r="L6167" s="1930" t="s">
        <v>4276</v>
      </c>
    </row>
    <row r="6168" spans="1:12" ht="13.5" x14ac:dyDescent="0.25">
      <c r="A6168" s="1930" t="s">
        <v>4628</v>
      </c>
      <c r="B6168" s="1930" t="s">
        <v>4809</v>
      </c>
      <c r="C6168" s="1930" t="s">
        <v>4816</v>
      </c>
      <c r="D6168" s="1930" t="s">
        <v>4817</v>
      </c>
      <c r="E6168" s="1931" t="s">
        <v>33</v>
      </c>
      <c r="F6168" s="1930" t="s">
        <v>33</v>
      </c>
      <c r="G6168" s="1932">
        <v>95331</v>
      </c>
      <c r="H6168" s="1930" t="s">
        <v>4368</v>
      </c>
      <c r="I6168" s="1930" t="s">
        <v>65</v>
      </c>
      <c r="J6168" s="1930" t="s">
        <v>320</v>
      </c>
      <c r="K6168" s="1933">
        <v>0.06</v>
      </c>
      <c r="L6168" s="1930" t="s">
        <v>4276</v>
      </c>
    </row>
    <row r="6169" spans="1:12" ht="13.5" x14ac:dyDescent="0.25">
      <c r="A6169" s="1930" t="s">
        <v>4628</v>
      </c>
      <c r="B6169" s="1930" t="s">
        <v>4809</v>
      </c>
      <c r="C6169" s="1930" t="s">
        <v>4816</v>
      </c>
      <c r="D6169" s="1930" t="s">
        <v>4817</v>
      </c>
      <c r="E6169" s="1931" t="s">
        <v>33</v>
      </c>
      <c r="F6169" s="1930" t="s">
        <v>33</v>
      </c>
      <c r="G6169" s="1932">
        <v>95332</v>
      </c>
      <c r="H6169" s="1930" t="s">
        <v>82</v>
      </c>
      <c r="I6169" s="1930" t="s">
        <v>65</v>
      </c>
      <c r="J6169" s="1930" t="s">
        <v>346</v>
      </c>
      <c r="K6169" s="1933">
        <v>0.36</v>
      </c>
      <c r="L6169" s="1930" t="s">
        <v>4276</v>
      </c>
    </row>
    <row r="6170" spans="1:12" ht="13.5" x14ac:dyDescent="0.25">
      <c r="A6170" s="1930" t="s">
        <v>4628</v>
      </c>
      <c r="B6170" s="1930" t="s">
        <v>4809</v>
      </c>
      <c r="C6170" s="1930" t="s">
        <v>4816</v>
      </c>
      <c r="D6170" s="1930" t="s">
        <v>4817</v>
      </c>
      <c r="E6170" s="1931" t="s">
        <v>33</v>
      </c>
      <c r="F6170" s="1930" t="s">
        <v>33</v>
      </c>
      <c r="G6170" s="1932">
        <v>95333</v>
      </c>
      <c r="H6170" s="1930" t="s">
        <v>4369</v>
      </c>
      <c r="I6170" s="1930" t="s">
        <v>65</v>
      </c>
      <c r="J6170" s="1930" t="s">
        <v>320</v>
      </c>
      <c r="K6170" s="1933">
        <v>0.36</v>
      </c>
      <c r="L6170" s="1930" t="s">
        <v>4276</v>
      </c>
    </row>
    <row r="6171" spans="1:12" ht="13.5" x14ac:dyDescent="0.25">
      <c r="A6171" s="1930" t="s">
        <v>4628</v>
      </c>
      <c r="B6171" s="1930" t="s">
        <v>4809</v>
      </c>
      <c r="C6171" s="1930" t="s">
        <v>4816</v>
      </c>
      <c r="D6171" s="1930" t="s">
        <v>4817</v>
      </c>
      <c r="E6171" s="1931" t="s">
        <v>33</v>
      </c>
      <c r="F6171" s="1930" t="s">
        <v>33</v>
      </c>
      <c r="G6171" s="1932">
        <v>95334</v>
      </c>
      <c r="H6171" s="1930" t="s">
        <v>4370</v>
      </c>
      <c r="I6171" s="1930" t="s">
        <v>65</v>
      </c>
      <c r="J6171" s="1930" t="s">
        <v>320</v>
      </c>
      <c r="K6171" s="1933">
        <v>0.44</v>
      </c>
      <c r="L6171" s="1930" t="s">
        <v>4276</v>
      </c>
    </row>
    <row r="6172" spans="1:12" ht="13.5" x14ac:dyDescent="0.25">
      <c r="A6172" s="1930" t="s">
        <v>4628</v>
      </c>
      <c r="B6172" s="1930" t="s">
        <v>4809</v>
      </c>
      <c r="C6172" s="1930" t="s">
        <v>4816</v>
      </c>
      <c r="D6172" s="1930" t="s">
        <v>4817</v>
      </c>
      <c r="E6172" s="1931" t="s">
        <v>33</v>
      </c>
      <c r="F6172" s="1930" t="s">
        <v>33</v>
      </c>
      <c r="G6172" s="1932">
        <v>95335</v>
      </c>
      <c r="H6172" s="1930" t="s">
        <v>85</v>
      </c>
      <c r="I6172" s="1930" t="s">
        <v>65</v>
      </c>
      <c r="J6172" s="1930" t="s">
        <v>346</v>
      </c>
      <c r="K6172" s="1933">
        <v>0.17</v>
      </c>
      <c r="L6172" s="1930" t="s">
        <v>4276</v>
      </c>
    </row>
    <row r="6173" spans="1:12" ht="13.5" x14ac:dyDescent="0.25">
      <c r="A6173" s="1930" t="s">
        <v>4628</v>
      </c>
      <c r="B6173" s="1930" t="s">
        <v>4809</v>
      </c>
      <c r="C6173" s="1930" t="s">
        <v>4816</v>
      </c>
      <c r="D6173" s="1930" t="s">
        <v>4817</v>
      </c>
      <c r="E6173" s="1931" t="s">
        <v>33</v>
      </c>
      <c r="F6173" s="1930" t="s">
        <v>33</v>
      </c>
      <c r="G6173" s="1932">
        <v>95336</v>
      </c>
      <c r="H6173" s="1930" t="s">
        <v>4371</v>
      </c>
      <c r="I6173" s="1930" t="s">
        <v>65</v>
      </c>
      <c r="J6173" s="1930" t="s">
        <v>320</v>
      </c>
      <c r="K6173" s="1933">
        <v>0.11</v>
      </c>
      <c r="L6173" s="1930" t="s">
        <v>4276</v>
      </c>
    </row>
    <row r="6174" spans="1:12" ht="13.5" x14ac:dyDescent="0.25">
      <c r="A6174" s="1930" t="s">
        <v>4628</v>
      </c>
      <c r="B6174" s="1930" t="s">
        <v>4809</v>
      </c>
      <c r="C6174" s="1930" t="s">
        <v>4816</v>
      </c>
      <c r="D6174" s="1930" t="s">
        <v>4817</v>
      </c>
      <c r="E6174" s="1931" t="s">
        <v>33</v>
      </c>
      <c r="F6174" s="1930" t="s">
        <v>33</v>
      </c>
      <c r="G6174" s="1932">
        <v>95337</v>
      </c>
      <c r="H6174" s="1930" t="s">
        <v>86</v>
      </c>
      <c r="I6174" s="1930" t="s">
        <v>65</v>
      </c>
      <c r="J6174" s="1930" t="s">
        <v>320</v>
      </c>
      <c r="K6174" s="1933">
        <v>0.11</v>
      </c>
      <c r="L6174" s="1930" t="s">
        <v>4276</v>
      </c>
    </row>
    <row r="6175" spans="1:12" ht="13.5" x14ac:dyDescent="0.25">
      <c r="A6175" s="1930" t="s">
        <v>4628</v>
      </c>
      <c r="B6175" s="1930" t="s">
        <v>4809</v>
      </c>
      <c r="C6175" s="1930" t="s">
        <v>4816</v>
      </c>
      <c r="D6175" s="1930" t="s">
        <v>4817</v>
      </c>
      <c r="E6175" s="1931" t="s">
        <v>33</v>
      </c>
      <c r="F6175" s="1930" t="s">
        <v>33</v>
      </c>
      <c r="G6175" s="1932">
        <v>95338</v>
      </c>
      <c r="H6175" s="1930" t="s">
        <v>111</v>
      </c>
      <c r="I6175" s="1930" t="s">
        <v>65</v>
      </c>
      <c r="J6175" s="1930" t="s">
        <v>320</v>
      </c>
      <c r="K6175" s="1933">
        <v>0.2</v>
      </c>
      <c r="L6175" s="1930" t="s">
        <v>4276</v>
      </c>
    </row>
    <row r="6176" spans="1:12" ht="13.5" x14ac:dyDescent="0.25">
      <c r="A6176" s="1930" t="s">
        <v>4628</v>
      </c>
      <c r="B6176" s="1930" t="s">
        <v>4809</v>
      </c>
      <c r="C6176" s="1930" t="s">
        <v>4816</v>
      </c>
      <c r="D6176" s="1930" t="s">
        <v>4817</v>
      </c>
      <c r="E6176" s="1931" t="s">
        <v>33</v>
      </c>
      <c r="F6176" s="1930" t="s">
        <v>33</v>
      </c>
      <c r="G6176" s="1932">
        <v>95339</v>
      </c>
      <c r="H6176" s="1930" t="s">
        <v>4372</v>
      </c>
      <c r="I6176" s="1930" t="s">
        <v>65</v>
      </c>
      <c r="J6176" s="1930" t="s">
        <v>320</v>
      </c>
      <c r="K6176" s="1933">
        <v>0.16</v>
      </c>
      <c r="L6176" s="1930" t="s">
        <v>4276</v>
      </c>
    </row>
    <row r="6177" spans="1:12" ht="13.5" x14ac:dyDescent="0.25">
      <c r="A6177" s="1930" t="s">
        <v>4628</v>
      </c>
      <c r="B6177" s="1930" t="s">
        <v>4809</v>
      </c>
      <c r="C6177" s="1930" t="s">
        <v>4816</v>
      </c>
      <c r="D6177" s="1930" t="s">
        <v>4817</v>
      </c>
      <c r="E6177" s="1931" t="s">
        <v>33</v>
      </c>
      <c r="F6177" s="1930" t="s">
        <v>33</v>
      </c>
      <c r="G6177" s="1932">
        <v>95340</v>
      </c>
      <c r="H6177" s="1930" t="s">
        <v>4373</v>
      </c>
      <c r="I6177" s="1930" t="s">
        <v>65</v>
      </c>
      <c r="J6177" s="1930" t="s">
        <v>320</v>
      </c>
      <c r="K6177" s="1933">
        <v>0.14000000000000001</v>
      </c>
      <c r="L6177" s="1930" t="s">
        <v>4276</v>
      </c>
    </row>
    <row r="6178" spans="1:12" ht="13.5" x14ac:dyDescent="0.25">
      <c r="A6178" s="1930" t="s">
        <v>4628</v>
      </c>
      <c r="B6178" s="1930" t="s">
        <v>4809</v>
      </c>
      <c r="C6178" s="1930" t="s">
        <v>4816</v>
      </c>
      <c r="D6178" s="1930" t="s">
        <v>4817</v>
      </c>
      <c r="E6178" s="1931" t="s">
        <v>33</v>
      </c>
      <c r="F6178" s="1930" t="s">
        <v>33</v>
      </c>
      <c r="G6178" s="1932">
        <v>95341</v>
      </c>
      <c r="H6178" s="1930" t="s">
        <v>4374</v>
      </c>
      <c r="I6178" s="1930" t="s">
        <v>65</v>
      </c>
      <c r="J6178" s="1930" t="s">
        <v>320</v>
      </c>
      <c r="K6178" s="1933">
        <v>0.11</v>
      </c>
      <c r="L6178" s="1930" t="s">
        <v>4276</v>
      </c>
    </row>
    <row r="6179" spans="1:12" ht="13.5" x14ac:dyDescent="0.25">
      <c r="A6179" s="1930" t="s">
        <v>4628</v>
      </c>
      <c r="B6179" s="1930" t="s">
        <v>4809</v>
      </c>
      <c r="C6179" s="1930" t="s">
        <v>4816</v>
      </c>
      <c r="D6179" s="1930" t="s">
        <v>4817</v>
      </c>
      <c r="E6179" s="1931" t="s">
        <v>33</v>
      </c>
      <c r="F6179" s="1930" t="s">
        <v>33</v>
      </c>
      <c r="G6179" s="1932">
        <v>95342</v>
      </c>
      <c r="H6179" s="1930" t="s">
        <v>4375</v>
      </c>
      <c r="I6179" s="1930" t="s">
        <v>65</v>
      </c>
      <c r="J6179" s="1930" t="s">
        <v>320</v>
      </c>
      <c r="K6179" s="1933">
        <v>0.09</v>
      </c>
      <c r="L6179" s="1930" t="s">
        <v>4276</v>
      </c>
    </row>
    <row r="6180" spans="1:12" ht="13.5" x14ac:dyDescent="0.25">
      <c r="A6180" s="1930" t="s">
        <v>4628</v>
      </c>
      <c r="B6180" s="1930" t="s">
        <v>4809</v>
      </c>
      <c r="C6180" s="1930" t="s">
        <v>4816</v>
      </c>
      <c r="D6180" s="1930" t="s">
        <v>4817</v>
      </c>
      <c r="E6180" s="1931" t="s">
        <v>33</v>
      </c>
      <c r="F6180" s="1930" t="s">
        <v>33</v>
      </c>
      <c r="G6180" s="1932">
        <v>95343</v>
      </c>
      <c r="H6180" s="1930" t="s">
        <v>4376</v>
      </c>
      <c r="I6180" s="1930" t="s">
        <v>65</v>
      </c>
      <c r="J6180" s="1930" t="s">
        <v>320</v>
      </c>
      <c r="K6180" s="1933">
        <v>0.11</v>
      </c>
      <c r="L6180" s="1930" t="s">
        <v>4276</v>
      </c>
    </row>
    <row r="6181" spans="1:12" ht="13.5" x14ac:dyDescent="0.25">
      <c r="A6181" s="1930" t="s">
        <v>4628</v>
      </c>
      <c r="B6181" s="1930" t="s">
        <v>4809</v>
      </c>
      <c r="C6181" s="1930" t="s">
        <v>4816</v>
      </c>
      <c r="D6181" s="1930" t="s">
        <v>4817</v>
      </c>
      <c r="E6181" s="1931" t="s">
        <v>33</v>
      </c>
      <c r="F6181" s="1930" t="s">
        <v>33</v>
      </c>
      <c r="G6181" s="1932">
        <v>95344</v>
      </c>
      <c r="H6181" s="1930" t="s">
        <v>4377</v>
      </c>
      <c r="I6181" s="1930" t="s">
        <v>65</v>
      </c>
      <c r="J6181" s="1930" t="s">
        <v>320</v>
      </c>
      <c r="K6181" s="1933">
        <v>0.08</v>
      </c>
      <c r="L6181" s="1930" t="s">
        <v>4276</v>
      </c>
    </row>
    <row r="6182" spans="1:12" ht="13.5" x14ac:dyDescent="0.25">
      <c r="A6182" s="1930" t="s">
        <v>4628</v>
      </c>
      <c r="B6182" s="1930" t="s">
        <v>4809</v>
      </c>
      <c r="C6182" s="1930" t="s">
        <v>4816</v>
      </c>
      <c r="D6182" s="1930" t="s">
        <v>4817</v>
      </c>
      <c r="E6182" s="1931" t="s">
        <v>33</v>
      </c>
      <c r="F6182" s="1930" t="s">
        <v>33</v>
      </c>
      <c r="G6182" s="1932">
        <v>95345</v>
      </c>
      <c r="H6182" s="1930" t="s">
        <v>4378</v>
      </c>
      <c r="I6182" s="1930" t="s">
        <v>65</v>
      </c>
      <c r="J6182" s="1930" t="s">
        <v>320</v>
      </c>
      <c r="K6182" s="1933">
        <v>0.31</v>
      </c>
      <c r="L6182" s="1930" t="s">
        <v>4276</v>
      </c>
    </row>
    <row r="6183" spans="1:12" ht="13.5" x14ac:dyDescent="0.25">
      <c r="A6183" s="1930" t="s">
        <v>4628</v>
      </c>
      <c r="B6183" s="1930" t="s">
        <v>4809</v>
      </c>
      <c r="C6183" s="1930" t="s">
        <v>4816</v>
      </c>
      <c r="D6183" s="1930" t="s">
        <v>4817</v>
      </c>
      <c r="E6183" s="1931" t="s">
        <v>33</v>
      </c>
      <c r="F6183" s="1930" t="s">
        <v>33</v>
      </c>
      <c r="G6183" s="1932">
        <v>95346</v>
      </c>
      <c r="H6183" s="1930" t="s">
        <v>4379</v>
      </c>
      <c r="I6183" s="1930" t="s">
        <v>65</v>
      </c>
      <c r="J6183" s="1930" t="s">
        <v>320</v>
      </c>
      <c r="K6183" s="1933">
        <v>0.03</v>
      </c>
      <c r="L6183" s="1930" t="s">
        <v>4276</v>
      </c>
    </row>
    <row r="6184" spans="1:12" ht="13.5" x14ac:dyDescent="0.25">
      <c r="A6184" s="1930" t="s">
        <v>4628</v>
      </c>
      <c r="B6184" s="1930" t="s">
        <v>4809</v>
      </c>
      <c r="C6184" s="1930" t="s">
        <v>4816</v>
      </c>
      <c r="D6184" s="1930" t="s">
        <v>4817</v>
      </c>
      <c r="E6184" s="1931" t="s">
        <v>33</v>
      </c>
      <c r="F6184" s="1930" t="s">
        <v>33</v>
      </c>
      <c r="G6184" s="1932">
        <v>95347</v>
      </c>
      <c r="H6184" s="1930" t="s">
        <v>4380</v>
      </c>
      <c r="I6184" s="1930" t="s">
        <v>65</v>
      </c>
      <c r="J6184" s="1930" t="s">
        <v>320</v>
      </c>
      <c r="K6184" s="1933">
        <v>0.04</v>
      </c>
      <c r="L6184" s="1930" t="s">
        <v>4276</v>
      </c>
    </row>
    <row r="6185" spans="1:12" ht="13.5" x14ac:dyDescent="0.25">
      <c r="A6185" s="1930" t="s">
        <v>4628</v>
      </c>
      <c r="B6185" s="1930" t="s">
        <v>4809</v>
      </c>
      <c r="C6185" s="1930" t="s">
        <v>4816</v>
      </c>
      <c r="D6185" s="1930" t="s">
        <v>4817</v>
      </c>
      <c r="E6185" s="1931" t="s">
        <v>33</v>
      </c>
      <c r="F6185" s="1930" t="s">
        <v>33</v>
      </c>
      <c r="G6185" s="1932">
        <v>95348</v>
      </c>
      <c r="H6185" s="1930" t="s">
        <v>4381</v>
      </c>
      <c r="I6185" s="1930" t="s">
        <v>65</v>
      </c>
      <c r="J6185" s="1930" t="s">
        <v>320</v>
      </c>
      <c r="K6185" s="1933">
        <v>0.05</v>
      </c>
      <c r="L6185" s="1930" t="s">
        <v>4276</v>
      </c>
    </row>
    <row r="6186" spans="1:12" ht="13.5" x14ac:dyDescent="0.25">
      <c r="A6186" s="1930" t="s">
        <v>4628</v>
      </c>
      <c r="B6186" s="1930" t="s">
        <v>4809</v>
      </c>
      <c r="C6186" s="1930" t="s">
        <v>4816</v>
      </c>
      <c r="D6186" s="1930" t="s">
        <v>4817</v>
      </c>
      <c r="E6186" s="1931" t="s">
        <v>33</v>
      </c>
      <c r="F6186" s="1930" t="s">
        <v>33</v>
      </c>
      <c r="G6186" s="1932">
        <v>95349</v>
      </c>
      <c r="H6186" s="1930" t="s">
        <v>4382</v>
      </c>
      <c r="I6186" s="1930" t="s">
        <v>65</v>
      </c>
      <c r="J6186" s="1930" t="s">
        <v>320</v>
      </c>
      <c r="K6186" s="1933">
        <v>0.03</v>
      </c>
      <c r="L6186" s="1930" t="s">
        <v>4276</v>
      </c>
    </row>
    <row r="6187" spans="1:12" ht="13.5" x14ac:dyDescent="0.25">
      <c r="A6187" s="1930" t="s">
        <v>4628</v>
      </c>
      <c r="B6187" s="1930" t="s">
        <v>4809</v>
      </c>
      <c r="C6187" s="1930" t="s">
        <v>4816</v>
      </c>
      <c r="D6187" s="1930" t="s">
        <v>4817</v>
      </c>
      <c r="E6187" s="1931" t="s">
        <v>33</v>
      </c>
      <c r="F6187" s="1930" t="s">
        <v>33</v>
      </c>
      <c r="G6187" s="1932">
        <v>95350</v>
      </c>
      <c r="H6187" s="1930" t="s">
        <v>4383</v>
      </c>
      <c r="I6187" s="1930" t="s">
        <v>65</v>
      </c>
      <c r="J6187" s="1930" t="s">
        <v>320</v>
      </c>
      <c r="K6187" s="1933">
        <v>0.03</v>
      </c>
      <c r="L6187" s="1930" t="s">
        <v>4276</v>
      </c>
    </row>
    <row r="6188" spans="1:12" ht="13.5" x14ac:dyDescent="0.25">
      <c r="A6188" s="1930" t="s">
        <v>4628</v>
      </c>
      <c r="B6188" s="1930" t="s">
        <v>4809</v>
      </c>
      <c r="C6188" s="1930" t="s">
        <v>4816</v>
      </c>
      <c r="D6188" s="1930" t="s">
        <v>4817</v>
      </c>
      <c r="E6188" s="1931" t="s">
        <v>33</v>
      </c>
      <c r="F6188" s="1930" t="s">
        <v>33</v>
      </c>
      <c r="G6188" s="1932">
        <v>95351</v>
      </c>
      <c r="H6188" s="1930" t="s">
        <v>4384</v>
      </c>
      <c r="I6188" s="1930" t="s">
        <v>65</v>
      </c>
      <c r="J6188" s="1930" t="s">
        <v>320</v>
      </c>
      <c r="K6188" s="1933">
        <v>0.12</v>
      </c>
      <c r="L6188" s="1930" t="s">
        <v>4276</v>
      </c>
    </row>
    <row r="6189" spans="1:12" ht="13.5" x14ac:dyDescent="0.25">
      <c r="A6189" s="1930" t="s">
        <v>4628</v>
      </c>
      <c r="B6189" s="1930" t="s">
        <v>4809</v>
      </c>
      <c r="C6189" s="1930" t="s">
        <v>4816</v>
      </c>
      <c r="D6189" s="1930" t="s">
        <v>4817</v>
      </c>
      <c r="E6189" s="1931" t="s">
        <v>33</v>
      </c>
      <c r="F6189" s="1930" t="s">
        <v>33</v>
      </c>
      <c r="G6189" s="1932">
        <v>95352</v>
      </c>
      <c r="H6189" s="1930" t="s">
        <v>4385</v>
      </c>
      <c r="I6189" s="1930" t="s">
        <v>65</v>
      </c>
      <c r="J6189" s="1930" t="s">
        <v>320</v>
      </c>
      <c r="K6189" s="1933">
        <v>0.04</v>
      </c>
      <c r="L6189" s="1930" t="s">
        <v>4276</v>
      </c>
    </row>
    <row r="6190" spans="1:12" ht="13.5" x14ac:dyDescent="0.25">
      <c r="A6190" s="1930" t="s">
        <v>4628</v>
      </c>
      <c r="B6190" s="1930" t="s">
        <v>4809</v>
      </c>
      <c r="C6190" s="1930" t="s">
        <v>4816</v>
      </c>
      <c r="D6190" s="1930" t="s">
        <v>4817</v>
      </c>
      <c r="E6190" s="1931" t="s">
        <v>33</v>
      </c>
      <c r="F6190" s="1930" t="s">
        <v>33</v>
      </c>
      <c r="G6190" s="1932">
        <v>95354</v>
      </c>
      <c r="H6190" s="1930" t="s">
        <v>4386</v>
      </c>
      <c r="I6190" s="1930" t="s">
        <v>65</v>
      </c>
      <c r="J6190" s="1930" t="s">
        <v>320</v>
      </c>
      <c r="K6190" s="1933">
        <v>0.05</v>
      </c>
      <c r="L6190" s="1930" t="s">
        <v>4276</v>
      </c>
    </row>
    <row r="6191" spans="1:12" ht="13.5" x14ac:dyDescent="0.25">
      <c r="A6191" s="1930" t="s">
        <v>4628</v>
      </c>
      <c r="B6191" s="1930" t="s">
        <v>4809</v>
      </c>
      <c r="C6191" s="1930" t="s">
        <v>4816</v>
      </c>
      <c r="D6191" s="1930" t="s">
        <v>4817</v>
      </c>
      <c r="E6191" s="1931" t="s">
        <v>33</v>
      </c>
      <c r="F6191" s="1930" t="s">
        <v>33</v>
      </c>
      <c r="G6191" s="1932">
        <v>95355</v>
      </c>
      <c r="H6191" s="1930" t="s">
        <v>4387</v>
      </c>
      <c r="I6191" s="1930" t="s">
        <v>65</v>
      </c>
      <c r="J6191" s="1930" t="s">
        <v>320</v>
      </c>
      <c r="K6191" s="1933">
        <v>0.06</v>
      </c>
      <c r="L6191" s="1930" t="s">
        <v>4276</v>
      </c>
    </row>
    <row r="6192" spans="1:12" ht="13.5" x14ac:dyDescent="0.25">
      <c r="A6192" s="1930" t="s">
        <v>4628</v>
      </c>
      <c r="B6192" s="1930" t="s">
        <v>4809</v>
      </c>
      <c r="C6192" s="1930" t="s">
        <v>4816</v>
      </c>
      <c r="D6192" s="1930" t="s">
        <v>4817</v>
      </c>
      <c r="E6192" s="1931" t="s">
        <v>33</v>
      </c>
      <c r="F6192" s="1930" t="s">
        <v>33</v>
      </c>
      <c r="G6192" s="1932">
        <v>95356</v>
      </c>
      <c r="H6192" s="1930" t="s">
        <v>4388</v>
      </c>
      <c r="I6192" s="1930" t="s">
        <v>65</v>
      </c>
      <c r="J6192" s="1930" t="s">
        <v>320</v>
      </c>
      <c r="K6192" s="1933">
        <v>7.0000000000000007E-2</v>
      </c>
      <c r="L6192" s="1930" t="s">
        <v>4276</v>
      </c>
    </row>
    <row r="6193" spans="1:12" ht="13.5" x14ac:dyDescent="0.25">
      <c r="A6193" s="1930" t="s">
        <v>4628</v>
      </c>
      <c r="B6193" s="1930" t="s">
        <v>4809</v>
      </c>
      <c r="C6193" s="1930" t="s">
        <v>4816</v>
      </c>
      <c r="D6193" s="1930" t="s">
        <v>4817</v>
      </c>
      <c r="E6193" s="1931" t="s">
        <v>33</v>
      </c>
      <c r="F6193" s="1930" t="s">
        <v>33</v>
      </c>
      <c r="G6193" s="1932">
        <v>95357</v>
      </c>
      <c r="H6193" s="1930" t="s">
        <v>112</v>
      </c>
      <c r="I6193" s="1930" t="s">
        <v>65</v>
      </c>
      <c r="J6193" s="1930" t="s">
        <v>346</v>
      </c>
      <c r="K6193" s="1933">
        <v>0.11</v>
      </c>
      <c r="L6193" s="1930" t="s">
        <v>4276</v>
      </c>
    </row>
    <row r="6194" spans="1:12" ht="13.5" x14ac:dyDescent="0.25">
      <c r="A6194" s="1930" t="s">
        <v>4628</v>
      </c>
      <c r="B6194" s="1930" t="s">
        <v>4809</v>
      </c>
      <c r="C6194" s="1930" t="s">
        <v>4816</v>
      </c>
      <c r="D6194" s="1930" t="s">
        <v>4817</v>
      </c>
      <c r="E6194" s="1931" t="s">
        <v>33</v>
      </c>
      <c r="F6194" s="1930" t="s">
        <v>33</v>
      </c>
      <c r="G6194" s="1932">
        <v>95358</v>
      </c>
      <c r="H6194" s="1930" t="s">
        <v>4389</v>
      </c>
      <c r="I6194" s="1930" t="s">
        <v>65</v>
      </c>
      <c r="J6194" s="1930" t="s">
        <v>320</v>
      </c>
      <c r="K6194" s="1933">
        <v>0.12</v>
      </c>
      <c r="L6194" s="1930" t="s">
        <v>4276</v>
      </c>
    </row>
    <row r="6195" spans="1:12" ht="13.5" x14ac:dyDescent="0.25">
      <c r="A6195" s="1930" t="s">
        <v>4628</v>
      </c>
      <c r="B6195" s="1930" t="s">
        <v>4809</v>
      </c>
      <c r="C6195" s="1930" t="s">
        <v>4816</v>
      </c>
      <c r="D6195" s="1930" t="s">
        <v>4817</v>
      </c>
      <c r="E6195" s="1931" t="s">
        <v>33</v>
      </c>
      <c r="F6195" s="1930" t="s">
        <v>33</v>
      </c>
      <c r="G6195" s="1932">
        <v>95359</v>
      </c>
      <c r="H6195" s="1930" t="s">
        <v>4390</v>
      </c>
      <c r="I6195" s="1930" t="s">
        <v>65</v>
      </c>
      <c r="J6195" s="1930" t="s">
        <v>320</v>
      </c>
      <c r="K6195" s="1933">
        <v>0.12</v>
      </c>
      <c r="L6195" s="1930" t="s">
        <v>4276</v>
      </c>
    </row>
    <row r="6196" spans="1:12" ht="13.5" x14ac:dyDescent="0.25">
      <c r="A6196" s="1930" t="s">
        <v>4628</v>
      </c>
      <c r="B6196" s="1930" t="s">
        <v>4809</v>
      </c>
      <c r="C6196" s="1930" t="s">
        <v>4816</v>
      </c>
      <c r="D6196" s="1930" t="s">
        <v>4817</v>
      </c>
      <c r="E6196" s="1931" t="s">
        <v>33</v>
      </c>
      <c r="F6196" s="1930" t="s">
        <v>33</v>
      </c>
      <c r="G6196" s="1932">
        <v>95360</v>
      </c>
      <c r="H6196" s="1930" t="s">
        <v>119</v>
      </c>
      <c r="I6196" s="1930" t="s">
        <v>65</v>
      </c>
      <c r="J6196" s="1930" t="s">
        <v>320</v>
      </c>
      <c r="K6196" s="1933">
        <v>0.08</v>
      </c>
      <c r="L6196" s="1930" t="s">
        <v>4276</v>
      </c>
    </row>
    <row r="6197" spans="1:12" ht="13.5" x14ac:dyDescent="0.25">
      <c r="A6197" s="1930" t="s">
        <v>4628</v>
      </c>
      <c r="B6197" s="1930" t="s">
        <v>4809</v>
      </c>
      <c r="C6197" s="1930" t="s">
        <v>4816</v>
      </c>
      <c r="D6197" s="1930" t="s">
        <v>4817</v>
      </c>
      <c r="E6197" s="1931" t="s">
        <v>33</v>
      </c>
      <c r="F6197" s="1930" t="s">
        <v>33</v>
      </c>
      <c r="G6197" s="1932">
        <v>95361</v>
      </c>
      <c r="H6197" s="1930" t="s">
        <v>4391</v>
      </c>
      <c r="I6197" s="1930" t="s">
        <v>65</v>
      </c>
      <c r="J6197" s="1930" t="s">
        <v>320</v>
      </c>
      <c r="K6197" s="1933">
        <v>0.06</v>
      </c>
      <c r="L6197" s="1930" t="s">
        <v>4276</v>
      </c>
    </row>
    <row r="6198" spans="1:12" ht="13.5" x14ac:dyDescent="0.25">
      <c r="A6198" s="1930" t="s">
        <v>4628</v>
      </c>
      <c r="B6198" s="1930" t="s">
        <v>4809</v>
      </c>
      <c r="C6198" s="1930" t="s">
        <v>4816</v>
      </c>
      <c r="D6198" s="1930" t="s">
        <v>4817</v>
      </c>
      <c r="E6198" s="1931" t="s">
        <v>33</v>
      </c>
      <c r="F6198" s="1930" t="s">
        <v>33</v>
      </c>
      <c r="G6198" s="1932">
        <v>95362</v>
      </c>
      <c r="H6198" s="1930" t="s">
        <v>4392</v>
      </c>
      <c r="I6198" s="1930" t="s">
        <v>65</v>
      </c>
      <c r="J6198" s="1930" t="s">
        <v>320</v>
      </c>
      <c r="K6198" s="1933">
        <v>7.0000000000000007E-2</v>
      </c>
      <c r="L6198" s="1930" t="s">
        <v>4276</v>
      </c>
    </row>
    <row r="6199" spans="1:12" ht="13.5" x14ac:dyDescent="0.25">
      <c r="A6199" s="1930" t="s">
        <v>4628</v>
      </c>
      <c r="B6199" s="1930" t="s">
        <v>4809</v>
      </c>
      <c r="C6199" s="1930" t="s">
        <v>4816</v>
      </c>
      <c r="D6199" s="1930" t="s">
        <v>4817</v>
      </c>
      <c r="E6199" s="1931" t="s">
        <v>33</v>
      </c>
      <c r="F6199" s="1930" t="s">
        <v>33</v>
      </c>
      <c r="G6199" s="1932">
        <v>95363</v>
      </c>
      <c r="H6199" s="1930" t="s">
        <v>4393</v>
      </c>
      <c r="I6199" s="1930" t="s">
        <v>65</v>
      </c>
      <c r="J6199" s="1930" t="s">
        <v>320</v>
      </c>
      <c r="K6199" s="1933">
        <v>0.09</v>
      </c>
      <c r="L6199" s="1930" t="s">
        <v>4276</v>
      </c>
    </row>
    <row r="6200" spans="1:12" ht="13.5" x14ac:dyDescent="0.25">
      <c r="A6200" s="1930" t="s">
        <v>4628</v>
      </c>
      <c r="B6200" s="1930" t="s">
        <v>4809</v>
      </c>
      <c r="C6200" s="1930" t="s">
        <v>4816</v>
      </c>
      <c r="D6200" s="1930" t="s">
        <v>4817</v>
      </c>
      <c r="E6200" s="1931" t="s">
        <v>33</v>
      </c>
      <c r="F6200" s="1930" t="s">
        <v>33</v>
      </c>
      <c r="G6200" s="1932">
        <v>95364</v>
      </c>
      <c r="H6200" s="1930" t="s">
        <v>113</v>
      </c>
      <c r="I6200" s="1930" t="s">
        <v>65</v>
      </c>
      <c r="J6200" s="1930" t="s">
        <v>320</v>
      </c>
      <c r="K6200" s="1933">
        <v>0.06</v>
      </c>
      <c r="L6200" s="1930" t="s">
        <v>4276</v>
      </c>
    </row>
    <row r="6201" spans="1:12" ht="13.5" x14ac:dyDescent="0.25">
      <c r="A6201" s="1930" t="s">
        <v>4628</v>
      </c>
      <c r="B6201" s="1930" t="s">
        <v>4809</v>
      </c>
      <c r="C6201" s="1930" t="s">
        <v>4816</v>
      </c>
      <c r="D6201" s="1930" t="s">
        <v>4817</v>
      </c>
      <c r="E6201" s="1931" t="s">
        <v>33</v>
      </c>
      <c r="F6201" s="1930" t="s">
        <v>33</v>
      </c>
      <c r="G6201" s="1932">
        <v>95365</v>
      </c>
      <c r="H6201" s="1930" t="s">
        <v>114</v>
      </c>
      <c r="I6201" s="1930" t="s">
        <v>65</v>
      </c>
      <c r="J6201" s="1930" t="s">
        <v>320</v>
      </c>
      <c r="K6201" s="1933">
        <v>7.0000000000000007E-2</v>
      </c>
      <c r="L6201" s="1930" t="s">
        <v>4276</v>
      </c>
    </row>
    <row r="6202" spans="1:12" ht="13.5" x14ac:dyDescent="0.25">
      <c r="A6202" s="1930" t="s">
        <v>4628</v>
      </c>
      <c r="B6202" s="1930" t="s">
        <v>4809</v>
      </c>
      <c r="C6202" s="1930" t="s">
        <v>4816</v>
      </c>
      <c r="D6202" s="1930" t="s">
        <v>4817</v>
      </c>
      <c r="E6202" s="1931" t="s">
        <v>33</v>
      </c>
      <c r="F6202" s="1930" t="s">
        <v>33</v>
      </c>
      <c r="G6202" s="1932">
        <v>95366</v>
      </c>
      <c r="H6202" s="1930" t="s">
        <v>115</v>
      </c>
      <c r="I6202" s="1930" t="s">
        <v>65</v>
      </c>
      <c r="J6202" s="1930" t="s">
        <v>320</v>
      </c>
      <c r="K6202" s="1933">
        <v>0.06</v>
      </c>
      <c r="L6202" s="1930" t="s">
        <v>4276</v>
      </c>
    </row>
    <row r="6203" spans="1:12" ht="13.5" x14ac:dyDescent="0.25">
      <c r="A6203" s="1930" t="s">
        <v>4628</v>
      </c>
      <c r="B6203" s="1930" t="s">
        <v>4809</v>
      </c>
      <c r="C6203" s="1930" t="s">
        <v>4816</v>
      </c>
      <c r="D6203" s="1930" t="s">
        <v>4817</v>
      </c>
      <c r="E6203" s="1931" t="s">
        <v>33</v>
      </c>
      <c r="F6203" s="1930" t="s">
        <v>33</v>
      </c>
      <c r="G6203" s="1932">
        <v>95367</v>
      </c>
      <c r="H6203" s="1930" t="s">
        <v>4394</v>
      </c>
      <c r="I6203" s="1930" t="s">
        <v>65</v>
      </c>
      <c r="J6203" s="1930" t="s">
        <v>320</v>
      </c>
      <c r="K6203" s="1933">
        <v>0.06</v>
      </c>
      <c r="L6203" s="1930" t="s">
        <v>4276</v>
      </c>
    </row>
    <row r="6204" spans="1:12" ht="13.5" x14ac:dyDescent="0.25">
      <c r="A6204" s="1930" t="s">
        <v>4628</v>
      </c>
      <c r="B6204" s="1930" t="s">
        <v>4809</v>
      </c>
      <c r="C6204" s="1930" t="s">
        <v>4816</v>
      </c>
      <c r="D6204" s="1930" t="s">
        <v>4817</v>
      </c>
      <c r="E6204" s="1931" t="s">
        <v>33</v>
      </c>
      <c r="F6204" s="1930" t="s">
        <v>33</v>
      </c>
      <c r="G6204" s="1932">
        <v>95368</v>
      </c>
      <c r="H6204" s="1930" t="s">
        <v>4395</v>
      </c>
      <c r="I6204" s="1930" t="s">
        <v>65</v>
      </c>
      <c r="J6204" s="1930" t="s">
        <v>320</v>
      </c>
      <c r="K6204" s="1933">
        <v>0.09</v>
      </c>
      <c r="L6204" s="1930" t="s">
        <v>4276</v>
      </c>
    </row>
    <row r="6205" spans="1:12" ht="13.5" x14ac:dyDescent="0.25">
      <c r="A6205" s="1930" t="s">
        <v>4628</v>
      </c>
      <c r="B6205" s="1930" t="s">
        <v>4809</v>
      </c>
      <c r="C6205" s="1930" t="s">
        <v>4816</v>
      </c>
      <c r="D6205" s="1930" t="s">
        <v>4817</v>
      </c>
      <c r="E6205" s="1931" t="s">
        <v>33</v>
      </c>
      <c r="F6205" s="1930" t="s">
        <v>33</v>
      </c>
      <c r="G6205" s="1932">
        <v>95369</v>
      </c>
      <c r="H6205" s="1930" t="s">
        <v>4396</v>
      </c>
      <c r="I6205" s="1930" t="s">
        <v>65</v>
      </c>
      <c r="J6205" s="1930" t="s">
        <v>320</v>
      </c>
      <c r="K6205" s="1933">
        <v>0.06</v>
      </c>
      <c r="L6205" s="1930" t="s">
        <v>4276</v>
      </c>
    </row>
    <row r="6206" spans="1:12" ht="13.5" x14ac:dyDescent="0.25">
      <c r="A6206" s="1930" t="s">
        <v>4628</v>
      </c>
      <c r="B6206" s="1930" t="s">
        <v>4809</v>
      </c>
      <c r="C6206" s="1930" t="s">
        <v>4816</v>
      </c>
      <c r="D6206" s="1930" t="s">
        <v>4817</v>
      </c>
      <c r="E6206" s="1931" t="s">
        <v>33</v>
      </c>
      <c r="F6206" s="1930" t="s">
        <v>33</v>
      </c>
      <c r="G6206" s="1932">
        <v>95370</v>
      </c>
      <c r="H6206" s="1930" t="s">
        <v>4397</v>
      </c>
      <c r="I6206" s="1930" t="s">
        <v>65</v>
      </c>
      <c r="J6206" s="1930" t="s">
        <v>320</v>
      </c>
      <c r="K6206" s="1933">
        <v>0.15</v>
      </c>
      <c r="L6206" s="1930" t="s">
        <v>4276</v>
      </c>
    </row>
    <row r="6207" spans="1:12" ht="13.5" x14ac:dyDescent="0.25">
      <c r="A6207" s="1930" t="s">
        <v>4628</v>
      </c>
      <c r="B6207" s="1930" t="s">
        <v>4809</v>
      </c>
      <c r="C6207" s="1930" t="s">
        <v>4816</v>
      </c>
      <c r="D6207" s="1930" t="s">
        <v>4817</v>
      </c>
      <c r="E6207" s="1931" t="s">
        <v>33</v>
      </c>
      <c r="F6207" s="1930" t="s">
        <v>33</v>
      </c>
      <c r="G6207" s="1932">
        <v>95371</v>
      </c>
      <c r="H6207" s="1930" t="s">
        <v>88</v>
      </c>
      <c r="I6207" s="1930" t="s">
        <v>65</v>
      </c>
      <c r="J6207" s="1930" t="s">
        <v>346</v>
      </c>
      <c r="K6207" s="1933">
        <v>0.2</v>
      </c>
      <c r="L6207" s="1930" t="s">
        <v>4276</v>
      </c>
    </row>
    <row r="6208" spans="1:12" ht="13.5" x14ac:dyDescent="0.25">
      <c r="A6208" s="1930" t="s">
        <v>4628</v>
      </c>
      <c r="B6208" s="1930" t="s">
        <v>4809</v>
      </c>
      <c r="C6208" s="1930" t="s">
        <v>4816</v>
      </c>
      <c r="D6208" s="1930" t="s">
        <v>4817</v>
      </c>
      <c r="E6208" s="1931" t="s">
        <v>33</v>
      </c>
      <c r="F6208" s="1930" t="s">
        <v>33</v>
      </c>
      <c r="G6208" s="1932">
        <v>95372</v>
      </c>
      <c r="H6208" s="1930" t="s">
        <v>90</v>
      </c>
      <c r="I6208" s="1930" t="s">
        <v>65</v>
      </c>
      <c r="J6208" s="1930" t="s">
        <v>346</v>
      </c>
      <c r="K6208" s="1933">
        <v>0.14000000000000001</v>
      </c>
      <c r="L6208" s="1930" t="s">
        <v>4276</v>
      </c>
    </row>
    <row r="6209" spans="1:12" ht="13.5" x14ac:dyDescent="0.25">
      <c r="A6209" s="1930" t="s">
        <v>4628</v>
      </c>
      <c r="B6209" s="1930" t="s">
        <v>4809</v>
      </c>
      <c r="C6209" s="1930" t="s">
        <v>4816</v>
      </c>
      <c r="D6209" s="1930" t="s">
        <v>4817</v>
      </c>
      <c r="E6209" s="1931" t="s">
        <v>33</v>
      </c>
      <c r="F6209" s="1930" t="s">
        <v>33</v>
      </c>
      <c r="G6209" s="1932">
        <v>95373</v>
      </c>
      <c r="H6209" s="1930" t="s">
        <v>4398</v>
      </c>
      <c r="I6209" s="1930" t="s">
        <v>65</v>
      </c>
      <c r="J6209" s="1930" t="s">
        <v>320</v>
      </c>
      <c r="K6209" s="1933">
        <v>0.15</v>
      </c>
      <c r="L6209" s="1930" t="s">
        <v>4276</v>
      </c>
    </row>
    <row r="6210" spans="1:12" ht="13.5" x14ac:dyDescent="0.25">
      <c r="A6210" s="1930" t="s">
        <v>4628</v>
      </c>
      <c r="B6210" s="1930" t="s">
        <v>4809</v>
      </c>
      <c r="C6210" s="1930" t="s">
        <v>4816</v>
      </c>
      <c r="D6210" s="1930" t="s">
        <v>4817</v>
      </c>
      <c r="E6210" s="1931" t="s">
        <v>33</v>
      </c>
      <c r="F6210" s="1930" t="s">
        <v>33</v>
      </c>
      <c r="G6210" s="1932">
        <v>95374</v>
      </c>
      <c r="H6210" s="1930" t="s">
        <v>4399</v>
      </c>
      <c r="I6210" s="1930" t="s">
        <v>65</v>
      </c>
      <c r="J6210" s="1930" t="s">
        <v>320</v>
      </c>
      <c r="K6210" s="1933">
        <v>0.15</v>
      </c>
      <c r="L6210" s="1930" t="s">
        <v>4276</v>
      </c>
    </row>
    <row r="6211" spans="1:12" ht="13.5" x14ac:dyDescent="0.25">
      <c r="A6211" s="1930" t="s">
        <v>4628</v>
      </c>
      <c r="B6211" s="1930" t="s">
        <v>4809</v>
      </c>
      <c r="C6211" s="1930" t="s">
        <v>4816</v>
      </c>
      <c r="D6211" s="1930" t="s">
        <v>4817</v>
      </c>
      <c r="E6211" s="1931" t="s">
        <v>33</v>
      </c>
      <c r="F6211" s="1930" t="s">
        <v>33</v>
      </c>
      <c r="G6211" s="1932">
        <v>95375</v>
      </c>
      <c r="H6211" s="1930" t="s">
        <v>4400</v>
      </c>
      <c r="I6211" s="1930" t="s">
        <v>65</v>
      </c>
      <c r="J6211" s="1930" t="s">
        <v>320</v>
      </c>
      <c r="K6211" s="1933">
        <v>0.13</v>
      </c>
      <c r="L6211" s="1930" t="s">
        <v>4276</v>
      </c>
    </row>
    <row r="6212" spans="1:12" ht="13.5" x14ac:dyDescent="0.25">
      <c r="A6212" s="1930" t="s">
        <v>4628</v>
      </c>
      <c r="B6212" s="1930" t="s">
        <v>4809</v>
      </c>
      <c r="C6212" s="1930" t="s">
        <v>4816</v>
      </c>
      <c r="D6212" s="1930" t="s">
        <v>4817</v>
      </c>
      <c r="E6212" s="1931" t="s">
        <v>33</v>
      </c>
      <c r="F6212" s="1930" t="s">
        <v>33</v>
      </c>
      <c r="G6212" s="1932">
        <v>95376</v>
      </c>
      <c r="H6212" s="1930" t="s">
        <v>116</v>
      </c>
      <c r="I6212" s="1930" t="s">
        <v>65</v>
      </c>
      <c r="J6212" s="1930" t="s">
        <v>320</v>
      </c>
      <c r="K6212" s="1933">
        <v>0.03</v>
      </c>
      <c r="L6212" s="1930" t="s">
        <v>4276</v>
      </c>
    </row>
    <row r="6213" spans="1:12" ht="13.5" x14ac:dyDescent="0.25">
      <c r="A6213" s="1930" t="s">
        <v>4628</v>
      </c>
      <c r="B6213" s="1930" t="s">
        <v>4809</v>
      </c>
      <c r="C6213" s="1930" t="s">
        <v>4816</v>
      </c>
      <c r="D6213" s="1930" t="s">
        <v>4817</v>
      </c>
      <c r="E6213" s="1931" t="s">
        <v>33</v>
      </c>
      <c r="F6213" s="1930" t="s">
        <v>33</v>
      </c>
      <c r="G6213" s="1932">
        <v>95377</v>
      </c>
      <c r="H6213" s="1930" t="s">
        <v>120</v>
      </c>
      <c r="I6213" s="1930" t="s">
        <v>65</v>
      </c>
      <c r="J6213" s="1930" t="s">
        <v>320</v>
      </c>
      <c r="K6213" s="1933">
        <v>0.11</v>
      </c>
      <c r="L6213" s="1930" t="s">
        <v>4276</v>
      </c>
    </row>
    <row r="6214" spans="1:12" ht="13.5" x14ac:dyDescent="0.25">
      <c r="A6214" s="1930" t="s">
        <v>4628</v>
      </c>
      <c r="B6214" s="1930" t="s">
        <v>4809</v>
      </c>
      <c r="C6214" s="1930" t="s">
        <v>4816</v>
      </c>
      <c r="D6214" s="1930" t="s">
        <v>4817</v>
      </c>
      <c r="E6214" s="1931" t="s">
        <v>33</v>
      </c>
      <c r="F6214" s="1930" t="s">
        <v>33</v>
      </c>
      <c r="G6214" s="1932">
        <v>95378</v>
      </c>
      <c r="H6214" s="1930" t="s">
        <v>66</v>
      </c>
      <c r="I6214" s="1930" t="s">
        <v>65</v>
      </c>
      <c r="J6214" s="1930" t="s">
        <v>346</v>
      </c>
      <c r="K6214" s="1933">
        <v>0.13</v>
      </c>
      <c r="L6214" s="1930" t="s">
        <v>4276</v>
      </c>
    </row>
    <row r="6215" spans="1:12" ht="13.5" x14ac:dyDescent="0.25">
      <c r="A6215" s="1930" t="s">
        <v>4628</v>
      </c>
      <c r="B6215" s="1930" t="s">
        <v>4809</v>
      </c>
      <c r="C6215" s="1930" t="s">
        <v>4816</v>
      </c>
      <c r="D6215" s="1930" t="s">
        <v>4817</v>
      </c>
      <c r="E6215" s="1931" t="s">
        <v>33</v>
      </c>
      <c r="F6215" s="1930" t="s">
        <v>33</v>
      </c>
      <c r="G6215" s="1932">
        <v>95379</v>
      </c>
      <c r="H6215" s="1930" t="s">
        <v>4401</v>
      </c>
      <c r="I6215" s="1930" t="s">
        <v>65</v>
      </c>
      <c r="J6215" s="1930" t="s">
        <v>346</v>
      </c>
      <c r="K6215" s="1933">
        <v>0.11</v>
      </c>
      <c r="L6215" s="1930" t="s">
        <v>4276</v>
      </c>
    </row>
    <row r="6216" spans="1:12" ht="13.5" x14ac:dyDescent="0.25">
      <c r="A6216" s="1930" t="s">
        <v>4628</v>
      </c>
      <c r="B6216" s="1930" t="s">
        <v>4809</v>
      </c>
      <c r="C6216" s="1930" t="s">
        <v>4816</v>
      </c>
      <c r="D6216" s="1930" t="s">
        <v>4817</v>
      </c>
      <c r="E6216" s="1931" t="s">
        <v>33</v>
      </c>
      <c r="F6216" s="1930" t="s">
        <v>33</v>
      </c>
      <c r="G6216" s="1932">
        <v>95380</v>
      </c>
      <c r="H6216" s="1930" t="s">
        <v>4402</v>
      </c>
      <c r="I6216" s="1930" t="s">
        <v>65</v>
      </c>
      <c r="J6216" s="1930" t="s">
        <v>320</v>
      </c>
      <c r="K6216" s="1933">
        <v>0.12</v>
      </c>
      <c r="L6216" s="1930" t="s">
        <v>4276</v>
      </c>
    </row>
    <row r="6217" spans="1:12" ht="13.5" x14ac:dyDescent="0.25">
      <c r="A6217" s="1930" t="s">
        <v>4628</v>
      </c>
      <c r="B6217" s="1930" t="s">
        <v>4809</v>
      </c>
      <c r="C6217" s="1930" t="s">
        <v>4816</v>
      </c>
      <c r="D6217" s="1930" t="s">
        <v>4817</v>
      </c>
      <c r="E6217" s="1931" t="s">
        <v>33</v>
      </c>
      <c r="F6217" s="1930" t="s">
        <v>33</v>
      </c>
      <c r="G6217" s="1932">
        <v>95382</v>
      </c>
      <c r="H6217" s="1930" t="s">
        <v>4403</v>
      </c>
      <c r="I6217" s="1930" t="s">
        <v>65</v>
      </c>
      <c r="J6217" s="1930" t="s">
        <v>320</v>
      </c>
      <c r="K6217" s="1933">
        <v>0.13</v>
      </c>
      <c r="L6217" s="1930" t="s">
        <v>4276</v>
      </c>
    </row>
    <row r="6218" spans="1:12" ht="13.5" x14ac:dyDescent="0.25">
      <c r="A6218" s="1930" t="s">
        <v>4628</v>
      </c>
      <c r="B6218" s="1930" t="s">
        <v>4809</v>
      </c>
      <c r="C6218" s="1930" t="s">
        <v>4816</v>
      </c>
      <c r="D6218" s="1930" t="s">
        <v>4817</v>
      </c>
      <c r="E6218" s="1931" t="s">
        <v>33</v>
      </c>
      <c r="F6218" s="1930" t="s">
        <v>33</v>
      </c>
      <c r="G6218" s="1932">
        <v>95383</v>
      </c>
      <c r="H6218" s="1930" t="s">
        <v>4404</v>
      </c>
      <c r="I6218" s="1930" t="s">
        <v>65</v>
      </c>
      <c r="J6218" s="1930" t="s">
        <v>320</v>
      </c>
      <c r="K6218" s="1933">
        <v>0.21</v>
      </c>
      <c r="L6218" s="1930" t="s">
        <v>4276</v>
      </c>
    </row>
    <row r="6219" spans="1:12" ht="13.5" x14ac:dyDescent="0.25">
      <c r="A6219" s="1930" t="s">
        <v>4628</v>
      </c>
      <c r="B6219" s="1930" t="s">
        <v>4809</v>
      </c>
      <c r="C6219" s="1930" t="s">
        <v>4816</v>
      </c>
      <c r="D6219" s="1930" t="s">
        <v>4817</v>
      </c>
      <c r="E6219" s="1931" t="s">
        <v>33</v>
      </c>
      <c r="F6219" s="1930" t="s">
        <v>33</v>
      </c>
      <c r="G6219" s="1932">
        <v>95384</v>
      </c>
      <c r="H6219" s="1930" t="s">
        <v>4405</v>
      </c>
      <c r="I6219" s="1930" t="s">
        <v>65</v>
      </c>
      <c r="J6219" s="1930" t="s">
        <v>320</v>
      </c>
      <c r="K6219" s="1933">
        <v>0.14000000000000001</v>
      </c>
      <c r="L6219" s="1930" t="s">
        <v>4276</v>
      </c>
    </row>
    <row r="6220" spans="1:12" ht="13.5" x14ac:dyDescent="0.25">
      <c r="A6220" s="1930" t="s">
        <v>4628</v>
      </c>
      <c r="B6220" s="1930" t="s">
        <v>4809</v>
      </c>
      <c r="C6220" s="1930" t="s">
        <v>4816</v>
      </c>
      <c r="D6220" s="1930" t="s">
        <v>4817</v>
      </c>
      <c r="E6220" s="1931" t="s">
        <v>33</v>
      </c>
      <c r="F6220" s="1930" t="s">
        <v>33</v>
      </c>
      <c r="G6220" s="1932">
        <v>95385</v>
      </c>
      <c r="H6220" s="1930" t="s">
        <v>92</v>
      </c>
      <c r="I6220" s="1930" t="s">
        <v>65</v>
      </c>
      <c r="J6220" s="1930" t="s">
        <v>320</v>
      </c>
      <c r="K6220" s="1933">
        <v>0.12</v>
      </c>
      <c r="L6220" s="1930" t="s">
        <v>4276</v>
      </c>
    </row>
    <row r="6221" spans="1:12" ht="13.5" x14ac:dyDescent="0.25">
      <c r="A6221" s="1930" t="s">
        <v>4628</v>
      </c>
      <c r="B6221" s="1930" t="s">
        <v>4809</v>
      </c>
      <c r="C6221" s="1930" t="s">
        <v>4816</v>
      </c>
      <c r="D6221" s="1930" t="s">
        <v>4817</v>
      </c>
      <c r="E6221" s="1931" t="s">
        <v>33</v>
      </c>
      <c r="F6221" s="1930" t="s">
        <v>33</v>
      </c>
      <c r="G6221" s="1932">
        <v>95386</v>
      </c>
      <c r="H6221" s="1930" t="s">
        <v>117</v>
      </c>
      <c r="I6221" s="1930" t="s">
        <v>65</v>
      </c>
      <c r="J6221" s="1930" t="s">
        <v>320</v>
      </c>
      <c r="K6221" s="1933">
        <v>0.08</v>
      </c>
      <c r="L6221" s="1930" t="s">
        <v>4276</v>
      </c>
    </row>
    <row r="6222" spans="1:12" ht="13.5" x14ac:dyDescent="0.25">
      <c r="A6222" s="1930" t="s">
        <v>4628</v>
      </c>
      <c r="B6222" s="1930" t="s">
        <v>4809</v>
      </c>
      <c r="C6222" s="1930" t="s">
        <v>4816</v>
      </c>
      <c r="D6222" s="1930" t="s">
        <v>4817</v>
      </c>
      <c r="E6222" s="1931" t="s">
        <v>33</v>
      </c>
      <c r="F6222" s="1930" t="s">
        <v>33</v>
      </c>
      <c r="G6222" s="1932">
        <v>95387</v>
      </c>
      <c r="H6222" s="1930" t="s">
        <v>93</v>
      </c>
      <c r="I6222" s="1930" t="s">
        <v>65</v>
      </c>
      <c r="J6222" s="1930" t="s">
        <v>320</v>
      </c>
      <c r="K6222" s="1933">
        <v>0.13</v>
      </c>
      <c r="L6222" s="1930" t="s">
        <v>4276</v>
      </c>
    </row>
    <row r="6223" spans="1:12" ht="13.5" x14ac:dyDescent="0.25">
      <c r="A6223" s="1930" t="s">
        <v>4628</v>
      </c>
      <c r="B6223" s="1930" t="s">
        <v>4809</v>
      </c>
      <c r="C6223" s="1930" t="s">
        <v>4816</v>
      </c>
      <c r="D6223" s="1930" t="s">
        <v>4817</v>
      </c>
      <c r="E6223" s="1931" t="s">
        <v>33</v>
      </c>
      <c r="F6223" s="1930" t="s">
        <v>33</v>
      </c>
      <c r="G6223" s="1932">
        <v>95388</v>
      </c>
      <c r="H6223" s="1930" t="s">
        <v>4406</v>
      </c>
      <c r="I6223" s="1930" t="s">
        <v>65</v>
      </c>
      <c r="J6223" s="1930" t="s">
        <v>320</v>
      </c>
      <c r="K6223" s="1933">
        <v>0.04</v>
      </c>
      <c r="L6223" s="1930" t="s">
        <v>4276</v>
      </c>
    </row>
    <row r="6224" spans="1:12" ht="13.5" x14ac:dyDescent="0.25">
      <c r="A6224" s="1930" t="s">
        <v>4628</v>
      </c>
      <c r="B6224" s="1930" t="s">
        <v>4809</v>
      </c>
      <c r="C6224" s="1930" t="s">
        <v>4816</v>
      </c>
      <c r="D6224" s="1930" t="s">
        <v>4817</v>
      </c>
      <c r="E6224" s="1931" t="s">
        <v>33</v>
      </c>
      <c r="F6224" s="1930" t="s">
        <v>33</v>
      </c>
      <c r="G6224" s="1932">
        <v>95389</v>
      </c>
      <c r="H6224" s="1930" t="s">
        <v>96</v>
      </c>
      <c r="I6224" s="1930" t="s">
        <v>65</v>
      </c>
      <c r="J6224" s="1930" t="s">
        <v>320</v>
      </c>
      <c r="K6224" s="1933">
        <v>0.05</v>
      </c>
      <c r="L6224" s="1930" t="s">
        <v>4276</v>
      </c>
    </row>
    <row r="6225" spans="1:12" ht="13.5" x14ac:dyDescent="0.25">
      <c r="A6225" s="1930" t="s">
        <v>4628</v>
      </c>
      <c r="B6225" s="1930" t="s">
        <v>4809</v>
      </c>
      <c r="C6225" s="1930" t="s">
        <v>4816</v>
      </c>
      <c r="D6225" s="1930" t="s">
        <v>4817</v>
      </c>
      <c r="E6225" s="1931" t="s">
        <v>33</v>
      </c>
      <c r="F6225" s="1930" t="s">
        <v>33</v>
      </c>
      <c r="G6225" s="1932">
        <v>95390</v>
      </c>
      <c r="H6225" s="1930" t="s">
        <v>4407</v>
      </c>
      <c r="I6225" s="1930" t="s">
        <v>65</v>
      </c>
      <c r="J6225" s="1930" t="s">
        <v>320</v>
      </c>
      <c r="K6225" s="1933">
        <v>0.04</v>
      </c>
      <c r="L6225" s="1930" t="s">
        <v>4276</v>
      </c>
    </row>
    <row r="6226" spans="1:12" ht="13.5" x14ac:dyDescent="0.25">
      <c r="A6226" s="1930" t="s">
        <v>4628</v>
      </c>
      <c r="B6226" s="1930" t="s">
        <v>4809</v>
      </c>
      <c r="C6226" s="1930" t="s">
        <v>4816</v>
      </c>
      <c r="D6226" s="1930" t="s">
        <v>4817</v>
      </c>
      <c r="E6226" s="1931" t="s">
        <v>33</v>
      </c>
      <c r="F6226" s="1930" t="s">
        <v>33</v>
      </c>
      <c r="G6226" s="1932">
        <v>95391</v>
      </c>
      <c r="H6226" s="1930" t="s">
        <v>4408</v>
      </c>
      <c r="I6226" s="1930" t="s">
        <v>65</v>
      </c>
      <c r="J6226" s="1930" t="s">
        <v>320</v>
      </c>
      <c r="K6226" s="1933">
        <v>7.0000000000000007E-2</v>
      </c>
      <c r="L6226" s="1930" t="s">
        <v>4276</v>
      </c>
    </row>
    <row r="6227" spans="1:12" ht="13.5" x14ac:dyDescent="0.25">
      <c r="A6227" s="1930" t="s">
        <v>4628</v>
      </c>
      <c r="B6227" s="1930" t="s">
        <v>4809</v>
      </c>
      <c r="C6227" s="1930" t="s">
        <v>4816</v>
      </c>
      <c r="D6227" s="1930" t="s">
        <v>4817</v>
      </c>
      <c r="E6227" s="1931" t="s">
        <v>33</v>
      </c>
      <c r="F6227" s="1930" t="s">
        <v>33</v>
      </c>
      <c r="G6227" s="1932">
        <v>95392</v>
      </c>
      <c r="H6227" s="1930" t="s">
        <v>4409</v>
      </c>
      <c r="I6227" s="1930" t="s">
        <v>65</v>
      </c>
      <c r="J6227" s="1930" t="s">
        <v>346</v>
      </c>
      <c r="K6227" s="1933">
        <v>7.0000000000000007E-2</v>
      </c>
      <c r="L6227" s="1930" t="s">
        <v>4276</v>
      </c>
    </row>
    <row r="6228" spans="1:12" ht="13.5" x14ac:dyDescent="0.25">
      <c r="A6228" s="1930" t="s">
        <v>4628</v>
      </c>
      <c r="B6228" s="1930" t="s">
        <v>4809</v>
      </c>
      <c r="C6228" s="1930" t="s">
        <v>4816</v>
      </c>
      <c r="D6228" s="1930" t="s">
        <v>4817</v>
      </c>
      <c r="E6228" s="1931" t="s">
        <v>33</v>
      </c>
      <c r="F6228" s="1930" t="s">
        <v>33</v>
      </c>
      <c r="G6228" s="1932">
        <v>95393</v>
      </c>
      <c r="H6228" s="1930" t="s">
        <v>4410</v>
      </c>
      <c r="I6228" s="1930" t="s">
        <v>65</v>
      </c>
      <c r="J6228" s="1930" t="s">
        <v>320</v>
      </c>
      <c r="K6228" s="1933">
        <v>0.38</v>
      </c>
      <c r="L6228" s="1930" t="s">
        <v>4276</v>
      </c>
    </row>
    <row r="6229" spans="1:12" ht="13.5" x14ac:dyDescent="0.25">
      <c r="A6229" s="1930" t="s">
        <v>4628</v>
      </c>
      <c r="B6229" s="1930" t="s">
        <v>4809</v>
      </c>
      <c r="C6229" s="1930" t="s">
        <v>4816</v>
      </c>
      <c r="D6229" s="1930" t="s">
        <v>4817</v>
      </c>
      <c r="E6229" s="1931" t="s">
        <v>33</v>
      </c>
      <c r="F6229" s="1930" t="s">
        <v>33</v>
      </c>
      <c r="G6229" s="1932">
        <v>95394</v>
      </c>
      <c r="H6229" s="1930" t="s">
        <v>4411</v>
      </c>
      <c r="I6229" s="1930" t="s">
        <v>65</v>
      </c>
      <c r="J6229" s="1930" t="s">
        <v>320</v>
      </c>
      <c r="K6229" s="1933">
        <v>0.3</v>
      </c>
      <c r="L6229" s="1930" t="s">
        <v>4276</v>
      </c>
    </row>
    <row r="6230" spans="1:12" ht="13.5" x14ac:dyDescent="0.25">
      <c r="A6230" s="1930" t="s">
        <v>4628</v>
      </c>
      <c r="B6230" s="1930" t="s">
        <v>4809</v>
      </c>
      <c r="C6230" s="1930" t="s">
        <v>4816</v>
      </c>
      <c r="D6230" s="1930" t="s">
        <v>4817</v>
      </c>
      <c r="E6230" s="1931" t="s">
        <v>33</v>
      </c>
      <c r="F6230" s="1930" t="s">
        <v>33</v>
      </c>
      <c r="G6230" s="1932">
        <v>95395</v>
      </c>
      <c r="H6230" s="1930" t="s">
        <v>4412</v>
      </c>
      <c r="I6230" s="1930" t="s">
        <v>65</v>
      </c>
      <c r="J6230" s="1930" t="s">
        <v>320</v>
      </c>
      <c r="K6230" s="1933">
        <v>0.43</v>
      </c>
      <c r="L6230" s="1930" t="s">
        <v>4276</v>
      </c>
    </row>
    <row r="6231" spans="1:12" ht="13.5" x14ac:dyDescent="0.25">
      <c r="A6231" s="1930" t="s">
        <v>4628</v>
      </c>
      <c r="B6231" s="1930" t="s">
        <v>4809</v>
      </c>
      <c r="C6231" s="1930" t="s">
        <v>4816</v>
      </c>
      <c r="D6231" s="1930" t="s">
        <v>4817</v>
      </c>
      <c r="E6231" s="1931" t="s">
        <v>33</v>
      </c>
      <c r="F6231" s="1930" t="s">
        <v>33</v>
      </c>
      <c r="G6231" s="1932">
        <v>95396</v>
      </c>
      <c r="H6231" s="1930" t="s">
        <v>4413</v>
      </c>
      <c r="I6231" s="1930" t="s">
        <v>65</v>
      </c>
      <c r="J6231" s="1930" t="s">
        <v>320</v>
      </c>
      <c r="K6231" s="1933">
        <v>0.57999999999999996</v>
      </c>
      <c r="L6231" s="1930" t="s">
        <v>4276</v>
      </c>
    </row>
    <row r="6232" spans="1:12" ht="13.5" x14ac:dyDescent="0.25">
      <c r="A6232" s="1930" t="s">
        <v>4628</v>
      </c>
      <c r="B6232" s="1930" t="s">
        <v>4809</v>
      </c>
      <c r="C6232" s="1930" t="s">
        <v>4816</v>
      </c>
      <c r="D6232" s="1930" t="s">
        <v>4817</v>
      </c>
      <c r="E6232" s="1931" t="s">
        <v>33</v>
      </c>
      <c r="F6232" s="1930" t="s">
        <v>33</v>
      </c>
      <c r="G6232" s="1932">
        <v>95397</v>
      </c>
      <c r="H6232" s="1930" t="s">
        <v>4414</v>
      </c>
      <c r="I6232" s="1930" t="s">
        <v>65</v>
      </c>
      <c r="J6232" s="1930" t="s">
        <v>320</v>
      </c>
      <c r="K6232" s="1933">
        <v>0.08</v>
      </c>
      <c r="L6232" s="1930" t="s">
        <v>4276</v>
      </c>
    </row>
    <row r="6233" spans="1:12" ht="13.5" x14ac:dyDescent="0.25">
      <c r="A6233" s="1930" t="s">
        <v>4628</v>
      </c>
      <c r="B6233" s="1930" t="s">
        <v>4809</v>
      </c>
      <c r="C6233" s="1930" t="s">
        <v>4816</v>
      </c>
      <c r="D6233" s="1930" t="s">
        <v>4817</v>
      </c>
      <c r="E6233" s="1931" t="s">
        <v>33</v>
      </c>
      <c r="F6233" s="1930" t="s">
        <v>33</v>
      </c>
      <c r="G6233" s="1932">
        <v>95398</v>
      </c>
      <c r="H6233" s="1930" t="s">
        <v>4415</v>
      </c>
      <c r="I6233" s="1930" t="s">
        <v>65</v>
      </c>
      <c r="J6233" s="1930" t="s">
        <v>320</v>
      </c>
      <c r="K6233" s="1933">
        <v>0.06</v>
      </c>
      <c r="L6233" s="1930" t="s">
        <v>4276</v>
      </c>
    </row>
    <row r="6234" spans="1:12" ht="13.5" x14ac:dyDescent="0.25">
      <c r="A6234" s="1930" t="s">
        <v>4628</v>
      </c>
      <c r="B6234" s="1930" t="s">
        <v>4809</v>
      </c>
      <c r="C6234" s="1930" t="s">
        <v>4816</v>
      </c>
      <c r="D6234" s="1930" t="s">
        <v>4817</v>
      </c>
      <c r="E6234" s="1931" t="s">
        <v>33</v>
      </c>
      <c r="F6234" s="1930" t="s">
        <v>33</v>
      </c>
      <c r="G6234" s="1932">
        <v>95399</v>
      </c>
      <c r="H6234" s="1930" t="s">
        <v>4416</v>
      </c>
      <c r="I6234" s="1930" t="s">
        <v>65</v>
      </c>
      <c r="J6234" s="1930" t="s">
        <v>320</v>
      </c>
      <c r="K6234" s="1933">
        <v>0.03</v>
      </c>
      <c r="L6234" s="1930" t="s">
        <v>4276</v>
      </c>
    </row>
    <row r="6235" spans="1:12" ht="13.5" x14ac:dyDescent="0.25">
      <c r="A6235" s="1930" t="s">
        <v>4628</v>
      </c>
      <c r="B6235" s="1930" t="s">
        <v>4809</v>
      </c>
      <c r="C6235" s="1930" t="s">
        <v>4816</v>
      </c>
      <c r="D6235" s="1930" t="s">
        <v>4817</v>
      </c>
      <c r="E6235" s="1931" t="s">
        <v>33</v>
      </c>
      <c r="F6235" s="1930" t="s">
        <v>33</v>
      </c>
      <c r="G6235" s="1932">
        <v>95400</v>
      </c>
      <c r="H6235" s="1930" t="s">
        <v>4417</v>
      </c>
      <c r="I6235" s="1930" t="s">
        <v>65</v>
      </c>
      <c r="J6235" s="1930" t="s">
        <v>320</v>
      </c>
      <c r="K6235" s="1933">
        <v>7.0000000000000007E-2</v>
      </c>
      <c r="L6235" s="1930" t="s">
        <v>4276</v>
      </c>
    </row>
    <row r="6236" spans="1:12" ht="13.5" x14ac:dyDescent="0.25">
      <c r="A6236" s="1930" t="s">
        <v>4628</v>
      </c>
      <c r="B6236" s="1930" t="s">
        <v>4809</v>
      </c>
      <c r="C6236" s="1930" t="s">
        <v>4816</v>
      </c>
      <c r="D6236" s="1930" t="s">
        <v>4817</v>
      </c>
      <c r="E6236" s="1931" t="s">
        <v>33</v>
      </c>
      <c r="F6236" s="1930" t="s">
        <v>33</v>
      </c>
      <c r="G6236" s="1932">
        <v>95401</v>
      </c>
      <c r="H6236" s="1930" t="s">
        <v>4418</v>
      </c>
      <c r="I6236" s="1930" t="s">
        <v>65</v>
      </c>
      <c r="J6236" s="1930" t="s">
        <v>346</v>
      </c>
      <c r="K6236" s="1933">
        <v>0.2</v>
      </c>
      <c r="L6236" s="1930" t="s">
        <v>4276</v>
      </c>
    </row>
    <row r="6237" spans="1:12" ht="13.5" x14ac:dyDescent="0.25">
      <c r="A6237" s="1930" t="s">
        <v>4628</v>
      </c>
      <c r="B6237" s="1930" t="s">
        <v>4809</v>
      </c>
      <c r="C6237" s="1930" t="s">
        <v>4816</v>
      </c>
      <c r="D6237" s="1930" t="s">
        <v>4817</v>
      </c>
      <c r="E6237" s="1931" t="s">
        <v>33</v>
      </c>
      <c r="F6237" s="1930" t="s">
        <v>33</v>
      </c>
      <c r="G6237" s="1932">
        <v>95402</v>
      </c>
      <c r="H6237" s="1930" t="s">
        <v>4419</v>
      </c>
      <c r="I6237" s="1930" t="s">
        <v>65</v>
      </c>
      <c r="J6237" s="1930" t="s">
        <v>346</v>
      </c>
      <c r="K6237" s="1933">
        <v>0.75</v>
      </c>
      <c r="L6237" s="1930" t="s">
        <v>4276</v>
      </c>
    </row>
    <row r="6238" spans="1:12" ht="13.5" x14ac:dyDescent="0.25">
      <c r="A6238" s="1930" t="s">
        <v>4628</v>
      </c>
      <c r="B6238" s="1930" t="s">
        <v>4809</v>
      </c>
      <c r="C6238" s="1930" t="s">
        <v>4816</v>
      </c>
      <c r="D6238" s="1930" t="s">
        <v>4817</v>
      </c>
      <c r="E6238" s="1931" t="s">
        <v>33</v>
      </c>
      <c r="F6238" s="1930" t="s">
        <v>33</v>
      </c>
      <c r="G6238" s="1932">
        <v>95403</v>
      </c>
      <c r="H6238" s="1930" t="s">
        <v>4420</v>
      </c>
      <c r="I6238" s="1930" t="s">
        <v>65</v>
      </c>
      <c r="J6238" s="1930" t="s">
        <v>320</v>
      </c>
      <c r="K6238" s="1933">
        <v>0.85</v>
      </c>
      <c r="L6238" s="1930" t="s">
        <v>4276</v>
      </c>
    </row>
    <row r="6239" spans="1:12" ht="13.5" x14ac:dyDescent="0.25">
      <c r="A6239" s="1930" t="s">
        <v>4628</v>
      </c>
      <c r="B6239" s="1930" t="s">
        <v>4809</v>
      </c>
      <c r="C6239" s="1930" t="s">
        <v>4816</v>
      </c>
      <c r="D6239" s="1930" t="s">
        <v>4817</v>
      </c>
      <c r="E6239" s="1931" t="s">
        <v>33</v>
      </c>
      <c r="F6239" s="1930" t="s">
        <v>33</v>
      </c>
      <c r="G6239" s="1932">
        <v>95404</v>
      </c>
      <c r="H6239" s="1930" t="s">
        <v>4421</v>
      </c>
      <c r="I6239" s="1930" t="s">
        <v>65</v>
      </c>
      <c r="J6239" s="1930" t="s">
        <v>320</v>
      </c>
      <c r="K6239" s="1933">
        <v>1.1599999999999999</v>
      </c>
      <c r="L6239" s="1930" t="s">
        <v>4276</v>
      </c>
    </row>
    <row r="6240" spans="1:12" ht="13.5" x14ac:dyDescent="0.25">
      <c r="A6240" s="1930" t="s">
        <v>4628</v>
      </c>
      <c r="B6240" s="1930" t="s">
        <v>4809</v>
      </c>
      <c r="C6240" s="1930" t="s">
        <v>4816</v>
      </c>
      <c r="D6240" s="1930" t="s">
        <v>4817</v>
      </c>
      <c r="E6240" s="1931" t="s">
        <v>33</v>
      </c>
      <c r="F6240" s="1930" t="s">
        <v>33</v>
      </c>
      <c r="G6240" s="1932">
        <v>95405</v>
      </c>
      <c r="H6240" s="1930" t="s">
        <v>4422</v>
      </c>
      <c r="I6240" s="1930" t="s">
        <v>65</v>
      </c>
      <c r="J6240" s="1930" t="s">
        <v>320</v>
      </c>
      <c r="K6240" s="1933">
        <v>0.31</v>
      </c>
      <c r="L6240" s="1930" t="s">
        <v>4276</v>
      </c>
    </row>
    <row r="6241" spans="1:12" ht="13.5" x14ac:dyDescent="0.25">
      <c r="A6241" s="1930" t="s">
        <v>4628</v>
      </c>
      <c r="B6241" s="1930" t="s">
        <v>4809</v>
      </c>
      <c r="C6241" s="1930" t="s">
        <v>4816</v>
      </c>
      <c r="D6241" s="1930" t="s">
        <v>4817</v>
      </c>
      <c r="E6241" s="1931" t="s">
        <v>33</v>
      </c>
      <c r="F6241" s="1930" t="s">
        <v>33</v>
      </c>
      <c r="G6241" s="1932">
        <v>95406</v>
      </c>
      <c r="H6241" s="1930" t="s">
        <v>4423</v>
      </c>
      <c r="I6241" s="1930" t="s">
        <v>65</v>
      </c>
      <c r="J6241" s="1930" t="s">
        <v>346</v>
      </c>
      <c r="K6241" s="1933">
        <v>0.08</v>
      </c>
      <c r="L6241" s="1930" t="s">
        <v>4276</v>
      </c>
    </row>
    <row r="6242" spans="1:12" ht="13.5" x14ac:dyDescent="0.25">
      <c r="A6242" s="1930" t="s">
        <v>4628</v>
      </c>
      <c r="B6242" s="1930" t="s">
        <v>4809</v>
      </c>
      <c r="C6242" s="1930" t="s">
        <v>4816</v>
      </c>
      <c r="D6242" s="1930" t="s">
        <v>4817</v>
      </c>
      <c r="E6242" s="1931" t="s">
        <v>33</v>
      </c>
      <c r="F6242" s="1930" t="s">
        <v>33</v>
      </c>
      <c r="G6242" s="1932">
        <v>95407</v>
      </c>
      <c r="H6242" s="1930" t="s">
        <v>4424</v>
      </c>
      <c r="I6242" s="1930" t="s">
        <v>65</v>
      </c>
      <c r="J6242" s="1930" t="s">
        <v>320</v>
      </c>
      <c r="K6242" s="1933">
        <v>2.02</v>
      </c>
      <c r="L6242" s="1930" t="s">
        <v>4276</v>
      </c>
    </row>
    <row r="6243" spans="1:12" ht="13.5" x14ac:dyDescent="0.25">
      <c r="A6243" s="1930" t="s">
        <v>4628</v>
      </c>
      <c r="B6243" s="1930" t="s">
        <v>4809</v>
      </c>
      <c r="C6243" s="1930" t="s">
        <v>4816</v>
      </c>
      <c r="D6243" s="1930" t="s">
        <v>4817</v>
      </c>
      <c r="E6243" s="1931" t="s">
        <v>33</v>
      </c>
      <c r="F6243" s="1930" t="s">
        <v>33</v>
      </c>
      <c r="G6243" s="1932">
        <v>95408</v>
      </c>
      <c r="H6243" s="1930" t="s">
        <v>4425</v>
      </c>
      <c r="I6243" s="1930" t="s">
        <v>319</v>
      </c>
      <c r="J6243" s="1930" t="s">
        <v>320</v>
      </c>
      <c r="K6243" s="1933">
        <v>5.59</v>
      </c>
      <c r="L6243" s="1930" t="s">
        <v>4276</v>
      </c>
    </row>
    <row r="6244" spans="1:12" ht="13.5" x14ac:dyDescent="0.25">
      <c r="A6244" s="1930" t="s">
        <v>4628</v>
      </c>
      <c r="B6244" s="1930" t="s">
        <v>4809</v>
      </c>
      <c r="C6244" s="1930" t="s">
        <v>4816</v>
      </c>
      <c r="D6244" s="1930" t="s">
        <v>4817</v>
      </c>
      <c r="E6244" s="1931" t="s">
        <v>33</v>
      </c>
      <c r="F6244" s="1930" t="s">
        <v>33</v>
      </c>
      <c r="G6244" s="1932">
        <v>95409</v>
      </c>
      <c r="H6244" s="1930" t="s">
        <v>4426</v>
      </c>
      <c r="I6244" s="1930" t="s">
        <v>319</v>
      </c>
      <c r="J6244" s="1930" t="s">
        <v>320</v>
      </c>
      <c r="K6244" s="1933">
        <v>10.82</v>
      </c>
      <c r="L6244" s="1930" t="s">
        <v>4276</v>
      </c>
    </row>
    <row r="6245" spans="1:12" ht="13.5" x14ac:dyDescent="0.25">
      <c r="A6245" s="1930" t="s">
        <v>4628</v>
      </c>
      <c r="B6245" s="1930" t="s">
        <v>4809</v>
      </c>
      <c r="C6245" s="1930" t="s">
        <v>4816</v>
      </c>
      <c r="D6245" s="1930" t="s">
        <v>4817</v>
      </c>
      <c r="E6245" s="1931" t="s">
        <v>33</v>
      </c>
      <c r="F6245" s="1930" t="s">
        <v>33</v>
      </c>
      <c r="G6245" s="1932">
        <v>95410</v>
      </c>
      <c r="H6245" s="1930" t="s">
        <v>4427</v>
      </c>
      <c r="I6245" s="1930" t="s">
        <v>319</v>
      </c>
      <c r="J6245" s="1930" t="s">
        <v>320</v>
      </c>
      <c r="K6245" s="1933">
        <v>5.0599999999999996</v>
      </c>
      <c r="L6245" s="1930" t="s">
        <v>4276</v>
      </c>
    </row>
    <row r="6246" spans="1:12" ht="13.5" x14ac:dyDescent="0.25">
      <c r="A6246" s="1930" t="s">
        <v>4628</v>
      </c>
      <c r="B6246" s="1930" t="s">
        <v>4809</v>
      </c>
      <c r="C6246" s="1930" t="s">
        <v>4816</v>
      </c>
      <c r="D6246" s="1930" t="s">
        <v>4817</v>
      </c>
      <c r="E6246" s="1931" t="s">
        <v>33</v>
      </c>
      <c r="F6246" s="1930" t="s">
        <v>33</v>
      </c>
      <c r="G6246" s="1932">
        <v>95411</v>
      </c>
      <c r="H6246" s="1930" t="s">
        <v>4428</v>
      </c>
      <c r="I6246" s="1930" t="s">
        <v>319</v>
      </c>
      <c r="J6246" s="1930" t="s">
        <v>320</v>
      </c>
      <c r="K6246" s="1933">
        <v>9.67</v>
      </c>
      <c r="L6246" s="1930" t="s">
        <v>4276</v>
      </c>
    </row>
    <row r="6247" spans="1:12" ht="13.5" x14ac:dyDescent="0.25">
      <c r="A6247" s="1930" t="s">
        <v>4628</v>
      </c>
      <c r="B6247" s="1930" t="s">
        <v>4809</v>
      </c>
      <c r="C6247" s="1930" t="s">
        <v>4816</v>
      </c>
      <c r="D6247" s="1930" t="s">
        <v>4817</v>
      </c>
      <c r="E6247" s="1931" t="s">
        <v>33</v>
      </c>
      <c r="F6247" s="1930" t="s">
        <v>33</v>
      </c>
      <c r="G6247" s="1932">
        <v>95412</v>
      </c>
      <c r="H6247" s="1930" t="s">
        <v>4429</v>
      </c>
      <c r="I6247" s="1930" t="s">
        <v>319</v>
      </c>
      <c r="J6247" s="1930" t="s">
        <v>320</v>
      </c>
      <c r="K6247" s="1933">
        <v>11.56</v>
      </c>
      <c r="L6247" s="1930" t="s">
        <v>4276</v>
      </c>
    </row>
    <row r="6248" spans="1:12" ht="13.5" x14ac:dyDescent="0.25">
      <c r="A6248" s="1930" t="s">
        <v>4628</v>
      </c>
      <c r="B6248" s="1930" t="s">
        <v>4809</v>
      </c>
      <c r="C6248" s="1930" t="s">
        <v>4816</v>
      </c>
      <c r="D6248" s="1930" t="s">
        <v>4817</v>
      </c>
      <c r="E6248" s="1931" t="s">
        <v>33</v>
      </c>
      <c r="F6248" s="1930" t="s">
        <v>33</v>
      </c>
      <c r="G6248" s="1932">
        <v>95413</v>
      </c>
      <c r="H6248" s="1930" t="s">
        <v>4430</v>
      </c>
      <c r="I6248" s="1930" t="s">
        <v>319</v>
      </c>
      <c r="J6248" s="1930" t="s">
        <v>320</v>
      </c>
      <c r="K6248" s="1933">
        <v>10.58</v>
      </c>
      <c r="L6248" s="1930" t="s">
        <v>4276</v>
      </c>
    </row>
    <row r="6249" spans="1:12" ht="13.5" x14ac:dyDescent="0.25">
      <c r="A6249" s="1930" t="s">
        <v>4628</v>
      </c>
      <c r="B6249" s="1930" t="s">
        <v>4809</v>
      </c>
      <c r="C6249" s="1930" t="s">
        <v>4816</v>
      </c>
      <c r="D6249" s="1930" t="s">
        <v>4817</v>
      </c>
      <c r="E6249" s="1931" t="s">
        <v>33</v>
      </c>
      <c r="F6249" s="1930" t="s">
        <v>33</v>
      </c>
      <c r="G6249" s="1932">
        <v>95414</v>
      </c>
      <c r="H6249" s="1930" t="s">
        <v>4431</v>
      </c>
      <c r="I6249" s="1930" t="s">
        <v>319</v>
      </c>
      <c r="J6249" s="1930" t="s">
        <v>320</v>
      </c>
      <c r="K6249" s="1933">
        <v>52.75</v>
      </c>
      <c r="L6249" s="1930" t="s">
        <v>4276</v>
      </c>
    </row>
    <row r="6250" spans="1:12" ht="13.5" x14ac:dyDescent="0.25">
      <c r="A6250" s="1930" t="s">
        <v>4628</v>
      </c>
      <c r="B6250" s="1930" t="s">
        <v>4809</v>
      </c>
      <c r="C6250" s="1930" t="s">
        <v>4816</v>
      </c>
      <c r="D6250" s="1930" t="s">
        <v>4817</v>
      </c>
      <c r="E6250" s="1931" t="s">
        <v>33</v>
      </c>
      <c r="F6250" s="1930" t="s">
        <v>33</v>
      </c>
      <c r="G6250" s="1932">
        <v>95415</v>
      </c>
      <c r="H6250" s="1930" t="s">
        <v>4432</v>
      </c>
      <c r="I6250" s="1930" t="s">
        <v>319</v>
      </c>
      <c r="J6250" s="1930" t="s">
        <v>320</v>
      </c>
      <c r="K6250" s="1933">
        <v>102.37</v>
      </c>
      <c r="L6250" s="1930" t="s">
        <v>4276</v>
      </c>
    </row>
    <row r="6251" spans="1:12" ht="13.5" x14ac:dyDescent="0.25">
      <c r="A6251" s="1930" t="s">
        <v>4628</v>
      </c>
      <c r="B6251" s="1930" t="s">
        <v>4809</v>
      </c>
      <c r="C6251" s="1930" t="s">
        <v>4816</v>
      </c>
      <c r="D6251" s="1930" t="s">
        <v>4817</v>
      </c>
      <c r="E6251" s="1931" t="s">
        <v>33</v>
      </c>
      <c r="F6251" s="1930" t="s">
        <v>33</v>
      </c>
      <c r="G6251" s="1932">
        <v>95416</v>
      </c>
      <c r="H6251" s="1930" t="s">
        <v>4433</v>
      </c>
      <c r="I6251" s="1930" t="s">
        <v>319</v>
      </c>
      <c r="J6251" s="1930" t="s">
        <v>320</v>
      </c>
      <c r="K6251" s="1933">
        <v>8.86</v>
      </c>
      <c r="L6251" s="1930" t="s">
        <v>4276</v>
      </c>
    </row>
    <row r="6252" spans="1:12" ht="13.5" x14ac:dyDescent="0.25">
      <c r="A6252" s="1930" t="s">
        <v>4628</v>
      </c>
      <c r="B6252" s="1930" t="s">
        <v>4809</v>
      </c>
      <c r="C6252" s="1930" t="s">
        <v>4816</v>
      </c>
      <c r="D6252" s="1930" t="s">
        <v>4817</v>
      </c>
      <c r="E6252" s="1931" t="s">
        <v>33</v>
      </c>
      <c r="F6252" s="1930" t="s">
        <v>33</v>
      </c>
      <c r="G6252" s="1932">
        <v>95417</v>
      </c>
      <c r="H6252" s="1930" t="s">
        <v>4434</v>
      </c>
      <c r="I6252" s="1930" t="s">
        <v>319</v>
      </c>
      <c r="J6252" s="1930" t="s">
        <v>320</v>
      </c>
      <c r="K6252" s="1933">
        <v>116.52</v>
      </c>
      <c r="L6252" s="1930" t="s">
        <v>4276</v>
      </c>
    </row>
    <row r="6253" spans="1:12" ht="13.5" x14ac:dyDescent="0.25">
      <c r="A6253" s="1930" t="s">
        <v>4628</v>
      </c>
      <c r="B6253" s="1930" t="s">
        <v>4809</v>
      </c>
      <c r="C6253" s="1930" t="s">
        <v>4816</v>
      </c>
      <c r="D6253" s="1930" t="s">
        <v>4817</v>
      </c>
      <c r="E6253" s="1931" t="s">
        <v>33</v>
      </c>
      <c r="F6253" s="1930" t="s">
        <v>33</v>
      </c>
      <c r="G6253" s="1932">
        <v>95418</v>
      </c>
      <c r="H6253" s="1930" t="s">
        <v>4435</v>
      </c>
      <c r="I6253" s="1930" t="s">
        <v>319</v>
      </c>
      <c r="J6253" s="1930" t="s">
        <v>320</v>
      </c>
      <c r="K6253" s="1933">
        <v>159.28</v>
      </c>
      <c r="L6253" s="1930" t="s">
        <v>4276</v>
      </c>
    </row>
    <row r="6254" spans="1:12" ht="13.5" x14ac:dyDescent="0.25">
      <c r="A6254" s="1930" t="s">
        <v>4628</v>
      </c>
      <c r="B6254" s="1930" t="s">
        <v>4809</v>
      </c>
      <c r="C6254" s="1930" t="s">
        <v>4816</v>
      </c>
      <c r="D6254" s="1930" t="s">
        <v>4817</v>
      </c>
      <c r="E6254" s="1931" t="s">
        <v>33</v>
      </c>
      <c r="F6254" s="1930" t="s">
        <v>33</v>
      </c>
      <c r="G6254" s="1932">
        <v>95419</v>
      </c>
      <c r="H6254" s="1930" t="s">
        <v>4436</v>
      </c>
      <c r="I6254" s="1930" t="s">
        <v>319</v>
      </c>
      <c r="J6254" s="1930" t="s">
        <v>320</v>
      </c>
      <c r="K6254" s="1933">
        <v>42.56</v>
      </c>
      <c r="L6254" s="1930" t="s">
        <v>4276</v>
      </c>
    </row>
    <row r="6255" spans="1:12" ht="13.5" x14ac:dyDescent="0.25">
      <c r="A6255" s="1930" t="s">
        <v>4628</v>
      </c>
      <c r="B6255" s="1930" t="s">
        <v>4809</v>
      </c>
      <c r="C6255" s="1930" t="s">
        <v>4816</v>
      </c>
      <c r="D6255" s="1930" t="s">
        <v>4817</v>
      </c>
      <c r="E6255" s="1931" t="s">
        <v>33</v>
      </c>
      <c r="F6255" s="1930" t="s">
        <v>33</v>
      </c>
      <c r="G6255" s="1932">
        <v>95420</v>
      </c>
      <c r="H6255" s="1930" t="s">
        <v>4437</v>
      </c>
      <c r="I6255" s="1930" t="s">
        <v>319</v>
      </c>
      <c r="J6255" s="1930" t="s">
        <v>320</v>
      </c>
      <c r="K6255" s="1933">
        <v>60.46</v>
      </c>
      <c r="L6255" s="1930" t="s">
        <v>4276</v>
      </c>
    </row>
    <row r="6256" spans="1:12" ht="13.5" x14ac:dyDescent="0.25">
      <c r="A6256" s="1930" t="s">
        <v>4628</v>
      </c>
      <c r="B6256" s="1930" t="s">
        <v>4809</v>
      </c>
      <c r="C6256" s="1930" t="s">
        <v>4816</v>
      </c>
      <c r="D6256" s="1930" t="s">
        <v>4817</v>
      </c>
      <c r="E6256" s="1931" t="s">
        <v>33</v>
      </c>
      <c r="F6256" s="1930" t="s">
        <v>33</v>
      </c>
      <c r="G6256" s="1932">
        <v>95421</v>
      </c>
      <c r="H6256" s="1930" t="s">
        <v>4438</v>
      </c>
      <c r="I6256" s="1930" t="s">
        <v>319</v>
      </c>
      <c r="J6256" s="1930" t="s">
        <v>320</v>
      </c>
      <c r="K6256" s="1933">
        <v>79.930000000000007</v>
      </c>
      <c r="L6256" s="1930" t="s">
        <v>4276</v>
      </c>
    </row>
    <row r="6257" spans="1:12" ht="13.5" x14ac:dyDescent="0.25">
      <c r="A6257" s="1930" t="s">
        <v>4628</v>
      </c>
      <c r="B6257" s="1930" t="s">
        <v>4809</v>
      </c>
      <c r="C6257" s="1930" t="s">
        <v>4816</v>
      </c>
      <c r="D6257" s="1930" t="s">
        <v>4817</v>
      </c>
      <c r="E6257" s="1931" t="s">
        <v>33</v>
      </c>
      <c r="F6257" s="1930" t="s">
        <v>33</v>
      </c>
      <c r="G6257" s="1932">
        <v>95422</v>
      </c>
      <c r="H6257" s="1930" t="s">
        <v>4439</v>
      </c>
      <c r="I6257" s="1930" t="s">
        <v>319</v>
      </c>
      <c r="J6257" s="1930" t="s">
        <v>320</v>
      </c>
      <c r="K6257" s="1933">
        <v>28.23</v>
      </c>
      <c r="L6257" s="1930" t="s">
        <v>4276</v>
      </c>
    </row>
    <row r="6258" spans="1:12" ht="13.5" x14ac:dyDescent="0.25">
      <c r="A6258" s="1930" t="s">
        <v>4628</v>
      </c>
      <c r="B6258" s="1930" t="s">
        <v>4809</v>
      </c>
      <c r="C6258" s="1930" t="s">
        <v>4816</v>
      </c>
      <c r="D6258" s="1930" t="s">
        <v>4817</v>
      </c>
      <c r="E6258" s="1931" t="s">
        <v>33</v>
      </c>
      <c r="F6258" s="1930" t="s">
        <v>33</v>
      </c>
      <c r="G6258" s="1932">
        <v>95423</v>
      </c>
      <c r="H6258" s="1930" t="s">
        <v>4440</v>
      </c>
      <c r="I6258" s="1930" t="s">
        <v>319</v>
      </c>
      <c r="J6258" s="1930" t="s">
        <v>320</v>
      </c>
      <c r="K6258" s="1933">
        <v>42.85</v>
      </c>
      <c r="L6258" s="1930" t="s">
        <v>4276</v>
      </c>
    </row>
    <row r="6259" spans="1:12" ht="13.5" x14ac:dyDescent="0.25">
      <c r="A6259" s="1930" t="s">
        <v>4628</v>
      </c>
      <c r="B6259" s="1930" t="s">
        <v>4809</v>
      </c>
      <c r="C6259" s="1930" t="s">
        <v>4816</v>
      </c>
      <c r="D6259" s="1930" t="s">
        <v>4817</v>
      </c>
      <c r="E6259" s="1931" t="s">
        <v>33</v>
      </c>
      <c r="F6259" s="1930" t="s">
        <v>33</v>
      </c>
      <c r="G6259" s="1932">
        <v>95424</v>
      </c>
      <c r="H6259" s="1930" t="s">
        <v>4441</v>
      </c>
      <c r="I6259" s="1930" t="s">
        <v>319</v>
      </c>
      <c r="J6259" s="1930" t="s">
        <v>320</v>
      </c>
      <c r="K6259" s="1933">
        <v>11.09</v>
      </c>
      <c r="L6259" s="1930" t="s">
        <v>4276</v>
      </c>
    </row>
    <row r="6260" spans="1:12" ht="13.5" x14ac:dyDescent="0.25">
      <c r="A6260" s="1930" t="s">
        <v>4628</v>
      </c>
      <c r="B6260" s="1930" t="s">
        <v>4809</v>
      </c>
      <c r="C6260" s="1930" t="s">
        <v>4816</v>
      </c>
      <c r="D6260" s="1930" t="s">
        <v>4817</v>
      </c>
      <c r="E6260" s="1931" t="s">
        <v>33</v>
      </c>
      <c r="F6260" s="1930" t="s">
        <v>33</v>
      </c>
      <c r="G6260" s="1932">
        <v>100288</v>
      </c>
      <c r="H6260" s="1930" t="s">
        <v>8239</v>
      </c>
      <c r="I6260" s="1930" t="s">
        <v>65</v>
      </c>
      <c r="J6260" s="1930" t="s">
        <v>320</v>
      </c>
      <c r="K6260" s="1933">
        <v>0.03</v>
      </c>
      <c r="L6260" s="1930" t="s">
        <v>4276</v>
      </c>
    </row>
    <row r="6261" spans="1:12" ht="13.5" x14ac:dyDescent="0.25">
      <c r="A6261" s="1930" t="s">
        <v>4628</v>
      </c>
      <c r="B6261" s="1930" t="s">
        <v>4809</v>
      </c>
      <c r="C6261" s="1930" t="s">
        <v>4816</v>
      </c>
      <c r="D6261" s="1930" t="s">
        <v>4817</v>
      </c>
      <c r="E6261" s="1931" t="s">
        <v>33</v>
      </c>
      <c r="F6261" s="1930" t="s">
        <v>33</v>
      </c>
      <c r="G6261" s="1932">
        <v>100289</v>
      </c>
      <c r="H6261" s="1930" t="s">
        <v>8240</v>
      </c>
      <c r="I6261" s="1930" t="s">
        <v>65</v>
      </c>
      <c r="J6261" s="1930" t="s">
        <v>320</v>
      </c>
      <c r="K6261" s="1933">
        <v>15.37</v>
      </c>
      <c r="L6261" s="1930" t="s">
        <v>4276</v>
      </c>
    </row>
    <row r="6262" spans="1:12" ht="13.5" x14ac:dyDescent="0.25">
      <c r="A6262" s="1930" t="s">
        <v>4628</v>
      </c>
      <c r="B6262" s="1930" t="s">
        <v>4809</v>
      </c>
      <c r="C6262" s="1930" t="s">
        <v>4816</v>
      </c>
      <c r="D6262" s="1930" t="s">
        <v>4817</v>
      </c>
      <c r="E6262" s="1931" t="s">
        <v>33</v>
      </c>
      <c r="F6262" s="1930" t="s">
        <v>33</v>
      </c>
      <c r="G6262" s="1932">
        <v>100290</v>
      </c>
      <c r="H6262" s="1930" t="s">
        <v>8241</v>
      </c>
      <c r="I6262" s="1930" t="s">
        <v>65</v>
      </c>
      <c r="J6262" s="1930" t="s">
        <v>320</v>
      </c>
      <c r="K6262" s="1933">
        <v>0.05</v>
      </c>
      <c r="L6262" s="1930" t="s">
        <v>4276</v>
      </c>
    </row>
    <row r="6263" spans="1:12" ht="13.5" x14ac:dyDescent="0.25">
      <c r="A6263" s="1930" t="s">
        <v>4628</v>
      </c>
      <c r="B6263" s="1930" t="s">
        <v>4809</v>
      </c>
      <c r="C6263" s="1930" t="s">
        <v>4816</v>
      </c>
      <c r="D6263" s="1930" t="s">
        <v>4817</v>
      </c>
      <c r="E6263" s="1931" t="s">
        <v>33</v>
      </c>
      <c r="F6263" s="1930" t="s">
        <v>33</v>
      </c>
      <c r="G6263" s="1932">
        <v>100291</v>
      </c>
      <c r="H6263" s="1930" t="s">
        <v>8242</v>
      </c>
      <c r="I6263" s="1930" t="s">
        <v>65</v>
      </c>
      <c r="J6263" s="1930" t="s">
        <v>320</v>
      </c>
      <c r="K6263" s="1933">
        <v>0.1</v>
      </c>
      <c r="L6263" s="1930" t="s">
        <v>4276</v>
      </c>
    </row>
    <row r="6264" spans="1:12" ht="13.5" x14ac:dyDescent="0.25">
      <c r="A6264" s="1930" t="s">
        <v>4628</v>
      </c>
      <c r="B6264" s="1930" t="s">
        <v>4809</v>
      </c>
      <c r="C6264" s="1930" t="s">
        <v>4816</v>
      </c>
      <c r="D6264" s="1930" t="s">
        <v>4817</v>
      </c>
      <c r="E6264" s="1931" t="s">
        <v>33</v>
      </c>
      <c r="F6264" s="1930" t="s">
        <v>33</v>
      </c>
      <c r="G6264" s="1932">
        <v>100292</v>
      </c>
      <c r="H6264" s="1930" t="s">
        <v>8243</v>
      </c>
      <c r="I6264" s="1930" t="s">
        <v>65</v>
      </c>
      <c r="J6264" s="1930" t="s">
        <v>320</v>
      </c>
      <c r="K6264" s="1933">
        <v>0.37</v>
      </c>
      <c r="L6264" s="1930" t="s">
        <v>4276</v>
      </c>
    </row>
    <row r="6265" spans="1:12" ht="13.5" x14ac:dyDescent="0.25">
      <c r="A6265" s="1930" t="s">
        <v>4628</v>
      </c>
      <c r="B6265" s="1930" t="s">
        <v>4809</v>
      </c>
      <c r="C6265" s="1930" t="s">
        <v>4816</v>
      </c>
      <c r="D6265" s="1930" t="s">
        <v>4817</v>
      </c>
      <c r="E6265" s="1931" t="s">
        <v>33</v>
      </c>
      <c r="F6265" s="1930" t="s">
        <v>33</v>
      </c>
      <c r="G6265" s="1932">
        <v>100293</v>
      </c>
      <c r="H6265" s="1930" t="s">
        <v>8244</v>
      </c>
      <c r="I6265" s="1930" t="s">
        <v>65</v>
      </c>
      <c r="J6265" s="1930" t="s">
        <v>320</v>
      </c>
      <c r="K6265" s="1933">
        <v>0.1</v>
      </c>
      <c r="L6265" s="1930" t="s">
        <v>4276</v>
      </c>
    </row>
    <row r="6266" spans="1:12" ht="13.5" x14ac:dyDescent="0.25">
      <c r="A6266" s="1930" t="s">
        <v>4628</v>
      </c>
      <c r="B6266" s="1930" t="s">
        <v>4809</v>
      </c>
      <c r="C6266" s="1930" t="s">
        <v>4816</v>
      </c>
      <c r="D6266" s="1930" t="s">
        <v>4817</v>
      </c>
      <c r="E6266" s="1931" t="s">
        <v>33</v>
      </c>
      <c r="F6266" s="1930" t="s">
        <v>33</v>
      </c>
      <c r="G6266" s="1932">
        <v>100294</v>
      </c>
      <c r="H6266" s="1930" t="s">
        <v>8245</v>
      </c>
      <c r="I6266" s="1930" t="s">
        <v>65</v>
      </c>
      <c r="J6266" s="1930" t="s">
        <v>320</v>
      </c>
      <c r="K6266" s="1933">
        <v>0.21</v>
      </c>
      <c r="L6266" s="1930" t="s">
        <v>4276</v>
      </c>
    </row>
    <row r="6267" spans="1:12" ht="13.5" x14ac:dyDescent="0.25">
      <c r="A6267" s="1930" t="s">
        <v>4628</v>
      </c>
      <c r="B6267" s="1930" t="s">
        <v>4809</v>
      </c>
      <c r="C6267" s="1930" t="s">
        <v>4816</v>
      </c>
      <c r="D6267" s="1930" t="s">
        <v>4817</v>
      </c>
      <c r="E6267" s="1931" t="s">
        <v>33</v>
      </c>
      <c r="F6267" s="1930" t="s">
        <v>33</v>
      </c>
      <c r="G6267" s="1932">
        <v>100295</v>
      </c>
      <c r="H6267" s="1930" t="s">
        <v>8246</v>
      </c>
      <c r="I6267" s="1930" t="s">
        <v>65</v>
      </c>
      <c r="J6267" s="1930" t="s">
        <v>320</v>
      </c>
      <c r="K6267" s="1933">
        <v>0.28000000000000003</v>
      </c>
      <c r="L6267" s="1930" t="s">
        <v>4276</v>
      </c>
    </row>
    <row r="6268" spans="1:12" ht="13.5" x14ac:dyDescent="0.25">
      <c r="A6268" s="1930" t="s">
        <v>4628</v>
      </c>
      <c r="B6268" s="1930" t="s">
        <v>4809</v>
      </c>
      <c r="C6268" s="1930" t="s">
        <v>4816</v>
      </c>
      <c r="D6268" s="1930" t="s">
        <v>4817</v>
      </c>
      <c r="E6268" s="1931" t="s">
        <v>33</v>
      </c>
      <c r="F6268" s="1930" t="s">
        <v>33</v>
      </c>
      <c r="G6268" s="1932">
        <v>100296</v>
      </c>
      <c r="H6268" s="1930" t="s">
        <v>8247</v>
      </c>
      <c r="I6268" s="1930" t="s">
        <v>65</v>
      </c>
      <c r="J6268" s="1930" t="s">
        <v>320</v>
      </c>
      <c r="K6268" s="1933">
        <v>0.57999999999999996</v>
      </c>
      <c r="L6268" s="1930" t="s">
        <v>4276</v>
      </c>
    </row>
    <row r="6269" spans="1:12" ht="13.5" x14ac:dyDescent="0.25">
      <c r="A6269" s="1930" t="s">
        <v>4628</v>
      </c>
      <c r="B6269" s="1930" t="s">
        <v>4809</v>
      </c>
      <c r="C6269" s="1930" t="s">
        <v>4816</v>
      </c>
      <c r="D6269" s="1930" t="s">
        <v>4817</v>
      </c>
      <c r="E6269" s="1931" t="s">
        <v>33</v>
      </c>
      <c r="F6269" s="1930" t="s">
        <v>33</v>
      </c>
      <c r="G6269" s="1932">
        <v>100297</v>
      </c>
      <c r="H6269" s="1930" t="s">
        <v>8248</v>
      </c>
      <c r="I6269" s="1930" t="s">
        <v>65</v>
      </c>
      <c r="J6269" s="1930" t="s">
        <v>320</v>
      </c>
      <c r="K6269" s="1933">
        <v>0.66</v>
      </c>
      <c r="L6269" s="1930" t="s">
        <v>4276</v>
      </c>
    </row>
    <row r="6270" spans="1:12" ht="13.5" x14ac:dyDescent="0.25">
      <c r="A6270" s="1930" t="s">
        <v>4628</v>
      </c>
      <c r="B6270" s="1930" t="s">
        <v>4809</v>
      </c>
      <c r="C6270" s="1930" t="s">
        <v>4816</v>
      </c>
      <c r="D6270" s="1930" t="s">
        <v>4817</v>
      </c>
      <c r="E6270" s="1931" t="s">
        <v>33</v>
      </c>
      <c r="F6270" s="1930" t="s">
        <v>33</v>
      </c>
      <c r="G6270" s="1932">
        <v>100298</v>
      </c>
      <c r="H6270" s="1930" t="s">
        <v>8249</v>
      </c>
      <c r="I6270" s="1930" t="s">
        <v>65</v>
      </c>
      <c r="J6270" s="1930" t="s">
        <v>320</v>
      </c>
      <c r="K6270" s="1933">
        <v>0.38</v>
      </c>
      <c r="L6270" s="1930" t="s">
        <v>4276</v>
      </c>
    </row>
    <row r="6271" spans="1:12" ht="13.5" x14ac:dyDescent="0.25">
      <c r="A6271" s="1930" t="s">
        <v>4628</v>
      </c>
      <c r="B6271" s="1930" t="s">
        <v>4809</v>
      </c>
      <c r="C6271" s="1930" t="s">
        <v>4816</v>
      </c>
      <c r="D6271" s="1930" t="s">
        <v>4817</v>
      </c>
      <c r="E6271" s="1931" t="s">
        <v>33</v>
      </c>
      <c r="F6271" s="1930" t="s">
        <v>33</v>
      </c>
      <c r="G6271" s="1932">
        <v>100299</v>
      </c>
      <c r="H6271" s="1930" t="s">
        <v>8250</v>
      </c>
      <c r="I6271" s="1930" t="s">
        <v>65</v>
      </c>
      <c r="J6271" s="1930" t="s">
        <v>320</v>
      </c>
      <c r="K6271" s="1933">
        <v>0.39</v>
      </c>
      <c r="L6271" s="1930" t="s">
        <v>4276</v>
      </c>
    </row>
    <row r="6272" spans="1:12" ht="13.5" x14ac:dyDescent="0.25">
      <c r="A6272" s="1930" t="s">
        <v>4628</v>
      </c>
      <c r="B6272" s="1930" t="s">
        <v>4809</v>
      </c>
      <c r="C6272" s="1930" t="s">
        <v>4816</v>
      </c>
      <c r="D6272" s="1930" t="s">
        <v>4817</v>
      </c>
      <c r="E6272" s="1931" t="s">
        <v>33</v>
      </c>
      <c r="F6272" s="1930" t="s">
        <v>33</v>
      </c>
      <c r="G6272" s="1932">
        <v>100300</v>
      </c>
      <c r="H6272" s="1930" t="s">
        <v>8251</v>
      </c>
      <c r="I6272" s="1930" t="s">
        <v>65</v>
      </c>
      <c r="J6272" s="1930" t="s">
        <v>320</v>
      </c>
      <c r="K6272" s="1933">
        <v>17.95</v>
      </c>
      <c r="L6272" s="1930" t="s">
        <v>4276</v>
      </c>
    </row>
    <row r="6273" spans="1:12" ht="13.5" x14ac:dyDescent="0.25">
      <c r="A6273" s="1930" t="s">
        <v>4628</v>
      </c>
      <c r="B6273" s="1930" t="s">
        <v>4809</v>
      </c>
      <c r="C6273" s="1930" t="s">
        <v>4816</v>
      </c>
      <c r="D6273" s="1930" t="s">
        <v>4817</v>
      </c>
      <c r="E6273" s="1931" t="s">
        <v>33</v>
      </c>
      <c r="F6273" s="1930" t="s">
        <v>33</v>
      </c>
      <c r="G6273" s="1932">
        <v>100301</v>
      </c>
      <c r="H6273" s="1930" t="s">
        <v>8252</v>
      </c>
      <c r="I6273" s="1930" t="s">
        <v>65</v>
      </c>
      <c r="J6273" s="1930" t="s">
        <v>320</v>
      </c>
      <c r="K6273" s="1933">
        <v>17.27</v>
      </c>
      <c r="L6273" s="1930" t="s">
        <v>4276</v>
      </c>
    </row>
    <row r="6274" spans="1:12" ht="13.5" x14ac:dyDescent="0.25">
      <c r="A6274" s="1930" t="s">
        <v>4628</v>
      </c>
      <c r="B6274" s="1930" t="s">
        <v>4809</v>
      </c>
      <c r="C6274" s="1930" t="s">
        <v>4816</v>
      </c>
      <c r="D6274" s="1930" t="s">
        <v>4817</v>
      </c>
      <c r="E6274" s="1931" t="s">
        <v>33</v>
      </c>
      <c r="F6274" s="1930" t="s">
        <v>33</v>
      </c>
      <c r="G6274" s="1932">
        <v>100302</v>
      </c>
      <c r="H6274" s="1930" t="s">
        <v>8253</v>
      </c>
      <c r="I6274" s="1930" t="s">
        <v>65</v>
      </c>
      <c r="J6274" s="1930" t="s">
        <v>320</v>
      </c>
      <c r="K6274" s="1933">
        <v>109.28</v>
      </c>
      <c r="L6274" s="1930" t="s">
        <v>4276</v>
      </c>
    </row>
    <row r="6275" spans="1:12" ht="13.5" x14ac:dyDescent="0.25">
      <c r="A6275" s="1930" t="s">
        <v>4628</v>
      </c>
      <c r="B6275" s="1930" t="s">
        <v>4809</v>
      </c>
      <c r="C6275" s="1930" t="s">
        <v>4816</v>
      </c>
      <c r="D6275" s="1930" t="s">
        <v>4817</v>
      </c>
      <c r="E6275" s="1931" t="s">
        <v>33</v>
      </c>
      <c r="F6275" s="1930" t="s">
        <v>33</v>
      </c>
      <c r="G6275" s="1932">
        <v>100303</v>
      </c>
      <c r="H6275" s="1930" t="s">
        <v>8254</v>
      </c>
      <c r="I6275" s="1930" t="s">
        <v>65</v>
      </c>
      <c r="J6275" s="1930" t="s">
        <v>320</v>
      </c>
      <c r="K6275" s="1933">
        <v>16.21</v>
      </c>
      <c r="L6275" s="1930" t="s">
        <v>4276</v>
      </c>
    </row>
    <row r="6276" spans="1:12" ht="13.5" x14ac:dyDescent="0.25">
      <c r="A6276" s="1930" t="s">
        <v>4628</v>
      </c>
      <c r="B6276" s="1930" t="s">
        <v>4809</v>
      </c>
      <c r="C6276" s="1930" t="s">
        <v>4816</v>
      </c>
      <c r="D6276" s="1930" t="s">
        <v>4817</v>
      </c>
      <c r="E6276" s="1931" t="s">
        <v>33</v>
      </c>
      <c r="F6276" s="1930" t="s">
        <v>33</v>
      </c>
      <c r="G6276" s="1932">
        <v>100304</v>
      </c>
      <c r="H6276" s="1930" t="s">
        <v>8255</v>
      </c>
      <c r="I6276" s="1930" t="s">
        <v>65</v>
      </c>
      <c r="J6276" s="1930" t="s">
        <v>320</v>
      </c>
      <c r="K6276" s="1933">
        <v>61.31</v>
      </c>
      <c r="L6276" s="1930" t="s">
        <v>4276</v>
      </c>
    </row>
    <row r="6277" spans="1:12" ht="13.5" x14ac:dyDescent="0.25">
      <c r="A6277" s="1930" t="s">
        <v>4628</v>
      </c>
      <c r="B6277" s="1930" t="s">
        <v>4809</v>
      </c>
      <c r="C6277" s="1930" t="s">
        <v>4816</v>
      </c>
      <c r="D6277" s="1930" t="s">
        <v>4817</v>
      </c>
      <c r="E6277" s="1931" t="s">
        <v>33</v>
      </c>
      <c r="F6277" s="1930" t="s">
        <v>33</v>
      </c>
      <c r="G6277" s="1932">
        <v>100305</v>
      </c>
      <c r="H6277" s="1930" t="s">
        <v>8256</v>
      </c>
      <c r="I6277" s="1930" t="s">
        <v>65</v>
      </c>
      <c r="J6277" s="1930" t="s">
        <v>320</v>
      </c>
      <c r="K6277" s="1933">
        <v>76.260000000000005</v>
      </c>
      <c r="L6277" s="1930" t="s">
        <v>4276</v>
      </c>
    </row>
    <row r="6278" spans="1:12" ht="13.5" x14ac:dyDescent="0.25">
      <c r="A6278" s="1930" t="s">
        <v>4628</v>
      </c>
      <c r="B6278" s="1930" t="s">
        <v>4809</v>
      </c>
      <c r="C6278" s="1930" t="s">
        <v>4816</v>
      </c>
      <c r="D6278" s="1930" t="s">
        <v>4817</v>
      </c>
      <c r="E6278" s="1931" t="s">
        <v>33</v>
      </c>
      <c r="F6278" s="1930" t="s">
        <v>33</v>
      </c>
      <c r="G6278" s="1932">
        <v>100306</v>
      </c>
      <c r="H6278" s="1930" t="s">
        <v>8257</v>
      </c>
      <c r="I6278" s="1930" t="s">
        <v>65</v>
      </c>
      <c r="J6278" s="1930" t="s">
        <v>320</v>
      </c>
      <c r="K6278" s="1933">
        <v>85.91</v>
      </c>
      <c r="L6278" s="1930" t="s">
        <v>4276</v>
      </c>
    </row>
    <row r="6279" spans="1:12" ht="13.5" x14ac:dyDescent="0.25">
      <c r="A6279" s="1930" t="s">
        <v>4628</v>
      </c>
      <c r="B6279" s="1930" t="s">
        <v>4809</v>
      </c>
      <c r="C6279" s="1930" t="s">
        <v>4816</v>
      </c>
      <c r="D6279" s="1930" t="s">
        <v>4817</v>
      </c>
      <c r="E6279" s="1931" t="s">
        <v>33</v>
      </c>
      <c r="F6279" s="1930" t="s">
        <v>33</v>
      </c>
      <c r="G6279" s="1932">
        <v>100307</v>
      </c>
      <c r="H6279" s="1930" t="s">
        <v>8258</v>
      </c>
      <c r="I6279" s="1930" t="s">
        <v>65</v>
      </c>
      <c r="J6279" s="1930" t="s">
        <v>320</v>
      </c>
      <c r="K6279" s="1933">
        <v>19.47</v>
      </c>
      <c r="L6279" s="1930" t="s">
        <v>4276</v>
      </c>
    </row>
    <row r="6280" spans="1:12" ht="13.5" x14ac:dyDescent="0.25">
      <c r="A6280" s="1930" t="s">
        <v>4628</v>
      </c>
      <c r="B6280" s="1930" t="s">
        <v>4809</v>
      </c>
      <c r="C6280" s="1930" t="s">
        <v>4816</v>
      </c>
      <c r="D6280" s="1930" t="s">
        <v>4817</v>
      </c>
      <c r="E6280" s="1931" t="s">
        <v>33</v>
      </c>
      <c r="F6280" s="1930" t="s">
        <v>33</v>
      </c>
      <c r="G6280" s="1932">
        <v>100308</v>
      </c>
      <c r="H6280" s="1930" t="s">
        <v>8259</v>
      </c>
      <c r="I6280" s="1930" t="s">
        <v>65</v>
      </c>
      <c r="J6280" s="1930" t="s">
        <v>320</v>
      </c>
      <c r="K6280" s="1933">
        <v>22.64</v>
      </c>
      <c r="L6280" s="1930" t="s">
        <v>4276</v>
      </c>
    </row>
    <row r="6281" spans="1:12" ht="13.5" x14ac:dyDescent="0.25">
      <c r="A6281" s="1930" t="s">
        <v>4628</v>
      </c>
      <c r="B6281" s="1930" t="s">
        <v>4809</v>
      </c>
      <c r="C6281" s="1930" t="s">
        <v>4816</v>
      </c>
      <c r="D6281" s="1930" t="s">
        <v>4817</v>
      </c>
      <c r="E6281" s="1931" t="s">
        <v>33</v>
      </c>
      <c r="F6281" s="1930" t="s">
        <v>33</v>
      </c>
      <c r="G6281" s="1932">
        <v>100309</v>
      </c>
      <c r="H6281" s="1930" t="s">
        <v>8260</v>
      </c>
      <c r="I6281" s="1930" t="s">
        <v>65</v>
      </c>
      <c r="J6281" s="1930" t="s">
        <v>320</v>
      </c>
      <c r="K6281" s="1933">
        <v>33.51</v>
      </c>
      <c r="L6281" s="1930" t="s">
        <v>4276</v>
      </c>
    </row>
    <row r="6282" spans="1:12" ht="13.5" x14ac:dyDescent="0.25">
      <c r="A6282" s="1930" t="s">
        <v>4628</v>
      </c>
      <c r="B6282" s="1930" t="s">
        <v>4809</v>
      </c>
      <c r="C6282" s="1930" t="s">
        <v>4816</v>
      </c>
      <c r="D6282" s="1930" t="s">
        <v>4817</v>
      </c>
      <c r="E6282" s="1931" t="s">
        <v>33</v>
      </c>
      <c r="F6282" s="1930" t="s">
        <v>33</v>
      </c>
      <c r="G6282" s="1932">
        <v>100310</v>
      </c>
      <c r="H6282" s="1930" t="s">
        <v>8261</v>
      </c>
      <c r="I6282" s="1930" t="s">
        <v>319</v>
      </c>
      <c r="J6282" s="1930" t="s">
        <v>320</v>
      </c>
      <c r="K6282" s="1933">
        <v>8.11</v>
      </c>
      <c r="L6282" s="1930" t="s">
        <v>4276</v>
      </c>
    </row>
    <row r="6283" spans="1:12" ht="13.5" x14ac:dyDescent="0.25">
      <c r="A6283" s="1930" t="s">
        <v>4628</v>
      </c>
      <c r="B6283" s="1930" t="s">
        <v>4809</v>
      </c>
      <c r="C6283" s="1930" t="s">
        <v>4816</v>
      </c>
      <c r="D6283" s="1930" t="s">
        <v>4817</v>
      </c>
      <c r="E6283" s="1931" t="s">
        <v>33</v>
      </c>
      <c r="F6283" s="1930" t="s">
        <v>33</v>
      </c>
      <c r="G6283" s="1932">
        <v>100311</v>
      </c>
      <c r="H6283" s="1930" t="s">
        <v>8262</v>
      </c>
      <c r="I6283" s="1930" t="s">
        <v>319</v>
      </c>
      <c r="J6283" s="1930" t="s">
        <v>320</v>
      </c>
      <c r="K6283" s="1933">
        <v>51.94</v>
      </c>
      <c r="L6283" s="1930" t="s">
        <v>4276</v>
      </c>
    </row>
    <row r="6284" spans="1:12" ht="13.5" x14ac:dyDescent="0.25">
      <c r="A6284" s="1930" t="s">
        <v>4628</v>
      </c>
      <c r="B6284" s="1930" t="s">
        <v>4809</v>
      </c>
      <c r="C6284" s="1930" t="s">
        <v>4816</v>
      </c>
      <c r="D6284" s="1930" t="s">
        <v>4817</v>
      </c>
      <c r="E6284" s="1931" t="s">
        <v>33</v>
      </c>
      <c r="F6284" s="1930" t="s">
        <v>33</v>
      </c>
      <c r="G6284" s="1932">
        <v>100312</v>
      </c>
      <c r="H6284" s="1930" t="s">
        <v>8263</v>
      </c>
      <c r="I6284" s="1930" t="s">
        <v>319</v>
      </c>
      <c r="J6284" s="1930" t="s">
        <v>320</v>
      </c>
      <c r="K6284" s="1933">
        <v>28.93</v>
      </c>
      <c r="L6284" s="1930" t="s">
        <v>4276</v>
      </c>
    </row>
    <row r="6285" spans="1:12" ht="13.5" x14ac:dyDescent="0.25">
      <c r="A6285" s="1930" t="s">
        <v>4628</v>
      </c>
      <c r="B6285" s="1930" t="s">
        <v>4809</v>
      </c>
      <c r="C6285" s="1930" t="s">
        <v>4816</v>
      </c>
      <c r="D6285" s="1930" t="s">
        <v>4817</v>
      </c>
      <c r="E6285" s="1931" t="s">
        <v>33</v>
      </c>
      <c r="F6285" s="1930" t="s">
        <v>33</v>
      </c>
      <c r="G6285" s="1932">
        <v>100313</v>
      </c>
      <c r="H6285" s="1930" t="s">
        <v>8264</v>
      </c>
      <c r="I6285" s="1930" t="s">
        <v>319</v>
      </c>
      <c r="J6285" s="1930" t="s">
        <v>320</v>
      </c>
      <c r="K6285" s="1933">
        <v>81.23</v>
      </c>
      <c r="L6285" s="1930" t="s">
        <v>4276</v>
      </c>
    </row>
    <row r="6286" spans="1:12" ht="13.5" x14ac:dyDescent="0.25">
      <c r="A6286" s="1930" t="s">
        <v>4628</v>
      </c>
      <c r="B6286" s="1930" t="s">
        <v>4809</v>
      </c>
      <c r="C6286" s="1930" t="s">
        <v>4816</v>
      </c>
      <c r="D6286" s="1930" t="s">
        <v>4817</v>
      </c>
      <c r="E6286" s="1931" t="s">
        <v>33</v>
      </c>
      <c r="F6286" s="1930" t="s">
        <v>33</v>
      </c>
      <c r="G6286" s="1932">
        <v>100314</v>
      </c>
      <c r="H6286" s="1930" t="s">
        <v>8265</v>
      </c>
      <c r="I6286" s="1930" t="s">
        <v>319</v>
      </c>
      <c r="J6286" s="1930" t="s">
        <v>320</v>
      </c>
      <c r="K6286" s="1933">
        <v>91.64</v>
      </c>
      <c r="L6286" s="1930" t="s">
        <v>4276</v>
      </c>
    </row>
    <row r="6287" spans="1:12" ht="13.5" x14ac:dyDescent="0.25">
      <c r="A6287" s="1930" t="s">
        <v>4628</v>
      </c>
      <c r="B6287" s="1930" t="s">
        <v>4809</v>
      </c>
      <c r="C6287" s="1930" t="s">
        <v>4816</v>
      </c>
      <c r="D6287" s="1930" t="s">
        <v>4817</v>
      </c>
      <c r="E6287" s="1931" t="s">
        <v>33</v>
      </c>
      <c r="F6287" s="1930" t="s">
        <v>33</v>
      </c>
      <c r="G6287" s="1932">
        <v>100315</v>
      </c>
      <c r="H6287" s="1930" t="s">
        <v>8266</v>
      </c>
      <c r="I6287" s="1930" t="s">
        <v>319</v>
      </c>
      <c r="J6287" s="1930" t="s">
        <v>320</v>
      </c>
      <c r="K6287" s="1933">
        <v>54.33</v>
      </c>
      <c r="L6287" s="1930" t="s">
        <v>4276</v>
      </c>
    </row>
    <row r="6288" spans="1:12" ht="13.5" x14ac:dyDescent="0.25">
      <c r="A6288" s="1930" t="s">
        <v>4628</v>
      </c>
      <c r="B6288" s="1930" t="s">
        <v>4809</v>
      </c>
      <c r="C6288" s="1930" t="s">
        <v>4816</v>
      </c>
      <c r="D6288" s="1930" t="s">
        <v>4817</v>
      </c>
      <c r="E6288" s="1931" t="s">
        <v>33</v>
      </c>
      <c r="F6288" s="1930" t="s">
        <v>33</v>
      </c>
      <c r="G6288" s="1932">
        <v>100316</v>
      </c>
      <c r="H6288" s="1930" t="s">
        <v>8251</v>
      </c>
      <c r="I6288" s="1930" t="s">
        <v>319</v>
      </c>
      <c r="J6288" s="1930" t="s">
        <v>320</v>
      </c>
      <c r="K6288" s="1933">
        <v>3212.73</v>
      </c>
      <c r="L6288" s="1930" t="s">
        <v>4276</v>
      </c>
    </row>
    <row r="6289" spans="1:12" ht="13.5" x14ac:dyDescent="0.25">
      <c r="A6289" s="1930" t="s">
        <v>4628</v>
      </c>
      <c r="B6289" s="1930" t="s">
        <v>4809</v>
      </c>
      <c r="C6289" s="1930" t="s">
        <v>4816</v>
      </c>
      <c r="D6289" s="1930" t="s">
        <v>4817</v>
      </c>
      <c r="E6289" s="1931" t="s">
        <v>33</v>
      </c>
      <c r="F6289" s="1930" t="s">
        <v>33</v>
      </c>
      <c r="G6289" s="1932">
        <v>100317</v>
      </c>
      <c r="H6289" s="1930" t="s">
        <v>8267</v>
      </c>
      <c r="I6289" s="1930" t="s">
        <v>319</v>
      </c>
      <c r="J6289" s="1930" t="s">
        <v>320</v>
      </c>
      <c r="K6289" s="1933">
        <v>19481.009999999998</v>
      </c>
      <c r="L6289" s="1930" t="s">
        <v>4276</v>
      </c>
    </row>
    <row r="6290" spans="1:12" ht="13.5" x14ac:dyDescent="0.25">
      <c r="A6290" s="1930" t="s">
        <v>4628</v>
      </c>
      <c r="B6290" s="1930" t="s">
        <v>4809</v>
      </c>
      <c r="C6290" s="1930" t="s">
        <v>4816</v>
      </c>
      <c r="D6290" s="1930" t="s">
        <v>4817</v>
      </c>
      <c r="E6290" s="1931" t="s">
        <v>33</v>
      </c>
      <c r="F6290" s="1930" t="s">
        <v>33</v>
      </c>
      <c r="G6290" s="1932">
        <v>100318</v>
      </c>
      <c r="H6290" s="1930" t="s">
        <v>8255</v>
      </c>
      <c r="I6290" s="1930" t="s">
        <v>319</v>
      </c>
      <c r="J6290" s="1930" t="s">
        <v>320</v>
      </c>
      <c r="K6290" s="1933">
        <v>10936.03</v>
      </c>
      <c r="L6290" s="1930" t="s">
        <v>4276</v>
      </c>
    </row>
    <row r="6291" spans="1:12" ht="13.5" x14ac:dyDescent="0.25">
      <c r="A6291" s="1930" t="s">
        <v>4628</v>
      </c>
      <c r="B6291" s="1930" t="s">
        <v>4809</v>
      </c>
      <c r="C6291" s="1930" t="s">
        <v>4816</v>
      </c>
      <c r="D6291" s="1930" t="s">
        <v>4817</v>
      </c>
      <c r="E6291" s="1931" t="s">
        <v>33</v>
      </c>
      <c r="F6291" s="1930" t="s">
        <v>33</v>
      </c>
      <c r="G6291" s="1932">
        <v>100319</v>
      </c>
      <c r="H6291" s="1930" t="s">
        <v>8256</v>
      </c>
      <c r="I6291" s="1930" t="s">
        <v>319</v>
      </c>
      <c r="J6291" s="1930" t="s">
        <v>320</v>
      </c>
      <c r="K6291" s="1933">
        <v>13586.61</v>
      </c>
      <c r="L6291" s="1930" t="s">
        <v>4276</v>
      </c>
    </row>
    <row r="6292" spans="1:12" ht="13.5" x14ac:dyDescent="0.25">
      <c r="A6292" s="1930" t="s">
        <v>4628</v>
      </c>
      <c r="B6292" s="1930" t="s">
        <v>4809</v>
      </c>
      <c r="C6292" s="1930" t="s">
        <v>4816</v>
      </c>
      <c r="D6292" s="1930" t="s">
        <v>4817</v>
      </c>
      <c r="E6292" s="1931" t="s">
        <v>33</v>
      </c>
      <c r="F6292" s="1930" t="s">
        <v>33</v>
      </c>
      <c r="G6292" s="1932">
        <v>100320</v>
      </c>
      <c r="H6292" s="1930" t="s">
        <v>8257</v>
      </c>
      <c r="I6292" s="1930" t="s">
        <v>319</v>
      </c>
      <c r="J6292" s="1930" t="s">
        <v>320</v>
      </c>
      <c r="K6292" s="1933">
        <v>15304.18</v>
      </c>
      <c r="L6292" s="1930" t="s">
        <v>4276</v>
      </c>
    </row>
    <row r="6293" spans="1:12" ht="13.5" x14ac:dyDescent="0.25">
      <c r="A6293" s="1930" t="s">
        <v>4628</v>
      </c>
      <c r="B6293" s="1930" t="s">
        <v>4809</v>
      </c>
      <c r="C6293" s="1930" t="s">
        <v>4816</v>
      </c>
      <c r="D6293" s="1930" t="s">
        <v>4817</v>
      </c>
      <c r="E6293" s="1931" t="s">
        <v>33</v>
      </c>
      <c r="F6293" s="1930" t="s">
        <v>33</v>
      </c>
      <c r="G6293" s="1932">
        <v>100321</v>
      </c>
      <c r="H6293" s="1930" t="s">
        <v>8268</v>
      </c>
      <c r="I6293" s="1930" t="s">
        <v>319</v>
      </c>
      <c r="J6293" s="1930" t="s">
        <v>320</v>
      </c>
      <c r="K6293" s="1933">
        <v>5973.78</v>
      </c>
      <c r="L6293" s="1930" t="s">
        <v>4276</v>
      </c>
    </row>
    <row r="6294" spans="1:12" ht="13.5" x14ac:dyDescent="0.25">
      <c r="A6294" s="1930" t="s">
        <v>4628</v>
      </c>
      <c r="B6294" s="1930" t="s">
        <v>4809</v>
      </c>
      <c r="C6294" s="1930" t="s">
        <v>4816</v>
      </c>
      <c r="D6294" s="1930" t="s">
        <v>4817</v>
      </c>
      <c r="E6294" s="1931" t="s">
        <v>33</v>
      </c>
      <c r="F6294" s="1930" t="s">
        <v>33</v>
      </c>
      <c r="G6294" s="1932">
        <v>100533</v>
      </c>
      <c r="H6294" s="1930" t="s">
        <v>8528</v>
      </c>
      <c r="I6294" s="1930" t="s">
        <v>65</v>
      </c>
      <c r="J6294" s="1930" t="s">
        <v>320</v>
      </c>
      <c r="K6294" s="1933">
        <v>14.64</v>
      </c>
      <c r="L6294" s="1930" t="s">
        <v>4276</v>
      </c>
    </row>
    <row r="6295" spans="1:12" ht="13.5" x14ac:dyDescent="0.25">
      <c r="A6295" s="1930" t="s">
        <v>4628</v>
      </c>
      <c r="B6295" s="1930" t="s">
        <v>4809</v>
      </c>
      <c r="C6295" s="1930" t="s">
        <v>4816</v>
      </c>
      <c r="D6295" s="1930" t="s">
        <v>4817</v>
      </c>
      <c r="E6295" s="1931" t="s">
        <v>33</v>
      </c>
      <c r="F6295" s="1930" t="s">
        <v>33</v>
      </c>
      <c r="G6295" s="1932">
        <v>100534</v>
      </c>
      <c r="H6295" s="1930" t="s">
        <v>8528</v>
      </c>
      <c r="I6295" s="1930" t="s">
        <v>319</v>
      </c>
      <c r="J6295" s="1930" t="s">
        <v>320</v>
      </c>
      <c r="K6295" s="1933">
        <v>2628.2</v>
      </c>
      <c r="L6295" s="1930" t="s">
        <v>4276</v>
      </c>
    </row>
    <row r="6296" spans="1:12" ht="13.5" x14ac:dyDescent="0.25">
      <c r="A6296" s="1930" t="s">
        <v>4628</v>
      </c>
      <c r="B6296" s="1930" t="s">
        <v>4809</v>
      </c>
      <c r="C6296" s="1930" t="s">
        <v>4816</v>
      </c>
      <c r="D6296" s="1930" t="s">
        <v>4817</v>
      </c>
      <c r="E6296" s="1931" t="s">
        <v>33</v>
      </c>
      <c r="F6296" s="1930" t="s">
        <v>33</v>
      </c>
      <c r="G6296" s="1932">
        <v>100535</v>
      </c>
      <c r="H6296" s="1930" t="s">
        <v>8529</v>
      </c>
      <c r="I6296" s="1930" t="s">
        <v>65</v>
      </c>
      <c r="J6296" s="1930" t="s">
        <v>320</v>
      </c>
      <c r="K6296" s="1933">
        <v>0.16</v>
      </c>
      <c r="L6296" s="1930" t="s">
        <v>4276</v>
      </c>
    </row>
    <row r="6297" spans="1:12" ht="13.5" x14ac:dyDescent="0.25">
      <c r="A6297" s="1930" t="s">
        <v>4628</v>
      </c>
      <c r="B6297" s="1930" t="s">
        <v>4809</v>
      </c>
      <c r="C6297" s="1930" t="s">
        <v>4816</v>
      </c>
      <c r="D6297" s="1930" t="s">
        <v>4817</v>
      </c>
      <c r="E6297" s="1931" t="s">
        <v>33</v>
      </c>
      <c r="F6297" s="1930" t="s">
        <v>33</v>
      </c>
      <c r="G6297" s="1932">
        <v>100536</v>
      </c>
      <c r="H6297" s="1930" t="s">
        <v>8530</v>
      </c>
      <c r="I6297" s="1930" t="s">
        <v>319</v>
      </c>
      <c r="J6297" s="1930" t="s">
        <v>320</v>
      </c>
      <c r="K6297" s="1933">
        <v>22.84</v>
      </c>
      <c r="L6297" s="1930" t="s">
        <v>4276</v>
      </c>
    </row>
    <row r="6298" spans="1:12" x14ac:dyDescent="0.2">
      <c r="G6298" s="1926"/>
      <c r="K6298" s="1926"/>
    </row>
    <row r="6299" spans="1:12" ht="13.5" x14ac:dyDescent="0.25">
      <c r="A6299" s="1869"/>
      <c r="B6299" s="1869"/>
      <c r="C6299" s="1869"/>
      <c r="D6299" s="1869"/>
      <c r="E6299" s="1870"/>
      <c r="F6299" s="1869"/>
      <c r="G6299" s="1663"/>
      <c r="H6299" s="1869"/>
      <c r="I6299" s="1869"/>
      <c r="J6299" s="1869"/>
      <c r="K6299" s="1664"/>
      <c r="L6299" s="1869"/>
    </row>
    <row r="6300" spans="1:12" ht="13.5" x14ac:dyDescent="0.25">
      <c r="A6300" s="1869"/>
      <c r="B6300" s="1869"/>
      <c r="C6300" s="1869"/>
      <c r="D6300" s="1869"/>
      <c r="E6300" s="1870"/>
      <c r="F6300" s="1869"/>
      <c r="G6300" s="1663"/>
      <c r="H6300" s="1869"/>
      <c r="I6300" s="1869"/>
      <c r="J6300" s="1869"/>
      <c r="K6300" s="1664"/>
      <c r="L6300" s="1869"/>
    </row>
    <row r="6301" spans="1:12" ht="13.5" x14ac:dyDescent="0.25">
      <c r="A6301" s="1869"/>
      <c r="B6301" s="1869"/>
      <c r="C6301" s="1869"/>
      <c r="D6301" s="1869"/>
      <c r="E6301" s="1870"/>
      <c r="F6301" s="1869"/>
      <c r="G6301" s="1663"/>
      <c r="H6301" s="1869"/>
      <c r="I6301" s="1869"/>
      <c r="J6301" s="1869"/>
      <c r="K6301" s="1664"/>
      <c r="L6301" s="1869"/>
    </row>
    <row r="6302" spans="1:12" ht="13.5" x14ac:dyDescent="0.25">
      <c r="A6302" s="1869"/>
      <c r="B6302" s="1869"/>
      <c r="C6302" s="1869"/>
      <c r="D6302" s="1869"/>
      <c r="E6302" s="1870"/>
      <c r="F6302" s="1869"/>
      <c r="G6302" s="1663"/>
      <c r="H6302" s="1869"/>
      <c r="I6302" s="1869"/>
      <c r="J6302" s="1869"/>
      <c r="K6302" s="1664"/>
      <c r="L6302" s="1869"/>
    </row>
    <row r="6303" spans="1:12" ht="13.5" x14ac:dyDescent="0.25">
      <c r="A6303" s="1869"/>
      <c r="B6303" s="1869"/>
      <c r="C6303" s="1869"/>
      <c r="D6303" s="1869"/>
      <c r="E6303" s="1870"/>
      <c r="F6303" s="1869"/>
      <c r="G6303" s="1663"/>
      <c r="H6303" s="1869"/>
      <c r="I6303" s="1869"/>
      <c r="J6303" s="1869"/>
      <c r="K6303" s="1664"/>
      <c r="L6303" s="1869"/>
    </row>
    <row r="6304" spans="1:12" ht="13.5" x14ac:dyDescent="0.25">
      <c r="A6304" s="1869"/>
      <c r="B6304" s="1869"/>
      <c r="C6304" s="1869"/>
      <c r="D6304" s="1869"/>
      <c r="E6304" s="1870"/>
      <c r="F6304" s="1869"/>
      <c r="G6304" s="1663"/>
      <c r="H6304" s="1869"/>
      <c r="I6304" s="1869"/>
      <c r="J6304" s="1869"/>
      <c r="K6304" s="1664"/>
      <c r="L6304" s="1869"/>
    </row>
    <row r="6305" spans="1:12" ht="13.5" x14ac:dyDescent="0.25">
      <c r="A6305" s="1869"/>
      <c r="B6305" s="1869"/>
      <c r="C6305" s="1869"/>
      <c r="D6305" s="1869"/>
      <c r="E6305" s="1870"/>
      <c r="F6305" s="1869"/>
      <c r="G6305" s="1663"/>
      <c r="H6305" s="1869"/>
      <c r="I6305" s="1869"/>
      <c r="J6305" s="1869"/>
      <c r="K6305" s="1664"/>
      <c r="L6305" s="1869"/>
    </row>
    <row r="6306" spans="1:12" ht="13.5" x14ac:dyDescent="0.25">
      <c r="A6306" s="1869"/>
      <c r="B6306" s="1869"/>
      <c r="C6306" s="1869"/>
      <c r="D6306" s="1869"/>
      <c r="E6306" s="1870"/>
      <c r="F6306" s="1869"/>
      <c r="G6306" s="1663"/>
      <c r="H6306" s="1869"/>
      <c r="I6306" s="1869"/>
      <c r="J6306" s="1869"/>
      <c r="K6306" s="1664"/>
      <c r="L6306" s="1869"/>
    </row>
    <row r="6307" spans="1:12" ht="13.5" x14ac:dyDescent="0.25">
      <c r="A6307" s="1869"/>
      <c r="B6307" s="1869"/>
      <c r="C6307" s="1869"/>
      <c r="D6307" s="1869"/>
      <c r="E6307" s="1870"/>
      <c r="F6307" s="1869"/>
      <c r="G6307" s="1663"/>
      <c r="H6307" s="1869"/>
      <c r="I6307" s="1869"/>
      <c r="J6307" s="1869"/>
      <c r="K6307" s="1664"/>
      <c r="L6307" s="1869"/>
    </row>
    <row r="6308" spans="1:12" ht="13.5" x14ac:dyDescent="0.25">
      <c r="A6308" s="1869"/>
      <c r="B6308" s="1869"/>
      <c r="C6308" s="1869"/>
      <c r="D6308" s="1869"/>
      <c r="E6308" s="1870"/>
      <c r="F6308" s="1869"/>
      <c r="G6308" s="1663"/>
      <c r="H6308" s="1869"/>
      <c r="I6308" s="1869"/>
      <c r="J6308" s="1869"/>
      <c r="K6308" s="1664"/>
      <c r="L6308" s="1869"/>
    </row>
    <row r="6309" spans="1:12" ht="13.5" x14ac:dyDescent="0.25">
      <c r="A6309" s="1869"/>
      <c r="B6309" s="1869"/>
      <c r="C6309" s="1869"/>
      <c r="D6309" s="1869"/>
      <c r="E6309" s="1870"/>
      <c r="F6309" s="1869"/>
      <c r="G6309" s="1663"/>
      <c r="H6309" s="1869"/>
      <c r="I6309" s="1869"/>
      <c r="J6309" s="1869"/>
      <c r="K6309" s="1664"/>
      <c r="L6309" s="1869"/>
    </row>
    <row r="6310" spans="1:12" ht="13.5" x14ac:dyDescent="0.25">
      <c r="A6310" s="1869"/>
      <c r="B6310" s="1869"/>
      <c r="C6310" s="1869"/>
      <c r="D6310" s="1869"/>
      <c r="E6310" s="1870"/>
      <c r="F6310" s="1869"/>
      <c r="G6310" s="1663"/>
      <c r="H6310" s="1869"/>
      <c r="I6310" s="1869"/>
      <c r="J6310" s="1869"/>
      <c r="K6310" s="1664"/>
      <c r="L6310" s="1869"/>
    </row>
    <row r="6311" spans="1:12" ht="13.5" x14ac:dyDescent="0.25">
      <c r="A6311" s="1869"/>
      <c r="B6311" s="1869"/>
      <c r="C6311" s="1869"/>
      <c r="D6311" s="1869"/>
      <c r="E6311" s="1870"/>
      <c r="F6311" s="1869"/>
      <c r="G6311" s="1663"/>
      <c r="H6311" s="1869"/>
      <c r="I6311" s="1869"/>
      <c r="J6311" s="1869"/>
      <c r="K6311" s="1664"/>
      <c r="L6311" s="1869"/>
    </row>
    <row r="6312" spans="1:12" ht="13.5" x14ac:dyDescent="0.25">
      <c r="A6312" s="1869"/>
      <c r="B6312" s="1869"/>
      <c r="C6312" s="1869"/>
      <c r="D6312" s="1869"/>
      <c r="E6312" s="1870"/>
      <c r="F6312" s="1869"/>
      <c r="G6312" s="1663"/>
      <c r="H6312" s="1869"/>
      <c r="I6312" s="1869"/>
      <c r="J6312" s="1869"/>
      <c r="K6312" s="1664"/>
      <c r="L6312" s="1869"/>
    </row>
    <row r="6313" spans="1:12" ht="13.5" x14ac:dyDescent="0.25">
      <c r="A6313" s="1869"/>
      <c r="B6313" s="1869"/>
      <c r="C6313" s="1869"/>
      <c r="D6313" s="1869"/>
      <c r="E6313" s="1870"/>
      <c r="F6313" s="1869"/>
      <c r="G6313" s="1663"/>
      <c r="H6313" s="1869"/>
      <c r="I6313" s="1869"/>
      <c r="J6313" s="1869"/>
      <c r="K6313" s="1664"/>
      <c r="L6313" s="1869"/>
    </row>
    <row r="6314" spans="1:12" ht="13.5" x14ac:dyDescent="0.25">
      <c r="A6314" s="1869"/>
      <c r="B6314" s="1869"/>
      <c r="C6314" s="1869"/>
      <c r="D6314" s="1869"/>
      <c r="E6314" s="1870"/>
      <c r="F6314" s="1869"/>
      <c r="G6314" s="1663"/>
      <c r="H6314" s="1869"/>
      <c r="I6314" s="1869"/>
      <c r="J6314" s="1869"/>
      <c r="K6314" s="1664"/>
      <c r="L6314" s="1869"/>
    </row>
    <row r="6315" spans="1:12" ht="13.5" x14ac:dyDescent="0.25">
      <c r="A6315" s="1869"/>
      <c r="B6315" s="1869"/>
      <c r="C6315" s="1869"/>
      <c r="D6315" s="1869"/>
      <c r="E6315" s="1870"/>
      <c r="F6315" s="1869"/>
      <c r="G6315" s="1663"/>
      <c r="H6315" s="1869"/>
      <c r="I6315" s="1869"/>
      <c r="J6315" s="1869"/>
      <c r="K6315" s="1664"/>
      <c r="L6315" s="1869"/>
    </row>
    <row r="6316" spans="1:12" ht="13.5" x14ac:dyDescent="0.25">
      <c r="A6316" s="1869"/>
      <c r="B6316" s="1869"/>
      <c r="C6316" s="1869"/>
      <c r="D6316" s="1869"/>
      <c r="E6316" s="1870"/>
      <c r="F6316" s="1869"/>
      <c r="G6316" s="1663"/>
      <c r="H6316" s="1869"/>
      <c r="I6316" s="1869"/>
      <c r="J6316" s="1869"/>
      <c r="K6316" s="1664"/>
      <c r="L6316" s="1869"/>
    </row>
    <row r="6317" spans="1:12" ht="13.5" x14ac:dyDescent="0.25">
      <c r="A6317" s="1869"/>
      <c r="B6317" s="1869"/>
      <c r="C6317" s="1869"/>
      <c r="D6317" s="1869"/>
      <c r="E6317" s="1870"/>
      <c r="F6317" s="1869"/>
      <c r="G6317" s="1663"/>
      <c r="H6317" s="1869"/>
      <c r="I6317" s="1869"/>
      <c r="J6317" s="1869"/>
      <c r="K6317" s="1664"/>
      <c r="L6317" s="1869"/>
    </row>
    <row r="6318" spans="1:12" ht="13.5" x14ac:dyDescent="0.25">
      <c r="A6318" s="1869"/>
      <c r="B6318" s="1869"/>
      <c r="C6318" s="1869"/>
      <c r="D6318" s="1869"/>
      <c r="E6318" s="1870"/>
      <c r="F6318" s="1869"/>
      <c r="G6318" s="1663"/>
      <c r="H6318" s="1869"/>
      <c r="I6318" s="1869"/>
      <c r="J6318" s="1869"/>
      <c r="K6318" s="1664"/>
      <c r="L6318" s="1869"/>
    </row>
    <row r="6319" spans="1:12" ht="13.5" x14ac:dyDescent="0.25">
      <c r="A6319" s="1869"/>
      <c r="B6319" s="1869"/>
      <c r="C6319" s="1869"/>
      <c r="D6319" s="1869"/>
      <c r="E6319" s="1870"/>
      <c r="F6319" s="1869"/>
      <c r="G6319" s="1663"/>
      <c r="H6319" s="1869"/>
      <c r="I6319" s="1869"/>
      <c r="J6319" s="1869"/>
      <c r="K6319" s="1664"/>
      <c r="L6319" s="1869"/>
    </row>
    <row r="6320" spans="1:12" ht="13.5" x14ac:dyDescent="0.25">
      <c r="A6320" s="1869"/>
      <c r="B6320" s="1869"/>
      <c r="C6320" s="1869"/>
      <c r="D6320" s="1869"/>
      <c r="E6320" s="1870"/>
      <c r="F6320" s="1869"/>
      <c r="G6320" s="1663"/>
      <c r="H6320" s="1869"/>
      <c r="I6320" s="1869"/>
      <c r="J6320" s="1869"/>
      <c r="K6320" s="1664"/>
      <c r="L6320" s="1869"/>
    </row>
    <row r="6321" spans="1:12" ht="13.5" x14ac:dyDescent="0.25">
      <c r="A6321" s="1869"/>
      <c r="B6321" s="1869"/>
      <c r="C6321" s="1869"/>
      <c r="D6321" s="1869"/>
      <c r="E6321" s="1870"/>
      <c r="F6321" s="1869"/>
      <c r="G6321" s="1663"/>
      <c r="H6321" s="1869"/>
      <c r="I6321" s="1869"/>
      <c r="J6321" s="1869"/>
      <c r="K6321" s="1664"/>
      <c r="L6321" s="1869"/>
    </row>
    <row r="6322" spans="1:12" ht="13.5" x14ac:dyDescent="0.25">
      <c r="A6322" s="1869"/>
      <c r="B6322" s="1869"/>
      <c r="C6322" s="1869"/>
      <c r="D6322" s="1869"/>
      <c r="E6322" s="1870"/>
      <c r="F6322" s="1869"/>
      <c r="G6322" s="1663"/>
      <c r="H6322" s="1869"/>
      <c r="I6322" s="1869"/>
      <c r="J6322" s="1869"/>
      <c r="K6322" s="1664"/>
      <c r="L6322" s="1869"/>
    </row>
    <row r="6323" spans="1:12" ht="13.5" x14ac:dyDescent="0.25">
      <c r="A6323" s="1869"/>
      <c r="B6323" s="1869"/>
      <c r="C6323" s="1869"/>
      <c r="D6323" s="1869"/>
      <c r="E6323" s="1870"/>
      <c r="F6323" s="1869"/>
      <c r="G6323" s="1663"/>
      <c r="H6323" s="1869"/>
      <c r="I6323" s="1869"/>
      <c r="J6323" s="1869"/>
      <c r="K6323" s="1664"/>
      <c r="L6323" s="1869"/>
    </row>
    <row r="6324" spans="1:12" ht="13.5" x14ac:dyDescent="0.25">
      <c r="A6324" s="1869"/>
      <c r="B6324" s="1869"/>
      <c r="C6324" s="1869"/>
      <c r="D6324" s="1869"/>
      <c r="E6324" s="1870"/>
      <c r="F6324" s="1869"/>
      <c r="G6324" s="1663"/>
      <c r="H6324" s="1869"/>
      <c r="I6324" s="1869"/>
      <c r="J6324" s="1869"/>
      <c r="K6324" s="1664"/>
      <c r="L6324" s="1869"/>
    </row>
    <row r="6325" spans="1:12" ht="13.5" x14ac:dyDescent="0.25">
      <c r="A6325" s="1869"/>
      <c r="B6325" s="1869"/>
      <c r="C6325" s="1869"/>
      <c r="D6325" s="1869"/>
      <c r="E6325" s="1870"/>
      <c r="F6325" s="1869"/>
      <c r="G6325" s="1663"/>
      <c r="H6325" s="1869"/>
      <c r="I6325" s="1869"/>
      <c r="J6325" s="1869"/>
      <c r="K6325" s="1664"/>
      <c r="L6325" s="1869"/>
    </row>
    <row r="6326" spans="1:12" ht="13.5" x14ac:dyDescent="0.25">
      <c r="A6326" s="1869"/>
      <c r="B6326" s="1869"/>
      <c r="C6326" s="1869"/>
      <c r="D6326" s="1869"/>
      <c r="E6326" s="1870"/>
      <c r="F6326" s="1869"/>
      <c r="G6326" s="1663"/>
      <c r="H6326" s="1869"/>
      <c r="I6326" s="1869"/>
      <c r="J6326" s="1869"/>
      <c r="K6326" s="1664"/>
      <c r="L6326" s="1869"/>
    </row>
    <row r="6327" spans="1:12" ht="13.5" x14ac:dyDescent="0.25">
      <c r="A6327" s="1869"/>
      <c r="B6327" s="1869"/>
      <c r="C6327" s="1869"/>
      <c r="D6327" s="1869"/>
      <c r="E6327" s="1870"/>
      <c r="F6327" s="1869"/>
      <c r="G6327" s="1663"/>
      <c r="H6327" s="1869"/>
      <c r="I6327" s="1869"/>
      <c r="J6327" s="1869"/>
      <c r="K6327" s="1664"/>
      <c r="L6327" s="1869"/>
    </row>
    <row r="6328" spans="1:12" ht="13.5" x14ac:dyDescent="0.25">
      <c r="A6328" s="1869"/>
      <c r="B6328" s="1869"/>
      <c r="C6328" s="1869"/>
      <c r="D6328" s="1869"/>
      <c r="E6328" s="1870"/>
      <c r="F6328" s="1869"/>
      <c r="G6328" s="1663"/>
      <c r="H6328" s="1869"/>
      <c r="I6328" s="1869"/>
      <c r="J6328" s="1869"/>
      <c r="K6328" s="1664"/>
      <c r="L6328" s="1869"/>
    </row>
    <row r="6329" spans="1:12" ht="13.5" x14ac:dyDescent="0.25">
      <c r="A6329" s="1869"/>
      <c r="B6329" s="1869"/>
      <c r="C6329" s="1869"/>
      <c r="D6329" s="1869"/>
      <c r="E6329" s="1870"/>
      <c r="F6329" s="1869"/>
      <c r="G6329" s="1663"/>
      <c r="H6329" s="1869"/>
      <c r="I6329" s="1869"/>
      <c r="J6329" s="1869"/>
      <c r="K6329" s="1664"/>
      <c r="L6329" s="1869"/>
    </row>
    <row r="6330" spans="1:12" ht="13.5" x14ac:dyDescent="0.25">
      <c r="A6330" s="1869"/>
      <c r="B6330" s="1869"/>
      <c r="C6330" s="1869"/>
      <c r="D6330" s="1869"/>
      <c r="E6330" s="1870"/>
      <c r="F6330" s="1869"/>
      <c r="G6330" s="1663"/>
      <c r="H6330" s="1869"/>
      <c r="I6330" s="1869"/>
      <c r="J6330" s="1869"/>
      <c r="K6330" s="1664"/>
      <c r="L6330" s="1869"/>
    </row>
    <row r="6331" spans="1:12" ht="13.5" x14ac:dyDescent="0.25">
      <c r="A6331" s="1869"/>
      <c r="B6331" s="1869"/>
      <c r="C6331" s="1869"/>
      <c r="D6331" s="1869"/>
      <c r="E6331" s="1870"/>
      <c r="F6331" s="1869"/>
      <c r="G6331" s="1663"/>
      <c r="H6331" s="1869"/>
      <c r="I6331" s="1869"/>
      <c r="J6331" s="1869"/>
      <c r="K6331" s="1664"/>
      <c r="L6331" s="1869"/>
    </row>
    <row r="6332" spans="1:12" ht="13.5" x14ac:dyDescent="0.25">
      <c r="A6332" s="1869"/>
      <c r="B6332" s="1869"/>
      <c r="C6332" s="1869"/>
      <c r="D6332" s="1869"/>
      <c r="E6332" s="1870"/>
      <c r="F6332" s="1869"/>
      <c r="G6332" s="1663"/>
      <c r="H6332" s="1869"/>
      <c r="I6332" s="1869"/>
      <c r="J6332" s="1869"/>
      <c r="K6332" s="1664"/>
      <c r="L6332" s="1869"/>
    </row>
    <row r="6333" spans="1:12" ht="13.5" x14ac:dyDescent="0.25">
      <c r="A6333" s="1869"/>
      <c r="B6333" s="1869"/>
      <c r="C6333" s="1869"/>
      <c r="D6333" s="1869"/>
      <c r="E6333" s="1870"/>
      <c r="F6333" s="1869"/>
      <c r="G6333" s="1663"/>
      <c r="H6333" s="1869"/>
      <c r="I6333" s="1869"/>
      <c r="J6333" s="1869"/>
      <c r="K6333" s="1664"/>
      <c r="L6333" s="1869"/>
    </row>
    <row r="6334" spans="1:12" ht="13.5" x14ac:dyDescent="0.25">
      <c r="A6334" s="1869"/>
      <c r="B6334" s="1869"/>
      <c r="C6334" s="1869"/>
      <c r="D6334" s="1869"/>
      <c r="E6334" s="1870"/>
      <c r="F6334" s="1869"/>
      <c r="G6334" s="1663"/>
      <c r="H6334" s="1869"/>
      <c r="I6334" s="1869"/>
      <c r="J6334" s="1869"/>
      <c r="K6334" s="1664"/>
      <c r="L6334" s="1869"/>
    </row>
    <row r="6335" spans="1:12" ht="13.5" x14ac:dyDescent="0.25">
      <c r="A6335" s="1869"/>
      <c r="B6335" s="1869"/>
      <c r="C6335" s="1869"/>
      <c r="D6335" s="1869"/>
      <c r="E6335" s="1870"/>
      <c r="F6335" s="1869"/>
      <c r="G6335" s="1663"/>
      <c r="H6335" s="1869"/>
      <c r="I6335" s="1869"/>
      <c r="J6335" s="1869"/>
      <c r="K6335" s="1664"/>
      <c r="L6335" s="1869"/>
    </row>
    <row r="6336" spans="1:12" ht="13.5" x14ac:dyDescent="0.25">
      <c r="A6336" s="1869"/>
      <c r="B6336" s="1869"/>
      <c r="C6336" s="1869"/>
      <c r="D6336" s="1869"/>
      <c r="E6336" s="1870"/>
      <c r="F6336" s="1869"/>
      <c r="G6336" s="1663"/>
      <c r="H6336" s="1869"/>
      <c r="I6336" s="1869"/>
      <c r="J6336" s="1869"/>
      <c r="K6336" s="1664"/>
      <c r="L6336" s="1869"/>
    </row>
    <row r="6337" spans="1:12" ht="13.5" x14ac:dyDescent="0.25">
      <c r="A6337" s="1869"/>
      <c r="B6337" s="1869"/>
      <c r="C6337" s="1869"/>
      <c r="D6337" s="1869"/>
      <c r="E6337" s="1870"/>
      <c r="F6337" s="1869"/>
      <c r="G6337" s="1663"/>
      <c r="H6337" s="1869"/>
      <c r="I6337" s="1869"/>
      <c r="J6337" s="1869"/>
      <c r="K6337" s="1664"/>
      <c r="L6337" s="1869"/>
    </row>
    <row r="6338" spans="1:12" ht="13.5" x14ac:dyDescent="0.25">
      <c r="A6338" s="1869"/>
      <c r="B6338" s="1869"/>
      <c r="C6338" s="1869"/>
      <c r="D6338" s="1869"/>
      <c r="E6338" s="1870"/>
      <c r="F6338" s="1869"/>
      <c r="G6338" s="1663"/>
      <c r="H6338" s="1869"/>
      <c r="I6338" s="1869"/>
      <c r="J6338" s="1869"/>
      <c r="K6338" s="1664"/>
      <c r="L6338" s="1869"/>
    </row>
    <row r="6339" spans="1:12" ht="13.5" x14ac:dyDescent="0.25">
      <c r="A6339" s="1869"/>
      <c r="B6339" s="1869"/>
      <c r="C6339" s="1869"/>
      <c r="D6339" s="1869"/>
      <c r="E6339" s="1870"/>
      <c r="F6339" s="1869"/>
      <c r="G6339" s="1663"/>
      <c r="H6339" s="1869"/>
      <c r="I6339" s="1869"/>
      <c r="J6339" s="1869"/>
      <c r="K6339" s="1664"/>
      <c r="L6339" s="1869"/>
    </row>
    <row r="6340" spans="1:12" ht="13.5" x14ac:dyDescent="0.25">
      <c r="A6340" s="1869"/>
      <c r="B6340" s="1869"/>
      <c r="C6340" s="1869"/>
      <c r="D6340" s="1869"/>
      <c r="E6340" s="1870"/>
      <c r="F6340" s="1869"/>
      <c r="G6340" s="1663"/>
      <c r="H6340" s="1869"/>
      <c r="I6340" s="1869"/>
      <c r="J6340" s="1869"/>
      <c r="K6340" s="1664"/>
      <c r="L6340" s="1869"/>
    </row>
    <row r="6341" spans="1:12" ht="13.5" x14ac:dyDescent="0.25">
      <c r="A6341" s="1869"/>
      <c r="B6341" s="1869"/>
      <c r="C6341" s="1869"/>
      <c r="D6341" s="1869"/>
      <c r="E6341" s="1870"/>
      <c r="F6341" s="1869"/>
      <c r="G6341" s="1663"/>
      <c r="H6341" s="1869"/>
      <c r="I6341" s="1869"/>
      <c r="J6341" s="1869"/>
      <c r="K6341" s="1664"/>
      <c r="L6341" s="1869"/>
    </row>
    <row r="6342" spans="1:12" ht="13.5" x14ac:dyDescent="0.25">
      <c r="A6342" s="1869"/>
      <c r="B6342" s="1869"/>
      <c r="C6342" s="1869"/>
      <c r="D6342" s="1869"/>
      <c r="E6342" s="1870"/>
      <c r="F6342" s="1869"/>
      <c r="G6342" s="1663"/>
      <c r="H6342" s="1869"/>
      <c r="I6342" s="1869"/>
      <c r="J6342" s="1869"/>
      <c r="K6342" s="1664"/>
      <c r="L6342" s="1869"/>
    </row>
    <row r="6343" spans="1:12" ht="13.5" x14ac:dyDescent="0.25">
      <c r="A6343" s="1869"/>
      <c r="B6343" s="1869"/>
      <c r="C6343" s="1869"/>
      <c r="D6343" s="1869"/>
      <c r="E6343" s="1870"/>
      <c r="F6343" s="1869"/>
      <c r="G6343" s="1663"/>
      <c r="H6343" s="1869"/>
      <c r="I6343" s="1869"/>
      <c r="J6343" s="1869"/>
      <c r="K6343" s="1664"/>
      <c r="L6343" s="1869"/>
    </row>
    <row r="6344" spans="1:12" ht="13.5" x14ac:dyDescent="0.25">
      <c r="A6344" s="1869"/>
      <c r="B6344" s="1869"/>
      <c r="C6344" s="1869"/>
      <c r="D6344" s="1869"/>
      <c r="E6344" s="1870"/>
      <c r="F6344" s="1869"/>
      <c r="G6344" s="1663"/>
      <c r="H6344" s="1869"/>
      <c r="I6344" s="1869"/>
      <c r="J6344" s="1869"/>
      <c r="K6344" s="1664"/>
      <c r="L6344" s="1869"/>
    </row>
    <row r="6345" spans="1:12" ht="13.5" x14ac:dyDescent="0.25">
      <c r="A6345" s="1869"/>
      <c r="B6345" s="1869"/>
      <c r="C6345" s="1869"/>
      <c r="D6345" s="1869"/>
      <c r="E6345" s="1870"/>
      <c r="F6345" s="1869"/>
      <c r="G6345" s="1663"/>
      <c r="H6345" s="1869"/>
      <c r="I6345" s="1869"/>
      <c r="J6345" s="1869"/>
      <c r="K6345" s="1664"/>
      <c r="L6345" s="1869"/>
    </row>
    <row r="6346" spans="1:12" ht="13.5" x14ac:dyDescent="0.25">
      <c r="A6346" s="1869"/>
      <c r="B6346" s="1869"/>
      <c r="C6346" s="1869"/>
      <c r="D6346" s="1869"/>
      <c r="E6346" s="1870"/>
      <c r="F6346" s="1869"/>
      <c r="G6346" s="1663"/>
      <c r="H6346" s="1869"/>
      <c r="I6346" s="1869"/>
      <c r="J6346" s="1869"/>
      <c r="K6346" s="1664"/>
      <c r="L6346" s="1869"/>
    </row>
    <row r="6347" spans="1:12" ht="13.5" x14ac:dyDescent="0.25">
      <c r="A6347" s="1869"/>
      <c r="B6347" s="1869"/>
      <c r="C6347" s="1869"/>
      <c r="D6347" s="1869"/>
      <c r="E6347" s="1870"/>
      <c r="F6347" s="1869"/>
      <c r="G6347" s="1663"/>
      <c r="H6347" s="1869"/>
      <c r="I6347" s="1869"/>
      <c r="J6347" s="1869"/>
      <c r="K6347" s="1664"/>
      <c r="L6347" s="1869"/>
    </row>
    <row r="6348" spans="1:12" ht="13.5" x14ac:dyDescent="0.25">
      <c r="A6348" s="1869"/>
      <c r="B6348" s="1869"/>
      <c r="C6348" s="1869"/>
      <c r="D6348" s="1869"/>
      <c r="E6348" s="1870"/>
      <c r="F6348" s="1869"/>
      <c r="G6348" s="1663"/>
      <c r="H6348" s="1869"/>
      <c r="I6348" s="1869"/>
      <c r="J6348" s="1869"/>
      <c r="K6348" s="1664"/>
      <c r="L6348" s="1869"/>
    </row>
    <row r="6349" spans="1:12" ht="13.5" x14ac:dyDescent="0.25">
      <c r="A6349" s="1869"/>
      <c r="B6349" s="1869"/>
      <c r="C6349" s="1869"/>
      <c r="D6349" s="1869"/>
      <c r="E6349" s="1870"/>
      <c r="F6349" s="1869"/>
      <c r="G6349" s="1663"/>
      <c r="H6349" s="1869"/>
      <c r="I6349" s="1869"/>
      <c r="J6349" s="1869"/>
      <c r="K6349" s="1664"/>
      <c r="L6349" s="1869"/>
    </row>
    <row r="6350" spans="1:12" ht="13.5" x14ac:dyDescent="0.25">
      <c r="A6350" s="1869"/>
      <c r="B6350" s="1869"/>
      <c r="C6350" s="1869"/>
      <c r="D6350" s="1869"/>
      <c r="E6350" s="1870"/>
      <c r="F6350" s="1869"/>
      <c r="G6350" s="1663"/>
      <c r="H6350" s="1869"/>
      <c r="I6350" s="1869"/>
      <c r="J6350" s="1869"/>
      <c r="K6350" s="1664"/>
      <c r="L6350" s="1869"/>
    </row>
    <row r="6351" spans="1:12" ht="13.5" x14ac:dyDescent="0.25">
      <c r="A6351" s="1869"/>
      <c r="B6351" s="1869"/>
      <c r="C6351" s="1869"/>
      <c r="D6351" s="1869"/>
      <c r="E6351" s="1870"/>
      <c r="F6351" s="1869"/>
      <c r="G6351" s="1663"/>
      <c r="H6351" s="1869"/>
      <c r="I6351" s="1869"/>
      <c r="J6351" s="1869"/>
      <c r="K6351" s="1664"/>
      <c r="L6351" s="1869"/>
    </row>
    <row r="6352" spans="1:12" ht="13.5" x14ac:dyDescent="0.25">
      <c r="A6352" s="1869"/>
      <c r="B6352" s="1869"/>
      <c r="C6352" s="1869"/>
      <c r="D6352" s="1869"/>
      <c r="E6352" s="1870"/>
      <c r="F6352" s="1869"/>
      <c r="G6352" s="1663"/>
      <c r="H6352" s="1869"/>
      <c r="I6352" s="1869"/>
      <c r="J6352" s="1869"/>
      <c r="K6352" s="1664"/>
      <c r="L6352" s="1869"/>
    </row>
    <row r="6353" spans="1:12" ht="13.5" x14ac:dyDescent="0.25">
      <c r="A6353" s="1869"/>
      <c r="B6353" s="1869"/>
      <c r="C6353" s="1869"/>
      <c r="D6353" s="1869"/>
      <c r="E6353" s="1870"/>
      <c r="F6353" s="1869"/>
      <c r="G6353" s="1663"/>
      <c r="H6353" s="1869"/>
      <c r="I6353" s="1869"/>
      <c r="J6353" s="1869"/>
      <c r="K6353" s="1664"/>
      <c r="L6353" s="1869"/>
    </row>
    <row r="6354" spans="1:12" ht="13.5" x14ac:dyDescent="0.25">
      <c r="A6354" s="1869"/>
      <c r="B6354" s="1869"/>
      <c r="C6354" s="1869"/>
      <c r="D6354" s="1869"/>
      <c r="E6354" s="1870"/>
      <c r="F6354" s="1869"/>
      <c r="G6354" s="1663"/>
      <c r="H6354" s="1869"/>
      <c r="I6354" s="1869"/>
      <c r="J6354" s="1869"/>
      <c r="K6354" s="1664"/>
      <c r="L6354" s="1869"/>
    </row>
    <row r="6355" spans="1:12" ht="13.5" x14ac:dyDescent="0.25">
      <c r="A6355" s="1869"/>
      <c r="B6355" s="1869"/>
      <c r="C6355" s="1869"/>
      <c r="D6355" s="1869"/>
      <c r="E6355" s="1870"/>
      <c r="F6355" s="1869"/>
      <c r="G6355" s="1663"/>
      <c r="H6355" s="1869"/>
      <c r="I6355" s="1869"/>
      <c r="J6355" s="1869"/>
      <c r="K6355" s="1664"/>
      <c r="L6355" s="1869"/>
    </row>
    <row r="6356" spans="1:12" ht="13.5" x14ac:dyDescent="0.25">
      <c r="A6356" s="1869"/>
      <c r="B6356" s="1869"/>
      <c r="C6356" s="1869"/>
      <c r="D6356" s="1869"/>
      <c r="E6356" s="1870"/>
      <c r="F6356" s="1869"/>
      <c r="G6356" s="1663"/>
      <c r="H6356" s="1869"/>
      <c r="I6356" s="1869"/>
      <c r="J6356" s="1869"/>
      <c r="K6356" s="1664"/>
      <c r="L6356" s="1869"/>
    </row>
    <row r="6357" spans="1:12" ht="13.5" x14ac:dyDescent="0.25">
      <c r="A6357" s="1869"/>
      <c r="B6357" s="1869"/>
      <c r="C6357" s="1869"/>
      <c r="D6357" s="1869"/>
      <c r="E6357" s="1870"/>
      <c r="F6357" s="1869"/>
      <c r="G6357" s="1663"/>
      <c r="H6357" s="1869"/>
      <c r="I6357" s="1869"/>
      <c r="J6357" s="1869"/>
      <c r="K6357" s="1664"/>
      <c r="L6357" s="1869"/>
    </row>
    <row r="6358" spans="1:12" ht="13.5" x14ac:dyDescent="0.25">
      <c r="A6358" s="1869"/>
      <c r="B6358" s="1869"/>
      <c r="C6358" s="1869"/>
      <c r="D6358" s="1869"/>
      <c r="E6358" s="1870"/>
      <c r="F6358" s="1869"/>
      <c r="G6358" s="1663"/>
      <c r="H6358" s="1869"/>
      <c r="I6358" s="1869"/>
      <c r="J6358" s="1869"/>
      <c r="K6358" s="1664"/>
      <c r="L6358" s="1869"/>
    </row>
    <row r="6359" spans="1:12" ht="13.5" x14ac:dyDescent="0.25">
      <c r="A6359" s="1869"/>
      <c r="B6359" s="1869"/>
      <c r="C6359" s="1869"/>
      <c r="D6359" s="1869"/>
      <c r="E6359" s="1870"/>
      <c r="F6359" s="1869"/>
      <c r="G6359" s="1663"/>
      <c r="H6359" s="1869"/>
      <c r="I6359" s="1869"/>
      <c r="J6359" s="1869"/>
      <c r="K6359" s="1664"/>
      <c r="L6359" s="1869"/>
    </row>
    <row r="6360" spans="1:12" ht="13.5" x14ac:dyDescent="0.25">
      <c r="A6360" s="1869"/>
      <c r="B6360" s="1869"/>
      <c r="C6360" s="1869"/>
      <c r="D6360" s="1869"/>
      <c r="E6360" s="1870"/>
      <c r="F6360" s="1869"/>
      <c r="G6360" s="1663"/>
      <c r="H6360" s="1869"/>
      <c r="I6360" s="1869"/>
      <c r="J6360" s="1869"/>
      <c r="K6360" s="1664"/>
      <c r="L6360" s="1869"/>
    </row>
    <row r="6361" spans="1:12" ht="13.5" x14ac:dyDescent="0.25">
      <c r="A6361" s="1869"/>
      <c r="B6361" s="1869"/>
      <c r="C6361" s="1869"/>
      <c r="D6361" s="1869"/>
      <c r="E6361" s="1870"/>
      <c r="F6361" s="1869"/>
      <c r="G6361" s="1663"/>
      <c r="H6361" s="1869"/>
      <c r="I6361" s="1869"/>
      <c r="J6361" s="1869"/>
      <c r="K6361" s="1664"/>
      <c r="L6361" s="1869"/>
    </row>
    <row r="6362" spans="1:12" ht="13.5" x14ac:dyDescent="0.25">
      <c r="A6362" s="1869"/>
      <c r="B6362" s="1869"/>
      <c r="C6362" s="1869"/>
      <c r="D6362" s="1869"/>
      <c r="E6362" s="1870"/>
      <c r="F6362" s="1869"/>
      <c r="G6362" s="1663"/>
      <c r="H6362" s="1869"/>
      <c r="I6362" s="1869"/>
      <c r="J6362" s="1869"/>
      <c r="K6362" s="1664"/>
      <c r="L6362" s="1869"/>
    </row>
    <row r="6363" spans="1:12" ht="13.5" x14ac:dyDescent="0.25">
      <c r="A6363" s="1869"/>
      <c r="B6363" s="1869"/>
      <c r="C6363" s="1869"/>
      <c r="D6363" s="1869"/>
      <c r="E6363" s="1870"/>
      <c r="F6363" s="1869"/>
      <c r="G6363" s="1663"/>
      <c r="H6363" s="1869"/>
      <c r="I6363" s="1869"/>
      <c r="J6363" s="1869"/>
      <c r="K6363" s="1664"/>
      <c r="L6363" s="1869"/>
    </row>
    <row r="6364" spans="1:12" ht="13.5" x14ac:dyDescent="0.25">
      <c r="A6364" s="1869"/>
      <c r="B6364" s="1869"/>
      <c r="C6364" s="1869"/>
      <c r="D6364" s="1869"/>
      <c r="E6364" s="1870"/>
      <c r="F6364" s="1869"/>
      <c r="G6364" s="1663"/>
      <c r="H6364" s="1869"/>
      <c r="I6364" s="1869"/>
      <c r="J6364" s="1869"/>
      <c r="K6364" s="1664"/>
      <c r="L6364" s="1869"/>
    </row>
    <row r="6365" spans="1:12" ht="13.5" x14ac:dyDescent="0.25">
      <c r="A6365" s="1869"/>
      <c r="B6365" s="1869"/>
      <c r="C6365" s="1869"/>
      <c r="D6365" s="1869"/>
      <c r="E6365" s="1870"/>
      <c r="F6365" s="1869"/>
      <c r="G6365" s="1663"/>
      <c r="H6365" s="1869"/>
      <c r="I6365" s="1869"/>
      <c r="J6365" s="1869"/>
      <c r="K6365" s="1664"/>
      <c r="L6365" s="1869"/>
    </row>
    <row r="6366" spans="1:12" ht="13.5" x14ac:dyDescent="0.25">
      <c r="A6366" s="1869"/>
      <c r="B6366" s="1869"/>
      <c r="C6366" s="1869"/>
      <c r="D6366" s="1869"/>
      <c r="E6366" s="1870"/>
      <c r="F6366" s="1869"/>
      <c r="G6366" s="1663"/>
      <c r="H6366" s="1869"/>
      <c r="I6366" s="1869"/>
      <c r="J6366" s="1869"/>
      <c r="K6366" s="1664"/>
      <c r="L6366" s="1869"/>
    </row>
    <row r="6367" spans="1:12" ht="13.5" x14ac:dyDescent="0.25">
      <c r="A6367" s="1869"/>
      <c r="B6367" s="1869"/>
      <c r="C6367" s="1869"/>
      <c r="D6367" s="1869"/>
      <c r="E6367" s="1870"/>
      <c r="F6367" s="1869"/>
      <c r="G6367" s="1663"/>
      <c r="H6367" s="1869"/>
      <c r="I6367" s="1869"/>
      <c r="J6367" s="1869"/>
      <c r="K6367" s="1664"/>
      <c r="L6367" s="1869"/>
    </row>
    <row r="6368" spans="1:12" ht="13.5" x14ac:dyDescent="0.25">
      <c r="A6368" s="1869"/>
      <c r="B6368" s="1869"/>
      <c r="C6368" s="1869"/>
      <c r="D6368" s="1869"/>
      <c r="E6368" s="1870"/>
      <c r="F6368" s="1869"/>
      <c r="G6368" s="1663"/>
      <c r="H6368" s="1869"/>
      <c r="I6368" s="1869"/>
      <c r="J6368" s="1869"/>
      <c r="K6368" s="1664"/>
      <c r="L6368" s="1869"/>
    </row>
    <row r="6369" spans="1:12" ht="13.5" x14ac:dyDescent="0.25">
      <c r="A6369" s="1869"/>
      <c r="B6369" s="1869"/>
      <c r="C6369" s="1869"/>
      <c r="D6369" s="1869"/>
      <c r="E6369" s="1870"/>
      <c r="F6369" s="1869"/>
      <c r="G6369" s="1663"/>
      <c r="H6369" s="1869"/>
      <c r="I6369" s="1869"/>
      <c r="J6369" s="1869"/>
      <c r="K6369" s="1664"/>
      <c r="L6369" s="1869"/>
    </row>
    <row r="6370" spans="1:12" ht="13.5" x14ac:dyDescent="0.25">
      <c r="A6370" s="1869"/>
      <c r="B6370" s="1869"/>
      <c r="C6370" s="1869"/>
      <c r="D6370" s="1869"/>
      <c r="E6370" s="1870"/>
      <c r="F6370" s="1869"/>
      <c r="G6370" s="1663"/>
      <c r="H6370" s="1869"/>
      <c r="I6370" s="1869"/>
      <c r="J6370" s="1869"/>
      <c r="K6370" s="1664"/>
      <c r="L6370" s="1869"/>
    </row>
    <row r="6371" spans="1:12" ht="13.5" x14ac:dyDescent="0.25">
      <c r="A6371" s="1869"/>
      <c r="B6371" s="1869"/>
      <c r="C6371" s="1869"/>
      <c r="D6371" s="1869"/>
      <c r="E6371" s="1870"/>
      <c r="F6371" s="1869"/>
      <c r="G6371" s="1663"/>
      <c r="H6371" s="1869"/>
      <c r="I6371" s="1869"/>
      <c r="J6371" s="1869"/>
      <c r="K6371" s="1664"/>
      <c r="L6371" s="1869"/>
    </row>
    <row r="6372" spans="1:12" ht="13.5" x14ac:dyDescent="0.25">
      <c r="A6372" s="1869"/>
      <c r="B6372" s="1869"/>
      <c r="C6372" s="1869"/>
      <c r="D6372" s="1869"/>
      <c r="E6372" s="1870"/>
      <c r="F6372" s="1869"/>
      <c r="G6372" s="1663"/>
      <c r="H6372" s="1869"/>
      <c r="I6372" s="1869"/>
      <c r="J6372" s="1869"/>
      <c r="K6372" s="1664"/>
      <c r="L6372" s="1869"/>
    </row>
    <row r="6373" spans="1:12" ht="13.5" x14ac:dyDescent="0.25">
      <c r="A6373" s="1869"/>
      <c r="B6373" s="1869"/>
      <c r="C6373" s="1869"/>
      <c r="D6373" s="1869"/>
      <c r="E6373" s="1870"/>
      <c r="F6373" s="1869"/>
      <c r="G6373" s="1663"/>
      <c r="H6373" s="1869"/>
      <c r="I6373" s="1869"/>
      <c r="J6373" s="1869"/>
      <c r="K6373" s="1664"/>
      <c r="L6373" s="1869"/>
    </row>
    <row r="6374" spans="1:12" ht="13.5" x14ac:dyDescent="0.25">
      <c r="A6374" s="1869"/>
      <c r="B6374" s="1869"/>
      <c r="C6374" s="1869"/>
      <c r="D6374" s="1869"/>
      <c r="E6374" s="1870"/>
      <c r="F6374" s="1869"/>
      <c r="G6374" s="1663"/>
      <c r="H6374" s="1869"/>
      <c r="I6374" s="1869"/>
      <c r="J6374" s="1869"/>
      <c r="K6374" s="1664"/>
      <c r="L6374" s="1869"/>
    </row>
    <row r="6375" spans="1:12" ht="13.5" x14ac:dyDescent="0.25">
      <c r="A6375" s="1869"/>
      <c r="B6375" s="1869"/>
      <c r="C6375" s="1869"/>
      <c r="D6375" s="1869"/>
      <c r="E6375" s="1870"/>
      <c r="F6375" s="1869"/>
      <c r="G6375" s="1663"/>
      <c r="H6375" s="1869"/>
      <c r="I6375" s="1869"/>
      <c r="J6375" s="1869"/>
      <c r="K6375" s="1664"/>
      <c r="L6375" s="1869"/>
    </row>
    <row r="6376" spans="1:12" ht="13.5" x14ac:dyDescent="0.25">
      <c r="A6376" s="1869"/>
      <c r="B6376" s="1869"/>
      <c r="C6376" s="1869"/>
      <c r="D6376" s="1869"/>
      <c r="E6376" s="1870"/>
      <c r="F6376" s="1869"/>
      <c r="G6376" s="1663"/>
      <c r="H6376" s="1869"/>
      <c r="I6376" s="1869"/>
      <c r="J6376" s="1869"/>
      <c r="K6376" s="1664"/>
      <c r="L6376" s="1869"/>
    </row>
    <row r="6377" spans="1:12" ht="13.5" x14ac:dyDescent="0.25">
      <c r="A6377" s="1869"/>
      <c r="B6377" s="1869"/>
      <c r="C6377" s="1869"/>
      <c r="D6377" s="1869"/>
      <c r="E6377" s="1870"/>
      <c r="F6377" s="1869"/>
      <c r="G6377" s="1663"/>
      <c r="H6377" s="1869"/>
      <c r="I6377" s="1869"/>
      <c r="J6377" s="1869"/>
      <c r="K6377" s="1664"/>
      <c r="L6377" s="1869"/>
    </row>
    <row r="6378" spans="1:12" ht="13.5" x14ac:dyDescent="0.25">
      <c r="A6378" s="1869"/>
      <c r="B6378" s="1869"/>
      <c r="C6378" s="1869"/>
      <c r="D6378" s="1869"/>
      <c r="E6378" s="1870"/>
      <c r="F6378" s="1869"/>
      <c r="G6378" s="1663"/>
      <c r="H6378" s="1869"/>
      <c r="I6378" s="1869"/>
      <c r="J6378" s="1869"/>
      <c r="K6378" s="1664"/>
      <c r="L6378" s="1869"/>
    </row>
    <row r="6379" spans="1:12" ht="13.5" x14ac:dyDescent="0.25">
      <c r="A6379" s="1869"/>
      <c r="B6379" s="1869"/>
      <c r="C6379" s="1869"/>
      <c r="D6379" s="1869"/>
      <c r="E6379" s="1870"/>
      <c r="F6379" s="1869"/>
      <c r="G6379" s="1663"/>
      <c r="H6379" s="1869"/>
      <c r="I6379" s="1869"/>
      <c r="J6379" s="1869"/>
      <c r="K6379" s="1664"/>
      <c r="L6379" s="1869"/>
    </row>
    <row r="6380" spans="1:12" ht="13.5" x14ac:dyDescent="0.25">
      <c r="A6380" s="1869"/>
      <c r="B6380" s="1869"/>
      <c r="C6380" s="1869"/>
      <c r="D6380" s="1869"/>
      <c r="E6380" s="1870"/>
      <c r="F6380" s="1869"/>
      <c r="G6380" s="1663"/>
      <c r="H6380" s="1869"/>
      <c r="I6380" s="1869"/>
      <c r="J6380" s="1869"/>
      <c r="K6380" s="1664"/>
      <c r="L6380" s="1869"/>
    </row>
    <row r="6381" spans="1:12" ht="13.5" x14ac:dyDescent="0.25">
      <c r="A6381" s="1869"/>
      <c r="B6381" s="1869"/>
      <c r="C6381" s="1869"/>
      <c r="D6381" s="1869"/>
      <c r="E6381" s="1870"/>
      <c r="F6381" s="1869"/>
      <c r="G6381" s="1663"/>
      <c r="H6381" s="1869"/>
      <c r="I6381" s="1869"/>
      <c r="J6381" s="1869"/>
      <c r="K6381" s="1664"/>
      <c r="L6381" s="1869"/>
    </row>
    <row r="6382" spans="1:12" ht="13.5" x14ac:dyDescent="0.25">
      <c r="A6382" s="1869"/>
      <c r="B6382" s="1869"/>
      <c r="C6382" s="1869"/>
      <c r="D6382" s="1869"/>
      <c r="E6382" s="1870"/>
      <c r="F6382" s="1869"/>
      <c r="G6382" s="1663"/>
      <c r="H6382" s="1869"/>
      <c r="I6382" s="1869"/>
      <c r="J6382" s="1869"/>
      <c r="K6382" s="1664"/>
      <c r="L6382" s="1869"/>
    </row>
    <row r="6383" spans="1:12" ht="13.5" x14ac:dyDescent="0.25">
      <c r="A6383" s="1869"/>
      <c r="B6383" s="1869"/>
      <c r="C6383" s="1869"/>
      <c r="D6383" s="1869"/>
      <c r="E6383" s="1870"/>
      <c r="F6383" s="1869"/>
      <c r="G6383" s="1663"/>
      <c r="H6383" s="1869"/>
      <c r="I6383" s="1869"/>
      <c r="J6383" s="1869"/>
      <c r="K6383" s="1664"/>
      <c r="L6383" s="1869"/>
    </row>
    <row r="6384" spans="1:12" ht="13.5" x14ac:dyDescent="0.25">
      <c r="A6384" s="1869"/>
      <c r="B6384" s="1869"/>
      <c r="C6384" s="1869"/>
      <c r="D6384" s="1869"/>
      <c r="E6384" s="1870"/>
      <c r="F6384" s="1869"/>
      <c r="G6384" s="1663"/>
      <c r="H6384" s="1869"/>
      <c r="I6384" s="1869"/>
      <c r="J6384" s="1869"/>
      <c r="K6384" s="1664"/>
      <c r="L6384" s="1869"/>
    </row>
    <row r="6385" spans="1:12" ht="13.5" x14ac:dyDescent="0.25">
      <c r="A6385" s="1869"/>
      <c r="B6385" s="1869"/>
      <c r="C6385" s="1869"/>
      <c r="D6385" s="1869"/>
      <c r="E6385" s="1870"/>
      <c r="F6385" s="1869"/>
      <c r="G6385" s="1663"/>
      <c r="H6385" s="1869"/>
      <c r="I6385" s="1869"/>
      <c r="J6385" s="1869"/>
      <c r="K6385" s="1664"/>
      <c r="L6385" s="1869"/>
    </row>
    <row r="6386" spans="1:12" ht="13.5" x14ac:dyDescent="0.25">
      <c r="A6386" s="1869"/>
      <c r="B6386" s="1869"/>
      <c r="C6386" s="1869"/>
      <c r="D6386" s="1869"/>
      <c r="E6386" s="1870"/>
      <c r="F6386" s="1869"/>
      <c r="G6386" s="1663"/>
      <c r="H6386" s="1869"/>
      <c r="I6386" s="1869"/>
      <c r="J6386" s="1869"/>
      <c r="K6386" s="1664"/>
      <c r="L6386" s="1869"/>
    </row>
    <row r="6387" spans="1:12" ht="13.5" x14ac:dyDescent="0.25">
      <c r="A6387" s="1869"/>
      <c r="B6387" s="1869"/>
      <c r="C6387" s="1869"/>
      <c r="D6387" s="1869"/>
      <c r="E6387" s="1870"/>
      <c r="F6387" s="1869"/>
      <c r="G6387" s="1663"/>
      <c r="H6387" s="1869"/>
      <c r="I6387" s="1869"/>
      <c r="J6387" s="1869"/>
      <c r="K6387" s="1664"/>
      <c r="L6387" s="1869"/>
    </row>
    <row r="6388" spans="1:12" ht="13.5" x14ac:dyDescent="0.25">
      <c r="A6388" s="1869"/>
      <c r="B6388" s="1869"/>
      <c r="C6388" s="1869"/>
      <c r="D6388" s="1869"/>
      <c r="E6388" s="1870"/>
      <c r="F6388" s="1869"/>
      <c r="G6388" s="1663"/>
      <c r="H6388" s="1869"/>
      <c r="I6388" s="1869"/>
      <c r="J6388" s="1869"/>
      <c r="K6388" s="1664"/>
      <c r="L6388" s="1869"/>
    </row>
    <row r="6389" spans="1:12" ht="13.5" x14ac:dyDescent="0.25">
      <c r="A6389" s="1869"/>
      <c r="B6389" s="1869"/>
      <c r="C6389" s="1869"/>
      <c r="D6389" s="1869"/>
      <c r="E6389" s="1870"/>
      <c r="F6389" s="1869"/>
      <c r="G6389" s="1663"/>
      <c r="H6389" s="1869"/>
      <c r="I6389" s="1869"/>
      <c r="J6389" s="1869"/>
      <c r="K6389" s="1664"/>
      <c r="L6389" s="1869"/>
    </row>
    <row r="6390" spans="1:12" ht="13.5" x14ac:dyDescent="0.25">
      <c r="A6390" s="1869"/>
      <c r="B6390" s="1869"/>
      <c r="C6390" s="1869"/>
      <c r="D6390" s="1869"/>
      <c r="E6390" s="1870"/>
      <c r="F6390" s="1869"/>
      <c r="G6390" s="1663"/>
      <c r="H6390" s="1869"/>
      <c r="I6390" s="1869"/>
      <c r="J6390" s="1869"/>
      <c r="K6390" s="1664"/>
      <c r="L6390" s="1869"/>
    </row>
    <row r="6391" spans="1:12" ht="13.5" x14ac:dyDescent="0.25">
      <c r="A6391" s="1869"/>
      <c r="B6391" s="1869"/>
      <c r="C6391" s="1869"/>
      <c r="D6391" s="1869"/>
      <c r="E6391" s="1870"/>
      <c r="F6391" s="1869"/>
      <c r="G6391" s="1663"/>
      <c r="H6391" s="1869"/>
      <c r="I6391" s="1869"/>
      <c r="J6391" s="1869"/>
      <c r="K6391" s="1664"/>
      <c r="L6391" s="1869"/>
    </row>
    <row r="6392" spans="1:12" ht="13.5" x14ac:dyDescent="0.25">
      <c r="A6392" s="1869"/>
      <c r="B6392" s="1869"/>
      <c r="C6392" s="1869"/>
      <c r="D6392" s="1869"/>
      <c r="E6392" s="1870"/>
      <c r="F6392" s="1869"/>
      <c r="G6392" s="1663"/>
      <c r="H6392" s="1869"/>
      <c r="I6392" s="1869"/>
      <c r="J6392" s="1869"/>
      <c r="K6392" s="1664"/>
      <c r="L6392" s="1869"/>
    </row>
    <row r="6393" spans="1:12" ht="13.5" x14ac:dyDescent="0.25">
      <c r="A6393" s="1869"/>
      <c r="B6393" s="1869"/>
      <c r="C6393" s="1869"/>
      <c r="D6393" s="1869"/>
      <c r="E6393" s="1870"/>
      <c r="F6393" s="1869"/>
      <c r="G6393" s="1663"/>
      <c r="H6393" s="1869"/>
      <c r="I6393" s="1869"/>
      <c r="J6393" s="1869"/>
      <c r="K6393" s="1664"/>
      <c r="L6393" s="1869"/>
    </row>
    <row r="6394" spans="1:12" ht="13.5" x14ac:dyDescent="0.25">
      <c r="A6394" s="1869"/>
      <c r="B6394" s="1869"/>
      <c r="C6394" s="1869"/>
      <c r="D6394" s="1869"/>
      <c r="E6394" s="1870"/>
      <c r="F6394" s="1869"/>
      <c r="G6394" s="1663"/>
      <c r="H6394" s="1869"/>
      <c r="I6394" s="1869"/>
      <c r="J6394" s="1869"/>
      <c r="K6394" s="1664"/>
      <c r="L6394" s="1869"/>
    </row>
    <row r="6395" spans="1:12" ht="13.5" x14ac:dyDescent="0.25">
      <c r="A6395" s="1869"/>
      <c r="B6395" s="1869"/>
      <c r="C6395" s="1869"/>
      <c r="D6395" s="1869"/>
      <c r="E6395" s="1870"/>
      <c r="F6395" s="1869"/>
      <c r="G6395" s="1663"/>
      <c r="H6395" s="1869"/>
      <c r="I6395" s="1869"/>
      <c r="J6395" s="1869"/>
      <c r="K6395" s="1664"/>
      <c r="L6395" s="1869"/>
    </row>
    <row r="6396" spans="1:12" ht="13.5" x14ac:dyDescent="0.25">
      <c r="A6396" s="1869"/>
      <c r="B6396" s="1869"/>
      <c r="C6396" s="1869"/>
      <c r="D6396" s="1869"/>
      <c r="E6396" s="1870"/>
      <c r="F6396" s="1869"/>
      <c r="G6396" s="1663"/>
      <c r="H6396" s="1869"/>
      <c r="I6396" s="1869"/>
      <c r="J6396" s="1869"/>
      <c r="K6396" s="1664"/>
      <c r="L6396" s="1869"/>
    </row>
    <row r="6397" spans="1:12" ht="13.5" x14ac:dyDescent="0.25">
      <c r="A6397" s="1869"/>
      <c r="B6397" s="1869"/>
      <c r="C6397" s="1869"/>
      <c r="D6397" s="1869"/>
      <c r="E6397" s="1870"/>
      <c r="F6397" s="1869"/>
      <c r="G6397" s="1663"/>
      <c r="H6397" s="1869"/>
      <c r="I6397" s="1869"/>
      <c r="J6397" s="1869"/>
      <c r="K6397" s="1664"/>
      <c r="L6397" s="1869"/>
    </row>
    <row r="6398" spans="1:12" ht="13.5" x14ac:dyDescent="0.25">
      <c r="A6398" s="1869"/>
      <c r="B6398" s="1869"/>
      <c r="C6398" s="1869"/>
      <c r="D6398" s="1869"/>
      <c r="E6398" s="1870"/>
      <c r="F6398" s="1869"/>
      <c r="G6398" s="1663"/>
      <c r="H6398" s="1869"/>
      <c r="I6398" s="1869"/>
      <c r="J6398" s="1869"/>
      <c r="K6398" s="1664"/>
      <c r="L6398" s="1869"/>
    </row>
    <row r="6399" spans="1:12" ht="13.5" x14ac:dyDescent="0.25">
      <c r="A6399" s="1869"/>
      <c r="B6399" s="1869"/>
      <c r="C6399" s="1869"/>
      <c r="D6399" s="1869"/>
      <c r="E6399" s="1870"/>
      <c r="F6399" s="1869"/>
      <c r="G6399" s="1663"/>
      <c r="H6399" s="1869"/>
      <c r="I6399" s="1869"/>
      <c r="J6399" s="1869"/>
      <c r="K6399" s="1664"/>
      <c r="L6399" s="1869"/>
    </row>
    <row r="6400" spans="1:12" ht="13.5" x14ac:dyDescent="0.25">
      <c r="A6400" s="1869"/>
      <c r="B6400" s="1869"/>
      <c r="C6400" s="1869"/>
      <c r="D6400" s="1869"/>
      <c r="E6400" s="1870"/>
      <c r="F6400" s="1869"/>
      <c r="G6400" s="1663"/>
      <c r="H6400" s="1869"/>
      <c r="I6400" s="1869"/>
      <c r="J6400" s="1869"/>
      <c r="K6400" s="1664"/>
      <c r="L6400" s="1869"/>
    </row>
    <row r="6401" spans="1:12" ht="13.5" x14ac:dyDescent="0.25">
      <c r="A6401" s="1869"/>
      <c r="B6401" s="1869"/>
      <c r="C6401" s="1869"/>
      <c r="D6401" s="1869"/>
      <c r="E6401" s="1870"/>
      <c r="F6401" s="1869"/>
      <c r="G6401" s="1663"/>
      <c r="H6401" s="1869"/>
      <c r="I6401" s="1869"/>
      <c r="J6401" s="1869"/>
      <c r="K6401" s="1664"/>
      <c r="L6401" s="1869"/>
    </row>
    <row r="6402" spans="1:12" ht="13.5" x14ac:dyDescent="0.25">
      <c r="A6402" s="1869"/>
      <c r="B6402" s="1869"/>
      <c r="C6402" s="1869"/>
      <c r="D6402" s="1869"/>
      <c r="E6402" s="1870"/>
      <c r="F6402" s="1869"/>
      <c r="G6402" s="1663"/>
      <c r="H6402" s="1869"/>
      <c r="I6402" s="1869"/>
      <c r="J6402" s="1869"/>
      <c r="K6402" s="1664"/>
      <c r="L6402" s="1869"/>
    </row>
    <row r="6403" spans="1:12" ht="13.5" x14ac:dyDescent="0.25">
      <c r="A6403" s="1869"/>
      <c r="B6403" s="1869"/>
      <c r="C6403" s="1869"/>
      <c r="D6403" s="1869"/>
      <c r="E6403" s="1870"/>
      <c r="F6403" s="1869"/>
      <c r="G6403" s="1663"/>
      <c r="H6403" s="1869"/>
      <c r="I6403" s="1869"/>
      <c r="J6403" s="1869"/>
      <c r="K6403" s="1664"/>
      <c r="L6403" s="1869"/>
    </row>
    <row r="6404" spans="1:12" ht="13.5" x14ac:dyDescent="0.25">
      <c r="A6404" s="1869"/>
      <c r="B6404" s="1869"/>
      <c r="C6404" s="1869"/>
      <c r="D6404" s="1869"/>
      <c r="E6404" s="1870"/>
      <c r="F6404" s="1869"/>
      <c r="G6404" s="1663"/>
      <c r="H6404" s="1869"/>
      <c r="I6404" s="1869"/>
      <c r="J6404" s="1869"/>
      <c r="K6404" s="1664"/>
      <c r="L6404" s="1869"/>
    </row>
    <row r="6405" spans="1:12" ht="13.5" x14ac:dyDescent="0.25">
      <c r="A6405" s="1869"/>
      <c r="B6405" s="1869"/>
      <c r="C6405" s="1869"/>
      <c r="D6405" s="1869"/>
      <c r="E6405" s="1870"/>
      <c r="F6405" s="1869"/>
      <c r="G6405" s="1663"/>
      <c r="H6405" s="1869"/>
      <c r="I6405" s="1869"/>
      <c r="J6405" s="1869"/>
      <c r="K6405" s="1664"/>
      <c r="L6405" s="1869"/>
    </row>
    <row r="6406" spans="1:12" ht="13.5" x14ac:dyDescent="0.25">
      <c r="A6406" s="1869"/>
      <c r="B6406" s="1869"/>
      <c r="C6406" s="1869"/>
      <c r="D6406" s="1869"/>
      <c r="E6406" s="1870"/>
      <c r="F6406" s="1869"/>
      <c r="G6406" s="1663"/>
      <c r="H6406" s="1869"/>
      <c r="I6406" s="1869"/>
      <c r="J6406" s="1869"/>
      <c r="K6406" s="1664"/>
      <c r="L6406" s="1869"/>
    </row>
    <row r="6407" spans="1:12" ht="13.5" x14ac:dyDescent="0.25">
      <c r="A6407" s="1869"/>
      <c r="B6407" s="1869"/>
      <c r="C6407" s="1869"/>
      <c r="D6407" s="1869"/>
      <c r="E6407" s="1870"/>
      <c r="F6407" s="1869"/>
      <c r="G6407" s="1663"/>
      <c r="H6407" s="1869"/>
      <c r="I6407" s="1869"/>
      <c r="J6407" s="1869"/>
      <c r="K6407" s="1664"/>
      <c r="L6407" s="1869"/>
    </row>
    <row r="6408" spans="1:12" ht="13.5" x14ac:dyDescent="0.25">
      <c r="A6408" s="1869"/>
      <c r="B6408" s="1869"/>
      <c r="C6408" s="1869"/>
      <c r="D6408" s="1869"/>
      <c r="E6408" s="1870"/>
      <c r="F6408" s="1869"/>
      <c r="G6408" s="1663"/>
      <c r="H6408" s="1869"/>
      <c r="I6408" s="1869"/>
      <c r="J6408" s="1869"/>
      <c r="K6408" s="1664"/>
      <c r="L6408" s="1869"/>
    </row>
    <row r="6409" spans="1:12" ht="13.5" x14ac:dyDescent="0.25">
      <c r="A6409" s="1869"/>
      <c r="B6409" s="1869"/>
      <c r="C6409" s="1869"/>
      <c r="D6409" s="1869"/>
      <c r="E6409" s="1870"/>
      <c r="F6409" s="1869"/>
      <c r="G6409" s="1663"/>
      <c r="H6409" s="1869"/>
      <c r="I6409" s="1869"/>
      <c r="J6409" s="1869"/>
      <c r="K6409" s="1664"/>
      <c r="L6409" s="1869"/>
    </row>
    <row r="6410" spans="1:12" ht="13.5" x14ac:dyDescent="0.25">
      <c r="A6410" s="1869"/>
      <c r="B6410" s="1869"/>
      <c r="C6410" s="1869"/>
      <c r="D6410" s="1869"/>
      <c r="E6410" s="1870"/>
      <c r="F6410" s="1869"/>
      <c r="G6410" s="1663"/>
      <c r="H6410" s="1869"/>
      <c r="I6410" s="1869"/>
      <c r="J6410" s="1869"/>
      <c r="K6410" s="1664"/>
      <c r="L6410" s="1869"/>
    </row>
    <row r="6411" spans="1:12" ht="13.5" x14ac:dyDescent="0.25">
      <c r="A6411" s="1869"/>
      <c r="B6411" s="1869"/>
      <c r="C6411" s="1869"/>
      <c r="D6411" s="1869"/>
      <c r="E6411" s="1870"/>
      <c r="F6411" s="1869"/>
      <c r="G6411" s="1663"/>
      <c r="H6411" s="1869"/>
      <c r="I6411" s="1869"/>
      <c r="J6411" s="1869"/>
      <c r="K6411" s="1664"/>
      <c r="L6411" s="1869"/>
    </row>
    <row r="6412" spans="1:12" ht="13.5" x14ac:dyDescent="0.25">
      <c r="A6412" s="1869"/>
      <c r="B6412" s="1869"/>
      <c r="C6412" s="1869"/>
      <c r="D6412" s="1869"/>
      <c r="E6412" s="1870"/>
      <c r="F6412" s="1869"/>
      <c r="G6412" s="1663"/>
      <c r="H6412" s="1869"/>
      <c r="I6412" s="1869"/>
      <c r="J6412" s="1869"/>
      <c r="K6412" s="1664"/>
      <c r="L6412" s="1869"/>
    </row>
    <row r="6413" spans="1:12" ht="13.5" x14ac:dyDescent="0.25">
      <c r="A6413" s="1869"/>
      <c r="B6413" s="1869"/>
      <c r="C6413" s="1869"/>
      <c r="D6413" s="1869"/>
      <c r="E6413" s="1870"/>
      <c r="F6413" s="1869"/>
      <c r="G6413" s="1663"/>
      <c r="H6413" s="1869"/>
      <c r="I6413" s="1869"/>
      <c r="J6413" s="1869"/>
      <c r="K6413" s="1664"/>
      <c r="L6413" s="1869"/>
    </row>
    <row r="6414" spans="1:12" ht="13.5" x14ac:dyDescent="0.25">
      <c r="A6414" s="1869"/>
      <c r="B6414" s="1869"/>
      <c r="C6414" s="1869"/>
      <c r="D6414" s="1869"/>
      <c r="E6414" s="1870"/>
      <c r="F6414" s="1869"/>
      <c r="G6414" s="1663"/>
      <c r="H6414" s="1869"/>
      <c r="I6414" s="1869"/>
      <c r="J6414" s="1869"/>
      <c r="K6414" s="1664"/>
      <c r="L6414" s="1869"/>
    </row>
    <row r="6415" spans="1:12" ht="13.5" x14ac:dyDescent="0.25">
      <c r="A6415" s="1869"/>
      <c r="B6415" s="1869"/>
      <c r="C6415" s="1869"/>
      <c r="D6415" s="1869"/>
      <c r="E6415" s="1870"/>
      <c r="F6415" s="1869"/>
      <c r="G6415" s="1663"/>
      <c r="H6415" s="1869"/>
      <c r="I6415" s="1869"/>
      <c r="J6415" s="1869"/>
      <c r="K6415" s="1664"/>
      <c r="L6415" s="1869"/>
    </row>
    <row r="6416" spans="1:12" ht="13.5" x14ac:dyDescent="0.25">
      <c r="A6416" s="1869"/>
      <c r="B6416" s="1869"/>
      <c r="C6416" s="1869"/>
      <c r="D6416" s="1869"/>
      <c r="E6416" s="1870"/>
      <c r="F6416" s="1869"/>
      <c r="G6416" s="1663"/>
      <c r="H6416" s="1869"/>
      <c r="I6416" s="1869"/>
      <c r="J6416" s="1869"/>
      <c r="K6416" s="1664"/>
      <c r="L6416" s="1869"/>
    </row>
    <row r="6417" spans="1:12" ht="13.5" x14ac:dyDescent="0.25">
      <c r="A6417" s="1869"/>
      <c r="B6417" s="1869"/>
      <c r="C6417" s="1869"/>
      <c r="D6417" s="1869"/>
      <c r="E6417" s="1870"/>
      <c r="F6417" s="1869"/>
      <c r="G6417" s="1663"/>
      <c r="H6417" s="1869"/>
      <c r="I6417" s="1869"/>
      <c r="J6417" s="1869"/>
      <c r="K6417" s="1664"/>
      <c r="L6417" s="1869"/>
    </row>
    <row r="6418" spans="1:12" ht="13.5" x14ac:dyDescent="0.25">
      <c r="A6418" s="1869"/>
      <c r="B6418" s="1869"/>
      <c r="C6418" s="1869"/>
      <c r="D6418" s="1869"/>
      <c r="E6418" s="1870"/>
      <c r="F6418" s="1869"/>
      <c r="G6418" s="1663"/>
      <c r="H6418" s="1869"/>
      <c r="I6418" s="1869"/>
      <c r="J6418" s="1869"/>
      <c r="K6418" s="1664"/>
      <c r="L6418" s="1869"/>
    </row>
    <row r="6419" spans="1:12" ht="13.5" x14ac:dyDescent="0.25">
      <c r="A6419" s="1869"/>
      <c r="B6419" s="1869"/>
      <c r="C6419" s="1869"/>
      <c r="D6419" s="1869"/>
      <c r="E6419" s="1870"/>
      <c r="F6419" s="1869"/>
      <c r="G6419" s="1663"/>
      <c r="H6419" s="1869"/>
      <c r="I6419" s="1869"/>
      <c r="J6419" s="1869"/>
      <c r="K6419" s="1664"/>
      <c r="L6419" s="1869"/>
    </row>
    <row r="6420" spans="1:12" ht="13.5" x14ac:dyDescent="0.25">
      <c r="A6420" s="1869"/>
      <c r="B6420" s="1869"/>
      <c r="C6420" s="1869"/>
      <c r="D6420" s="1869"/>
      <c r="E6420" s="1870"/>
      <c r="F6420" s="1869"/>
      <c r="G6420" s="1663"/>
      <c r="H6420" s="1869"/>
      <c r="I6420" s="1869"/>
      <c r="J6420" s="1869"/>
      <c r="K6420" s="1664"/>
      <c r="L6420" s="1869"/>
    </row>
    <row r="6421" spans="1:12" ht="13.5" x14ac:dyDescent="0.25">
      <c r="A6421" s="1869"/>
      <c r="B6421" s="1869"/>
      <c r="C6421" s="1869"/>
      <c r="D6421" s="1869"/>
      <c r="E6421" s="1870"/>
      <c r="F6421" s="1869"/>
      <c r="G6421" s="1663"/>
      <c r="H6421" s="1869"/>
      <c r="I6421" s="1869"/>
      <c r="J6421" s="1869"/>
      <c r="K6421" s="1664"/>
      <c r="L6421" s="1869"/>
    </row>
    <row r="6422" spans="1:12" ht="13.5" x14ac:dyDescent="0.25">
      <c r="A6422" s="1869"/>
      <c r="B6422" s="1869"/>
      <c r="C6422" s="1869"/>
      <c r="D6422" s="1869"/>
      <c r="E6422" s="1870"/>
      <c r="F6422" s="1869"/>
      <c r="G6422" s="1663"/>
      <c r="H6422" s="1869"/>
      <c r="I6422" s="1869"/>
      <c r="J6422" s="1869"/>
      <c r="K6422" s="1664"/>
      <c r="L6422" s="1869"/>
    </row>
    <row r="6423" spans="1:12" ht="13.5" x14ac:dyDescent="0.25">
      <c r="A6423" s="1869"/>
      <c r="B6423" s="1869"/>
      <c r="C6423" s="1869"/>
      <c r="D6423" s="1869"/>
      <c r="E6423" s="1870"/>
      <c r="F6423" s="1869"/>
      <c r="G6423" s="1663"/>
      <c r="H6423" s="1869"/>
      <c r="I6423" s="1869"/>
      <c r="J6423" s="1869"/>
      <c r="K6423" s="1664"/>
      <c r="L6423" s="1869"/>
    </row>
    <row r="6424" spans="1:12" ht="13.5" x14ac:dyDescent="0.25">
      <c r="A6424" s="1869"/>
      <c r="B6424" s="1869"/>
      <c r="C6424" s="1869"/>
      <c r="D6424" s="1869"/>
      <c r="E6424" s="1870"/>
      <c r="F6424" s="1869"/>
      <c r="G6424" s="1663"/>
      <c r="H6424" s="1869"/>
      <c r="I6424" s="1869"/>
      <c r="J6424" s="1869"/>
      <c r="K6424" s="1664"/>
      <c r="L6424" s="1869"/>
    </row>
    <row r="6425" spans="1:12" ht="13.5" x14ac:dyDescent="0.25">
      <c r="A6425" s="1869"/>
      <c r="B6425" s="1869"/>
      <c r="C6425" s="1869"/>
      <c r="D6425" s="1869"/>
      <c r="E6425" s="1870"/>
      <c r="F6425" s="1869"/>
      <c r="G6425" s="1663"/>
      <c r="H6425" s="1869"/>
      <c r="I6425" s="1869"/>
      <c r="J6425" s="1869"/>
      <c r="K6425" s="1664"/>
      <c r="L6425" s="1869"/>
    </row>
    <row r="6426" spans="1:12" ht="13.5" x14ac:dyDescent="0.25">
      <c r="A6426" s="1869"/>
      <c r="B6426" s="1869"/>
      <c r="C6426" s="1869"/>
      <c r="D6426" s="1869"/>
      <c r="E6426" s="1870"/>
      <c r="F6426" s="1869"/>
      <c r="G6426" s="1663"/>
      <c r="H6426" s="1869"/>
      <c r="I6426" s="1869"/>
      <c r="J6426" s="1869"/>
      <c r="K6426" s="1664"/>
      <c r="L6426" s="1869"/>
    </row>
    <row r="6427" spans="1:12" ht="13.5" x14ac:dyDescent="0.25">
      <c r="A6427" s="1869"/>
      <c r="B6427" s="1869"/>
      <c r="C6427" s="1869"/>
      <c r="D6427" s="1869"/>
      <c r="E6427" s="1870"/>
      <c r="F6427" s="1869"/>
      <c r="G6427" s="1663"/>
      <c r="H6427" s="1869"/>
      <c r="I6427" s="1869"/>
      <c r="J6427" s="1869"/>
      <c r="K6427" s="1664"/>
      <c r="L6427" s="1869"/>
    </row>
    <row r="6428" spans="1:12" ht="13.5" x14ac:dyDescent="0.25">
      <c r="A6428" s="1869"/>
      <c r="B6428" s="1869"/>
      <c r="C6428" s="1869"/>
      <c r="D6428" s="1869"/>
      <c r="E6428" s="1870"/>
      <c r="F6428" s="1869"/>
      <c r="G6428" s="1663"/>
      <c r="H6428" s="1869"/>
      <c r="I6428" s="1869"/>
      <c r="J6428" s="1869"/>
      <c r="K6428" s="1664"/>
      <c r="L6428" s="1869"/>
    </row>
    <row r="6429" spans="1:12" ht="13.5" x14ac:dyDescent="0.25">
      <c r="A6429" s="1869"/>
      <c r="B6429" s="1869"/>
      <c r="C6429" s="1869"/>
      <c r="D6429" s="1869"/>
      <c r="E6429" s="1870"/>
      <c r="F6429" s="1869"/>
      <c r="G6429" s="1663"/>
      <c r="H6429" s="1869"/>
      <c r="I6429" s="1869"/>
      <c r="J6429" s="1869"/>
      <c r="K6429" s="1664"/>
      <c r="L6429" s="1869"/>
    </row>
    <row r="6430" spans="1:12" ht="13.5" x14ac:dyDescent="0.25">
      <c r="A6430" s="1869"/>
      <c r="B6430" s="1869"/>
      <c r="C6430" s="1869"/>
      <c r="D6430" s="1869"/>
      <c r="E6430" s="1870"/>
      <c r="F6430" s="1869"/>
      <c r="G6430" s="1663"/>
      <c r="H6430" s="1869"/>
      <c r="I6430" s="1869"/>
      <c r="J6430" s="1869"/>
      <c r="K6430" s="1664"/>
      <c r="L6430" s="1869"/>
    </row>
    <row r="6431" spans="1:12" ht="13.5" x14ac:dyDescent="0.25">
      <c r="A6431" s="1869"/>
      <c r="B6431" s="1869"/>
      <c r="C6431" s="1869"/>
      <c r="D6431" s="1869"/>
      <c r="E6431" s="1870"/>
      <c r="F6431" s="1869"/>
      <c r="G6431" s="1663"/>
      <c r="H6431" s="1869"/>
      <c r="I6431" s="1869"/>
      <c r="J6431" s="1869"/>
      <c r="K6431" s="1664"/>
      <c r="L6431" s="1869"/>
    </row>
    <row r="6432" spans="1:12" ht="13.5" x14ac:dyDescent="0.25">
      <c r="A6432" s="1869"/>
      <c r="B6432" s="1869"/>
      <c r="C6432" s="1869"/>
      <c r="D6432" s="1869"/>
      <c r="E6432" s="1870"/>
      <c r="F6432" s="1869"/>
      <c r="G6432" s="1663"/>
      <c r="H6432" s="1869"/>
      <c r="I6432" s="1869"/>
      <c r="J6432" s="1869"/>
      <c r="K6432" s="1664"/>
      <c r="L6432" s="1869"/>
    </row>
    <row r="6433" spans="1:12" ht="13.5" x14ac:dyDescent="0.25">
      <c r="A6433" s="1869"/>
      <c r="B6433" s="1869"/>
      <c r="C6433" s="1869"/>
      <c r="D6433" s="1869"/>
      <c r="E6433" s="1870"/>
      <c r="F6433" s="1869"/>
      <c r="G6433" s="1663"/>
      <c r="H6433" s="1869"/>
      <c r="I6433" s="1869"/>
      <c r="J6433" s="1869"/>
      <c r="K6433" s="1664"/>
      <c r="L6433" s="1869"/>
    </row>
    <row r="6434" spans="1:12" ht="13.5" x14ac:dyDescent="0.25">
      <c r="A6434" s="1869"/>
      <c r="B6434" s="1869"/>
      <c r="C6434" s="1869"/>
      <c r="D6434" s="1869"/>
      <c r="E6434" s="1870"/>
      <c r="F6434" s="1869"/>
      <c r="G6434" s="1663"/>
      <c r="H6434" s="1869"/>
      <c r="I6434" s="1869"/>
      <c r="J6434" s="1869"/>
      <c r="K6434" s="1664"/>
      <c r="L6434" s="1869"/>
    </row>
    <row r="6435" spans="1:12" ht="13.5" x14ac:dyDescent="0.25">
      <c r="A6435" s="1869"/>
      <c r="B6435" s="1869"/>
      <c r="C6435" s="1869"/>
      <c r="D6435" s="1869"/>
      <c r="E6435" s="1870"/>
      <c r="F6435" s="1869"/>
      <c r="G6435" s="1663"/>
      <c r="H6435" s="1869"/>
      <c r="I6435" s="1869"/>
      <c r="J6435" s="1869"/>
      <c r="K6435" s="1664"/>
      <c r="L6435" s="1869"/>
    </row>
    <row r="6436" spans="1:12" ht="13.5" x14ac:dyDescent="0.25">
      <c r="A6436" s="1869"/>
      <c r="B6436" s="1869"/>
      <c r="C6436" s="1869"/>
      <c r="D6436" s="1869"/>
      <c r="E6436" s="1870"/>
      <c r="F6436" s="1869"/>
      <c r="G6436" s="1663"/>
      <c r="H6436" s="1869"/>
      <c r="I6436" s="1869"/>
      <c r="J6436" s="1869"/>
      <c r="K6436" s="1664"/>
      <c r="L6436" s="1869"/>
    </row>
    <row r="6437" spans="1:12" ht="13.5" x14ac:dyDescent="0.25">
      <c r="A6437" s="1869"/>
      <c r="B6437" s="1869"/>
      <c r="C6437" s="1869"/>
      <c r="D6437" s="1869"/>
      <c r="E6437" s="1870"/>
      <c r="F6437" s="1869"/>
      <c r="G6437" s="1663"/>
      <c r="H6437" s="1869"/>
      <c r="I6437" s="1869"/>
      <c r="J6437" s="1869"/>
      <c r="K6437" s="1664"/>
      <c r="L6437" s="1869"/>
    </row>
    <row r="6438" spans="1:12" ht="13.5" x14ac:dyDescent="0.25">
      <c r="A6438" s="1869"/>
      <c r="B6438" s="1869"/>
      <c r="C6438" s="1869"/>
      <c r="D6438" s="1869"/>
      <c r="E6438" s="1870"/>
      <c r="F6438" s="1869"/>
      <c r="G6438" s="1663"/>
      <c r="H6438" s="1869"/>
      <c r="I6438" s="1869"/>
      <c r="J6438" s="1869"/>
      <c r="K6438" s="1664"/>
      <c r="L6438" s="1869"/>
    </row>
    <row r="6439" spans="1:12" ht="13.5" x14ac:dyDescent="0.25">
      <c r="A6439" s="1869"/>
      <c r="B6439" s="1869"/>
      <c r="C6439" s="1869"/>
      <c r="D6439" s="1869"/>
      <c r="E6439" s="1870"/>
      <c r="F6439" s="1869"/>
      <c r="G6439" s="1663"/>
      <c r="H6439" s="1869"/>
      <c r="I6439" s="1869"/>
      <c r="J6439" s="1869"/>
      <c r="K6439" s="1664"/>
      <c r="L6439" s="1869"/>
    </row>
    <row r="6440" spans="1:12" ht="13.5" x14ac:dyDescent="0.25">
      <c r="A6440" s="1869"/>
      <c r="B6440" s="1869"/>
      <c r="C6440" s="1869"/>
      <c r="D6440" s="1869"/>
      <c r="E6440" s="1870"/>
      <c r="F6440" s="1869"/>
      <c r="G6440" s="1663"/>
      <c r="H6440" s="1869"/>
      <c r="I6440" s="1869"/>
      <c r="J6440" s="1869"/>
      <c r="K6440" s="1664"/>
      <c r="L6440" s="1869"/>
    </row>
    <row r="6441" spans="1:12" ht="13.5" x14ac:dyDescent="0.25">
      <c r="A6441" s="1869"/>
      <c r="B6441" s="1869"/>
      <c r="C6441" s="1869"/>
      <c r="D6441" s="1869"/>
      <c r="E6441" s="1870"/>
      <c r="F6441" s="1869"/>
      <c r="G6441" s="1663"/>
      <c r="H6441" s="1869"/>
      <c r="I6441" s="1869"/>
      <c r="J6441" s="1869"/>
      <c r="K6441" s="1664"/>
      <c r="L6441" s="1869"/>
    </row>
    <row r="6442" spans="1:12" ht="13.5" x14ac:dyDescent="0.25">
      <c r="A6442" s="1869"/>
      <c r="B6442" s="1869"/>
      <c r="C6442" s="1869"/>
      <c r="D6442" s="1869"/>
      <c r="E6442" s="1870"/>
      <c r="F6442" s="1869"/>
      <c r="G6442" s="1663"/>
      <c r="H6442" s="1869"/>
      <c r="I6442" s="1869"/>
      <c r="J6442" s="1869"/>
      <c r="K6442" s="1664"/>
      <c r="L6442" s="1869"/>
    </row>
    <row r="6443" spans="1:12" ht="13.5" x14ac:dyDescent="0.25">
      <c r="A6443" s="1869"/>
      <c r="B6443" s="1869"/>
      <c r="C6443" s="1869"/>
      <c r="D6443" s="1869"/>
      <c r="E6443" s="1870"/>
      <c r="F6443" s="1869"/>
      <c r="G6443" s="1663"/>
      <c r="H6443" s="1869"/>
      <c r="I6443" s="1869"/>
      <c r="J6443" s="1869"/>
      <c r="K6443" s="1664"/>
      <c r="L6443" s="1869"/>
    </row>
    <row r="6444" spans="1:12" ht="13.5" x14ac:dyDescent="0.25">
      <c r="A6444" s="1869"/>
      <c r="B6444" s="1869"/>
      <c r="C6444" s="1869"/>
      <c r="D6444" s="1869"/>
      <c r="E6444" s="1870"/>
      <c r="F6444" s="1869"/>
      <c r="G6444" s="1663"/>
      <c r="H6444" s="1869"/>
      <c r="I6444" s="1869"/>
      <c r="J6444" s="1869"/>
      <c r="K6444" s="1664"/>
      <c r="L6444" s="1869"/>
    </row>
    <row r="6445" spans="1:12" ht="13.5" x14ac:dyDescent="0.25">
      <c r="A6445" s="1869"/>
      <c r="B6445" s="1869"/>
      <c r="C6445" s="1869"/>
      <c r="D6445" s="1869"/>
      <c r="E6445" s="1870"/>
      <c r="F6445" s="1869"/>
      <c r="G6445" s="1663"/>
      <c r="H6445" s="1869"/>
      <c r="I6445" s="1869"/>
      <c r="J6445" s="1869"/>
      <c r="K6445" s="1664"/>
      <c r="L6445" s="1869"/>
    </row>
    <row r="6446" spans="1:12" ht="13.5" x14ac:dyDescent="0.25">
      <c r="A6446" s="1869"/>
      <c r="B6446" s="1869"/>
      <c r="C6446" s="1869"/>
      <c r="D6446" s="1869"/>
      <c r="E6446" s="1870"/>
      <c r="F6446" s="1869"/>
      <c r="G6446" s="1663"/>
      <c r="H6446" s="1869"/>
      <c r="I6446" s="1869"/>
      <c r="J6446" s="1869"/>
      <c r="K6446" s="1664"/>
      <c r="L6446" s="1869"/>
    </row>
    <row r="6447" spans="1:12" ht="13.5" x14ac:dyDescent="0.25">
      <c r="A6447" s="1869"/>
      <c r="B6447" s="1869"/>
      <c r="C6447" s="1869"/>
      <c r="D6447" s="1869"/>
      <c r="E6447" s="1870"/>
      <c r="F6447" s="1869"/>
      <c r="G6447" s="1663"/>
      <c r="H6447" s="1869"/>
      <c r="I6447" s="1869"/>
      <c r="J6447" s="1869"/>
      <c r="K6447" s="1664"/>
      <c r="L6447" s="1869"/>
    </row>
    <row r="6448" spans="1:12" ht="13.5" x14ac:dyDescent="0.25">
      <c r="A6448" s="1869"/>
      <c r="B6448" s="1869"/>
      <c r="C6448" s="1869"/>
      <c r="D6448" s="1869"/>
      <c r="E6448" s="1870"/>
      <c r="F6448" s="1869"/>
      <c r="G6448" s="1663"/>
      <c r="H6448" s="1869"/>
      <c r="I6448" s="1869"/>
      <c r="J6448" s="1869"/>
      <c r="K6448" s="1664"/>
      <c r="L6448" s="1869"/>
    </row>
    <row r="6449" spans="1:12" ht="13.5" x14ac:dyDescent="0.25">
      <c r="A6449" s="1869"/>
      <c r="B6449" s="1869"/>
      <c r="C6449" s="1869"/>
      <c r="D6449" s="1869"/>
      <c r="E6449" s="1870"/>
      <c r="F6449" s="1869"/>
      <c r="G6449" s="1663"/>
      <c r="H6449" s="1869"/>
      <c r="I6449" s="1869"/>
      <c r="J6449" s="1869"/>
      <c r="K6449" s="1664"/>
      <c r="L6449" s="1869"/>
    </row>
    <row r="6450" spans="1:12" ht="13.5" x14ac:dyDescent="0.25">
      <c r="A6450" s="1869"/>
      <c r="B6450" s="1869"/>
      <c r="C6450" s="1869"/>
      <c r="D6450" s="1869"/>
      <c r="E6450" s="1870"/>
      <c r="F6450" s="1869"/>
      <c r="G6450" s="1663"/>
      <c r="H6450" s="1869"/>
      <c r="I6450" s="1869"/>
      <c r="J6450" s="1869"/>
      <c r="K6450" s="1664"/>
      <c r="L6450" s="1869"/>
    </row>
    <row r="6451" spans="1:12" ht="13.5" x14ac:dyDescent="0.25">
      <c r="A6451" s="1869"/>
      <c r="B6451" s="1869"/>
      <c r="C6451" s="1869"/>
      <c r="D6451" s="1869"/>
      <c r="E6451" s="1870"/>
      <c r="F6451" s="1869"/>
      <c r="G6451" s="1663"/>
      <c r="H6451" s="1869"/>
      <c r="I6451" s="1869"/>
      <c r="J6451" s="1869"/>
      <c r="K6451" s="1664"/>
      <c r="L6451" s="1869"/>
    </row>
    <row r="6452" spans="1:12" ht="13.5" x14ac:dyDescent="0.25">
      <c r="A6452" s="1869"/>
      <c r="B6452" s="1869"/>
      <c r="C6452" s="1869"/>
      <c r="D6452" s="1869"/>
      <c r="E6452" s="1870"/>
      <c r="F6452" s="1869"/>
      <c r="G6452" s="1663"/>
      <c r="H6452" s="1869"/>
      <c r="I6452" s="1869"/>
      <c r="J6452" s="1869"/>
      <c r="K6452" s="1664"/>
      <c r="L6452" s="1869"/>
    </row>
    <row r="6453" spans="1:12" ht="13.5" x14ac:dyDescent="0.25">
      <c r="A6453" s="1869"/>
      <c r="B6453" s="1869"/>
      <c r="C6453" s="1869"/>
      <c r="D6453" s="1869"/>
      <c r="E6453" s="1870"/>
      <c r="F6453" s="1869"/>
      <c r="G6453" s="1663"/>
      <c r="H6453" s="1869"/>
      <c r="I6453" s="1869"/>
      <c r="J6453" s="1869"/>
      <c r="K6453" s="1664"/>
      <c r="L6453" s="1869"/>
    </row>
    <row r="6454" spans="1:12" ht="13.5" x14ac:dyDescent="0.25">
      <c r="A6454" s="1869"/>
      <c r="B6454" s="1869"/>
      <c r="C6454" s="1869"/>
      <c r="D6454" s="1869"/>
      <c r="E6454" s="1870"/>
      <c r="F6454" s="1869"/>
      <c r="G6454" s="1663"/>
      <c r="H6454" s="1869"/>
      <c r="I6454" s="1869"/>
      <c r="J6454" s="1869"/>
      <c r="K6454" s="1664"/>
      <c r="L6454" s="1869"/>
    </row>
    <row r="6455" spans="1:12" ht="13.5" x14ac:dyDescent="0.25">
      <c r="A6455" s="1869"/>
      <c r="B6455" s="1869"/>
      <c r="C6455" s="1869"/>
      <c r="D6455" s="1869"/>
      <c r="E6455" s="1870"/>
      <c r="F6455" s="1869"/>
      <c r="G6455" s="1663"/>
      <c r="H6455" s="1869"/>
      <c r="I6455" s="1869"/>
      <c r="J6455" s="1869"/>
      <c r="K6455" s="1664"/>
      <c r="L6455" s="1869"/>
    </row>
    <row r="6456" spans="1:12" ht="13.5" x14ac:dyDescent="0.25">
      <c r="A6456" s="1869"/>
      <c r="B6456" s="1869"/>
      <c r="C6456" s="1869"/>
      <c r="D6456" s="1869"/>
      <c r="E6456" s="1870"/>
      <c r="F6456" s="1869"/>
      <c r="G6456" s="1663"/>
      <c r="H6456" s="1869"/>
      <c r="I6456" s="1869"/>
      <c r="J6456" s="1869"/>
      <c r="K6456" s="1664"/>
      <c r="L6456" s="1869"/>
    </row>
    <row r="6457" spans="1:12" ht="13.5" x14ac:dyDescent="0.25">
      <c r="A6457" s="1869"/>
      <c r="B6457" s="1869"/>
      <c r="C6457" s="1869"/>
      <c r="D6457" s="1869"/>
      <c r="E6457" s="1870"/>
      <c r="F6457" s="1869"/>
      <c r="G6457" s="1663"/>
      <c r="H6457" s="1869"/>
      <c r="I6457" s="1869"/>
      <c r="J6457" s="1869"/>
      <c r="K6457" s="1664"/>
      <c r="L6457" s="1869"/>
    </row>
    <row r="6458" spans="1:12" ht="13.5" x14ac:dyDescent="0.25">
      <c r="A6458" s="1869"/>
      <c r="B6458" s="1869"/>
      <c r="C6458" s="1869"/>
      <c r="D6458" s="1869"/>
      <c r="E6458" s="1870"/>
      <c r="F6458" s="1869"/>
      <c r="G6458" s="1663"/>
      <c r="H6458" s="1869"/>
      <c r="I6458" s="1869"/>
      <c r="J6458" s="1869"/>
      <c r="K6458" s="1664"/>
      <c r="L6458" s="1869"/>
    </row>
    <row r="6459" spans="1:12" ht="13.5" x14ac:dyDescent="0.25">
      <c r="A6459" s="1869"/>
      <c r="B6459" s="1869"/>
      <c r="C6459" s="1869"/>
      <c r="D6459" s="1869"/>
      <c r="E6459" s="1870"/>
      <c r="F6459" s="1869"/>
      <c r="G6459" s="1663"/>
      <c r="H6459" s="1869"/>
      <c r="I6459" s="1869"/>
      <c r="J6459" s="1869"/>
      <c r="K6459" s="1664"/>
      <c r="L6459" s="1869"/>
    </row>
    <row r="6460" spans="1:12" ht="13.5" x14ac:dyDescent="0.25">
      <c r="A6460" s="1869"/>
      <c r="B6460" s="1869"/>
      <c r="C6460" s="1869"/>
      <c r="D6460" s="1869"/>
      <c r="E6460" s="1870"/>
      <c r="F6460" s="1869"/>
      <c r="G6460" s="1663"/>
      <c r="H6460" s="1869"/>
      <c r="I6460" s="1869"/>
      <c r="J6460" s="1869"/>
      <c r="K6460" s="1664"/>
      <c r="L6460" s="1869"/>
    </row>
    <row r="6461" spans="1:12" ht="13.5" x14ac:dyDescent="0.25">
      <c r="A6461" s="1869"/>
      <c r="B6461" s="1869"/>
      <c r="C6461" s="1869"/>
      <c r="D6461" s="1869"/>
      <c r="E6461" s="1870"/>
      <c r="F6461" s="1869"/>
      <c r="G6461" s="1663"/>
      <c r="H6461" s="1869"/>
      <c r="I6461" s="1869"/>
      <c r="J6461" s="1869"/>
      <c r="K6461" s="1664"/>
      <c r="L6461" s="1869"/>
    </row>
    <row r="6462" spans="1:12" ht="13.5" x14ac:dyDescent="0.25">
      <c r="A6462" s="1869"/>
      <c r="B6462" s="1869"/>
      <c r="C6462" s="1869"/>
      <c r="D6462" s="1869"/>
      <c r="E6462" s="1870"/>
      <c r="F6462" s="1869"/>
      <c r="G6462" s="1663"/>
      <c r="H6462" s="1869"/>
      <c r="I6462" s="1869"/>
      <c r="J6462" s="1869"/>
      <c r="K6462" s="1664"/>
      <c r="L6462" s="1869"/>
    </row>
    <row r="6463" spans="1:12" ht="13.5" x14ac:dyDescent="0.25">
      <c r="A6463" s="1869"/>
      <c r="B6463" s="1869"/>
      <c r="C6463" s="1869"/>
      <c r="D6463" s="1869"/>
      <c r="E6463" s="1870"/>
      <c r="F6463" s="1869"/>
      <c r="G6463" s="1663"/>
      <c r="H6463" s="1869"/>
      <c r="I6463" s="1869"/>
      <c r="J6463" s="1869"/>
      <c r="K6463" s="1664"/>
      <c r="L6463" s="1869"/>
    </row>
    <row r="6464" spans="1:12" ht="13.5" x14ac:dyDescent="0.25">
      <c r="A6464" s="1869"/>
      <c r="B6464" s="1869"/>
      <c r="C6464" s="1869"/>
      <c r="D6464" s="1869"/>
      <c r="E6464" s="1870"/>
      <c r="F6464" s="1869"/>
      <c r="G6464" s="1663"/>
      <c r="H6464" s="1869"/>
      <c r="I6464" s="1869"/>
      <c r="J6464" s="1869"/>
      <c r="K6464" s="1664"/>
      <c r="L6464" s="1869"/>
    </row>
    <row r="6465" spans="1:12" ht="13.5" x14ac:dyDescent="0.25">
      <c r="A6465" s="1869"/>
      <c r="B6465" s="1869"/>
      <c r="C6465" s="1869"/>
      <c r="D6465" s="1869"/>
      <c r="E6465" s="1870"/>
      <c r="F6465" s="1869"/>
      <c r="G6465" s="1663"/>
      <c r="H6465" s="1869"/>
      <c r="I6465" s="1869"/>
      <c r="J6465" s="1869"/>
      <c r="K6465" s="1664"/>
      <c r="L6465" s="1869"/>
    </row>
    <row r="6466" spans="1:12" ht="13.5" x14ac:dyDescent="0.25">
      <c r="A6466" s="1869"/>
      <c r="B6466" s="1869"/>
      <c r="C6466" s="1869"/>
      <c r="D6466" s="1869"/>
      <c r="E6466" s="1870"/>
      <c r="F6466" s="1869"/>
      <c r="G6466" s="1663"/>
      <c r="H6466" s="1869"/>
      <c r="I6466" s="1869"/>
      <c r="J6466" s="1869"/>
      <c r="K6466" s="1664"/>
      <c r="L6466" s="1869"/>
    </row>
    <row r="6467" spans="1:12" ht="13.5" x14ac:dyDescent="0.25">
      <c r="A6467" s="1869"/>
      <c r="B6467" s="1869"/>
      <c r="C6467" s="1869"/>
      <c r="D6467" s="1869"/>
      <c r="E6467" s="1870"/>
      <c r="F6467" s="1869"/>
      <c r="G6467" s="1663"/>
      <c r="H6467" s="1869"/>
      <c r="I6467" s="1869"/>
      <c r="J6467" s="1869"/>
      <c r="K6467" s="1664"/>
      <c r="L6467" s="1869"/>
    </row>
    <row r="6468" spans="1:12" ht="13.5" x14ac:dyDescent="0.25">
      <c r="A6468" s="1869"/>
      <c r="B6468" s="1869"/>
      <c r="C6468" s="1869"/>
      <c r="D6468" s="1869"/>
      <c r="E6468" s="1870"/>
      <c r="F6468" s="1869"/>
      <c r="G6468" s="1663"/>
      <c r="H6468" s="1869"/>
      <c r="I6468" s="1869"/>
      <c r="J6468" s="1869"/>
      <c r="K6468" s="1664"/>
      <c r="L6468" s="1869"/>
    </row>
    <row r="6469" spans="1:12" ht="13.5" x14ac:dyDescent="0.25">
      <c r="A6469" s="1869"/>
      <c r="B6469" s="1869"/>
      <c r="C6469" s="1869"/>
      <c r="D6469" s="1869"/>
      <c r="E6469" s="1870"/>
      <c r="F6469" s="1869"/>
      <c r="G6469" s="1663"/>
      <c r="H6469" s="1869"/>
      <c r="I6469" s="1869"/>
      <c r="J6469" s="1869"/>
      <c r="K6469" s="1664"/>
      <c r="L6469" s="1869"/>
    </row>
    <row r="6470" spans="1:12" ht="13.5" x14ac:dyDescent="0.25">
      <c r="A6470" s="1869"/>
      <c r="B6470" s="1869"/>
      <c r="C6470" s="1869"/>
      <c r="D6470" s="1869"/>
      <c r="E6470" s="1870"/>
      <c r="F6470" s="1869"/>
      <c r="G6470" s="1663"/>
      <c r="H6470" s="1869"/>
      <c r="I6470" s="1869"/>
      <c r="J6470" s="1869"/>
      <c r="K6470" s="1664"/>
      <c r="L6470" s="1869"/>
    </row>
    <row r="6471" spans="1:12" ht="13.5" x14ac:dyDescent="0.25">
      <c r="A6471" s="1869"/>
      <c r="B6471" s="1869"/>
      <c r="C6471" s="1869"/>
      <c r="D6471" s="1869"/>
      <c r="E6471" s="1870"/>
      <c r="F6471" s="1869"/>
      <c r="G6471" s="1663"/>
      <c r="H6471" s="1869"/>
      <c r="I6471" s="1869"/>
      <c r="J6471" s="1869"/>
      <c r="K6471" s="1664"/>
      <c r="L6471" s="1869"/>
    </row>
    <row r="6472" spans="1:12" ht="13.5" x14ac:dyDescent="0.25">
      <c r="A6472" s="1869"/>
      <c r="B6472" s="1869"/>
      <c r="C6472" s="1869"/>
      <c r="D6472" s="1869"/>
      <c r="E6472" s="1870"/>
      <c r="F6472" s="1869"/>
      <c r="G6472" s="1663"/>
      <c r="H6472" s="1869"/>
      <c r="I6472" s="1869"/>
      <c r="J6472" s="1869"/>
      <c r="K6472" s="1664"/>
      <c r="L6472" s="1869"/>
    </row>
    <row r="6473" spans="1:12" ht="13.5" x14ac:dyDescent="0.25">
      <c r="A6473" s="1869"/>
      <c r="B6473" s="1869"/>
      <c r="C6473" s="1869"/>
      <c r="D6473" s="1869"/>
      <c r="E6473" s="1870"/>
      <c r="F6473" s="1869"/>
      <c r="G6473" s="1663"/>
      <c r="H6473" s="1869"/>
      <c r="I6473" s="1869"/>
      <c r="J6473" s="1869"/>
      <c r="K6473" s="1664"/>
      <c r="L6473" s="1869"/>
    </row>
    <row r="6474" spans="1:12" ht="13.5" x14ac:dyDescent="0.25">
      <c r="A6474" s="1869"/>
      <c r="B6474" s="1869"/>
      <c r="C6474" s="1869"/>
      <c r="D6474" s="1869"/>
      <c r="E6474" s="1870"/>
      <c r="F6474" s="1869"/>
      <c r="G6474" s="1663"/>
      <c r="H6474" s="1869"/>
      <c r="I6474" s="1869"/>
      <c r="J6474" s="1869"/>
      <c r="K6474" s="1664"/>
      <c r="L6474" s="1869"/>
    </row>
    <row r="6475" spans="1:12" ht="13.5" x14ac:dyDescent="0.25">
      <c r="A6475" s="1869"/>
      <c r="B6475" s="1869"/>
      <c r="C6475" s="1869"/>
      <c r="D6475" s="1869"/>
      <c r="E6475" s="1870"/>
      <c r="F6475" s="1869"/>
      <c r="G6475" s="1663"/>
      <c r="H6475" s="1869"/>
      <c r="I6475" s="1869"/>
      <c r="J6475" s="1869"/>
      <c r="K6475" s="1664"/>
      <c r="L6475" s="1869"/>
    </row>
    <row r="6476" spans="1:12" x14ac:dyDescent="0.2">
      <c r="G6476" s="1926"/>
      <c r="K6476" s="1926"/>
    </row>
    <row r="6477" spans="1:12" ht="13.5" x14ac:dyDescent="0.25">
      <c r="A6477" s="1869"/>
      <c r="B6477" s="1869"/>
      <c r="C6477" s="1869"/>
      <c r="D6477" s="1869"/>
      <c r="E6477" s="1870"/>
      <c r="F6477" s="1869"/>
      <c r="G6477" s="1663"/>
      <c r="H6477" s="1869"/>
      <c r="I6477" s="1869"/>
      <c r="J6477" s="1869"/>
      <c r="K6477" s="1664"/>
      <c r="L6477" s="1869"/>
    </row>
    <row r="6478" spans="1:12" ht="13.5" x14ac:dyDescent="0.25">
      <c r="A6478" s="1869"/>
      <c r="B6478" s="1869"/>
      <c r="C6478" s="1869"/>
      <c r="D6478" s="1869"/>
      <c r="E6478" s="1870"/>
      <c r="F6478" s="1869"/>
      <c r="G6478" s="1663"/>
      <c r="H6478" s="1869"/>
      <c r="I6478" s="1869"/>
      <c r="J6478" s="1869"/>
      <c r="K6478" s="1664"/>
      <c r="L6478" s="1869"/>
    </row>
    <row r="6479" spans="1:12" ht="13.5" x14ac:dyDescent="0.25">
      <c r="A6479" s="1869"/>
      <c r="B6479" s="1869"/>
      <c r="C6479" s="1869"/>
      <c r="D6479" s="1869"/>
      <c r="E6479" s="1870"/>
      <c r="F6479" s="1869"/>
      <c r="G6479" s="1663"/>
      <c r="H6479" s="1869"/>
      <c r="I6479" s="1869"/>
      <c r="J6479" s="1869"/>
      <c r="K6479" s="1664"/>
      <c r="L6479" s="1869"/>
    </row>
    <row r="6480" spans="1:12" ht="13.5" x14ac:dyDescent="0.25">
      <c r="A6480" s="1869"/>
      <c r="B6480" s="1869"/>
      <c r="C6480" s="1869"/>
      <c r="D6480" s="1869"/>
      <c r="E6480" s="1870"/>
      <c r="F6480" s="1869"/>
      <c r="G6480" s="1663"/>
      <c r="H6480" s="1869"/>
      <c r="I6480" s="1869"/>
      <c r="J6480" s="1869"/>
      <c r="K6480" s="1664"/>
      <c r="L6480" s="1869"/>
    </row>
    <row r="6481" spans="1:12" ht="13.5" x14ac:dyDescent="0.25">
      <c r="A6481" s="1869"/>
      <c r="B6481" s="1869"/>
      <c r="C6481" s="1869"/>
      <c r="D6481" s="1869"/>
      <c r="E6481" s="1870"/>
      <c r="F6481" s="1869"/>
      <c r="G6481" s="1663"/>
      <c r="H6481" s="1869"/>
      <c r="I6481" s="1869"/>
      <c r="J6481" s="1869"/>
      <c r="K6481" s="1664"/>
      <c r="L6481" s="1869"/>
    </row>
    <row r="6482" spans="1:12" ht="13.5" x14ac:dyDescent="0.25">
      <c r="A6482" s="1869"/>
      <c r="B6482" s="1869"/>
      <c r="C6482" s="1869"/>
      <c r="D6482" s="1869"/>
      <c r="E6482" s="1870"/>
      <c r="F6482" s="1869"/>
      <c r="G6482" s="1663"/>
      <c r="H6482" s="1869"/>
      <c r="I6482" s="1869"/>
      <c r="J6482" s="1869"/>
      <c r="K6482" s="1664"/>
      <c r="L6482" s="1869"/>
    </row>
    <row r="6483" spans="1:12" ht="13.5" x14ac:dyDescent="0.25">
      <c r="A6483" s="1869"/>
      <c r="B6483" s="1869"/>
      <c r="C6483" s="1869"/>
      <c r="D6483" s="1869"/>
      <c r="E6483" s="1870"/>
      <c r="F6483" s="1869"/>
      <c r="G6483" s="1663"/>
      <c r="H6483" s="1869"/>
      <c r="I6483" s="1869"/>
      <c r="J6483" s="1869"/>
      <c r="K6483" s="1664"/>
      <c r="L6483" s="1869"/>
    </row>
    <row r="6484" spans="1:12" ht="13.5" x14ac:dyDescent="0.25">
      <c r="A6484" s="1869"/>
      <c r="B6484" s="1869"/>
      <c r="C6484" s="1869"/>
      <c r="D6484" s="1869"/>
      <c r="E6484" s="1870"/>
      <c r="F6484" s="1869"/>
      <c r="G6484" s="1663"/>
      <c r="H6484" s="1869"/>
      <c r="I6484" s="1869"/>
      <c r="J6484" s="1869"/>
      <c r="K6484" s="1664"/>
      <c r="L6484" s="1869"/>
    </row>
    <row r="6485" spans="1:12" ht="13.5" x14ac:dyDescent="0.25">
      <c r="A6485" s="1869"/>
      <c r="B6485" s="1869"/>
      <c r="C6485" s="1869"/>
      <c r="D6485" s="1869"/>
      <c r="E6485" s="1870"/>
      <c r="F6485" s="1869"/>
      <c r="G6485" s="1663"/>
      <c r="H6485" s="1869"/>
      <c r="I6485" s="1869"/>
      <c r="J6485" s="1869"/>
      <c r="K6485" s="1664"/>
      <c r="L6485" s="1869"/>
    </row>
    <row r="6486" spans="1:12" ht="13.5" x14ac:dyDescent="0.25">
      <c r="A6486" s="1869"/>
      <c r="B6486" s="1869"/>
      <c r="C6486" s="1869"/>
      <c r="D6486" s="1869"/>
      <c r="E6486" s="1870"/>
      <c r="F6486" s="1869"/>
      <c r="G6486" s="1663"/>
      <c r="H6486" s="1869"/>
      <c r="I6486" s="1869"/>
      <c r="J6486" s="1869"/>
      <c r="K6486" s="1664"/>
      <c r="L6486" s="1869"/>
    </row>
    <row r="6487" spans="1:12" ht="13.5" x14ac:dyDescent="0.25">
      <c r="A6487" s="1869"/>
      <c r="B6487" s="1869"/>
      <c r="C6487" s="1869"/>
      <c r="D6487" s="1869"/>
      <c r="E6487" s="1870"/>
      <c r="F6487" s="1869"/>
      <c r="G6487" s="1663"/>
      <c r="H6487" s="1869"/>
      <c r="I6487" s="1869"/>
      <c r="J6487" s="1869"/>
      <c r="K6487" s="1664"/>
      <c r="L6487" s="1869"/>
    </row>
    <row r="6488" spans="1:12" ht="13.5" x14ac:dyDescent="0.25">
      <c r="A6488" s="1869"/>
      <c r="B6488" s="1869"/>
      <c r="C6488" s="1869"/>
      <c r="D6488" s="1869"/>
      <c r="E6488" s="1870"/>
      <c r="F6488" s="1869"/>
      <c r="G6488" s="1663"/>
      <c r="H6488" s="1869"/>
      <c r="I6488" s="1869"/>
      <c r="J6488" s="1869"/>
      <c r="K6488" s="1664"/>
      <c r="L6488" s="1869"/>
    </row>
    <row r="6489" spans="1:12" ht="13.5" x14ac:dyDescent="0.25">
      <c r="A6489" s="1869"/>
      <c r="B6489" s="1869"/>
      <c r="C6489" s="1869"/>
      <c r="D6489" s="1869"/>
      <c r="E6489" s="1870"/>
      <c r="F6489" s="1869"/>
      <c r="G6489" s="1663"/>
      <c r="H6489" s="1869"/>
      <c r="I6489" s="1869"/>
      <c r="J6489" s="1869"/>
      <c r="K6489" s="1664"/>
      <c r="L6489" s="1869"/>
    </row>
    <row r="6490" spans="1:12" ht="13.5" x14ac:dyDescent="0.25">
      <c r="A6490" s="1869"/>
      <c r="B6490" s="1869"/>
      <c r="C6490" s="1869"/>
      <c r="D6490" s="1869"/>
      <c r="E6490" s="1870"/>
      <c r="F6490" s="1869"/>
      <c r="G6490" s="1663"/>
      <c r="H6490" s="1869"/>
      <c r="I6490" s="1869"/>
      <c r="J6490" s="1869"/>
      <c r="K6490" s="1664"/>
      <c r="L6490" s="1869"/>
    </row>
    <row r="6491" spans="1:12" ht="13.5" x14ac:dyDescent="0.25">
      <c r="A6491" s="1869"/>
      <c r="B6491" s="1869"/>
      <c r="C6491" s="1869"/>
      <c r="D6491" s="1869"/>
      <c r="E6491" s="1870"/>
      <c r="F6491" s="1869"/>
      <c r="G6491" s="1663"/>
      <c r="H6491" s="1869"/>
      <c r="I6491" s="1869"/>
      <c r="J6491" s="1869"/>
      <c r="K6491" s="1664"/>
      <c r="L6491" s="1869"/>
    </row>
    <row r="6492" spans="1:12" ht="13.5" x14ac:dyDescent="0.25">
      <c r="A6492" s="1869"/>
      <c r="B6492" s="1869"/>
      <c r="C6492" s="1869"/>
      <c r="D6492" s="1869"/>
      <c r="E6492" s="1870"/>
      <c r="F6492" s="1869"/>
      <c r="G6492" s="1663"/>
      <c r="H6492" s="1869"/>
      <c r="I6492" s="1869"/>
      <c r="J6492" s="1869"/>
      <c r="K6492" s="1664"/>
      <c r="L6492" s="1869"/>
    </row>
    <row r="6493" spans="1:12" ht="13.5" x14ac:dyDescent="0.25">
      <c r="A6493" s="1869"/>
      <c r="B6493" s="1869"/>
      <c r="C6493" s="1869"/>
      <c r="D6493" s="1869"/>
      <c r="E6493" s="1870"/>
      <c r="F6493" s="1869"/>
      <c r="G6493" s="1663"/>
      <c r="H6493" s="1869"/>
      <c r="I6493" s="1869"/>
      <c r="J6493" s="1869"/>
      <c r="K6493" s="1664"/>
      <c r="L6493" s="1869"/>
    </row>
    <row r="6494" spans="1:12" ht="13.5" x14ac:dyDescent="0.25">
      <c r="A6494" s="1869"/>
      <c r="B6494" s="1869"/>
      <c r="C6494" s="1869"/>
      <c r="D6494" s="1869"/>
      <c r="E6494" s="1870"/>
      <c r="F6494" s="1869"/>
      <c r="G6494" s="1663"/>
      <c r="H6494" s="1869"/>
      <c r="I6494" s="1869"/>
      <c r="J6494" s="1869"/>
      <c r="K6494" s="1664"/>
      <c r="L6494" s="1869"/>
    </row>
    <row r="6495" spans="1:12" ht="13.5" x14ac:dyDescent="0.25">
      <c r="A6495" s="1869"/>
      <c r="B6495" s="1869"/>
      <c r="C6495" s="1869"/>
      <c r="D6495" s="1869"/>
      <c r="E6495" s="1870"/>
      <c r="F6495" s="1869"/>
      <c r="G6495" s="1663"/>
      <c r="H6495" s="1869"/>
      <c r="I6495" s="1869"/>
      <c r="J6495" s="1869"/>
      <c r="K6495" s="1664"/>
      <c r="L6495" s="1869"/>
    </row>
    <row r="6496" spans="1:12" ht="13.5" x14ac:dyDescent="0.25">
      <c r="A6496" s="1869"/>
      <c r="B6496" s="1869"/>
      <c r="C6496" s="1869"/>
      <c r="D6496" s="1869"/>
      <c r="E6496" s="1870"/>
      <c r="F6496" s="1869"/>
      <c r="G6496" s="1663"/>
      <c r="H6496" s="1869"/>
      <c r="I6496" s="1869"/>
      <c r="J6496" s="1869"/>
      <c r="K6496" s="1664"/>
      <c r="L6496" s="1869"/>
    </row>
    <row r="6497" spans="1:12" ht="13.5" x14ac:dyDescent="0.25">
      <c r="A6497" s="1869"/>
      <c r="B6497" s="1869"/>
      <c r="C6497" s="1869"/>
      <c r="D6497" s="1869"/>
      <c r="E6497" s="1870"/>
      <c r="F6497" s="1869"/>
      <c r="G6497" s="1663"/>
      <c r="H6497" s="1869"/>
      <c r="I6497" s="1869"/>
      <c r="J6497" s="1869"/>
      <c r="K6497" s="1664"/>
      <c r="L6497" s="1869"/>
    </row>
    <row r="6498" spans="1:12" ht="13.5" x14ac:dyDescent="0.25">
      <c r="A6498" s="1869"/>
      <c r="B6498" s="1869"/>
      <c r="C6498" s="1869"/>
      <c r="D6498" s="1869"/>
      <c r="E6498" s="1870"/>
      <c r="F6498" s="1869"/>
      <c r="G6498" s="1663"/>
      <c r="H6498" s="1869"/>
      <c r="I6498" s="1869"/>
      <c r="J6498" s="1869"/>
      <c r="K6498" s="1664"/>
      <c r="L6498" s="1869"/>
    </row>
    <row r="6499" spans="1:12" ht="13.5" x14ac:dyDescent="0.25">
      <c r="A6499" s="1869"/>
      <c r="B6499" s="1869"/>
      <c r="C6499" s="1869"/>
      <c r="D6499" s="1869"/>
      <c r="E6499" s="1870"/>
      <c r="F6499" s="1869"/>
      <c r="G6499" s="1663"/>
      <c r="H6499" s="1869"/>
      <c r="I6499" s="1869"/>
      <c r="J6499" s="1869"/>
      <c r="K6499" s="1664"/>
      <c r="L6499" s="1869"/>
    </row>
    <row r="6500" spans="1:12" ht="13.5" x14ac:dyDescent="0.25">
      <c r="A6500" s="1869"/>
      <c r="B6500" s="1869"/>
      <c r="C6500" s="1869"/>
      <c r="D6500" s="1869"/>
      <c r="E6500" s="1870"/>
      <c r="F6500" s="1869"/>
      <c r="G6500" s="1663"/>
      <c r="H6500" s="1869"/>
      <c r="I6500" s="1869"/>
      <c r="J6500" s="1869"/>
      <c r="K6500" s="1664"/>
      <c r="L6500" s="1869"/>
    </row>
    <row r="6501" spans="1:12" ht="13.5" x14ac:dyDescent="0.25">
      <c r="A6501" s="1869"/>
      <c r="B6501" s="1869"/>
      <c r="C6501" s="1869"/>
      <c r="D6501" s="1869"/>
      <c r="E6501" s="1870"/>
      <c r="F6501" s="1869"/>
      <c r="G6501" s="1663"/>
      <c r="H6501" s="1869"/>
      <c r="I6501" s="1869"/>
      <c r="J6501" s="1869"/>
      <c r="K6501" s="1664"/>
      <c r="L6501" s="1869"/>
    </row>
    <row r="6502" spans="1:12" ht="13.5" x14ac:dyDescent="0.25">
      <c r="A6502" s="1869"/>
      <c r="B6502" s="1869"/>
      <c r="C6502" s="1869"/>
      <c r="D6502" s="1869"/>
      <c r="E6502" s="1870"/>
      <c r="F6502" s="1869"/>
      <c r="G6502" s="1663"/>
      <c r="H6502" s="1869"/>
      <c r="I6502" s="1869"/>
      <c r="J6502" s="1869"/>
      <c r="K6502" s="1664"/>
      <c r="L6502" s="1869"/>
    </row>
    <row r="6503" spans="1:12" ht="13.5" x14ac:dyDescent="0.25">
      <c r="A6503" s="1869"/>
      <c r="B6503" s="1869"/>
      <c r="C6503" s="1869"/>
      <c r="D6503" s="1869"/>
      <c r="E6503" s="1870"/>
      <c r="F6503" s="1869"/>
      <c r="G6503" s="1663"/>
      <c r="H6503" s="1869"/>
      <c r="I6503" s="1869"/>
      <c r="J6503" s="1869"/>
      <c r="K6503" s="1664"/>
      <c r="L6503" s="1869"/>
    </row>
    <row r="6504" spans="1:12" ht="13.5" x14ac:dyDescent="0.25">
      <c r="A6504" s="1869"/>
      <c r="B6504" s="1869"/>
      <c r="C6504" s="1869"/>
      <c r="D6504" s="1869"/>
      <c r="E6504" s="1870"/>
      <c r="F6504" s="1869"/>
      <c r="G6504" s="1663"/>
      <c r="H6504" s="1869"/>
      <c r="I6504" s="1869"/>
      <c r="J6504" s="1869"/>
      <c r="K6504" s="1664"/>
      <c r="L6504" s="1869"/>
    </row>
    <row r="6505" spans="1:12" ht="13.5" x14ac:dyDescent="0.25">
      <c r="A6505" s="1869"/>
      <c r="B6505" s="1869"/>
      <c r="C6505" s="1869"/>
      <c r="D6505" s="1869"/>
      <c r="E6505" s="1870"/>
      <c r="F6505" s="1869"/>
      <c r="G6505" s="1663"/>
      <c r="H6505" s="1869"/>
      <c r="I6505" s="1869"/>
      <c r="J6505" s="1869"/>
      <c r="K6505" s="1664"/>
      <c r="L6505" s="1869"/>
    </row>
    <row r="6506" spans="1:12" ht="13.5" x14ac:dyDescent="0.25">
      <c r="A6506" s="1869"/>
      <c r="B6506" s="1869"/>
      <c r="C6506" s="1869"/>
      <c r="D6506" s="1869"/>
      <c r="E6506" s="1870"/>
      <c r="F6506" s="1869"/>
      <c r="G6506" s="1663"/>
      <c r="H6506" s="1869"/>
      <c r="I6506" s="1869"/>
      <c r="J6506" s="1869"/>
      <c r="K6506" s="1664"/>
      <c r="L6506" s="1869"/>
    </row>
    <row r="6507" spans="1:12" ht="13.5" x14ac:dyDescent="0.25">
      <c r="A6507" s="1869"/>
      <c r="B6507" s="1869"/>
      <c r="C6507" s="1869"/>
      <c r="D6507" s="1869"/>
      <c r="E6507" s="1870"/>
      <c r="F6507" s="1869"/>
      <c r="G6507" s="1663"/>
      <c r="H6507" s="1869"/>
      <c r="I6507" s="1869"/>
      <c r="J6507" s="1869"/>
      <c r="K6507" s="1664"/>
      <c r="L6507" s="1869"/>
    </row>
    <row r="6508" spans="1:12" ht="13.5" x14ac:dyDescent="0.25">
      <c r="A6508" s="1869"/>
      <c r="B6508" s="1869"/>
      <c r="C6508" s="1869"/>
      <c r="D6508" s="1869"/>
      <c r="E6508" s="1870"/>
      <c r="F6508" s="1869"/>
      <c r="G6508" s="1663"/>
      <c r="H6508" s="1869"/>
      <c r="I6508" s="1869"/>
      <c r="J6508" s="1869"/>
      <c r="K6508" s="1664"/>
      <c r="L6508" s="1869"/>
    </row>
    <row r="6509" spans="1:12" ht="13.5" x14ac:dyDescent="0.25">
      <c r="A6509" s="1869"/>
      <c r="B6509" s="1869"/>
      <c r="C6509" s="1869"/>
      <c r="D6509" s="1869"/>
      <c r="E6509" s="1870"/>
      <c r="F6509" s="1869"/>
      <c r="G6509" s="1663"/>
      <c r="H6509" s="1869"/>
      <c r="I6509" s="1869"/>
      <c r="J6509" s="1869"/>
      <c r="K6509" s="1664"/>
      <c r="L6509" s="1869"/>
    </row>
  </sheetData>
  <mergeCells count="3">
    <mergeCell ref="A1:M1"/>
    <mergeCell ref="A2:M2"/>
    <mergeCell ref="A3:M3"/>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28">
    <pageSetUpPr fitToPage="1"/>
  </sheetPr>
  <dimension ref="A1:P26"/>
  <sheetViews>
    <sheetView view="pageBreakPreview" zoomScaleNormal="100" zoomScaleSheetLayoutView="100" zoomScalePageLayoutView="85" workbookViewId="0">
      <selection activeCell="D55" sqref="D55"/>
    </sheetView>
  </sheetViews>
  <sheetFormatPr defaultRowHeight="12.75" x14ac:dyDescent="0.2"/>
  <cols>
    <col min="1" max="1" width="13" style="11" customWidth="1"/>
    <col min="2" max="2" width="10.5703125" style="11" customWidth="1"/>
    <col min="3" max="3" width="9.42578125" style="11" customWidth="1"/>
    <col min="4" max="4" width="41.5703125" style="12" customWidth="1"/>
    <col min="5" max="5" width="10.5703125" style="1509" bestFit="1" customWidth="1"/>
    <col min="6" max="6" width="9.5703125" style="1633" customWidth="1"/>
    <col min="7" max="7" width="15.85546875" style="1655" bestFit="1" customWidth="1"/>
    <col min="8" max="8" width="15.85546875" style="13" bestFit="1" customWidth="1"/>
    <col min="9" max="10" width="17.85546875" style="137" customWidth="1"/>
    <col min="11" max="11" width="17.85546875" style="1637" customWidth="1"/>
    <col min="12" max="12" width="96.140625" style="1632" bestFit="1" customWidth="1"/>
    <col min="13" max="13" width="10.140625" style="1480" bestFit="1" customWidth="1"/>
    <col min="14" max="16384" width="9.140625" style="1480"/>
  </cols>
  <sheetData>
    <row r="1" spans="1:16" ht="15" x14ac:dyDescent="0.2">
      <c r="A1" s="184"/>
      <c r="B1" s="184"/>
      <c r="C1" s="184"/>
      <c r="D1" s="62"/>
      <c r="E1" s="68"/>
      <c r="F1" s="63"/>
      <c r="G1" s="1644"/>
      <c r="H1" s="191"/>
      <c r="I1" s="136"/>
      <c r="J1" s="136"/>
      <c r="K1" s="2"/>
      <c r="L1" s="2"/>
    </row>
    <row r="2" spans="1:16" ht="15" x14ac:dyDescent="0.2">
      <c r="A2" s="2123" t="s">
        <v>34</v>
      </c>
      <c r="B2" s="2123"/>
      <c r="C2" s="2123"/>
      <c r="D2" s="2123"/>
      <c r="E2" s="2123"/>
      <c r="F2" s="2123"/>
      <c r="G2" s="2123"/>
      <c r="H2" s="2123"/>
      <c r="I2" s="67"/>
      <c r="J2" s="67"/>
      <c r="K2" s="38"/>
      <c r="L2" s="39"/>
    </row>
    <row r="3" spans="1:16" ht="15" x14ac:dyDescent="0.2">
      <c r="A3" s="2123" t="s">
        <v>35</v>
      </c>
      <c r="B3" s="2123"/>
      <c r="C3" s="2123"/>
      <c r="D3" s="2123"/>
      <c r="E3" s="2123"/>
      <c r="F3" s="2123"/>
      <c r="G3" s="2123"/>
      <c r="H3" s="2123"/>
      <c r="I3" s="67"/>
      <c r="J3" s="67"/>
      <c r="K3" s="38"/>
      <c r="L3" s="39"/>
    </row>
    <row r="4" spans="1:16" ht="15" x14ac:dyDescent="0.2">
      <c r="A4" s="2123" t="s">
        <v>4980</v>
      </c>
      <c r="B4" s="2123"/>
      <c r="C4" s="2123"/>
      <c r="D4" s="2123"/>
      <c r="E4" s="2123"/>
      <c r="F4" s="2123"/>
      <c r="G4" s="2123"/>
      <c r="H4" s="2123"/>
      <c r="I4" s="67"/>
      <c r="J4" s="67"/>
      <c r="K4" s="38"/>
      <c r="L4" s="39"/>
    </row>
    <row r="5" spans="1:16" ht="15" x14ac:dyDescent="0.2">
      <c r="A5" s="56"/>
      <c r="B5" s="56"/>
      <c r="C5" s="56"/>
      <c r="D5" s="57" t="s">
        <v>29</v>
      </c>
      <c r="E5" s="1503"/>
      <c r="F5" s="1702"/>
      <c r="G5" s="1645"/>
      <c r="H5" s="58"/>
      <c r="I5" s="67"/>
      <c r="J5" s="67"/>
      <c r="K5" s="38"/>
      <c r="L5" s="39"/>
    </row>
    <row r="6" spans="1:16" ht="15" x14ac:dyDescent="0.2">
      <c r="A6" s="56"/>
      <c r="B6" s="56"/>
      <c r="C6" s="56"/>
      <c r="D6" s="57"/>
      <c r="E6" s="1503"/>
      <c r="F6" s="65"/>
      <c r="G6" s="1644"/>
      <c r="H6" s="191"/>
      <c r="I6" s="136"/>
      <c r="J6" s="136"/>
      <c r="K6" s="2"/>
      <c r="L6" s="2"/>
    </row>
    <row r="7" spans="1:16" ht="21" x14ac:dyDescent="0.2">
      <c r="A7" s="2128" t="s">
        <v>7846</v>
      </c>
      <c r="B7" s="2128"/>
      <c r="C7" s="2128"/>
      <c r="D7" s="2128"/>
      <c r="E7" s="2128"/>
      <c r="F7" s="2128"/>
      <c r="G7" s="2128"/>
      <c r="H7" s="2128"/>
      <c r="I7" s="67"/>
      <c r="J7" s="67"/>
      <c r="K7" s="38"/>
      <c r="L7" s="39"/>
    </row>
    <row r="8" spans="1:16" ht="15" x14ac:dyDescent="0.2">
      <c r="A8" s="56"/>
      <c r="B8" s="56"/>
      <c r="C8" s="56"/>
      <c r="D8" s="57"/>
      <c r="E8" s="1503"/>
      <c r="F8" s="1702"/>
      <c r="G8" s="1645"/>
      <c r="H8" s="58"/>
      <c r="I8" s="67"/>
      <c r="J8" s="67"/>
      <c r="K8" s="38"/>
      <c r="L8" s="39"/>
    </row>
    <row r="9" spans="1:16" s="6" customFormat="1" ht="15" x14ac:dyDescent="0.2">
      <c r="A9" s="66" t="s">
        <v>4443</v>
      </c>
      <c r="B9" s="2127" t="s">
        <v>15152</v>
      </c>
      <c r="C9" s="2127"/>
      <c r="D9" s="2127"/>
      <c r="E9" s="2127"/>
      <c r="F9" s="2127"/>
      <c r="G9" s="2127"/>
      <c r="H9" s="2127"/>
      <c r="I9" s="67"/>
      <c r="J9" s="67"/>
      <c r="K9" s="2"/>
      <c r="L9" s="2"/>
    </row>
    <row r="10" spans="1:16" ht="15" x14ac:dyDescent="0.2">
      <c r="A10" s="66" t="s">
        <v>128</v>
      </c>
      <c r="B10" s="2127" t="s">
        <v>8381</v>
      </c>
      <c r="C10" s="2127"/>
      <c r="D10" s="2127"/>
      <c r="E10" s="2127"/>
      <c r="F10" s="2127"/>
      <c r="G10" s="2127"/>
      <c r="H10" s="2127"/>
      <c r="I10" s="67"/>
      <c r="J10" s="67"/>
      <c r="K10" s="2"/>
      <c r="L10" s="2"/>
    </row>
    <row r="11" spans="1:16" ht="15" x14ac:dyDescent="0.2">
      <c r="A11" s="66" t="s">
        <v>4444</v>
      </c>
      <c r="B11" s="2126" t="s">
        <v>14964</v>
      </c>
      <c r="C11" s="2127"/>
      <c r="D11" s="2127"/>
      <c r="E11" s="2127"/>
      <c r="F11" s="2127"/>
      <c r="G11" s="2127"/>
      <c r="H11" s="2127"/>
      <c r="I11" s="67"/>
      <c r="J11" s="67"/>
      <c r="K11" s="2"/>
      <c r="L11" s="2"/>
    </row>
    <row r="12" spans="1:16" ht="30" customHeight="1" x14ac:dyDescent="0.2">
      <c r="A12" s="66" t="s">
        <v>4445</v>
      </c>
      <c r="B12" s="2127" t="s">
        <v>14970</v>
      </c>
      <c r="C12" s="2127"/>
      <c r="D12" s="2127"/>
      <c r="E12" s="2127"/>
      <c r="F12" s="2127"/>
      <c r="G12" s="2127"/>
      <c r="H12" s="2127"/>
      <c r="I12" s="136"/>
      <c r="J12" s="136"/>
      <c r="K12" s="2"/>
      <c r="L12" s="2"/>
    </row>
    <row r="13" spans="1:16" ht="15" x14ac:dyDescent="0.2">
      <c r="A13" s="190" t="s">
        <v>129</v>
      </c>
      <c r="B13" s="43">
        <v>0.26929999999999998</v>
      </c>
      <c r="C13" s="188" t="s">
        <v>4871</v>
      </c>
      <c r="D13" s="1480"/>
      <c r="E13" s="1504"/>
      <c r="F13" s="1480"/>
      <c r="G13" s="1646"/>
      <c r="H13" s="1480"/>
      <c r="I13" s="136"/>
      <c r="J13" s="136"/>
      <c r="K13" s="2"/>
      <c r="L13" s="2"/>
    </row>
    <row r="14" spans="1:16" ht="15" x14ac:dyDescent="0.2">
      <c r="A14" s="190"/>
      <c r="B14" s="43">
        <v>0.20930000000000001</v>
      </c>
      <c r="C14" s="188" t="s">
        <v>4872</v>
      </c>
      <c r="D14" s="1480"/>
      <c r="E14" s="1505"/>
      <c r="F14" s="1703"/>
      <c r="G14" s="1647"/>
      <c r="H14" s="1703"/>
      <c r="I14" s="136"/>
      <c r="J14" s="136"/>
      <c r="K14" s="2"/>
      <c r="L14" s="2"/>
    </row>
    <row r="15" spans="1:16" ht="15" x14ac:dyDescent="0.2">
      <c r="A15" s="190"/>
      <c r="B15" s="190"/>
      <c r="C15" s="2127" t="s">
        <v>4446</v>
      </c>
      <c r="D15" s="2127"/>
      <c r="E15" s="2127"/>
      <c r="F15" s="2127"/>
      <c r="G15" s="2127"/>
      <c r="H15" s="2127"/>
      <c r="I15" s="136"/>
      <c r="J15" s="136"/>
      <c r="K15" s="2"/>
      <c r="L15" s="2"/>
    </row>
    <row r="16" spans="1:16" ht="15" x14ac:dyDescent="0.2">
      <c r="A16" s="190"/>
      <c r="B16" s="56"/>
      <c r="C16" s="56"/>
      <c r="D16" s="1705"/>
      <c r="E16" s="1503"/>
      <c r="F16" s="36"/>
      <c r="G16" s="1644"/>
      <c r="H16" s="191"/>
      <c r="I16" s="136"/>
      <c r="J16" s="136"/>
      <c r="K16" s="2"/>
      <c r="L16" s="2"/>
      <c r="P16" s="1480" t="e">
        <f>(#REF!-#REF!)/2</f>
        <v>#REF!</v>
      </c>
    </row>
    <row r="17" spans="1:16" ht="28.5" customHeight="1" x14ac:dyDescent="0.2">
      <c r="A17" s="37"/>
      <c r="B17" s="37"/>
      <c r="C17" s="37"/>
      <c r="D17" s="1706" t="s">
        <v>7847</v>
      </c>
      <c r="E17" s="1706"/>
      <c r="F17" s="1706"/>
      <c r="G17" s="1711">
        <f>'Orç - Canteiro e Adm'!J112</f>
        <v>1037342.48</v>
      </c>
      <c r="H17" s="21"/>
      <c r="I17" s="138"/>
      <c r="J17" s="138"/>
      <c r="K17" s="47"/>
      <c r="L17" s="10"/>
    </row>
    <row r="18" spans="1:16" ht="28.5" customHeight="1" x14ac:dyDescent="0.2">
      <c r="A18" s="37"/>
      <c r="B18" s="37"/>
      <c r="C18" s="37"/>
      <c r="D18" s="1707" t="s">
        <v>6795</v>
      </c>
      <c r="E18" s="1707"/>
      <c r="F18" s="1707"/>
      <c r="G18" s="1711">
        <f>'Orç - Prédio'!J838</f>
        <v>7889602.9599999981</v>
      </c>
      <c r="H18" s="21"/>
      <c r="I18" s="138"/>
      <c r="J18" s="138"/>
      <c r="K18" s="47"/>
      <c r="L18" s="10"/>
    </row>
    <row r="19" spans="1:16" ht="28.5" customHeight="1" x14ac:dyDescent="0.2">
      <c r="A19" s="37"/>
      <c r="B19" s="37"/>
      <c r="C19" s="37"/>
      <c r="D19" s="1706" t="s">
        <v>7719</v>
      </c>
      <c r="E19" s="1706"/>
      <c r="F19" s="1706"/>
      <c r="G19" s="1711">
        <f>'Orç - Reservatório'!J145</f>
        <v>131565.66999999998</v>
      </c>
      <c r="H19" s="21"/>
      <c r="I19" s="138"/>
      <c r="J19" s="138"/>
      <c r="K19" s="47"/>
      <c r="L19" s="10"/>
    </row>
    <row r="20" spans="1:16" s="1716" customFormat="1" ht="28.5" customHeight="1" x14ac:dyDescent="0.2">
      <c r="A20" s="1708"/>
      <c r="B20" s="1708"/>
      <c r="C20" s="1708"/>
      <c r="D20" s="1709" t="s">
        <v>5267</v>
      </c>
      <c r="E20" s="1709"/>
      <c r="F20" s="1709"/>
      <c r="G20" s="1712">
        <f>SUM(G17:G19)</f>
        <v>9058511.1099999975</v>
      </c>
      <c r="H20" s="1710"/>
      <c r="I20" s="1713"/>
      <c r="J20" s="1713"/>
      <c r="K20" s="1714"/>
      <c r="L20" s="1715"/>
    </row>
    <row r="21" spans="1:16" ht="15" x14ac:dyDescent="0.2">
      <c r="A21" s="1704"/>
      <c r="B21" s="1704"/>
      <c r="C21" s="1704"/>
      <c r="D21" s="1703"/>
      <c r="E21" s="42"/>
      <c r="F21" s="59"/>
      <c r="G21" s="1644"/>
      <c r="H21" s="191"/>
    </row>
    <row r="22" spans="1:16" ht="15" x14ac:dyDescent="0.2">
      <c r="A22" s="1704"/>
      <c r="B22" s="1704"/>
      <c r="C22" s="1704"/>
      <c r="D22" s="1703"/>
      <c r="E22" s="42"/>
      <c r="F22" s="59"/>
      <c r="G22" s="1644"/>
      <c r="H22" s="191"/>
    </row>
    <row r="23" spans="1:16" s="137" customFormat="1" ht="15" x14ac:dyDescent="0.2">
      <c r="A23" s="1704"/>
      <c r="B23" s="1704"/>
      <c r="C23" s="1704"/>
      <c r="D23" s="1703"/>
      <c r="E23" s="42"/>
      <c r="F23" s="59"/>
      <c r="G23" s="1644"/>
      <c r="H23" s="191"/>
      <c r="K23" s="1637"/>
      <c r="L23" s="1632"/>
      <c r="M23" s="1480"/>
      <c r="N23" s="1480"/>
      <c r="O23" s="1480"/>
      <c r="P23" s="1480"/>
    </row>
    <row r="24" spans="1:16" s="137" customFormat="1" ht="15" x14ac:dyDescent="0.2">
      <c r="A24" s="1704"/>
      <c r="B24" s="1704"/>
      <c r="C24" s="1704"/>
      <c r="D24" s="1703"/>
      <c r="E24" s="42"/>
      <c r="F24" s="59"/>
      <c r="G24" s="1644"/>
      <c r="H24" s="191"/>
      <c r="K24" s="1637"/>
      <c r="L24" s="1632"/>
      <c r="M24" s="1480"/>
      <c r="N24" s="1480"/>
      <c r="O24" s="1480"/>
      <c r="P24" s="1480"/>
    </row>
    <row r="25" spans="1:16" s="137" customFormat="1" ht="15" x14ac:dyDescent="0.2">
      <c r="A25" s="1704"/>
      <c r="B25" s="1704"/>
      <c r="C25" s="1704"/>
      <c r="D25" s="1703"/>
      <c r="E25" s="42"/>
      <c r="F25" s="59"/>
      <c r="G25" s="1644"/>
      <c r="H25" s="191"/>
      <c r="K25" s="1637"/>
      <c r="L25" s="1632"/>
      <c r="M25" s="1480"/>
      <c r="N25" s="1480"/>
      <c r="O25" s="1480"/>
      <c r="P25" s="1480"/>
    </row>
    <row r="26" spans="1:16" s="137" customFormat="1" x14ac:dyDescent="0.2">
      <c r="A26" s="11"/>
      <c r="B26" s="44"/>
      <c r="C26" s="44"/>
      <c r="D26" s="7"/>
      <c r="E26" s="1508"/>
      <c r="F26" s="8"/>
      <c r="G26" s="1654"/>
      <c r="H26" s="73"/>
      <c r="K26" s="1637"/>
      <c r="L26" s="1632"/>
      <c r="M26" s="1480"/>
      <c r="N26" s="1480"/>
      <c r="O26" s="1480"/>
      <c r="P26" s="1480"/>
    </row>
  </sheetData>
  <sheetProtection selectLockedCells="1" selectUnlockedCells="1"/>
  <mergeCells count="9">
    <mergeCell ref="B11:H11"/>
    <mergeCell ref="B12:H12"/>
    <mergeCell ref="C15:H15"/>
    <mergeCell ref="A2:H2"/>
    <mergeCell ref="A3:H3"/>
    <mergeCell ref="A4:H4"/>
    <mergeCell ref="A7:H7"/>
    <mergeCell ref="B9:H9"/>
    <mergeCell ref="B10:H10"/>
  </mergeCells>
  <printOptions horizontalCentered="1"/>
  <pageMargins left="0.39370078740157483" right="0.39370078740157483" top="0.39370078740157483" bottom="0.98425196850393704" header="0" footer="0.39370078740157483"/>
  <pageSetup paperSize="9" scale="77" fitToHeight="0" orientation="portrait" useFirstPageNumber="1" r:id="rId1"/>
  <headerFooter alignWithMargins="0">
    <oddFooter>&amp;RPágina &amp;P de 249</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15">
    <tabColor theme="9"/>
    <pageSetUpPr fitToPage="1"/>
  </sheetPr>
  <dimension ref="A1:AA121"/>
  <sheetViews>
    <sheetView view="pageBreakPreview" zoomScaleNormal="100" zoomScaleSheetLayoutView="100" workbookViewId="0">
      <selection activeCell="J14" sqref="J14"/>
    </sheetView>
  </sheetViews>
  <sheetFormatPr defaultRowHeight="12.75" x14ac:dyDescent="0.2"/>
  <cols>
    <col min="1" max="1" width="13" style="11" customWidth="1"/>
    <col min="2" max="2" width="10.5703125" style="11" customWidth="1"/>
    <col min="3" max="3" width="9.42578125" style="11" customWidth="1"/>
    <col min="4" max="4" width="41.5703125" style="12" customWidth="1"/>
    <col min="5" max="5" width="10.5703125" style="1509" customWidth="1"/>
    <col min="6" max="6" width="9.5703125" style="1512" customWidth="1"/>
    <col min="7" max="8" width="13.28515625" style="4" customWidth="1"/>
    <col min="9" max="9" width="15" style="4" customWidth="1"/>
    <col min="10" max="10" width="15" style="1728" customWidth="1"/>
    <col min="11" max="12" width="17.85546875" style="137" customWidth="1"/>
    <col min="13" max="13" width="13.85546875" style="1654" bestFit="1" customWidth="1"/>
    <col min="14" max="26" width="12.5703125" style="1681" customWidth="1"/>
    <col min="27" max="27" width="6" style="6" customWidth="1"/>
    <col min="28" max="16384" width="9.140625" style="6"/>
  </cols>
  <sheetData>
    <row r="1" spans="1:14" ht="15" x14ac:dyDescent="0.2">
      <c r="A1" s="184"/>
      <c r="B1" s="184"/>
      <c r="C1" s="184"/>
      <c r="D1" s="62"/>
      <c r="E1" s="68"/>
      <c r="F1" s="63"/>
      <c r="G1" s="185"/>
      <c r="H1" s="185"/>
      <c r="I1" s="185"/>
      <c r="J1" s="1722"/>
      <c r="K1" s="136"/>
      <c r="L1" s="136"/>
      <c r="M1" s="1679"/>
      <c r="N1" s="1679"/>
    </row>
    <row r="2" spans="1:14" ht="15" x14ac:dyDescent="0.2">
      <c r="A2" s="2123" t="s">
        <v>34</v>
      </c>
      <c r="B2" s="2123"/>
      <c r="C2" s="2123"/>
      <c r="D2" s="2123"/>
      <c r="E2" s="2123"/>
      <c r="F2" s="2123"/>
      <c r="G2" s="2123"/>
      <c r="H2" s="2123"/>
      <c r="I2" s="2123"/>
      <c r="J2" s="2123"/>
      <c r="K2" s="67"/>
      <c r="L2" s="67"/>
      <c r="M2" s="1804"/>
      <c r="N2" s="1680"/>
    </row>
    <row r="3" spans="1:14" ht="15" x14ac:dyDescent="0.2">
      <c r="A3" s="2123" t="s">
        <v>35</v>
      </c>
      <c r="B3" s="2123"/>
      <c r="C3" s="2123"/>
      <c r="D3" s="2123"/>
      <c r="E3" s="2123"/>
      <c r="F3" s="2123"/>
      <c r="G3" s="2123"/>
      <c r="H3" s="2123"/>
      <c r="I3" s="2123"/>
      <c r="J3" s="2123"/>
      <c r="K3" s="67"/>
      <c r="L3" s="67"/>
      <c r="M3" s="1804"/>
      <c r="N3" s="1680"/>
    </row>
    <row r="4" spans="1:14" ht="15" x14ac:dyDescent="0.2">
      <c r="A4" s="2123" t="s">
        <v>4980</v>
      </c>
      <c r="B4" s="2123"/>
      <c r="C4" s="2123"/>
      <c r="D4" s="2123"/>
      <c r="E4" s="2123"/>
      <c r="F4" s="2123"/>
      <c r="G4" s="2123"/>
      <c r="H4" s="2123"/>
      <c r="I4" s="2123"/>
      <c r="J4" s="2123"/>
      <c r="K4" s="67"/>
      <c r="L4" s="67"/>
      <c r="M4" s="1804"/>
      <c r="N4" s="1680"/>
    </row>
    <row r="5" spans="1:14" ht="15" x14ac:dyDescent="0.2">
      <c r="A5" s="56"/>
      <c r="B5" s="56"/>
      <c r="C5" s="56"/>
      <c r="D5" s="57" t="s">
        <v>29</v>
      </c>
      <c r="E5" s="1503"/>
      <c r="F5" s="1597"/>
      <c r="G5" s="64"/>
      <c r="H5" s="64"/>
      <c r="I5" s="64"/>
      <c r="J5" s="1721"/>
      <c r="K5" s="67"/>
      <c r="L5" s="67"/>
      <c r="M5" s="1804"/>
      <c r="N5" s="1680"/>
    </row>
    <row r="6" spans="1:14" ht="15" x14ac:dyDescent="0.2">
      <c r="A6" s="56"/>
      <c r="B6" s="56"/>
      <c r="C6" s="56"/>
      <c r="D6" s="57"/>
      <c r="E6" s="1503"/>
      <c r="F6" s="65"/>
      <c r="G6" s="185"/>
      <c r="H6" s="185"/>
      <c r="I6" s="185"/>
      <c r="J6" s="1722"/>
      <c r="K6" s="136"/>
      <c r="L6" s="136"/>
      <c r="M6" s="1679"/>
      <c r="N6" s="1679"/>
    </row>
    <row r="7" spans="1:14" ht="21" x14ac:dyDescent="0.2">
      <c r="A7" s="2128" t="s">
        <v>6928</v>
      </c>
      <c r="B7" s="2128"/>
      <c r="C7" s="2128"/>
      <c r="D7" s="2128"/>
      <c r="E7" s="2128"/>
      <c r="F7" s="2128"/>
      <c r="G7" s="2128"/>
      <c r="H7" s="2128"/>
      <c r="I7" s="2128"/>
      <c r="J7" s="2128"/>
      <c r="K7" s="67"/>
      <c r="L7" s="67"/>
      <c r="M7" s="1804"/>
      <c r="N7" s="1680"/>
    </row>
    <row r="8" spans="1:14" ht="15" x14ac:dyDescent="0.2">
      <c r="A8" s="56"/>
      <c r="B8" s="56"/>
      <c r="C8" s="56"/>
      <c r="D8" s="57"/>
      <c r="E8" s="1503"/>
      <c r="F8" s="1597"/>
      <c r="G8" s="64"/>
      <c r="H8" s="64"/>
      <c r="I8" s="64"/>
      <c r="J8" s="1721"/>
      <c r="K8" s="67"/>
      <c r="L8" s="67"/>
      <c r="M8" s="1804"/>
      <c r="N8" s="1680"/>
    </row>
    <row r="9" spans="1:14" ht="15" x14ac:dyDescent="0.2">
      <c r="A9" s="66" t="s">
        <v>4443</v>
      </c>
      <c r="B9" s="2127" t="str">
        <f>Resumo!B9</f>
        <v>Construção do Edifício ULEG-FM</v>
      </c>
      <c r="C9" s="2127"/>
      <c r="D9" s="2127"/>
      <c r="E9" s="2127"/>
      <c r="F9" s="2127"/>
      <c r="G9" s="2127"/>
      <c r="H9" s="2127"/>
      <c r="I9" s="2127"/>
      <c r="J9" s="2127"/>
      <c r="K9" s="67"/>
      <c r="L9" s="67"/>
      <c r="M9" s="1679"/>
      <c r="N9" s="1679"/>
    </row>
    <row r="10" spans="1:14" ht="15" x14ac:dyDescent="0.2">
      <c r="A10" s="66" t="s">
        <v>128</v>
      </c>
      <c r="B10" s="2127" t="str">
        <f>Resumo!B10</f>
        <v>Campus Darcy Ribeiro</v>
      </c>
      <c r="C10" s="2127"/>
      <c r="D10" s="2127"/>
      <c r="E10" s="2127"/>
      <c r="F10" s="2127"/>
      <c r="G10" s="2127"/>
      <c r="H10" s="2127"/>
      <c r="I10" s="2127"/>
      <c r="J10" s="2127"/>
      <c r="K10" s="67"/>
      <c r="L10" s="67"/>
      <c r="M10" s="1679"/>
      <c r="N10" s="1679"/>
    </row>
    <row r="11" spans="1:14" ht="15" x14ac:dyDescent="0.2">
      <c r="A11" s="66" t="s">
        <v>4444</v>
      </c>
      <c r="B11" s="2137" t="str">
        <f>Resumo!B11</f>
        <v>Maio de 2020</v>
      </c>
      <c r="C11" s="2138"/>
      <c r="D11" s="2138"/>
      <c r="E11" s="2138"/>
      <c r="F11" s="2138"/>
      <c r="G11" s="2138"/>
      <c r="H11" s="2138"/>
      <c r="I11" s="2138"/>
      <c r="J11" s="2138"/>
      <c r="K11" s="67"/>
      <c r="L11" s="67"/>
      <c r="M11" s="1679"/>
      <c r="N11" s="1679"/>
    </row>
    <row r="12" spans="1:14" ht="30" x14ac:dyDescent="0.2">
      <c r="A12" s="66" t="s">
        <v>4445</v>
      </c>
      <c r="B12" s="2127" t="str">
        <f>Resumo!B12</f>
        <v>SINAPI 03/2020; SBC 03/2020; SCO-RJ 01/2020; ORSE 01/2019;  SETOP-MG 01/2020; CPOS 11/2019; IOPES 11/2019;  AGETOP 04/2019; TCPO 01/2019</v>
      </c>
      <c r="C12" s="2127"/>
      <c r="D12" s="2127"/>
      <c r="E12" s="2127"/>
      <c r="F12" s="2127"/>
      <c r="G12" s="2127"/>
      <c r="H12" s="2127"/>
      <c r="I12" s="2127"/>
      <c r="J12" s="2127"/>
      <c r="K12" s="136"/>
      <c r="L12" s="136"/>
      <c r="M12" s="1679"/>
      <c r="N12" s="1679"/>
    </row>
    <row r="13" spans="1:14" ht="15" x14ac:dyDescent="0.2">
      <c r="A13" s="190" t="s">
        <v>129</v>
      </c>
      <c r="B13" s="43">
        <f>Resumo!B13</f>
        <v>0.26929999999999998</v>
      </c>
      <c r="C13" s="188" t="s">
        <v>4871</v>
      </c>
      <c r="D13" s="1480"/>
      <c r="E13" s="1504"/>
      <c r="F13" s="1480"/>
      <c r="G13" s="1480"/>
      <c r="H13" s="1480"/>
      <c r="I13" s="1480"/>
      <c r="J13" s="1646"/>
      <c r="K13" s="136"/>
      <c r="L13" s="136"/>
      <c r="M13" s="1679"/>
      <c r="N13" s="1679"/>
    </row>
    <row r="14" spans="1:14" ht="15" x14ac:dyDescent="0.2">
      <c r="A14" s="190"/>
      <c r="B14" s="43">
        <f>Resumo!B14</f>
        <v>0.20930000000000001</v>
      </c>
      <c r="C14" s="188" t="s">
        <v>4872</v>
      </c>
      <c r="D14" s="1480"/>
      <c r="E14" s="1505"/>
      <c r="F14" s="1599"/>
      <c r="G14" s="1599"/>
      <c r="H14" s="1599"/>
      <c r="I14" s="1599"/>
      <c r="J14" s="1647"/>
      <c r="K14" s="136"/>
      <c r="L14" s="136"/>
      <c r="M14" s="1679"/>
      <c r="N14" s="1679"/>
    </row>
    <row r="15" spans="1:14" ht="15" x14ac:dyDescent="0.2">
      <c r="A15" s="190"/>
      <c r="B15" s="190"/>
      <c r="C15" s="2127" t="s">
        <v>4446</v>
      </c>
      <c r="D15" s="2127"/>
      <c r="E15" s="2127"/>
      <c r="F15" s="2127"/>
      <c r="G15" s="2127"/>
      <c r="H15" s="2127"/>
      <c r="I15" s="2127"/>
      <c r="J15" s="2127"/>
      <c r="K15" s="136"/>
      <c r="L15" s="136"/>
      <c r="M15" s="1679"/>
      <c r="N15" s="1679"/>
    </row>
    <row r="16" spans="1:14" ht="15" x14ac:dyDescent="0.2">
      <c r="A16" s="190"/>
      <c r="B16" s="56"/>
      <c r="C16" s="56"/>
      <c r="D16" s="638"/>
      <c r="E16" s="1503"/>
      <c r="F16" s="36"/>
      <c r="G16" s="185"/>
      <c r="H16" s="185"/>
      <c r="I16" s="185"/>
      <c r="J16" s="1722"/>
      <c r="K16" s="136"/>
      <c r="L16" s="136"/>
      <c r="M16" s="1679"/>
      <c r="N16" s="1679"/>
    </row>
    <row r="17" spans="1:27" ht="15" x14ac:dyDescent="0.2">
      <c r="A17" s="2139" t="s">
        <v>4854</v>
      </c>
      <c r="B17" s="2139"/>
      <c r="C17" s="2139"/>
      <c r="D17" s="2139"/>
      <c r="E17" s="2139"/>
      <c r="F17" s="2139"/>
      <c r="G17" s="2139"/>
      <c r="H17" s="2139"/>
      <c r="I17" s="2139"/>
      <c r="J17" s="2139"/>
      <c r="K17" s="67"/>
      <c r="L17" s="67"/>
      <c r="M17" s="48">
        <v>1</v>
      </c>
      <c r="N17" s="48">
        <v>2</v>
      </c>
      <c r="O17" s="48">
        <v>3</v>
      </c>
      <c r="P17" s="48">
        <v>4</v>
      </c>
      <c r="Q17" s="48">
        <v>5</v>
      </c>
      <c r="R17" s="48">
        <v>6</v>
      </c>
      <c r="S17" s="48">
        <v>7</v>
      </c>
      <c r="T17" s="48">
        <v>8</v>
      </c>
      <c r="U17" s="48">
        <v>9</v>
      </c>
      <c r="V17" s="48">
        <v>10</v>
      </c>
      <c r="W17" s="48">
        <v>11</v>
      </c>
      <c r="X17" s="48">
        <v>12</v>
      </c>
      <c r="Y17" s="48">
        <v>13</v>
      </c>
      <c r="Z17" s="48">
        <v>14</v>
      </c>
      <c r="AA17" s="48"/>
    </row>
    <row r="18" spans="1:27" s="2003" customFormat="1" ht="15" x14ac:dyDescent="0.2">
      <c r="A18" s="1988" t="s">
        <v>7336</v>
      </c>
      <c r="B18" s="2135" t="s">
        <v>7332</v>
      </c>
      <c r="C18" s="2135"/>
      <c r="D18" s="2135"/>
      <c r="E18" s="2135"/>
      <c r="F18" s="2135"/>
      <c r="G18" s="2135"/>
      <c r="H18" s="2135"/>
      <c r="I18" s="2135"/>
      <c r="J18" s="2135"/>
      <c r="K18" s="1973"/>
      <c r="L18" s="1973"/>
      <c r="M18" s="2000"/>
      <c r="N18" s="2000"/>
      <c r="O18" s="2001"/>
      <c r="P18" s="2002"/>
      <c r="Q18" s="2002"/>
      <c r="R18" s="2002"/>
      <c r="S18" s="2002"/>
      <c r="T18" s="2002"/>
      <c r="U18" s="2002"/>
      <c r="V18" s="2002"/>
      <c r="W18" s="2002"/>
      <c r="X18" s="2002"/>
      <c r="Y18" s="2002"/>
      <c r="Z18" s="2002"/>
    </row>
    <row r="19" spans="1:27" s="2006" customFormat="1" ht="15" x14ac:dyDescent="0.2">
      <c r="A19" s="1985" t="s">
        <v>0</v>
      </c>
      <c r="B19" s="2131" t="s">
        <v>6715</v>
      </c>
      <c r="C19" s="2131"/>
      <c r="D19" s="1985" t="s">
        <v>1</v>
      </c>
      <c r="E19" s="1986" t="s">
        <v>131</v>
      </c>
      <c r="F19" s="1987" t="s">
        <v>11</v>
      </c>
      <c r="G19" s="1990" t="s">
        <v>12</v>
      </c>
      <c r="H19" s="1989" t="s">
        <v>5679</v>
      </c>
      <c r="I19" s="1989" t="s">
        <v>5680</v>
      </c>
      <c r="J19" s="1990" t="s">
        <v>130</v>
      </c>
      <c r="K19" s="1989" t="s">
        <v>7747</v>
      </c>
      <c r="L19" s="1989" t="s">
        <v>7748</v>
      </c>
      <c r="M19" s="2000"/>
      <c r="N19" s="2000"/>
      <c r="O19" s="2001"/>
      <c r="P19" s="2005"/>
      <c r="Q19" s="2005"/>
      <c r="R19" s="2005"/>
      <c r="S19" s="2005"/>
      <c r="T19" s="2005"/>
      <c r="U19" s="2005"/>
      <c r="V19" s="2005"/>
      <c r="W19" s="2005"/>
      <c r="X19" s="2005"/>
      <c r="Y19" s="2005"/>
      <c r="Z19" s="2005"/>
    </row>
    <row r="20" spans="1:27" s="2006" customFormat="1" ht="15" x14ac:dyDescent="0.2">
      <c r="A20" s="1513" t="s">
        <v>7337</v>
      </c>
      <c r="B20" s="2130" t="s">
        <v>7338</v>
      </c>
      <c r="C20" s="2130"/>
      <c r="D20" s="2130"/>
      <c r="E20" s="2130"/>
      <c r="F20" s="2130"/>
      <c r="G20" s="2130"/>
      <c r="H20" s="2130"/>
      <c r="I20" s="2130"/>
      <c r="J20" s="2130"/>
      <c r="K20" s="1971"/>
      <c r="L20" s="1971"/>
      <c r="M20" s="2005"/>
      <c r="N20" s="2005"/>
      <c r="O20" s="2002"/>
      <c r="P20" s="2005"/>
      <c r="Q20" s="2005"/>
      <c r="R20" s="2005"/>
      <c r="S20" s="2005"/>
      <c r="T20" s="2005"/>
      <c r="U20" s="2005"/>
      <c r="V20" s="2005"/>
      <c r="W20" s="2005"/>
      <c r="X20" s="2005"/>
      <c r="Y20" s="2005"/>
      <c r="Z20" s="2005"/>
    </row>
    <row r="21" spans="1:27" s="2009" customFormat="1" ht="45" x14ac:dyDescent="0.2">
      <c r="A21" s="1635" t="s">
        <v>7340</v>
      </c>
      <c r="B21" s="1974" t="s">
        <v>5696</v>
      </c>
      <c r="C21" s="1974" t="s">
        <v>7688</v>
      </c>
      <c r="D21" s="1813" t="s">
        <v>7686</v>
      </c>
      <c r="E21" s="1638">
        <v>1</v>
      </c>
      <c r="F21" s="1639" t="s">
        <v>5284</v>
      </c>
      <c r="G21" s="1648">
        <v>3787.6099999999997</v>
      </c>
      <c r="H21" s="1636">
        <f>ROUND(G21*$B$13,2)</f>
        <v>1020</v>
      </c>
      <c r="I21" s="1636">
        <f>H21+G21</f>
        <v>4807.6099999999997</v>
      </c>
      <c r="J21" s="1723">
        <f>ROUND(I21*E21,2)</f>
        <v>4807.6099999999997</v>
      </c>
      <c r="K21" s="2007">
        <f>ROUND(G21*E21,2)</f>
        <v>3787.61</v>
      </c>
      <c r="L21" s="2007">
        <f>ROUND(H21*E21,2)</f>
        <v>1020</v>
      </c>
      <c r="M21" s="2008"/>
      <c r="N21" s="2008"/>
      <c r="O21" s="2008"/>
      <c r="P21" s="2008"/>
      <c r="Q21" s="2008"/>
      <c r="R21" s="2008"/>
      <c r="S21" s="2008"/>
      <c r="T21" s="2008"/>
      <c r="U21" s="2008"/>
      <c r="V21" s="2008"/>
      <c r="W21" s="2008"/>
      <c r="X21" s="2008"/>
      <c r="Y21" s="2008"/>
      <c r="Z21" s="2008"/>
    </row>
    <row r="22" spans="1:27" s="2006" customFormat="1" ht="15" x14ac:dyDescent="0.2">
      <c r="A22" s="2133" t="s">
        <v>7349</v>
      </c>
      <c r="B22" s="2133"/>
      <c r="C22" s="2133"/>
      <c r="D22" s="2133"/>
      <c r="E22" s="2133"/>
      <c r="F22" s="2133"/>
      <c r="G22" s="2133"/>
      <c r="H22" s="2133"/>
      <c r="I22" s="2133"/>
      <c r="J22" s="1724">
        <f>SUM(J20:J21)</f>
        <v>4807.6099999999997</v>
      </c>
      <c r="K22" s="2010"/>
      <c r="L22" s="2010"/>
      <c r="M22" s="1724">
        <f t="shared" ref="M22:Z22" si="0">SUM(M20:M21)</f>
        <v>0</v>
      </c>
      <c r="N22" s="1724">
        <f t="shared" si="0"/>
        <v>0</v>
      </c>
      <c r="O22" s="1724">
        <f t="shared" si="0"/>
        <v>0</v>
      </c>
      <c r="P22" s="1724">
        <f t="shared" si="0"/>
        <v>0</v>
      </c>
      <c r="Q22" s="1724">
        <f t="shared" si="0"/>
        <v>0</v>
      </c>
      <c r="R22" s="1724">
        <f t="shared" si="0"/>
        <v>0</v>
      </c>
      <c r="S22" s="1724">
        <f t="shared" si="0"/>
        <v>0</v>
      </c>
      <c r="T22" s="1724">
        <f t="shared" si="0"/>
        <v>0</v>
      </c>
      <c r="U22" s="1724">
        <f t="shared" si="0"/>
        <v>0</v>
      </c>
      <c r="V22" s="1724">
        <f t="shared" si="0"/>
        <v>0</v>
      </c>
      <c r="W22" s="1724">
        <f t="shared" si="0"/>
        <v>0</v>
      </c>
      <c r="X22" s="1724">
        <f t="shared" si="0"/>
        <v>0</v>
      </c>
      <c r="Y22" s="1724">
        <f t="shared" si="0"/>
        <v>0</v>
      </c>
      <c r="Z22" s="1724">
        <f t="shared" si="0"/>
        <v>0</v>
      </c>
    </row>
    <row r="23" spans="1:27" s="2006" customFormat="1" ht="15" x14ac:dyDescent="0.2">
      <c r="A23" s="52"/>
      <c r="B23" s="52"/>
      <c r="C23" s="52"/>
      <c r="D23" s="52"/>
      <c r="E23" s="1506"/>
      <c r="F23" s="52"/>
      <c r="G23" s="1649"/>
      <c r="H23" s="51"/>
      <c r="I23" s="51"/>
      <c r="J23" s="1725"/>
      <c r="K23" s="51"/>
      <c r="L23" s="51"/>
      <c r="M23" s="2005"/>
      <c r="N23" s="2005"/>
      <c r="O23" s="2002"/>
      <c r="P23" s="2005"/>
      <c r="Q23" s="2005"/>
      <c r="R23" s="2005"/>
      <c r="S23" s="2005"/>
      <c r="T23" s="2005"/>
      <c r="U23" s="2005"/>
      <c r="V23" s="2005"/>
      <c r="W23" s="2005"/>
      <c r="X23" s="2005"/>
      <c r="Y23" s="2005"/>
      <c r="Z23" s="2005"/>
    </row>
    <row r="24" spans="1:27" s="2003" customFormat="1" ht="15" x14ac:dyDescent="0.2">
      <c r="A24" s="2132" t="s">
        <v>7348</v>
      </c>
      <c r="B24" s="2132"/>
      <c r="C24" s="2132"/>
      <c r="D24" s="2132"/>
      <c r="E24" s="2132"/>
      <c r="F24" s="2132"/>
      <c r="G24" s="2132"/>
      <c r="H24" s="2132"/>
      <c r="I24" s="2132"/>
      <c r="J24" s="1726">
        <f>J22</f>
        <v>4807.6099999999997</v>
      </c>
      <c r="K24" s="2011"/>
      <c r="L24" s="2011"/>
      <c r="M24" s="1726">
        <f t="shared" ref="M24:Z24" si="1">M22</f>
        <v>0</v>
      </c>
      <c r="N24" s="1726">
        <f t="shared" si="1"/>
        <v>0</v>
      </c>
      <c r="O24" s="1726">
        <f t="shared" si="1"/>
        <v>0</v>
      </c>
      <c r="P24" s="1726">
        <f t="shared" si="1"/>
        <v>0</v>
      </c>
      <c r="Q24" s="1726">
        <f t="shared" si="1"/>
        <v>0</v>
      </c>
      <c r="R24" s="1726">
        <f t="shared" si="1"/>
        <v>0</v>
      </c>
      <c r="S24" s="1726">
        <f t="shared" si="1"/>
        <v>0</v>
      </c>
      <c r="T24" s="1726">
        <f t="shared" si="1"/>
        <v>0</v>
      </c>
      <c r="U24" s="1726">
        <f t="shared" si="1"/>
        <v>0</v>
      </c>
      <c r="V24" s="1726">
        <f t="shared" si="1"/>
        <v>0</v>
      </c>
      <c r="W24" s="1726">
        <f t="shared" si="1"/>
        <v>0</v>
      </c>
      <c r="X24" s="1726">
        <f t="shared" si="1"/>
        <v>0</v>
      </c>
      <c r="Y24" s="1726">
        <f t="shared" si="1"/>
        <v>0</v>
      </c>
      <c r="Z24" s="1726">
        <f t="shared" si="1"/>
        <v>0</v>
      </c>
    </row>
    <row r="25" spans="1:27" s="2006" customFormat="1" ht="15" x14ac:dyDescent="0.2">
      <c r="A25" s="1635"/>
      <c r="B25" s="1974"/>
      <c r="C25" s="1974"/>
      <c r="D25" s="1813"/>
      <c r="E25" s="1638"/>
      <c r="F25" s="1639"/>
      <c r="G25" s="1650"/>
      <c r="H25" s="19"/>
      <c r="I25" s="19"/>
      <c r="J25" s="1727"/>
      <c r="K25" s="2012"/>
      <c r="L25" s="2012"/>
      <c r="M25" s="2013">
        <f t="shared" ref="M25:Z25" si="2">M24/$J24</f>
        <v>0</v>
      </c>
      <c r="N25" s="2013">
        <f t="shared" si="2"/>
        <v>0</v>
      </c>
      <c r="O25" s="2013">
        <f t="shared" si="2"/>
        <v>0</v>
      </c>
      <c r="P25" s="2013">
        <f t="shared" si="2"/>
        <v>0</v>
      </c>
      <c r="Q25" s="2013">
        <f t="shared" si="2"/>
        <v>0</v>
      </c>
      <c r="R25" s="2013">
        <f t="shared" si="2"/>
        <v>0</v>
      </c>
      <c r="S25" s="2013">
        <f t="shared" si="2"/>
        <v>0</v>
      </c>
      <c r="T25" s="2013">
        <f t="shared" si="2"/>
        <v>0</v>
      </c>
      <c r="U25" s="2013">
        <f t="shared" si="2"/>
        <v>0</v>
      </c>
      <c r="V25" s="2013">
        <f t="shared" si="2"/>
        <v>0</v>
      </c>
      <c r="W25" s="2013">
        <f t="shared" si="2"/>
        <v>0</v>
      </c>
      <c r="X25" s="2013">
        <f t="shared" si="2"/>
        <v>0</v>
      </c>
      <c r="Y25" s="2013">
        <f t="shared" si="2"/>
        <v>0</v>
      </c>
      <c r="Z25" s="2013">
        <f t="shared" si="2"/>
        <v>0</v>
      </c>
    </row>
    <row r="26" spans="1:27" s="2003" customFormat="1" ht="15" x14ac:dyDescent="0.2">
      <c r="A26" s="1988" t="s">
        <v>2</v>
      </c>
      <c r="B26" s="2135" t="s">
        <v>8</v>
      </c>
      <c r="C26" s="2135"/>
      <c r="D26" s="2135"/>
      <c r="E26" s="2135"/>
      <c r="F26" s="2135"/>
      <c r="G26" s="2135"/>
      <c r="H26" s="2135"/>
      <c r="I26" s="2135"/>
      <c r="J26" s="2135"/>
      <c r="K26" s="2014"/>
      <c r="L26" s="2014"/>
      <c r="M26" s="2000"/>
      <c r="N26" s="2001"/>
      <c r="O26" s="2002"/>
      <c r="P26" s="2002"/>
      <c r="Q26" s="2002"/>
      <c r="R26" s="2002"/>
      <c r="S26" s="2002"/>
      <c r="T26" s="2002"/>
      <c r="U26" s="2002"/>
      <c r="V26" s="2002"/>
      <c r="W26" s="2002"/>
      <c r="X26" s="2002"/>
      <c r="Y26" s="2002"/>
      <c r="Z26" s="2002"/>
    </row>
    <row r="27" spans="1:27" s="2006" customFormat="1" ht="15" x14ac:dyDescent="0.2">
      <c r="A27" s="1985" t="s">
        <v>0</v>
      </c>
      <c r="B27" s="2131" t="s">
        <v>6715</v>
      </c>
      <c r="C27" s="2131"/>
      <c r="D27" s="1985" t="s">
        <v>1</v>
      </c>
      <c r="E27" s="1986" t="s">
        <v>131</v>
      </c>
      <c r="F27" s="1987" t="s">
        <v>11</v>
      </c>
      <c r="G27" s="1989" t="s">
        <v>12</v>
      </c>
      <c r="H27" s="1989" t="s">
        <v>5679</v>
      </c>
      <c r="I27" s="1989" t="s">
        <v>5680</v>
      </c>
      <c r="J27" s="1990" t="s">
        <v>130</v>
      </c>
      <c r="K27" s="2014"/>
      <c r="L27" s="2014"/>
      <c r="M27" s="2000"/>
      <c r="N27" s="2001"/>
      <c r="O27" s="2005"/>
      <c r="P27" s="2005"/>
      <c r="Q27" s="2005"/>
      <c r="R27" s="2005"/>
      <c r="S27" s="2005"/>
      <c r="T27" s="2005"/>
      <c r="U27" s="2005"/>
      <c r="V27" s="2005"/>
      <c r="W27" s="2005"/>
      <c r="X27" s="2005"/>
      <c r="Y27" s="2005"/>
      <c r="Z27" s="2005"/>
    </row>
    <row r="28" spans="1:27" s="2006" customFormat="1" ht="15" x14ac:dyDescent="0.2">
      <c r="A28" s="1513" t="s">
        <v>4852</v>
      </c>
      <c r="B28" s="2130" t="s">
        <v>4465</v>
      </c>
      <c r="C28" s="2130"/>
      <c r="D28" s="2130"/>
      <c r="E28" s="2130"/>
      <c r="F28" s="2130"/>
      <c r="G28" s="2130"/>
      <c r="H28" s="2130"/>
      <c r="I28" s="2130"/>
      <c r="J28" s="2130"/>
      <c r="K28" s="2015"/>
      <c r="L28" s="2015"/>
      <c r="M28" s="2005"/>
      <c r="N28" s="2002"/>
      <c r="O28" s="2005"/>
      <c r="P28" s="2005"/>
      <c r="Q28" s="2005"/>
      <c r="R28" s="2005"/>
      <c r="S28" s="2005"/>
      <c r="T28" s="2005"/>
      <c r="U28" s="2005"/>
      <c r="V28" s="2005"/>
      <c r="W28" s="2005"/>
      <c r="X28" s="2005"/>
      <c r="Y28" s="2005"/>
      <c r="Z28" s="2005"/>
    </row>
    <row r="29" spans="1:27" s="2006" customFormat="1" ht="15" x14ac:dyDescent="0.2">
      <c r="A29" s="1634" t="s">
        <v>4858</v>
      </c>
      <c r="B29" s="2136" t="s">
        <v>5166</v>
      </c>
      <c r="C29" s="2136"/>
      <c r="D29" s="2136"/>
      <c r="E29" s="2136"/>
      <c r="F29" s="2136"/>
      <c r="G29" s="2136"/>
      <c r="H29" s="2136"/>
      <c r="I29" s="2136"/>
      <c r="J29" s="2136"/>
      <c r="K29" s="2015"/>
      <c r="L29" s="2015"/>
      <c r="M29" s="2005"/>
      <c r="N29" s="2002"/>
      <c r="O29" s="2005"/>
      <c r="P29" s="2005"/>
      <c r="Q29" s="2005"/>
      <c r="R29" s="2005"/>
      <c r="S29" s="2005"/>
      <c r="T29" s="2005"/>
      <c r="U29" s="2005"/>
      <c r="V29" s="2005"/>
      <c r="W29" s="2005"/>
      <c r="X29" s="2005"/>
      <c r="Y29" s="2005"/>
      <c r="Z29" s="2005"/>
    </row>
    <row r="30" spans="1:27" s="2009" customFormat="1" ht="45" x14ac:dyDescent="0.2">
      <c r="A30" s="1635" t="s">
        <v>8596</v>
      </c>
      <c r="B30" s="1974" t="s">
        <v>5278</v>
      </c>
      <c r="C30" s="1974">
        <v>10776</v>
      </c>
      <c r="D30" s="1813" t="s">
        <v>8598</v>
      </c>
      <c r="E30" s="1638">
        <f>1*14</f>
        <v>14</v>
      </c>
      <c r="F30" s="1639" t="s">
        <v>8599</v>
      </c>
      <c r="G30" s="1636">
        <v>407.81</v>
      </c>
      <c r="H30" s="1636">
        <f t="shared" ref="H30:H35" si="3">ROUND(G30*$B$13,2)</f>
        <v>109.82</v>
      </c>
      <c r="I30" s="1636">
        <f t="shared" ref="I30:I35" si="4">H30+G30</f>
        <v>517.63</v>
      </c>
      <c r="J30" s="1723">
        <f t="shared" ref="J30:J35" si="5">ROUND(I30*E30,2)</f>
        <v>7246.82</v>
      </c>
      <c r="K30" s="2007">
        <f t="shared" ref="K30:K35" si="6">ROUND(G30*E30,2)</f>
        <v>5709.34</v>
      </c>
      <c r="L30" s="2007">
        <f t="shared" ref="L30:L35" si="7">ROUND(H30*E30,2)</f>
        <v>1537.48</v>
      </c>
      <c r="M30" s="2016">
        <f>J30</f>
        <v>7246.82</v>
      </c>
      <c r="N30" s="2017"/>
      <c r="O30" s="2016"/>
      <c r="P30" s="2016"/>
      <c r="Q30" s="2016"/>
      <c r="R30" s="2016"/>
      <c r="S30" s="2016"/>
      <c r="T30" s="2016"/>
      <c r="U30" s="2016"/>
      <c r="V30" s="2016"/>
      <c r="W30" s="2016"/>
      <c r="X30" s="2016"/>
      <c r="Y30" s="2016"/>
      <c r="Z30" s="2016"/>
    </row>
    <row r="31" spans="1:27" s="2009" customFormat="1" ht="45" x14ac:dyDescent="0.2">
      <c r="A31" s="1635" t="s">
        <v>8597</v>
      </c>
      <c r="B31" s="1974" t="s">
        <v>5278</v>
      </c>
      <c r="C31" s="1974">
        <v>10775</v>
      </c>
      <c r="D31" s="1813" t="s">
        <v>8600</v>
      </c>
      <c r="E31" s="1638">
        <f>3*14</f>
        <v>42</v>
      </c>
      <c r="F31" s="1639" t="s">
        <v>8599</v>
      </c>
      <c r="G31" s="1636">
        <v>522</v>
      </c>
      <c r="H31" s="1636">
        <f t="shared" si="3"/>
        <v>140.57</v>
      </c>
      <c r="I31" s="1636">
        <f t="shared" si="4"/>
        <v>662.56999999999994</v>
      </c>
      <c r="J31" s="1723">
        <f t="shared" si="5"/>
        <v>27827.94</v>
      </c>
      <c r="K31" s="2007">
        <f t="shared" si="6"/>
        <v>21924</v>
      </c>
      <c r="L31" s="2007">
        <f t="shared" si="7"/>
        <v>5903.94</v>
      </c>
      <c r="M31" s="2016">
        <f>J31</f>
        <v>27827.94</v>
      </c>
      <c r="N31" s="2017"/>
      <c r="O31" s="2016"/>
      <c r="P31" s="2016"/>
      <c r="Q31" s="2016"/>
      <c r="R31" s="2016"/>
      <c r="S31" s="2016"/>
      <c r="T31" s="2016"/>
      <c r="U31" s="2016"/>
      <c r="V31" s="2016"/>
      <c r="W31" s="2016"/>
      <c r="X31" s="2016"/>
      <c r="Y31" s="2016"/>
      <c r="Z31" s="2016"/>
    </row>
    <row r="32" spans="1:27" s="2009" customFormat="1" ht="45" x14ac:dyDescent="0.2">
      <c r="A32" s="1635" t="s">
        <v>5279</v>
      </c>
      <c r="B32" s="1974" t="s">
        <v>4448</v>
      </c>
      <c r="C32" s="1974">
        <v>93208</v>
      </c>
      <c r="D32" s="1813" t="s">
        <v>7565</v>
      </c>
      <c r="E32" s="1638">
        <f>5*6</f>
        <v>30</v>
      </c>
      <c r="F32" s="1639" t="s">
        <v>5286</v>
      </c>
      <c r="G32" s="1636">
        <v>578.79999999999995</v>
      </c>
      <c r="H32" s="1636">
        <f t="shared" si="3"/>
        <v>155.87</v>
      </c>
      <c r="I32" s="1636">
        <f t="shared" si="4"/>
        <v>734.67</v>
      </c>
      <c r="J32" s="1723">
        <f t="shared" si="5"/>
        <v>22040.1</v>
      </c>
      <c r="K32" s="2007">
        <f t="shared" si="6"/>
        <v>17364</v>
      </c>
      <c r="L32" s="2007">
        <f t="shared" si="7"/>
        <v>4676.1000000000004</v>
      </c>
      <c r="M32" s="2016">
        <f>J32</f>
        <v>22040.1</v>
      </c>
      <c r="N32" s="2017"/>
      <c r="O32" s="2016"/>
      <c r="P32" s="2016"/>
      <c r="Q32" s="2016"/>
      <c r="R32" s="2016"/>
      <c r="S32" s="2016"/>
      <c r="T32" s="2016"/>
      <c r="U32" s="2016"/>
      <c r="V32" s="2016"/>
      <c r="W32" s="2016"/>
      <c r="X32" s="2016"/>
      <c r="Y32" s="2016"/>
      <c r="Z32" s="2016"/>
    </row>
    <row r="33" spans="1:26" s="2009" customFormat="1" ht="30" x14ac:dyDescent="0.2">
      <c r="A33" s="1635" t="s">
        <v>7566</v>
      </c>
      <c r="B33" s="1974" t="s">
        <v>4448</v>
      </c>
      <c r="C33" s="1974">
        <v>93210</v>
      </c>
      <c r="D33" s="1813" t="s">
        <v>7567</v>
      </c>
      <c r="E33" s="1638">
        <v>52.5</v>
      </c>
      <c r="F33" s="1639" t="s">
        <v>5286</v>
      </c>
      <c r="G33" s="1636">
        <v>373.9</v>
      </c>
      <c r="H33" s="1636">
        <f t="shared" si="3"/>
        <v>100.69</v>
      </c>
      <c r="I33" s="1636">
        <f t="shared" si="4"/>
        <v>474.59</v>
      </c>
      <c r="J33" s="1723">
        <f t="shared" si="5"/>
        <v>24915.98</v>
      </c>
      <c r="K33" s="2007">
        <f t="shared" si="6"/>
        <v>19629.75</v>
      </c>
      <c r="L33" s="2007">
        <f t="shared" si="7"/>
        <v>5286.23</v>
      </c>
      <c r="M33" s="2016">
        <f>J33</f>
        <v>24915.98</v>
      </c>
      <c r="N33" s="2017"/>
      <c r="O33" s="2016"/>
      <c r="P33" s="2016"/>
      <c r="Q33" s="2016"/>
      <c r="R33" s="2016"/>
      <c r="S33" s="2016"/>
      <c r="T33" s="2016"/>
      <c r="U33" s="2016"/>
      <c r="V33" s="2016"/>
      <c r="W33" s="2016"/>
      <c r="X33" s="2016"/>
      <c r="Y33" s="2016"/>
      <c r="Z33" s="2016"/>
    </row>
    <row r="34" spans="1:26" s="2009" customFormat="1" ht="45" x14ac:dyDescent="0.2">
      <c r="A34" s="1635" t="s">
        <v>5280</v>
      </c>
      <c r="B34" s="1974" t="s">
        <v>4448</v>
      </c>
      <c r="C34" s="1974">
        <v>93212</v>
      </c>
      <c r="D34" s="1813" t="s">
        <v>7568</v>
      </c>
      <c r="E34" s="1638">
        <v>43.8</v>
      </c>
      <c r="F34" s="1639" t="s">
        <v>5286</v>
      </c>
      <c r="G34" s="1636">
        <v>662.04</v>
      </c>
      <c r="H34" s="1636">
        <f t="shared" si="3"/>
        <v>178.29</v>
      </c>
      <c r="I34" s="1636">
        <f t="shared" si="4"/>
        <v>840.32999999999993</v>
      </c>
      <c r="J34" s="1723">
        <f t="shared" si="5"/>
        <v>36806.449999999997</v>
      </c>
      <c r="K34" s="2007">
        <f t="shared" si="6"/>
        <v>28997.35</v>
      </c>
      <c r="L34" s="2007">
        <f t="shared" si="7"/>
        <v>7809.1</v>
      </c>
      <c r="M34" s="2016">
        <f>J34</f>
        <v>36806.449999999997</v>
      </c>
      <c r="N34" s="2017"/>
      <c r="O34" s="2016"/>
      <c r="P34" s="2016"/>
      <c r="Q34" s="2016"/>
      <c r="R34" s="2016"/>
      <c r="S34" s="2016"/>
      <c r="T34" s="2016"/>
      <c r="U34" s="2016"/>
      <c r="V34" s="2016"/>
      <c r="W34" s="2016"/>
      <c r="X34" s="2016"/>
      <c r="Y34" s="2016"/>
      <c r="Z34" s="2016"/>
    </row>
    <row r="35" spans="1:26" s="2009" customFormat="1" ht="30" x14ac:dyDescent="0.2">
      <c r="A35" s="1635" t="s">
        <v>9486</v>
      </c>
      <c r="B35" s="1974" t="s">
        <v>9121</v>
      </c>
      <c r="C35" s="1974">
        <v>20344</v>
      </c>
      <c r="D35" s="1813" t="s">
        <v>9485</v>
      </c>
      <c r="E35" s="1638">
        <v>4</v>
      </c>
      <c r="F35" s="1639" t="s">
        <v>6927</v>
      </c>
      <c r="G35" s="1636">
        <v>875</v>
      </c>
      <c r="H35" s="1636">
        <f t="shared" si="3"/>
        <v>235.64</v>
      </c>
      <c r="I35" s="1636">
        <f t="shared" si="4"/>
        <v>1110.6399999999999</v>
      </c>
      <c r="J35" s="1723">
        <f t="shared" si="5"/>
        <v>4442.5600000000004</v>
      </c>
      <c r="K35" s="2007">
        <f t="shared" si="6"/>
        <v>3500</v>
      </c>
      <c r="L35" s="2007">
        <f t="shared" si="7"/>
        <v>942.56</v>
      </c>
      <c r="M35" s="2016">
        <f>J35/2</f>
        <v>2221.2800000000002</v>
      </c>
      <c r="N35" s="2017"/>
      <c r="O35" s="2016"/>
      <c r="P35" s="2016"/>
      <c r="Q35" s="2016"/>
      <c r="R35" s="2016"/>
      <c r="S35" s="2016"/>
      <c r="T35" s="2016"/>
      <c r="U35" s="2016"/>
      <c r="V35" s="2016"/>
      <c r="W35" s="2016"/>
      <c r="X35" s="2016"/>
      <c r="Y35" s="2016"/>
      <c r="Z35" s="2016">
        <f>J35/2</f>
        <v>2221.2800000000002</v>
      </c>
    </row>
    <row r="36" spans="1:26" s="2009" customFormat="1" ht="15" x14ac:dyDescent="0.2">
      <c r="A36" s="1634" t="s">
        <v>5167</v>
      </c>
      <c r="B36" s="2136" t="s">
        <v>5168</v>
      </c>
      <c r="C36" s="2136"/>
      <c r="D36" s="2136"/>
      <c r="E36" s="2136"/>
      <c r="F36" s="2136"/>
      <c r="G36" s="2136"/>
      <c r="H36" s="2136"/>
      <c r="I36" s="2136"/>
      <c r="J36" s="2136"/>
      <c r="K36" s="2018"/>
      <c r="L36" s="2018"/>
      <c r="M36" s="2016"/>
      <c r="N36" s="2017"/>
      <c r="O36" s="2016"/>
      <c r="P36" s="2016"/>
      <c r="Q36" s="2016"/>
      <c r="R36" s="2016"/>
      <c r="S36" s="2016"/>
      <c r="T36" s="2016"/>
      <c r="U36" s="2016"/>
      <c r="V36" s="2016"/>
      <c r="W36" s="2016"/>
      <c r="X36" s="2016"/>
      <c r="Y36" s="2016"/>
      <c r="Z36" s="2016"/>
    </row>
    <row r="37" spans="1:26" s="2009" customFormat="1" ht="30" x14ac:dyDescent="0.2">
      <c r="A37" s="1635" t="s">
        <v>8593</v>
      </c>
      <c r="B37" s="1974" t="s">
        <v>5281</v>
      </c>
      <c r="C37" s="1974" t="s">
        <v>8911</v>
      </c>
      <c r="D37" s="1813" t="s">
        <v>8912</v>
      </c>
      <c r="E37" s="1638">
        <v>1</v>
      </c>
      <c r="F37" s="1639" t="s">
        <v>5284</v>
      </c>
      <c r="G37" s="1636">
        <v>261.83999999999997</v>
      </c>
      <c r="H37" s="1636">
        <f>ROUND(G37*$B$13,2)</f>
        <v>70.510000000000005</v>
      </c>
      <c r="I37" s="1636">
        <f>H37+G37</f>
        <v>332.34999999999997</v>
      </c>
      <c r="J37" s="1723">
        <f>ROUND(I37*E37,2)</f>
        <v>332.35</v>
      </c>
      <c r="K37" s="2007">
        <f>ROUND(G37*E37,2)</f>
        <v>261.83999999999997</v>
      </c>
      <c r="L37" s="2007">
        <f>ROUND(H37*E37,2)</f>
        <v>70.510000000000005</v>
      </c>
      <c r="M37" s="2016">
        <f>J37</f>
        <v>332.35</v>
      </c>
      <c r="N37" s="2017"/>
      <c r="O37" s="2016"/>
      <c r="P37" s="2016"/>
      <c r="Q37" s="2016"/>
      <c r="R37" s="2016"/>
      <c r="S37" s="2016"/>
      <c r="T37" s="2016"/>
      <c r="U37" s="2016"/>
      <c r="V37" s="2016"/>
      <c r="W37" s="2016"/>
      <c r="X37" s="2016"/>
      <c r="Y37" s="2016"/>
      <c r="Z37" s="2016"/>
    </row>
    <row r="38" spans="1:26" s="2009" customFormat="1" ht="45" x14ac:dyDescent="0.2">
      <c r="A38" s="1635" t="s">
        <v>8594</v>
      </c>
      <c r="B38" s="1974" t="s">
        <v>4448</v>
      </c>
      <c r="C38" s="1974">
        <v>93214</v>
      </c>
      <c r="D38" s="1813" t="s">
        <v>8595</v>
      </c>
      <c r="E38" s="1638">
        <v>1</v>
      </c>
      <c r="F38" s="1639" t="s">
        <v>5284</v>
      </c>
      <c r="G38" s="1636">
        <v>4626.01</v>
      </c>
      <c r="H38" s="1636">
        <f>ROUND(G38*$B$13,2)</f>
        <v>1245.78</v>
      </c>
      <c r="I38" s="1636">
        <f>H38+G38</f>
        <v>5871.79</v>
      </c>
      <c r="J38" s="1723">
        <f>ROUND(I38*E38,2)</f>
        <v>5871.79</v>
      </c>
      <c r="K38" s="2007">
        <f>ROUND(G38*E38,2)</f>
        <v>4626.01</v>
      </c>
      <c r="L38" s="2007">
        <f>ROUND(H38*E38,2)</f>
        <v>1245.78</v>
      </c>
      <c r="M38" s="2016">
        <f>J38</f>
        <v>5871.79</v>
      </c>
      <c r="N38" s="2017"/>
      <c r="O38" s="2016"/>
      <c r="P38" s="2016"/>
      <c r="Q38" s="2016"/>
      <c r="R38" s="2016"/>
      <c r="S38" s="2016"/>
      <c r="T38" s="2016"/>
      <c r="U38" s="2016"/>
      <c r="V38" s="2016"/>
      <c r="W38" s="2016"/>
      <c r="X38" s="2016"/>
      <c r="Y38" s="2016"/>
      <c r="Z38" s="2016"/>
    </row>
    <row r="39" spans="1:26" s="2009" customFormat="1" ht="30" x14ac:dyDescent="0.2">
      <c r="A39" s="1635" t="s">
        <v>9465</v>
      </c>
      <c r="B39" s="1974" t="s">
        <v>9466</v>
      </c>
      <c r="C39" s="1974">
        <v>1</v>
      </c>
      <c r="D39" s="1813" t="s">
        <v>9467</v>
      </c>
      <c r="E39" s="1638">
        <v>1</v>
      </c>
      <c r="F39" s="1639" t="s">
        <v>5284</v>
      </c>
      <c r="G39" s="1636">
        <v>6777.29</v>
      </c>
      <c r="H39" s="1636">
        <f>ROUND(G39*$B$13,2)</f>
        <v>1825.12</v>
      </c>
      <c r="I39" s="1636">
        <f>H39+G39</f>
        <v>8602.41</v>
      </c>
      <c r="J39" s="1723">
        <f>ROUND(I39*E39,2)</f>
        <v>8602.41</v>
      </c>
      <c r="K39" s="2007">
        <f>ROUND(G39*E39,2)</f>
        <v>6777.29</v>
      </c>
      <c r="L39" s="2007">
        <f>ROUND(H39*E39,2)</f>
        <v>1825.12</v>
      </c>
      <c r="M39" s="2016">
        <f>J39</f>
        <v>8602.41</v>
      </c>
      <c r="N39" s="2017"/>
      <c r="O39" s="2016"/>
      <c r="P39" s="2016"/>
      <c r="Q39" s="2016"/>
      <c r="R39" s="2016"/>
      <c r="S39" s="2016"/>
      <c r="T39" s="2016"/>
      <c r="U39" s="2016"/>
      <c r="V39" s="2016"/>
      <c r="W39" s="2016"/>
      <c r="X39" s="2016"/>
      <c r="Y39" s="2016"/>
      <c r="Z39" s="2016"/>
    </row>
    <row r="40" spans="1:26" s="2009" customFormat="1" ht="60" x14ac:dyDescent="0.2">
      <c r="A40" s="1635" t="s">
        <v>5283</v>
      </c>
      <c r="B40" s="1974" t="s">
        <v>4448</v>
      </c>
      <c r="C40" s="1974" t="s">
        <v>8914</v>
      </c>
      <c r="D40" s="1813" t="s">
        <v>8913</v>
      </c>
      <c r="E40" s="1638">
        <v>1</v>
      </c>
      <c r="F40" s="1639" t="s">
        <v>5284</v>
      </c>
      <c r="G40" s="1636">
        <v>897.05000000000007</v>
      </c>
      <c r="H40" s="1636">
        <f>ROUND(G40*$B$13,2)</f>
        <v>241.58</v>
      </c>
      <c r="I40" s="1636">
        <f>H40+G40</f>
        <v>1138.6300000000001</v>
      </c>
      <c r="J40" s="1723">
        <f>ROUND(I40*E40,2)</f>
        <v>1138.6300000000001</v>
      </c>
      <c r="K40" s="2007">
        <f>ROUND(G40*E40,2)</f>
        <v>897.05</v>
      </c>
      <c r="L40" s="2007">
        <f>ROUND(H40*E40,2)</f>
        <v>241.58</v>
      </c>
      <c r="M40" s="2016">
        <f>J40</f>
        <v>1138.6300000000001</v>
      </c>
      <c r="N40" s="2017"/>
      <c r="O40" s="2016"/>
      <c r="P40" s="2016"/>
      <c r="Q40" s="2016"/>
      <c r="R40" s="2016"/>
      <c r="S40" s="2016"/>
      <c r="T40" s="2016"/>
      <c r="U40" s="2016"/>
      <c r="V40" s="2016"/>
      <c r="W40" s="2016"/>
      <c r="X40" s="2016"/>
      <c r="Y40" s="2016"/>
      <c r="Z40" s="2016"/>
    </row>
    <row r="41" spans="1:26" s="2009" customFormat="1" ht="15" x14ac:dyDescent="0.2">
      <c r="A41" s="1634" t="s">
        <v>5169</v>
      </c>
      <c r="B41" s="2136" t="s">
        <v>5170</v>
      </c>
      <c r="C41" s="2136"/>
      <c r="D41" s="2136"/>
      <c r="E41" s="2136"/>
      <c r="F41" s="2136"/>
      <c r="G41" s="2136"/>
      <c r="H41" s="2136"/>
      <c r="I41" s="2136"/>
      <c r="J41" s="2136"/>
      <c r="K41" s="2018"/>
      <c r="L41" s="2018"/>
      <c r="M41" s="2008"/>
      <c r="N41" s="2017"/>
      <c r="O41" s="2016"/>
      <c r="P41" s="2016"/>
      <c r="Q41" s="2016"/>
      <c r="R41" s="2016"/>
      <c r="S41" s="2016"/>
      <c r="T41" s="2016"/>
      <c r="U41" s="2016"/>
      <c r="V41" s="2016"/>
      <c r="W41" s="2016"/>
      <c r="X41" s="2016"/>
      <c r="Y41" s="2016"/>
      <c r="Z41" s="2016"/>
    </row>
    <row r="42" spans="1:26" s="2009" customFormat="1" ht="60" x14ac:dyDescent="0.2">
      <c r="A42" s="1635" t="s">
        <v>5285</v>
      </c>
      <c r="B42" s="1974" t="s">
        <v>4448</v>
      </c>
      <c r="C42" s="1974" t="s">
        <v>8586</v>
      </c>
      <c r="D42" s="1813" t="s">
        <v>8587</v>
      </c>
      <c r="E42" s="1638">
        <f>325.3-2*6</f>
        <v>313.3</v>
      </c>
      <c r="F42" s="1639" t="s">
        <v>5713</v>
      </c>
      <c r="G42" s="1636">
        <v>128.79999999999998</v>
      </c>
      <c r="H42" s="1636">
        <f>ROUND(G42*$B$13,2)</f>
        <v>34.69</v>
      </c>
      <c r="I42" s="1636">
        <f>H42+G42</f>
        <v>163.48999999999998</v>
      </c>
      <c r="J42" s="1723">
        <f>ROUND(I42*E42,2)</f>
        <v>51221.42</v>
      </c>
      <c r="K42" s="2007">
        <f>ROUND(G42*E42,2)</f>
        <v>40353.040000000001</v>
      </c>
      <c r="L42" s="2007">
        <f>ROUND(H42*E42,2)</f>
        <v>10868.38</v>
      </c>
      <c r="M42" s="2016">
        <f>J42</f>
        <v>51221.42</v>
      </c>
      <c r="N42" s="2017"/>
      <c r="O42" s="2016"/>
      <c r="P42" s="2016"/>
      <c r="Q42" s="2016"/>
      <c r="R42" s="2016"/>
      <c r="S42" s="2016"/>
      <c r="T42" s="2016"/>
      <c r="U42" s="2016"/>
      <c r="V42" s="2016"/>
      <c r="W42" s="2016"/>
      <c r="X42" s="2016"/>
      <c r="Y42" s="2016"/>
      <c r="Z42" s="2016"/>
    </row>
    <row r="43" spans="1:26" s="2009" customFormat="1" ht="45" x14ac:dyDescent="0.2">
      <c r="A43" s="1635" t="s">
        <v>5287</v>
      </c>
      <c r="B43" s="1974" t="s">
        <v>5281</v>
      </c>
      <c r="C43" s="1974">
        <v>51</v>
      </c>
      <c r="D43" s="1813" t="s">
        <v>7788</v>
      </c>
      <c r="E43" s="1638">
        <f>QuantCanteiro!J21</f>
        <v>18.649999999999999</v>
      </c>
      <c r="F43" s="1639" t="s">
        <v>5286</v>
      </c>
      <c r="G43" s="1636">
        <v>396.37</v>
      </c>
      <c r="H43" s="1636">
        <f>ROUND(G43*$B$13,2)</f>
        <v>106.74</v>
      </c>
      <c r="I43" s="1636">
        <f>H43+G43</f>
        <v>503.11</v>
      </c>
      <c r="J43" s="1723">
        <f>ROUND(I43*E43,2)</f>
        <v>9383</v>
      </c>
      <c r="K43" s="2007">
        <f>ROUND(G43*E43,2)</f>
        <v>7392.3</v>
      </c>
      <c r="L43" s="2007">
        <f>ROUND(H43*E43,2)</f>
        <v>1990.7</v>
      </c>
      <c r="M43" s="2016">
        <f>J43</f>
        <v>9383</v>
      </c>
      <c r="N43" s="2017"/>
      <c r="O43" s="2016"/>
      <c r="P43" s="2016"/>
      <c r="Q43" s="2016"/>
      <c r="R43" s="2016"/>
      <c r="S43" s="2016"/>
      <c r="T43" s="2016"/>
      <c r="U43" s="2016"/>
      <c r="V43" s="2016"/>
      <c r="W43" s="2016"/>
      <c r="X43" s="2016"/>
      <c r="Y43" s="2016"/>
      <c r="Z43" s="2016"/>
    </row>
    <row r="44" spans="1:26" s="2009" customFormat="1" ht="30" x14ac:dyDescent="0.2">
      <c r="A44" s="1635" t="s">
        <v>8588</v>
      </c>
      <c r="B44" s="1974" t="s">
        <v>5281</v>
      </c>
      <c r="C44" s="1974" t="s">
        <v>8590</v>
      </c>
      <c r="D44" s="1813" t="s">
        <v>8589</v>
      </c>
      <c r="E44" s="1638">
        <v>2</v>
      </c>
      <c r="F44" s="1639" t="s">
        <v>5284</v>
      </c>
      <c r="G44" s="1636">
        <v>4782.9800000000005</v>
      </c>
      <c r="H44" s="1636">
        <f>ROUND(G44*$B$13,2)</f>
        <v>1288.06</v>
      </c>
      <c r="I44" s="1636">
        <f>H44+G44</f>
        <v>6071.0400000000009</v>
      </c>
      <c r="J44" s="1723">
        <f>ROUND(I44*E44,2)</f>
        <v>12142.08</v>
      </c>
      <c r="K44" s="2007">
        <f>ROUND(G44*E44,2)</f>
        <v>9565.9599999999991</v>
      </c>
      <c r="L44" s="2007">
        <f>ROUND(H44*E44,2)</f>
        <v>2576.12</v>
      </c>
      <c r="M44" s="2016">
        <f>J44</f>
        <v>12142.08</v>
      </c>
      <c r="N44" s="2017"/>
      <c r="O44" s="2016"/>
      <c r="P44" s="2016"/>
      <c r="Q44" s="2016"/>
      <c r="R44" s="2016"/>
      <c r="S44" s="2016"/>
      <c r="T44" s="2016"/>
      <c r="U44" s="2016"/>
      <c r="V44" s="2016"/>
      <c r="W44" s="2016"/>
      <c r="X44" s="2016"/>
      <c r="Y44" s="2016"/>
      <c r="Z44" s="2016"/>
    </row>
    <row r="45" spans="1:26" s="2006" customFormat="1" ht="15" x14ac:dyDescent="0.2">
      <c r="A45" s="2133" t="s">
        <v>5681</v>
      </c>
      <c r="B45" s="2133"/>
      <c r="C45" s="2133"/>
      <c r="D45" s="2133"/>
      <c r="E45" s="2133"/>
      <c r="F45" s="2133"/>
      <c r="G45" s="2133"/>
      <c r="H45" s="2133"/>
      <c r="I45" s="2133"/>
      <c r="J45" s="1724">
        <f>SUM(J28:J44)</f>
        <v>211971.53</v>
      </c>
      <c r="K45" s="2015"/>
      <c r="L45" s="2015"/>
      <c r="M45" s="1724">
        <f>SUM(M28:M44)</f>
        <v>209750.24999999997</v>
      </c>
      <c r="N45" s="1724">
        <f t="shared" ref="N45:Z45" si="8">SUM(N28:N43)</f>
        <v>0</v>
      </c>
      <c r="O45" s="1724">
        <f t="shared" si="8"/>
        <v>0</v>
      </c>
      <c r="P45" s="1724">
        <f t="shared" si="8"/>
        <v>0</v>
      </c>
      <c r="Q45" s="1724">
        <f t="shared" si="8"/>
        <v>0</v>
      </c>
      <c r="R45" s="1724">
        <f t="shared" si="8"/>
        <v>0</v>
      </c>
      <c r="S45" s="1724">
        <f t="shared" si="8"/>
        <v>0</v>
      </c>
      <c r="T45" s="1724">
        <f t="shared" si="8"/>
        <v>0</v>
      </c>
      <c r="U45" s="1724">
        <f t="shared" si="8"/>
        <v>0</v>
      </c>
      <c r="V45" s="1724">
        <f t="shared" si="8"/>
        <v>0</v>
      </c>
      <c r="W45" s="1724">
        <f t="shared" si="8"/>
        <v>0</v>
      </c>
      <c r="X45" s="1724">
        <f t="shared" si="8"/>
        <v>0</v>
      </c>
      <c r="Y45" s="1724">
        <f t="shared" si="8"/>
        <v>0</v>
      </c>
      <c r="Z45" s="1724">
        <f t="shared" si="8"/>
        <v>2221.2800000000002</v>
      </c>
    </row>
    <row r="46" spans="1:26" s="2009" customFormat="1" ht="15" x14ac:dyDescent="0.2">
      <c r="A46" s="1635"/>
      <c r="B46" s="1974"/>
      <c r="C46" s="1974"/>
      <c r="D46" s="1813"/>
      <c r="E46" s="1638"/>
      <c r="F46" s="1639"/>
      <c r="G46" s="1636"/>
      <c r="H46" s="1636"/>
      <c r="I46" s="1636"/>
      <c r="J46" s="1723"/>
      <c r="K46" s="2018"/>
      <c r="L46" s="2018"/>
      <c r="M46" s="2008"/>
      <c r="N46" s="2017"/>
      <c r="O46" s="2016"/>
      <c r="P46" s="2016"/>
      <c r="Q46" s="2016"/>
      <c r="R46" s="2016"/>
      <c r="S46" s="2016"/>
      <c r="T46" s="2016"/>
      <c r="U46" s="2016"/>
      <c r="V46" s="2016"/>
      <c r="W46" s="2016"/>
      <c r="X46" s="2016"/>
      <c r="Y46" s="2016"/>
      <c r="Z46" s="2016"/>
    </row>
    <row r="47" spans="1:26" s="2006" customFormat="1" ht="15" x14ac:dyDescent="0.2">
      <c r="A47" s="1513" t="s">
        <v>4978</v>
      </c>
      <c r="B47" s="2130" t="s">
        <v>4979</v>
      </c>
      <c r="C47" s="2130"/>
      <c r="D47" s="2130"/>
      <c r="E47" s="2130"/>
      <c r="F47" s="2130"/>
      <c r="G47" s="2130"/>
      <c r="H47" s="2130"/>
      <c r="I47" s="2130"/>
      <c r="J47" s="2130"/>
      <c r="K47" s="2015"/>
      <c r="L47" s="2015"/>
      <c r="M47" s="2005"/>
      <c r="N47" s="2002"/>
      <c r="O47" s="2005"/>
      <c r="P47" s="2005"/>
      <c r="Q47" s="2005"/>
      <c r="R47" s="2005"/>
      <c r="S47" s="2005"/>
      <c r="T47" s="2005"/>
      <c r="U47" s="2005"/>
      <c r="V47" s="2005"/>
      <c r="W47" s="2005"/>
      <c r="X47" s="2005"/>
      <c r="Y47" s="2005"/>
      <c r="Z47" s="2005"/>
    </row>
    <row r="48" spans="1:26" s="2006" customFormat="1" ht="15" x14ac:dyDescent="0.2">
      <c r="A48" s="1634" t="s">
        <v>4984</v>
      </c>
      <c r="B48" s="2136" t="s">
        <v>5684</v>
      </c>
      <c r="C48" s="2136"/>
      <c r="D48" s="2136"/>
      <c r="E48" s="2136"/>
      <c r="F48" s="2136"/>
      <c r="G48" s="2136"/>
      <c r="H48" s="2136"/>
      <c r="I48" s="2136"/>
      <c r="J48" s="2136"/>
      <c r="K48" s="2015"/>
      <c r="L48" s="2015"/>
      <c r="M48" s="2005"/>
      <c r="N48" s="2002"/>
      <c r="O48" s="2005"/>
      <c r="P48" s="2005"/>
      <c r="Q48" s="2005"/>
      <c r="R48" s="2005"/>
      <c r="S48" s="2005"/>
      <c r="T48" s="2005"/>
      <c r="U48" s="2005"/>
      <c r="V48" s="2005"/>
      <c r="W48" s="2005"/>
      <c r="X48" s="2005"/>
      <c r="Y48" s="2005"/>
      <c r="Z48" s="2005"/>
    </row>
    <row r="49" spans="1:26" s="2009" customFormat="1" ht="60" x14ac:dyDescent="0.2">
      <c r="A49" s="1635" t="s">
        <v>4985</v>
      </c>
      <c r="B49" s="1974" t="s">
        <v>4448</v>
      </c>
      <c r="C49" s="1974">
        <v>98525</v>
      </c>
      <c r="D49" s="1813" t="s">
        <v>9480</v>
      </c>
      <c r="E49" s="1638">
        <f>QuantCanteiro!J30</f>
        <v>3065.46</v>
      </c>
      <c r="F49" s="1639" t="s">
        <v>5286</v>
      </c>
      <c r="G49" s="1636">
        <v>0.24</v>
      </c>
      <c r="H49" s="1636">
        <f>ROUND(G49*$B$13,2)</f>
        <v>0.06</v>
      </c>
      <c r="I49" s="1636">
        <f t="shared" ref="I49" si="9">H49+G49</f>
        <v>0.3</v>
      </c>
      <c r="J49" s="1723">
        <f t="shared" ref="J49" si="10">ROUND(I49*E49,2)</f>
        <v>919.64</v>
      </c>
      <c r="K49" s="2007">
        <f>ROUND(G49*E49,2)</f>
        <v>735.71</v>
      </c>
      <c r="L49" s="2007">
        <f>ROUND(H49*E49,2)</f>
        <v>183.93</v>
      </c>
      <c r="M49" s="2016">
        <f>J49</f>
        <v>919.64</v>
      </c>
      <c r="N49" s="2017"/>
      <c r="O49" s="2016"/>
      <c r="P49" s="2016"/>
      <c r="Q49" s="2016"/>
      <c r="R49" s="2016"/>
      <c r="S49" s="2016"/>
      <c r="T49" s="2016"/>
      <c r="U49" s="2016"/>
      <c r="V49" s="2016"/>
      <c r="W49" s="2016"/>
      <c r="X49" s="2016"/>
      <c r="Y49" s="2016"/>
      <c r="Z49" s="2016"/>
    </row>
    <row r="50" spans="1:26" s="2009" customFormat="1" ht="30" x14ac:dyDescent="0.2">
      <c r="A50" s="1635" t="s">
        <v>9476</v>
      </c>
      <c r="B50" s="1974" t="s">
        <v>4448</v>
      </c>
      <c r="C50" s="1974">
        <v>98529</v>
      </c>
      <c r="D50" s="1813" t="s">
        <v>9477</v>
      </c>
      <c r="E50" s="1638">
        <v>4</v>
      </c>
      <c r="F50" s="1639" t="s">
        <v>5284</v>
      </c>
      <c r="G50" s="1636">
        <v>53.44</v>
      </c>
      <c r="H50" s="1636">
        <f>ROUND(G50*$B$13,2)</f>
        <v>14.39</v>
      </c>
      <c r="I50" s="1636">
        <f t="shared" ref="I50" si="11">H50+G50</f>
        <v>67.83</v>
      </c>
      <c r="J50" s="1723">
        <f t="shared" ref="J50" si="12">ROUND(I50*E50,2)</f>
        <v>271.32</v>
      </c>
      <c r="K50" s="2007">
        <f>ROUND(G50*E50,2)</f>
        <v>213.76</v>
      </c>
      <c r="L50" s="2007">
        <f>ROUND(H50*E50,2)</f>
        <v>57.56</v>
      </c>
      <c r="M50" s="2016">
        <f>J50</f>
        <v>271.32</v>
      </c>
      <c r="N50" s="2017"/>
      <c r="O50" s="2016"/>
      <c r="P50" s="2016"/>
      <c r="Q50" s="2016"/>
      <c r="R50" s="2016"/>
      <c r="S50" s="2016"/>
      <c r="T50" s="2016"/>
      <c r="U50" s="2016"/>
      <c r="V50" s="2016"/>
      <c r="W50" s="2016"/>
      <c r="X50" s="2016"/>
      <c r="Y50" s="2016"/>
      <c r="Z50" s="2016"/>
    </row>
    <row r="51" spans="1:26" s="2009" customFormat="1" ht="45" x14ac:dyDescent="0.2">
      <c r="A51" s="1635" t="s">
        <v>9478</v>
      </c>
      <c r="B51" s="1974" t="s">
        <v>4448</v>
      </c>
      <c r="C51" s="1974">
        <v>98526</v>
      </c>
      <c r="D51" s="1813" t="s">
        <v>9479</v>
      </c>
      <c r="E51" s="1638">
        <v>4</v>
      </c>
      <c r="F51" s="1639" t="s">
        <v>5284</v>
      </c>
      <c r="G51" s="1636">
        <v>53.02</v>
      </c>
      <c r="H51" s="1636">
        <f>ROUND(G51*$B$13,2)</f>
        <v>14.28</v>
      </c>
      <c r="I51" s="1636">
        <f t="shared" ref="I51" si="13">H51+G51</f>
        <v>67.3</v>
      </c>
      <c r="J51" s="1723">
        <f t="shared" ref="J51" si="14">ROUND(I51*E51,2)</f>
        <v>269.2</v>
      </c>
      <c r="K51" s="2007">
        <f>ROUND(G51*E51,2)</f>
        <v>212.08</v>
      </c>
      <c r="L51" s="2007">
        <f>ROUND(H51*E51,2)</f>
        <v>57.12</v>
      </c>
      <c r="M51" s="2016">
        <f>J51</f>
        <v>269.2</v>
      </c>
      <c r="N51" s="2017"/>
      <c r="O51" s="2016"/>
      <c r="P51" s="2016"/>
      <c r="Q51" s="2016"/>
      <c r="R51" s="2016"/>
      <c r="S51" s="2016"/>
      <c r="T51" s="2016"/>
      <c r="U51" s="2016"/>
      <c r="V51" s="2016"/>
      <c r="W51" s="2016"/>
      <c r="X51" s="2016"/>
      <c r="Y51" s="2016"/>
      <c r="Z51" s="2016"/>
    </row>
    <row r="52" spans="1:26" s="2009" customFormat="1" ht="15" x14ac:dyDescent="0.2">
      <c r="A52" s="1634" t="s">
        <v>8580</v>
      </c>
      <c r="B52" s="2136" t="s">
        <v>8579</v>
      </c>
      <c r="C52" s="2136"/>
      <c r="D52" s="2136"/>
      <c r="E52" s="2136"/>
      <c r="F52" s="2136"/>
      <c r="G52" s="2136"/>
      <c r="H52" s="2136"/>
      <c r="I52" s="2136"/>
      <c r="J52" s="2136"/>
      <c r="K52" s="2018"/>
      <c r="L52" s="2018"/>
      <c r="M52" s="2016"/>
      <c r="N52" s="2017"/>
      <c r="O52" s="2016"/>
      <c r="P52" s="2016"/>
      <c r="Q52" s="2016"/>
      <c r="R52" s="2016"/>
      <c r="S52" s="2016"/>
      <c r="T52" s="2016"/>
      <c r="U52" s="2016"/>
      <c r="V52" s="2016"/>
      <c r="W52" s="2016"/>
      <c r="X52" s="2016"/>
      <c r="Y52" s="2016"/>
      <c r="Z52" s="2016"/>
    </row>
    <row r="53" spans="1:26" s="2009" customFormat="1" ht="30" x14ac:dyDescent="0.2">
      <c r="A53" s="1635" t="s">
        <v>7448</v>
      </c>
      <c r="B53" s="1974" t="s">
        <v>4448</v>
      </c>
      <c r="C53" s="1974" t="s">
        <v>3410</v>
      </c>
      <c r="D53" s="1813" t="s">
        <v>8581</v>
      </c>
      <c r="E53" s="1638">
        <v>915.59</v>
      </c>
      <c r="F53" s="1639" t="s">
        <v>5685</v>
      </c>
      <c r="G53" s="1636">
        <v>1.3</v>
      </c>
      <c r="H53" s="1636">
        <f>ROUND(G53*$B$13,2)</f>
        <v>0.35</v>
      </c>
      <c r="I53" s="1636">
        <f t="shared" ref="I53:I54" si="15">H53+G53</f>
        <v>1.65</v>
      </c>
      <c r="J53" s="1723">
        <f t="shared" ref="J53:J54" si="16">ROUND(I53*E53,2)</f>
        <v>1510.72</v>
      </c>
      <c r="K53" s="2007">
        <f>ROUND(G53*E53,2)</f>
        <v>1190.27</v>
      </c>
      <c r="L53" s="2007">
        <f>ROUND(H53*E53,2)</f>
        <v>320.45999999999998</v>
      </c>
      <c r="M53" s="2016">
        <f>0.8*J53</f>
        <v>1208.576</v>
      </c>
      <c r="N53" s="2017">
        <f>0.2*J53</f>
        <v>302.14400000000001</v>
      </c>
      <c r="O53" s="2016"/>
      <c r="P53" s="2016"/>
      <c r="Q53" s="2016"/>
      <c r="R53" s="2016"/>
      <c r="S53" s="2016"/>
      <c r="T53" s="2016"/>
      <c r="U53" s="2016"/>
      <c r="V53" s="2016"/>
      <c r="W53" s="2016"/>
      <c r="X53" s="2016"/>
      <c r="Y53" s="2016"/>
      <c r="Z53" s="2016"/>
    </row>
    <row r="54" spans="1:26" s="2009" customFormat="1" ht="45" x14ac:dyDescent="0.2">
      <c r="A54" s="1635" t="s">
        <v>7730</v>
      </c>
      <c r="B54" s="1974" t="s">
        <v>4448</v>
      </c>
      <c r="C54" s="1974">
        <v>96385</v>
      </c>
      <c r="D54" s="1813" t="s">
        <v>9314</v>
      </c>
      <c r="E54" s="1638">
        <v>105.77</v>
      </c>
      <c r="F54" s="1639" t="s">
        <v>5685</v>
      </c>
      <c r="G54" s="1636">
        <v>6.19</v>
      </c>
      <c r="H54" s="1636">
        <f>ROUND(G54*$B$13,2)</f>
        <v>1.67</v>
      </c>
      <c r="I54" s="1636">
        <f t="shared" si="15"/>
        <v>7.86</v>
      </c>
      <c r="J54" s="1723">
        <f t="shared" si="16"/>
        <v>831.35</v>
      </c>
      <c r="K54" s="2007">
        <f>ROUND(G54*E54,2)</f>
        <v>654.72</v>
      </c>
      <c r="L54" s="2007">
        <f>ROUND(H54*E54,2)</f>
        <v>176.64</v>
      </c>
      <c r="M54" s="2016">
        <f>0.8*J54</f>
        <v>665.08</v>
      </c>
      <c r="N54" s="2017">
        <f>0.2*J54</f>
        <v>166.27</v>
      </c>
      <c r="O54" s="2016"/>
      <c r="P54" s="2016"/>
      <c r="Q54" s="2016"/>
      <c r="R54" s="2016"/>
      <c r="S54" s="2016"/>
      <c r="T54" s="2016"/>
      <c r="U54" s="2016"/>
      <c r="V54" s="2016"/>
      <c r="W54" s="2016"/>
      <c r="X54" s="2016"/>
      <c r="Y54" s="2016"/>
      <c r="Z54" s="2016"/>
    </row>
    <row r="55" spans="1:26" s="2009" customFormat="1" ht="60" x14ac:dyDescent="0.2">
      <c r="A55" s="1635" t="s">
        <v>6929</v>
      </c>
      <c r="B55" s="1974" t="s">
        <v>4448</v>
      </c>
      <c r="C55" s="1974" t="s">
        <v>3542</v>
      </c>
      <c r="D55" s="1813" t="s">
        <v>7731</v>
      </c>
      <c r="E55" s="1638">
        <f>QuantCanteiro!K39</f>
        <v>1278.6600000000001</v>
      </c>
      <c r="F55" s="1639" t="s">
        <v>5685</v>
      </c>
      <c r="G55" s="1636">
        <v>1.41</v>
      </c>
      <c r="H55" s="1636">
        <f>ROUND(G55*$B$13,2)</f>
        <v>0.38</v>
      </c>
      <c r="I55" s="1636">
        <f t="shared" ref="I55:I56" si="17">H55+G55</f>
        <v>1.79</v>
      </c>
      <c r="J55" s="1723">
        <f t="shared" ref="J55:J56" si="18">ROUND(I55*E55,2)</f>
        <v>2288.8000000000002</v>
      </c>
      <c r="K55" s="2007">
        <f>ROUND(G55*E55,2)</f>
        <v>1802.91</v>
      </c>
      <c r="L55" s="2007">
        <f>ROUND(H55*E55,2)</f>
        <v>485.89</v>
      </c>
      <c r="M55" s="2016">
        <f>0.8*J55</f>
        <v>1831.0400000000002</v>
      </c>
      <c r="N55" s="2017">
        <f>0.2*J55</f>
        <v>457.76000000000005</v>
      </c>
      <c r="O55" s="2016"/>
      <c r="P55" s="2016"/>
      <c r="Q55" s="2016"/>
      <c r="R55" s="2016"/>
      <c r="S55" s="2016"/>
      <c r="T55" s="2016"/>
      <c r="U55" s="2016"/>
      <c r="V55" s="2016"/>
      <c r="W55" s="2016"/>
      <c r="X55" s="2016"/>
      <c r="Y55" s="2016"/>
      <c r="Z55" s="2016"/>
    </row>
    <row r="56" spans="1:26" s="2009" customFormat="1" ht="45" x14ac:dyDescent="0.2">
      <c r="A56" s="1635" t="s">
        <v>6930</v>
      </c>
      <c r="B56" s="1974" t="s">
        <v>4448</v>
      </c>
      <c r="C56" s="1974">
        <v>97914</v>
      </c>
      <c r="D56" s="1813" t="s">
        <v>8585</v>
      </c>
      <c r="E56" s="1638">
        <f>E55*2</f>
        <v>2557.3200000000002</v>
      </c>
      <c r="F56" s="1639" t="s">
        <v>6698</v>
      </c>
      <c r="G56" s="1636">
        <v>1.17</v>
      </c>
      <c r="H56" s="1636">
        <f>ROUND(G56*$B$13,2)</f>
        <v>0.32</v>
      </c>
      <c r="I56" s="1636">
        <f t="shared" si="17"/>
        <v>1.49</v>
      </c>
      <c r="J56" s="1723">
        <f t="shared" si="18"/>
        <v>3810.41</v>
      </c>
      <c r="K56" s="2007">
        <f>ROUND(G56*E56,2)</f>
        <v>2992.06</v>
      </c>
      <c r="L56" s="2007">
        <f>ROUND(H56*E56,2)</f>
        <v>818.34</v>
      </c>
      <c r="M56" s="2016">
        <f>0.8*J56</f>
        <v>3048.328</v>
      </c>
      <c r="N56" s="2017">
        <f>0.2*J56</f>
        <v>762.08199999999999</v>
      </c>
      <c r="O56" s="2016"/>
      <c r="P56" s="2016"/>
      <c r="Q56" s="2016"/>
      <c r="R56" s="2016"/>
      <c r="S56" s="2016"/>
      <c r="T56" s="2016"/>
      <c r="U56" s="2016"/>
      <c r="V56" s="2016"/>
      <c r="W56" s="2016"/>
      <c r="X56" s="2016"/>
      <c r="Y56" s="2016"/>
      <c r="Z56" s="2016"/>
    </row>
    <row r="57" spans="1:26" s="2006" customFormat="1" ht="15" x14ac:dyDescent="0.2">
      <c r="A57" s="2133" t="s">
        <v>5683</v>
      </c>
      <c r="B57" s="2133"/>
      <c r="C57" s="2133"/>
      <c r="D57" s="2133"/>
      <c r="E57" s="2133"/>
      <c r="F57" s="2133"/>
      <c r="G57" s="2133"/>
      <c r="H57" s="2133"/>
      <c r="I57" s="2133"/>
      <c r="J57" s="1724">
        <f>SUM(J48:J56)</f>
        <v>9901.44</v>
      </c>
      <c r="K57" s="2015"/>
      <c r="L57" s="2015"/>
      <c r="M57" s="1724">
        <f t="shared" ref="M57:Z57" si="19">SUM(M48:M56)</f>
        <v>8213.1839999999993</v>
      </c>
      <c r="N57" s="1724">
        <f t="shared" si="19"/>
        <v>1688.2559999999999</v>
      </c>
      <c r="O57" s="1724">
        <f t="shared" si="19"/>
        <v>0</v>
      </c>
      <c r="P57" s="1724">
        <f t="shared" si="19"/>
        <v>0</v>
      </c>
      <c r="Q57" s="1724">
        <f t="shared" si="19"/>
        <v>0</v>
      </c>
      <c r="R57" s="1724">
        <f t="shared" si="19"/>
        <v>0</v>
      </c>
      <c r="S57" s="1724">
        <f t="shared" si="19"/>
        <v>0</v>
      </c>
      <c r="T57" s="1724">
        <f t="shared" si="19"/>
        <v>0</v>
      </c>
      <c r="U57" s="1724">
        <f t="shared" si="19"/>
        <v>0</v>
      </c>
      <c r="V57" s="1724">
        <f t="shared" si="19"/>
        <v>0</v>
      </c>
      <c r="W57" s="1724">
        <f t="shared" si="19"/>
        <v>0</v>
      </c>
      <c r="X57" s="1724">
        <f t="shared" si="19"/>
        <v>0</v>
      </c>
      <c r="Y57" s="1724">
        <f t="shared" si="19"/>
        <v>0</v>
      </c>
      <c r="Z57" s="1724">
        <f t="shared" si="19"/>
        <v>0</v>
      </c>
    </row>
    <row r="58" spans="1:26" s="2006" customFormat="1" ht="15" x14ac:dyDescent="0.2">
      <c r="A58" s="52"/>
      <c r="B58" s="52"/>
      <c r="C58" s="52"/>
      <c r="D58" s="52"/>
      <c r="E58" s="1506"/>
      <c r="F58" s="52"/>
      <c r="G58" s="52"/>
      <c r="H58" s="51"/>
      <c r="I58" s="51"/>
      <c r="J58" s="1725"/>
      <c r="K58" s="2015"/>
      <c r="L58" s="2015"/>
      <c r="M58" s="2005"/>
      <c r="N58" s="2002"/>
      <c r="O58" s="2005"/>
      <c r="P58" s="2005"/>
      <c r="Q58" s="2005"/>
      <c r="R58" s="2005"/>
      <c r="S58" s="2005"/>
      <c r="T58" s="2005"/>
      <c r="U58" s="2005"/>
      <c r="V58" s="2005"/>
      <c r="W58" s="2005"/>
      <c r="X58" s="2005"/>
      <c r="Y58" s="2005"/>
      <c r="Z58" s="2005"/>
    </row>
    <row r="59" spans="1:26" s="2003" customFormat="1" ht="15" x14ac:dyDescent="0.2">
      <c r="A59" s="2132" t="s">
        <v>5686</v>
      </c>
      <c r="B59" s="2132"/>
      <c r="C59" s="2132"/>
      <c r="D59" s="2132"/>
      <c r="E59" s="2132"/>
      <c r="F59" s="2132"/>
      <c r="G59" s="2132"/>
      <c r="H59" s="2132"/>
      <c r="I59" s="2132"/>
      <c r="J59" s="1726">
        <f>J57+J45</f>
        <v>221872.97</v>
      </c>
      <c r="K59" s="2015"/>
      <c r="L59" s="2015"/>
      <c r="M59" s="1726">
        <f t="shared" ref="M59:Z59" si="20">M57+M45</f>
        <v>217963.43399999998</v>
      </c>
      <c r="N59" s="1726">
        <f t="shared" si="20"/>
        <v>1688.2559999999999</v>
      </c>
      <c r="O59" s="1726">
        <f t="shared" si="20"/>
        <v>0</v>
      </c>
      <c r="P59" s="1726">
        <f t="shared" si="20"/>
        <v>0</v>
      </c>
      <c r="Q59" s="1726">
        <f t="shared" si="20"/>
        <v>0</v>
      </c>
      <c r="R59" s="1726">
        <f t="shared" si="20"/>
        <v>0</v>
      </c>
      <c r="S59" s="1726">
        <f t="shared" si="20"/>
        <v>0</v>
      </c>
      <c r="T59" s="1726">
        <f t="shared" si="20"/>
        <v>0</v>
      </c>
      <c r="U59" s="1726">
        <f t="shared" si="20"/>
        <v>0</v>
      </c>
      <c r="V59" s="1726">
        <f t="shared" si="20"/>
        <v>0</v>
      </c>
      <c r="W59" s="1726">
        <f t="shared" si="20"/>
        <v>0</v>
      </c>
      <c r="X59" s="1726">
        <f t="shared" si="20"/>
        <v>0</v>
      </c>
      <c r="Y59" s="1726">
        <f t="shared" si="20"/>
        <v>0</v>
      </c>
      <c r="Z59" s="1726">
        <f t="shared" si="20"/>
        <v>2221.2800000000002</v>
      </c>
    </row>
    <row r="60" spans="1:26" s="2006" customFormat="1" ht="15" x14ac:dyDescent="0.2">
      <c r="A60" s="1635"/>
      <c r="B60" s="1974"/>
      <c r="C60" s="1974"/>
      <c r="D60" s="1813"/>
      <c r="E60" s="1638"/>
      <c r="F60" s="1639"/>
      <c r="G60" s="19"/>
      <c r="H60" s="19"/>
      <c r="I60" s="19"/>
      <c r="J60" s="1727"/>
      <c r="K60" s="2015"/>
      <c r="L60" s="2015"/>
      <c r="M60" s="2013">
        <f>M59/$J59</f>
        <v>0.98237939484020964</v>
      </c>
      <c r="N60" s="2013">
        <f t="shared" ref="N60" si="21">N59/$J59</f>
        <v>7.6091107447653489E-3</v>
      </c>
      <c r="O60" s="2013">
        <f t="shared" ref="O60" si="22">O59/$J59</f>
        <v>0</v>
      </c>
      <c r="P60" s="2013">
        <f t="shared" ref="P60" si="23">P59/$J59</f>
        <v>0</v>
      </c>
      <c r="Q60" s="2013">
        <f t="shared" ref="Q60" si="24">Q59/$J59</f>
        <v>0</v>
      </c>
      <c r="R60" s="2013">
        <f t="shared" ref="R60" si="25">R59/$J59</f>
        <v>0</v>
      </c>
      <c r="S60" s="2013">
        <f t="shared" ref="S60" si="26">S59/$J59</f>
        <v>0</v>
      </c>
      <c r="T60" s="2013">
        <f t="shared" ref="T60" si="27">T59/$J59</f>
        <v>0</v>
      </c>
      <c r="U60" s="2013">
        <f t="shared" ref="U60" si="28">U59/$J59</f>
        <v>0</v>
      </c>
      <c r="V60" s="2013">
        <f t="shared" ref="V60" si="29">V59/$J59</f>
        <v>0</v>
      </c>
      <c r="W60" s="2013">
        <f t="shared" ref="W60" si="30">W59/$J59</f>
        <v>0</v>
      </c>
      <c r="X60" s="2013">
        <f t="shared" ref="X60" si="31">X59/$J59</f>
        <v>0</v>
      </c>
      <c r="Y60" s="2013">
        <f t="shared" ref="Y60" si="32">Y59/$J59</f>
        <v>0</v>
      </c>
      <c r="Z60" s="2013">
        <f t="shared" ref="Z60" si="33">Z59/$J59</f>
        <v>1.0011494415024958E-2</v>
      </c>
    </row>
    <row r="61" spans="1:26" s="2003" customFormat="1" ht="15" x14ac:dyDescent="0.2">
      <c r="A61" s="1988" t="s">
        <v>13</v>
      </c>
      <c r="B61" s="2135" t="s">
        <v>4857</v>
      </c>
      <c r="C61" s="2135"/>
      <c r="D61" s="2135"/>
      <c r="E61" s="2135"/>
      <c r="F61" s="2135"/>
      <c r="G61" s="2135"/>
      <c r="H61" s="2135"/>
      <c r="I61" s="2135"/>
      <c r="J61" s="2135"/>
      <c r="K61" s="2014"/>
      <c r="L61" s="2014"/>
      <c r="M61" s="2000"/>
      <c r="N61" s="2001"/>
      <c r="O61" s="2002"/>
      <c r="P61" s="2002"/>
      <c r="Q61" s="2002"/>
      <c r="R61" s="2002"/>
      <c r="S61" s="2002"/>
      <c r="T61" s="2002"/>
      <c r="U61" s="2002"/>
      <c r="V61" s="2002"/>
      <c r="W61" s="2002"/>
      <c r="X61" s="2002"/>
      <c r="Y61" s="2002"/>
      <c r="Z61" s="2002"/>
    </row>
    <row r="62" spans="1:26" s="2006" customFormat="1" ht="15" x14ac:dyDescent="0.2">
      <c r="A62" s="1985" t="s">
        <v>0</v>
      </c>
      <c r="B62" s="2131" t="s">
        <v>6715</v>
      </c>
      <c r="C62" s="2131"/>
      <c r="D62" s="1985" t="s">
        <v>1</v>
      </c>
      <c r="E62" s="1986" t="s">
        <v>131</v>
      </c>
      <c r="F62" s="1987" t="s">
        <v>11</v>
      </c>
      <c r="G62" s="1989" t="s">
        <v>12</v>
      </c>
      <c r="H62" s="1989" t="s">
        <v>5679</v>
      </c>
      <c r="I62" s="1989" t="s">
        <v>5680</v>
      </c>
      <c r="J62" s="1990" t="s">
        <v>130</v>
      </c>
      <c r="K62" s="2014"/>
      <c r="L62" s="2014"/>
      <c r="M62" s="2000"/>
      <c r="N62" s="2001"/>
      <c r="O62" s="2005"/>
      <c r="P62" s="2005"/>
      <c r="Q62" s="2005"/>
      <c r="R62" s="2005"/>
      <c r="S62" s="2005"/>
      <c r="T62" s="2005"/>
      <c r="U62" s="2005"/>
      <c r="V62" s="2005"/>
      <c r="W62" s="2005"/>
      <c r="X62" s="2005"/>
      <c r="Y62" s="2005"/>
      <c r="Z62" s="2005"/>
    </row>
    <row r="63" spans="1:26" s="2006" customFormat="1" ht="15" x14ac:dyDescent="0.2">
      <c r="A63" s="1513" t="s">
        <v>4856</v>
      </c>
      <c r="B63" s="2130" t="s">
        <v>5018</v>
      </c>
      <c r="C63" s="2130"/>
      <c r="D63" s="2130"/>
      <c r="E63" s="2130"/>
      <c r="F63" s="2130"/>
      <c r="G63" s="2130"/>
      <c r="H63" s="2130"/>
      <c r="I63" s="2130"/>
      <c r="J63" s="2130"/>
      <c r="K63" s="2015"/>
      <c r="L63" s="2015"/>
      <c r="M63" s="2005"/>
      <c r="N63" s="2002"/>
      <c r="O63" s="2005"/>
      <c r="P63" s="2005"/>
      <c r="Q63" s="2005"/>
      <c r="R63" s="2005"/>
      <c r="S63" s="2005"/>
      <c r="T63" s="2005"/>
      <c r="U63" s="2005"/>
      <c r="V63" s="2005"/>
      <c r="W63" s="2005"/>
      <c r="X63" s="2005"/>
      <c r="Y63" s="2005"/>
      <c r="Z63" s="2005"/>
    </row>
    <row r="64" spans="1:26" s="2009" customFormat="1" ht="15" x14ac:dyDescent="0.2">
      <c r="A64" s="1635" t="s">
        <v>7684</v>
      </c>
      <c r="B64" s="1974" t="s">
        <v>4448</v>
      </c>
      <c r="C64" s="1974">
        <v>99805</v>
      </c>
      <c r="D64" s="1813" t="s">
        <v>8531</v>
      </c>
      <c r="E64" s="1638">
        <f>QuantCanteiro!J47</f>
        <v>2464.3200000000002</v>
      </c>
      <c r="F64" s="1639" t="s">
        <v>5286</v>
      </c>
      <c r="G64" s="1636">
        <v>7.63</v>
      </c>
      <c r="H64" s="1636">
        <f>ROUND(G64*$B$13,2)</f>
        <v>2.0499999999999998</v>
      </c>
      <c r="I64" s="1636">
        <f t="shared" ref="I64" si="34">H64+G64</f>
        <v>9.68</v>
      </c>
      <c r="J64" s="1723">
        <f t="shared" ref="J64" si="35">ROUND(I64*E64,2)</f>
        <v>23854.62</v>
      </c>
      <c r="K64" s="2007">
        <f>ROUND(G64*E64,2)</f>
        <v>18802.759999999998</v>
      </c>
      <c r="L64" s="2007">
        <f>ROUND(H64*E64,2)</f>
        <v>5051.8599999999997</v>
      </c>
      <c r="M64" s="2016"/>
      <c r="N64" s="2017"/>
      <c r="O64" s="2016"/>
      <c r="P64" s="2016"/>
      <c r="Q64" s="2016"/>
      <c r="R64" s="2016"/>
      <c r="S64" s="2016"/>
      <c r="T64" s="2016"/>
      <c r="U64" s="2016"/>
      <c r="V64" s="2016"/>
      <c r="W64" s="2016"/>
      <c r="X64" s="2016"/>
      <c r="Y64" s="2016"/>
      <c r="Z64" s="2016">
        <f>J64</f>
        <v>23854.62</v>
      </c>
    </row>
    <row r="65" spans="1:26" s="2006" customFormat="1" ht="15" x14ac:dyDescent="0.2">
      <c r="A65" s="2133" t="s">
        <v>7683</v>
      </c>
      <c r="B65" s="2133"/>
      <c r="C65" s="2133"/>
      <c r="D65" s="2133"/>
      <c r="E65" s="2133"/>
      <c r="F65" s="2133"/>
      <c r="G65" s="2133"/>
      <c r="H65" s="2133"/>
      <c r="I65" s="2133"/>
      <c r="J65" s="1724">
        <f>SUM(J63:J64)</f>
        <v>23854.62</v>
      </c>
      <c r="K65" s="2015"/>
      <c r="L65" s="2015"/>
      <c r="M65" s="1724">
        <f>SUM(M63:M64)</f>
        <v>0</v>
      </c>
      <c r="N65" s="1724">
        <f t="shared" ref="N65:Z65" si="36">SUM(N63:N64)</f>
        <v>0</v>
      </c>
      <c r="O65" s="1724">
        <f t="shared" si="36"/>
        <v>0</v>
      </c>
      <c r="P65" s="1724">
        <f t="shared" si="36"/>
        <v>0</v>
      </c>
      <c r="Q65" s="1724">
        <f t="shared" si="36"/>
        <v>0</v>
      </c>
      <c r="R65" s="1724">
        <f t="shared" si="36"/>
        <v>0</v>
      </c>
      <c r="S65" s="1724">
        <f t="shared" si="36"/>
        <v>0</v>
      </c>
      <c r="T65" s="1724">
        <f t="shared" si="36"/>
        <v>0</v>
      </c>
      <c r="U65" s="1724">
        <f t="shared" si="36"/>
        <v>0</v>
      </c>
      <c r="V65" s="1724">
        <f t="shared" si="36"/>
        <v>0</v>
      </c>
      <c r="W65" s="1724">
        <f t="shared" si="36"/>
        <v>0</v>
      </c>
      <c r="X65" s="1724">
        <f t="shared" si="36"/>
        <v>0</v>
      </c>
      <c r="Y65" s="1724">
        <f t="shared" si="36"/>
        <v>0</v>
      </c>
      <c r="Z65" s="1724">
        <f t="shared" si="36"/>
        <v>23854.62</v>
      </c>
    </row>
    <row r="66" spans="1:26" s="2006" customFormat="1" ht="15" x14ac:dyDescent="0.2">
      <c r="A66" s="52"/>
      <c r="B66" s="52"/>
      <c r="C66" s="52"/>
      <c r="D66" s="52"/>
      <c r="E66" s="1506"/>
      <c r="F66" s="52"/>
      <c r="G66" s="52"/>
      <c r="H66" s="51"/>
      <c r="I66" s="51"/>
      <c r="J66" s="1725"/>
      <c r="K66" s="2015"/>
      <c r="L66" s="2015"/>
      <c r="M66" s="2005"/>
      <c r="N66" s="2002"/>
      <c r="O66" s="2005"/>
      <c r="P66" s="2005"/>
      <c r="Q66" s="2005"/>
      <c r="R66" s="2005"/>
      <c r="S66" s="2005"/>
      <c r="T66" s="2005"/>
      <c r="U66" s="2005"/>
      <c r="V66" s="2005"/>
      <c r="W66" s="2005"/>
      <c r="X66" s="2005"/>
      <c r="Y66" s="2005"/>
      <c r="Z66" s="2005"/>
    </row>
    <row r="67" spans="1:26" s="2006" customFormat="1" ht="15" x14ac:dyDescent="0.2">
      <c r="A67" s="1513" t="s">
        <v>7676</v>
      </c>
      <c r="B67" s="2130" t="s">
        <v>7677</v>
      </c>
      <c r="C67" s="2130"/>
      <c r="D67" s="2130"/>
      <c r="E67" s="2130"/>
      <c r="F67" s="2130"/>
      <c r="G67" s="2130"/>
      <c r="H67" s="2130"/>
      <c r="I67" s="2130"/>
      <c r="J67" s="2130"/>
      <c r="K67" s="2015"/>
      <c r="L67" s="2015"/>
      <c r="M67" s="2005"/>
      <c r="N67" s="2002"/>
      <c r="O67" s="2005"/>
      <c r="P67" s="2005"/>
      <c r="Q67" s="2005"/>
      <c r="R67" s="2005"/>
      <c r="S67" s="2005"/>
      <c r="T67" s="2005"/>
      <c r="U67" s="2005"/>
      <c r="V67" s="2005"/>
      <c r="W67" s="2005"/>
      <c r="X67" s="2005"/>
      <c r="Y67" s="2005"/>
      <c r="Z67" s="2005"/>
    </row>
    <row r="68" spans="1:26" s="2009" customFormat="1" ht="30" x14ac:dyDescent="0.2">
      <c r="A68" s="1635" t="s">
        <v>7678</v>
      </c>
      <c r="B68" s="1974" t="s">
        <v>7680</v>
      </c>
      <c r="C68" s="1974" t="s">
        <v>7681</v>
      </c>
      <c r="D68" s="1813" t="s">
        <v>7679</v>
      </c>
      <c r="E68" s="1638">
        <v>1</v>
      </c>
      <c r="F68" s="1639" t="s">
        <v>5284</v>
      </c>
      <c r="G68" s="1636">
        <v>1128.8499999999999</v>
      </c>
      <c r="H68" s="1636">
        <f>ROUND(G68*$B$13,2)</f>
        <v>304</v>
      </c>
      <c r="I68" s="1636">
        <f>H68+G68</f>
        <v>1432.85</v>
      </c>
      <c r="J68" s="1723">
        <f>ROUND(I68*E68,2)</f>
        <v>1432.85</v>
      </c>
      <c r="K68" s="2007">
        <f>ROUND(G68*E68,2)</f>
        <v>1128.8499999999999</v>
      </c>
      <c r="L68" s="2007">
        <f>ROUND(H68*E68,2)</f>
        <v>304</v>
      </c>
      <c r="M68" s="2016"/>
      <c r="N68" s="2017"/>
      <c r="O68" s="2016"/>
      <c r="P68" s="2016"/>
      <c r="Q68" s="2016"/>
      <c r="R68" s="2016"/>
      <c r="S68" s="2016"/>
      <c r="T68" s="2016"/>
      <c r="U68" s="2016"/>
      <c r="V68" s="2016"/>
      <c r="W68" s="2016"/>
      <c r="X68" s="2016"/>
      <c r="Y68" s="2016"/>
      <c r="Z68" s="2016">
        <f>J68</f>
        <v>1432.85</v>
      </c>
    </row>
    <row r="69" spans="1:26" s="2006" customFormat="1" ht="15" x14ac:dyDescent="0.2">
      <c r="A69" s="2133" t="s">
        <v>7682</v>
      </c>
      <c r="B69" s="2133"/>
      <c r="C69" s="2133"/>
      <c r="D69" s="2133"/>
      <c r="E69" s="2133"/>
      <c r="F69" s="2133"/>
      <c r="G69" s="2133"/>
      <c r="H69" s="2133"/>
      <c r="I69" s="2133"/>
      <c r="J69" s="1724">
        <f>SUM(J67:J68)</f>
        <v>1432.85</v>
      </c>
      <c r="K69" s="2015"/>
      <c r="L69" s="2015"/>
      <c r="M69" s="1724">
        <f>SUM(M67:M68)</f>
        <v>0</v>
      </c>
      <c r="N69" s="1724">
        <f t="shared" ref="N69:Z69" si="37">SUM(N67:N68)</f>
        <v>0</v>
      </c>
      <c r="O69" s="1724">
        <f t="shared" si="37"/>
        <v>0</v>
      </c>
      <c r="P69" s="1724">
        <f t="shared" si="37"/>
        <v>0</v>
      </c>
      <c r="Q69" s="1724">
        <f t="shared" si="37"/>
        <v>0</v>
      </c>
      <c r="R69" s="1724">
        <f t="shared" si="37"/>
        <v>0</v>
      </c>
      <c r="S69" s="1724">
        <f t="shared" si="37"/>
        <v>0</v>
      </c>
      <c r="T69" s="1724">
        <f t="shared" si="37"/>
        <v>0</v>
      </c>
      <c r="U69" s="1724">
        <f t="shared" si="37"/>
        <v>0</v>
      </c>
      <c r="V69" s="1724">
        <f t="shared" si="37"/>
        <v>0</v>
      </c>
      <c r="W69" s="1724">
        <f t="shared" si="37"/>
        <v>0</v>
      </c>
      <c r="X69" s="1724">
        <f t="shared" si="37"/>
        <v>0</v>
      </c>
      <c r="Y69" s="1724">
        <f t="shared" si="37"/>
        <v>0</v>
      </c>
      <c r="Z69" s="1724">
        <f t="shared" si="37"/>
        <v>1432.85</v>
      </c>
    </row>
    <row r="70" spans="1:26" s="2006" customFormat="1" ht="15" x14ac:dyDescent="0.2">
      <c r="A70" s="52"/>
      <c r="B70" s="52"/>
      <c r="C70" s="52"/>
      <c r="D70" s="52"/>
      <c r="E70" s="1506"/>
      <c r="F70" s="52"/>
      <c r="G70" s="52"/>
      <c r="H70" s="51"/>
      <c r="I70" s="51"/>
      <c r="J70" s="1725"/>
      <c r="K70" s="2015"/>
      <c r="L70" s="2015"/>
      <c r="M70" s="2005"/>
      <c r="N70" s="2002"/>
      <c r="O70" s="2005"/>
      <c r="P70" s="2005"/>
      <c r="Q70" s="2005"/>
      <c r="R70" s="2005"/>
      <c r="S70" s="2005"/>
      <c r="T70" s="2005"/>
      <c r="U70" s="2005"/>
      <c r="V70" s="2005"/>
      <c r="W70" s="2005"/>
      <c r="X70" s="2005"/>
      <c r="Y70" s="2005"/>
      <c r="Z70" s="2005"/>
    </row>
    <row r="71" spans="1:26" s="2006" customFormat="1" ht="15" x14ac:dyDescent="0.2">
      <c r="A71" s="1513" t="s">
        <v>4870</v>
      </c>
      <c r="B71" s="2130" t="s">
        <v>5019</v>
      </c>
      <c r="C71" s="2130"/>
      <c r="D71" s="2130"/>
      <c r="E71" s="2130"/>
      <c r="F71" s="2130"/>
      <c r="G71" s="2130"/>
      <c r="H71" s="2130"/>
      <c r="I71" s="2130"/>
      <c r="J71" s="2130"/>
      <c r="K71" s="2015"/>
      <c r="L71" s="2015"/>
      <c r="M71" s="2005"/>
      <c r="N71" s="2002"/>
      <c r="O71" s="2005"/>
      <c r="P71" s="2005"/>
      <c r="Q71" s="2005"/>
      <c r="R71" s="2005"/>
      <c r="S71" s="2005"/>
      <c r="T71" s="2005"/>
      <c r="U71" s="2005"/>
      <c r="V71" s="2005"/>
      <c r="W71" s="2005"/>
      <c r="X71" s="2005"/>
      <c r="Y71" s="2005"/>
      <c r="Z71" s="2005"/>
    </row>
    <row r="72" spans="1:26" s="2009" customFormat="1" ht="30" x14ac:dyDescent="0.2">
      <c r="A72" s="1635" t="s">
        <v>7689</v>
      </c>
      <c r="B72" s="1974" t="s">
        <v>5281</v>
      </c>
      <c r="C72" s="1974">
        <v>10832</v>
      </c>
      <c r="D72" s="1813" t="s">
        <v>8317</v>
      </c>
      <c r="E72" s="1638">
        <f t="shared" ref="E72:E80" si="38">2*1232</f>
        <v>2464</v>
      </c>
      <c r="F72" s="1639" t="s">
        <v>5286</v>
      </c>
      <c r="G72" s="1636">
        <v>0.67</v>
      </c>
      <c r="H72" s="1636">
        <f t="shared" ref="H72:H84" si="39">ROUND(G72*$B$13,2)</f>
        <v>0.18</v>
      </c>
      <c r="I72" s="1636">
        <f t="shared" ref="I72" si="40">H72+G72</f>
        <v>0.85000000000000009</v>
      </c>
      <c r="J72" s="1723">
        <f t="shared" ref="J72" si="41">ROUND(I72*E72,2)</f>
        <v>2094.4</v>
      </c>
      <c r="K72" s="2007">
        <f>ROUND(G72*E72,2)</f>
        <v>1650.88</v>
      </c>
      <c r="L72" s="2007">
        <f>ROUND(H72*E72,2)</f>
        <v>443.52</v>
      </c>
      <c r="M72" s="2016"/>
      <c r="N72" s="2017"/>
      <c r="O72" s="2016"/>
      <c r="P72" s="2016"/>
      <c r="Q72" s="2016"/>
      <c r="R72" s="2016"/>
      <c r="S72" s="2016"/>
      <c r="T72" s="2016"/>
      <c r="U72" s="2016"/>
      <c r="V72" s="2016"/>
      <c r="W72" s="2016"/>
      <c r="X72" s="2016"/>
      <c r="Y72" s="2016"/>
      <c r="Z72" s="2016">
        <f>J72</f>
        <v>2094.4</v>
      </c>
    </row>
    <row r="73" spans="1:26" s="2009" customFormat="1" ht="30" x14ac:dyDescent="0.2">
      <c r="A73" s="1635" t="s">
        <v>7695</v>
      </c>
      <c r="B73" s="1974" t="s">
        <v>5281</v>
      </c>
      <c r="C73" s="1974">
        <v>10832</v>
      </c>
      <c r="D73" s="1813" t="s">
        <v>8318</v>
      </c>
      <c r="E73" s="1638">
        <f t="shared" si="38"/>
        <v>2464</v>
      </c>
      <c r="F73" s="1639" t="s">
        <v>5286</v>
      </c>
      <c r="G73" s="1636">
        <v>0.67</v>
      </c>
      <c r="H73" s="1636">
        <f t="shared" si="39"/>
        <v>0.18</v>
      </c>
      <c r="I73" s="1636">
        <f t="shared" ref="I73:I79" si="42">H73+G73</f>
        <v>0.85000000000000009</v>
      </c>
      <c r="J73" s="1723">
        <f t="shared" ref="J73:J79" si="43">ROUND(I73*E73,2)</f>
        <v>2094.4</v>
      </c>
      <c r="K73" s="2007">
        <f>ROUND(G73*E73,2)</f>
        <v>1650.88</v>
      </c>
      <c r="L73" s="2007">
        <f>ROUND(H73*E73,2)</f>
        <v>443.52</v>
      </c>
      <c r="M73" s="2016"/>
      <c r="N73" s="2017"/>
      <c r="O73" s="2016"/>
      <c r="P73" s="2016"/>
      <c r="Q73" s="2016"/>
      <c r="R73" s="2016"/>
      <c r="S73" s="2016"/>
      <c r="T73" s="2016"/>
      <c r="U73" s="2016"/>
      <c r="V73" s="2016"/>
      <c r="W73" s="2016"/>
      <c r="X73" s="2016"/>
      <c r="Y73" s="2016"/>
      <c r="Z73" s="2016">
        <f t="shared" ref="Z73:Z84" si="44">J73</f>
        <v>2094.4</v>
      </c>
    </row>
    <row r="74" spans="1:26" s="2009" customFormat="1" ht="30" x14ac:dyDescent="0.2">
      <c r="A74" s="1635" t="s">
        <v>7696</v>
      </c>
      <c r="B74" s="1974" t="s">
        <v>5281</v>
      </c>
      <c r="C74" s="1974">
        <v>10832</v>
      </c>
      <c r="D74" s="1813" t="s">
        <v>8319</v>
      </c>
      <c r="E74" s="1638">
        <f t="shared" si="38"/>
        <v>2464</v>
      </c>
      <c r="F74" s="1639" t="s">
        <v>5286</v>
      </c>
      <c r="G74" s="1636">
        <v>0.67</v>
      </c>
      <c r="H74" s="1636">
        <f t="shared" si="39"/>
        <v>0.18</v>
      </c>
      <c r="I74" s="1636">
        <f t="shared" si="42"/>
        <v>0.85000000000000009</v>
      </c>
      <c r="J74" s="1723">
        <f t="shared" si="43"/>
        <v>2094.4</v>
      </c>
      <c r="K74" s="2007">
        <f>ROUND(G74*E74,2)</f>
        <v>1650.88</v>
      </c>
      <c r="L74" s="2007">
        <f>ROUND(H74*E74,2)</f>
        <v>443.52</v>
      </c>
      <c r="M74" s="2016"/>
      <c r="N74" s="2017"/>
      <c r="O74" s="2016"/>
      <c r="P74" s="2016"/>
      <c r="Q74" s="2016"/>
      <c r="R74" s="2016"/>
      <c r="S74" s="2016"/>
      <c r="T74" s="2016"/>
      <c r="U74" s="2016"/>
      <c r="V74" s="2016"/>
      <c r="W74" s="2016"/>
      <c r="X74" s="2016"/>
      <c r="Y74" s="2016"/>
      <c r="Z74" s="2016">
        <f t="shared" si="44"/>
        <v>2094.4</v>
      </c>
    </row>
    <row r="75" spans="1:26" s="2009" customFormat="1" ht="30" x14ac:dyDescent="0.2">
      <c r="A75" s="1635" t="s">
        <v>7697</v>
      </c>
      <c r="B75" s="1974" t="s">
        <v>5281</v>
      </c>
      <c r="C75" s="1974">
        <v>10832</v>
      </c>
      <c r="D75" s="1813" t="s">
        <v>8320</v>
      </c>
      <c r="E75" s="1638">
        <f t="shared" si="38"/>
        <v>2464</v>
      </c>
      <c r="F75" s="1639" t="s">
        <v>5286</v>
      </c>
      <c r="G75" s="1636">
        <v>0.67</v>
      </c>
      <c r="H75" s="1636">
        <f t="shared" si="39"/>
        <v>0.18</v>
      </c>
      <c r="I75" s="1636">
        <f t="shared" si="42"/>
        <v>0.85000000000000009</v>
      </c>
      <c r="J75" s="1723">
        <f t="shared" si="43"/>
        <v>2094.4</v>
      </c>
      <c r="K75" s="2007">
        <f t="shared" ref="K75:K83" si="45">ROUND(G75*E75,2)</f>
        <v>1650.88</v>
      </c>
      <c r="L75" s="2007">
        <f t="shared" ref="L75:L83" si="46">ROUND(H75*E75,2)</f>
        <v>443.52</v>
      </c>
      <c r="M75" s="2016"/>
      <c r="N75" s="2017"/>
      <c r="O75" s="2016"/>
      <c r="P75" s="2016"/>
      <c r="Q75" s="2016"/>
      <c r="R75" s="2016"/>
      <c r="S75" s="2016"/>
      <c r="T75" s="2016"/>
      <c r="U75" s="2016"/>
      <c r="V75" s="2016"/>
      <c r="W75" s="2016"/>
      <c r="X75" s="2016"/>
      <c r="Y75" s="2016"/>
      <c r="Z75" s="2016">
        <f t="shared" si="44"/>
        <v>2094.4</v>
      </c>
    </row>
    <row r="76" spans="1:26" s="2009" customFormat="1" ht="30" x14ac:dyDescent="0.2">
      <c r="A76" s="1635" t="s">
        <v>7698</v>
      </c>
      <c r="B76" s="1974" t="s">
        <v>5281</v>
      </c>
      <c r="C76" s="1974">
        <v>10832</v>
      </c>
      <c r="D76" s="1813" t="s">
        <v>8321</v>
      </c>
      <c r="E76" s="1638">
        <f t="shared" si="38"/>
        <v>2464</v>
      </c>
      <c r="F76" s="1639" t="s">
        <v>5286</v>
      </c>
      <c r="G76" s="1636">
        <v>0.67</v>
      </c>
      <c r="H76" s="1636">
        <f t="shared" si="39"/>
        <v>0.18</v>
      </c>
      <c r="I76" s="1636">
        <f t="shared" si="42"/>
        <v>0.85000000000000009</v>
      </c>
      <c r="J76" s="1723">
        <f t="shared" si="43"/>
        <v>2094.4</v>
      </c>
      <c r="K76" s="2007">
        <f t="shared" si="45"/>
        <v>1650.88</v>
      </c>
      <c r="L76" s="2007">
        <f t="shared" si="46"/>
        <v>443.52</v>
      </c>
      <c r="M76" s="2016"/>
      <c r="N76" s="2017"/>
      <c r="O76" s="2016"/>
      <c r="P76" s="2016"/>
      <c r="Q76" s="2016"/>
      <c r="R76" s="2016"/>
      <c r="S76" s="2016"/>
      <c r="T76" s="2016"/>
      <c r="U76" s="2016"/>
      <c r="V76" s="2016"/>
      <c r="W76" s="2016"/>
      <c r="X76" s="2016"/>
      <c r="Y76" s="2016"/>
      <c r="Z76" s="2016">
        <f t="shared" si="44"/>
        <v>2094.4</v>
      </c>
    </row>
    <row r="77" spans="1:26" s="2009" customFormat="1" ht="30" x14ac:dyDescent="0.2">
      <c r="A77" s="1635" t="s">
        <v>7699</v>
      </c>
      <c r="B77" s="1974" t="s">
        <v>5281</v>
      </c>
      <c r="C77" s="1974">
        <v>10832</v>
      </c>
      <c r="D77" s="1813" t="s">
        <v>8322</v>
      </c>
      <c r="E77" s="1638">
        <f t="shared" si="38"/>
        <v>2464</v>
      </c>
      <c r="F77" s="1639" t="s">
        <v>5286</v>
      </c>
      <c r="G77" s="1636">
        <v>0.67</v>
      </c>
      <c r="H77" s="1636">
        <f t="shared" si="39"/>
        <v>0.18</v>
      </c>
      <c r="I77" s="1636">
        <f t="shared" si="42"/>
        <v>0.85000000000000009</v>
      </c>
      <c r="J77" s="1723">
        <f t="shared" si="43"/>
        <v>2094.4</v>
      </c>
      <c r="K77" s="2007">
        <f t="shared" si="45"/>
        <v>1650.88</v>
      </c>
      <c r="L77" s="2007">
        <f t="shared" si="46"/>
        <v>443.52</v>
      </c>
      <c r="M77" s="2016"/>
      <c r="N77" s="2017"/>
      <c r="O77" s="2016"/>
      <c r="P77" s="2016"/>
      <c r="Q77" s="2016"/>
      <c r="R77" s="2016"/>
      <c r="S77" s="2016"/>
      <c r="T77" s="2016"/>
      <c r="U77" s="2016"/>
      <c r="V77" s="2016"/>
      <c r="W77" s="2016"/>
      <c r="X77" s="2016"/>
      <c r="Y77" s="2016"/>
      <c r="Z77" s="2016">
        <f t="shared" si="44"/>
        <v>2094.4</v>
      </c>
    </row>
    <row r="78" spans="1:26" s="2009" customFormat="1" ht="15" x14ac:dyDescent="0.2">
      <c r="A78" s="1635" t="s">
        <v>7700</v>
      </c>
      <c r="B78" s="1974" t="s">
        <v>5281</v>
      </c>
      <c r="C78" s="1974">
        <v>10832</v>
      </c>
      <c r="D78" s="1813" t="s">
        <v>8323</v>
      </c>
      <c r="E78" s="1638">
        <f t="shared" si="38"/>
        <v>2464</v>
      </c>
      <c r="F78" s="1639" t="s">
        <v>5286</v>
      </c>
      <c r="G78" s="1636">
        <v>0.67</v>
      </c>
      <c r="H78" s="1636">
        <f t="shared" si="39"/>
        <v>0.18</v>
      </c>
      <c r="I78" s="1636">
        <f t="shared" si="42"/>
        <v>0.85000000000000009</v>
      </c>
      <c r="J78" s="1723">
        <f t="shared" si="43"/>
        <v>2094.4</v>
      </c>
      <c r="K78" s="2007">
        <f t="shared" si="45"/>
        <v>1650.88</v>
      </c>
      <c r="L78" s="2007">
        <f t="shared" si="46"/>
        <v>443.52</v>
      </c>
      <c r="M78" s="2016"/>
      <c r="N78" s="2017"/>
      <c r="O78" s="2016"/>
      <c r="P78" s="2016"/>
      <c r="Q78" s="2016"/>
      <c r="R78" s="2016"/>
      <c r="S78" s="2016"/>
      <c r="T78" s="2016"/>
      <c r="U78" s="2016"/>
      <c r="V78" s="2016"/>
      <c r="W78" s="2016"/>
      <c r="X78" s="2016"/>
      <c r="Y78" s="2016"/>
      <c r="Z78" s="2016">
        <f t="shared" si="44"/>
        <v>2094.4</v>
      </c>
    </row>
    <row r="79" spans="1:26" s="2009" customFormat="1" ht="15" x14ac:dyDescent="0.2">
      <c r="A79" s="1635" t="s">
        <v>7701</v>
      </c>
      <c r="B79" s="1974" t="s">
        <v>5281</v>
      </c>
      <c r="C79" s="1974">
        <v>10832</v>
      </c>
      <c r="D79" s="1813" t="s">
        <v>8324</v>
      </c>
      <c r="E79" s="1638">
        <f t="shared" si="38"/>
        <v>2464</v>
      </c>
      <c r="F79" s="1639" t="s">
        <v>5286</v>
      </c>
      <c r="G79" s="1636">
        <v>0.67</v>
      </c>
      <c r="H79" s="1636">
        <f t="shared" si="39"/>
        <v>0.18</v>
      </c>
      <c r="I79" s="1636">
        <f t="shared" si="42"/>
        <v>0.85000000000000009</v>
      </c>
      <c r="J79" s="1723">
        <f t="shared" si="43"/>
        <v>2094.4</v>
      </c>
      <c r="K79" s="2007">
        <f t="shared" si="45"/>
        <v>1650.88</v>
      </c>
      <c r="L79" s="2007">
        <f t="shared" si="46"/>
        <v>443.52</v>
      </c>
      <c r="M79" s="2016"/>
      <c r="N79" s="2017"/>
      <c r="O79" s="2016"/>
      <c r="P79" s="2016"/>
      <c r="Q79" s="2016"/>
      <c r="R79" s="2016"/>
      <c r="S79" s="2016"/>
      <c r="T79" s="2016"/>
      <c r="U79" s="2016"/>
      <c r="V79" s="2016"/>
      <c r="W79" s="2016"/>
      <c r="X79" s="2016"/>
      <c r="Y79" s="2016"/>
      <c r="Z79" s="2016">
        <f t="shared" si="44"/>
        <v>2094.4</v>
      </c>
    </row>
    <row r="80" spans="1:26" s="2009" customFormat="1" ht="30" x14ac:dyDescent="0.2">
      <c r="A80" s="1635" t="s">
        <v>7702</v>
      </c>
      <c r="B80" s="1974" t="s">
        <v>5281</v>
      </c>
      <c r="C80" s="1974">
        <v>10832</v>
      </c>
      <c r="D80" s="1813" t="s">
        <v>8325</v>
      </c>
      <c r="E80" s="1638">
        <f t="shared" si="38"/>
        <v>2464</v>
      </c>
      <c r="F80" s="1639" t="s">
        <v>5286</v>
      </c>
      <c r="G80" s="1636">
        <v>0.67</v>
      </c>
      <c r="H80" s="1636">
        <f t="shared" si="39"/>
        <v>0.18</v>
      </c>
      <c r="I80" s="1636">
        <f t="shared" ref="I80" si="47">H80+G80</f>
        <v>0.85000000000000009</v>
      </c>
      <c r="J80" s="1723">
        <f t="shared" ref="J80" si="48">ROUND(I80*E80,2)</f>
        <v>2094.4</v>
      </c>
      <c r="K80" s="2007">
        <f t="shared" si="45"/>
        <v>1650.88</v>
      </c>
      <c r="L80" s="2007">
        <f t="shared" si="46"/>
        <v>443.52</v>
      </c>
      <c r="M80" s="2016"/>
      <c r="N80" s="2017"/>
      <c r="O80" s="2016"/>
      <c r="P80" s="2016"/>
      <c r="Q80" s="2016"/>
      <c r="R80" s="2016"/>
      <c r="S80" s="2016"/>
      <c r="T80" s="2016"/>
      <c r="U80" s="2016"/>
      <c r="V80" s="2016"/>
      <c r="W80" s="2016"/>
      <c r="X80" s="2016"/>
      <c r="Y80" s="2016"/>
      <c r="Z80" s="2016">
        <f t="shared" si="44"/>
        <v>2094.4</v>
      </c>
    </row>
    <row r="81" spans="1:26" s="2009" customFormat="1" ht="15" x14ac:dyDescent="0.2">
      <c r="A81" s="1635" t="s">
        <v>15084</v>
      </c>
      <c r="B81" s="1974" t="s">
        <v>5281</v>
      </c>
      <c r="C81" s="1974">
        <v>10832</v>
      </c>
      <c r="D81" s="1813" t="s">
        <v>7690</v>
      </c>
      <c r="E81" s="1638">
        <v>42</v>
      </c>
      <c r="F81" s="1639" t="s">
        <v>5286</v>
      </c>
      <c r="G81" s="1636">
        <v>0.67</v>
      </c>
      <c r="H81" s="1636">
        <f t="shared" si="39"/>
        <v>0.18</v>
      </c>
      <c r="I81" s="1636">
        <f t="shared" ref="I81:I83" si="49">H81+G81</f>
        <v>0.85000000000000009</v>
      </c>
      <c r="J81" s="1723">
        <f t="shared" ref="J81:J83" si="50">ROUND(I81*E81,2)</f>
        <v>35.700000000000003</v>
      </c>
      <c r="K81" s="2007">
        <f t="shared" si="45"/>
        <v>28.14</v>
      </c>
      <c r="L81" s="2007">
        <f t="shared" si="46"/>
        <v>7.56</v>
      </c>
      <c r="M81" s="2016"/>
      <c r="N81" s="2017"/>
      <c r="O81" s="2016"/>
      <c r="P81" s="2016"/>
      <c r="Q81" s="2016"/>
      <c r="R81" s="2016"/>
      <c r="S81" s="2016"/>
      <c r="T81" s="2016"/>
      <c r="U81" s="2016"/>
      <c r="V81" s="2016"/>
      <c r="W81" s="2016"/>
      <c r="X81" s="2016"/>
      <c r="Y81" s="2016"/>
      <c r="Z81" s="2016">
        <f t="shared" si="44"/>
        <v>35.700000000000003</v>
      </c>
    </row>
    <row r="82" spans="1:26" s="2009" customFormat="1" ht="30" x14ac:dyDescent="0.2">
      <c r="A82" s="1635" t="s">
        <v>15085</v>
      </c>
      <c r="B82" s="1974" t="s">
        <v>5281</v>
      </c>
      <c r="C82" s="1974">
        <v>10832</v>
      </c>
      <c r="D82" s="1813" t="s">
        <v>7691</v>
      </c>
      <c r="E82" s="1638">
        <v>42</v>
      </c>
      <c r="F82" s="1639" t="s">
        <v>5286</v>
      </c>
      <c r="G82" s="1636">
        <v>0.67</v>
      </c>
      <c r="H82" s="1636">
        <f t="shared" si="39"/>
        <v>0.18</v>
      </c>
      <c r="I82" s="1636">
        <f t="shared" si="49"/>
        <v>0.85000000000000009</v>
      </c>
      <c r="J82" s="1723">
        <f t="shared" si="50"/>
        <v>35.700000000000003</v>
      </c>
      <c r="K82" s="2007">
        <f t="shared" si="45"/>
        <v>28.14</v>
      </c>
      <c r="L82" s="2007">
        <f t="shared" si="46"/>
        <v>7.56</v>
      </c>
      <c r="M82" s="2016"/>
      <c r="N82" s="2017"/>
      <c r="O82" s="2016"/>
      <c r="P82" s="2016"/>
      <c r="Q82" s="2016"/>
      <c r="R82" s="2016"/>
      <c r="S82" s="2016"/>
      <c r="T82" s="2016"/>
      <c r="U82" s="2016"/>
      <c r="V82" s="2016"/>
      <c r="W82" s="2016"/>
      <c r="X82" s="2016"/>
      <c r="Y82" s="2016"/>
      <c r="Z82" s="2016">
        <f>J82</f>
        <v>35.700000000000003</v>
      </c>
    </row>
    <row r="83" spans="1:26" s="2009" customFormat="1" ht="30" x14ac:dyDescent="0.2">
      <c r="A83" s="1635" t="s">
        <v>15086</v>
      </c>
      <c r="B83" s="1974" t="s">
        <v>5281</v>
      </c>
      <c r="C83" s="1974">
        <v>10832</v>
      </c>
      <c r="D83" s="1813" t="s">
        <v>7692</v>
      </c>
      <c r="E83" s="1638">
        <v>42</v>
      </c>
      <c r="F83" s="1639" t="s">
        <v>5286</v>
      </c>
      <c r="G83" s="1636">
        <v>0.67</v>
      </c>
      <c r="H83" s="1636">
        <f t="shared" si="39"/>
        <v>0.18</v>
      </c>
      <c r="I83" s="1636">
        <f t="shared" si="49"/>
        <v>0.85000000000000009</v>
      </c>
      <c r="J83" s="1723">
        <f t="shared" si="50"/>
        <v>35.700000000000003</v>
      </c>
      <c r="K83" s="2007">
        <f t="shared" si="45"/>
        <v>28.14</v>
      </c>
      <c r="L83" s="2007">
        <f t="shared" si="46"/>
        <v>7.56</v>
      </c>
      <c r="M83" s="2016"/>
      <c r="N83" s="2017"/>
      <c r="O83" s="2016"/>
      <c r="P83" s="2016"/>
      <c r="Q83" s="2016"/>
      <c r="R83" s="2016"/>
      <c r="S83" s="2016"/>
      <c r="T83" s="2016"/>
      <c r="U83" s="2016"/>
      <c r="V83" s="2016"/>
      <c r="W83" s="2016"/>
      <c r="X83" s="2016"/>
      <c r="Y83" s="2016"/>
      <c r="Z83" s="2016">
        <f t="shared" si="44"/>
        <v>35.700000000000003</v>
      </c>
    </row>
    <row r="84" spans="1:26" s="2009" customFormat="1" ht="15" x14ac:dyDescent="0.2">
      <c r="A84" s="1635" t="s">
        <v>7805</v>
      </c>
      <c r="B84" s="1974" t="s">
        <v>8533</v>
      </c>
      <c r="C84" s="1974" t="s">
        <v>8534</v>
      </c>
      <c r="D84" s="1813" t="s">
        <v>8302</v>
      </c>
      <c r="E84" s="1638">
        <f>2*1232.16</f>
        <v>2464.3200000000002</v>
      </c>
      <c r="F84" s="1639" t="s">
        <v>5286</v>
      </c>
      <c r="G84" s="1636">
        <v>0.34</v>
      </c>
      <c r="H84" s="1636">
        <f t="shared" si="39"/>
        <v>0.09</v>
      </c>
      <c r="I84" s="1636">
        <f t="shared" ref="I84" si="51">H84+G84</f>
        <v>0.43000000000000005</v>
      </c>
      <c r="J84" s="1723">
        <f>ROUND(I84*E84,2)</f>
        <v>1059.6600000000001</v>
      </c>
      <c r="K84" s="2007">
        <f t="shared" ref="K84" si="52">ROUND(G84*E84,2)</f>
        <v>837.87</v>
      </c>
      <c r="L84" s="2007">
        <f t="shared" ref="L84" si="53">ROUND(H84*E84,2)</f>
        <v>221.79</v>
      </c>
      <c r="M84" s="2016"/>
      <c r="N84" s="2017"/>
      <c r="O84" s="2016"/>
      <c r="P84" s="2016"/>
      <c r="Q84" s="2016"/>
      <c r="R84" s="2016"/>
      <c r="S84" s="2016"/>
      <c r="T84" s="2016"/>
      <c r="U84" s="2016"/>
      <c r="V84" s="2016"/>
      <c r="W84" s="2016"/>
      <c r="X84" s="2016"/>
      <c r="Y84" s="2016"/>
      <c r="Z84" s="2016">
        <f t="shared" si="44"/>
        <v>1059.6600000000001</v>
      </c>
    </row>
    <row r="85" spans="1:26" s="2006" customFormat="1" ht="15" x14ac:dyDescent="0.2">
      <c r="A85" s="2133" t="s">
        <v>7693</v>
      </c>
      <c r="B85" s="2133"/>
      <c r="C85" s="2133"/>
      <c r="D85" s="2133"/>
      <c r="E85" s="2133"/>
      <c r="F85" s="2133"/>
      <c r="G85" s="2133"/>
      <c r="H85" s="2133"/>
      <c r="I85" s="2133"/>
      <c r="J85" s="1724">
        <f>SUM(J72:J84)</f>
        <v>20016.360000000004</v>
      </c>
      <c r="K85" s="2015"/>
      <c r="L85" s="2015"/>
      <c r="M85" s="1724">
        <f>SUM(M72:M84)</f>
        <v>0</v>
      </c>
      <c r="N85" s="1724">
        <f t="shared" ref="N85:Z85" si="54">SUM(N72:N84)</f>
        <v>0</v>
      </c>
      <c r="O85" s="1724">
        <f t="shared" si="54"/>
        <v>0</v>
      </c>
      <c r="P85" s="1724">
        <f t="shared" si="54"/>
        <v>0</v>
      </c>
      <c r="Q85" s="1724">
        <f t="shared" si="54"/>
        <v>0</v>
      </c>
      <c r="R85" s="1724">
        <f t="shared" si="54"/>
        <v>0</v>
      </c>
      <c r="S85" s="1724">
        <f t="shared" si="54"/>
        <v>0</v>
      </c>
      <c r="T85" s="1724">
        <f t="shared" si="54"/>
        <v>0</v>
      </c>
      <c r="U85" s="1724">
        <f t="shared" si="54"/>
        <v>0</v>
      </c>
      <c r="V85" s="1724">
        <f t="shared" si="54"/>
        <v>0</v>
      </c>
      <c r="W85" s="1724">
        <f t="shared" si="54"/>
        <v>0</v>
      </c>
      <c r="X85" s="1724">
        <f t="shared" si="54"/>
        <v>0</v>
      </c>
      <c r="Y85" s="1724">
        <f t="shared" si="54"/>
        <v>0</v>
      </c>
      <c r="Z85" s="1724">
        <f t="shared" si="54"/>
        <v>20016.360000000004</v>
      </c>
    </row>
    <row r="86" spans="1:26" s="2006" customFormat="1" ht="15" x14ac:dyDescent="0.2">
      <c r="A86" s="52"/>
      <c r="B86" s="52"/>
      <c r="C86" s="52"/>
      <c r="D86" s="52"/>
      <c r="E86" s="1506"/>
      <c r="F86" s="52"/>
      <c r="G86" s="52"/>
      <c r="H86" s="51"/>
      <c r="I86" s="51"/>
      <c r="J86" s="1725"/>
      <c r="K86" s="2015"/>
      <c r="L86" s="2015"/>
      <c r="M86" s="2005"/>
      <c r="N86" s="2002"/>
      <c r="O86" s="2005"/>
      <c r="P86" s="2005"/>
      <c r="Q86" s="2005"/>
      <c r="R86" s="2005"/>
      <c r="S86" s="2005"/>
      <c r="T86" s="2005"/>
      <c r="U86" s="2005"/>
      <c r="V86" s="2005"/>
      <c r="W86" s="2005"/>
      <c r="X86" s="2005"/>
      <c r="Y86" s="2005"/>
      <c r="Z86" s="2005"/>
    </row>
    <row r="87" spans="1:26" s="2003" customFormat="1" ht="15" x14ac:dyDescent="0.2">
      <c r="A87" s="2132" t="s">
        <v>7694</v>
      </c>
      <c r="B87" s="2132"/>
      <c r="C87" s="2132"/>
      <c r="D87" s="2132"/>
      <c r="E87" s="2132"/>
      <c r="F87" s="2132"/>
      <c r="G87" s="2132"/>
      <c r="H87" s="2132"/>
      <c r="I87" s="2132"/>
      <c r="J87" s="1726">
        <f>J85+J69+J65</f>
        <v>45303.83</v>
      </c>
      <c r="K87" s="2015"/>
      <c r="L87" s="2015"/>
      <c r="M87" s="1726">
        <f>M85+M69+M65</f>
        <v>0</v>
      </c>
      <c r="N87" s="1726">
        <f t="shared" ref="N87:Z87" si="55">N85+N69+N65</f>
        <v>0</v>
      </c>
      <c r="O87" s="1726">
        <f t="shared" si="55"/>
        <v>0</v>
      </c>
      <c r="P87" s="1726">
        <f t="shared" si="55"/>
        <v>0</v>
      </c>
      <c r="Q87" s="1726">
        <f t="shared" si="55"/>
        <v>0</v>
      </c>
      <c r="R87" s="1726">
        <f t="shared" si="55"/>
        <v>0</v>
      </c>
      <c r="S87" s="1726">
        <f t="shared" si="55"/>
        <v>0</v>
      </c>
      <c r="T87" s="1726">
        <f t="shared" si="55"/>
        <v>0</v>
      </c>
      <c r="U87" s="1726">
        <f t="shared" si="55"/>
        <v>0</v>
      </c>
      <c r="V87" s="1726">
        <f t="shared" si="55"/>
        <v>0</v>
      </c>
      <c r="W87" s="1726">
        <f t="shared" si="55"/>
        <v>0</v>
      </c>
      <c r="X87" s="1726">
        <f t="shared" si="55"/>
        <v>0</v>
      </c>
      <c r="Y87" s="1726">
        <f t="shared" si="55"/>
        <v>0</v>
      </c>
      <c r="Z87" s="1726">
        <f t="shared" si="55"/>
        <v>45303.83</v>
      </c>
    </row>
    <row r="88" spans="1:26" s="2006" customFormat="1" ht="15" x14ac:dyDescent="0.2">
      <c r="A88" s="1635"/>
      <c r="B88" s="1974"/>
      <c r="C88" s="1974"/>
      <c r="D88" s="1813"/>
      <c r="E88" s="1638"/>
      <c r="F88" s="1639"/>
      <c r="G88" s="19"/>
      <c r="H88" s="19"/>
      <c r="I88" s="19"/>
      <c r="J88" s="1727"/>
      <c r="K88" s="2015"/>
      <c r="L88" s="2015"/>
      <c r="M88" s="2013">
        <f>M87/$J87</f>
        <v>0</v>
      </c>
      <c r="N88" s="2013">
        <f t="shared" ref="N88" si="56">N87/$J87</f>
        <v>0</v>
      </c>
      <c r="O88" s="2013">
        <f t="shared" ref="O88" si="57">O87/$J87</f>
        <v>0</v>
      </c>
      <c r="P88" s="2013">
        <f t="shared" ref="P88" si="58">P87/$J87</f>
        <v>0</v>
      </c>
      <c r="Q88" s="2013">
        <f t="shared" ref="Q88" si="59">Q87/$J87</f>
        <v>0</v>
      </c>
      <c r="R88" s="2013">
        <f t="shared" ref="R88" si="60">R87/$J87</f>
        <v>0</v>
      </c>
      <c r="S88" s="2013">
        <f t="shared" ref="S88" si="61">S87/$J87</f>
        <v>0</v>
      </c>
      <c r="T88" s="2013">
        <f t="shared" ref="T88" si="62">T87/$J87</f>
        <v>0</v>
      </c>
      <c r="U88" s="2013">
        <f t="shared" ref="U88" si="63">U87/$J87</f>
        <v>0</v>
      </c>
      <c r="V88" s="2013">
        <f t="shared" ref="V88" si="64">V87/$J87</f>
        <v>0</v>
      </c>
      <c r="W88" s="2013">
        <f t="shared" ref="W88" si="65">W87/$J87</f>
        <v>0</v>
      </c>
      <c r="X88" s="2013">
        <f t="shared" ref="X88" si="66">X87/$J87</f>
        <v>0</v>
      </c>
      <c r="Y88" s="2013">
        <f t="shared" ref="Y88" si="67">Y87/$J87</f>
        <v>0</v>
      </c>
      <c r="Z88" s="2013">
        <f t="shared" ref="Z88" si="68">Z87/$J87</f>
        <v>1</v>
      </c>
    </row>
    <row r="89" spans="1:26" s="2003" customFormat="1" ht="15" x14ac:dyDescent="0.2">
      <c r="A89" s="1988" t="s">
        <v>10</v>
      </c>
      <c r="B89" s="2135" t="s">
        <v>4869</v>
      </c>
      <c r="C89" s="2135"/>
      <c r="D89" s="2135"/>
      <c r="E89" s="2135"/>
      <c r="F89" s="2135"/>
      <c r="G89" s="2135"/>
      <c r="H89" s="2135"/>
      <c r="I89" s="2135"/>
      <c r="J89" s="2135"/>
      <c r="K89" s="2014"/>
      <c r="L89" s="2014"/>
      <c r="M89" s="2000"/>
      <c r="N89" s="2001"/>
      <c r="O89" s="2002"/>
      <c r="P89" s="2002"/>
      <c r="Q89" s="2002"/>
      <c r="R89" s="2002"/>
      <c r="S89" s="2002"/>
      <c r="T89" s="2002"/>
      <c r="U89" s="2002"/>
      <c r="V89" s="2002"/>
      <c r="W89" s="2002"/>
      <c r="X89" s="2002"/>
      <c r="Y89" s="2002"/>
      <c r="Z89" s="2002"/>
    </row>
    <row r="90" spans="1:26" s="2006" customFormat="1" ht="15" x14ac:dyDescent="0.2">
      <c r="A90" s="1985" t="s">
        <v>0</v>
      </c>
      <c r="B90" s="2131" t="s">
        <v>6715</v>
      </c>
      <c r="C90" s="2131"/>
      <c r="D90" s="1985" t="s">
        <v>1</v>
      </c>
      <c r="E90" s="1986" t="s">
        <v>131</v>
      </c>
      <c r="F90" s="1987" t="s">
        <v>11</v>
      </c>
      <c r="G90" s="1989" t="s">
        <v>12</v>
      </c>
      <c r="H90" s="1989" t="s">
        <v>5679</v>
      </c>
      <c r="I90" s="1989" t="s">
        <v>5680</v>
      </c>
      <c r="J90" s="1990" t="s">
        <v>130</v>
      </c>
      <c r="K90" s="2014"/>
      <c r="L90" s="2014"/>
      <c r="M90" s="2000"/>
      <c r="N90" s="2001"/>
      <c r="O90" s="2005"/>
      <c r="P90" s="2005"/>
      <c r="Q90" s="2005"/>
      <c r="R90" s="2005"/>
      <c r="S90" s="2005"/>
      <c r="T90" s="2005"/>
      <c r="U90" s="2005"/>
      <c r="V90" s="2005"/>
      <c r="W90" s="2005"/>
      <c r="X90" s="2005"/>
      <c r="Y90" s="2005"/>
      <c r="Z90" s="2005"/>
    </row>
    <row r="91" spans="1:26" s="2006" customFormat="1" ht="15" x14ac:dyDescent="0.2">
      <c r="A91" s="1513" t="s">
        <v>5020</v>
      </c>
      <c r="B91" s="2130" t="s">
        <v>5021</v>
      </c>
      <c r="C91" s="2130"/>
      <c r="D91" s="2130"/>
      <c r="E91" s="2130"/>
      <c r="F91" s="2130"/>
      <c r="G91" s="2130"/>
      <c r="H91" s="2130"/>
      <c r="I91" s="2130"/>
      <c r="J91" s="2130"/>
      <c r="K91" s="2015"/>
      <c r="L91" s="2015"/>
      <c r="M91" s="2005"/>
      <c r="N91" s="2002"/>
      <c r="O91" s="2005"/>
      <c r="P91" s="2005"/>
      <c r="Q91" s="2005"/>
      <c r="R91" s="2005"/>
      <c r="S91" s="2005"/>
      <c r="T91" s="2005"/>
      <c r="U91" s="2005"/>
      <c r="V91" s="2005"/>
      <c r="W91" s="2005"/>
      <c r="X91" s="2005"/>
      <c r="Y91" s="2005"/>
      <c r="Z91" s="2005"/>
    </row>
    <row r="92" spans="1:26" s="2009" customFormat="1" ht="30" x14ac:dyDescent="0.2">
      <c r="A92" s="1635" t="s">
        <v>8273</v>
      </c>
      <c r="B92" s="1974" t="s">
        <v>4448</v>
      </c>
      <c r="C92" s="1974">
        <v>93563</v>
      </c>
      <c r="D92" s="1813" t="s">
        <v>8326</v>
      </c>
      <c r="E92" s="1638">
        <v>9</v>
      </c>
      <c r="F92" s="1639" t="s">
        <v>7749</v>
      </c>
      <c r="G92" s="1636">
        <v>4131.6400000000003</v>
      </c>
      <c r="H92" s="1636">
        <f t="shared" ref="H92:H98" si="69">ROUND(G92*$B$13,2)</f>
        <v>1112.6500000000001</v>
      </c>
      <c r="I92" s="1636">
        <f t="shared" ref="I92" si="70">H92+G92</f>
        <v>5244.2900000000009</v>
      </c>
      <c r="J92" s="1723">
        <f t="shared" ref="J92" si="71">ROUND(I92*E92,2)</f>
        <v>47198.61</v>
      </c>
      <c r="K92" s="2007">
        <f t="shared" ref="K92" si="72">ROUND(G92*E92,2)</f>
        <v>37184.76</v>
      </c>
      <c r="L92" s="2007">
        <f t="shared" ref="L92" si="73">ROUND(H92*E92,2)</f>
        <v>10013.85</v>
      </c>
      <c r="M92" s="2016"/>
      <c r="N92" s="2017"/>
      <c r="O92" s="2016"/>
      <c r="P92" s="2016"/>
      <c r="Q92" s="2016"/>
      <c r="R92" s="2016"/>
      <c r="S92" s="2016"/>
      <c r="T92" s="2016"/>
      <c r="U92" s="2016"/>
      <c r="V92" s="2016"/>
      <c r="W92" s="2016"/>
      <c r="X92" s="2016"/>
      <c r="Y92" s="2016"/>
      <c r="Z92" s="2016"/>
    </row>
    <row r="93" spans="1:26" s="2009" customFormat="1" ht="30" x14ac:dyDescent="0.2">
      <c r="A93" s="1635" t="s">
        <v>7755</v>
      </c>
      <c r="B93" s="1974" t="s">
        <v>4448</v>
      </c>
      <c r="C93" s="1974">
        <v>94295</v>
      </c>
      <c r="D93" s="1813" t="s">
        <v>7756</v>
      </c>
      <c r="E93" s="1638">
        <v>14</v>
      </c>
      <c r="F93" s="1639" t="s">
        <v>7749</v>
      </c>
      <c r="G93" s="1636">
        <v>4141.8900000000003</v>
      </c>
      <c r="H93" s="1636">
        <f t="shared" si="69"/>
        <v>1115.4100000000001</v>
      </c>
      <c r="I93" s="1636">
        <f t="shared" ref="I93:I98" si="74">H93+G93</f>
        <v>5257.3</v>
      </c>
      <c r="J93" s="1723">
        <f t="shared" ref="J93:J98" si="75">ROUND(I93*E93,2)</f>
        <v>73602.2</v>
      </c>
      <c r="K93" s="2007">
        <f t="shared" ref="K93" si="76">ROUND(G93*E93,2)</f>
        <v>57986.46</v>
      </c>
      <c r="L93" s="2007">
        <f t="shared" ref="L93" si="77">ROUND(H93*E93,2)</f>
        <v>15615.74</v>
      </c>
      <c r="M93" s="2016"/>
      <c r="N93" s="2016"/>
      <c r="O93" s="2016"/>
      <c r="P93" s="2016"/>
      <c r="Q93" s="2016"/>
      <c r="R93" s="2016"/>
      <c r="S93" s="2016"/>
      <c r="T93" s="2016"/>
      <c r="U93" s="2016"/>
      <c r="V93" s="2016"/>
      <c r="W93" s="2016"/>
      <c r="X93" s="2016"/>
      <c r="Y93" s="2016"/>
      <c r="Z93" s="2016"/>
    </row>
    <row r="94" spans="1:26" s="2009" customFormat="1" ht="30" x14ac:dyDescent="0.2">
      <c r="A94" s="1635" t="s">
        <v>7751</v>
      </c>
      <c r="B94" s="1974" t="s">
        <v>4448</v>
      </c>
      <c r="C94" s="1974">
        <v>93567</v>
      </c>
      <c r="D94" s="1813" t="s">
        <v>15168</v>
      </c>
      <c r="E94" s="1638">
        <v>14</v>
      </c>
      <c r="F94" s="1639" t="s">
        <v>7749</v>
      </c>
      <c r="G94" s="1636">
        <v>15244.42</v>
      </c>
      <c r="H94" s="1636">
        <f t="shared" si="69"/>
        <v>4105.32</v>
      </c>
      <c r="I94" s="1636">
        <f t="shared" si="74"/>
        <v>19349.739999999998</v>
      </c>
      <c r="J94" s="1723">
        <f t="shared" si="75"/>
        <v>270896.36</v>
      </c>
      <c r="K94" s="2007">
        <f t="shared" ref="K94:K95" si="78">ROUND(G94*E94,2)</f>
        <v>213421.88</v>
      </c>
      <c r="L94" s="2007">
        <f t="shared" ref="L94:L95" si="79">ROUND(H94*E94,2)</f>
        <v>57474.48</v>
      </c>
      <c r="M94" s="2016"/>
      <c r="N94" s="2016"/>
      <c r="O94" s="2016"/>
      <c r="P94" s="2016"/>
      <c r="Q94" s="2016"/>
      <c r="R94" s="2016"/>
      <c r="S94" s="2016"/>
      <c r="T94" s="2016"/>
      <c r="U94" s="2016"/>
      <c r="V94" s="2016"/>
      <c r="W94" s="2016"/>
      <c r="X94" s="2016"/>
      <c r="Y94" s="2016"/>
      <c r="Z94" s="2016"/>
    </row>
    <row r="95" spans="1:26" s="2009" customFormat="1" ht="45" x14ac:dyDescent="0.2">
      <c r="A95" s="1635" t="s">
        <v>7752</v>
      </c>
      <c r="B95" s="1974" t="s">
        <v>4448</v>
      </c>
      <c r="C95" s="1974">
        <v>91677</v>
      </c>
      <c r="D95" s="1813" t="s">
        <v>7843</v>
      </c>
      <c r="E95" s="1638">
        <f>4*21*8</f>
        <v>672</v>
      </c>
      <c r="F95" s="1639" t="s">
        <v>7750</v>
      </c>
      <c r="G95" s="1636">
        <v>89.4</v>
      </c>
      <c r="H95" s="1636">
        <f t="shared" si="69"/>
        <v>24.08</v>
      </c>
      <c r="I95" s="1636">
        <f t="shared" si="74"/>
        <v>113.48</v>
      </c>
      <c r="J95" s="1723">
        <f t="shared" si="75"/>
        <v>76258.559999999998</v>
      </c>
      <c r="K95" s="2007">
        <f t="shared" si="78"/>
        <v>60076.800000000003</v>
      </c>
      <c r="L95" s="2007">
        <f t="shared" si="79"/>
        <v>16181.76</v>
      </c>
      <c r="M95" s="2016"/>
      <c r="N95" s="2017"/>
      <c r="O95" s="2016"/>
      <c r="P95" s="2016"/>
      <c r="Q95" s="2016"/>
      <c r="R95" s="2016"/>
      <c r="S95" s="2016"/>
      <c r="T95" s="2016"/>
      <c r="U95" s="2016"/>
      <c r="V95" s="2016"/>
      <c r="W95" s="2016"/>
      <c r="X95" s="2016"/>
      <c r="Y95" s="2016"/>
      <c r="Z95" s="2016"/>
    </row>
    <row r="96" spans="1:26" s="2009" customFormat="1" ht="45" x14ac:dyDescent="0.2">
      <c r="A96" s="1635" t="s">
        <v>7753</v>
      </c>
      <c r="B96" s="1974" t="s">
        <v>4448</v>
      </c>
      <c r="C96" s="1974">
        <v>91677</v>
      </c>
      <c r="D96" s="1813" t="s">
        <v>7844</v>
      </c>
      <c r="E96" s="1638">
        <f>4*21*3</f>
        <v>252</v>
      </c>
      <c r="F96" s="1639" t="s">
        <v>7750</v>
      </c>
      <c r="G96" s="1636">
        <v>89.4</v>
      </c>
      <c r="H96" s="1636">
        <f t="shared" si="69"/>
        <v>24.08</v>
      </c>
      <c r="I96" s="1636">
        <f t="shared" si="74"/>
        <v>113.48</v>
      </c>
      <c r="J96" s="1723">
        <f t="shared" si="75"/>
        <v>28596.959999999999</v>
      </c>
      <c r="K96" s="2007">
        <f t="shared" ref="K96" si="80">ROUND(G96*E96,2)</f>
        <v>22528.799999999999</v>
      </c>
      <c r="L96" s="2007">
        <f t="shared" ref="L96" si="81">ROUND(H96*E96,2)</f>
        <v>6068.16</v>
      </c>
      <c r="M96" s="2016"/>
      <c r="N96" s="2017"/>
      <c r="O96" s="2016"/>
      <c r="P96" s="2016"/>
      <c r="Q96" s="2016"/>
      <c r="R96" s="2016"/>
      <c r="S96" s="2016"/>
      <c r="T96" s="2016"/>
      <c r="U96" s="2016"/>
      <c r="V96" s="2016"/>
      <c r="W96" s="2016"/>
      <c r="X96" s="2016"/>
      <c r="Y96" s="2016"/>
      <c r="Z96" s="2016"/>
    </row>
    <row r="97" spans="1:26" s="2009" customFormat="1" ht="30" x14ac:dyDescent="0.2">
      <c r="A97" s="1635" t="s">
        <v>15169</v>
      </c>
      <c r="B97" s="2080" t="s">
        <v>4448</v>
      </c>
      <c r="C97" s="2080">
        <v>100321</v>
      </c>
      <c r="D97" s="1813" t="s">
        <v>15170</v>
      </c>
      <c r="E97" s="1638">
        <v>14</v>
      </c>
      <c r="F97" s="1639" t="s">
        <v>7749</v>
      </c>
      <c r="G97" s="1636">
        <v>5973.78</v>
      </c>
      <c r="H97" s="1636">
        <f t="shared" ref="H97" si="82">ROUND(G97*$B$13,2)</f>
        <v>1608.74</v>
      </c>
      <c r="I97" s="1636">
        <f t="shared" ref="I97" si="83">H97+G97</f>
        <v>7582.5199999999995</v>
      </c>
      <c r="J97" s="1723">
        <f t="shared" ref="J97" si="84">ROUND(I97*E97,2)</f>
        <v>106155.28</v>
      </c>
      <c r="K97" s="2007">
        <f t="shared" ref="K97" si="85">ROUND(G97*E97,2)</f>
        <v>83632.92</v>
      </c>
      <c r="L97" s="2007">
        <f t="shared" ref="L97" si="86">ROUND(H97*E97,2)</f>
        <v>22522.36</v>
      </c>
      <c r="M97" s="2016"/>
      <c r="N97" s="2017"/>
      <c r="O97" s="2016"/>
      <c r="P97" s="2016"/>
      <c r="Q97" s="2016"/>
      <c r="R97" s="2016"/>
      <c r="S97" s="2016"/>
      <c r="T97" s="2016"/>
      <c r="U97" s="2016"/>
      <c r="V97" s="2016"/>
      <c r="W97" s="2016"/>
      <c r="X97" s="2016"/>
      <c r="Y97" s="2016"/>
      <c r="Z97" s="2016"/>
    </row>
    <row r="98" spans="1:26" s="2009" customFormat="1" ht="30" x14ac:dyDescent="0.2">
      <c r="A98" s="1635" t="s">
        <v>7754</v>
      </c>
      <c r="B98" s="1974" t="s">
        <v>4448</v>
      </c>
      <c r="C98" s="1974">
        <v>88326</v>
      </c>
      <c r="D98" s="1813" t="s">
        <v>7757</v>
      </c>
      <c r="E98" s="1638">
        <f>QuantCanteiro!I55</f>
        <v>6552</v>
      </c>
      <c r="F98" s="1639" t="s">
        <v>7750</v>
      </c>
      <c r="G98" s="1636">
        <v>18.93</v>
      </c>
      <c r="H98" s="1636">
        <f t="shared" si="69"/>
        <v>5.0999999999999996</v>
      </c>
      <c r="I98" s="1636">
        <f t="shared" si="74"/>
        <v>24.03</v>
      </c>
      <c r="J98" s="1723">
        <f t="shared" si="75"/>
        <v>157444.56</v>
      </c>
      <c r="K98" s="2007">
        <f t="shared" ref="K98" si="87">ROUND(G98*E98,2)</f>
        <v>124029.36</v>
      </c>
      <c r="L98" s="2007">
        <f t="shared" ref="L98" si="88">ROUND(H98*E98,2)</f>
        <v>33415.199999999997</v>
      </c>
      <c r="M98" s="2016"/>
      <c r="N98" s="2016"/>
      <c r="O98" s="2016"/>
      <c r="P98" s="2016"/>
      <c r="Q98" s="2016"/>
      <c r="R98" s="2016"/>
      <c r="S98" s="2016"/>
      <c r="T98" s="2016"/>
      <c r="U98" s="2016"/>
      <c r="V98" s="2016"/>
      <c r="W98" s="2016"/>
      <c r="X98" s="2016"/>
      <c r="Y98" s="2016"/>
      <c r="Z98" s="2016"/>
    </row>
    <row r="99" spans="1:26" s="2006" customFormat="1" ht="15" x14ac:dyDescent="0.2">
      <c r="A99" s="2133" t="s">
        <v>7722</v>
      </c>
      <c r="B99" s="2133"/>
      <c r="C99" s="2133"/>
      <c r="D99" s="2133"/>
      <c r="E99" s="2133"/>
      <c r="F99" s="2133"/>
      <c r="G99" s="2133"/>
      <c r="H99" s="2133"/>
      <c r="I99" s="2133"/>
      <c r="J99" s="1724">
        <f>SUM(J91:J98)</f>
        <v>760152.53</v>
      </c>
      <c r="K99" s="2015"/>
      <c r="L99" s="2015"/>
      <c r="M99" s="1724">
        <f>M100*$J99</f>
        <v>22068.566055893421</v>
      </c>
      <c r="N99" s="1724">
        <f t="shared" ref="N99:Z99" si="89">N100*$J99</f>
        <v>7328.4722391473388</v>
      </c>
      <c r="O99" s="1724">
        <f t="shared" si="89"/>
        <v>19457.619399608422</v>
      </c>
      <c r="P99" s="1724">
        <f t="shared" si="89"/>
        <v>24316.208522789213</v>
      </c>
      <c r="Q99" s="1724">
        <f t="shared" si="89"/>
        <v>65083.32818967507</v>
      </c>
      <c r="R99" s="1724">
        <f t="shared" si="89"/>
        <v>69476.87579297238</v>
      </c>
      <c r="S99" s="1724">
        <f t="shared" si="89"/>
        <v>31240.523962726184</v>
      </c>
      <c r="T99" s="1724">
        <f t="shared" si="89"/>
        <v>51330.714418524462</v>
      </c>
      <c r="U99" s="1724">
        <f t="shared" si="89"/>
        <v>48695.236213772529</v>
      </c>
      <c r="V99" s="1724">
        <f t="shared" si="89"/>
        <v>86846.987869926583</v>
      </c>
      <c r="W99" s="1724">
        <f t="shared" si="89"/>
        <v>96248.020802054365</v>
      </c>
      <c r="X99" s="1724">
        <f t="shared" si="89"/>
        <v>92371.983249231154</v>
      </c>
      <c r="Y99" s="1724">
        <f t="shared" si="89"/>
        <v>92761.081751441219</v>
      </c>
      <c r="Z99" s="1724">
        <f t="shared" si="89"/>
        <v>52926.911532237573</v>
      </c>
    </row>
    <row r="100" spans="1:26" s="2006" customFormat="1" ht="15" x14ac:dyDescent="0.2">
      <c r="A100" s="52"/>
      <c r="B100" s="52"/>
      <c r="C100" s="52"/>
      <c r="D100" s="52"/>
      <c r="E100" s="1506"/>
      <c r="F100" s="52"/>
      <c r="G100" s="52"/>
      <c r="H100" s="51"/>
      <c r="I100" s="51"/>
      <c r="J100" s="1999"/>
      <c r="K100" s="2015"/>
      <c r="L100" s="2015"/>
      <c r="M100" s="2013">
        <f>'CFF REV'!E16</f>
        <v>2.9031760317752835E-2</v>
      </c>
      <c r="N100" s="2013">
        <f>'CFF REV'!F16</f>
        <v>9.6407917489235197E-3</v>
      </c>
      <c r="O100" s="2013">
        <f>'CFF REV'!G16</f>
        <v>2.5596993539715538E-2</v>
      </c>
      <c r="P100" s="2013">
        <f>'CFF REV'!H16</f>
        <v>3.198859118812538E-2</v>
      </c>
      <c r="Q100" s="2013">
        <f>'CFF REV'!I16</f>
        <v>8.5618774681543275E-2</v>
      </c>
      <c r="R100" s="2013">
        <f>'CFF REV'!J16</f>
        <v>9.1398598374687209E-2</v>
      </c>
      <c r="S100" s="2013">
        <f>'CFF REV'!K16</f>
        <v>4.1097704381416952E-2</v>
      </c>
      <c r="T100" s="2013">
        <f>'CFF REV'!L16</f>
        <v>6.7526861245235159E-2</v>
      </c>
      <c r="U100" s="2013">
        <f>'CFF REV'!M16</f>
        <v>6.4059822590832566E-2</v>
      </c>
      <c r="V100" s="2013">
        <f>'CFF REV'!N16</f>
        <v>0.11424942290190968</v>
      </c>
      <c r="W100" s="2013">
        <f>'CFF REV'!O16</f>
        <v>0.12661672099158094</v>
      </c>
      <c r="X100" s="2013">
        <f>'CFF REV'!P16</f>
        <v>0.12151769494108129</v>
      </c>
      <c r="Y100" s="2013">
        <f>'CFF REV'!Q16</f>
        <v>0.1220295639237578</v>
      </c>
      <c r="Z100" s="2013">
        <f>'CFF REV'!R16</f>
        <v>6.9626699173437695E-2</v>
      </c>
    </row>
    <row r="101" spans="1:26" s="2006" customFormat="1" ht="15" x14ac:dyDescent="0.2">
      <c r="A101" s="1513" t="s">
        <v>7720</v>
      </c>
      <c r="B101" s="2130" t="s">
        <v>7721</v>
      </c>
      <c r="C101" s="2130"/>
      <c r="D101" s="2130"/>
      <c r="E101" s="2130"/>
      <c r="F101" s="2130"/>
      <c r="G101" s="2130"/>
      <c r="H101" s="2130"/>
      <c r="I101" s="2130"/>
      <c r="J101" s="2130"/>
      <c r="K101" s="2015"/>
      <c r="L101" s="2015"/>
      <c r="M101" s="2005"/>
      <c r="N101" s="2002"/>
      <c r="O101" s="2005"/>
      <c r="P101" s="2005"/>
      <c r="Q101" s="2005"/>
      <c r="R101" s="2005"/>
      <c r="S101" s="2005"/>
      <c r="T101" s="2005"/>
      <c r="U101" s="2005"/>
      <c r="V101" s="2005"/>
      <c r="W101" s="2005"/>
      <c r="X101" s="2005"/>
      <c r="Y101" s="2005"/>
      <c r="Z101" s="2005"/>
    </row>
    <row r="102" spans="1:26" s="2009" customFormat="1" ht="45" x14ac:dyDescent="0.2">
      <c r="A102" s="1635" t="s">
        <v>7725</v>
      </c>
      <c r="B102" s="1974" t="s">
        <v>8533</v>
      </c>
      <c r="C102" s="1974" t="s">
        <v>15166</v>
      </c>
      <c r="D102" s="1813" t="s">
        <v>15167</v>
      </c>
      <c r="E102" s="1638">
        <v>1</v>
      </c>
      <c r="F102" s="1639" t="s">
        <v>5284</v>
      </c>
      <c r="G102" s="1636">
        <v>1000</v>
      </c>
      <c r="H102" s="1636">
        <f>ROUND(G102*$B$13,2)</f>
        <v>269.3</v>
      </c>
      <c r="I102" s="1636">
        <f t="shared" ref="I102:I103" si="90">H102+G102</f>
        <v>1269.3</v>
      </c>
      <c r="J102" s="1723">
        <f t="shared" ref="J102:J103" si="91">ROUND(I102*E102,2)</f>
        <v>1269.3</v>
      </c>
      <c r="K102" s="2007">
        <f t="shared" ref="K102:K103" si="92">ROUND(G102*E102,2)</f>
        <v>1000</v>
      </c>
      <c r="L102" s="2007">
        <f t="shared" ref="L102:L103" si="93">ROUND(H102*E102,2)</f>
        <v>269.3</v>
      </c>
      <c r="M102" s="2016"/>
      <c r="N102" s="2017">
        <f>J102</f>
        <v>1269.3</v>
      </c>
      <c r="O102" s="2016"/>
      <c r="P102" s="2016"/>
      <c r="Q102" s="2016"/>
      <c r="R102" s="2016"/>
      <c r="S102" s="2016"/>
      <c r="T102" s="2016"/>
      <c r="U102" s="2016"/>
      <c r="V102" s="2016"/>
      <c r="W102" s="2016"/>
      <c r="X102" s="2016"/>
      <c r="Y102" s="2016"/>
      <c r="Z102" s="2016"/>
    </row>
    <row r="103" spans="1:26" s="2009" customFormat="1" ht="30" x14ac:dyDescent="0.2">
      <c r="A103" s="1635" t="s">
        <v>7839</v>
      </c>
      <c r="B103" s="1974" t="s">
        <v>9510</v>
      </c>
      <c r="C103" s="1974">
        <v>20193</v>
      </c>
      <c r="D103" s="1813" t="s">
        <v>7727</v>
      </c>
      <c r="E103" s="1638">
        <f>84*8</f>
        <v>672</v>
      </c>
      <c r="F103" s="1639" t="s">
        <v>7728</v>
      </c>
      <c r="G103" s="1636">
        <v>3.99</v>
      </c>
      <c r="H103" s="1636">
        <f>ROUND(G103*$B$13,2)</f>
        <v>1.07</v>
      </c>
      <c r="I103" s="1636">
        <f t="shared" si="90"/>
        <v>5.0600000000000005</v>
      </c>
      <c r="J103" s="1723">
        <f t="shared" si="91"/>
        <v>3400.32</v>
      </c>
      <c r="K103" s="2007">
        <f t="shared" si="92"/>
        <v>2681.28</v>
      </c>
      <c r="L103" s="2007">
        <f t="shared" si="93"/>
        <v>719.04</v>
      </c>
      <c r="M103" s="2016"/>
      <c r="N103" s="2017"/>
      <c r="O103" s="2016"/>
      <c r="P103" s="2016"/>
      <c r="Q103" s="2016"/>
      <c r="R103" s="2016"/>
      <c r="S103" s="2016">
        <f t="shared" ref="S103:Z103" si="94">$J$103/8</f>
        <v>425.04</v>
      </c>
      <c r="T103" s="2016">
        <f t="shared" si="94"/>
        <v>425.04</v>
      </c>
      <c r="U103" s="2016">
        <f t="shared" si="94"/>
        <v>425.04</v>
      </c>
      <c r="V103" s="2016">
        <f t="shared" si="94"/>
        <v>425.04</v>
      </c>
      <c r="W103" s="2016">
        <f t="shared" si="94"/>
        <v>425.04</v>
      </c>
      <c r="X103" s="2016">
        <f t="shared" si="94"/>
        <v>425.04</v>
      </c>
      <c r="Y103" s="2016">
        <f t="shared" si="94"/>
        <v>425.04</v>
      </c>
      <c r="Z103" s="2016">
        <f t="shared" si="94"/>
        <v>425.04</v>
      </c>
    </row>
    <row r="104" spans="1:26" s="2009" customFormat="1" ht="15" x14ac:dyDescent="0.2">
      <c r="A104" s="1635" t="s">
        <v>7840</v>
      </c>
      <c r="B104" s="1974" t="s">
        <v>4448</v>
      </c>
      <c r="C104" s="1974">
        <v>97062</v>
      </c>
      <c r="D104" s="1813" t="s">
        <v>7729</v>
      </c>
      <c r="E104" s="1638">
        <v>84</v>
      </c>
      <c r="F104" s="1639" t="s">
        <v>5286</v>
      </c>
      <c r="G104" s="1636">
        <v>5.03</v>
      </c>
      <c r="H104" s="1636">
        <f>ROUND(G104*$B$13,2)</f>
        <v>1.35</v>
      </c>
      <c r="I104" s="1636">
        <f t="shared" ref="I104" si="95">H104+G104</f>
        <v>6.3800000000000008</v>
      </c>
      <c r="J104" s="1723">
        <f t="shared" ref="J104" si="96">ROUND(I104*E104,2)</f>
        <v>535.91999999999996</v>
      </c>
      <c r="K104" s="2007">
        <f t="shared" ref="K104" si="97">ROUND(G104*E104,2)</f>
        <v>422.52</v>
      </c>
      <c r="L104" s="2007">
        <f t="shared" ref="L104" si="98">ROUND(H104*E104,2)</f>
        <v>113.4</v>
      </c>
      <c r="M104" s="2016"/>
      <c r="N104" s="2017"/>
      <c r="O104" s="2016"/>
      <c r="P104" s="2016"/>
      <c r="Q104" s="2016"/>
      <c r="R104" s="2016"/>
      <c r="S104" s="2016">
        <f t="shared" ref="S104:Z104" si="99">$J$104/8</f>
        <v>66.989999999999995</v>
      </c>
      <c r="T104" s="2016">
        <f t="shared" si="99"/>
        <v>66.989999999999995</v>
      </c>
      <c r="U104" s="2016">
        <f t="shared" si="99"/>
        <v>66.989999999999995</v>
      </c>
      <c r="V104" s="2016">
        <f t="shared" si="99"/>
        <v>66.989999999999995</v>
      </c>
      <c r="W104" s="2016">
        <f t="shared" si="99"/>
        <v>66.989999999999995</v>
      </c>
      <c r="X104" s="2016">
        <f t="shared" si="99"/>
        <v>66.989999999999995</v>
      </c>
      <c r="Y104" s="2016">
        <f t="shared" si="99"/>
        <v>66.989999999999995</v>
      </c>
      <c r="Z104" s="2016">
        <f t="shared" si="99"/>
        <v>66.989999999999995</v>
      </c>
    </row>
    <row r="105" spans="1:26" s="2006" customFormat="1" ht="15" x14ac:dyDescent="0.2">
      <c r="A105" s="2133" t="s">
        <v>7723</v>
      </c>
      <c r="B105" s="2133"/>
      <c r="C105" s="2133"/>
      <c r="D105" s="2133"/>
      <c r="E105" s="2133"/>
      <c r="F105" s="2133"/>
      <c r="G105" s="2133"/>
      <c r="H105" s="2133"/>
      <c r="I105" s="2133"/>
      <c r="J105" s="1724">
        <f>SUM(J101:J104)</f>
        <v>5205.54</v>
      </c>
      <c r="K105" s="2015"/>
      <c r="L105" s="2015"/>
      <c r="M105" s="1724">
        <f t="shared" ref="M105:Z105" si="100">SUM(M101:M104)</f>
        <v>0</v>
      </c>
      <c r="N105" s="1724">
        <f t="shared" si="100"/>
        <v>1269.3</v>
      </c>
      <c r="O105" s="1724">
        <f t="shared" si="100"/>
        <v>0</v>
      </c>
      <c r="P105" s="1724">
        <f t="shared" si="100"/>
        <v>0</v>
      </c>
      <c r="Q105" s="1724">
        <f t="shared" si="100"/>
        <v>0</v>
      </c>
      <c r="R105" s="1724">
        <f t="shared" si="100"/>
        <v>0</v>
      </c>
      <c r="S105" s="1724">
        <f t="shared" si="100"/>
        <v>492.03000000000003</v>
      </c>
      <c r="T105" s="1724">
        <f t="shared" si="100"/>
        <v>492.03000000000003</v>
      </c>
      <c r="U105" s="1724">
        <f t="shared" si="100"/>
        <v>492.03000000000003</v>
      </c>
      <c r="V105" s="1724">
        <f t="shared" si="100"/>
        <v>492.03000000000003</v>
      </c>
      <c r="W105" s="1724">
        <f t="shared" si="100"/>
        <v>492.03000000000003</v>
      </c>
      <c r="X105" s="1724">
        <f t="shared" si="100"/>
        <v>492.03000000000003</v>
      </c>
      <c r="Y105" s="1724">
        <f t="shared" si="100"/>
        <v>492.03000000000003</v>
      </c>
      <c r="Z105" s="1724">
        <f t="shared" si="100"/>
        <v>492.03000000000003</v>
      </c>
    </row>
    <row r="106" spans="1:26" s="2006" customFormat="1" ht="15" x14ac:dyDescent="0.2">
      <c r="A106" s="52"/>
      <c r="B106" s="52"/>
      <c r="C106" s="52"/>
      <c r="D106" s="52"/>
      <c r="E106" s="1506"/>
      <c r="F106" s="52"/>
      <c r="G106" s="52"/>
      <c r="H106" s="51"/>
      <c r="I106" s="51"/>
      <c r="J106" s="1725"/>
      <c r="K106" s="2015"/>
      <c r="L106" s="2015"/>
      <c r="M106" s="2013">
        <f>M105/$J105</f>
        <v>0</v>
      </c>
      <c r="N106" s="2013">
        <f>N105/$J105</f>
        <v>0.2438363743242776</v>
      </c>
      <c r="O106" s="2013">
        <f t="shared" ref="O106:Z106" si="101">O105/$J105</f>
        <v>0</v>
      </c>
      <c r="P106" s="2013">
        <f t="shared" si="101"/>
        <v>0</v>
      </c>
      <c r="Q106" s="2013">
        <f t="shared" si="101"/>
        <v>0</v>
      </c>
      <c r="R106" s="2013">
        <f t="shared" si="101"/>
        <v>0</v>
      </c>
      <c r="S106" s="2013">
        <f t="shared" si="101"/>
        <v>9.452045320946531E-2</v>
      </c>
      <c r="T106" s="2013">
        <f t="shared" si="101"/>
        <v>9.452045320946531E-2</v>
      </c>
      <c r="U106" s="2013">
        <f t="shared" si="101"/>
        <v>9.452045320946531E-2</v>
      </c>
      <c r="V106" s="2013">
        <f t="shared" si="101"/>
        <v>9.452045320946531E-2</v>
      </c>
      <c r="W106" s="2013">
        <f t="shared" si="101"/>
        <v>9.452045320946531E-2</v>
      </c>
      <c r="X106" s="2013">
        <f t="shared" si="101"/>
        <v>9.452045320946531E-2</v>
      </c>
      <c r="Y106" s="2013">
        <f t="shared" si="101"/>
        <v>9.452045320946531E-2</v>
      </c>
      <c r="Z106" s="2013">
        <f t="shared" si="101"/>
        <v>9.452045320946531E-2</v>
      </c>
    </row>
    <row r="107" spans="1:26" s="2003" customFormat="1" ht="15" x14ac:dyDescent="0.2">
      <c r="A107" s="2132" t="s">
        <v>7724</v>
      </c>
      <c r="B107" s="2132"/>
      <c r="C107" s="2132"/>
      <c r="D107" s="2132"/>
      <c r="E107" s="2132"/>
      <c r="F107" s="2132"/>
      <c r="G107" s="2132"/>
      <c r="H107" s="2132"/>
      <c r="I107" s="2132"/>
      <c r="J107" s="1726">
        <f>J105+J99</f>
        <v>765358.07000000007</v>
      </c>
      <c r="K107" s="2015"/>
      <c r="L107" s="2015"/>
      <c r="M107" s="1726">
        <f t="shared" ref="M107:Z107" si="102">M105+M99</f>
        <v>22068.566055893421</v>
      </c>
      <c r="N107" s="1726">
        <f t="shared" si="102"/>
        <v>8597.772239147338</v>
      </c>
      <c r="O107" s="1726">
        <f t="shared" si="102"/>
        <v>19457.619399608422</v>
      </c>
      <c r="P107" s="1726">
        <f t="shared" si="102"/>
        <v>24316.208522789213</v>
      </c>
      <c r="Q107" s="1726">
        <f t="shared" si="102"/>
        <v>65083.32818967507</v>
      </c>
      <c r="R107" s="1726">
        <f t="shared" si="102"/>
        <v>69476.87579297238</v>
      </c>
      <c r="S107" s="1726">
        <f t="shared" si="102"/>
        <v>31732.553962726182</v>
      </c>
      <c r="T107" s="1726">
        <f t="shared" si="102"/>
        <v>51822.74441852446</v>
      </c>
      <c r="U107" s="1726">
        <f t="shared" si="102"/>
        <v>49187.266213772527</v>
      </c>
      <c r="V107" s="1726">
        <f t="shared" si="102"/>
        <v>87339.017869926582</v>
      </c>
      <c r="W107" s="1726">
        <f t="shared" si="102"/>
        <v>96740.050802054364</v>
      </c>
      <c r="X107" s="1726">
        <f t="shared" si="102"/>
        <v>92864.013249231153</v>
      </c>
      <c r="Y107" s="1726">
        <f t="shared" si="102"/>
        <v>93253.111751441218</v>
      </c>
      <c r="Z107" s="1726">
        <f t="shared" si="102"/>
        <v>53418.941532237572</v>
      </c>
    </row>
    <row r="108" spans="1:26" s="2006" customFormat="1" ht="15" x14ac:dyDescent="0.2">
      <c r="A108" s="1635"/>
      <c r="B108" s="1974"/>
      <c r="C108" s="1974"/>
      <c r="D108" s="1813"/>
      <c r="E108" s="1638"/>
      <c r="F108" s="1639"/>
      <c r="G108" s="19"/>
      <c r="H108" s="19"/>
      <c r="I108" s="19"/>
      <c r="J108" s="1727"/>
      <c r="K108" s="2015"/>
      <c r="L108" s="2015"/>
      <c r="M108" s="2013"/>
      <c r="N108" s="2013"/>
      <c r="O108" s="2013"/>
      <c r="P108" s="2013"/>
      <c r="Q108" s="2013"/>
      <c r="R108" s="2013"/>
      <c r="S108" s="2013"/>
      <c r="T108" s="2013"/>
      <c r="U108" s="2013"/>
      <c r="V108" s="2013"/>
      <c r="W108" s="2013"/>
      <c r="X108" s="2013"/>
      <c r="Y108" s="2013"/>
      <c r="Z108" s="2013"/>
    </row>
    <row r="109" spans="1:26" s="2003" customFormat="1" ht="15" x14ac:dyDescent="0.2">
      <c r="A109" s="1773"/>
      <c r="B109" s="1974"/>
      <c r="C109" s="1974"/>
      <c r="D109" s="1774"/>
      <c r="E109" s="1638"/>
      <c r="F109" s="1639"/>
      <c r="G109" s="19"/>
      <c r="H109" s="19"/>
      <c r="I109" s="19"/>
      <c r="J109" s="1727"/>
      <c r="K109" s="2019"/>
      <c r="L109" s="2019"/>
      <c r="M109" s="1720"/>
      <c r="N109" s="2020"/>
      <c r="O109" s="2002"/>
      <c r="P109" s="2002"/>
      <c r="Q109" s="2002"/>
      <c r="R109" s="2002"/>
      <c r="S109" s="2002"/>
      <c r="T109" s="2002"/>
      <c r="U109" s="2002"/>
      <c r="V109" s="2002"/>
      <c r="W109" s="2002"/>
      <c r="X109" s="2002"/>
      <c r="Y109" s="2002"/>
      <c r="Z109" s="2002"/>
    </row>
    <row r="110" spans="1:26" s="2003" customFormat="1" ht="15" x14ac:dyDescent="0.2">
      <c r="A110" s="37" t="s">
        <v>14</v>
      </c>
      <c r="B110" s="37"/>
      <c r="C110" s="37"/>
      <c r="D110" s="2129" t="s">
        <v>17</v>
      </c>
      <c r="E110" s="2129"/>
      <c r="F110" s="2129"/>
      <c r="G110" s="2129"/>
      <c r="H110" s="2129"/>
      <c r="I110" s="2129"/>
      <c r="J110" s="1720">
        <f>SUM(K:K)</f>
        <v>817263.65000000014</v>
      </c>
      <c r="K110" s="2021"/>
      <c r="L110" s="2021"/>
      <c r="M110" s="2022"/>
      <c r="N110" s="2020"/>
      <c r="O110" s="2002"/>
      <c r="P110" s="2002"/>
      <c r="Q110" s="2002"/>
      <c r="R110" s="2002"/>
      <c r="S110" s="2002"/>
      <c r="T110" s="2002"/>
      <c r="U110" s="2002"/>
      <c r="V110" s="2002"/>
      <c r="W110" s="2002"/>
      <c r="X110" s="2002"/>
      <c r="Y110" s="2002"/>
      <c r="Z110" s="2002"/>
    </row>
    <row r="111" spans="1:26" s="2003" customFormat="1" ht="15" x14ac:dyDescent="0.2">
      <c r="A111" s="37" t="s">
        <v>15</v>
      </c>
      <c r="B111" s="37"/>
      <c r="C111" s="37"/>
      <c r="D111" s="2134" t="s">
        <v>4859</v>
      </c>
      <c r="E111" s="2134"/>
      <c r="F111" s="2134"/>
      <c r="G111" s="2134"/>
      <c r="H111" s="2134"/>
      <c r="I111" s="2134"/>
      <c r="J111" s="1720">
        <f>SUM(L:L)-0.01</f>
        <v>220078.82999999996</v>
      </c>
      <c r="K111" s="2021"/>
      <c r="L111" s="2021"/>
      <c r="M111" s="2022"/>
      <c r="N111" s="2020"/>
      <c r="O111" s="2002"/>
      <c r="P111" s="2002"/>
      <c r="Q111" s="2002"/>
      <c r="R111" s="2002"/>
      <c r="S111" s="2002"/>
      <c r="T111" s="2002"/>
      <c r="U111" s="2002"/>
      <c r="V111" s="2002"/>
      <c r="W111" s="2002"/>
      <c r="X111" s="2002"/>
      <c r="Y111" s="2002"/>
      <c r="Z111" s="2002"/>
    </row>
    <row r="112" spans="1:26" s="2003" customFormat="1" ht="15" x14ac:dyDescent="0.2">
      <c r="A112" s="37" t="s">
        <v>16</v>
      </c>
      <c r="B112" s="37"/>
      <c r="C112" s="37"/>
      <c r="D112" s="2129" t="s">
        <v>18</v>
      </c>
      <c r="E112" s="2129"/>
      <c r="F112" s="2129"/>
      <c r="G112" s="2129"/>
      <c r="H112" s="2129"/>
      <c r="I112" s="2129"/>
      <c r="J112" s="1720">
        <f>J107+J87+J59+J24</f>
        <v>1037342.48</v>
      </c>
      <c r="K112" s="2023"/>
      <c r="L112" s="2023"/>
      <c r="M112" s="2024"/>
      <c r="N112" s="2025"/>
      <c r="O112" s="2002"/>
      <c r="P112" s="2002"/>
      <c r="Q112" s="2002"/>
      <c r="R112" s="2002"/>
      <c r="S112" s="2002"/>
      <c r="T112" s="2002"/>
      <c r="U112" s="2002"/>
      <c r="V112" s="2002"/>
      <c r="W112" s="2002"/>
      <c r="X112" s="2002"/>
      <c r="Y112" s="2002"/>
      <c r="Z112" s="2002"/>
    </row>
    <row r="113" spans="1:26" ht="15" x14ac:dyDescent="0.2">
      <c r="A113" s="1598"/>
      <c r="B113" s="56"/>
      <c r="C113" s="56"/>
      <c r="D113" s="57"/>
      <c r="E113" s="1507"/>
      <c r="F113" s="56"/>
      <c r="G113" s="23"/>
      <c r="H113" s="23"/>
      <c r="I113" s="23"/>
      <c r="J113" s="1721"/>
      <c r="K113" s="139"/>
      <c r="L113" s="139"/>
      <c r="M113" s="1804"/>
      <c r="N113" s="1680"/>
    </row>
    <row r="114" spans="1:26" ht="15" x14ac:dyDescent="0.2">
      <c r="A114" s="1601"/>
      <c r="B114" s="56"/>
      <c r="C114" s="56"/>
      <c r="D114" s="57"/>
      <c r="E114" s="1507"/>
      <c r="F114" s="56"/>
      <c r="G114" s="23"/>
      <c r="H114" s="23"/>
      <c r="I114" s="23"/>
      <c r="J114" s="1721"/>
    </row>
    <row r="115" spans="1:26" ht="15" x14ac:dyDescent="0.2">
      <c r="A115" s="1601"/>
      <c r="B115" s="1601"/>
      <c r="C115" s="1601"/>
      <c r="D115" s="1599"/>
      <c r="E115" s="42"/>
      <c r="F115" s="59"/>
      <c r="G115" s="185"/>
      <c r="H115" s="185"/>
      <c r="I115" s="185"/>
      <c r="J115" s="1722"/>
    </row>
    <row r="116" spans="1:26" ht="15" x14ac:dyDescent="0.2">
      <c r="A116" s="1601"/>
      <c r="B116" s="1601"/>
      <c r="C116" s="1601"/>
      <c r="D116" s="1599"/>
      <c r="E116" s="42"/>
      <c r="F116" s="59"/>
      <c r="G116" s="185"/>
      <c r="H116" s="185"/>
      <c r="I116" s="185"/>
      <c r="J116" s="1722"/>
    </row>
    <row r="117" spans="1:26" ht="15" x14ac:dyDescent="0.2">
      <c r="A117" s="1601"/>
      <c r="B117" s="1601"/>
      <c r="C117" s="1601"/>
      <c r="D117" s="1599"/>
      <c r="E117" s="42"/>
      <c r="F117" s="59"/>
      <c r="G117" s="185"/>
      <c r="H117" s="185"/>
      <c r="I117" s="185"/>
      <c r="J117" s="1722"/>
    </row>
    <row r="118" spans="1:26" s="137" customFormat="1" ht="15" x14ac:dyDescent="0.2">
      <c r="A118" s="1601"/>
      <c r="B118" s="1601"/>
      <c r="C118" s="1601"/>
      <c r="D118" s="1599"/>
      <c r="E118" s="42"/>
      <c r="F118" s="59"/>
      <c r="G118" s="185"/>
      <c r="H118" s="185"/>
      <c r="I118" s="185"/>
      <c r="J118" s="1722"/>
      <c r="M118" s="1654"/>
      <c r="N118" s="1681"/>
      <c r="O118" s="1681"/>
      <c r="P118" s="1681"/>
      <c r="Q118" s="1681"/>
      <c r="R118" s="1681"/>
      <c r="S118" s="1808"/>
      <c r="T118" s="1808"/>
      <c r="U118" s="1808"/>
      <c r="V118" s="1808"/>
      <c r="W118" s="1808"/>
      <c r="X118" s="1808"/>
      <c r="Y118" s="1808"/>
      <c r="Z118" s="1808"/>
    </row>
    <row r="119" spans="1:26" s="137" customFormat="1" ht="15" x14ac:dyDescent="0.2">
      <c r="A119" s="1601"/>
      <c r="B119" s="1601"/>
      <c r="C119" s="1601"/>
      <c r="D119" s="1599"/>
      <c r="E119" s="42"/>
      <c r="F119" s="59"/>
      <c r="G119" s="185"/>
      <c r="H119" s="185"/>
      <c r="I119" s="185"/>
      <c r="J119" s="1722"/>
      <c r="M119" s="1654"/>
      <c r="N119" s="1681"/>
      <c r="O119" s="1681"/>
      <c r="P119" s="1681"/>
      <c r="Q119" s="1681"/>
      <c r="R119" s="1681"/>
      <c r="S119" s="1808"/>
      <c r="T119" s="1808"/>
      <c r="U119" s="1808"/>
      <c r="V119" s="1808"/>
      <c r="W119" s="1808"/>
      <c r="X119" s="1808"/>
      <c r="Y119" s="1808"/>
      <c r="Z119" s="1808"/>
    </row>
    <row r="120" spans="1:26" s="137" customFormat="1" ht="15" x14ac:dyDescent="0.2">
      <c r="A120" s="1601"/>
      <c r="B120" s="1601"/>
      <c r="C120" s="1601"/>
      <c r="D120" s="1599"/>
      <c r="E120" s="42"/>
      <c r="F120" s="59"/>
      <c r="G120" s="185"/>
      <c r="H120" s="185"/>
      <c r="I120" s="185"/>
      <c r="J120" s="1722"/>
      <c r="M120" s="1654"/>
      <c r="N120" s="1681"/>
      <c r="O120" s="1681"/>
      <c r="P120" s="1681"/>
      <c r="Q120" s="1681"/>
      <c r="R120" s="1681"/>
      <c r="S120" s="1808"/>
      <c r="T120" s="1808"/>
      <c r="U120" s="1808"/>
      <c r="V120" s="1808"/>
      <c r="W120" s="1808"/>
      <c r="X120" s="1808"/>
      <c r="Y120" s="1808"/>
      <c r="Z120" s="1808"/>
    </row>
    <row r="121" spans="1:26" s="137" customFormat="1" x14ac:dyDescent="0.2">
      <c r="A121" s="11"/>
      <c r="B121" s="44"/>
      <c r="C121" s="44"/>
      <c r="D121" s="7"/>
      <c r="E121" s="1508"/>
      <c r="F121" s="8"/>
      <c r="G121" s="1511"/>
      <c r="H121" s="1511"/>
      <c r="I121" s="1511"/>
      <c r="J121" s="1682"/>
      <c r="M121" s="1654"/>
      <c r="N121" s="1681"/>
      <c r="O121" s="1681"/>
      <c r="P121" s="1681"/>
      <c r="Q121" s="1681"/>
      <c r="R121" s="1681"/>
      <c r="S121" s="1808"/>
      <c r="T121" s="1808"/>
      <c r="U121" s="1808"/>
      <c r="V121" s="1808"/>
      <c r="W121" s="1808"/>
      <c r="X121" s="1808"/>
      <c r="Y121" s="1808"/>
      <c r="Z121" s="1808"/>
    </row>
  </sheetData>
  <sheetProtection selectLockedCells="1" selectUnlockedCells="1"/>
  <mergeCells count="46">
    <mergeCell ref="B67:J67"/>
    <mergeCell ref="B63:J63"/>
    <mergeCell ref="A65:I65"/>
    <mergeCell ref="B18:J18"/>
    <mergeCell ref="B19:C19"/>
    <mergeCell ref="B20:J20"/>
    <mergeCell ref="A59:I59"/>
    <mergeCell ref="B62:C62"/>
    <mergeCell ref="B61:J61"/>
    <mergeCell ref="A57:I57"/>
    <mergeCell ref="B28:J28"/>
    <mergeCell ref="B29:J29"/>
    <mergeCell ref="B36:J36"/>
    <mergeCell ref="B41:J41"/>
    <mergeCell ref="A45:I45"/>
    <mergeCell ref="A22:I22"/>
    <mergeCell ref="B10:J10"/>
    <mergeCell ref="B11:J11"/>
    <mergeCell ref="B12:J12"/>
    <mergeCell ref="C15:J15"/>
    <mergeCell ref="A17:J17"/>
    <mergeCell ref="A2:J2"/>
    <mergeCell ref="A3:J3"/>
    <mergeCell ref="A4:J4"/>
    <mergeCell ref="A7:J7"/>
    <mergeCell ref="B9:J9"/>
    <mergeCell ref="A24:I24"/>
    <mergeCell ref="B27:C27"/>
    <mergeCell ref="B26:J26"/>
    <mergeCell ref="B52:J52"/>
    <mergeCell ref="B47:J47"/>
    <mergeCell ref="B48:J48"/>
    <mergeCell ref="D112:I112"/>
    <mergeCell ref="B91:J91"/>
    <mergeCell ref="B90:C90"/>
    <mergeCell ref="A107:I107"/>
    <mergeCell ref="A69:I69"/>
    <mergeCell ref="A99:I99"/>
    <mergeCell ref="A105:I105"/>
    <mergeCell ref="D110:I110"/>
    <mergeCell ref="D111:I111"/>
    <mergeCell ref="B89:J89"/>
    <mergeCell ref="B101:J101"/>
    <mergeCell ref="A85:I85"/>
    <mergeCell ref="A87:I87"/>
    <mergeCell ref="B71:J71"/>
  </mergeCells>
  <phoneticPr fontId="26" type="noConversion"/>
  <printOptions horizontalCentered="1"/>
  <pageMargins left="0.39370078740157483" right="0.39370078740157483" top="0.39370078740157483" bottom="0.98425196850393704" header="0" footer="0.39370078740157483"/>
  <pageSetup paperSize="9" scale="64" firstPageNumber="2" fitToHeight="0" orientation="portrait" useFirstPageNumber="1" r:id="rId1"/>
  <headerFooter alignWithMargins="0">
    <oddFooter>&amp;RPágina &amp;P de 249</oddFooter>
  </headerFooter>
  <rowBreaks count="2" manualBreakCount="2">
    <brk id="46" max="9" man="1"/>
    <brk id="88"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1">
    <tabColor theme="8"/>
    <pageSetUpPr fitToPage="1"/>
  </sheetPr>
  <dimension ref="A1:AE847"/>
  <sheetViews>
    <sheetView view="pageBreakPreview" zoomScaleNormal="100" zoomScaleSheetLayoutView="100" workbookViewId="0">
      <selection activeCell="D6" sqref="D6"/>
    </sheetView>
  </sheetViews>
  <sheetFormatPr defaultRowHeight="12.75" x14ac:dyDescent="0.2"/>
  <cols>
    <col min="1" max="1" width="13" style="11" customWidth="1"/>
    <col min="2" max="2" width="10.5703125" style="11" customWidth="1"/>
    <col min="3" max="3" width="9.42578125" style="11" customWidth="1"/>
    <col min="4" max="4" width="41.5703125" style="12" customWidth="1"/>
    <col min="5" max="5" width="10.5703125" style="1509" customWidth="1"/>
    <col min="6" max="6" width="9.5703125" style="9" customWidth="1"/>
    <col min="7" max="7" width="13.85546875" style="1655" customWidth="1"/>
    <col min="8" max="8" width="14.28515625" style="4" bestFit="1" customWidth="1"/>
    <col min="9" max="9" width="15" style="4" customWidth="1"/>
    <col min="10" max="10" width="15" style="1728" customWidth="1"/>
    <col min="11" max="11" width="15.85546875" style="73" customWidth="1"/>
    <col min="12" max="12" width="16.85546875" style="137" customWidth="1"/>
    <col min="13" max="26" width="15.85546875" style="1654" customWidth="1"/>
    <col min="27" max="16384" width="9.140625" style="6"/>
  </cols>
  <sheetData>
    <row r="1" spans="1:31" ht="15" x14ac:dyDescent="0.2">
      <c r="A1" s="26"/>
      <c r="B1" s="61"/>
      <c r="C1" s="26"/>
      <c r="D1" s="27"/>
      <c r="E1" s="68"/>
      <c r="F1" s="28"/>
      <c r="G1" s="1644"/>
      <c r="H1" s="29"/>
      <c r="I1" s="29"/>
      <c r="J1" s="1722"/>
      <c r="K1" s="191"/>
      <c r="L1" s="136"/>
      <c r="M1" s="1805"/>
      <c r="N1" s="1805"/>
      <c r="O1" s="1805"/>
    </row>
    <row r="2" spans="1:31" ht="15" x14ac:dyDescent="0.2">
      <c r="A2" s="2123" t="s">
        <v>34</v>
      </c>
      <c r="B2" s="2123"/>
      <c r="C2" s="2123"/>
      <c r="D2" s="2123"/>
      <c r="E2" s="2123"/>
      <c r="F2" s="2123"/>
      <c r="G2" s="2123"/>
      <c r="H2" s="2123"/>
      <c r="I2" s="2123"/>
      <c r="J2" s="2123"/>
      <c r="K2" s="1800"/>
      <c r="L2" s="67"/>
      <c r="M2" s="1804"/>
      <c r="N2" s="1804"/>
      <c r="O2" s="1804"/>
    </row>
    <row r="3" spans="1:31" ht="15" x14ac:dyDescent="0.2">
      <c r="A3" s="2123" t="s">
        <v>35</v>
      </c>
      <c r="B3" s="2123"/>
      <c r="C3" s="2123"/>
      <c r="D3" s="2123"/>
      <c r="E3" s="2123"/>
      <c r="F3" s="2123"/>
      <c r="G3" s="2123"/>
      <c r="H3" s="2123"/>
      <c r="I3" s="2123"/>
      <c r="J3" s="2123"/>
      <c r="K3" s="1800"/>
      <c r="L3" s="67"/>
      <c r="M3" s="1804"/>
      <c r="N3" s="1804"/>
      <c r="O3" s="1804"/>
    </row>
    <row r="4" spans="1:31" ht="15" x14ac:dyDescent="0.2">
      <c r="A4" s="2123" t="s">
        <v>4980</v>
      </c>
      <c r="B4" s="2123"/>
      <c r="C4" s="2123"/>
      <c r="D4" s="2123"/>
      <c r="E4" s="2123"/>
      <c r="F4" s="2123"/>
      <c r="G4" s="2123"/>
      <c r="H4" s="2123"/>
      <c r="I4" s="2123"/>
      <c r="J4" s="2123"/>
      <c r="K4" s="1800"/>
      <c r="L4" s="67"/>
      <c r="M4" s="1804"/>
      <c r="N4" s="1804"/>
      <c r="O4" s="1804"/>
    </row>
    <row r="5" spans="1:31" ht="15" x14ac:dyDescent="0.2">
      <c r="A5" s="30"/>
      <c r="B5" s="56"/>
      <c r="C5" s="30"/>
      <c r="D5" s="31" t="s">
        <v>29</v>
      </c>
      <c r="E5" s="1503"/>
      <c r="F5" s="32"/>
      <c r="G5" s="1645"/>
      <c r="H5" s="33"/>
      <c r="I5" s="33"/>
      <c r="J5" s="1721"/>
      <c r="K5" s="58"/>
      <c r="L5" s="67"/>
      <c r="M5" s="1804"/>
      <c r="N5" s="1804"/>
      <c r="O5" s="1804"/>
    </row>
    <row r="6" spans="1:31" ht="15" x14ac:dyDescent="0.2">
      <c r="A6" s="30"/>
      <c r="B6" s="56"/>
      <c r="C6" s="30"/>
      <c r="D6" s="31"/>
      <c r="E6" s="1503"/>
      <c r="F6" s="34"/>
      <c r="G6" s="1644"/>
      <c r="H6" s="29"/>
      <c r="I6" s="29"/>
      <c r="J6" s="1722"/>
      <c r="K6" s="191"/>
      <c r="L6" s="136"/>
      <c r="M6" s="1805"/>
      <c r="N6" s="1805"/>
      <c r="O6" s="1805"/>
    </row>
    <row r="7" spans="1:31" ht="21" x14ac:dyDescent="0.2">
      <c r="A7" s="2128" t="s">
        <v>9472</v>
      </c>
      <c r="B7" s="2128"/>
      <c r="C7" s="2128"/>
      <c r="D7" s="2128"/>
      <c r="E7" s="2128"/>
      <c r="F7" s="2128"/>
      <c r="G7" s="2128"/>
      <c r="H7" s="2128"/>
      <c r="I7" s="2128"/>
      <c r="J7" s="2128"/>
      <c r="K7" s="1802"/>
      <c r="L7" s="67"/>
      <c r="M7" s="1804"/>
      <c r="N7" s="1804"/>
      <c r="O7" s="1804"/>
    </row>
    <row r="8" spans="1:31" ht="15" x14ac:dyDescent="0.2">
      <c r="A8" s="30"/>
      <c r="B8" s="56"/>
      <c r="C8" s="30"/>
      <c r="D8" s="31"/>
      <c r="E8" s="1503"/>
      <c r="F8" s="32"/>
      <c r="G8" s="1645"/>
      <c r="H8" s="33"/>
      <c r="I8" s="33"/>
      <c r="J8" s="1721"/>
      <c r="K8" s="58"/>
      <c r="L8" s="67"/>
      <c r="M8" s="1804"/>
      <c r="N8" s="1804"/>
      <c r="O8" s="1804"/>
    </row>
    <row r="9" spans="1:31" ht="15" x14ac:dyDescent="0.2">
      <c r="A9" s="35" t="s">
        <v>4443</v>
      </c>
      <c r="B9" s="2127" t="str">
        <f>Resumo!B9</f>
        <v>Construção do Edifício ULEG-FM</v>
      </c>
      <c r="C9" s="2127"/>
      <c r="D9" s="2127"/>
      <c r="E9" s="2127"/>
      <c r="F9" s="2127"/>
      <c r="G9" s="2127"/>
      <c r="H9" s="2127"/>
      <c r="I9" s="2127"/>
      <c r="J9" s="2127"/>
      <c r="K9" s="1801"/>
      <c r="L9" s="67"/>
      <c r="M9" s="1806"/>
      <c r="N9" s="1805"/>
      <c r="O9" s="1805"/>
    </row>
    <row r="10" spans="1:31" ht="15" x14ac:dyDescent="0.2">
      <c r="A10" s="35" t="s">
        <v>128</v>
      </c>
      <c r="B10" s="2127" t="str">
        <f>Resumo!B10</f>
        <v>Campus Darcy Ribeiro</v>
      </c>
      <c r="C10" s="2127"/>
      <c r="D10" s="2127"/>
      <c r="E10" s="2127"/>
      <c r="F10" s="2127"/>
      <c r="G10" s="2127"/>
      <c r="H10" s="2127"/>
      <c r="I10" s="2127"/>
      <c r="J10" s="2127"/>
      <c r="K10" s="1801"/>
      <c r="L10" s="67"/>
      <c r="M10" s="1806"/>
      <c r="N10" s="1805"/>
      <c r="O10" s="1805"/>
    </row>
    <row r="11" spans="1:31" ht="15" x14ac:dyDescent="0.2">
      <c r="A11" s="35" t="s">
        <v>4444</v>
      </c>
      <c r="B11" s="2126" t="str">
        <f>Resumo!B11</f>
        <v>Maio de 2020</v>
      </c>
      <c r="C11" s="2127"/>
      <c r="D11" s="2127"/>
      <c r="E11" s="2127"/>
      <c r="F11" s="2127"/>
      <c r="G11" s="2127"/>
      <c r="H11" s="2127"/>
      <c r="I11" s="2127"/>
      <c r="J11" s="2127"/>
      <c r="K11" s="1801"/>
      <c r="L11" s="67"/>
      <c r="M11" s="1806"/>
      <c r="N11" s="1805"/>
      <c r="O11" s="1805"/>
    </row>
    <row r="12" spans="1:31" ht="30" x14ac:dyDescent="0.2">
      <c r="A12" s="35" t="s">
        <v>4445</v>
      </c>
      <c r="B12" s="2127" t="str">
        <f>Resumo!B12</f>
        <v>SINAPI 03/2020; SBC 03/2020; SCO-RJ 01/2020; ORSE 01/2019;  SETOP-MG 01/2020; CPOS 11/2019; IOPES 11/2019;  AGETOP 04/2019; TCPO 01/2019</v>
      </c>
      <c r="C12" s="2127"/>
      <c r="D12" s="2127"/>
      <c r="E12" s="2127"/>
      <c r="F12" s="2127"/>
      <c r="G12" s="2127"/>
      <c r="H12" s="2127"/>
      <c r="I12" s="2127"/>
      <c r="J12" s="2127"/>
      <c r="K12" s="1801"/>
      <c r="L12" s="136"/>
      <c r="M12" s="1805"/>
      <c r="N12" s="1805"/>
      <c r="O12" s="1805"/>
    </row>
    <row r="13" spans="1:31" ht="15" x14ac:dyDescent="0.2">
      <c r="A13" s="40" t="s">
        <v>129</v>
      </c>
      <c r="B13" s="43">
        <v>0.26929999999999998</v>
      </c>
      <c r="C13" s="50" t="s">
        <v>4871</v>
      </c>
      <c r="D13" s="24"/>
      <c r="E13" s="1504"/>
      <c r="F13" s="24"/>
      <c r="G13" s="1646"/>
      <c r="H13" s="24"/>
      <c r="I13" s="24"/>
      <c r="J13" s="1646"/>
      <c r="K13" s="6"/>
      <c r="L13" s="136"/>
      <c r="M13" s="1805"/>
      <c r="N13" s="1805"/>
      <c r="O13" s="1805"/>
    </row>
    <row r="14" spans="1:31" ht="15" x14ac:dyDescent="0.2">
      <c r="A14" s="40"/>
      <c r="B14" s="43">
        <v>0.20930000000000001</v>
      </c>
      <c r="C14" s="50" t="s">
        <v>4872</v>
      </c>
      <c r="D14" s="25"/>
      <c r="E14" s="1505"/>
      <c r="F14" s="49"/>
      <c r="G14" s="1647"/>
      <c r="H14" s="49"/>
      <c r="I14" s="49"/>
      <c r="J14" s="1647"/>
      <c r="K14" s="1801"/>
      <c r="L14" s="136"/>
      <c r="M14" s="1805"/>
      <c r="N14" s="1805"/>
      <c r="O14" s="1805"/>
    </row>
    <row r="15" spans="1:31" ht="15" x14ac:dyDescent="0.2">
      <c r="A15" s="40"/>
      <c r="B15" s="53"/>
      <c r="C15" s="2127" t="s">
        <v>4446</v>
      </c>
      <c r="D15" s="2127"/>
      <c r="E15" s="2127"/>
      <c r="F15" s="2127"/>
      <c r="G15" s="2127"/>
      <c r="H15" s="2127"/>
      <c r="I15" s="2127"/>
      <c r="J15" s="2127"/>
      <c r="K15" s="1801"/>
      <c r="L15" s="136"/>
      <c r="M15" s="1805"/>
      <c r="N15" s="1805"/>
      <c r="O15" s="1805"/>
    </row>
    <row r="16" spans="1:31" ht="15" x14ac:dyDescent="0.2">
      <c r="A16" s="40"/>
      <c r="B16" s="56"/>
      <c r="C16" s="30"/>
      <c r="D16"/>
      <c r="E16" s="1503"/>
      <c r="F16" s="36"/>
      <c r="G16" s="1644"/>
      <c r="H16" s="29"/>
      <c r="I16" s="29"/>
      <c r="J16" s="1722"/>
      <c r="K16" s="191"/>
      <c r="L16" s="136"/>
      <c r="M16" s="1807"/>
      <c r="N16" s="1807"/>
      <c r="O16" s="1807"/>
      <c r="P16" s="1637"/>
      <c r="Q16" s="1637"/>
      <c r="R16" s="1637"/>
      <c r="S16" s="1637"/>
      <c r="T16" s="1637"/>
      <c r="U16" s="1637"/>
      <c r="V16" s="1637"/>
      <c r="W16" s="1637"/>
      <c r="X16" s="1637"/>
      <c r="Y16" s="1637"/>
      <c r="Z16" s="1637"/>
      <c r="AA16" s="1632"/>
      <c r="AB16" s="1632"/>
      <c r="AC16" s="1632"/>
      <c r="AD16" s="1632"/>
      <c r="AE16" s="1632"/>
    </row>
    <row r="17" spans="1:31" ht="15" x14ac:dyDescent="0.2">
      <c r="A17" s="2139" t="s">
        <v>4854</v>
      </c>
      <c r="B17" s="2139"/>
      <c r="C17" s="2139"/>
      <c r="D17" s="2139"/>
      <c r="E17" s="2139"/>
      <c r="F17" s="2139"/>
      <c r="G17" s="2139"/>
      <c r="H17" s="2139"/>
      <c r="I17" s="2139"/>
      <c r="J17" s="2139"/>
      <c r="K17" s="1803"/>
      <c r="L17" s="67"/>
      <c r="M17" s="48">
        <v>1</v>
      </c>
      <c r="N17" s="48">
        <v>2</v>
      </c>
      <c r="O17" s="48">
        <v>3</v>
      </c>
      <c r="P17" s="48">
        <v>4</v>
      </c>
      <c r="Q17" s="48">
        <v>5</v>
      </c>
      <c r="R17" s="48">
        <v>6</v>
      </c>
      <c r="S17" s="48">
        <v>7</v>
      </c>
      <c r="T17" s="48">
        <v>8</v>
      </c>
      <c r="U17" s="48">
        <v>9</v>
      </c>
      <c r="V17" s="48">
        <v>10</v>
      </c>
      <c r="W17" s="48">
        <v>11</v>
      </c>
      <c r="X17" s="48">
        <v>12</v>
      </c>
      <c r="Y17" s="48">
        <v>13</v>
      </c>
      <c r="Z17" s="48">
        <v>14</v>
      </c>
      <c r="AA17" s="1632"/>
      <c r="AB17" s="1632"/>
      <c r="AC17" s="1632"/>
      <c r="AD17" s="1632"/>
      <c r="AE17" s="1632"/>
    </row>
    <row r="18" spans="1:31" s="2003" customFormat="1" ht="15" x14ac:dyDescent="0.2">
      <c r="A18" s="1988" t="s">
        <v>7336</v>
      </c>
      <c r="B18" s="2135" t="s">
        <v>7332</v>
      </c>
      <c r="C18" s="2135"/>
      <c r="D18" s="2135"/>
      <c r="E18" s="2135"/>
      <c r="F18" s="2135"/>
      <c r="G18" s="2135"/>
      <c r="H18" s="2135"/>
      <c r="I18" s="2135"/>
      <c r="J18" s="2135"/>
      <c r="K18" s="1981"/>
      <c r="L18" s="2014"/>
      <c r="M18" s="2000"/>
      <c r="N18" s="2000"/>
      <c r="O18" s="2000"/>
      <c r="P18" s="2005"/>
      <c r="Q18" s="2005"/>
      <c r="R18" s="2005"/>
      <c r="S18" s="2005"/>
      <c r="T18" s="2005"/>
      <c r="U18" s="2005"/>
      <c r="V18" s="2005"/>
      <c r="W18" s="2005"/>
      <c r="X18" s="2005"/>
      <c r="Y18" s="2005"/>
      <c r="Z18" s="2005"/>
    </row>
    <row r="19" spans="1:31" s="2006" customFormat="1" ht="15" x14ac:dyDescent="0.2">
      <c r="A19" s="2004" t="s">
        <v>0</v>
      </c>
      <c r="B19" s="2131" t="s">
        <v>6715</v>
      </c>
      <c r="C19" s="2131"/>
      <c r="D19" s="2004" t="s">
        <v>1</v>
      </c>
      <c r="E19" s="1986" t="s">
        <v>131</v>
      </c>
      <c r="F19" s="1987" t="s">
        <v>11</v>
      </c>
      <c r="G19" s="1990" t="s">
        <v>12</v>
      </c>
      <c r="H19" s="1989" t="s">
        <v>5679</v>
      </c>
      <c r="I19" s="1989" t="s">
        <v>5680</v>
      </c>
      <c r="J19" s="1990" t="s">
        <v>130</v>
      </c>
      <c r="K19" s="1989" t="s">
        <v>7747</v>
      </c>
      <c r="L19" s="1989" t="s">
        <v>7748</v>
      </c>
      <c r="M19" s="2000"/>
      <c r="N19" s="2000"/>
      <c r="O19" s="2000"/>
      <c r="P19" s="2005"/>
      <c r="Q19" s="2005"/>
      <c r="R19" s="2005"/>
      <c r="S19" s="2005"/>
      <c r="T19" s="2005"/>
      <c r="U19" s="2005"/>
      <c r="V19" s="2005"/>
      <c r="W19" s="2005"/>
      <c r="X19" s="2005"/>
      <c r="Y19" s="2005"/>
      <c r="Z19" s="2005"/>
    </row>
    <row r="20" spans="1:31" s="2006" customFormat="1" ht="15" x14ac:dyDescent="0.2">
      <c r="A20" s="1513" t="s">
        <v>7333</v>
      </c>
      <c r="B20" s="2130" t="s">
        <v>7334</v>
      </c>
      <c r="C20" s="2130"/>
      <c r="D20" s="2130"/>
      <c r="E20" s="2130"/>
      <c r="F20" s="2130"/>
      <c r="G20" s="2130"/>
      <c r="H20" s="2130"/>
      <c r="I20" s="2130"/>
      <c r="J20" s="2130"/>
      <c r="K20" s="1980"/>
      <c r="L20" s="1980"/>
      <c r="M20" s="2005"/>
      <c r="N20" s="2005"/>
      <c r="O20" s="2005"/>
      <c r="P20" s="2005"/>
      <c r="Q20" s="2005"/>
      <c r="R20" s="2005"/>
      <c r="S20" s="2005"/>
      <c r="T20" s="2005"/>
      <c r="U20" s="2005"/>
      <c r="V20" s="2005"/>
      <c r="W20" s="2005"/>
      <c r="X20" s="2005"/>
      <c r="Y20" s="2005"/>
      <c r="Z20" s="2005"/>
    </row>
    <row r="21" spans="1:31" s="2009" customFormat="1" ht="45" x14ac:dyDescent="0.2">
      <c r="A21" s="1635" t="s">
        <v>7822</v>
      </c>
      <c r="B21" s="1984" t="s">
        <v>6907</v>
      </c>
      <c r="C21" s="1984">
        <v>7103</v>
      </c>
      <c r="D21" s="1813" t="s">
        <v>7823</v>
      </c>
      <c r="E21" s="1638">
        <f>2*1232.16</f>
        <v>2464.3200000000002</v>
      </c>
      <c r="F21" s="1639" t="s">
        <v>5286</v>
      </c>
      <c r="G21" s="1648">
        <v>7.1</v>
      </c>
      <c r="H21" s="1636">
        <f>ROUND(G21*$B$13,2)</f>
        <v>1.91</v>
      </c>
      <c r="I21" s="1636">
        <f>H21+G21</f>
        <v>9.01</v>
      </c>
      <c r="J21" s="1723">
        <f>ROUND(I21*E21,2)</f>
        <v>22203.52</v>
      </c>
      <c r="K21" s="2007">
        <f>ROUND(G21*E21,2)</f>
        <v>17496.669999999998</v>
      </c>
      <c r="L21" s="2007">
        <f>ROUND(H21*E21,2)</f>
        <v>4706.8500000000004</v>
      </c>
      <c r="M21" s="2016">
        <f>J21</f>
        <v>22203.52</v>
      </c>
      <c r="N21" s="2016"/>
      <c r="O21" s="2016"/>
      <c r="P21" s="2016"/>
      <c r="Q21" s="2016"/>
      <c r="R21" s="2016"/>
      <c r="S21" s="2016"/>
      <c r="T21" s="2016"/>
      <c r="U21" s="2016"/>
      <c r="V21" s="2016"/>
      <c r="W21" s="2016"/>
      <c r="X21" s="2016"/>
      <c r="Y21" s="2016"/>
      <c r="Z21" s="2016"/>
    </row>
    <row r="22" spans="1:31" s="2006" customFormat="1" ht="15" x14ac:dyDescent="0.2">
      <c r="A22" s="2133" t="s">
        <v>7335</v>
      </c>
      <c r="B22" s="2133"/>
      <c r="C22" s="2133"/>
      <c r="D22" s="2133"/>
      <c r="E22" s="2133"/>
      <c r="F22" s="2133"/>
      <c r="G22" s="2133"/>
      <c r="H22" s="2133"/>
      <c r="I22" s="2133"/>
      <c r="J22" s="1724">
        <f>SUM(J20:J21)</f>
        <v>22203.52</v>
      </c>
      <c r="K22" s="2010"/>
      <c r="L22" s="2015"/>
      <c r="M22" s="1724">
        <f t="shared" ref="M22:Z22" si="0">SUM(M20:M21)</f>
        <v>22203.52</v>
      </c>
      <c r="N22" s="1724">
        <f t="shared" si="0"/>
        <v>0</v>
      </c>
      <c r="O22" s="1724">
        <f t="shared" si="0"/>
        <v>0</v>
      </c>
      <c r="P22" s="1724">
        <f t="shared" si="0"/>
        <v>0</v>
      </c>
      <c r="Q22" s="1724">
        <f t="shared" si="0"/>
        <v>0</v>
      </c>
      <c r="R22" s="1724">
        <f t="shared" si="0"/>
        <v>0</v>
      </c>
      <c r="S22" s="1724">
        <f t="shared" si="0"/>
        <v>0</v>
      </c>
      <c r="T22" s="1724">
        <f t="shared" si="0"/>
        <v>0</v>
      </c>
      <c r="U22" s="1724">
        <f t="shared" si="0"/>
        <v>0</v>
      </c>
      <c r="V22" s="1724">
        <f t="shared" si="0"/>
        <v>0</v>
      </c>
      <c r="W22" s="1724">
        <f t="shared" si="0"/>
        <v>0</v>
      </c>
      <c r="X22" s="1724">
        <f t="shared" si="0"/>
        <v>0</v>
      </c>
      <c r="Y22" s="1724">
        <f t="shared" si="0"/>
        <v>0</v>
      </c>
      <c r="Z22" s="1724">
        <f t="shared" si="0"/>
        <v>0</v>
      </c>
    </row>
    <row r="23" spans="1:31" s="2006" customFormat="1" ht="15" x14ac:dyDescent="0.2">
      <c r="A23" s="52"/>
      <c r="B23" s="52"/>
      <c r="C23" s="52"/>
      <c r="D23" s="52"/>
      <c r="E23" s="1506"/>
      <c r="F23" s="52"/>
      <c r="G23" s="1649"/>
      <c r="H23" s="51"/>
      <c r="I23" s="51"/>
      <c r="J23" s="1725"/>
      <c r="K23" s="51"/>
      <c r="L23" s="2015"/>
      <c r="M23" s="2005"/>
      <c r="N23" s="2005"/>
      <c r="O23" s="2005"/>
      <c r="P23" s="2005"/>
      <c r="Q23" s="2005"/>
      <c r="R23" s="2005"/>
      <c r="S23" s="2005"/>
      <c r="T23" s="2005"/>
      <c r="U23" s="2005"/>
      <c r="V23" s="2005"/>
      <c r="W23" s="2005"/>
      <c r="X23" s="2005"/>
      <c r="Y23" s="2005"/>
      <c r="Z23" s="2005"/>
    </row>
    <row r="24" spans="1:31" s="2006" customFormat="1" ht="15" x14ac:dyDescent="0.2">
      <c r="A24" s="1513" t="s">
        <v>7337</v>
      </c>
      <c r="B24" s="2130" t="s">
        <v>7338</v>
      </c>
      <c r="C24" s="2130"/>
      <c r="D24" s="2130"/>
      <c r="E24" s="2130"/>
      <c r="F24" s="2130"/>
      <c r="G24" s="2130"/>
      <c r="H24" s="2130"/>
      <c r="I24" s="2130"/>
      <c r="J24" s="2130"/>
      <c r="K24" s="1980"/>
      <c r="L24" s="2015"/>
      <c r="M24" s="2005"/>
      <c r="N24" s="2005"/>
      <c r="O24" s="2005"/>
      <c r="P24" s="2005"/>
      <c r="Q24" s="2005"/>
      <c r="R24" s="2005"/>
      <c r="S24" s="2005"/>
      <c r="T24" s="2005"/>
      <c r="U24" s="2005"/>
      <c r="V24" s="2005"/>
      <c r="W24" s="2005"/>
      <c r="X24" s="2005"/>
      <c r="Y24" s="2005"/>
      <c r="Z24" s="2005"/>
    </row>
    <row r="25" spans="1:31" s="2009" customFormat="1" ht="30" x14ac:dyDescent="0.2">
      <c r="A25" s="1635" t="s">
        <v>7341</v>
      </c>
      <c r="B25" s="1984" t="s">
        <v>5281</v>
      </c>
      <c r="C25" s="1984" t="s">
        <v>8269</v>
      </c>
      <c r="D25" s="1813" t="s">
        <v>7339</v>
      </c>
      <c r="E25" s="1638">
        <f>QuantPrédio!J22</f>
        <v>37</v>
      </c>
      <c r="F25" s="1639" t="s">
        <v>5284</v>
      </c>
      <c r="G25" s="1648">
        <v>76.739999999999995</v>
      </c>
      <c r="H25" s="1636">
        <f>ROUND(G25*$B$13,2)</f>
        <v>20.67</v>
      </c>
      <c r="I25" s="1636">
        <f>H25+G25</f>
        <v>97.41</v>
      </c>
      <c r="J25" s="1723">
        <f>ROUND(I25*E25,2)</f>
        <v>3604.17</v>
      </c>
      <c r="K25" s="2007">
        <f>ROUND(G25*E25,2)</f>
        <v>2839.38</v>
      </c>
      <c r="L25" s="2007">
        <f>ROUND(H25*E25,2)</f>
        <v>764.79</v>
      </c>
      <c r="N25" s="2016">
        <f>0.39*J25</f>
        <v>1405.6263000000001</v>
      </c>
      <c r="O25" s="2016">
        <f>0.26*J25</f>
        <v>937.08420000000001</v>
      </c>
      <c r="P25" s="2016">
        <f>0.24*J25</f>
        <v>865.00080000000003</v>
      </c>
      <c r="Q25" s="2016"/>
      <c r="R25" s="2016">
        <f>0.02*J25</f>
        <v>72.083399999999997</v>
      </c>
      <c r="S25" s="2016"/>
      <c r="T25" s="2016">
        <f>0.09*J25</f>
        <v>324.37529999999998</v>
      </c>
      <c r="U25" s="2016"/>
      <c r="V25" s="2016"/>
      <c r="W25" s="2016"/>
      <c r="X25" s="2016"/>
      <c r="Y25" s="2016"/>
      <c r="Z25" s="2016"/>
    </row>
    <row r="26" spans="1:31" s="2009" customFormat="1" ht="75" x14ac:dyDescent="0.2">
      <c r="A26" s="1635" t="s">
        <v>7687</v>
      </c>
      <c r="B26" s="1984" t="s">
        <v>5281</v>
      </c>
      <c r="C26" s="1984" t="s">
        <v>14966</v>
      </c>
      <c r="D26" s="1813" t="s">
        <v>14967</v>
      </c>
      <c r="E26" s="1638">
        <f>ROUNDUP(4*E25+(SUM(E97:E99)/8),0)</f>
        <v>416</v>
      </c>
      <c r="F26" s="1639" t="s">
        <v>5284</v>
      </c>
      <c r="G26" s="1648">
        <v>14</v>
      </c>
      <c r="H26" s="1636">
        <f>ROUND(G26*$B$13,2)</f>
        <v>3.77</v>
      </c>
      <c r="I26" s="1636">
        <f>H26+G26</f>
        <v>17.77</v>
      </c>
      <c r="J26" s="1723">
        <f>ROUND(I26*E26,2)</f>
        <v>7392.32</v>
      </c>
      <c r="K26" s="2007">
        <f>ROUND(G26*E26,2)</f>
        <v>5824</v>
      </c>
      <c r="L26" s="2007">
        <f>ROUND(H26*E26,2)</f>
        <v>1568.32</v>
      </c>
      <c r="N26" s="2016">
        <f>0.39*J26</f>
        <v>2883.0048000000002</v>
      </c>
      <c r="O26" s="2016">
        <f>0.26*J26</f>
        <v>1922.0031999999999</v>
      </c>
      <c r="P26" s="2016">
        <f>0.24*J26</f>
        <v>1774.1568</v>
      </c>
      <c r="Q26" s="2016"/>
      <c r="R26" s="2016">
        <f>0.02*J26</f>
        <v>147.84639999999999</v>
      </c>
      <c r="S26" s="2016"/>
      <c r="T26" s="2016">
        <f>0.09*J26</f>
        <v>665.30879999999991</v>
      </c>
      <c r="U26" s="2016"/>
      <c r="V26" s="2016"/>
      <c r="W26" s="2016"/>
      <c r="X26" s="2016"/>
      <c r="Y26" s="2016"/>
      <c r="Z26" s="2016"/>
    </row>
    <row r="27" spans="1:31" s="2006" customFormat="1" ht="15" x14ac:dyDescent="0.2">
      <c r="A27" s="2133" t="s">
        <v>7349</v>
      </c>
      <c r="B27" s="2133"/>
      <c r="C27" s="2133"/>
      <c r="D27" s="2133"/>
      <c r="E27" s="2133"/>
      <c r="F27" s="2133"/>
      <c r="G27" s="2133"/>
      <c r="H27" s="2133"/>
      <c r="I27" s="2133"/>
      <c r="J27" s="1724">
        <f>SUM(J24:J26)</f>
        <v>10996.49</v>
      </c>
      <c r="K27" s="2010"/>
      <c r="L27" s="2015"/>
      <c r="M27" s="1724">
        <f t="shared" ref="M27:Z27" si="1">SUM(M24:M26)</f>
        <v>0</v>
      </c>
      <c r="N27" s="1724">
        <f t="shared" si="1"/>
        <v>4288.6311000000005</v>
      </c>
      <c r="O27" s="1724">
        <f t="shared" si="1"/>
        <v>2859.0873999999999</v>
      </c>
      <c r="P27" s="1724">
        <f t="shared" si="1"/>
        <v>2639.1576</v>
      </c>
      <c r="Q27" s="1724">
        <f t="shared" si="1"/>
        <v>0</v>
      </c>
      <c r="R27" s="1724">
        <f t="shared" si="1"/>
        <v>219.9298</v>
      </c>
      <c r="S27" s="1724">
        <f t="shared" si="1"/>
        <v>0</v>
      </c>
      <c r="T27" s="1724">
        <f t="shared" si="1"/>
        <v>989.68409999999994</v>
      </c>
      <c r="U27" s="1724">
        <f t="shared" si="1"/>
        <v>0</v>
      </c>
      <c r="V27" s="1724">
        <f t="shared" si="1"/>
        <v>0</v>
      </c>
      <c r="W27" s="1724">
        <f t="shared" si="1"/>
        <v>0</v>
      </c>
      <c r="X27" s="1724">
        <f t="shared" si="1"/>
        <v>0</v>
      </c>
      <c r="Y27" s="1724">
        <f t="shared" si="1"/>
        <v>0</v>
      </c>
      <c r="Z27" s="1724">
        <f t="shared" si="1"/>
        <v>0</v>
      </c>
    </row>
    <row r="28" spans="1:31" s="2006" customFormat="1" ht="15" x14ac:dyDescent="0.2">
      <c r="A28" s="52"/>
      <c r="B28" s="52"/>
      <c r="C28" s="52"/>
      <c r="D28" s="52"/>
      <c r="E28" s="1506"/>
      <c r="F28" s="52"/>
      <c r="G28" s="1649"/>
      <c r="H28" s="51"/>
      <c r="I28" s="51"/>
      <c r="J28" s="1725"/>
      <c r="K28" s="51"/>
      <c r="L28" s="2015"/>
      <c r="M28" s="2005"/>
      <c r="N28" s="2005"/>
      <c r="O28" s="2005"/>
      <c r="P28" s="2005"/>
      <c r="Q28" s="2005"/>
      <c r="R28" s="2005"/>
      <c r="S28" s="2005"/>
      <c r="T28" s="2005"/>
      <c r="U28" s="2005"/>
      <c r="V28" s="2005"/>
      <c r="W28" s="2005"/>
      <c r="X28" s="2005"/>
      <c r="Y28" s="2005"/>
      <c r="Z28" s="2005"/>
    </row>
    <row r="29" spans="1:31" s="2003" customFormat="1" ht="15" x14ac:dyDescent="0.2">
      <c r="A29" s="2132" t="s">
        <v>7348</v>
      </c>
      <c r="B29" s="2132"/>
      <c r="C29" s="2132"/>
      <c r="D29" s="2132"/>
      <c r="E29" s="2132"/>
      <c r="F29" s="2132"/>
      <c r="G29" s="2132"/>
      <c r="H29" s="2132"/>
      <c r="I29" s="2132"/>
      <c r="J29" s="1726">
        <f>J27+J22</f>
        <v>33200.01</v>
      </c>
      <c r="K29" s="2011"/>
      <c r="L29" s="2015"/>
      <c r="M29" s="1726">
        <f t="shared" ref="M29:Z29" si="2">M27+M22</f>
        <v>22203.52</v>
      </c>
      <c r="N29" s="1726">
        <f t="shared" si="2"/>
        <v>4288.6311000000005</v>
      </c>
      <c r="O29" s="1726">
        <f t="shared" si="2"/>
        <v>2859.0873999999999</v>
      </c>
      <c r="P29" s="1726">
        <f t="shared" si="2"/>
        <v>2639.1576</v>
      </c>
      <c r="Q29" s="1726">
        <f t="shared" si="2"/>
        <v>0</v>
      </c>
      <c r="R29" s="1726">
        <f t="shared" si="2"/>
        <v>219.9298</v>
      </c>
      <c r="S29" s="1726">
        <f t="shared" si="2"/>
        <v>0</v>
      </c>
      <c r="T29" s="1726">
        <f t="shared" si="2"/>
        <v>989.68409999999994</v>
      </c>
      <c r="U29" s="1726">
        <f t="shared" si="2"/>
        <v>0</v>
      </c>
      <c r="V29" s="1726">
        <f t="shared" si="2"/>
        <v>0</v>
      </c>
      <c r="W29" s="1726">
        <f t="shared" si="2"/>
        <v>0</v>
      </c>
      <c r="X29" s="1726">
        <f t="shared" si="2"/>
        <v>0</v>
      </c>
      <c r="Y29" s="1726">
        <f t="shared" si="2"/>
        <v>0</v>
      </c>
      <c r="Z29" s="1726">
        <f t="shared" si="2"/>
        <v>0</v>
      </c>
    </row>
    <row r="30" spans="1:31" s="2006" customFormat="1" ht="15" x14ac:dyDescent="0.2">
      <c r="A30" s="1635"/>
      <c r="B30" s="1984"/>
      <c r="C30" s="1984"/>
      <c r="D30" s="1813"/>
      <c r="E30" s="1638"/>
      <c r="F30" s="1639"/>
      <c r="G30" s="1650"/>
      <c r="H30" s="19"/>
      <c r="I30" s="19"/>
      <c r="J30" s="1727"/>
      <c r="K30" s="2012"/>
      <c r="L30" s="2015"/>
      <c r="M30" s="2013">
        <f>M29/$J29</f>
        <v>0.66878052145165012</v>
      </c>
      <c r="N30" s="2013">
        <f t="shared" ref="N30:Z30" si="3">N29/$J29</f>
        <v>0.12917559663385644</v>
      </c>
      <c r="O30" s="2013">
        <f t="shared" si="3"/>
        <v>8.6117064422570944E-2</v>
      </c>
      <c r="P30" s="2013">
        <f t="shared" si="3"/>
        <v>7.9492674851603953E-2</v>
      </c>
      <c r="Q30" s="2013">
        <f t="shared" si="3"/>
        <v>0</v>
      </c>
      <c r="R30" s="2013">
        <f t="shared" si="3"/>
        <v>6.6243895709669964E-3</v>
      </c>
      <c r="S30" s="2013">
        <f t="shared" si="3"/>
        <v>0</v>
      </c>
      <c r="T30" s="2013">
        <f t="shared" si="3"/>
        <v>2.9809753069351481E-2</v>
      </c>
      <c r="U30" s="2013">
        <f t="shared" si="3"/>
        <v>0</v>
      </c>
      <c r="V30" s="2013">
        <f t="shared" si="3"/>
        <v>0</v>
      </c>
      <c r="W30" s="2013">
        <f t="shared" si="3"/>
        <v>0</v>
      </c>
      <c r="X30" s="2013">
        <f t="shared" si="3"/>
        <v>0</v>
      </c>
      <c r="Y30" s="2013">
        <f t="shared" si="3"/>
        <v>0</v>
      </c>
      <c r="Z30" s="2013">
        <f t="shared" si="3"/>
        <v>0</v>
      </c>
    </row>
    <row r="31" spans="1:31" s="2003" customFormat="1" ht="15" x14ac:dyDescent="0.2">
      <c r="A31" s="1988" t="s">
        <v>2</v>
      </c>
      <c r="B31" s="2135" t="s">
        <v>8</v>
      </c>
      <c r="C31" s="2135"/>
      <c r="D31" s="2135"/>
      <c r="E31" s="2135"/>
      <c r="F31" s="2135"/>
      <c r="G31" s="2135"/>
      <c r="H31" s="2135"/>
      <c r="I31" s="2135"/>
      <c r="J31" s="2135"/>
      <c r="K31" s="1981"/>
      <c r="L31" s="2014"/>
      <c r="M31" s="2000"/>
      <c r="N31" s="2000"/>
      <c r="O31" s="2000"/>
      <c r="P31" s="2005"/>
      <c r="Q31" s="2005"/>
      <c r="R31" s="2005"/>
      <c r="S31" s="2005"/>
      <c r="T31" s="2005"/>
      <c r="U31" s="2005"/>
      <c r="V31" s="2005"/>
      <c r="W31" s="2005"/>
      <c r="X31" s="2005"/>
      <c r="Y31" s="2005"/>
      <c r="Z31" s="2005"/>
    </row>
    <row r="32" spans="1:31" s="2006" customFormat="1" ht="15" x14ac:dyDescent="0.2">
      <c r="A32" s="2004" t="s">
        <v>0</v>
      </c>
      <c r="B32" s="2131" t="s">
        <v>6715</v>
      </c>
      <c r="C32" s="2131"/>
      <c r="D32" s="2004" t="s">
        <v>1</v>
      </c>
      <c r="E32" s="1986" t="s">
        <v>131</v>
      </c>
      <c r="F32" s="1987" t="s">
        <v>11</v>
      </c>
      <c r="G32" s="1990" t="s">
        <v>12</v>
      </c>
      <c r="H32" s="1989" t="s">
        <v>5679</v>
      </c>
      <c r="I32" s="1989" t="s">
        <v>5680</v>
      </c>
      <c r="J32" s="1990" t="s">
        <v>130</v>
      </c>
      <c r="K32" s="1989"/>
      <c r="L32" s="2014"/>
      <c r="M32" s="2000"/>
      <c r="N32" s="2000"/>
      <c r="O32" s="2000"/>
      <c r="P32" s="2005"/>
      <c r="Q32" s="2005"/>
      <c r="R32" s="2005"/>
      <c r="S32" s="2005"/>
      <c r="T32" s="2005"/>
      <c r="U32" s="2005"/>
      <c r="V32" s="2005"/>
      <c r="W32" s="2005"/>
      <c r="X32" s="2005"/>
      <c r="Y32" s="2005"/>
      <c r="Z32" s="2005"/>
    </row>
    <row r="33" spans="1:26" s="2006" customFormat="1" ht="15" x14ac:dyDescent="0.2">
      <c r="A33" s="1513" t="s">
        <v>7792</v>
      </c>
      <c r="B33" s="2130" t="s">
        <v>7793</v>
      </c>
      <c r="C33" s="2130"/>
      <c r="D33" s="2130"/>
      <c r="E33" s="2130"/>
      <c r="F33" s="2130"/>
      <c r="G33" s="2130"/>
      <c r="H33" s="2130"/>
      <c r="I33" s="2130"/>
      <c r="J33" s="2130"/>
      <c r="K33" s="2015"/>
      <c r="L33" s="2015"/>
      <c r="M33" s="2005"/>
      <c r="N33" s="2002"/>
      <c r="O33" s="2005"/>
      <c r="P33" s="2005"/>
      <c r="Q33" s="2005"/>
      <c r="R33" s="2005"/>
      <c r="S33" s="2005"/>
      <c r="T33" s="2005"/>
      <c r="U33" s="2005"/>
      <c r="V33" s="2005"/>
      <c r="W33" s="2005"/>
      <c r="X33" s="2005"/>
      <c r="Y33" s="2005"/>
      <c r="Z33" s="2005"/>
    </row>
    <row r="34" spans="1:26" s="2006" customFormat="1" ht="15" x14ac:dyDescent="0.2">
      <c r="A34" s="1634" t="s">
        <v>8888</v>
      </c>
      <c r="B34" s="2136" t="s">
        <v>8889</v>
      </c>
      <c r="C34" s="2136"/>
      <c r="D34" s="2136"/>
      <c r="E34" s="2136"/>
      <c r="F34" s="2136"/>
      <c r="G34" s="2136"/>
      <c r="H34" s="2136"/>
      <c r="I34" s="2136"/>
      <c r="J34" s="2136"/>
      <c r="K34" s="2015"/>
      <c r="L34" s="2015"/>
      <c r="M34" s="2005"/>
      <c r="N34" s="2002"/>
      <c r="O34" s="2005"/>
      <c r="P34" s="2005"/>
      <c r="Q34" s="2005"/>
      <c r="R34" s="2005"/>
      <c r="S34" s="2005"/>
      <c r="T34" s="2005"/>
      <c r="U34" s="2005"/>
      <c r="V34" s="2005"/>
      <c r="W34" s="2005"/>
      <c r="X34" s="2005"/>
      <c r="Y34" s="2005"/>
      <c r="Z34" s="2005"/>
    </row>
    <row r="35" spans="1:26" s="2009" customFormat="1" ht="15" x14ac:dyDescent="0.2">
      <c r="A35" s="1635" t="s">
        <v>8891</v>
      </c>
      <c r="B35" s="1984" t="s">
        <v>5281</v>
      </c>
      <c r="C35" s="1984">
        <v>6397</v>
      </c>
      <c r="D35" s="1813" t="s">
        <v>8890</v>
      </c>
      <c r="E35" s="1638">
        <v>56.18</v>
      </c>
      <c r="F35" s="1639" t="s">
        <v>5713</v>
      </c>
      <c r="G35" s="1636">
        <v>2.73</v>
      </c>
      <c r="H35" s="1636">
        <f>ROUND(G35*'Orç - Canteiro e Adm'!$B$13,2)</f>
        <v>0.74</v>
      </c>
      <c r="I35" s="1636">
        <f t="shared" ref="I35:I43" si="4">H35+G35</f>
        <v>3.4699999999999998</v>
      </c>
      <c r="J35" s="1723">
        <f t="shared" ref="J35:J43" si="5">ROUND(I35*E35,2)</f>
        <v>194.94</v>
      </c>
      <c r="K35" s="2007">
        <f t="shared" ref="K35:K43" si="6">ROUND(G35*E35,2)</f>
        <v>153.37</v>
      </c>
      <c r="L35" s="2007">
        <f t="shared" ref="L35:L43" si="7">ROUND(H35*E35,2)</f>
        <v>41.57</v>
      </c>
      <c r="M35" s="2016">
        <f>0.2*J35</f>
        <v>38.988</v>
      </c>
      <c r="N35" s="2017">
        <f>0.8*J35</f>
        <v>155.952</v>
      </c>
      <c r="O35" s="2016"/>
      <c r="P35" s="2016"/>
      <c r="Q35" s="2016"/>
      <c r="R35" s="2016"/>
      <c r="S35" s="2016"/>
      <c r="T35" s="2016"/>
      <c r="U35" s="2016"/>
      <c r="V35" s="2016"/>
      <c r="W35" s="2016"/>
      <c r="X35" s="2016"/>
      <c r="Y35" s="2016"/>
      <c r="Z35" s="2016"/>
    </row>
    <row r="36" spans="1:26" s="2009" customFormat="1" ht="30" x14ac:dyDescent="0.2">
      <c r="A36" s="1635" t="s">
        <v>8894</v>
      </c>
      <c r="B36" s="1984" t="s">
        <v>5281</v>
      </c>
      <c r="C36" s="1984" t="s">
        <v>8893</v>
      </c>
      <c r="D36" s="1813" t="s">
        <v>8892</v>
      </c>
      <c r="E36" s="1638">
        <v>1</v>
      </c>
      <c r="F36" s="1639" t="s">
        <v>5284</v>
      </c>
      <c r="G36" s="1636">
        <v>8.2199999999999989</v>
      </c>
      <c r="H36" s="1636">
        <f>ROUND(G36*'Orç - Canteiro e Adm'!$B$13,2)</f>
        <v>2.21</v>
      </c>
      <c r="I36" s="1636">
        <f t="shared" si="4"/>
        <v>10.43</v>
      </c>
      <c r="J36" s="1723">
        <f t="shared" si="5"/>
        <v>10.43</v>
      </c>
      <c r="K36" s="2007">
        <f t="shared" si="6"/>
        <v>8.2200000000000006</v>
      </c>
      <c r="L36" s="2007">
        <f t="shared" si="7"/>
        <v>2.21</v>
      </c>
      <c r="M36" s="2016">
        <f t="shared" ref="M36:M43" si="8">0.2*J36</f>
        <v>2.0859999999999999</v>
      </c>
      <c r="N36" s="2017">
        <f t="shared" ref="N36:N43" si="9">0.8*J36</f>
        <v>8.3439999999999994</v>
      </c>
      <c r="O36" s="2016"/>
      <c r="P36" s="2016"/>
      <c r="Q36" s="2016"/>
      <c r="R36" s="2016"/>
      <c r="S36" s="2016"/>
      <c r="T36" s="2016"/>
      <c r="U36" s="2016"/>
      <c r="V36" s="2016"/>
      <c r="W36" s="2016"/>
      <c r="X36" s="2016"/>
      <c r="Y36" s="2016"/>
      <c r="Z36" s="2016"/>
    </row>
    <row r="37" spans="1:26" s="2009" customFormat="1" ht="30" x14ac:dyDescent="0.2">
      <c r="A37" s="1635" t="s">
        <v>9501</v>
      </c>
      <c r="B37" s="1984" t="s">
        <v>8562</v>
      </c>
      <c r="C37" s="1984" t="s">
        <v>9005</v>
      </c>
      <c r="D37" s="1813" t="s">
        <v>9000</v>
      </c>
      <c r="E37" s="1638">
        <v>4</v>
      </c>
      <c r="F37" s="1639" t="s">
        <v>9032</v>
      </c>
      <c r="G37" s="1636">
        <v>84.12</v>
      </c>
      <c r="H37" s="1636">
        <f>ROUND(G37*'Orç - Canteiro e Adm'!$B$13,2)</f>
        <v>22.65</v>
      </c>
      <c r="I37" s="1636">
        <f t="shared" si="4"/>
        <v>106.77000000000001</v>
      </c>
      <c r="J37" s="1723">
        <f t="shared" si="5"/>
        <v>427.08</v>
      </c>
      <c r="K37" s="2007">
        <f t="shared" si="6"/>
        <v>336.48</v>
      </c>
      <c r="L37" s="2007">
        <f t="shared" si="7"/>
        <v>90.6</v>
      </c>
      <c r="M37" s="2016">
        <f t="shared" si="8"/>
        <v>85.415999999999997</v>
      </c>
      <c r="N37" s="2017">
        <f t="shared" si="9"/>
        <v>341.66399999999999</v>
      </c>
      <c r="O37" s="2016"/>
      <c r="P37" s="2016"/>
      <c r="Q37" s="2016"/>
      <c r="R37" s="2016"/>
      <c r="S37" s="2016"/>
      <c r="T37" s="2016"/>
      <c r="U37" s="2016"/>
      <c r="V37" s="2016"/>
      <c r="W37" s="2016"/>
      <c r="X37" s="2016"/>
      <c r="Y37" s="2016"/>
      <c r="Z37" s="2016"/>
    </row>
    <row r="38" spans="1:26" s="2009" customFormat="1" ht="30" x14ac:dyDescent="0.2">
      <c r="A38" s="1635" t="s">
        <v>9502</v>
      </c>
      <c r="B38" s="1984" t="s">
        <v>8562</v>
      </c>
      <c r="C38" s="1984" t="s">
        <v>9006</v>
      </c>
      <c r="D38" s="1813" t="s">
        <v>9001</v>
      </c>
      <c r="E38" s="1638">
        <v>2</v>
      </c>
      <c r="F38" s="1639" t="s">
        <v>9032</v>
      </c>
      <c r="G38" s="1636">
        <v>31.54</v>
      </c>
      <c r="H38" s="1636">
        <f>ROUND(G38*'Orç - Canteiro e Adm'!$B$13,2)</f>
        <v>8.49</v>
      </c>
      <c r="I38" s="1636">
        <f t="shared" si="4"/>
        <v>40.03</v>
      </c>
      <c r="J38" s="1723">
        <f t="shared" si="5"/>
        <v>80.06</v>
      </c>
      <c r="K38" s="2007">
        <f t="shared" si="6"/>
        <v>63.08</v>
      </c>
      <c r="L38" s="2007">
        <f t="shared" si="7"/>
        <v>16.98</v>
      </c>
      <c r="M38" s="2016">
        <f t="shared" si="8"/>
        <v>16.012</v>
      </c>
      <c r="N38" s="2017">
        <f t="shared" si="9"/>
        <v>64.048000000000002</v>
      </c>
      <c r="O38" s="2016"/>
      <c r="P38" s="2016"/>
      <c r="Q38" s="2016"/>
      <c r="R38" s="2016"/>
      <c r="S38" s="2016"/>
      <c r="T38" s="2016"/>
      <c r="U38" s="2016"/>
      <c r="V38" s="2016"/>
      <c r="W38" s="2016"/>
      <c r="X38" s="2016"/>
      <c r="Y38" s="2016"/>
      <c r="Z38" s="2016"/>
    </row>
    <row r="39" spans="1:26" s="2009" customFormat="1" ht="30" x14ac:dyDescent="0.2">
      <c r="A39" s="1635" t="s">
        <v>9503</v>
      </c>
      <c r="B39" s="1984" t="s">
        <v>8562</v>
      </c>
      <c r="C39" s="1984" t="s">
        <v>9513</v>
      </c>
      <c r="D39" s="1813" t="s">
        <v>9514</v>
      </c>
      <c r="E39" s="1638">
        <v>79.94</v>
      </c>
      <c r="F39" s="1639" t="s">
        <v>5713</v>
      </c>
      <c r="G39" s="1636">
        <v>4.2</v>
      </c>
      <c r="H39" s="1636">
        <f>ROUND(G39*'Orç - Canteiro e Adm'!$B$13,2)</f>
        <v>1.1299999999999999</v>
      </c>
      <c r="I39" s="1636">
        <f t="shared" ref="I39" si="10">H39+G39</f>
        <v>5.33</v>
      </c>
      <c r="J39" s="1723">
        <f t="shared" ref="J39" si="11">ROUND(I39*E39,2)</f>
        <v>426.08</v>
      </c>
      <c r="K39" s="2007">
        <f t="shared" ref="K39" si="12">ROUND(G39*E39,2)</f>
        <v>335.75</v>
      </c>
      <c r="L39" s="2007">
        <f t="shared" ref="L39" si="13">ROUND(H39*E39,2)</f>
        <v>90.33</v>
      </c>
      <c r="M39" s="2016">
        <f t="shared" ref="M39" si="14">0.2*J39</f>
        <v>85.216000000000008</v>
      </c>
      <c r="N39" s="2017">
        <f t="shared" ref="N39" si="15">0.8*J39</f>
        <v>340.86400000000003</v>
      </c>
      <c r="O39" s="2016"/>
      <c r="P39" s="2016"/>
      <c r="Q39" s="2016"/>
      <c r="R39" s="2016"/>
      <c r="S39" s="2016"/>
      <c r="T39" s="2016"/>
      <c r="U39" s="2016"/>
      <c r="V39" s="2016"/>
      <c r="W39" s="2016"/>
      <c r="X39" s="2016"/>
      <c r="Y39" s="2016"/>
      <c r="Z39" s="2016"/>
    </row>
    <row r="40" spans="1:26" s="2009" customFormat="1" ht="30" x14ac:dyDescent="0.2">
      <c r="A40" s="1635" t="s">
        <v>9504</v>
      </c>
      <c r="B40" s="1984" t="s">
        <v>8562</v>
      </c>
      <c r="C40" s="1984" t="s">
        <v>9007</v>
      </c>
      <c r="D40" s="1813" t="s">
        <v>9002</v>
      </c>
      <c r="E40" s="1638">
        <v>5</v>
      </c>
      <c r="F40" s="1639" t="s">
        <v>5284</v>
      </c>
      <c r="G40" s="1636">
        <v>42.06</v>
      </c>
      <c r="H40" s="1636">
        <f>ROUND(G40*'Orç - Canteiro e Adm'!$B$13,2)</f>
        <v>11.33</v>
      </c>
      <c r="I40" s="1636">
        <f t="shared" si="4"/>
        <v>53.39</v>
      </c>
      <c r="J40" s="1723">
        <f t="shared" si="5"/>
        <v>266.95</v>
      </c>
      <c r="K40" s="2007">
        <f t="shared" si="6"/>
        <v>210.3</v>
      </c>
      <c r="L40" s="2007">
        <f t="shared" si="7"/>
        <v>56.65</v>
      </c>
      <c r="M40" s="2016">
        <f t="shared" si="8"/>
        <v>53.39</v>
      </c>
      <c r="N40" s="2017">
        <f t="shared" si="9"/>
        <v>213.56</v>
      </c>
      <c r="O40" s="2016"/>
      <c r="P40" s="2016"/>
      <c r="Q40" s="2016"/>
      <c r="R40" s="2016"/>
      <c r="S40" s="2016"/>
      <c r="T40" s="2016"/>
      <c r="U40" s="2016"/>
      <c r="V40" s="2016"/>
      <c r="W40" s="2016"/>
      <c r="X40" s="2016"/>
      <c r="Y40" s="2016"/>
      <c r="Z40" s="2016"/>
    </row>
    <row r="41" spans="1:26" s="2009" customFormat="1" ht="30" x14ac:dyDescent="0.2">
      <c r="A41" s="1635" t="s">
        <v>9505</v>
      </c>
      <c r="B41" s="1984" t="s">
        <v>8562</v>
      </c>
      <c r="C41" s="1984" t="s">
        <v>9008</v>
      </c>
      <c r="D41" s="1813" t="s">
        <v>9003</v>
      </c>
      <c r="E41" s="1638">
        <v>3</v>
      </c>
      <c r="F41" s="1639" t="s">
        <v>5284</v>
      </c>
      <c r="G41" s="1636">
        <v>10.51</v>
      </c>
      <c r="H41" s="1636">
        <f>ROUND(G41*'Orç - Canteiro e Adm'!$B$13,2)</f>
        <v>2.83</v>
      </c>
      <c r="I41" s="1636">
        <f t="shared" si="4"/>
        <v>13.34</v>
      </c>
      <c r="J41" s="1723">
        <f t="shared" si="5"/>
        <v>40.020000000000003</v>
      </c>
      <c r="K41" s="2007">
        <f t="shared" si="6"/>
        <v>31.53</v>
      </c>
      <c r="L41" s="2007">
        <f t="shared" si="7"/>
        <v>8.49</v>
      </c>
      <c r="M41" s="2016">
        <f t="shared" si="8"/>
        <v>8.0040000000000013</v>
      </c>
      <c r="N41" s="2017">
        <f t="shared" si="9"/>
        <v>32.016000000000005</v>
      </c>
      <c r="O41" s="2016"/>
      <c r="P41" s="2016"/>
      <c r="Q41" s="2016"/>
      <c r="R41" s="2016"/>
      <c r="S41" s="2016"/>
      <c r="T41" s="2016"/>
      <c r="U41" s="2016"/>
      <c r="V41" s="2016"/>
      <c r="W41" s="2016"/>
      <c r="X41" s="2016"/>
      <c r="Y41" s="2016"/>
      <c r="Z41" s="2016"/>
    </row>
    <row r="42" spans="1:26" s="2009" customFormat="1" ht="30" x14ac:dyDescent="0.2">
      <c r="A42" s="1635" t="s">
        <v>9506</v>
      </c>
      <c r="B42" s="1984" t="s">
        <v>8562</v>
      </c>
      <c r="C42" s="1984" t="s">
        <v>9508</v>
      </c>
      <c r="D42" s="1813" t="s">
        <v>9507</v>
      </c>
      <c r="E42" s="1638">
        <v>5</v>
      </c>
      <c r="F42" s="1639" t="s">
        <v>5284</v>
      </c>
      <c r="G42" s="1636">
        <v>168.24</v>
      </c>
      <c r="H42" s="1636">
        <f>ROUND(G42*'Orç - Canteiro e Adm'!$B$13,2)</f>
        <v>45.31</v>
      </c>
      <c r="I42" s="1636">
        <f t="shared" ref="I42" si="16">H42+G42</f>
        <v>213.55</v>
      </c>
      <c r="J42" s="1723">
        <f t="shared" ref="J42" si="17">ROUND(I42*E42,2)</f>
        <v>1067.75</v>
      </c>
      <c r="K42" s="2007">
        <f t="shared" ref="K42" si="18">ROUND(G42*E42,2)</f>
        <v>841.2</v>
      </c>
      <c r="L42" s="2007">
        <f t="shared" ref="L42" si="19">ROUND(H42*E42,2)</f>
        <v>226.55</v>
      </c>
      <c r="M42" s="2016">
        <f t="shared" ref="M42" si="20">0.2*J42</f>
        <v>213.55</v>
      </c>
      <c r="N42" s="2017">
        <f t="shared" ref="N42" si="21">0.8*J42</f>
        <v>854.2</v>
      </c>
      <c r="O42" s="2016"/>
      <c r="P42" s="2016"/>
      <c r="Q42" s="2016"/>
      <c r="R42" s="2016"/>
      <c r="S42" s="2016"/>
      <c r="T42" s="2016"/>
      <c r="U42" s="2016"/>
      <c r="V42" s="2016"/>
      <c r="W42" s="2016"/>
      <c r="X42" s="2016"/>
      <c r="Y42" s="2016"/>
      <c r="Z42" s="2016"/>
    </row>
    <row r="43" spans="1:26" s="2009" customFormat="1" ht="30" x14ac:dyDescent="0.2">
      <c r="A43" s="1635" t="s">
        <v>9512</v>
      </c>
      <c r="B43" s="1984" t="s">
        <v>8562</v>
      </c>
      <c r="C43" s="1984" t="s">
        <v>9009</v>
      </c>
      <c r="D43" s="1813" t="s">
        <v>9004</v>
      </c>
      <c r="E43" s="1638">
        <v>2</v>
      </c>
      <c r="F43" s="1639" t="s">
        <v>5284</v>
      </c>
      <c r="G43" s="1636">
        <v>210.3</v>
      </c>
      <c r="H43" s="1636">
        <f>ROUND(G43*'Orç - Canteiro e Adm'!$B$13,2)</f>
        <v>56.63</v>
      </c>
      <c r="I43" s="1636">
        <f t="shared" si="4"/>
        <v>266.93</v>
      </c>
      <c r="J43" s="1723">
        <f t="shared" si="5"/>
        <v>533.86</v>
      </c>
      <c r="K43" s="2007">
        <f t="shared" si="6"/>
        <v>420.6</v>
      </c>
      <c r="L43" s="2007">
        <f t="shared" si="7"/>
        <v>113.26</v>
      </c>
      <c r="M43" s="2016">
        <f t="shared" si="8"/>
        <v>106.77200000000001</v>
      </c>
      <c r="N43" s="2017">
        <f t="shared" si="9"/>
        <v>427.08800000000002</v>
      </c>
      <c r="O43" s="2016"/>
      <c r="P43" s="2016"/>
      <c r="Q43" s="2016"/>
      <c r="R43" s="2016"/>
      <c r="S43" s="2016"/>
      <c r="T43" s="2016"/>
      <c r="U43" s="2016"/>
      <c r="V43" s="2016"/>
      <c r="W43" s="2016"/>
      <c r="X43" s="2016"/>
      <c r="Y43" s="2016"/>
      <c r="Z43" s="2016"/>
    </row>
    <row r="44" spans="1:26" s="2006" customFormat="1" ht="15" x14ac:dyDescent="0.2">
      <c r="A44" s="2133" t="s">
        <v>7794</v>
      </c>
      <c r="B44" s="2133"/>
      <c r="C44" s="2133"/>
      <c r="D44" s="2133"/>
      <c r="E44" s="2133"/>
      <c r="F44" s="2133"/>
      <c r="G44" s="2133"/>
      <c r="H44" s="2133"/>
      <c r="I44" s="2133"/>
      <c r="J44" s="1724">
        <f>SUM(J34:J43)</f>
        <v>3047.17</v>
      </c>
      <c r="K44" s="2015"/>
      <c r="L44" s="2015"/>
      <c r="M44" s="1724">
        <f>SUM(M34:M43)</f>
        <v>609.43400000000008</v>
      </c>
      <c r="N44" s="1724">
        <f>SUM(N34:N43)</f>
        <v>2437.7360000000003</v>
      </c>
      <c r="O44" s="1724">
        <f t="shared" ref="O44:Z44" si="22">SUM(O34:O35)</f>
        <v>0</v>
      </c>
      <c r="P44" s="1724">
        <f t="shared" si="22"/>
        <v>0</v>
      </c>
      <c r="Q44" s="1724">
        <f t="shared" si="22"/>
        <v>0</v>
      </c>
      <c r="R44" s="1724">
        <f t="shared" si="22"/>
        <v>0</v>
      </c>
      <c r="S44" s="1724">
        <f t="shared" si="22"/>
        <v>0</v>
      </c>
      <c r="T44" s="1724">
        <f t="shared" si="22"/>
        <v>0</v>
      </c>
      <c r="U44" s="1724">
        <f t="shared" si="22"/>
        <v>0</v>
      </c>
      <c r="V44" s="1724">
        <f t="shared" si="22"/>
        <v>0</v>
      </c>
      <c r="W44" s="1724">
        <f t="shared" si="22"/>
        <v>0</v>
      </c>
      <c r="X44" s="1724">
        <f t="shared" si="22"/>
        <v>0</v>
      </c>
      <c r="Y44" s="1724">
        <f t="shared" si="22"/>
        <v>0</v>
      </c>
      <c r="Z44" s="1724">
        <f t="shared" si="22"/>
        <v>0</v>
      </c>
    </row>
    <row r="45" spans="1:26" s="2006" customFormat="1" ht="15" x14ac:dyDescent="0.2">
      <c r="A45" s="52"/>
      <c r="B45" s="52"/>
      <c r="C45" s="52"/>
      <c r="D45" s="52"/>
      <c r="E45" s="1506"/>
      <c r="F45" s="52"/>
      <c r="G45" s="52"/>
      <c r="H45" s="51"/>
      <c r="I45" s="51"/>
      <c r="J45" s="1725"/>
      <c r="K45" s="2015"/>
      <c r="L45" s="2015"/>
      <c r="M45" s="2005"/>
      <c r="N45" s="2002"/>
      <c r="O45" s="2005"/>
      <c r="P45" s="2005"/>
      <c r="Q45" s="2005"/>
      <c r="R45" s="2005"/>
      <c r="S45" s="2005"/>
      <c r="T45" s="2005"/>
      <c r="U45" s="2005"/>
      <c r="V45" s="2005"/>
      <c r="W45" s="2005"/>
      <c r="X45" s="2005"/>
      <c r="Y45" s="2005"/>
      <c r="Z45" s="2005"/>
    </row>
    <row r="46" spans="1:26" s="2006" customFormat="1" ht="15" x14ac:dyDescent="0.2">
      <c r="A46" s="1513" t="s">
        <v>5677</v>
      </c>
      <c r="B46" s="2130" t="s">
        <v>5678</v>
      </c>
      <c r="C46" s="2130"/>
      <c r="D46" s="2130"/>
      <c r="E46" s="2130"/>
      <c r="F46" s="2130"/>
      <c r="G46" s="2130"/>
      <c r="H46" s="2130"/>
      <c r="I46" s="2130"/>
      <c r="J46" s="2130"/>
      <c r="K46" s="1980"/>
      <c r="L46" s="2015"/>
      <c r="M46" s="2005"/>
      <c r="N46" s="2005"/>
      <c r="O46" s="2005"/>
      <c r="P46" s="2005"/>
      <c r="Q46" s="2005"/>
      <c r="R46" s="2005"/>
      <c r="S46" s="2005"/>
      <c r="T46" s="2005"/>
      <c r="U46" s="2005"/>
      <c r="V46" s="2005"/>
      <c r="W46" s="2005"/>
      <c r="X46" s="2005"/>
      <c r="Y46" s="2005"/>
      <c r="Z46" s="2005"/>
    </row>
    <row r="47" spans="1:26" s="2009" customFormat="1" ht="45" x14ac:dyDescent="0.2">
      <c r="A47" s="1635" t="s">
        <v>4983</v>
      </c>
      <c r="B47" s="1984" t="s">
        <v>4448</v>
      </c>
      <c r="C47" s="1984">
        <v>99059</v>
      </c>
      <c r="D47" s="1813" t="s">
        <v>7592</v>
      </c>
      <c r="E47" s="1638">
        <f>QuantPrédio!I29</f>
        <v>201.6</v>
      </c>
      <c r="F47" s="1639" t="s">
        <v>5713</v>
      </c>
      <c r="G47" s="1648">
        <v>38.11</v>
      </c>
      <c r="H47" s="1636">
        <f>ROUND(G47*$B$13,2)</f>
        <v>10.26</v>
      </c>
      <c r="I47" s="1636">
        <f>H47+G47</f>
        <v>48.37</v>
      </c>
      <c r="J47" s="1723">
        <f>ROUND(I47*E47,2)</f>
        <v>9751.39</v>
      </c>
      <c r="K47" s="2007">
        <f>ROUND(G47*E47,2)</f>
        <v>7682.98</v>
      </c>
      <c r="L47" s="2007">
        <f>ROUND(H47*E47,2)</f>
        <v>2068.42</v>
      </c>
      <c r="M47" s="2016"/>
      <c r="N47" s="2016">
        <f>J47</f>
        <v>9751.39</v>
      </c>
      <c r="O47" s="2016"/>
      <c r="P47" s="2016"/>
      <c r="Q47" s="2016"/>
      <c r="R47" s="2016"/>
      <c r="S47" s="2016"/>
      <c r="T47" s="2016"/>
      <c r="U47" s="2016"/>
      <c r="V47" s="2016"/>
      <c r="W47" s="2016"/>
      <c r="X47" s="2016"/>
      <c r="Y47" s="2016"/>
      <c r="Z47" s="2016"/>
    </row>
    <row r="48" spans="1:26" s="2006" customFormat="1" ht="15" x14ac:dyDescent="0.2">
      <c r="A48" s="2133" t="s">
        <v>5682</v>
      </c>
      <c r="B48" s="2133"/>
      <c r="C48" s="2133"/>
      <c r="D48" s="2133"/>
      <c r="E48" s="2133"/>
      <c r="F48" s="2133"/>
      <c r="G48" s="2133"/>
      <c r="H48" s="2133"/>
      <c r="I48" s="2133"/>
      <c r="J48" s="1724">
        <f>SUM(J46:J47)</f>
        <v>9751.39</v>
      </c>
      <c r="K48" s="2010"/>
      <c r="L48" s="2015"/>
      <c r="M48" s="1724">
        <f t="shared" ref="M48:Z48" si="23">SUM(M46:M47)</f>
        <v>0</v>
      </c>
      <c r="N48" s="1724">
        <f t="shared" si="23"/>
        <v>9751.39</v>
      </c>
      <c r="O48" s="1724">
        <f t="shared" si="23"/>
        <v>0</v>
      </c>
      <c r="P48" s="1724">
        <f t="shared" si="23"/>
        <v>0</v>
      </c>
      <c r="Q48" s="1724">
        <f t="shared" si="23"/>
        <v>0</v>
      </c>
      <c r="R48" s="1724">
        <f t="shared" si="23"/>
        <v>0</v>
      </c>
      <c r="S48" s="1724">
        <f t="shared" si="23"/>
        <v>0</v>
      </c>
      <c r="T48" s="1724">
        <f t="shared" si="23"/>
        <v>0</v>
      </c>
      <c r="U48" s="1724">
        <f t="shared" si="23"/>
        <v>0</v>
      </c>
      <c r="V48" s="1724">
        <f t="shared" si="23"/>
        <v>0</v>
      </c>
      <c r="W48" s="1724">
        <f t="shared" si="23"/>
        <v>0</v>
      </c>
      <c r="X48" s="1724">
        <f t="shared" si="23"/>
        <v>0</v>
      </c>
      <c r="Y48" s="1724">
        <f t="shared" si="23"/>
        <v>0</v>
      </c>
      <c r="Z48" s="1724">
        <f t="shared" si="23"/>
        <v>0</v>
      </c>
    </row>
    <row r="49" spans="1:26" s="2006" customFormat="1" ht="15" x14ac:dyDescent="0.2">
      <c r="A49" s="52"/>
      <c r="B49" s="52"/>
      <c r="C49" s="52"/>
      <c r="D49" s="52"/>
      <c r="E49" s="1506"/>
      <c r="F49" s="52"/>
      <c r="G49" s="1649"/>
      <c r="H49" s="51"/>
      <c r="I49" s="51"/>
      <c r="J49" s="1725"/>
      <c r="K49" s="51"/>
      <c r="L49" s="2015"/>
      <c r="M49" s="2005"/>
      <c r="N49" s="2005"/>
      <c r="O49" s="2005"/>
      <c r="P49" s="2005"/>
      <c r="Q49" s="2005"/>
      <c r="R49" s="2005"/>
      <c r="S49" s="2005"/>
      <c r="T49" s="2005"/>
      <c r="U49" s="2005"/>
      <c r="V49" s="2005"/>
      <c r="W49" s="2005"/>
      <c r="X49" s="2005"/>
      <c r="Y49" s="2005"/>
      <c r="Z49" s="2005"/>
    </row>
    <row r="50" spans="1:26" s="2003" customFormat="1" ht="15" x14ac:dyDescent="0.2">
      <c r="A50" s="2132" t="s">
        <v>5686</v>
      </c>
      <c r="B50" s="2132"/>
      <c r="C50" s="2132"/>
      <c r="D50" s="2132"/>
      <c r="E50" s="2132"/>
      <c r="F50" s="2132"/>
      <c r="G50" s="2132"/>
      <c r="H50" s="2132"/>
      <c r="I50" s="2132"/>
      <c r="J50" s="1726">
        <f>J48+J44</f>
        <v>12798.56</v>
      </c>
      <c r="K50" s="2011"/>
      <c r="L50" s="2015"/>
      <c r="M50" s="1726">
        <f>M48+M44</f>
        <v>609.43400000000008</v>
      </c>
      <c r="N50" s="1726">
        <f>N48+N44</f>
        <v>12189.126</v>
      </c>
      <c r="O50" s="1726">
        <f t="shared" ref="O50:Z50" si="24">O48</f>
        <v>0</v>
      </c>
      <c r="P50" s="1726">
        <f t="shared" si="24"/>
        <v>0</v>
      </c>
      <c r="Q50" s="1726">
        <f t="shared" si="24"/>
        <v>0</v>
      </c>
      <c r="R50" s="1726">
        <f t="shared" si="24"/>
        <v>0</v>
      </c>
      <c r="S50" s="1726">
        <f t="shared" si="24"/>
        <v>0</v>
      </c>
      <c r="T50" s="1726">
        <f t="shared" si="24"/>
        <v>0</v>
      </c>
      <c r="U50" s="1726">
        <f t="shared" si="24"/>
        <v>0</v>
      </c>
      <c r="V50" s="1726">
        <f t="shared" si="24"/>
        <v>0</v>
      </c>
      <c r="W50" s="1726">
        <f t="shared" si="24"/>
        <v>0</v>
      </c>
      <c r="X50" s="1726">
        <f t="shared" si="24"/>
        <v>0</v>
      </c>
      <c r="Y50" s="1726">
        <f t="shared" si="24"/>
        <v>0</v>
      </c>
      <c r="Z50" s="1726">
        <f t="shared" si="24"/>
        <v>0</v>
      </c>
    </row>
    <row r="51" spans="1:26" s="2006" customFormat="1" ht="15" x14ac:dyDescent="0.2">
      <c r="A51" s="1635"/>
      <c r="B51" s="1984"/>
      <c r="C51" s="1984"/>
      <c r="D51" s="1813"/>
      <c r="E51" s="1638"/>
      <c r="F51" s="1639"/>
      <c r="G51" s="1650"/>
      <c r="H51" s="19"/>
      <c r="I51" s="19"/>
      <c r="J51" s="1727"/>
      <c r="K51" s="2012"/>
      <c r="L51" s="2015"/>
      <c r="M51" s="2013">
        <f>M50/$J50</f>
        <v>4.76173882061732E-2</v>
      </c>
      <c r="N51" s="2013">
        <f t="shared" ref="N51" si="25">N50/$J50</f>
        <v>0.95238261179382688</v>
      </c>
      <c r="O51" s="2013">
        <f t="shared" ref="O51" si="26">O50/$J50</f>
        <v>0</v>
      </c>
      <c r="P51" s="2013">
        <f t="shared" ref="P51" si="27">P50/$J50</f>
        <v>0</v>
      </c>
      <c r="Q51" s="2013">
        <f t="shared" ref="Q51" si="28">Q50/$J50</f>
        <v>0</v>
      </c>
      <c r="R51" s="2013">
        <f t="shared" ref="R51" si="29">R50/$J50</f>
        <v>0</v>
      </c>
      <c r="S51" s="2013">
        <f t="shared" ref="S51" si="30">S50/$J50</f>
        <v>0</v>
      </c>
      <c r="T51" s="2013">
        <f t="shared" ref="T51" si="31">T50/$J50</f>
        <v>0</v>
      </c>
      <c r="U51" s="2013">
        <f t="shared" ref="U51" si="32">U50/$J50</f>
        <v>0</v>
      </c>
      <c r="V51" s="2013">
        <f t="shared" ref="V51" si="33">V50/$J50</f>
        <v>0</v>
      </c>
      <c r="W51" s="2013">
        <f t="shared" ref="W51" si="34">W50/$J50</f>
        <v>0</v>
      </c>
      <c r="X51" s="2013">
        <f t="shared" ref="X51" si="35">X50/$J50</f>
        <v>0</v>
      </c>
      <c r="Y51" s="2013">
        <f t="shared" ref="Y51" si="36">Y50/$J50</f>
        <v>0</v>
      </c>
      <c r="Z51" s="2013">
        <f t="shared" ref="Z51" si="37">Z50/$J50</f>
        <v>0</v>
      </c>
    </row>
    <row r="52" spans="1:26" s="2003" customFormat="1" ht="15" x14ac:dyDescent="0.2">
      <c r="A52" s="1988" t="s">
        <v>3</v>
      </c>
      <c r="B52" s="2135" t="s">
        <v>4851</v>
      </c>
      <c r="C52" s="2135"/>
      <c r="D52" s="2135"/>
      <c r="E52" s="2135"/>
      <c r="F52" s="2135"/>
      <c r="G52" s="2135"/>
      <c r="H52" s="2135"/>
      <c r="I52" s="2135"/>
      <c r="J52" s="2135"/>
      <c r="K52" s="1981"/>
      <c r="L52" s="2014"/>
      <c r="M52" s="2000"/>
      <c r="N52" s="2000"/>
      <c r="O52" s="2000"/>
      <c r="P52" s="2005"/>
      <c r="Q52" s="2005"/>
      <c r="R52" s="2005"/>
      <c r="S52" s="2005"/>
      <c r="T52" s="2005"/>
      <c r="U52" s="2005"/>
      <c r="V52" s="2005"/>
      <c r="W52" s="2005"/>
      <c r="X52" s="2005"/>
      <c r="Y52" s="2005"/>
      <c r="Z52" s="2005"/>
    </row>
    <row r="53" spans="1:26" s="2006" customFormat="1" ht="15" x14ac:dyDescent="0.2">
      <c r="A53" s="2004" t="s">
        <v>0</v>
      </c>
      <c r="B53" s="2131" t="s">
        <v>4442</v>
      </c>
      <c r="C53" s="2131"/>
      <c r="D53" s="2004" t="s">
        <v>1</v>
      </c>
      <c r="E53" s="1986" t="s">
        <v>131</v>
      </c>
      <c r="F53" s="1987" t="s">
        <v>11</v>
      </c>
      <c r="G53" s="1990" t="s">
        <v>12</v>
      </c>
      <c r="H53" s="1989" t="s">
        <v>5679</v>
      </c>
      <c r="I53" s="1989" t="s">
        <v>5680</v>
      </c>
      <c r="J53" s="1990" t="s">
        <v>130</v>
      </c>
      <c r="K53" s="1989"/>
      <c r="L53" s="2014"/>
      <c r="M53" s="2000"/>
      <c r="N53" s="2000"/>
      <c r="O53" s="2000"/>
      <c r="P53" s="2005"/>
      <c r="Q53" s="2005"/>
      <c r="R53" s="2005"/>
      <c r="S53" s="2005"/>
      <c r="T53" s="2005"/>
      <c r="U53" s="2005"/>
      <c r="V53" s="2005"/>
      <c r="W53" s="2005"/>
      <c r="X53" s="2005"/>
      <c r="Y53" s="2005"/>
      <c r="Z53" s="2005"/>
    </row>
    <row r="54" spans="1:26" s="2006" customFormat="1" ht="15" x14ac:dyDescent="0.2">
      <c r="A54" s="1513" t="s">
        <v>4986</v>
      </c>
      <c r="B54" s="2130" t="s">
        <v>4988</v>
      </c>
      <c r="C54" s="2130"/>
      <c r="D54" s="2130"/>
      <c r="E54" s="2130"/>
      <c r="F54" s="2130"/>
      <c r="G54" s="2130"/>
      <c r="H54" s="2130"/>
      <c r="I54" s="2130"/>
      <c r="J54" s="2130"/>
      <c r="K54" s="1980"/>
      <c r="L54" s="2015"/>
      <c r="M54" s="2005"/>
      <c r="N54" s="2005"/>
      <c r="O54" s="2005"/>
      <c r="P54" s="2005"/>
      <c r="Q54" s="2005"/>
      <c r="R54" s="2005"/>
      <c r="S54" s="2005"/>
      <c r="T54" s="2005"/>
      <c r="U54" s="2005"/>
      <c r="V54" s="2005"/>
      <c r="W54" s="2005"/>
      <c r="X54" s="2005"/>
      <c r="Y54" s="2005"/>
      <c r="Z54" s="2005"/>
    </row>
    <row r="55" spans="1:26" s="2006" customFormat="1" ht="15" x14ac:dyDescent="0.2">
      <c r="A55" s="1634" t="s">
        <v>4987</v>
      </c>
      <c r="B55" s="2136" t="s">
        <v>7237</v>
      </c>
      <c r="C55" s="2136"/>
      <c r="D55" s="2136"/>
      <c r="E55" s="2136"/>
      <c r="F55" s="2136"/>
      <c r="G55" s="2136"/>
      <c r="H55" s="2136"/>
      <c r="I55" s="2136"/>
      <c r="J55" s="2136"/>
      <c r="K55" s="1983"/>
      <c r="L55" s="2015"/>
      <c r="M55" s="2005"/>
      <c r="N55" s="2005"/>
      <c r="O55" s="2005"/>
      <c r="P55" s="2005"/>
      <c r="Q55" s="2005"/>
      <c r="R55" s="2005"/>
      <c r="S55" s="2005"/>
      <c r="T55" s="2005"/>
      <c r="U55" s="2005"/>
      <c r="V55" s="2005"/>
      <c r="W55" s="2005"/>
      <c r="X55" s="2005"/>
      <c r="Y55" s="2005"/>
      <c r="Z55" s="2005"/>
    </row>
    <row r="56" spans="1:26" s="2009" customFormat="1" ht="45" x14ac:dyDescent="0.2">
      <c r="A56" s="1635" t="s">
        <v>7330</v>
      </c>
      <c r="B56" s="1984" t="s">
        <v>4448</v>
      </c>
      <c r="C56" s="1984">
        <v>96521</v>
      </c>
      <c r="D56" s="1813" t="s">
        <v>7302</v>
      </c>
      <c r="E56" s="1638">
        <f>QuantPrédio!K37</f>
        <v>60</v>
      </c>
      <c r="F56" s="1639" t="s">
        <v>5685</v>
      </c>
      <c r="G56" s="1648">
        <v>27.65</v>
      </c>
      <c r="H56" s="1636">
        <f>ROUND(G56*$B$13,2)</f>
        <v>7.45</v>
      </c>
      <c r="I56" s="1636">
        <f>H56+G56</f>
        <v>35.1</v>
      </c>
      <c r="J56" s="1723">
        <f>ROUND(I56*E56,2)</f>
        <v>2106</v>
      </c>
      <c r="K56" s="2007">
        <f>ROUND(G56*E56,2)</f>
        <v>1659</v>
      </c>
      <c r="L56" s="2007">
        <f>ROUND(H56*E56,2)</f>
        <v>447</v>
      </c>
      <c r="M56" s="2016"/>
      <c r="N56" s="2016">
        <f>0.4*J56</f>
        <v>842.40000000000009</v>
      </c>
      <c r="O56" s="2016">
        <f>0.6*J56</f>
        <v>1263.5999999999999</v>
      </c>
      <c r="P56" s="2016"/>
      <c r="Q56" s="2016"/>
      <c r="R56" s="2016"/>
      <c r="S56" s="2016"/>
      <c r="T56" s="2016"/>
      <c r="U56" s="2016"/>
      <c r="V56" s="2016"/>
      <c r="W56" s="2016"/>
      <c r="X56" s="2016"/>
      <c r="Y56" s="2016"/>
      <c r="Z56" s="2016"/>
    </row>
    <row r="57" spans="1:26" s="2009" customFormat="1" ht="45" x14ac:dyDescent="0.2">
      <c r="A57" s="1635" t="s">
        <v>7331</v>
      </c>
      <c r="B57" s="1984" t="s">
        <v>4448</v>
      </c>
      <c r="C57" s="1984">
        <v>96525</v>
      </c>
      <c r="D57" s="1813" t="s">
        <v>7329</v>
      </c>
      <c r="E57" s="1638">
        <f>112.87</f>
        <v>112.87</v>
      </c>
      <c r="F57" s="1639" t="s">
        <v>5685</v>
      </c>
      <c r="G57" s="1648">
        <v>25.68</v>
      </c>
      <c r="H57" s="1636">
        <f>ROUND(G57*$B$13,2)</f>
        <v>6.92</v>
      </c>
      <c r="I57" s="1636">
        <f>H57+G57</f>
        <v>32.6</v>
      </c>
      <c r="J57" s="1723">
        <f>ROUND(I57*E57,2)</f>
        <v>3679.56</v>
      </c>
      <c r="K57" s="2007">
        <f>ROUND(G57*E57,2)</f>
        <v>2898.5</v>
      </c>
      <c r="L57" s="2007">
        <f>ROUND(H57*E57,2)</f>
        <v>781.06</v>
      </c>
      <c r="M57" s="2016"/>
      <c r="N57" s="2016">
        <f>0.4*J57</f>
        <v>1471.8240000000001</v>
      </c>
      <c r="O57" s="2016">
        <f>0.6*J57</f>
        <v>2207.7359999999999</v>
      </c>
      <c r="P57" s="2016"/>
      <c r="Q57" s="2016"/>
      <c r="R57" s="2016"/>
      <c r="S57" s="2016"/>
      <c r="T57" s="2016"/>
      <c r="U57" s="2016"/>
      <c r="V57" s="2016"/>
      <c r="W57" s="2016"/>
      <c r="X57" s="2016"/>
      <c r="Y57" s="2016"/>
      <c r="Z57" s="2016"/>
    </row>
    <row r="58" spans="1:26" s="2006" customFormat="1" ht="15" x14ac:dyDescent="0.2">
      <c r="A58" s="1634" t="s">
        <v>7288</v>
      </c>
      <c r="B58" s="2136" t="s">
        <v>7289</v>
      </c>
      <c r="C58" s="2136"/>
      <c r="D58" s="2136"/>
      <c r="E58" s="2136"/>
      <c r="F58" s="2136"/>
      <c r="G58" s="2136"/>
      <c r="H58" s="2136"/>
      <c r="I58" s="2136"/>
      <c r="J58" s="2136"/>
      <c r="K58" s="1983"/>
      <c r="L58" s="2015"/>
      <c r="M58" s="2005"/>
      <c r="N58" s="2005"/>
      <c r="O58" s="2005"/>
      <c r="P58" s="2005"/>
      <c r="Q58" s="2005"/>
      <c r="R58" s="2005"/>
      <c r="S58" s="2005"/>
      <c r="T58" s="2005"/>
      <c r="U58" s="2005"/>
      <c r="V58" s="2005"/>
      <c r="W58" s="2005"/>
      <c r="X58" s="2005"/>
      <c r="Y58" s="2005"/>
      <c r="Z58" s="2005"/>
    </row>
    <row r="59" spans="1:26" s="2009" customFormat="1" ht="45" x14ac:dyDescent="0.2">
      <c r="A59" s="1635" t="s">
        <v>7290</v>
      </c>
      <c r="B59" s="1984" t="s">
        <v>4448</v>
      </c>
      <c r="C59" s="1984" t="s">
        <v>15161</v>
      </c>
      <c r="D59" s="1813" t="s">
        <v>15156</v>
      </c>
      <c r="E59" s="1638">
        <f>68*8</f>
        <v>544</v>
      </c>
      <c r="F59" s="1639" t="s">
        <v>5713</v>
      </c>
      <c r="G59" s="1648">
        <v>80.3</v>
      </c>
      <c r="H59" s="1636">
        <f>ROUND(G59*$B$13,2)</f>
        <v>21.62</v>
      </c>
      <c r="I59" s="1636">
        <f>H59+G59</f>
        <v>101.92</v>
      </c>
      <c r="J59" s="1723">
        <f>ROUND(I59*E59,2)</f>
        <v>55444.480000000003</v>
      </c>
      <c r="K59" s="2007">
        <f>ROUND(G59*E59,2)</f>
        <v>43683.199999999997</v>
      </c>
      <c r="L59" s="2007">
        <f>ROUND(H59*E59,2)</f>
        <v>11761.28</v>
      </c>
      <c r="M59" s="2016"/>
      <c r="N59" s="2016">
        <f>0.4*J59</f>
        <v>22177.792000000001</v>
      </c>
      <c r="O59" s="2016">
        <f>0.6*J59</f>
        <v>33266.688000000002</v>
      </c>
      <c r="P59" s="2016"/>
      <c r="Q59" s="2016"/>
      <c r="R59" s="2016"/>
      <c r="S59" s="2016"/>
      <c r="T59" s="2016"/>
      <c r="U59" s="2016"/>
      <c r="V59" s="2016"/>
      <c r="W59" s="2016"/>
      <c r="X59" s="2016"/>
      <c r="Y59" s="2016"/>
      <c r="Z59" s="2016"/>
    </row>
    <row r="60" spans="1:26" s="2009" customFormat="1" ht="30" x14ac:dyDescent="0.2">
      <c r="A60" s="1635" t="s">
        <v>7292</v>
      </c>
      <c r="B60" s="1984" t="s">
        <v>4448</v>
      </c>
      <c r="C60" s="1984">
        <v>95577</v>
      </c>
      <c r="D60" s="1813" t="s">
        <v>7291</v>
      </c>
      <c r="E60" s="1638">
        <v>2355</v>
      </c>
      <c r="F60" s="1639" t="s">
        <v>5688</v>
      </c>
      <c r="G60" s="1648">
        <v>8.11</v>
      </c>
      <c r="H60" s="1636">
        <f>ROUND(G60*$B$13,2)</f>
        <v>2.1800000000000002</v>
      </c>
      <c r="I60" s="1636">
        <f>H60+G60</f>
        <v>10.29</v>
      </c>
      <c r="J60" s="1723">
        <f>ROUND(I60*E60,2)</f>
        <v>24232.95</v>
      </c>
      <c r="K60" s="2007">
        <f>ROUND(G60*E60,2)</f>
        <v>19099.05</v>
      </c>
      <c r="L60" s="2007">
        <f>ROUND(H60*E60,2)</f>
        <v>5133.8999999999996</v>
      </c>
      <c r="M60" s="2016"/>
      <c r="N60" s="2016">
        <f>0.4*J60</f>
        <v>9693.18</v>
      </c>
      <c r="O60" s="2016">
        <f>0.6*J60</f>
        <v>14539.77</v>
      </c>
      <c r="P60" s="2016"/>
      <c r="Q60" s="2016"/>
      <c r="R60" s="2016"/>
      <c r="S60" s="2016"/>
      <c r="T60" s="2016"/>
      <c r="U60" s="2016"/>
      <c r="V60" s="2016"/>
      <c r="W60" s="2016"/>
      <c r="X60" s="2016"/>
      <c r="Y60" s="2016"/>
      <c r="Z60" s="2016"/>
    </row>
    <row r="61" spans="1:26" s="2009" customFormat="1" ht="30" x14ac:dyDescent="0.2">
      <c r="A61" s="1635" t="s">
        <v>7293</v>
      </c>
      <c r="B61" s="1984" t="s">
        <v>4448</v>
      </c>
      <c r="C61" s="1984">
        <v>95584</v>
      </c>
      <c r="D61" s="1813" t="s">
        <v>7407</v>
      </c>
      <c r="E61" s="1638">
        <v>768</v>
      </c>
      <c r="F61" s="1639" t="s">
        <v>5688</v>
      </c>
      <c r="G61" s="1648">
        <v>10.220000000000001</v>
      </c>
      <c r="H61" s="1636">
        <f>ROUND(G61*$B$13,2)</f>
        <v>2.75</v>
      </c>
      <c r="I61" s="1636">
        <f>H61+G61</f>
        <v>12.97</v>
      </c>
      <c r="J61" s="1723">
        <f>ROUND(I61*E61,2)</f>
        <v>9960.9599999999991</v>
      </c>
      <c r="K61" s="2007">
        <f>ROUND(G61*E61,2)</f>
        <v>7848.96</v>
      </c>
      <c r="L61" s="2007">
        <f>ROUND(H61*E61,2)</f>
        <v>2112</v>
      </c>
      <c r="M61" s="2016"/>
      <c r="N61" s="2016">
        <f>0.4*J61</f>
        <v>3984.384</v>
      </c>
      <c r="O61" s="2016">
        <f>0.6*J61</f>
        <v>5976.5759999999991</v>
      </c>
      <c r="P61" s="2016"/>
      <c r="Q61" s="2016"/>
      <c r="R61" s="2016"/>
      <c r="S61" s="2016"/>
      <c r="T61" s="2016"/>
      <c r="U61" s="2016"/>
      <c r="V61" s="2016"/>
      <c r="W61" s="2016"/>
      <c r="X61" s="2016"/>
      <c r="Y61" s="2016"/>
      <c r="Z61" s="2016"/>
    </row>
    <row r="62" spans="1:26" s="2009" customFormat="1" ht="30" x14ac:dyDescent="0.2">
      <c r="A62" s="1635" t="s">
        <v>7295</v>
      </c>
      <c r="B62" s="1984" t="s">
        <v>4448</v>
      </c>
      <c r="C62" s="1984">
        <v>95601</v>
      </c>
      <c r="D62" s="1813" t="s">
        <v>14960</v>
      </c>
      <c r="E62" s="1638">
        <v>68</v>
      </c>
      <c r="F62" s="1639" t="s">
        <v>5284</v>
      </c>
      <c r="G62" s="1648">
        <v>15.82</v>
      </c>
      <c r="H62" s="1636">
        <f>ROUND(G62*$B$13,2)</f>
        <v>4.26</v>
      </c>
      <c r="I62" s="1636">
        <f>H62+G62</f>
        <v>20.079999999999998</v>
      </c>
      <c r="J62" s="1723">
        <f>ROUND(I62*E62,2)</f>
        <v>1365.44</v>
      </c>
      <c r="K62" s="2007">
        <f>ROUND(G62*E62,2)</f>
        <v>1075.76</v>
      </c>
      <c r="L62" s="2007">
        <f>ROUND(H62*E62,2)</f>
        <v>289.68</v>
      </c>
      <c r="M62" s="2016"/>
      <c r="N62" s="2016">
        <f>0.4*J62</f>
        <v>546.17600000000004</v>
      </c>
      <c r="O62" s="2016">
        <f>0.6*J62</f>
        <v>819.26400000000001</v>
      </c>
      <c r="P62" s="2016"/>
      <c r="Q62" s="2016"/>
      <c r="R62" s="2016"/>
      <c r="S62" s="2016"/>
      <c r="T62" s="2016"/>
      <c r="U62" s="2016"/>
      <c r="V62" s="2016"/>
      <c r="W62" s="2016"/>
      <c r="X62" s="2016"/>
      <c r="Y62" s="2016"/>
      <c r="Z62" s="2016"/>
    </row>
    <row r="63" spans="1:26" s="2006" customFormat="1" ht="15" x14ac:dyDescent="0.2">
      <c r="A63" s="1634" t="s">
        <v>7296</v>
      </c>
      <c r="B63" s="2136" t="s">
        <v>7297</v>
      </c>
      <c r="C63" s="2136"/>
      <c r="D63" s="2136"/>
      <c r="E63" s="2136"/>
      <c r="F63" s="2136"/>
      <c r="G63" s="2136"/>
      <c r="H63" s="2136"/>
      <c r="I63" s="2136"/>
      <c r="J63" s="2136"/>
      <c r="K63" s="1983"/>
      <c r="L63" s="2015"/>
      <c r="M63" s="2005"/>
      <c r="N63" s="2005"/>
      <c r="O63" s="2005"/>
      <c r="P63" s="2005"/>
      <c r="Q63" s="2005"/>
      <c r="R63" s="2005"/>
      <c r="S63" s="2005"/>
      <c r="T63" s="2005"/>
      <c r="U63" s="2005"/>
      <c r="V63" s="2005"/>
      <c r="W63" s="2005"/>
      <c r="X63" s="2005"/>
      <c r="Y63" s="2005"/>
      <c r="Z63" s="2005"/>
    </row>
    <row r="64" spans="1:26" s="2009" customFormat="1" ht="45" x14ac:dyDescent="0.2">
      <c r="A64" s="1635" t="s">
        <v>7298</v>
      </c>
      <c r="B64" s="1984" t="s">
        <v>4448</v>
      </c>
      <c r="C64" s="1984">
        <v>96619</v>
      </c>
      <c r="D64" s="1813" t="s">
        <v>7301</v>
      </c>
      <c r="E64" s="1638">
        <f>QuantPrédio!J45</f>
        <v>60</v>
      </c>
      <c r="F64" s="1639" t="s">
        <v>5286</v>
      </c>
      <c r="G64" s="1648">
        <v>22.58</v>
      </c>
      <c r="H64" s="1636">
        <f t="shared" ref="H64:H69" si="38">ROUND(G64*$B$13,2)</f>
        <v>6.08</v>
      </c>
      <c r="I64" s="1636">
        <f t="shared" ref="I64:I69" si="39">H64+G64</f>
        <v>28.659999999999997</v>
      </c>
      <c r="J64" s="1723">
        <f t="shared" ref="J64:J69" si="40">ROUND(I64*E64,2)</f>
        <v>1719.6</v>
      </c>
      <c r="K64" s="2007">
        <f t="shared" ref="K64:K69" si="41">ROUND(G64*E64,2)</f>
        <v>1354.8</v>
      </c>
      <c r="L64" s="2007">
        <f t="shared" ref="L64:L69" si="42">ROUND(H64*E64,2)</f>
        <v>364.8</v>
      </c>
      <c r="M64" s="2016"/>
      <c r="N64" s="2016"/>
      <c r="O64" s="2016">
        <f t="shared" ref="O64:O69" si="43">0.4*J64</f>
        <v>687.84</v>
      </c>
      <c r="P64" s="2016">
        <f t="shared" ref="P64:P69" si="44">0.6*J64</f>
        <v>1031.76</v>
      </c>
      <c r="Q64" s="2016"/>
      <c r="R64" s="2016"/>
      <c r="S64" s="2016"/>
      <c r="T64" s="2016"/>
      <c r="U64" s="2016"/>
      <c r="V64" s="2016"/>
      <c r="W64" s="2016"/>
      <c r="X64" s="2016"/>
      <c r="Y64" s="2016"/>
      <c r="Z64" s="2016"/>
    </row>
    <row r="65" spans="1:26" s="2009" customFormat="1" ht="60" x14ac:dyDescent="0.2">
      <c r="A65" s="1635" t="s">
        <v>7299</v>
      </c>
      <c r="B65" s="1984" t="s">
        <v>4448</v>
      </c>
      <c r="C65" s="1984">
        <v>96540</v>
      </c>
      <c r="D65" s="1813" t="s">
        <v>7303</v>
      </c>
      <c r="E65" s="1638">
        <f>QuantPrédio!J53</f>
        <v>168</v>
      </c>
      <c r="F65" s="1639" t="s">
        <v>5286</v>
      </c>
      <c r="G65" s="1648">
        <v>87.67</v>
      </c>
      <c r="H65" s="1636">
        <f t="shared" si="38"/>
        <v>23.61</v>
      </c>
      <c r="I65" s="1636">
        <f t="shared" si="39"/>
        <v>111.28</v>
      </c>
      <c r="J65" s="1723">
        <f t="shared" si="40"/>
        <v>18695.04</v>
      </c>
      <c r="K65" s="2007">
        <f t="shared" si="41"/>
        <v>14728.56</v>
      </c>
      <c r="L65" s="2007">
        <f t="shared" si="42"/>
        <v>3966.48</v>
      </c>
      <c r="M65" s="2016"/>
      <c r="N65" s="2016"/>
      <c r="O65" s="2016">
        <f t="shared" si="43"/>
        <v>7478.0160000000005</v>
      </c>
      <c r="P65" s="2016">
        <f t="shared" si="44"/>
        <v>11217.023999999999</v>
      </c>
      <c r="Q65" s="2016"/>
      <c r="R65" s="2016"/>
      <c r="S65" s="2016"/>
      <c r="T65" s="2016"/>
      <c r="U65" s="2016"/>
      <c r="V65" s="2016"/>
      <c r="W65" s="2016"/>
      <c r="X65" s="2016"/>
      <c r="Y65" s="2016"/>
      <c r="Z65" s="2016"/>
    </row>
    <row r="66" spans="1:26" s="2009" customFormat="1" ht="30" x14ac:dyDescent="0.2">
      <c r="A66" s="1635" t="s">
        <v>7304</v>
      </c>
      <c r="B66" s="1984" t="s">
        <v>4448</v>
      </c>
      <c r="C66" s="1984">
        <v>96545</v>
      </c>
      <c r="D66" s="1813" t="s">
        <v>7307</v>
      </c>
      <c r="E66" s="1638">
        <f>406.19/1.1</f>
        <v>369.26363636363635</v>
      </c>
      <c r="F66" s="1639" t="s">
        <v>5688</v>
      </c>
      <c r="G66" s="1648">
        <v>10.210000000000001</v>
      </c>
      <c r="H66" s="1636">
        <f t="shared" si="38"/>
        <v>2.75</v>
      </c>
      <c r="I66" s="1636">
        <f t="shared" si="39"/>
        <v>12.96</v>
      </c>
      <c r="J66" s="1723">
        <f t="shared" si="40"/>
        <v>4785.66</v>
      </c>
      <c r="K66" s="2007">
        <f t="shared" si="41"/>
        <v>3770.18</v>
      </c>
      <c r="L66" s="2007">
        <f t="shared" si="42"/>
        <v>1015.48</v>
      </c>
      <c r="M66" s="2016"/>
      <c r="N66" s="2016"/>
      <c r="O66" s="2016">
        <f t="shared" si="43"/>
        <v>1914.2640000000001</v>
      </c>
      <c r="P66" s="2016">
        <f t="shared" si="44"/>
        <v>2871.3959999999997</v>
      </c>
      <c r="Q66" s="2016"/>
      <c r="R66" s="2016"/>
      <c r="S66" s="2016"/>
      <c r="T66" s="2016"/>
      <c r="U66" s="2016"/>
      <c r="V66" s="2016"/>
      <c r="W66" s="2016"/>
      <c r="X66" s="2016"/>
      <c r="Y66" s="2016"/>
      <c r="Z66" s="2016"/>
    </row>
    <row r="67" spans="1:26" s="2009" customFormat="1" ht="30" x14ac:dyDescent="0.2">
      <c r="A67" s="1635" t="s">
        <v>7305</v>
      </c>
      <c r="B67" s="1984" t="s">
        <v>4448</v>
      </c>
      <c r="C67" s="1984">
        <v>96546</v>
      </c>
      <c r="D67" s="1813" t="s">
        <v>7308</v>
      </c>
      <c r="E67" s="1638">
        <f>1806.19/1.1</f>
        <v>1641.9909090909091</v>
      </c>
      <c r="F67" s="1639" t="s">
        <v>5688</v>
      </c>
      <c r="G67" s="1648">
        <v>8.94</v>
      </c>
      <c r="H67" s="1636">
        <f t="shared" si="38"/>
        <v>2.41</v>
      </c>
      <c r="I67" s="1636">
        <f t="shared" si="39"/>
        <v>11.35</v>
      </c>
      <c r="J67" s="1723">
        <f t="shared" si="40"/>
        <v>18636.599999999999</v>
      </c>
      <c r="K67" s="2007">
        <f t="shared" si="41"/>
        <v>14679.4</v>
      </c>
      <c r="L67" s="2007">
        <f t="shared" si="42"/>
        <v>3957.2</v>
      </c>
      <c r="M67" s="2016"/>
      <c r="N67" s="2016"/>
      <c r="O67" s="2016">
        <f t="shared" si="43"/>
        <v>7454.6399999999994</v>
      </c>
      <c r="P67" s="2016">
        <f t="shared" si="44"/>
        <v>11181.96</v>
      </c>
      <c r="Q67" s="2016"/>
      <c r="R67" s="2016"/>
      <c r="S67" s="2016"/>
      <c r="T67" s="2016"/>
      <c r="U67" s="2016"/>
      <c r="V67" s="2016"/>
      <c r="W67" s="2016"/>
      <c r="X67" s="2016"/>
      <c r="Y67" s="2016"/>
      <c r="Z67" s="2016"/>
    </row>
    <row r="68" spans="1:26" s="2009" customFormat="1" ht="30" x14ac:dyDescent="0.2">
      <c r="A68" s="1635" t="s">
        <v>7306</v>
      </c>
      <c r="B68" s="1984" t="s">
        <v>4448</v>
      </c>
      <c r="C68" s="1984">
        <v>96548</v>
      </c>
      <c r="D68" s="1813" t="s">
        <v>7309</v>
      </c>
      <c r="E68" s="1638">
        <f>1453.1/1.1</f>
        <v>1320.9999999999998</v>
      </c>
      <c r="F68" s="1639" t="s">
        <v>5688</v>
      </c>
      <c r="G68" s="1648">
        <v>6.9</v>
      </c>
      <c r="H68" s="1636">
        <f t="shared" si="38"/>
        <v>1.86</v>
      </c>
      <c r="I68" s="1636">
        <f t="shared" si="39"/>
        <v>8.76</v>
      </c>
      <c r="J68" s="1723">
        <f t="shared" si="40"/>
        <v>11571.96</v>
      </c>
      <c r="K68" s="2007">
        <f t="shared" si="41"/>
        <v>9114.9</v>
      </c>
      <c r="L68" s="2007">
        <f t="shared" si="42"/>
        <v>2457.06</v>
      </c>
      <c r="M68" s="2016"/>
      <c r="N68" s="2016"/>
      <c r="O68" s="2016">
        <f t="shared" si="43"/>
        <v>4628.7839999999997</v>
      </c>
      <c r="P68" s="2016">
        <f t="shared" si="44"/>
        <v>6943.1759999999995</v>
      </c>
      <c r="Q68" s="2016"/>
      <c r="R68" s="2016"/>
      <c r="S68" s="2016"/>
      <c r="T68" s="2016"/>
      <c r="U68" s="2016"/>
      <c r="V68" s="2016"/>
      <c r="W68" s="2016"/>
      <c r="X68" s="2016"/>
      <c r="Y68" s="2016"/>
      <c r="Z68" s="2016"/>
    </row>
    <row r="69" spans="1:26" s="2009" customFormat="1" ht="60" x14ac:dyDescent="0.2">
      <c r="A69" s="1635" t="s">
        <v>7300</v>
      </c>
      <c r="B69" s="1984" t="s">
        <v>4448</v>
      </c>
      <c r="C69" s="1984" t="s">
        <v>7311</v>
      </c>
      <c r="D69" s="1813" t="s">
        <v>7310</v>
      </c>
      <c r="E69" s="1638">
        <f>E56</f>
        <v>60</v>
      </c>
      <c r="F69" s="1639" t="s">
        <v>5685</v>
      </c>
      <c r="G69" s="1648">
        <v>354.89</v>
      </c>
      <c r="H69" s="1636">
        <f t="shared" si="38"/>
        <v>95.57</v>
      </c>
      <c r="I69" s="1636">
        <f t="shared" si="39"/>
        <v>450.46</v>
      </c>
      <c r="J69" s="1723">
        <f t="shared" si="40"/>
        <v>27027.599999999999</v>
      </c>
      <c r="K69" s="2007">
        <f t="shared" si="41"/>
        <v>21293.4</v>
      </c>
      <c r="L69" s="2007">
        <f t="shared" si="42"/>
        <v>5734.2</v>
      </c>
      <c r="M69" s="2016"/>
      <c r="N69" s="2016"/>
      <c r="O69" s="2016">
        <f t="shared" si="43"/>
        <v>10811.04</v>
      </c>
      <c r="P69" s="2016">
        <f t="shared" si="44"/>
        <v>16216.559999999998</v>
      </c>
      <c r="Q69" s="2016"/>
      <c r="R69" s="2016"/>
      <c r="S69" s="2016"/>
      <c r="T69" s="2016"/>
      <c r="U69" s="2016"/>
      <c r="V69" s="2016"/>
      <c r="W69" s="2016"/>
      <c r="X69" s="2016"/>
      <c r="Y69" s="2016"/>
      <c r="Z69" s="2016"/>
    </row>
    <row r="70" spans="1:26" s="2009" customFormat="1" ht="15" x14ac:dyDescent="0.2">
      <c r="A70" s="1634" t="s">
        <v>7312</v>
      </c>
      <c r="B70" s="2136" t="s">
        <v>7313</v>
      </c>
      <c r="C70" s="2136"/>
      <c r="D70" s="2136"/>
      <c r="E70" s="2136"/>
      <c r="F70" s="2136"/>
      <c r="G70" s="2136"/>
      <c r="H70" s="2136"/>
      <c r="I70" s="2136"/>
      <c r="J70" s="2136"/>
      <c r="K70" s="1983"/>
      <c r="L70" s="2018"/>
      <c r="M70" s="2016"/>
      <c r="N70" s="2016"/>
      <c r="O70" s="2016"/>
      <c r="P70" s="2016"/>
      <c r="Q70" s="2016"/>
      <c r="R70" s="2016"/>
      <c r="S70" s="2016"/>
      <c r="T70" s="2016"/>
      <c r="U70" s="2016"/>
      <c r="V70" s="2016"/>
      <c r="W70" s="2016"/>
      <c r="X70" s="2016"/>
      <c r="Y70" s="2016"/>
      <c r="Z70" s="2016"/>
    </row>
    <row r="71" spans="1:26" s="2009" customFormat="1" ht="60" x14ac:dyDescent="0.2">
      <c r="A71" s="1635" t="s">
        <v>7315</v>
      </c>
      <c r="B71" s="1984" t="s">
        <v>4448</v>
      </c>
      <c r="C71" s="1984">
        <v>96542</v>
      </c>
      <c r="D71" s="1813" t="s">
        <v>7314</v>
      </c>
      <c r="E71" s="1638">
        <f>162.08+1020.78</f>
        <v>1182.8599999999999</v>
      </c>
      <c r="F71" s="1639" t="s">
        <v>5286</v>
      </c>
      <c r="G71" s="1648">
        <v>62.52</v>
      </c>
      <c r="H71" s="1636">
        <f t="shared" ref="H71:H80" si="45">ROUND(G71*$B$13,2)</f>
        <v>16.84</v>
      </c>
      <c r="I71" s="1636">
        <f t="shared" ref="I71:I80" si="46">H71+G71</f>
        <v>79.36</v>
      </c>
      <c r="J71" s="1723">
        <f t="shared" ref="J71:J80" si="47">ROUND(I71*E71,2)</f>
        <v>93871.77</v>
      </c>
      <c r="K71" s="2007">
        <f t="shared" ref="K71:K80" si="48">ROUND(G71*E71,2)</f>
        <v>73952.41</v>
      </c>
      <c r="L71" s="2007">
        <f t="shared" ref="L71:L80" si="49">ROUND(H71*E71,2)</f>
        <v>19919.36</v>
      </c>
      <c r="M71" s="2016"/>
      <c r="N71" s="2016"/>
      <c r="O71" s="2016">
        <f t="shared" ref="O71:O80" si="50">0.4*J71</f>
        <v>37548.708000000006</v>
      </c>
      <c r="P71" s="2016">
        <f t="shared" ref="P71:P80" si="51">0.6*J71</f>
        <v>56323.061999999998</v>
      </c>
      <c r="Q71" s="2016"/>
      <c r="R71" s="2016"/>
      <c r="S71" s="2016"/>
      <c r="T71" s="2016"/>
      <c r="U71" s="2016"/>
      <c r="V71" s="2016"/>
      <c r="W71" s="2016"/>
      <c r="X71" s="2016"/>
      <c r="Y71" s="2016"/>
      <c r="Z71" s="2016"/>
    </row>
    <row r="72" spans="1:26" s="2009" customFormat="1" ht="30" x14ac:dyDescent="0.2">
      <c r="A72" s="1635" t="s">
        <v>7320</v>
      </c>
      <c r="B72" s="1984" t="s">
        <v>4448</v>
      </c>
      <c r="C72" s="1984" t="s">
        <v>7827</v>
      </c>
      <c r="D72" s="1813" t="s">
        <v>7826</v>
      </c>
      <c r="E72" s="1638">
        <f>60.16/1.1</f>
        <v>54.690909090909081</v>
      </c>
      <c r="F72" s="1639" t="s">
        <v>5688</v>
      </c>
      <c r="G72" s="1648">
        <v>13.059999999999999</v>
      </c>
      <c r="H72" s="1636">
        <f t="shared" si="45"/>
        <v>3.52</v>
      </c>
      <c r="I72" s="1636">
        <f t="shared" si="46"/>
        <v>16.579999999999998</v>
      </c>
      <c r="J72" s="1723">
        <f t="shared" si="47"/>
        <v>906.78</v>
      </c>
      <c r="K72" s="2007">
        <f t="shared" si="48"/>
        <v>714.26</v>
      </c>
      <c r="L72" s="2007">
        <f t="shared" si="49"/>
        <v>192.51</v>
      </c>
      <c r="M72" s="2016"/>
      <c r="N72" s="2016"/>
      <c r="O72" s="2016">
        <f t="shared" si="50"/>
        <v>362.71199999999999</v>
      </c>
      <c r="P72" s="2016">
        <f t="shared" si="51"/>
        <v>544.06799999999998</v>
      </c>
      <c r="Q72" s="2016"/>
      <c r="R72" s="2016"/>
      <c r="S72" s="2016"/>
      <c r="T72" s="2016"/>
      <c r="U72" s="2016"/>
      <c r="V72" s="2016"/>
      <c r="W72" s="2016"/>
      <c r="X72" s="2016"/>
      <c r="Y72" s="2016"/>
      <c r="Z72" s="2016"/>
    </row>
    <row r="73" spans="1:26" s="2009" customFormat="1" ht="30" x14ac:dyDescent="0.2">
      <c r="A73" s="1635" t="s">
        <v>7321</v>
      </c>
      <c r="B73" s="1984" t="s">
        <v>4448</v>
      </c>
      <c r="C73" s="1984">
        <v>96543</v>
      </c>
      <c r="D73" s="1813" t="s">
        <v>7319</v>
      </c>
      <c r="E73" s="1638">
        <f>(158.4+163.8+206.6+122.8+87.8+703.46)/1.1</f>
        <v>1311.6909090909091</v>
      </c>
      <c r="F73" s="1639" t="s">
        <v>5688</v>
      </c>
      <c r="G73" s="1648">
        <v>12.69</v>
      </c>
      <c r="H73" s="1636">
        <f t="shared" si="45"/>
        <v>3.42</v>
      </c>
      <c r="I73" s="1636">
        <f t="shared" si="46"/>
        <v>16.11</v>
      </c>
      <c r="J73" s="1723">
        <f t="shared" si="47"/>
        <v>21131.34</v>
      </c>
      <c r="K73" s="2007">
        <f t="shared" si="48"/>
        <v>16645.36</v>
      </c>
      <c r="L73" s="2007">
        <f t="shared" si="49"/>
        <v>4485.9799999999996</v>
      </c>
      <c r="M73" s="2016"/>
      <c r="N73" s="2016"/>
      <c r="O73" s="2016">
        <f t="shared" si="50"/>
        <v>8452.5360000000001</v>
      </c>
      <c r="P73" s="2016">
        <f t="shared" si="51"/>
        <v>12678.804</v>
      </c>
      <c r="Q73" s="2016"/>
      <c r="R73" s="2016"/>
      <c r="S73" s="2016"/>
      <c r="T73" s="2016"/>
      <c r="U73" s="2016"/>
      <c r="V73" s="2016"/>
      <c r="W73" s="2016"/>
      <c r="X73" s="2016"/>
      <c r="Y73" s="2016"/>
      <c r="Z73" s="2016"/>
    </row>
    <row r="74" spans="1:26" s="2009" customFormat="1" ht="30" x14ac:dyDescent="0.2">
      <c r="A74" s="1635" t="s">
        <v>7322</v>
      </c>
      <c r="B74" s="1984" t="s">
        <v>4448</v>
      </c>
      <c r="C74" s="1984">
        <v>96544</v>
      </c>
      <c r="D74" s="1813" t="s">
        <v>7316</v>
      </c>
      <c r="E74" s="1638">
        <f>(239.5+254.9+323.1+194.1+138.3+2223.39)/1.1</f>
        <v>3066.6272727272726</v>
      </c>
      <c r="F74" s="1639" t="s">
        <v>5688</v>
      </c>
      <c r="G74" s="1648">
        <v>11.35</v>
      </c>
      <c r="H74" s="1636">
        <f t="shared" si="45"/>
        <v>3.06</v>
      </c>
      <c r="I74" s="1636">
        <f t="shared" si="46"/>
        <v>14.41</v>
      </c>
      <c r="J74" s="1723">
        <f t="shared" si="47"/>
        <v>44190.1</v>
      </c>
      <c r="K74" s="2007">
        <f t="shared" si="48"/>
        <v>34806.22</v>
      </c>
      <c r="L74" s="2007">
        <f t="shared" si="49"/>
        <v>9383.8799999999992</v>
      </c>
      <c r="M74" s="2016"/>
      <c r="N74" s="2016"/>
      <c r="O74" s="2016">
        <f t="shared" si="50"/>
        <v>17676.04</v>
      </c>
      <c r="P74" s="2016">
        <f t="shared" si="51"/>
        <v>26514.059999999998</v>
      </c>
      <c r="Q74" s="2016"/>
      <c r="R74" s="2016"/>
      <c r="S74" s="2016"/>
      <c r="T74" s="2016"/>
      <c r="U74" s="2016"/>
      <c r="V74" s="2016"/>
      <c r="W74" s="2016"/>
      <c r="X74" s="2016"/>
      <c r="Y74" s="2016"/>
      <c r="Z74" s="2016"/>
    </row>
    <row r="75" spans="1:26" s="2009" customFormat="1" ht="30" x14ac:dyDescent="0.2">
      <c r="A75" s="1635" t="s">
        <v>7323</v>
      </c>
      <c r="B75" s="1984" t="s">
        <v>4448</v>
      </c>
      <c r="C75" s="1984">
        <v>96545</v>
      </c>
      <c r="D75" s="1813" t="s">
        <v>7307</v>
      </c>
      <c r="E75" s="1638">
        <f>(15.6+11.2+2+7+275.49)/1.1</f>
        <v>282.9909090909091</v>
      </c>
      <c r="F75" s="1639" t="s">
        <v>5688</v>
      </c>
      <c r="G75" s="1648">
        <v>10.210000000000001</v>
      </c>
      <c r="H75" s="1636">
        <f t="shared" si="45"/>
        <v>2.75</v>
      </c>
      <c r="I75" s="1636">
        <f t="shared" si="46"/>
        <v>12.96</v>
      </c>
      <c r="J75" s="1723">
        <f t="shared" si="47"/>
        <v>3667.56</v>
      </c>
      <c r="K75" s="2007">
        <f t="shared" si="48"/>
        <v>2889.34</v>
      </c>
      <c r="L75" s="2007">
        <f t="shared" si="49"/>
        <v>778.23</v>
      </c>
      <c r="M75" s="2016"/>
      <c r="N75" s="2016"/>
      <c r="O75" s="2016">
        <f t="shared" si="50"/>
        <v>1467.0240000000001</v>
      </c>
      <c r="P75" s="2016">
        <f t="shared" si="51"/>
        <v>2200.5360000000001</v>
      </c>
      <c r="Q75" s="2016"/>
      <c r="R75" s="2016"/>
      <c r="S75" s="2016"/>
      <c r="T75" s="2016"/>
      <c r="U75" s="2016"/>
      <c r="V75" s="2016"/>
      <c r="W75" s="2016"/>
      <c r="X75" s="2016"/>
      <c r="Y75" s="2016"/>
      <c r="Z75" s="2016"/>
    </row>
    <row r="76" spans="1:26" s="2009" customFormat="1" ht="30" x14ac:dyDescent="0.2">
      <c r="A76" s="1635" t="s">
        <v>7324</v>
      </c>
      <c r="B76" s="1984" t="s">
        <v>4448</v>
      </c>
      <c r="C76" s="1984">
        <v>96546</v>
      </c>
      <c r="D76" s="1813" t="s">
        <v>7308</v>
      </c>
      <c r="E76" s="1638">
        <f>(50.4+29.5+27.7+35.1+148.11)/1.11</f>
        <v>261.99099099099101</v>
      </c>
      <c r="F76" s="1639" t="s">
        <v>5688</v>
      </c>
      <c r="G76" s="1648">
        <v>8.94</v>
      </c>
      <c r="H76" s="1636">
        <f t="shared" si="45"/>
        <v>2.41</v>
      </c>
      <c r="I76" s="1636">
        <f t="shared" si="46"/>
        <v>11.35</v>
      </c>
      <c r="J76" s="1723">
        <f t="shared" si="47"/>
        <v>2973.6</v>
      </c>
      <c r="K76" s="2007">
        <f t="shared" si="48"/>
        <v>2342.1999999999998</v>
      </c>
      <c r="L76" s="2007">
        <f t="shared" si="49"/>
        <v>631.4</v>
      </c>
      <c r="M76" s="2016"/>
      <c r="N76" s="2016"/>
      <c r="O76" s="2016">
        <f t="shared" si="50"/>
        <v>1189.44</v>
      </c>
      <c r="P76" s="2016">
        <f t="shared" si="51"/>
        <v>1784.1599999999999</v>
      </c>
      <c r="Q76" s="2016"/>
      <c r="R76" s="2016"/>
      <c r="S76" s="2016"/>
      <c r="T76" s="2016"/>
      <c r="U76" s="2016"/>
      <c r="V76" s="2016"/>
      <c r="W76" s="2016"/>
      <c r="X76" s="2016"/>
      <c r="Y76" s="2016"/>
      <c r="Z76" s="2016"/>
    </row>
    <row r="77" spans="1:26" s="2009" customFormat="1" ht="30" x14ac:dyDescent="0.2">
      <c r="A77" s="1635" t="s">
        <v>7325</v>
      </c>
      <c r="B77" s="1984" t="s">
        <v>4448</v>
      </c>
      <c r="C77" s="1984">
        <v>96547</v>
      </c>
      <c r="D77" s="1813" t="s">
        <v>7317</v>
      </c>
      <c r="E77" s="1638">
        <f>(148.7+325.3+353.9+254.6+170.7)/1.1</f>
        <v>1139.2727272727273</v>
      </c>
      <c r="F77" s="1639" t="s">
        <v>5688</v>
      </c>
      <c r="G77" s="1648">
        <v>7.45</v>
      </c>
      <c r="H77" s="1636">
        <f t="shared" si="45"/>
        <v>2.0099999999999998</v>
      </c>
      <c r="I77" s="1636">
        <f t="shared" si="46"/>
        <v>9.4600000000000009</v>
      </c>
      <c r="J77" s="1723">
        <f t="shared" si="47"/>
        <v>10777.52</v>
      </c>
      <c r="K77" s="2007">
        <f t="shared" si="48"/>
        <v>8487.58</v>
      </c>
      <c r="L77" s="2007">
        <f t="shared" si="49"/>
        <v>2289.94</v>
      </c>
      <c r="M77" s="2016"/>
      <c r="N77" s="2016"/>
      <c r="O77" s="2016">
        <f t="shared" si="50"/>
        <v>4311.0080000000007</v>
      </c>
      <c r="P77" s="2016">
        <f t="shared" si="51"/>
        <v>6466.5119999999997</v>
      </c>
      <c r="Q77" s="2016"/>
      <c r="R77" s="2016"/>
      <c r="S77" s="2016"/>
      <c r="T77" s="2016"/>
      <c r="U77" s="2016"/>
      <c r="V77" s="2016"/>
      <c r="W77" s="2016"/>
      <c r="X77" s="2016"/>
      <c r="Y77" s="2016"/>
      <c r="Z77" s="2016"/>
    </row>
    <row r="78" spans="1:26" s="2009" customFormat="1" ht="30" x14ac:dyDescent="0.2">
      <c r="A78" s="1635" t="s">
        <v>7326</v>
      </c>
      <c r="B78" s="1984" t="s">
        <v>4448</v>
      </c>
      <c r="C78" s="1984">
        <v>96548</v>
      </c>
      <c r="D78" s="1813" t="s">
        <v>7309</v>
      </c>
      <c r="E78" s="1638">
        <f>(180.3+108+55.4+1449.51)/1.1</f>
        <v>1630.1909090909089</v>
      </c>
      <c r="F78" s="1639" t="s">
        <v>5688</v>
      </c>
      <c r="G78" s="1648">
        <v>6.9</v>
      </c>
      <c r="H78" s="1636">
        <f t="shared" si="45"/>
        <v>1.86</v>
      </c>
      <c r="I78" s="1636">
        <f t="shared" si="46"/>
        <v>8.76</v>
      </c>
      <c r="J78" s="1723">
        <f t="shared" si="47"/>
        <v>14280.47</v>
      </c>
      <c r="K78" s="2007">
        <f t="shared" si="48"/>
        <v>11248.32</v>
      </c>
      <c r="L78" s="2007">
        <f t="shared" si="49"/>
        <v>3032.16</v>
      </c>
      <c r="M78" s="2016"/>
      <c r="N78" s="2016"/>
      <c r="O78" s="2016">
        <f t="shared" si="50"/>
        <v>5712.1880000000001</v>
      </c>
      <c r="P78" s="2016">
        <f t="shared" si="51"/>
        <v>8568.2819999999992</v>
      </c>
      <c r="Q78" s="2016"/>
      <c r="R78" s="2016"/>
      <c r="S78" s="2016"/>
      <c r="T78" s="2016"/>
      <c r="U78" s="2016"/>
      <c r="V78" s="2016"/>
      <c r="W78" s="2016"/>
      <c r="X78" s="2016"/>
      <c r="Y78" s="2016"/>
      <c r="Z78" s="2016"/>
    </row>
    <row r="79" spans="1:26" s="2009" customFormat="1" ht="30" x14ac:dyDescent="0.2">
      <c r="A79" s="1635" t="s">
        <v>7825</v>
      </c>
      <c r="B79" s="1984" t="s">
        <v>4448</v>
      </c>
      <c r="C79" s="1984">
        <v>96549</v>
      </c>
      <c r="D79" s="1813" t="s">
        <v>7318</v>
      </c>
      <c r="E79" s="1638">
        <f>(40.3+2316.05)/1.1</f>
        <v>2142.136363636364</v>
      </c>
      <c r="F79" s="1639" t="s">
        <v>5688</v>
      </c>
      <c r="G79" s="1648">
        <v>7.49</v>
      </c>
      <c r="H79" s="1636">
        <f t="shared" si="45"/>
        <v>2.02</v>
      </c>
      <c r="I79" s="1636">
        <f t="shared" si="46"/>
        <v>9.51</v>
      </c>
      <c r="J79" s="1723">
        <f t="shared" si="47"/>
        <v>20371.72</v>
      </c>
      <c r="K79" s="2007">
        <f t="shared" si="48"/>
        <v>16044.6</v>
      </c>
      <c r="L79" s="2007">
        <f t="shared" si="49"/>
        <v>4327.12</v>
      </c>
      <c r="M79" s="2016"/>
      <c r="N79" s="2016"/>
      <c r="O79" s="2016">
        <f t="shared" si="50"/>
        <v>8148.688000000001</v>
      </c>
      <c r="P79" s="2016">
        <f t="shared" si="51"/>
        <v>12223.032000000001</v>
      </c>
      <c r="Q79" s="2016"/>
      <c r="R79" s="2016"/>
      <c r="S79" s="2016"/>
      <c r="T79" s="2016"/>
      <c r="U79" s="2016"/>
      <c r="V79" s="2016"/>
      <c r="W79" s="2016"/>
      <c r="X79" s="2016"/>
      <c r="Y79" s="2016"/>
      <c r="Z79" s="2016"/>
    </row>
    <row r="80" spans="1:26" s="2009" customFormat="1" ht="60" x14ac:dyDescent="0.2">
      <c r="A80" s="1635" t="s">
        <v>7328</v>
      </c>
      <c r="B80" s="1984" t="s">
        <v>4448</v>
      </c>
      <c r="C80" s="1984">
        <v>96557</v>
      </c>
      <c r="D80" s="1813" t="s">
        <v>7327</v>
      </c>
      <c r="E80" s="1638">
        <f>E57</f>
        <v>112.87</v>
      </c>
      <c r="F80" s="1639" t="s">
        <v>5685</v>
      </c>
      <c r="G80" s="1648">
        <v>381.07</v>
      </c>
      <c r="H80" s="1636">
        <f t="shared" si="45"/>
        <v>102.62</v>
      </c>
      <c r="I80" s="1636">
        <f t="shared" si="46"/>
        <v>483.69</v>
      </c>
      <c r="J80" s="1723">
        <f t="shared" si="47"/>
        <v>54594.09</v>
      </c>
      <c r="K80" s="2007">
        <f t="shared" si="48"/>
        <v>43011.37</v>
      </c>
      <c r="L80" s="2007">
        <f t="shared" si="49"/>
        <v>11582.72</v>
      </c>
      <c r="M80" s="2016"/>
      <c r="N80" s="2016"/>
      <c r="O80" s="2016">
        <f t="shared" si="50"/>
        <v>21837.635999999999</v>
      </c>
      <c r="P80" s="2016">
        <f t="shared" si="51"/>
        <v>32756.453999999998</v>
      </c>
      <c r="Q80" s="2016"/>
      <c r="R80" s="2016"/>
      <c r="S80" s="2016"/>
      <c r="T80" s="2016"/>
      <c r="U80" s="2016"/>
      <c r="V80" s="2016"/>
      <c r="W80" s="2016"/>
      <c r="X80" s="2016"/>
      <c r="Y80" s="2016"/>
      <c r="Z80" s="2016"/>
    </row>
    <row r="81" spans="1:26" s="2009" customFormat="1" ht="15" x14ac:dyDescent="0.2">
      <c r="A81" s="1634" t="s">
        <v>7450</v>
      </c>
      <c r="B81" s="2136" t="s">
        <v>7451</v>
      </c>
      <c r="C81" s="2136"/>
      <c r="D81" s="2136"/>
      <c r="E81" s="2136"/>
      <c r="F81" s="2136"/>
      <c r="G81" s="2136"/>
      <c r="H81" s="2136"/>
      <c r="I81" s="2136"/>
      <c r="J81" s="2136"/>
      <c r="K81" s="1983"/>
      <c r="L81" s="2018"/>
      <c r="M81" s="2016"/>
      <c r="N81" s="2016"/>
      <c r="O81" s="2016"/>
      <c r="P81" s="2016"/>
      <c r="Q81" s="2016"/>
      <c r="R81" s="2016"/>
      <c r="S81" s="2016"/>
      <c r="T81" s="2016"/>
      <c r="U81" s="2016"/>
      <c r="V81" s="2016"/>
      <c r="W81" s="2016"/>
      <c r="X81" s="2016"/>
      <c r="Y81" s="2016"/>
      <c r="Z81" s="2016"/>
    </row>
    <row r="82" spans="1:26" s="2009" customFormat="1" ht="45" x14ac:dyDescent="0.2">
      <c r="A82" s="1635" t="s">
        <v>7453</v>
      </c>
      <c r="B82" s="1984" t="s">
        <v>4448</v>
      </c>
      <c r="C82" s="1984">
        <v>98557</v>
      </c>
      <c r="D82" s="1813" t="s">
        <v>7452</v>
      </c>
      <c r="E82" s="1638">
        <f>QuantPrédio!J62</f>
        <v>1075.99</v>
      </c>
      <c r="F82" s="1639" t="s">
        <v>5286</v>
      </c>
      <c r="G82" s="1648">
        <v>31.62</v>
      </c>
      <c r="H82" s="1636">
        <f>ROUND(G82*$B$13,2)</f>
        <v>8.52</v>
      </c>
      <c r="I82" s="1636">
        <f>H82+G82</f>
        <v>40.14</v>
      </c>
      <c r="J82" s="1723">
        <f>ROUND(I82*E82,2)</f>
        <v>43190.239999999998</v>
      </c>
      <c r="K82" s="2007">
        <f>ROUND(G82*E82,2)</f>
        <v>34022.800000000003</v>
      </c>
      <c r="L82" s="2007">
        <f>ROUND(H82*E82,2)</f>
        <v>9167.43</v>
      </c>
      <c r="M82" s="2016"/>
      <c r="N82" s="2016"/>
      <c r="O82" s="2016"/>
      <c r="P82" s="2016">
        <f>0.4*J82</f>
        <v>17276.096000000001</v>
      </c>
      <c r="Q82" s="2016">
        <f>0.6*J82</f>
        <v>25914.143999999997</v>
      </c>
      <c r="R82" s="2016"/>
      <c r="S82" s="2016"/>
      <c r="T82" s="2016"/>
      <c r="U82" s="2016"/>
      <c r="V82" s="2016"/>
      <c r="W82" s="2016"/>
      <c r="X82" s="2016"/>
      <c r="Y82" s="2016"/>
      <c r="Z82" s="2016"/>
    </row>
    <row r="83" spans="1:26" s="2006" customFormat="1" ht="15" x14ac:dyDescent="0.2">
      <c r="A83" s="2133" t="s">
        <v>5687</v>
      </c>
      <c r="B83" s="2133"/>
      <c r="C83" s="2133"/>
      <c r="D83" s="2133"/>
      <c r="E83" s="2133"/>
      <c r="F83" s="2133"/>
      <c r="G83" s="2133"/>
      <c r="H83" s="2133"/>
      <c r="I83" s="2133"/>
      <c r="J83" s="1724">
        <f>SUM(J55:J82)</f>
        <v>489181.04000000004</v>
      </c>
      <c r="K83" s="2010"/>
      <c r="L83" s="2015"/>
      <c r="M83" s="1724">
        <f t="shared" ref="M83:Z83" si="52">SUM(M55:M82)</f>
        <v>0</v>
      </c>
      <c r="N83" s="1724">
        <f t="shared" si="52"/>
        <v>38715.756000000001</v>
      </c>
      <c r="O83" s="1724">
        <f t="shared" si="52"/>
        <v>197754.198</v>
      </c>
      <c r="P83" s="1724">
        <f t="shared" si="52"/>
        <v>226796.94199999998</v>
      </c>
      <c r="Q83" s="1724">
        <f t="shared" si="52"/>
        <v>25914.143999999997</v>
      </c>
      <c r="R83" s="1724">
        <f t="shared" si="52"/>
        <v>0</v>
      </c>
      <c r="S83" s="1724">
        <f t="shared" si="52"/>
        <v>0</v>
      </c>
      <c r="T83" s="1724">
        <f t="shared" si="52"/>
        <v>0</v>
      </c>
      <c r="U83" s="1724">
        <f t="shared" si="52"/>
        <v>0</v>
      </c>
      <c r="V83" s="1724">
        <f t="shared" si="52"/>
        <v>0</v>
      </c>
      <c r="W83" s="1724">
        <f t="shared" si="52"/>
        <v>0</v>
      </c>
      <c r="X83" s="1724">
        <f t="shared" si="52"/>
        <v>0</v>
      </c>
      <c r="Y83" s="1724">
        <f t="shared" si="52"/>
        <v>0</v>
      </c>
      <c r="Z83" s="1724">
        <f t="shared" si="52"/>
        <v>0</v>
      </c>
    </row>
    <row r="84" spans="1:26" s="2006" customFormat="1" ht="15" x14ac:dyDescent="0.2">
      <c r="A84" s="52"/>
      <c r="B84" s="52"/>
      <c r="C84" s="52"/>
      <c r="D84" s="52"/>
      <c r="E84" s="1506"/>
      <c r="F84" s="52"/>
      <c r="G84" s="1649"/>
      <c r="H84" s="51"/>
      <c r="I84" s="51"/>
      <c r="J84" s="1725"/>
      <c r="K84" s="51"/>
      <c r="L84" s="2015"/>
      <c r="M84" s="2005"/>
      <c r="N84" s="2005"/>
      <c r="O84" s="2005"/>
      <c r="P84" s="2005"/>
      <c r="Q84" s="2005"/>
      <c r="R84" s="2005"/>
      <c r="S84" s="2005"/>
      <c r="T84" s="2005"/>
      <c r="U84" s="2005"/>
      <c r="V84" s="2005"/>
      <c r="W84" s="2005"/>
      <c r="X84" s="2005"/>
      <c r="Y84" s="2005"/>
      <c r="Z84" s="2005"/>
    </row>
    <row r="85" spans="1:26" s="2006" customFormat="1" ht="15" x14ac:dyDescent="0.2">
      <c r="A85" s="1513" t="s">
        <v>4860</v>
      </c>
      <c r="B85" s="2130" t="s">
        <v>4861</v>
      </c>
      <c r="C85" s="2130"/>
      <c r="D85" s="2130"/>
      <c r="E85" s="2130"/>
      <c r="F85" s="2130"/>
      <c r="G85" s="2130"/>
      <c r="H85" s="2130"/>
      <c r="I85" s="2130"/>
      <c r="J85" s="2130"/>
      <c r="K85" s="1980"/>
      <c r="L85" s="2015"/>
      <c r="M85" s="2005"/>
      <c r="N85" s="2005"/>
      <c r="O85" s="2005"/>
      <c r="P85" s="2005"/>
      <c r="Q85" s="2005"/>
      <c r="R85" s="2005"/>
      <c r="S85" s="2005"/>
      <c r="T85" s="2005"/>
      <c r="U85" s="2005"/>
      <c r="V85" s="2005"/>
      <c r="W85" s="2005"/>
      <c r="X85" s="2005"/>
      <c r="Y85" s="2005"/>
      <c r="Z85" s="2005"/>
    </row>
    <row r="86" spans="1:26" s="2006" customFormat="1" ht="15" x14ac:dyDescent="0.2">
      <c r="A86" s="1634" t="s">
        <v>5171</v>
      </c>
      <c r="B86" s="2136" t="s">
        <v>5689</v>
      </c>
      <c r="C86" s="2136"/>
      <c r="D86" s="2136"/>
      <c r="E86" s="2136"/>
      <c r="F86" s="2136"/>
      <c r="G86" s="2136"/>
      <c r="H86" s="2136"/>
      <c r="I86" s="2136"/>
      <c r="J86" s="2136"/>
      <c r="K86" s="1983"/>
      <c r="L86" s="2015"/>
      <c r="M86" s="2005"/>
      <c r="N86" s="2005"/>
      <c r="O86" s="2005"/>
      <c r="P86" s="2005"/>
      <c r="Q86" s="2005"/>
      <c r="R86" s="2005"/>
      <c r="S86" s="2005"/>
      <c r="T86" s="2005"/>
      <c r="U86" s="2005"/>
      <c r="V86" s="2005"/>
      <c r="W86" s="2005"/>
      <c r="X86" s="2005"/>
      <c r="Y86" s="2005"/>
      <c r="Z86" s="2005"/>
    </row>
    <row r="87" spans="1:26" s="2009" customFormat="1" ht="60" x14ac:dyDescent="0.2">
      <c r="A87" s="1635" t="s">
        <v>5694</v>
      </c>
      <c r="B87" s="1984" t="s">
        <v>4448</v>
      </c>
      <c r="C87" s="1984">
        <v>95941</v>
      </c>
      <c r="D87" s="1813" t="s">
        <v>5690</v>
      </c>
      <c r="E87" s="1638">
        <f>QuantPrédio!J77</f>
        <v>38.619999999999997</v>
      </c>
      <c r="F87" s="1639" t="s">
        <v>5286</v>
      </c>
      <c r="G87" s="1648">
        <v>103.5</v>
      </c>
      <c r="H87" s="1636">
        <f>ROUND(G87*$B$13,2)</f>
        <v>27.87</v>
      </c>
      <c r="I87" s="1636">
        <f>H87+G87</f>
        <v>131.37</v>
      </c>
      <c r="J87" s="1723">
        <f>ROUND(I87*E87,2)</f>
        <v>5073.51</v>
      </c>
      <c r="K87" s="2007">
        <f>ROUND(G87*E87,2)</f>
        <v>3997.17</v>
      </c>
      <c r="L87" s="2007">
        <f>ROUND(H87*E87,2)</f>
        <v>1076.3399999999999</v>
      </c>
      <c r="M87" s="2016"/>
      <c r="N87" s="2016"/>
      <c r="O87" s="2016"/>
      <c r="P87" s="2016"/>
      <c r="Q87" s="2016"/>
      <c r="R87" s="2016">
        <f>J87</f>
        <v>5073.51</v>
      </c>
      <c r="S87" s="2016"/>
      <c r="T87" s="2016"/>
      <c r="U87" s="2016"/>
      <c r="V87" s="2016"/>
      <c r="W87" s="2016"/>
      <c r="X87" s="2016"/>
      <c r="Y87" s="2016"/>
      <c r="Z87" s="2016"/>
    </row>
    <row r="88" spans="1:26" s="2009" customFormat="1" ht="45" x14ac:dyDescent="0.2">
      <c r="A88" s="1635" t="s">
        <v>6719</v>
      </c>
      <c r="B88" s="1984" t="s">
        <v>4448</v>
      </c>
      <c r="C88" s="1984">
        <v>95946</v>
      </c>
      <c r="D88" s="1813" t="s">
        <v>5691</v>
      </c>
      <c r="E88" s="1638">
        <f>2*353/1.1</f>
        <v>641.81818181818176</v>
      </c>
      <c r="F88" s="1639" t="s">
        <v>5688</v>
      </c>
      <c r="G88" s="1648">
        <v>8.7200000000000006</v>
      </c>
      <c r="H88" s="1636">
        <f>ROUND(G88*$B$13,2)</f>
        <v>2.35</v>
      </c>
      <c r="I88" s="1636">
        <f>H88+G88</f>
        <v>11.07</v>
      </c>
      <c r="J88" s="1723">
        <f>ROUND(I88*E88,2)</f>
        <v>7104.93</v>
      </c>
      <c r="K88" s="2007">
        <f>ROUND(G88*E88,2)</f>
        <v>5596.65</v>
      </c>
      <c r="L88" s="2007">
        <f>ROUND(H88*E88,2)</f>
        <v>1508.27</v>
      </c>
      <c r="M88" s="2016"/>
      <c r="N88" s="2016"/>
      <c r="O88" s="2016"/>
      <c r="P88" s="2016"/>
      <c r="Q88" s="2016"/>
      <c r="R88" s="2016">
        <f>J88</f>
        <v>7104.93</v>
      </c>
      <c r="S88" s="2016"/>
      <c r="T88" s="2016"/>
      <c r="U88" s="2016"/>
      <c r="V88" s="2016"/>
      <c r="W88" s="2016"/>
      <c r="X88" s="2016"/>
      <c r="Y88" s="2016"/>
      <c r="Z88" s="2016"/>
    </row>
    <row r="89" spans="1:26" s="2009" customFormat="1" ht="45" x14ac:dyDescent="0.2">
      <c r="A89" s="1635" t="s">
        <v>6720</v>
      </c>
      <c r="B89" s="1984" t="s">
        <v>4448</v>
      </c>
      <c r="C89" s="1984">
        <v>95947</v>
      </c>
      <c r="D89" s="1813" t="s">
        <v>5692</v>
      </c>
      <c r="E89" s="1638">
        <f>2*133.8/1.1</f>
        <v>243.27272727272728</v>
      </c>
      <c r="F89" s="1639" t="s">
        <v>5688</v>
      </c>
      <c r="G89" s="1648">
        <v>6.65</v>
      </c>
      <c r="H89" s="1636">
        <f>ROUND(G89*$B$13,2)</f>
        <v>1.79</v>
      </c>
      <c r="I89" s="1636">
        <f>H89+G89</f>
        <v>8.4400000000000013</v>
      </c>
      <c r="J89" s="1723">
        <f>ROUND(I89*E89,2)</f>
        <v>2053.2199999999998</v>
      </c>
      <c r="K89" s="2007">
        <f>ROUND(G89*E89,2)</f>
        <v>1617.76</v>
      </c>
      <c r="L89" s="2007">
        <f>ROUND(H89*E89,2)</f>
        <v>435.46</v>
      </c>
      <c r="M89" s="2016"/>
      <c r="N89" s="2016"/>
      <c r="O89" s="2016"/>
      <c r="P89" s="2016"/>
      <c r="Q89" s="2016"/>
      <c r="R89" s="2016">
        <f>J89</f>
        <v>2053.2199999999998</v>
      </c>
      <c r="S89" s="2016"/>
      <c r="T89" s="2016"/>
      <c r="U89" s="2016"/>
      <c r="V89" s="2016"/>
      <c r="W89" s="2016"/>
      <c r="X89" s="2016"/>
      <c r="Y89" s="2016"/>
      <c r="Z89" s="2016"/>
    </row>
    <row r="90" spans="1:26" s="2009" customFormat="1" ht="45" x14ac:dyDescent="0.2">
      <c r="A90" s="1635" t="s">
        <v>9497</v>
      </c>
      <c r="B90" s="1984" t="s">
        <v>5278</v>
      </c>
      <c r="C90" s="1984">
        <v>34496</v>
      </c>
      <c r="D90" s="1813" t="s">
        <v>9509</v>
      </c>
      <c r="E90" s="1638">
        <f>QuantPrédio!K88</f>
        <v>6.32</v>
      </c>
      <c r="F90" s="1639" t="s">
        <v>5685</v>
      </c>
      <c r="G90" s="1648">
        <v>299.64999999999998</v>
      </c>
      <c r="H90" s="1636">
        <f>ROUND(G90*$B$13,2)</f>
        <v>80.7</v>
      </c>
      <c r="I90" s="1636">
        <f>H90+G90</f>
        <v>380.34999999999997</v>
      </c>
      <c r="J90" s="1723">
        <f>ROUND(I90*E90,2)</f>
        <v>2403.81</v>
      </c>
      <c r="K90" s="2007">
        <f>ROUND(G90*E90,2)</f>
        <v>1893.79</v>
      </c>
      <c r="L90" s="2007">
        <f>ROUND(H90*E90,2)</f>
        <v>510.02</v>
      </c>
      <c r="M90" s="2016"/>
      <c r="N90" s="2016"/>
      <c r="O90" s="2016"/>
      <c r="P90" s="2016"/>
      <c r="Q90" s="2016"/>
      <c r="R90" s="2016">
        <f>J90</f>
        <v>2403.81</v>
      </c>
      <c r="S90" s="2016"/>
      <c r="T90" s="2016"/>
      <c r="U90" s="2016"/>
      <c r="V90" s="2016"/>
      <c r="W90" s="2016"/>
      <c r="X90" s="2016"/>
      <c r="Y90" s="2016"/>
      <c r="Z90" s="2016"/>
    </row>
    <row r="91" spans="1:26" s="2009" customFormat="1" ht="45" x14ac:dyDescent="0.2">
      <c r="A91" s="1635" t="s">
        <v>9498</v>
      </c>
      <c r="B91" s="1984" t="s">
        <v>4448</v>
      </c>
      <c r="C91" s="1984">
        <v>92874</v>
      </c>
      <c r="D91" s="1813" t="s">
        <v>9499</v>
      </c>
      <c r="E91" s="1638">
        <f>QuantPrédio!K88</f>
        <v>6.32</v>
      </c>
      <c r="F91" s="1639" t="s">
        <v>5685</v>
      </c>
      <c r="G91" s="1648">
        <v>26.07</v>
      </c>
      <c r="H91" s="1636">
        <f>ROUND(G91*$B$13,2)</f>
        <v>7.02</v>
      </c>
      <c r="I91" s="1636">
        <f>H91+G91</f>
        <v>33.090000000000003</v>
      </c>
      <c r="J91" s="1723">
        <f>ROUND(I91*E91,2)</f>
        <v>209.13</v>
      </c>
      <c r="K91" s="2007">
        <f>ROUND(G91*E91,2)</f>
        <v>164.76</v>
      </c>
      <c r="L91" s="2007">
        <f>ROUND(H91*E91,2)</f>
        <v>44.37</v>
      </c>
      <c r="M91" s="2016"/>
      <c r="N91" s="2016"/>
      <c r="O91" s="2016"/>
      <c r="P91" s="2016"/>
      <c r="Q91" s="2016"/>
      <c r="R91" s="2016">
        <f>J91</f>
        <v>209.13</v>
      </c>
      <c r="S91" s="2016"/>
      <c r="T91" s="2016"/>
      <c r="U91" s="2016"/>
      <c r="V91" s="2016"/>
      <c r="W91" s="2016"/>
      <c r="X91" s="2016"/>
      <c r="Y91" s="2016"/>
      <c r="Z91" s="2016"/>
    </row>
    <row r="92" spans="1:26" s="2009" customFormat="1" ht="15" x14ac:dyDescent="0.2">
      <c r="A92" s="1634" t="s">
        <v>15012</v>
      </c>
      <c r="B92" s="2136" t="s">
        <v>5881</v>
      </c>
      <c r="C92" s="2136"/>
      <c r="D92" s="2136"/>
      <c r="E92" s="2136"/>
      <c r="F92" s="2136"/>
      <c r="G92" s="2136"/>
      <c r="H92" s="2136"/>
      <c r="I92" s="2136"/>
      <c r="J92" s="2136"/>
      <c r="K92" s="1983"/>
      <c r="L92" s="2018"/>
      <c r="M92" s="2016"/>
      <c r="N92" s="2016"/>
      <c r="O92" s="2016"/>
      <c r="P92" s="2016"/>
      <c r="Q92" s="2016"/>
      <c r="R92" s="2016"/>
      <c r="S92" s="2016"/>
      <c r="T92" s="2016"/>
      <c r="U92" s="2016"/>
      <c r="V92" s="2016"/>
      <c r="W92" s="2016"/>
      <c r="X92" s="2016"/>
      <c r="Y92" s="2016"/>
      <c r="Z92" s="2016"/>
    </row>
    <row r="93" spans="1:26" s="2009" customFormat="1" ht="75" x14ac:dyDescent="0.2">
      <c r="A93" s="1635" t="s">
        <v>15013</v>
      </c>
      <c r="B93" s="1984" t="s">
        <v>4448</v>
      </c>
      <c r="C93" s="1984">
        <v>92443</v>
      </c>
      <c r="D93" s="1813" t="s">
        <v>5883</v>
      </c>
      <c r="E93" s="1638">
        <f>QuantPrédio!J119</f>
        <v>591.16999999999996</v>
      </c>
      <c r="F93" s="1639" t="s">
        <v>5286</v>
      </c>
      <c r="G93" s="1648">
        <v>29.87</v>
      </c>
      <c r="H93" s="1636">
        <f>ROUND(G93*$B$13,2)</f>
        <v>8.0399999999999991</v>
      </c>
      <c r="I93" s="1636">
        <f>H93+G93</f>
        <v>37.909999999999997</v>
      </c>
      <c r="J93" s="1723">
        <f>ROUND(I93*E93,2)</f>
        <v>22411.25</v>
      </c>
      <c r="K93" s="2007">
        <f>ROUND(G93*E93,2)</f>
        <v>17658.25</v>
      </c>
      <c r="L93" s="2007">
        <f>ROUND(H93*E93,2)</f>
        <v>4753.01</v>
      </c>
      <c r="M93" s="2016"/>
      <c r="N93" s="2016"/>
      <c r="O93" s="2016"/>
      <c r="P93" s="2016"/>
      <c r="Q93" s="2016"/>
      <c r="R93" s="2016"/>
      <c r="S93" s="2016"/>
      <c r="T93" s="2016">
        <f>J93</f>
        <v>22411.25</v>
      </c>
      <c r="U93" s="2016"/>
      <c r="V93" s="2016"/>
      <c r="W93" s="2016"/>
      <c r="X93" s="2016"/>
      <c r="Y93" s="2016"/>
      <c r="Z93" s="2016"/>
    </row>
    <row r="94" spans="1:26" s="2009" customFormat="1" ht="45" x14ac:dyDescent="0.2">
      <c r="A94" s="1635" t="s">
        <v>15014</v>
      </c>
      <c r="B94" s="1984" t="s">
        <v>14971</v>
      </c>
      <c r="C94" s="1984">
        <v>85662</v>
      </c>
      <c r="D94" s="1813" t="s">
        <v>8274</v>
      </c>
      <c r="E94" s="1638">
        <f>QuantPrédio!J145</f>
        <v>400.24600000000004</v>
      </c>
      <c r="F94" s="1639" t="s">
        <v>5688</v>
      </c>
      <c r="G94" s="1648">
        <v>10.82</v>
      </c>
      <c r="H94" s="1636">
        <f>ROUND(G94*$B$13,2)</f>
        <v>2.91</v>
      </c>
      <c r="I94" s="1636">
        <f>H94+G94</f>
        <v>13.73</v>
      </c>
      <c r="J94" s="1723">
        <f>ROUND(I94*E94,2)</f>
        <v>5495.38</v>
      </c>
      <c r="K94" s="2007">
        <f>ROUND(G94*E94,2)</f>
        <v>4330.66</v>
      </c>
      <c r="L94" s="2007">
        <f>ROUND(H94*E94,2)</f>
        <v>1164.72</v>
      </c>
      <c r="M94" s="2016"/>
      <c r="N94" s="2016"/>
      <c r="O94" s="2016"/>
      <c r="P94" s="2016"/>
      <c r="Q94" s="2016"/>
      <c r="R94" s="2016"/>
      <c r="S94" s="2016"/>
      <c r="T94" s="2016">
        <f>J94</f>
        <v>5495.38</v>
      </c>
      <c r="U94" s="2016"/>
      <c r="V94" s="2016"/>
      <c r="W94" s="2016"/>
      <c r="X94" s="2016"/>
      <c r="Y94" s="2016"/>
      <c r="Z94" s="2016"/>
    </row>
    <row r="95" spans="1:26" s="2009" customFormat="1" ht="45" x14ac:dyDescent="0.2">
      <c r="A95" s="1635" t="s">
        <v>15015</v>
      </c>
      <c r="B95" s="1984" t="s">
        <v>4448</v>
      </c>
      <c r="C95" s="1984">
        <v>94969</v>
      </c>
      <c r="D95" s="1813" t="s">
        <v>5884</v>
      </c>
      <c r="E95" s="1638">
        <f>QuantPrédio!K177</f>
        <v>26.69</v>
      </c>
      <c r="F95" s="1639" t="s">
        <v>5685</v>
      </c>
      <c r="G95" s="1648">
        <v>286.38</v>
      </c>
      <c r="H95" s="1636">
        <f>ROUND(G95*$B$13,2)</f>
        <v>77.12</v>
      </c>
      <c r="I95" s="1636">
        <f>H95+G95</f>
        <v>363.5</v>
      </c>
      <c r="J95" s="1723">
        <f>ROUND(I95*E95,2)</f>
        <v>9701.82</v>
      </c>
      <c r="K95" s="2007">
        <f>ROUND(G95*E95,2)</f>
        <v>7643.48</v>
      </c>
      <c r="L95" s="2007">
        <f>ROUND(H95*E95,2)</f>
        <v>2058.33</v>
      </c>
      <c r="M95" s="2016"/>
      <c r="N95" s="2016"/>
      <c r="O95" s="2016"/>
      <c r="P95" s="2016"/>
      <c r="Q95" s="2016"/>
      <c r="R95" s="2016"/>
      <c r="S95" s="2016"/>
      <c r="T95" s="2016">
        <f>J95</f>
        <v>9701.82</v>
      </c>
      <c r="U95" s="2016"/>
      <c r="V95" s="2016"/>
      <c r="W95" s="2016"/>
      <c r="X95" s="2016"/>
      <c r="Y95" s="2016"/>
      <c r="Z95" s="2016"/>
    </row>
    <row r="96" spans="1:26" s="2009" customFormat="1" ht="15" x14ac:dyDescent="0.2">
      <c r="A96" s="1634" t="s">
        <v>5698</v>
      </c>
      <c r="B96" s="2136" t="s">
        <v>5699</v>
      </c>
      <c r="C96" s="2136"/>
      <c r="D96" s="2136"/>
      <c r="E96" s="2136"/>
      <c r="F96" s="2136"/>
      <c r="G96" s="2136"/>
      <c r="H96" s="2136"/>
      <c r="I96" s="2136"/>
      <c r="J96" s="2136"/>
      <c r="K96" s="1983"/>
      <c r="L96" s="2018"/>
      <c r="M96" s="2016"/>
      <c r="N96" s="2016"/>
      <c r="O96" s="2016"/>
      <c r="P96" s="2016"/>
      <c r="Q96" s="2016"/>
      <c r="R96" s="2016"/>
      <c r="S96" s="2016"/>
      <c r="T96" s="2016"/>
      <c r="U96" s="2016"/>
      <c r="V96" s="2016"/>
      <c r="W96" s="2016"/>
      <c r="X96" s="2016"/>
      <c r="Y96" s="2016"/>
      <c r="Z96" s="2016"/>
    </row>
    <row r="97" spans="1:26" s="2009" customFormat="1" ht="30" x14ac:dyDescent="0.2">
      <c r="A97" s="1635" t="s">
        <v>5700</v>
      </c>
      <c r="B97" s="1984" t="s">
        <v>5696</v>
      </c>
      <c r="C97" s="1984" t="s">
        <v>5697</v>
      </c>
      <c r="D97" s="1813" t="s">
        <v>7890</v>
      </c>
      <c r="E97" s="1638">
        <f>QuantPrédio!K186</f>
        <v>31.76</v>
      </c>
      <c r="F97" s="1639" t="s">
        <v>5685</v>
      </c>
      <c r="G97" s="1648">
        <v>2427.1699999999996</v>
      </c>
      <c r="H97" s="1636">
        <f>ROUND(G97*$B$13,2)</f>
        <v>653.64</v>
      </c>
      <c r="I97" s="1636">
        <f>H97+G97</f>
        <v>3080.8099999999995</v>
      </c>
      <c r="J97" s="1723">
        <f>ROUND(I97*E97,2)</f>
        <v>97846.53</v>
      </c>
      <c r="K97" s="2007">
        <f>ROUND(G97*E97,2)</f>
        <v>77086.92</v>
      </c>
      <c r="L97" s="2007">
        <f>ROUND(H97*E97,2)</f>
        <v>20759.61</v>
      </c>
      <c r="M97" s="2016"/>
      <c r="N97" s="2016"/>
      <c r="O97" s="2016"/>
      <c r="P97" s="2016"/>
      <c r="Q97" s="2016">
        <f>J97*0.5</f>
        <v>48923.264999999999</v>
      </c>
      <c r="R97" s="2016">
        <f>0.5*J97</f>
        <v>48923.264999999999</v>
      </c>
      <c r="S97" s="2016"/>
      <c r="T97" s="2016"/>
      <c r="U97" s="2016"/>
      <c r="V97" s="2016"/>
      <c r="W97" s="2016"/>
      <c r="X97" s="2016"/>
      <c r="Y97" s="2016"/>
      <c r="Z97" s="2016"/>
    </row>
    <row r="98" spans="1:26" s="2009" customFormat="1" ht="30" x14ac:dyDescent="0.2">
      <c r="A98" s="1635" t="s">
        <v>5701</v>
      </c>
      <c r="B98" s="1984" t="s">
        <v>5696</v>
      </c>
      <c r="C98" s="1984" t="s">
        <v>7900</v>
      </c>
      <c r="D98" s="1813" t="s">
        <v>7889</v>
      </c>
      <c r="E98" s="1638">
        <f>QuantPrédio!K194</f>
        <v>175.08</v>
      </c>
      <c r="F98" s="1639" t="s">
        <v>5685</v>
      </c>
      <c r="G98" s="1648">
        <v>2974.3800000000006</v>
      </c>
      <c r="H98" s="1636">
        <f>ROUND(G98*$B$13,2)</f>
        <v>801</v>
      </c>
      <c r="I98" s="1636">
        <f>H98+G98</f>
        <v>3775.3800000000006</v>
      </c>
      <c r="J98" s="1723">
        <f>ROUND(I98*E98,2)</f>
        <v>660993.53</v>
      </c>
      <c r="K98" s="2007">
        <f>ROUND(G98*E98,2)</f>
        <v>520754.45</v>
      </c>
      <c r="L98" s="2007">
        <f>ROUND(H98*E98,2)</f>
        <v>140239.07999999999</v>
      </c>
      <c r="M98" s="2016"/>
      <c r="N98" s="2016"/>
      <c r="O98" s="2016"/>
      <c r="P98" s="2016"/>
      <c r="Q98" s="2016">
        <f>J98*0.5</f>
        <v>330496.76500000001</v>
      </c>
      <c r="R98" s="2016">
        <f>0.5*J98</f>
        <v>330496.76500000001</v>
      </c>
      <c r="S98" s="2016"/>
      <c r="T98" s="2016"/>
      <c r="U98" s="2016"/>
      <c r="V98" s="2016"/>
      <c r="W98" s="2016"/>
      <c r="X98" s="2016"/>
      <c r="Y98" s="2016"/>
      <c r="Z98" s="2016"/>
    </row>
    <row r="99" spans="1:26" s="2009" customFormat="1" ht="60" x14ac:dyDescent="0.2">
      <c r="A99" s="1635" t="s">
        <v>5702</v>
      </c>
      <c r="B99" s="1984" t="s">
        <v>5696</v>
      </c>
      <c r="C99" s="1984" t="s">
        <v>7899</v>
      </c>
      <c r="D99" s="1813" t="s">
        <v>7891</v>
      </c>
      <c r="E99" s="1638">
        <f>QuantPrédio!J202</f>
        <v>1931.39</v>
      </c>
      <c r="F99" s="1639" t="s">
        <v>5286</v>
      </c>
      <c r="G99" s="1648">
        <v>229.09</v>
      </c>
      <c r="H99" s="1636">
        <f>ROUND(G99*$B$13,2)</f>
        <v>61.69</v>
      </c>
      <c r="I99" s="1636">
        <f>H99+G99</f>
        <v>290.77999999999997</v>
      </c>
      <c r="J99" s="1723">
        <f>ROUND(I99*E99,2)</f>
        <v>561609.57999999996</v>
      </c>
      <c r="K99" s="2007">
        <f>ROUND(G99*E99,2)</f>
        <v>442462.14</v>
      </c>
      <c r="L99" s="2007">
        <f>ROUND(H99*E99,2)</f>
        <v>119147.45</v>
      </c>
      <c r="M99" s="2016"/>
      <c r="N99" s="2016"/>
      <c r="O99" s="2016"/>
      <c r="P99" s="2016"/>
      <c r="Q99" s="2016">
        <f>J99*0.5</f>
        <v>280804.78999999998</v>
      </c>
      <c r="R99" s="2016">
        <f>0.5*J99</f>
        <v>280804.78999999998</v>
      </c>
      <c r="S99" s="2016"/>
      <c r="T99" s="2016"/>
      <c r="U99" s="2016"/>
      <c r="V99" s="2016"/>
      <c r="W99" s="2016"/>
      <c r="X99" s="2016"/>
      <c r="Y99" s="2016"/>
      <c r="Z99" s="2016"/>
    </row>
    <row r="100" spans="1:26" s="2006" customFormat="1" ht="15" x14ac:dyDescent="0.2">
      <c r="A100" s="2133" t="s">
        <v>5703</v>
      </c>
      <c r="B100" s="2133"/>
      <c r="C100" s="2133"/>
      <c r="D100" s="2133"/>
      <c r="E100" s="2133"/>
      <c r="F100" s="2133"/>
      <c r="G100" s="2133"/>
      <c r="H100" s="2133"/>
      <c r="I100" s="2133"/>
      <c r="J100" s="1724">
        <f>SUM(J85:J99)</f>
        <v>1374902.69</v>
      </c>
      <c r="K100" s="2010"/>
      <c r="L100" s="2015"/>
      <c r="M100" s="1724">
        <f t="shared" ref="M100:Z100" si="53">SUM(M85:M99)</f>
        <v>0</v>
      </c>
      <c r="N100" s="1724">
        <f t="shared" si="53"/>
        <v>0</v>
      </c>
      <c r="O100" s="1724">
        <f t="shared" si="53"/>
        <v>0</v>
      </c>
      <c r="P100" s="1724">
        <f t="shared" si="53"/>
        <v>0</v>
      </c>
      <c r="Q100" s="1724">
        <f t="shared" si="53"/>
        <v>660224.82000000007</v>
      </c>
      <c r="R100" s="1724">
        <f t="shared" si="53"/>
        <v>677069.41999999993</v>
      </c>
      <c r="S100" s="1724">
        <f t="shared" si="53"/>
        <v>0</v>
      </c>
      <c r="T100" s="1724">
        <f t="shared" si="53"/>
        <v>37608.449999999997</v>
      </c>
      <c r="U100" s="1724">
        <f t="shared" si="53"/>
        <v>0</v>
      </c>
      <c r="V100" s="1724">
        <f t="shared" si="53"/>
        <v>0</v>
      </c>
      <c r="W100" s="1724">
        <f t="shared" si="53"/>
        <v>0</v>
      </c>
      <c r="X100" s="1724">
        <f t="shared" si="53"/>
        <v>0</v>
      </c>
      <c r="Y100" s="1724">
        <f t="shared" si="53"/>
        <v>0</v>
      </c>
      <c r="Z100" s="1724">
        <f t="shared" si="53"/>
        <v>0</v>
      </c>
    </row>
    <row r="101" spans="1:26" s="2006" customFormat="1" ht="15" x14ac:dyDescent="0.2">
      <c r="A101" s="52"/>
      <c r="B101" s="52"/>
      <c r="C101" s="52"/>
      <c r="D101" s="52"/>
      <c r="E101" s="1506"/>
      <c r="F101" s="52"/>
      <c r="G101" s="1649"/>
      <c r="H101" s="51"/>
      <c r="I101" s="51"/>
      <c r="J101" s="1725"/>
      <c r="K101" s="51"/>
      <c r="L101" s="2015"/>
      <c r="M101" s="2005"/>
      <c r="N101" s="2005"/>
      <c r="O101" s="2005"/>
      <c r="P101" s="2005"/>
      <c r="Q101" s="2005"/>
      <c r="R101" s="2005"/>
      <c r="S101" s="2005"/>
      <c r="T101" s="2005"/>
      <c r="U101" s="2005"/>
      <c r="V101" s="2005"/>
      <c r="W101" s="2005"/>
      <c r="X101" s="2005"/>
      <c r="Y101" s="2005"/>
      <c r="Z101" s="2005"/>
    </row>
    <row r="102" spans="1:26" s="2006" customFormat="1" ht="15" x14ac:dyDescent="0.2">
      <c r="A102" s="1513" t="s">
        <v>4989</v>
      </c>
      <c r="B102" s="2130" t="s">
        <v>4990</v>
      </c>
      <c r="C102" s="2130"/>
      <c r="D102" s="2130"/>
      <c r="E102" s="2130"/>
      <c r="F102" s="2130"/>
      <c r="G102" s="2130"/>
      <c r="H102" s="2130"/>
      <c r="I102" s="2130"/>
      <c r="J102" s="2130"/>
      <c r="K102" s="1980"/>
      <c r="L102" s="2015"/>
      <c r="M102" s="2005"/>
      <c r="N102" s="2005"/>
      <c r="O102" s="2005"/>
      <c r="P102" s="2005"/>
      <c r="Q102" s="2005"/>
      <c r="R102" s="2005"/>
      <c r="S102" s="2005"/>
      <c r="T102" s="2005"/>
      <c r="U102" s="2005"/>
      <c r="V102" s="2005"/>
      <c r="W102" s="2005"/>
      <c r="X102" s="2005"/>
      <c r="Y102" s="2005"/>
      <c r="Z102" s="2005"/>
    </row>
    <row r="103" spans="1:26" s="2006" customFormat="1" ht="15" x14ac:dyDescent="0.2">
      <c r="A103" s="1634" t="s">
        <v>7806</v>
      </c>
      <c r="B103" s="2136" t="s">
        <v>7807</v>
      </c>
      <c r="C103" s="2136"/>
      <c r="D103" s="2136"/>
      <c r="E103" s="2136"/>
      <c r="F103" s="2136"/>
      <c r="G103" s="2136"/>
      <c r="H103" s="2136"/>
      <c r="I103" s="2136"/>
      <c r="J103" s="2136"/>
      <c r="K103" s="1983"/>
      <c r="L103" s="2015"/>
      <c r="M103" s="2005"/>
      <c r="N103" s="2005"/>
      <c r="O103" s="2005"/>
      <c r="P103" s="2005"/>
      <c r="Q103" s="2005"/>
      <c r="R103" s="2005"/>
      <c r="S103" s="2005"/>
      <c r="T103" s="2005"/>
      <c r="U103" s="2005"/>
      <c r="V103" s="2005"/>
      <c r="W103" s="2005"/>
      <c r="X103" s="2005"/>
      <c r="Y103" s="2005"/>
      <c r="Z103" s="2005"/>
    </row>
    <row r="104" spans="1:26" s="2009" customFormat="1" ht="30" x14ac:dyDescent="0.2">
      <c r="A104" s="1635" t="s">
        <v>7864</v>
      </c>
      <c r="B104" s="1984" t="s">
        <v>4448</v>
      </c>
      <c r="C104" s="1984" t="s">
        <v>8536</v>
      </c>
      <c r="D104" s="1813" t="s">
        <v>7863</v>
      </c>
      <c r="E104" s="1638">
        <f>QuantPrédio!J213</f>
        <v>525.08000000000004</v>
      </c>
      <c r="F104" s="1639" t="s">
        <v>5688</v>
      </c>
      <c r="G104" s="1648">
        <v>4.93</v>
      </c>
      <c r="H104" s="1636">
        <f>ROUND(G104*$B$13,2)</f>
        <v>1.33</v>
      </c>
      <c r="I104" s="1636">
        <f>H104+G104</f>
        <v>6.26</v>
      </c>
      <c r="J104" s="1723">
        <f>ROUND(I104*E104,2)</f>
        <v>3287</v>
      </c>
      <c r="K104" s="2007">
        <f>ROUND(G104*E104,2)</f>
        <v>2588.64</v>
      </c>
      <c r="L104" s="2007">
        <f>ROUND(H104*E104,2)</f>
        <v>698.36</v>
      </c>
      <c r="M104" s="2016"/>
      <c r="N104" s="2016"/>
      <c r="O104" s="2016"/>
      <c r="P104" s="2016"/>
      <c r="Q104" s="2016"/>
      <c r="R104" s="2016"/>
      <c r="S104" s="2016">
        <f>0.5*J104</f>
        <v>1643.5</v>
      </c>
      <c r="T104" s="2016">
        <f>0.5*J104</f>
        <v>1643.5</v>
      </c>
      <c r="U104" s="2016"/>
      <c r="V104" s="2016"/>
      <c r="W104" s="2016"/>
      <c r="X104" s="2016"/>
      <c r="Y104" s="2016"/>
      <c r="Z104" s="2016"/>
    </row>
    <row r="105" spans="1:26" s="2009" customFormat="1" ht="30" x14ac:dyDescent="0.2">
      <c r="A105" s="1635" t="s">
        <v>7866</v>
      </c>
      <c r="B105" s="2140" t="s">
        <v>7765</v>
      </c>
      <c r="C105" s="2140"/>
      <c r="D105" s="1813" t="s">
        <v>7865</v>
      </c>
      <c r="E105" s="1638">
        <f>QuantPrédio!J224</f>
        <v>527.82000000000005</v>
      </c>
      <c r="F105" s="1639" t="s">
        <v>5688</v>
      </c>
      <c r="G105" s="1648">
        <v>7.98</v>
      </c>
      <c r="H105" s="1636">
        <f>ROUND(G105*$B$13,2)</f>
        <v>2.15</v>
      </c>
      <c r="I105" s="1636">
        <f>H105+G105</f>
        <v>10.130000000000001</v>
      </c>
      <c r="J105" s="1723">
        <f>ROUND(I105*E105,2)</f>
        <v>5346.82</v>
      </c>
      <c r="K105" s="2007">
        <f>ROUND(G105*E105,2)</f>
        <v>4212</v>
      </c>
      <c r="L105" s="2007">
        <f>ROUND(H105*E105,2)</f>
        <v>1134.81</v>
      </c>
      <c r="M105" s="2016"/>
      <c r="N105" s="2016"/>
      <c r="O105" s="2016"/>
      <c r="P105" s="2016"/>
      <c r="Q105" s="2016"/>
      <c r="R105" s="2016"/>
      <c r="S105" s="2016">
        <f>0.5*J105</f>
        <v>2673.41</v>
      </c>
      <c r="T105" s="2016">
        <f>0.5*J105</f>
        <v>2673.41</v>
      </c>
      <c r="U105" s="2016"/>
      <c r="V105" s="2016"/>
      <c r="W105" s="2016"/>
      <c r="X105" s="2016"/>
      <c r="Y105" s="2016"/>
      <c r="Z105" s="2016"/>
    </row>
    <row r="106" spans="1:26" s="1811" customFormat="1" ht="30" x14ac:dyDescent="0.2">
      <c r="A106" s="1635" t="s">
        <v>7867</v>
      </c>
      <c r="B106" s="1984" t="s">
        <v>4448</v>
      </c>
      <c r="C106" s="1984" t="s">
        <v>7873</v>
      </c>
      <c r="D106" s="1813" t="s">
        <v>7872</v>
      </c>
      <c r="E106" s="1638">
        <v>879.5</v>
      </c>
      <c r="F106" s="1639" t="s">
        <v>5286</v>
      </c>
      <c r="G106" s="1648">
        <v>5.13</v>
      </c>
      <c r="H106" s="1636">
        <f>ROUND(G106*$B$13,2)</f>
        <v>1.38</v>
      </c>
      <c r="I106" s="1636">
        <f>H106+G106</f>
        <v>6.51</v>
      </c>
      <c r="J106" s="1723">
        <f>ROUND(I106*E106,2)</f>
        <v>5725.55</v>
      </c>
      <c r="K106" s="2007">
        <f>ROUND(G106*E106,2)</f>
        <v>4511.84</v>
      </c>
      <c r="L106" s="2007">
        <f>ROUND(H106*E106,2)</f>
        <v>1213.71</v>
      </c>
      <c r="M106" s="1648"/>
      <c r="N106" s="1648"/>
      <c r="O106" s="1648"/>
      <c r="P106" s="1648"/>
      <c r="Q106" s="1648"/>
      <c r="R106" s="1648"/>
      <c r="S106" s="2016">
        <f>0.5*J106</f>
        <v>2862.7750000000001</v>
      </c>
      <c r="T106" s="2016">
        <f>0.5*J106</f>
        <v>2862.7750000000001</v>
      </c>
      <c r="U106" s="1648"/>
      <c r="V106" s="1648"/>
      <c r="W106" s="1648"/>
      <c r="X106" s="1648"/>
      <c r="Y106" s="1648"/>
      <c r="Z106" s="1648"/>
    </row>
    <row r="107" spans="1:26" s="2009" customFormat="1" ht="60" x14ac:dyDescent="0.2">
      <c r="A107" s="1635" t="s">
        <v>7868</v>
      </c>
      <c r="B107" s="1984" t="s">
        <v>4448</v>
      </c>
      <c r="C107" s="1984" t="s">
        <v>7818</v>
      </c>
      <c r="D107" s="1813" t="s">
        <v>15017</v>
      </c>
      <c r="E107" s="1638">
        <f>280*2</f>
        <v>560</v>
      </c>
      <c r="F107" s="1639" t="s">
        <v>5688</v>
      </c>
      <c r="G107" s="1648">
        <v>11.02</v>
      </c>
      <c r="H107" s="1636">
        <f>ROUND(G107*$B$13,2)</f>
        <v>2.97</v>
      </c>
      <c r="I107" s="1636">
        <f>H107+G107</f>
        <v>13.99</v>
      </c>
      <c r="J107" s="1723">
        <f>ROUND(I107*E107,2)</f>
        <v>7834.4</v>
      </c>
      <c r="K107" s="2007">
        <f>ROUND(G107*E107,2)</f>
        <v>6171.2</v>
      </c>
      <c r="L107" s="2007">
        <f>ROUND(H107*E107,2)</f>
        <v>1663.2</v>
      </c>
      <c r="M107" s="2016"/>
      <c r="N107" s="2016"/>
      <c r="O107" s="2016"/>
      <c r="P107" s="2016"/>
      <c r="Q107" s="2016"/>
      <c r="R107" s="2016"/>
      <c r="S107" s="2016"/>
      <c r="T107" s="2016"/>
      <c r="U107" s="2016"/>
      <c r="V107" s="2016"/>
      <c r="W107" s="2016">
        <f>J107</f>
        <v>7834.4</v>
      </c>
      <c r="X107" s="2016"/>
      <c r="Y107" s="2016"/>
      <c r="Z107" s="2016"/>
    </row>
    <row r="108" spans="1:26" s="2009" customFormat="1" ht="15" x14ac:dyDescent="0.2">
      <c r="A108" s="1634" t="s">
        <v>7869</v>
      </c>
      <c r="B108" s="2136" t="s">
        <v>7870</v>
      </c>
      <c r="C108" s="2136"/>
      <c r="D108" s="2136"/>
      <c r="E108" s="2136"/>
      <c r="F108" s="2136"/>
      <c r="G108" s="2136"/>
      <c r="H108" s="2136"/>
      <c r="I108" s="2136"/>
      <c r="J108" s="2136"/>
      <c r="K108" s="1983"/>
      <c r="L108" s="2018"/>
      <c r="M108" s="2016"/>
      <c r="N108" s="2016"/>
      <c r="O108" s="2016"/>
      <c r="P108" s="2016"/>
      <c r="Q108" s="2016"/>
      <c r="R108" s="2016"/>
      <c r="S108" s="2016"/>
      <c r="T108" s="2016"/>
      <c r="U108" s="2016"/>
      <c r="V108" s="2016"/>
      <c r="W108" s="2016"/>
      <c r="X108" s="2016"/>
      <c r="Y108" s="2016"/>
      <c r="Z108" s="2016"/>
    </row>
    <row r="109" spans="1:26" s="2009" customFormat="1" ht="45" x14ac:dyDescent="0.2">
      <c r="A109" s="1635" t="s">
        <v>7871</v>
      </c>
      <c r="B109" s="1984" t="s">
        <v>5714</v>
      </c>
      <c r="C109" s="1984">
        <v>2</v>
      </c>
      <c r="D109" s="1813" t="s">
        <v>7879</v>
      </c>
      <c r="E109" s="1638">
        <v>278</v>
      </c>
      <c r="F109" s="1639" t="s">
        <v>5284</v>
      </c>
      <c r="G109" s="1648">
        <v>25.59</v>
      </c>
      <c r="H109" s="1636">
        <f>ROUND(G109*$B$13,2)</f>
        <v>6.89</v>
      </c>
      <c r="I109" s="1636">
        <f>H109+G109</f>
        <v>32.479999999999997</v>
      </c>
      <c r="J109" s="1723">
        <f>ROUND(I109*E109,2)</f>
        <v>9029.44</v>
      </c>
      <c r="K109" s="2007">
        <f>ROUND(G109*E109,2)</f>
        <v>7114.02</v>
      </c>
      <c r="L109" s="2007">
        <f>ROUND(H109*E109,2)</f>
        <v>1915.42</v>
      </c>
      <c r="M109" s="2016"/>
      <c r="N109" s="2016"/>
      <c r="O109" s="2016"/>
      <c r="P109" s="2016"/>
      <c r="Q109" s="2016"/>
      <c r="R109" s="2016"/>
      <c r="S109" s="2016">
        <f>0.5*J109</f>
        <v>4514.72</v>
      </c>
      <c r="T109" s="2016">
        <f>0.5*J109</f>
        <v>4514.72</v>
      </c>
      <c r="U109" s="2016"/>
      <c r="V109" s="2016"/>
      <c r="W109" s="2016"/>
      <c r="X109" s="2016"/>
      <c r="Y109" s="2016"/>
      <c r="Z109" s="2016"/>
    </row>
    <row r="110" spans="1:26" s="2009" customFormat="1" ht="30" x14ac:dyDescent="0.2">
      <c r="A110" s="1635" t="s">
        <v>7882</v>
      </c>
      <c r="B110" s="1984" t="s">
        <v>5281</v>
      </c>
      <c r="C110" s="1984" t="s">
        <v>7881</v>
      </c>
      <c r="D110" s="1813" t="s">
        <v>15018</v>
      </c>
      <c r="E110" s="1638">
        <f>QuantPrédio!I233</f>
        <v>7104</v>
      </c>
      <c r="F110" s="1639" t="s">
        <v>7880</v>
      </c>
      <c r="G110" s="1648">
        <v>0.56000000000000005</v>
      </c>
      <c r="H110" s="1636">
        <f>ROUND(G110*$B$13,2)</f>
        <v>0.15</v>
      </c>
      <c r="I110" s="1636">
        <f>H110+G110</f>
        <v>0.71000000000000008</v>
      </c>
      <c r="J110" s="1723">
        <f>ROUND(I110*E110,2)</f>
        <v>5043.84</v>
      </c>
      <c r="K110" s="2007">
        <f>ROUND(G110*E110,2)</f>
        <v>3978.24</v>
      </c>
      <c r="L110" s="2007">
        <f>ROUND(H110*E110,2)</f>
        <v>1065.5999999999999</v>
      </c>
      <c r="M110" s="2016"/>
      <c r="N110" s="2016"/>
      <c r="O110" s="2016"/>
      <c r="P110" s="2016"/>
      <c r="Q110" s="2016"/>
      <c r="R110" s="2016"/>
      <c r="S110" s="2016">
        <f>0.5*J110</f>
        <v>2521.92</v>
      </c>
      <c r="T110" s="2016">
        <f>0.5*J110</f>
        <v>2521.92</v>
      </c>
      <c r="U110" s="2016"/>
      <c r="V110" s="2016"/>
      <c r="W110" s="2016"/>
      <c r="X110" s="2016"/>
      <c r="Y110" s="2016"/>
      <c r="Z110" s="2016"/>
    </row>
    <row r="111" spans="1:26" s="2009" customFormat="1" ht="15" x14ac:dyDescent="0.2">
      <c r="A111" s="1634" t="s">
        <v>9488</v>
      </c>
      <c r="B111" s="2136" t="s">
        <v>9489</v>
      </c>
      <c r="C111" s="2136"/>
      <c r="D111" s="2136"/>
      <c r="E111" s="2136"/>
      <c r="F111" s="2136"/>
      <c r="G111" s="2136"/>
      <c r="H111" s="2136"/>
      <c r="I111" s="2136"/>
      <c r="J111" s="2136"/>
      <c r="K111" s="1983"/>
      <c r="L111" s="2018"/>
      <c r="M111" s="2016"/>
      <c r="N111" s="2016"/>
      <c r="O111" s="2016"/>
      <c r="P111" s="2016"/>
      <c r="Q111" s="2016"/>
      <c r="R111" s="2016"/>
      <c r="S111" s="2016"/>
      <c r="T111" s="2016"/>
      <c r="U111" s="2016"/>
      <c r="V111" s="2016"/>
      <c r="W111" s="2016"/>
      <c r="X111" s="2016"/>
      <c r="Y111" s="2016"/>
      <c r="Z111" s="2016"/>
    </row>
    <row r="112" spans="1:26" s="2009" customFormat="1" ht="30" x14ac:dyDescent="0.2">
      <c r="A112" s="1635" t="s">
        <v>9490</v>
      </c>
      <c r="B112" s="1984" t="s">
        <v>4448</v>
      </c>
      <c r="C112" s="1984">
        <v>100723</v>
      </c>
      <c r="D112" s="1813" t="s">
        <v>9496</v>
      </c>
      <c r="E112" s="1638">
        <f>QuantPrédio!J243</f>
        <v>743.18</v>
      </c>
      <c r="F112" s="1812" t="s">
        <v>9491</v>
      </c>
      <c r="G112" s="1648">
        <v>7.46</v>
      </c>
      <c r="H112" s="1636">
        <f>ROUND(G112*$B$13,2)</f>
        <v>2.0099999999999998</v>
      </c>
      <c r="I112" s="1636">
        <f>H112+G112</f>
        <v>9.4699999999999989</v>
      </c>
      <c r="J112" s="1723">
        <f>ROUND(I112*E112,2)</f>
        <v>7037.91</v>
      </c>
      <c r="K112" s="2007">
        <f>ROUND(G112*E112,2)</f>
        <v>5544.12</v>
      </c>
      <c r="L112" s="2007">
        <f>ROUND(H112*E112,2)</f>
        <v>1493.79</v>
      </c>
      <c r="M112" s="2016"/>
      <c r="N112" s="2016"/>
      <c r="O112" s="2016"/>
      <c r="P112" s="2016"/>
      <c r="Q112" s="2016"/>
      <c r="R112" s="2016"/>
      <c r="S112" s="2016">
        <f>0.5*J112</f>
        <v>3518.9549999999999</v>
      </c>
      <c r="T112" s="2016">
        <f>0.5*J112</f>
        <v>3518.9549999999999</v>
      </c>
      <c r="U112" s="2016"/>
      <c r="V112" s="2016"/>
      <c r="W112" s="2016"/>
      <c r="X112" s="2016"/>
      <c r="Y112" s="2016"/>
      <c r="Z112" s="2016"/>
    </row>
    <row r="113" spans="1:26" s="2006" customFormat="1" ht="15" x14ac:dyDescent="0.2">
      <c r="A113" s="2133" t="s">
        <v>9546</v>
      </c>
      <c r="B113" s="2133"/>
      <c r="C113" s="2133"/>
      <c r="D113" s="2133"/>
      <c r="E113" s="2133"/>
      <c r="F113" s="2133"/>
      <c r="G113" s="2133"/>
      <c r="H113" s="2133"/>
      <c r="I113" s="2133"/>
      <c r="J113" s="1724">
        <f>SUM(J102:J112)</f>
        <v>43304.960000000006</v>
      </c>
      <c r="K113" s="2010"/>
      <c r="L113" s="2015"/>
      <c r="M113" s="1724">
        <f t="shared" ref="M113:Z113" si="54">SUM(M102:M112)</f>
        <v>0</v>
      </c>
      <c r="N113" s="1724">
        <f t="shared" si="54"/>
        <v>0</v>
      </c>
      <c r="O113" s="1724">
        <f t="shared" si="54"/>
        <v>0</v>
      </c>
      <c r="P113" s="1724">
        <f t="shared" si="54"/>
        <v>0</v>
      </c>
      <c r="Q113" s="1724">
        <f t="shared" si="54"/>
        <v>0</v>
      </c>
      <c r="R113" s="1724">
        <f t="shared" si="54"/>
        <v>0</v>
      </c>
      <c r="S113" s="1724">
        <f t="shared" si="54"/>
        <v>17735.28</v>
      </c>
      <c r="T113" s="1724">
        <f t="shared" si="54"/>
        <v>17735.28</v>
      </c>
      <c r="U113" s="1724">
        <f t="shared" si="54"/>
        <v>0</v>
      </c>
      <c r="V113" s="1724">
        <f t="shared" si="54"/>
        <v>0</v>
      </c>
      <c r="W113" s="1724">
        <f t="shared" si="54"/>
        <v>7834.4</v>
      </c>
      <c r="X113" s="1724">
        <f t="shared" si="54"/>
        <v>0</v>
      </c>
      <c r="Y113" s="1724">
        <f t="shared" si="54"/>
        <v>0</v>
      </c>
      <c r="Z113" s="1724">
        <f t="shared" si="54"/>
        <v>0</v>
      </c>
    </row>
    <row r="114" spans="1:26" s="2006" customFormat="1" ht="15" x14ac:dyDescent="0.2">
      <c r="A114" s="52"/>
      <c r="B114" s="52"/>
      <c r="C114" s="52"/>
      <c r="D114" s="52"/>
      <c r="E114" s="1506"/>
      <c r="F114" s="52"/>
      <c r="G114" s="1649"/>
      <c r="H114" s="51"/>
      <c r="I114" s="51"/>
      <c r="J114" s="1725"/>
      <c r="K114" s="51"/>
      <c r="L114" s="2015"/>
      <c r="M114" s="2005"/>
      <c r="N114" s="2005"/>
      <c r="O114" s="2005"/>
      <c r="P114" s="2005"/>
      <c r="Q114" s="2005"/>
      <c r="R114" s="2005"/>
      <c r="S114" s="2005"/>
      <c r="T114" s="2005"/>
      <c r="U114" s="2005"/>
      <c r="V114" s="2005"/>
      <c r="W114" s="2005"/>
      <c r="X114" s="2005"/>
      <c r="Y114" s="2005"/>
      <c r="Z114" s="2005"/>
    </row>
    <row r="115" spans="1:26" s="2003" customFormat="1" ht="15" x14ac:dyDescent="0.2">
      <c r="A115" s="2132" t="s">
        <v>5704</v>
      </c>
      <c r="B115" s="2132"/>
      <c r="C115" s="2132"/>
      <c r="D115" s="2132"/>
      <c r="E115" s="2132"/>
      <c r="F115" s="2132"/>
      <c r="G115" s="2132"/>
      <c r="H115" s="2132"/>
      <c r="I115" s="2132"/>
      <c r="J115" s="1726">
        <f>J113+J100+J83</f>
        <v>1907388.69</v>
      </c>
      <c r="K115" s="2011"/>
      <c r="L115" s="2015"/>
      <c r="M115" s="1726">
        <f t="shared" ref="M115:Z115" si="55">M113+M100+M83</f>
        <v>0</v>
      </c>
      <c r="N115" s="1726">
        <f t="shared" si="55"/>
        <v>38715.756000000001</v>
      </c>
      <c r="O115" s="1726">
        <f t="shared" si="55"/>
        <v>197754.198</v>
      </c>
      <c r="P115" s="1726">
        <f t="shared" si="55"/>
        <v>226796.94199999998</v>
      </c>
      <c r="Q115" s="1726">
        <f t="shared" si="55"/>
        <v>686138.96400000004</v>
      </c>
      <c r="R115" s="1726">
        <f t="shared" si="55"/>
        <v>677069.41999999993</v>
      </c>
      <c r="S115" s="1726">
        <f t="shared" si="55"/>
        <v>17735.28</v>
      </c>
      <c r="T115" s="1726">
        <f t="shared" si="55"/>
        <v>55343.729999999996</v>
      </c>
      <c r="U115" s="1726">
        <f t="shared" si="55"/>
        <v>0</v>
      </c>
      <c r="V115" s="1726">
        <f t="shared" si="55"/>
        <v>0</v>
      </c>
      <c r="W115" s="1726">
        <f t="shared" si="55"/>
        <v>7834.4</v>
      </c>
      <c r="X115" s="1726">
        <f t="shared" si="55"/>
        <v>0</v>
      </c>
      <c r="Y115" s="1726">
        <f t="shared" si="55"/>
        <v>0</v>
      </c>
      <c r="Z115" s="1726">
        <f t="shared" si="55"/>
        <v>0</v>
      </c>
    </row>
    <row r="116" spans="1:26" s="2006" customFormat="1" ht="15" x14ac:dyDescent="0.2">
      <c r="A116" s="1635"/>
      <c r="B116" s="1984"/>
      <c r="C116" s="1984"/>
      <c r="D116" s="1813"/>
      <c r="E116" s="1638"/>
      <c r="F116" s="1639"/>
      <c r="G116" s="1650"/>
      <c r="H116" s="19"/>
      <c r="I116" s="19"/>
      <c r="J116" s="1727"/>
      <c r="K116" s="2012"/>
      <c r="L116" s="2015"/>
      <c r="M116" s="2013">
        <f t="shared" ref="M116:Z116" si="56">M115/$J$115</f>
        <v>0</v>
      </c>
      <c r="N116" s="2013">
        <f t="shared" si="56"/>
        <v>2.0297779997846165E-2</v>
      </c>
      <c r="O116" s="2013">
        <f t="shared" si="56"/>
        <v>0.10367797556773811</v>
      </c>
      <c r="P116" s="2013">
        <f t="shared" si="56"/>
        <v>0.11890441795583888</v>
      </c>
      <c r="Q116" s="2013">
        <f t="shared" si="56"/>
        <v>0.35972687035278583</v>
      </c>
      <c r="R116" s="2013">
        <f t="shared" si="56"/>
        <v>0.35497191712927684</v>
      </c>
      <c r="S116" s="2013">
        <f t="shared" si="56"/>
        <v>9.2981992044841155E-3</v>
      </c>
      <c r="T116" s="2013">
        <f t="shared" si="56"/>
        <v>2.9015444146310836E-2</v>
      </c>
      <c r="U116" s="2013">
        <f t="shared" si="56"/>
        <v>0</v>
      </c>
      <c r="V116" s="2013">
        <f t="shared" si="56"/>
        <v>0</v>
      </c>
      <c r="W116" s="2013">
        <f t="shared" si="56"/>
        <v>4.1073956457191741E-3</v>
      </c>
      <c r="X116" s="2013">
        <f t="shared" si="56"/>
        <v>0</v>
      </c>
      <c r="Y116" s="2013">
        <f t="shared" si="56"/>
        <v>0</v>
      </c>
      <c r="Z116" s="2013">
        <f t="shared" si="56"/>
        <v>0</v>
      </c>
    </row>
    <row r="117" spans="1:26" s="2003" customFormat="1" ht="15" x14ac:dyDescent="0.2">
      <c r="A117" s="1988" t="s">
        <v>4</v>
      </c>
      <c r="B117" s="2135" t="s">
        <v>4862</v>
      </c>
      <c r="C117" s="2135"/>
      <c r="D117" s="2135"/>
      <c r="E117" s="2135"/>
      <c r="F117" s="2135"/>
      <c r="G117" s="2135"/>
      <c r="H117" s="2135"/>
      <c r="I117" s="2135"/>
      <c r="J117" s="2135"/>
      <c r="K117" s="1981"/>
      <c r="L117" s="2014"/>
      <c r="M117" s="2000"/>
      <c r="N117" s="2000"/>
      <c r="O117" s="2000"/>
      <c r="P117" s="2005"/>
      <c r="Q117" s="2005"/>
      <c r="R117" s="2005"/>
      <c r="S117" s="2005"/>
      <c r="T117" s="2005"/>
      <c r="U117" s="2005"/>
      <c r="V117" s="2005"/>
      <c r="W117" s="2005"/>
      <c r="X117" s="2005"/>
      <c r="Y117" s="2005"/>
      <c r="Z117" s="2005"/>
    </row>
    <row r="118" spans="1:26" s="2006" customFormat="1" ht="15" x14ac:dyDescent="0.2">
      <c r="A118" s="2004" t="s">
        <v>0</v>
      </c>
      <c r="B118" s="2131" t="s">
        <v>6715</v>
      </c>
      <c r="C118" s="2131"/>
      <c r="D118" s="2004" t="s">
        <v>1</v>
      </c>
      <c r="E118" s="1986" t="s">
        <v>131</v>
      </c>
      <c r="F118" s="1987" t="s">
        <v>11</v>
      </c>
      <c r="G118" s="1990" t="s">
        <v>12</v>
      </c>
      <c r="H118" s="1989" t="s">
        <v>5679</v>
      </c>
      <c r="I118" s="1989" t="s">
        <v>5680</v>
      </c>
      <c r="J118" s="1990" t="s">
        <v>130</v>
      </c>
      <c r="K118" s="1989"/>
      <c r="L118" s="2014"/>
      <c r="M118" s="2000"/>
      <c r="N118" s="2000"/>
      <c r="O118" s="2000"/>
      <c r="P118" s="2005"/>
      <c r="Q118" s="2005"/>
      <c r="R118" s="2005"/>
      <c r="S118" s="2005"/>
      <c r="T118" s="2005"/>
      <c r="U118" s="2005"/>
      <c r="V118" s="2005"/>
      <c r="W118" s="2005"/>
      <c r="X118" s="2005"/>
      <c r="Y118" s="2005"/>
      <c r="Z118" s="2005"/>
    </row>
    <row r="119" spans="1:26" s="2006" customFormat="1" ht="15" x14ac:dyDescent="0.2">
      <c r="A119" s="1513" t="s">
        <v>4853</v>
      </c>
      <c r="B119" s="2130" t="s">
        <v>4863</v>
      </c>
      <c r="C119" s="2130"/>
      <c r="D119" s="2130"/>
      <c r="E119" s="2130"/>
      <c r="F119" s="2130"/>
      <c r="G119" s="2130"/>
      <c r="H119" s="2130"/>
      <c r="I119" s="2130"/>
      <c r="J119" s="2130"/>
      <c r="K119" s="1980"/>
      <c r="L119" s="2015"/>
      <c r="M119" s="2005"/>
      <c r="N119" s="2005"/>
      <c r="O119" s="2005"/>
      <c r="P119" s="2005"/>
      <c r="Q119" s="2005"/>
      <c r="R119" s="2005"/>
      <c r="S119" s="2005"/>
      <c r="T119" s="2005"/>
      <c r="U119" s="2005"/>
      <c r="V119" s="2005"/>
      <c r="W119" s="2005"/>
      <c r="X119" s="2005"/>
      <c r="Y119" s="2005"/>
      <c r="Z119" s="2005"/>
    </row>
    <row r="120" spans="1:26" s="2006" customFormat="1" ht="15" x14ac:dyDescent="0.2">
      <c r="A120" s="1634" t="s">
        <v>5705</v>
      </c>
      <c r="B120" s="2136" t="s">
        <v>5706</v>
      </c>
      <c r="C120" s="2136"/>
      <c r="D120" s="2136"/>
      <c r="E120" s="2136"/>
      <c r="F120" s="2136"/>
      <c r="G120" s="2136"/>
      <c r="H120" s="2136"/>
      <c r="I120" s="2136"/>
      <c r="J120" s="2136"/>
      <c r="K120" s="1983"/>
      <c r="L120" s="2015"/>
      <c r="M120" s="2005"/>
      <c r="N120" s="2005"/>
      <c r="O120" s="2005"/>
      <c r="P120" s="2005"/>
      <c r="Q120" s="2005"/>
      <c r="R120" s="2005"/>
      <c r="S120" s="2005"/>
      <c r="T120" s="2005"/>
      <c r="U120" s="2005"/>
      <c r="V120" s="2005"/>
      <c r="W120" s="2005"/>
      <c r="X120" s="2005"/>
      <c r="Y120" s="2005"/>
      <c r="Z120" s="2005"/>
    </row>
    <row r="121" spans="1:26" s="2009" customFormat="1" ht="30" x14ac:dyDescent="0.2">
      <c r="A121" s="1635" t="s">
        <v>6721</v>
      </c>
      <c r="B121" s="1984" t="s">
        <v>4448</v>
      </c>
      <c r="C121" s="1984">
        <v>89168</v>
      </c>
      <c r="D121" s="1813" t="s">
        <v>5707</v>
      </c>
      <c r="E121" s="1638">
        <f>QuantPrédio!J256</f>
        <v>1031.28</v>
      </c>
      <c r="F121" s="1639" t="s">
        <v>5286</v>
      </c>
      <c r="G121" s="1648">
        <v>64.510000000000005</v>
      </c>
      <c r="H121" s="1636">
        <f t="shared" ref="H121:H131" si="57">ROUND(G121*$B$13,2)</f>
        <v>17.37</v>
      </c>
      <c r="I121" s="1636">
        <f t="shared" ref="I121:I131" si="58">H121+G121</f>
        <v>81.88000000000001</v>
      </c>
      <c r="J121" s="1723">
        <f t="shared" ref="J121:J131" si="59">ROUND(I121*E121,2)</f>
        <v>84441.21</v>
      </c>
      <c r="K121" s="2007">
        <f t="shared" ref="K121:K131" si="60">ROUND(G121*E121,2)</f>
        <v>66527.87</v>
      </c>
      <c r="L121" s="2007">
        <f t="shared" ref="L121:L131" si="61">ROUND(H121*E121,2)</f>
        <v>17913.330000000002</v>
      </c>
      <c r="M121" s="2016"/>
      <c r="N121" s="2016"/>
      <c r="O121" s="2016"/>
      <c r="P121" s="2016"/>
      <c r="Q121" s="2016"/>
      <c r="R121" s="2016">
        <f t="shared" ref="R121:R128" si="62">0.2*J121</f>
        <v>16888.242000000002</v>
      </c>
      <c r="S121" s="2016">
        <f t="shared" ref="S121:S128" si="63">0.5*J121</f>
        <v>42220.605000000003</v>
      </c>
      <c r="T121" s="2016">
        <f t="shared" ref="T121:T128" si="64">0.3*J121</f>
        <v>25332.363000000001</v>
      </c>
      <c r="U121" s="2016"/>
      <c r="V121" s="2016"/>
      <c r="W121" s="2016"/>
      <c r="X121" s="2016"/>
      <c r="Y121" s="2016"/>
      <c r="Z121" s="2016"/>
    </row>
    <row r="122" spans="1:26" s="2009" customFormat="1" ht="30" x14ac:dyDescent="0.2">
      <c r="A122" s="1635" t="s">
        <v>6722</v>
      </c>
      <c r="B122" s="1984" t="s">
        <v>4448</v>
      </c>
      <c r="C122" s="1984">
        <v>89977</v>
      </c>
      <c r="D122" s="1813" t="s">
        <v>5708</v>
      </c>
      <c r="E122" s="1638">
        <f>QuantPrédio!J265</f>
        <v>931.59</v>
      </c>
      <c r="F122" s="1639" t="s">
        <v>5286</v>
      </c>
      <c r="G122" s="1648">
        <v>109.41</v>
      </c>
      <c r="H122" s="1636">
        <f t="shared" si="57"/>
        <v>29.46</v>
      </c>
      <c r="I122" s="1636">
        <f t="shared" si="58"/>
        <v>138.87</v>
      </c>
      <c r="J122" s="1723">
        <f t="shared" si="59"/>
        <v>129369.9</v>
      </c>
      <c r="K122" s="2007">
        <f t="shared" si="60"/>
        <v>101925.26</v>
      </c>
      <c r="L122" s="2007">
        <f t="shared" si="61"/>
        <v>27444.639999999999</v>
      </c>
      <c r="M122" s="2016"/>
      <c r="N122" s="2016"/>
      <c r="O122" s="2016"/>
      <c r="P122" s="2016"/>
      <c r="Q122" s="2016"/>
      <c r="R122" s="2016">
        <f t="shared" si="62"/>
        <v>25873.98</v>
      </c>
      <c r="S122" s="2016">
        <f t="shared" si="63"/>
        <v>64684.95</v>
      </c>
      <c r="T122" s="2016">
        <f t="shared" si="64"/>
        <v>38810.969999999994</v>
      </c>
      <c r="U122" s="2016"/>
      <c r="V122" s="2016"/>
      <c r="W122" s="2016"/>
      <c r="X122" s="2016"/>
      <c r="Y122" s="2016"/>
      <c r="Z122" s="2016"/>
    </row>
    <row r="123" spans="1:26" s="2009" customFormat="1" ht="30" x14ac:dyDescent="0.2">
      <c r="A123" s="1635" t="s">
        <v>6723</v>
      </c>
      <c r="B123" s="1984" t="s">
        <v>4448</v>
      </c>
      <c r="C123" s="1984">
        <v>87471</v>
      </c>
      <c r="D123" s="1813" t="s">
        <v>5709</v>
      </c>
      <c r="E123" s="1638">
        <f>QuantPrédio!J273</f>
        <v>33.5</v>
      </c>
      <c r="F123" s="1639" t="s">
        <v>5286</v>
      </c>
      <c r="G123" s="1648">
        <v>37.82</v>
      </c>
      <c r="H123" s="1636">
        <f t="shared" si="57"/>
        <v>10.18</v>
      </c>
      <c r="I123" s="1636">
        <f t="shared" si="58"/>
        <v>48</v>
      </c>
      <c r="J123" s="1723">
        <f t="shared" si="59"/>
        <v>1608</v>
      </c>
      <c r="K123" s="2007">
        <f t="shared" si="60"/>
        <v>1266.97</v>
      </c>
      <c r="L123" s="2007">
        <f t="shared" si="61"/>
        <v>341.03</v>
      </c>
      <c r="M123" s="2016"/>
      <c r="N123" s="2016"/>
      <c r="O123" s="2016"/>
      <c r="P123" s="2016"/>
      <c r="Q123" s="2016"/>
      <c r="R123" s="2016">
        <f t="shared" si="62"/>
        <v>321.60000000000002</v>
      </c>
      <c r="S123" s="2016">
        <f t="shared" si="63"/>
        <v>804</v>
      </c>
      <c r="T123" s="2016">
        <f t="shared" si="64"/>
        <v>482.4</v>
      </c>
      <c r="U123" s="2016"/>
      <c r="V123" s="2016"/>
      <c r="W123" s="2016"/>
      <c r="X123" s="2016"/>
      <c r="Y123" s="2016"/>
      <c r="Z123" s="2016"/>
    </row>
    <row r="124" spans="1:26" s="2009" customFormat="1" ht="45" x14ac:dyDescent="0.2">
      <c r="A124" s="1635" t="s">
        <v>6724</v>
      </c>
      <c r="B124" s="1984" t="s">
        <v>4448</v>
      </c>
      <c r="C124" s="1984">
        <v>93204</v>
      </c>
      <c r="D124" s="1813" t="s">
        <v>5710</v>
      </c>
      <c r="E124" s="1638">
        <f>QuantPrédio!I281</f>
        <v>424.87</v>
      </c>
      <c r="F124" s="1639" t="s">
        <v>5713</v>
      </c>
      <c r="G124" s="1648">
        <v>35.69</v>
      </c>
      <c r="H124" s="1636">
        <f t="shared" si="57"/>
        <v>9.61</v>
      </c>
      <c r="I124" s="1636">
        <f t="shared" si="58"/>
        <v>45.3</v>
      </c>
      <c r="J124" s="1723">
        <f t="shared" si="59"/>
        <v>19246.61</v>
      </c>
      <c r="K124" s="2007">
        <f t="shared" si="60"/>
        <v>15163.61</v>
      </c>
      <c r="L124" s="2007">
        <f t="shared" si="61"/>
        <v>4083</v>
      </c>
      <c r="M124" s="2016"/>
      <c r="N124" s="2016"/>
      <c r="O124" s="2016"/>
      <c r="P124" s="2016"/>
      <c r="Q124" s="2016"/>
      <c r="R124" s="2016">
        <f t="shared" si="62"/>
        <v>3849.3220000000001</v>
      </c>
      <c r="S124" s="2016">
        <f t="shared" si="63"/>
        <v>9623.3050000000003</v>
      </c>
      <c r="T124" s="2016">
        <f t="shared" si="64"/>
        <v>5773.9830000000002</v>
      </c>
      <c r="U124" s="2016"/>
      <c r="V124" s="2016"/>
      <c r="W124" s="2016"/>
      <c r="X124" s="2016"/>
      <c r="Y124" s="2016"/>
      <c r="Z124" s="2016"/>
    </row>
    <row r="125" spans="1:26" s="2009" customFormat="1" ht="30" x14ac:dyDescent="0.2">
      <c r="A125" s="1635" t="s">
        <v>6725</v>
      </c>
      <c r="B125" s="1984" t="s">
        <v>4448</v>
      </c>
      <c r="C125" s="1984">
        <v>93187</v>
      </c>
      <c r="D125" s="1813" t="s">
        <v>5711</v>
      </c>
      <c r="E125" s="1638">
        <f>QuantPrédio!I288</f>
        <v>176.16</v>
      </c>
      <c r="F125" s="1639" t="s">
        <v>5713</v>
      </c>
      <c r="G125" s="1648">
        <v>53.92</v>
      </c>
      <c r="H125" s="1636">
        <f t="shared" si="57"/>
        <v>14.52</v>
      </c>
      <c r="I125" s="1636">
        <f t="shared" si="58"/>
        <v>68.44</v>
      </c>
      <c r="J125" s="1723">
        <f t="shared" si="59"/>
        <v>12056.39</v>
      </c>
      <c r="K125" s="2007">
        <f t="shared" si="60"/>
        <v>9498.5499999999993</v>
      </c>
      <c r="L125" s="2007">
        <f t="shared" si="61"/>
        <v>2557.84</v>
      </c>
      <c r="M125" s="2016"/>
      <c r="N125" s="2016"/>
      <c r="O125" s="2016"/>
      <c r="P125" s="2016"/>
      <c r="Q125" s="2016"/>
      <c r="R125" s="2016">
        <f t="shared" si="62"/>
        <v>2411.2779999999998</v>
      </c>
      <c r="S125" s="2016">
        <f t="shared" si="63"/>
        <v>6028.1949999999997</v>
      </c>
      <c r="T125" s="2016">
        <f t="shared" si="64"/>
        <v>3616.9169999999999</v>
      </c>
      <c r="U125" s="2016"/>
      <c r="V125" s="2016"/>
      <c r="W125" s="2016"/>
      <c r="X125" s="2016"/>
      <c r="Y125" s="2016"/>
      <c r="Z125" s="2016"/>
    </row>
    <row r="126" spans="1:26" s="2009" customFormat="1" ht="30" x14ac:dyDescent="0.2">
      <c r="A126" s="1635" t="s">
        <v>6726</v>
      </c>
      <c r="B126" s="1984" t="s">
        <v>5714</v>
      </c>
      <c r="C126" s="1984">
        <v>3</v>
      </c>
      <c r="D126" s="1813" t="s">
        <v>6664</v>
      </c>
      <c r="E126" s="1638">
        <f>QuantPrédio!I297</f>
        <v>310.2</v>
      </c>
      <c r="F126" s="1639" t="s">
        <v>5713</v>
      </c>
      <c r="G126" s="1648">
        <v>63.61</v>
      </c>
      <c r="H126" s="1636">
        <f t="shared" si="57"/>
        <v>17.13</v>
      </c>
      <c r="I126" s="1636">
        <f t="shared" si="58"/>
        <v>80.739999999999995</v>
      </c>
      <c r="J126" s="1723">
        <f t="shared" si="59"/>
        <v>25045.55</v>
      </c>
      <c r="K126" s="2007">
        <f t="shared" si="60"/>
        <v>19731.82</v>
      </c>
      <c r="L126" s="2007">
        <f t="shared" si="61"/>
        <v>5313.73</v>
      </c>
      <c r="M126" s="2016"/>
      <c r="N126" s="2016"/>
      <c r="O126" s="2016"/>
      <c r="P126" s="2016"/>
      <c r="Q126" s="2016"/>
      <c r="R126" s="2016">
        <f t="shared" si="62"/>
        <v>5009.1100000000006</v>
      </c>
      <c r="S126" s="2016">
        <f t="shared" si="63"/>
        <v>12522.775</v>
      </c>
      <c r="T126" s="2016">
        <f t="shared" si="64"/>
        <v>7513.6649999999991</v>
      </c>
      <c r="U126" s="2016"/>
      <c r="V126" s="2016"/>
      <c r="W126" s="2016"/>
      <c r="X126" s="2016"/>
      <c r="Y126" s="2016"/>
      <c r="Z126" s="2016"/>
    </row>
    <row r="127" spans="1:26" s="2009" customFormat="1" ht="45" x14ac:dyDescent="0.2">
      <c r="A127" s="1635" t="s">
        <v>6727</v>
      </c>
      <c r="B127" s="1984" t="s">
        <v>4448</v>
      </c>
      <c r="C127" s="1984">
        <v>93203</v>
      </c>
      <c r="D127" s="1813" t="s">
        <v>5712</v>
      </c>
      <c r="E127" s="1638">
        <f>QuantPrédio!I305</f>
        <v>424.87</v>
      </c>
      <c r="F127" s="1639" t="s">
        <v>5713</v>
      </c>
      <c r="G127" s="1648">
        <v>10.9</v>
      </c>
      <c r="H127" s="1636">
        <f t="shared" si="57"/>
        <v>2.94</v>
      </c>
      <c r="I127" s="1636">
        <f t="shared" si="58"/>
        <v>13.84</v>
      </c>
      <c r="J127" s="1723">
        <f t="shared" si="59"/>
        <v>5880.2</v>
      </c>
      <c r="K127" s="2007">
        <f t="shared" si="60"/>
        <v>4631.08</v>
      </c>
      <c r="L127" s="2007">
        <f t="shared" si="61"/>
        <v>1249.1199999999999</v>
      </c>
      <c r="M127" s="2016"/>
      <c r="N127" s="2016"/>
      <c r="O127" s="2016"/>
      <c r="P127" s="2016"/>
      <c r="Q127" s="2016"/>
      <c r="R127" s="2016">
        <f t="shared" si="62"/>
        <v>1176.04</v>
      </c>
      <c r="S127" s="2016">
        <f t="shared" si="63"/>
        <v>2940.1</v>
      </c>
      <c r="T127" s="2016">
        <f t="shared" si="64"/>
        <v>1764.06</v>
      </c>
      <c r="U127" s="2016"/>
      <c r="V127" s="2016"/>
      <c r="W127" s="2016"/>
      <c r="X127" s="2016"/>
      <c r="Y127" s="2016"/>
      <c r="Z127" s="2016"/>
    </row>
    <row r="128" spans="1:26" s="2009" customFormat="1" ht="45" x14ac:dyDescent="0.2">
      <c r="A128" s="1635" t="s">
        <v>5715</v>
      </c>
      <c r="B128" s="1984" t="s">
        <v>4448</v>
      </c>
      <c r="C128" s="1984" t="s">
        <v>3691</v>
      </c>
      <c r="D128" s="1813" t="s">
        <v>5716</v>
      </c>
      <c r="E128" s="1638">
        <v>45.4</v>
      </c>
      <c r="F128" s="1639" t="s">
        <v>5286</v>
      </c>
      <c r="G128" s="1648">
        <v>108.92</v>
      </c>
      <c r="H128" s="1636">
        <f t="shared" si="57"/>
        <v>29.33</v>
      </c>
      <c r="I128" s="1636">
        <f t="shared" si="58"/>
        <v>138.25</v>
      </c>
      <c r="J128" s="1723">
        <f t="shared" si="59"/>
        <v>6276.55</v>
      </c>
      <c r="K128" s="2007">
        <f t="shared" si="60"/>
        <v>4944.97</v>
      </c>
      <c r="L128" s="2007">
        <f t="shared" si="61"/>
        <v>1331.58</v>
      </c>
      <c r="M128" s="2016"/>
      <c r="N128" s="2016"/>
      <c r="O128" s="2016"/>
      <c r="P128" s="2016"/>
      <c r="Q128" s="2016"/>
      <c r="R128" s="2016">
        <f t="shared" si="62"/>
        <v>1255.3100000000002</v>
      </c>
      <c r="S128" s="2016">
        <f t="shared" si="63"/>
        <v>3138.2750000000001</v>
      </c>
      <c r="T128" s="2016">
        <f t="shared" si="64"/>
        <v>1882.9649999999999</v>
      </c>
      <c r="U128" s="2016"/>
      <c r="V128" s="2016"/>
      <c r="W128" s="2016"/>
      <c r="X128" s="2016"/>
      <c r="Y128" s="2016"/>
      <c r="Z128" s="2016"/>
    </row>
    <row r="129" spans="1:26" s="2009" customFormat="1" ht="60" x14ac:dyDescent="0.2">
      <c r="A129" s="1635" t="s">
        <v>5903</v>
      </c>
      <c r="B129" s="1984" t="s">
        <v>4448</v>
      </c>
      <c r="C129" s="1984" t="s">
        <v>5902</v>
      </c>
      <c r="D129" s="1813" t="s">
        <v>7901</v>
      </c>
      <c r="E129" s="1638">
        <f>QuantPrédio!J322</f>
        <v>61.15</v>
      </c>
      <c r="F129" s="1639" t="s">
        <v>5286</v>
      </c>
      <c r="G129" s="1648">
        <v>685.37</v>
      </c>
      <c r="H129" s="1636">
        <f t="shared" si="57"/>
        <v>184.57</v>
      </c>
      <c r="I129" s="1636">
        <f t="shared" si="58"/>
        <v>869.94</v>
      </c>
      <c r="J129" s="1723">
        <f t="shared" si="59"/>
        <v>53196.83</v>
      </c>
      <c r="K129" s="2007">
        <f t="shared" si="60"/>
        <v>41910.379999999997</v>
      </c>
      <c r="L129" s="2007">
        <f t="shared" si="61"/>
        <v>11286.46</v>
      </c>
      <c r="M129" s="2016"/>
      <c r="N129" s="2016"/>
      <c r="O129" s="2016"/>
      <c r="P129" s="2016"/>
      <c r="Q129" s="2016"/>
      <c r="R129" s="2016"/>
      <c r="S129" s="2016"/>
      <c r="T129" s="2016"/>
      <c r="U129" s="2016"/>
      <c r="V129" s="2016"/>
      <c r="W129" s="2016">
        <f>0.5*J129</f>
        <v>26598.415000000001</v>
      </c>
      <c r="X129" s="2016">
        <f>0.5*J129</f>
        <v>26598.415000000001</v>
      </c>
      <c r="Y129" s="2016"/>
      <c r="Z129" s="2016"/>
    </row>
    <row r="130" spans="1:26" s="2009" customFormat="1" ht="45" x14ac:dyDescent="0.2">
      <c r="A130" s="1635" t="s">
        <v>6731</v>
      </c>
      <c r="B130" s="1984" t="s">
        <v>4448</v>
      </c>
      <c r="C130" s="1984">
        <v>96359</v>
      </c>
      <c r="D130" s="1813" t="s">
        <v>5717</v>
      </c>
      <c r="E130" s="1638">
        <f>QuantPrédio!J332</f>
        <v>332.77</v>
      </c>
      <c r="F130" s="1639" t="s">
        <v>5286</v>
      </c>
      <c r="G130" s="1648">
        <v>85.09</v>
      </c>
      <c r="H130" s="1636">
        <f t="shared" si="57"/>
        <v>22.91</v>
      </c>
      <c r="I130" s="1636">
        <f t="shared" si="58"/>
        <v>108</v>
      </c>
      <c r="J130" s="1723">
        <f t="shared" si="59"/>
        <v>35939.160000000003</v>
      </c>
      <c r="K130" s="2007">
        <f t="shared" si="60"/>
        <v>28315.4</v>
      </c>
      <c r="L130" s="2007">
        <f t="shared" si="61"/>
        <v>7623.76</v>
      </c>
      <c r="M130" s="2016"/>
      <c r="N130" s="2016"/>
      <c r="O130" s="2016"/>
      <c r="P130" s="2016"/>
      <c r="Q130" s="2016"/>
      <c r="R130" s="2016"/>
      <c r="S130" s="2016"/>
      <c r="T130" s="2016"/>
      <c r="U130" s="2016"/>
      <c r="V130" s="2016">
        <f>0.5*J130</f>
        <v>17969.580000000002</v>
      </c>
      <c r="W130" s="2016">
        <f>0.5*J130</f>
        <v>17969.580000000002</v>
      </c>
      <c r="X130" s="2016"/>
      <c r="Y130" s="2016"/>
      <c r="Z130" s="2016"/>
    </row>
    <row r="131" spans="1:26" s="2009" customFormat="1" ht="30" x14ac:dyDescent="0.2">
      <c r="A131" s="1635" t="s">
        <v>6732</v>
      </c>
      <c r="B131" s="1984" t="s">
        <v>4448</v>
      </c>
      <c r="C131" s="1984">
        <v>96372</v>
      </c>
      <c r="D131" s="1813" t="s">
        <v>5718</v>
      </c>
      <c r="E131" s="1638">
        <f>QuantPrédio!J332</f>
        <v>332.77</v>
      </c>
      <c r="F131" s="1639" t="s">
        <v>5286</v>
      </c>
      <c r="G131" s="1648">
        <v>22.49</v>
      </c>
      <c r="H131" s="1636">
        <f t="shared" si="57"/>
        <v>6.06</v>
      </c>
      <c r="I131" s="1636">
        <f t="shared" si="58"/>
        <v>28.549999999999997</v>
      </c>
      <c r="J131" s="1723">
        <f t="shared" si="59"/>
        <v>9500.58</v>
      </c>
      <c r="K131" s="2007">
        <f t="shared" si="60"/>
        <v>7484</v>
      </c>
      <c r="L131" s="2007">
        <f t="shared" si="61"/>
        <v>2016.59</v>
      </c>
      <c r="M131" s="2016"/>
      <c r="N131" s="2016"/>
      <c r="O131" s="2016"/>
      <c r="P131" s="2016"/>
      <c r="Q131" s="2016"/>
      <c r="R131" s="2016"/>
      <c r="S131" s="2016"/>
      <c r="T131" s="2016"/>
      <c r="U131" s="2016"/>
      <c r="V131" s="2016">
        <f>0.5*J131</f>
        <v>4750.29</v>
      </c>
      <c r="W131" s="2016">
        <f>0.5*J131</f>
        <v>4750.29</v>
      </c>
      <c r="X131" s="2016"/>
      <c r="Y131" s="2016"/>
      <c r="Z131" s="2016"/>
    </row>
    <row r="132" spans="1:26" s="2009" customFormat="1" ht="15" x14ac:dyDescent="0.2">
      <c r="A132" s="1634" t="s">
        <v>5719</v>
      </c>
      <c r="B132" s="2136" t="s">
        <v>5720</v>
      </c>
      <c r="C132" s="2136"/>
      <c r="D132" s="2136"/>
      <c r="E132" s="2136"/>
      <c r="F132" s="2136"/>
      <c r="G132" s="2136"/>
      <c r="H132" s="2136"/>
      <c r="I132" s="2136"/>
      <c r="J132" s="2136"/>
      <c r="K132" s="1983"/>
      <c r="L132" s="2018"/>
      <c r="M132" s="2016"/>
      <c r="N132" s="2016"/>
      <c r="O132" s="2016"/>
      <c r="P132" s="2016"/>
      <c r="Q132" s="2016"/>
      <c r="R132" s="2016"/>
      <c r="S132" s="2016"/>
      <c r="T132" s="2016"/>
      <c r="U132" s="2016"/>
      <c r="V132" s="2016"/>
      <c r="W132" s="2016"/>
      <c r="X132" s="2016"/>
      <c r="Y132" s="2016"/>
      <c r="Z132" s="2016"/>
    </row>
    <row r="133" spans="1:26" s="2009" customFormat="1" ht="60" x14ac:dyDescent="0.2">
      <c r="A133" s="1635" t="s">
        <v>6733</v>
      </c>
      <c r="B133" s="1984" t="s">
        <v>4448</v>
      </c>
      <c r="C133" s="1984" t="s">
        <v>5725</v>
      </c>
      <c r="D133" s="1813" t="s">
        <v>5721</v>
      </c>
      <c r="E133" s="1638">
        <v>16</v>
      </c>
      <c r="F133" s="1639" t="s">
        <v>5284</v>
      </c>
      <c r="G133" s="1648">
        <v>1038.1200000000001</v>
      </c>
      <c r="H133" s="1636">
        <f t="shared" ref="H133:H154" si="65">ROUND(G133*$B$13,2)</f>
        <v>279.57</v>
      </c>
      <c r="I133" s="1636">
        <f t="shared" ref="I133:I154" si="66">H133+G133</f>
        <v>1317.69</v>
      </c>
      <c r="J133" s="1723">
        <f t="shared" ref="J133:J154" si="67">ROUND(I133*E133,2)</f>
        <v>21083.040000000001</v>
      </c>
      <c r="K133" s="2007">
        <f t="shared" ref="K133:K154" si="68">ROUND(G133*E133,2)</f>
        <v>16609.919999999998</v>
      </c>
      <c r="L133" s="2007">
        <f t="shared" ref="L133:L154" si="69">ROUND(H133*E133,2)</f>
        <v>4473.12</v>
      </c>
      <c r="M133" s="2016"/>
      <c r="N133" s="2016"/>
      <c r="O133" s="2016"/>
      <c r="P133" s="2016"/>
      <c r="Q133" s="2016"/>
      <c r="R133" s="2016"/>
      <c r="S133" s="2016"/>
      <c r="T133" s="2016"/>
      <c r="U133" s="2016"/>
      <c r="V133" s="2016">
        <f t="shared" ref="V133:V154" si="70">0.3*J133</f>
        <v>6324.9120000000003</v>
      </c>
      <c r="W133" s="2016">
        <f t="shared" ref="W133:W154" si="71">0.4*J133</f>
        <v>8433.2160000000003</v>
      </c>
      <c r="X133" s="2016">
        <f t="shared" ref="X133:X154" si="72">0.3*J133</f>
        <v>6324.9120000000003</v>
      </c>
      <c r="Y133" s="2016"/>
      <c r="Z133" s="2016"/>
    </row>
    <row r="134" spans="1:26" s="2009" customFormat="1" ht="75" x14ac:dyDescent="0.2">
      <c r="A134" s="1635" t="s">
        <v>6734</v>
      </c>
      <c r="B134" s="1984" t="s">
        <v>4448</v>
      </c>
      <c r="C134" s="1984" t="s">
        <v>5726</v>
      </c>
      <c r="D134" s="1813" t="s">
        <v>5722</v>
      </c>
      <c r="E134" s="1638">
        <v>6</v>
      </c>
      <c r="F134" s="1639" t="s">
        <v>5284</v>
      </c>
      <c r="G134" s="1648">
        <v>1407.32</v>
      </c>
      <c r="H134" s="1636">
        <f t="shared" si="65"/>
        <v>378.99</v>
      </c>
      <c r="I134" s="1636">
        <f t="shared" si="66"/>
        <v>1786.31</v>
      </c>
      <c r="J134" s="1723">
        <f t="shared" si="67"/>
        <v>10717.86</v>
      </c>
      <c r="K134" s="2007">
        <f t="shared" si="68"/>
        <v>8443.92</v>
      </c>
      <c r="L134" s="2007">
        <f t="shared" si="69"/>
        <v>2273.94</v>
      </c>
      <c r="M134" s="2016"/>
      <c r="N134" s="2016"/>
      <c r="O134" s="2016"/>
      <c r="P134" s="2016"/>
      <c r="Q134" s="2016"/>
      <c r="R134" s="2016"/>
      <c r="S134" s="2016"/>
      <c r="T134" s="2016"/>
      <c r="U134" s="2016"/>
      <c r="V134" s="2016">
        <f t="shared" si="70"/>
        <v>3215.3580000000002</v>
      </c>
      <c r="W134" s="2016">
        <f t="shared" si="71"/>
        <v>4287.1440000000002</v>
      </c>
      <c r="X134" s="2016">
        <f t="shared" si="72"/>
        <v>3215.3580000000002</v>
      </c>
      <c r="Y134" s="2016"/>
      <c r="Z134" s="2016"/>
    </row>
    <row r="135" spans="1:26" s="2009" customFormat="1" ht="75" x14ac:dyDescent="0.2">
      <c r="A135" s="1635" t="s">
        <v>6735</v>
      </c>
      <c r="B135" s="1984" t="s">
        <v>4448</v>
      </c>
      <c r="C135" s="1984" t="s">
        <v>5727</v>
      </c>
      <c r="D135" s="1813" t="s">
        <v>15026</v>
      </c>
      <c r="E135" s="1638">
        <v>1</v>
      </c>
      <c r="F135" s="1639" t="s">
        <v>5284</v>
      </c>
      <c r="G135" s="1648">
        <v>4675.1100000000006</v>
      </c>
      <c r="H135" s="1636">
        <f t="shared" si="65"/>
        <v>1259.01</v>
      </c>
      <c r="I135" s="1636">
        <f t="shared" si="66"/>
        <v>5934.1200000000008</v>
      </c>
      <c r="J135" s="1723">
        <f t="shared" si="67"/>
        <v>5934.12</v>
      </c>
      <c r="K135" s="2007">
        <f t="shared" si="68"/>
        <v>4675.1099999999997</v>
      </c>
      <c r="L135" s="2007">
        <f t="shared" si="69"/>
        <v>1259.01</v>
      </c>
      <c r="M135" s="2016"/>
      <c r="N135" s="2016"/>
      <c r="O135" s="2016"/>
      <c r="P135" s="2016"/>
      <c r="Q135" s="2016"/>
      <c r="R135" s="2016"/>
      <c r="S135" s="2016"/>
      <c r="T135" s="2016"/>
      <c r="U135" s="2016"/>
      <c r="V135" s="2016">
        <f t="shared" si="70"/>
        <v>1780.2359999999999</v>
      </c>
      <c r="W135" s="2016">
        <f t="shared" si="71"/>
        <v>2373.6480000000001</v>
      </c>
      <c r="X135" s="2016">
        <f t="shared" si="72"/>
        <v>1780.2359999999999</v>
      </c>
      <c r="Y135" s="2016"/>
      <c r="Z135" s="2016"/>
    </row>
    <row r="136" spans="1:26" s="2009" customFormat="1" ht="75" x14ac:dyDescent="0.2">
      <c r="A136" s="1635" t="s">
        <v>6736</v>
      </c>
      <c r="B136" s="1984" t="s">
        <v>4448</v>
      </c>
      <c r="C136" s="1984" t="s">
        <v>5728</v>
      </c>
      <c r="D136" s="1813" t="s">
        <v>15028</v>
      </c>
      <c r="E136" s="1638">
        <v>1</v>
      </c>
      <c r="F136" s="1639" t="s">
        <v>5284</v>
      </c>
      <c r="G136" s="1648">
        <v>5490.09</v>
      </c>
      <c r="H136" s="1636">
        <f t="shared" ref="H136" si="73">ROUND(G136*$B$13,2)</f>
        <v>1478.48</v>
      </c>
      <c r="I136" s="1636">
        <f t="shared" ref="I136" si="74">H136+G136</f>
        <v>6968.57</v>
      </c>
      <c r="J136" s="1723">
        <f t="shared" ref="J136" si="75">ROUND(I136*E136,2)</f>
        <v>6968.57</v>
      </c>
      <c r="K136" s="2007">
        <f t="shared" ref="K136" si="76">ROUND(G136*E136,2)</f>
        <v>5490.09</v>
      </c>
      <c r="L136" s="2007">
        <f t="shared" ref="L136" si="77">ROUND(H136*E136,2)</f>
        <v>1478.48</v>
      </c>
      <c r="M136" s="2016"/>
      <c r="N136" s="2016"/>
      <c r="O136" s="2016"/>
      <c r="P136" s="2016"/>
      <c r="Q136" s="2016"/>
      <c r="R136" s="2016"/>
      <c r="S136" s="2016"/>
      <c r="T136" s="2016"/>
      <c r="U136" s="2016"/>
      <c r="V136" s="2016">
        <f t="shared" ref="V136" si="78">0.3*J136</f>
        <v>2090.5709999999999</v>
      </c>
      <c r="W136" s="2016">
        <f t="shared" ref="W136" si="79">0.4*J136</f>
        <v>2787.4279999999999</v>
      </c>
      <c r="X136" s="2016">
        <f t="shared" ref="X136" si="80">0.3*J136</f>
        <v>2090.5709999999999</v>
      </c>
      <c r="Y136" s="2016"/>
      <c r="Z136" s="2016"/>
    </row>
    <row r="137" spans="1:26" s="2009" customFormat="1" ht="75" x14ac:dyDescent="0.2">
      <c r="A137" s="1635" t="s">
        <v>6737</v>
      </c>
      <c r="B137" s="1984" t="s">
        <v>4448</v>
      </c>
      <c r="C137" s="1984" t="s">
        <v>5729</v>
      </c>
      <c r="D137" s="1813" t="s">
        <v>15029</v>
      </c>
      <c r="E137" s="1638">
        <v>1</v>
      </c>
      <c r="F137" s="1639" t="s">
        <v>5284</v>
      </c>
      <c r="G137" s="1648">
        <v>5919.49</v>
      </c>
      <c r="H137" s="1636">
        <f t="shared" si="65"/>
        <v>1594.12</v>
      </c>
      <c r="I137" s="1636">
        <f t="shared" si="66"/>
        <v>7513.61</v>
      </c>
      <c r="J137" s="1723">
        <f t="shared" si="67"/>
        <v>7513.61</v>
      </c>
      <c r="K137" s="2007">
        <f t="shared" si="68"/>
        <v>5919.49</v>
      </c>
      <c r="L137" s="2007">
        <f t="shared" si="69"/>
        <v>1594.12</v>
      </c>
      <c r="M137" s="2016"/>
      <c r="N137" s="2016"/>
      <c r="O137" s="2016"/>
      <c r="P137" s="2016"/>
      <c r="Q137" s="2016"/>
      <c r="R137" s="2016"/>
      <c r="S137" s="2016"/>
      <c r="T137" s="2016"/>
      <c r="U137" s="2016"/>
      <c r="V137" s="2016">
        <f t="shared" si="70"/>
        <v>2254.0829999999996</v>
      </c>
      <c r="W137" s="2016">
        <f t="shared" si="71"/>
        <v>3005.444</v>
      </c>
      <c r="X137" s="2016">
        <f t="shared" si="72"/>
        <v>2254.0829999999996</v>
      </c>
      <c r="Y137" s="2016"/>
      <c r="Z137" s="2016"/>
    </row>
    <row r="138" spans="1:26" s="2009" customFormat="1" ht="60" x14ac:dyDescent="0.2">
      <c r="A138" s="1635" t="s">
        <v>15031</v>
      </c>
      <c r="B138" s="1984" t="s">
        <v>4448</v>
      </c>
      <c r="C138" s="1984" t="s">
        <v>15030</v>
      </c>
      <c r="D138" s="1813" t="s">
        <v>5724</v>
      </c>
      <c r="E138" s="1638">
        <v>5</v>
      </c>
      <c r="F138" s="1639" t="s">
        <v>5284</v>
      </c>
      <c r="G138" s="1648">
        <v>1068.22</v>
      </c>
      <c r="H138" s="1636">
        <f t="shared" si="65"/>
        <v>287.67</v>
      </c>
      <c r="I138" s="1636">
        <f t="shared" si="66"/>
        <v>1355.89</v>
      </c>
      <c r="J138" s="1723">
        <f t="shared" si="67"/>
        <v>6779.45</v>
      </c>
      <c r="K138" s="2007">
        <f t="shared" si="68"/>
        <v>5341.1</v>
      </c>
      <c r="L138" s="2007">
        <f t="shared" si="69"/>
        <v>1438.35</v>
      </c>
      <c r="M138" s="2016"/>
      <c r="N138" s="2016"/>
      <c r="O138" s="2016"/>
      <c r="P138" s="2016"/>
      <c r="Q138" s="2016"/>
      <c r="R138" s="2016"/>
      <c r="S138" s="2016"/>
      <c r="T138" s="2016"/>
      <c r="U138" s="2016"/>
      <c r="V138" s="2016">
        <f t="shared" si="70"/>
        <v>2033.8349999999998</v>
      </c>
      <c r="W138" s="2016">
        <f t="shared" si="71"/>
        <v>2711.78</v>
      </c>
      <c r="X138" s="2016">
        <f t="shared" si="72"/>
        <v>2033.8349999999998</v>
      </c>
      <c r="Y138" s="2016"/>
      <c r="Z138" s="2016"/>
    </row>
    <row r="139" spans="1:26" s="2009" customFormat="1" ht="60" x14ac:dyDescent="0.2">
      <c r="A139" s="1635" t="s">
        <v>6738</v>
      </c>
      <c r="B139" s="1984" t="s">
        <v>4448</v>
      </c>
      <c r="C139" s="1984" t="s">
        <v>5732</v>
      </c>
      <c r="D139" s="1813" t="s">
        <v>5730</v>
      </c>
      <c r="E139" s="1638">
        <v>1</v>
      </c>
      <c r="F139" s="1639" t="s">
        <v>5284</v>
      </c>
      <c r="G139" s="1648">
        <v>31733.440000000002</v>
      </c>
      <c r="H139" s="1636">
        <f t="shared" si="65"/>
        <v>8545.82</v>
      </c>
      <c r="I139" s="1636">
        <f t="shared" si="66"/>
        <v>40279.26</v>
      </c>
      <c r="J139" s="1723">
        <f t="shared" si="67"/>
        <v>40279.26</v>
      </c>
      <c r="K139" s="2007">
        <f t="shared" si="68"/>
        <v>31733.439999999999</v>
      </c>
      <c r="L139" s="2007">
        <f t="shared" si="69"/>
        <v>8545.82</v>
      </c>
      <c r="M139" s="2016"/>
      <c r="N139" s="2016"/>
      <c r="O139" s="2016"/>
      <c r="P139" s="2016"/>
      <c r="Q139" s="2016"/>
      <c r="R139" s="2016"/>
      <c r="S139" s="2016"/>
      <c r="T139" s="2016"/>
      <c r="U139" s="2016"/>
      <c r="V139" s="2016">
        <f t="shared" si="70"/>
        <v>12083.778</v>
      </c>
      <c r="W139" s="2016">
        <f t="shared" si="71"/>
        <v>16111.704000000002</v>
      </c>
      <c r="X139" s="2016">
        <f t="shared" si="72"/>
        <v>12083.778</v>
      </c>
      <c r="Y139" s="2016"/>
      <c r="Z139" s="2016"/>
    </row>
    <row r="140" spans="1:26" s="2009" customFormat="1" ht="60" x14ac:dyDescent="0.2">
      <c r="A140" s="1635" t="s">
        <v>6739</v>
      </c>
      <c r="B140" s="1984" t="s">
        <v>4448</v>
      </c>
      <c r="C140" s="1984" t="s">
        <v>5733</v>
      </c>
      <c r="D140" s="1813" t="s">
        <v>5731</v>
      </c>
      <c r="E140" s="1638">
        <v>2</v>
      </c>
      <c r="F140" s="1639" t="s">
        <v>5284</v>
      </c>
      <c r="G140" s="1648">
        <v>30437.890000000007</v>
      </c>
      <c r="H140" s="1636">
        <f t="shared" si="65"/>
        <v>8196.92</v>
      </c>
      <c r="I140" s="1636">
        <f t="shared" si="66"/>
        <v>38634.810000000005</v>
      </c>
      <c r="J140" s="1723">
        <f t="shared" si="67"/>
        <v>77269.62</v>
      </c>
      <c r="K140" s="2007">
        <f t="shared" si="68"/>
        <v>60875.78</v>
      </c>
      <c r="L140" s="2007">
        <f t="shared" si="69"/>
        <v>16393.84</v>
      </c>
      <c r="M140" s="2016"/>
      <c r="N140" s="2016"/>
      <c r="O140" s="2016"/>
      <c r="P140" s="2016"/>
      <c r="Q140" s="2016"/>
      <c r="R140" s="2016"/>
      <c r="S140" s="2016"/>
      <c r="T140" s="2016"/>
      <c r="U140" s="2016"/>
      <c r="V140" s="2016">
        <f t="shared" si="70"/>
        <v>23180.885999999999</v>
      </c>
      <c r="W140" s="2016">
        <f t="shared" si="71"/>
        <v>30907.847999999998</v>
      </c>
      <c r="X140" s="2016">
        <f t="shared" si="72"/>
        <v>23180.885999999999</v>
      </c>
      <c r="Y140" s="2016"/>
      <c r="Z140" s="2016"/>
    </row>
    <row r="141" spans="1:26" s="2009" customFormat="1" ht="30" x14ac:dyDescent="0.2">
      <c r="A141" s="1635" t="s">
        <v>6740</v>
      </c>
      <c r="B141" s="1984" t="s">
        <v>4448</v>
      </c>
      <c r="C141" s="1984" t="s">
        <v>5734</v>
      </c>
      <c r="D141" s="1813" t="s">
        <v>7829</v>
      </c>
      <c r="E141" s="1638">
        <v>1</v>
      </c>
      <c r="F141" s="1639" t="s">
        <v>5284</v>
      </c>
      <c r="G141" s="1648">
        <v>1928.65</v>
      </c>
      <c r="H141" s="1636">
        <f t="shared" si="65"/>
        <v>519.39</v>
      </c>
      <c r="I141" s="1636">
        <f t="shared" si="66"/>
        <v>2448.04</v>
      </c>
      <c r="J141" s="1723">
        <f t="shared" si="67"/>
        <v>2448.04</v>
      </c>
      <c r="K141" s="2007">
        <f t="shared" si="68"/>
        <v>1928.65</v>
      </c>
      <c r="L141" s="2007">
        <f t="shared" si="69"/>
        <v>519.39</v>
      </c>
      <c r="M141" s="2016"/>
      <c r="N141" s="2016"/>
      <c r="O141" s="2016"/>
      <c r="P141" s="2016"/>
      <c r="Q141" s="2016"/>
      <c r="R141" s="2016"/>
      <c r="S141" s="2016"/>
      <c r="T141" s="2016"/>
      <c r="U141" s="2016"/>
      <c r="V141" s="2016">
        <f t="shared" si="70"/>
        <v>734.41199999999992</v>
      </c>
      <c r="W141" s="2016">
        <f t="shared" si="71"/>
        <v>979.21600000000001</v>
      </c>
      <c r="X141" s="2016">
        <f t="shared" si="72"/>
        <v>734.41199999999992</v>
      </c>
      <c r="Y141" s="2016"/>
      <c r="Z141" s="2016"/>
    </row>
    <row r="142" spans="1:26" s="2009" customFormat="1" ht="30" x14ac:dyDescent="0.2">
      <c r="A142" s="1635" t="s">
        <v>6741</v>
      </c>
      <c r="B142" s="1984" t="s">
        <v>4448</v>
      </c>
      <c r="C142" s="1984" t="s">
        <v>5735</v>
      </c>
      <c r="D142" s="1813" t="s">
        <v>7830</v>
      </c>
      <c r="E142" s="1638">
        <v>3</v>
      </c>
      <c r="F142" s="1639" t="s">
        <v>5284</v>
      </c>
      <c r="G142" s="1648">
        <v>1046.98</v>
      </c>
      <c r="H142" s="1636">
        <f t="shared" si="65"/>
        <v>281.95</v>
      </c>
      <c r="I142" s="1636">
        <f t="shared" si="66"/>
        <v>1328.93</v>
      </c>
      <c r="J142" s="1723">
        <f t="shared" si="67"/>
        <v>3986.79</v>
      </c>
      <c r="K142" s="2007">
        <f t="shared" si="68"/>
        <v>3140.94</v>
      </c>
      <c r="L142" s="2007">
        <f t="shared" si="69"/>
        <v>845.85</v>
      </c>
      <c r="M142" s="2016"/>
      <c r="N142" s="2016"/>
      <c r="O142" s="2016"/>
      <c r="P142" s="2016"/>
      <c r="Q142" s="2016"/>
      <c r="R142" s="2016"/>
      <c r="S142" s="2016"/>
      <c r="T142" s="2016"/>
      <c r="U142" s="2016"/>
      <c r="V142" s="2016">
        <f t="shared" si="70"/>
        <v>1196.037</v>
      </c>
      <c r="W142" s="2016">
        <f t="shared" si="71"/>
        <v>1594.7160000000001</v>
      </c>
      <c r="X142" s="2016">
        <f t="shared" si="72"/>
        <v>1196.037</v>
      </c>
      <c r="Y142" s="2016"/>
      <c r="Z142" s="2016"/>
    </row>
    <row r="143" spans="1:26" s="2009" customFormat="1" ht="30" x14ac:dyDescent="0.2">
      <c r="A143" s="1635" t="s">
        <v>6742</v>
      </c>
      <c r="B143" s="1984" t="s">
        <v>4448</v>
      </c>
      <c r="C143" s="1984" t="s">
        <v>5736</v>
      </c>
      <c r="D143" s="1813" t="s">
        <v>7831</v>
      </c>
      <c r="E143" s="1638">
        <v>2</v>
      </c>
      <c r="F143" s="1639" t="s">
        <v>5284</v>
      </c>
      <c r="G143" s="1648">
        <v>2066.42</v>
      </c>
      <c r="H143" s="1636">
        <f t="shared" si="65"/>
        <v>556.49</v>
      </c>
      <c r="I143" s="1636">
        <f t="shared" si="66"/>
        <v>2622.91</v>
      </c>
      <c r="J143" s="1723">
        <f t="shared" si="67"/>
        <v>5245.82</v>
      </c>
      <c r="K143" s="2007">
        <f t="shared" si="68"/>
        <v>4132.84</v>
      </c>
      <c r="L143" s="2007">
        <f t="shared" si="69"/>
        <v>1112.98</v>
      </c>
      <c r="M143" s="2016"/>
      <c r="N143" s="2016"/>
      <c r="O143" s="2016"/>
      <c r="P143" s="2016"/>
      <c r="Q143" s="2016"/>
      <c r="R143" s="2016"/>
      <c r="S143" s="2016"/>
      <c r="T143" s="2016"/>
      <c r="U143" s="2016"/>
      <c r="V143" s="2016">
        <f t="shared" si="70"/>
        <v>1573.7459999999999</v>
      </c>
      <c r="W143" s="2016">
        <f t="shared" si="71"/>
        <v>2098.328</v>
      </c>
      <c r="X143" s="2016">
        <f t="shared" si="72"/>
        <v>1573.7459999999999</v>
      </c>
      <c r="Y143" s="2016"/>
      <c r="Z143" s="2016"/>
    </row>
    <row r="144" spans="1:26" s="2009" customFormat="1" ht="45" x14ac:dyDescent="0.2">
      <c r="A144" s="1635" t="s">
        <v>7828</v>
      </c>
      <c r="B144" s="1984" t="s">
        <v>4448</v>
      </c>
      <c r="C144" s="1984" t="s">
        <v>7555</v>
      </c>
      <c r="D144" s="1813" t="s">
        <v>7832</v>
      </c>
      <c r="E144" s="1638">
        <v>4</v>
      </c>
      <c r="F144" s="1639" t="s">
        <v>5284</v>
      </c>
      <c r="G144" s="1648">
        <v>844.3900000000001</v>
      </c>
      <c r="H144" s="1636">
        <f t="shared" si="65"/>
        <v>227.39</v>
      </c>
      <c r="I144" s="1636">
        <f t="shared" si="66"/>
        <v>1071.7800000000002</v>
      </c>
      <c r="J144" s="1723">
        <f t="shared" si="67"/>
        <v>4287.12</v>
      </c>
      <c r="K144" s="2007">
        <f t="shared" si="68"/>
        <v>3377.56</v>
      </c>
      <c r="L144" s="2007">
        <f t="shared" si="69"/>
        <v>909.56</v>
      </c>
      <c r="M144" s="2016"/>
      <c r="N144" s="2016"/>
      <c r="O144" s="2016"/>
      <c r="P144" s="2016"/>
      <c r="Q144" s="2016"/>
      <c r="R144" s="2016"/>
      <c r="S144" s="2016"/>
      <c r="T144" s="2016"/>
      <c r="U144" s="2016"/>
      <c r="V144" s="2016">
        <f t="shared" si="70"/>
        <v>1286.136</v>
      </c>
      <c r="W144" s="2016">
        <f t="shared" si="71"/>
        <v>1714.848</v>
      </c>
      <c r="X144" s="2016">
        <f t="shared" si="72"/>
        <v>1286.136</v>
      </c>
      <c r="Y144" s="2016"/>
      <c r="Z144" s="2016"/>
    </row>
    <row r="145" spans="1:26" s="2009" customFormat="1" ht="60" x14ac:dyDescent="0.2">
      <c r="A145" s="1635" t="s">
        <v>6743</v>
      </c>
      <c r="B145" s="1984" t="s">
        <v>5714</v>
      </c>
      <c r="C145" s="1984">
        <v>4</v>
      </c>
      <c r="D145" s="1813" t="s">
        <v>5738</v>
      </c>
      <c r="E145" s="1638">
        <v>8</v>
      </c>
      <c r="F145" s="1639" t="s">
        <v>5284</v>
      </c>
      <c r="G145" s="1648">
        <v>9045.85</v>
      </c>
      <c r="H145" s="1636">
        <f t="shared" si="65"/>
        <v>2436.0500000000002</v>
      </c>
      <c r="I145" s="1636">
        <f t="shared" si="66"/>
        <v>11481.900000000001</v>
      </c>
      <c r="J145" s="1723">
        <f t="shared" si="67"/>
        <v>91855.2</v>
      </c>
      <c r="K145" s="2007">
        <f t="shared" si="68"/>
        <v>72366.8</v>
      </c>
      <c r="L145" s="2007">
        <f t="shared" si="69"/>
        <v>19488.400000000001</v>
      </c>
      <c r="M145" s="2016"/>
      <c r="N145" s="2016"/>
      <c r="O145" s="2016"/>
      <c r="P145" s="2016"/>
      <c r="Q145" s="2016"/>
      <c r="R145" s="2016"/>
      <c r="S145" s="2016"/>
      <c r="T145" s="2016"/>
      <c r="U145" s="2016"/>
      <c r="V145" s="2016">
        <f t="shared" si="70"/>
        <v>27556.559999999998</v>
      </c>
      <c r="W145" s="2016">
        <f t="shared" si="71"/>
        <v>36742.080000000002</v>
      </c>
      <c r="X145" s="2016">
        <f t="shared" si="72"/>
        <v>27556.559999999998</v>
      </c>
      <c r="Y145" s="2016"/>
      <c r="Z145" s="2016"/>
    </row>
    <row r="146" spans="1:26" s="2009" customFormat="1" ht="60" x14ac:dyDescent="0.2">
      <c r="A146" s="1635" t="s">
        <v>6744</v>
      </c>
      <c r="B146" s="1984" t="s">
        <v>5714</v>
      </c>
      <c r="C146" s="1984">
        <v>5</v>
      </c>
      <c r="D146" s="1813" t="s">
        <v>5739</v>
      </c>
      <c r="E146" s="1638">
        <v>8</v>
      </c>
      <c r="F146" s="1639" t="s">
        <v>5284</v>
      </c>
      <c r="G146" s="1648">
        <v>8882.08</v>
      </c>
      <c r="H146" s="1636">
        <f t="shared" si="65"/>
        <v>2391.94</v>
      </c>
      <c r="I146" s="1636">
        <f t="shared" si="66"/>
        <v>11274.02</v>
      </c>
      <c r="J146" s="1723">
        <f t="shared" si="67"/>
        <v>90192.16</v>
      </c>
      <c r="K146" s="2007">
        <f t="shared" si="68"/>
        <v>71056.639999999999</v>
      </c>
      <c r="L146" s="2007">
        <f t="shared" si="69"/>
        <v>19135.52</v>
      </c>
      <c r="M146" s="2016"/>
      <c r="N146" s="2016"/>
      <c r="O146" s="2016"/>
      <c r="P146" s="2016"/>
      <c r="Q146" s="2016"/>
      <c r="R146" s="2016"/>
      <c r="S146" s="2016"/>
      <c r="T146" s="2016"/>
      <c r="U146" s="2016"/>
      <c r="V146" s="2016">
        <f t="shared" si="70"/>
        <v>27057.648000000001</v>
      </c>
      <c r="W146" s="2016">
        <f t="shared" si="71"/>
        <v>36076.864000000001</v>
      </c>
      <c r="X146" s="2016">
        <f t="shared" si="72"/>
        <v>27057.648000000001</v>
      </c>
      <c r="Y146" s="2016"/>
      <c r="Z146" s="2016"/>
    </row>
    <row r="147" spans="1:26" s="2009" customFormat="1" ht="60" x14ac:dyDescent="0.2">
      <c r="A147" s="1635" t="s">
        <v>6745</v>
      </c>
      <c r="B147" s="1984" t="s">
        <v>5714</v>
      </c>
      <c r="C147" s="1984">
        <v>6</v>
      </c>
      <c r="D147" s="1813" t="s">
        <v>5740</v>
      </c>
      <c r="E147" s="1638">
        <v>6</v>
      </c>
      <c r="F147" s="1639" t="s">
        <v>5284</v>
      </c>
      <c r="G147" s="1648">
        <v>9241.5300000000007</v>
      </c>
      <c r="H147" s="1636">
        <f t="shared" si="65"/>
        <v>2488.7399999999998</v>
      </c>
      <c r="I147" s="1636">
        <f t="shared" si="66"/>
        <v>11730.27</v>
      </c>
      <c r="J147" s="1723">
        <f t="shared" si="67"/>
        <v>70381.62</v>
      </c>
      <c r="K147" s="2007">
        <f t="shared" si="68"/>
        <v>55449.18</v>
      </c>
      <c r="L147" s="2007">
        <f t="shared" si="69"/>
        <v>14932.44</v>
      </c>
      <c r="M147" s="2016"/>
      <c r="N147" s="2016"/>
      <c r="O147" s="2016"/>
      <c r="P147" s="2016"/>
      <c r="Q147" s="2016"/>
      <c r="R147" s="2016"/>
      <c r="S147" s="2016"/>
      <c r="T147" s="2016"/>
      <c r="U147" s="2016"/>
      <c r="V147" s="2016">
        <f t="shared" si="70"/>
        <v>21114.485999999997</v>
      </c>
      <c r="W147" s="2016">
        <f t="shared" si="71"/>
        <v>28152.648000000001</v>
      </c>
      <c r="X147" s="2016">
        <f t="shared" si="72"/>
        <v>21114.485999999997</v>
      </c>
      <c r="Y147" s="2016"/>
      <c r="Z147" s="2016"/>
    </row>
    <row r="148" spans="1:26" s="2009" customFormat="1" ht="60" x14ac:dyDescent="0.2">
      <c r="A148" s="1635" t="s">
        <v>6746</v>
      </c>
      <c r="B148" s="1984" t="s">
        <v>5714</v>
      </c>
      <c r="C148" s="1984">
        <v>7</v>
      </c>
      <c r="D148" s="1813" t="s">
        <v>9529</v>
      </c>
      <c r="E148" s="1638">
        <v>2</v>
      </c>
      <c r="F148" s="1639" t="s">
        <v>5284</v>
      </c>
      <c r="G148" s="1648">
        <v>7556.2199999999993</v>
      </c>
      <c r="H148" s="1636">
        <f t="shared" si="65"/>
        <v>2034.89</v>
      </c>
      <c r="I148" s="1636">
        <f t="shared" si="66"/>
        <v>9591.1099999999988</v>
      </c>
      <c r="J148" s="1723">
        <f t="shared" si="67"/>
        <v>19182.22</v>
      </c>
      <c r="K148" s="2007">
        <f t="shared" si="68"/>
        <v>15112.44</v>
      </c>
      <c r="L148" s="2007">
        <f t="shared" si="69"/>
        <v>4069.78</v>
      </c>
      <c r="M148" s="2016"/>
      <c r="N148" s="2016"/>
      <c r="O148" s="2016"/>
      <c r="P148" s="2016"/>
      <c r="Q148" s="2016"/>
      <c r="R148" s="2016"/>
      <c r="S148" s="2016"/>
      <c r="T148" s="2016"/>
      <c r="U148" s="2016"/>
      <c r="V148" s="2016">
        <f t="shared" si="70"/>
        <v>5754.6660000000002</v>
      </c>
      <c r="W148" s="2016">
        <f t="shared" si="71"/>
        <v>7672.8880000000008</v>
      </c>
      <c r="X148" s="2016">
        <f t="shared" si="72"/>
        <v>5754.6660000000002</v>
      </c>
      <c r="Y148" s="2016"/>
      <c r="Z148" s="2016"/>
    </row>
    <row r="149" spans="1:26" s="2009" customFormat="1" ht="60" x14ac:dyDescent="0.2">
      <c r="A149" s="1635" t="s">
        <v>6666</v>
      </c>
      <c r="B149" s="1984" t="s">
        <v>5281</v>
      </c>
      <c r="C149" s="1984">
        <v>12082</v>
      </c>
      <c r="D149" s="1813" t="s">
        <v>15032</v>
      </c>
      <c r="E149" s="1638">
        <v>1</v>
      </c>
      <c r="F149" s="1639" t="s">
        <v>5284</v>
      </c>
      <c r="G149" s="1648">
        <v>4134.49</v>
      </c>
      <c r="H149" s="1636">
        <f t="shared" si="65"/>
        <v>1113.42</v>
      </c>
      <c r="I149" s="1636">
        <f t="shared" si="66"/>
        <v>5247.91</v>
      </c>
      <c r="J149" s="1723">
        <f t="shared" si="67"/>
        <v>5247.91</v>
      </c>
      <c r="K149" s="2007">
        <f t="shared" si="68"/>
        <v>4134.49</v>
      </c>
      <c r="L149" s="2007">
        <f t="shared" si="69"/>
        <v>1113.42</v>
      </c>
      <c r="M149" s="2016"/>
      <c r="N149" s="2016"/>
      <c r="O149" s="2016"/>
      <c r="P149" s="2016"/>
      <c r="Q149" s="2016"/>
      <c r="R149" s="2016"/>
      <c r="S149" s="2016"/>
      <c r="T149" s="2016"/>
      <c r="U149" s="2016"/>
      <c r="V149" s="2016">
        <f t="shared" si="70"/>
        <v>1574.3729999999998</v>
      </c>
      <c r="W149" s="2016">
        <f t="shared" si="71"/>
        <v>2099.1640000000002</v>
      </c>
      <c r="X149" s="2016">
        <f t="shared" si="72"/>
        <v>1574.3729999999998</v>
      </c>
      <c r="Y149" s="2016"/>
      <c r="Z149" s="2016"/>
    </row>
    <row r="150" spans="1:26" s="2009" customFormat="1" ht="105" x14ac:dyDescent="0.2">
      <c r="A150" s="1811" t="s">
        <v>6747</v>
      </c>
      <c r="B150" s="1984" t="s">
        <v>4448</v>
      </c>
      <c r="C150" s="1984" t="s">
        <v>5746</v>
      </c>
      <c r="D150" s="1813" t="s">
        <v>5741</v>
      </c>
      <c r="E150" s="1638">
        <v>6</v>
      </c>
      <c r="F150" s="1639" t="s">
        <v>5284</v>
      </c>
      <c r="G150" s="1648">
        <v>908.91999999999985</v>
      </c>
      <c r="H150" s="1636">
        <f t="shared" si="65"/>
        <v>244.77</v>
      </c>
      <c r="I150" s="1636">
        <f t="shared" si="66"/>
        <v>1153.6899999999998</v>
      </c>
      <c r="J150" s="1723">
        <f t="shared" si="67"/>
        <v>6922.14</v>
      </c>
      <c r="K150" s="2007">
        <f t="shared" si="68"/>
        <v>5453.52</v>
      </c>
      <c r="L150" s="2007">
        <f t="shared" si="69"/>
        <v>1468.62</v>
      </c>
      <c r="M150" s="2016"/>
      <c r="N150" s="2016"/>
      <c r="O150" s="2016"/>
      <c r="P150" s="2016"/>
      <c r="Q150" s="2016"/>
      <c r="R150" s="2016"/>
      <c r="S150" s="2016"/>
      <c r="T150" s="2016"/>
      <c r="U150" s="2016"/>
      <c r="V150" s="2016">
        <f t="shared" si="70"/>
        <v>2076.6419999999998</v>
      </c>
      <c r="W150" s="2016">
        <f t="shared" si="71"/>
        <v>2768.8560000000002</v>
      </c>
      <c r="X150" s="2016">
        <f t="shared" si="72"/>
        <v>2076.6419999999998</v>
      </c>
      <c r="Y150" s="2016"/>
      <c r="Z150" s="2016"/>
    </row>
    <row r="151" spans="1:26" s="2009" customFormat="1" ht="120" x14ac:dyDescent="0.2">
      <c r="A151" s="1811" t="s">
        <v>6748</v>
      </c>
      <c r="B151" s="1984" t="s">
        <v>4448</v>
      </c>
      <c r="C151" s="1984" t="s">
        <v>5747</v>
      </c>
      <c r="D151" s="1813" t="s">
        <v>5742</v>
      </c>
      <c r="E151" s="1638">
        <v>4</v>
      </c>
      <c r="F151" s="1639" t="s">
        <v>5284</v>
      </c>
      <c r="G151" s="1648">
        <v>1518.8</v>
      </c>
      <c r="H151" s="1636">
        <f t="shared" si="65"/>
        <v>409.01</v>
      </c>
      <c r="I151" s="1636">
        <f t="shared" si="66"/>
        <v>1927.81</v>
      </c>
      <c r="J151" s="1723">
        <f t="shared" si="67"/>
        <v>7711.24</v>
      </c>
      <c r="K151" s="2007">
        <f t="shared" si="68"/>
        <v>6075.2</v>
      </c>
      <c r="L151" s="2007">
        <f t="shared" si="69"/>
        <v>1636.04</v>
      </c>
      <c r="M151" s="2016"/>
      <c r="N151" s="2016"/>
      <c r="O151" s="2016"/>
      <c r="P151" s="2016"/>
      <c r="Q151" s="2016"/>
      <c r="R151" s="2016"/>
      <c r="S151" s="2016"/>
      <c r="T151" s="2016"/>
      <c r="U151" s="2016"/>
      <c r="V151" s="2016">
        <f t="shared" si="70"/>
        <v>2313.3719999999998</v>
      </c>
      <c r="W151" s="2016">
        <f t="shared" si="71"/>
        <v>3084.4960000000001</v>
      </c>
      <c r="X151" s="2016">
        <f t="shared" si="72"/>
        <v>2313.3719999999998</v>
      </c>
      <c r="Y151" s="2016"/>
      <c r="Z151" s="2016"/>
    </row>
    <row r="152" spans="1:26" s="2009" customFormat="1" ht="105" x14ac:dyDescent="0.2">
      <c r="A152" s="1811" t="s">
        <v>6749</v>
      </c>
      <c r="B152" s="1984" t="s">
        <v>4448</v>
      </c>
      <c r="C152" s="1984" t="s">
        <v>5748</v>
      </c>
      <c r="D152" s="1813" t="s">
        <v>5743</v>
      </c>
      <c r="E152" s="1638">
        <v>18</v>
      </c>
      <c r="F152" s="1639" t="s">
        <v>5284</v>
      </c>
      <c r="G152" s="1648">
        <v>814.06999999999994</v>
      </c>
      <c r="H152" s="1636">
        <f t="shared" si="65"/>
        <v>219.23</v>
      </c>
      <c r="I152" s="1636">
        <f t="shared" si="66"/>
        <v>1033.3</v>
      </c>
      <c r="J152" s="1723">
        <f t="shared" si="67"/>
        <v>18599.400000000001</v>
      </c>
      <c r="K152" s="2007">
        <f t="shared" si="68"/>
        <v>14653.26</v>
      </c>
      <c r="L152" s="2007">
        <f t="shared" si="69"/>
        <v>3946.14</v>
      </c>
      <c r="M152" s="2016"/>
      <c r="N152" s="2016"/>
      <c r="O152" s="2016"/>
      <c r="P152" s="2016"/>
      <c r="Q152" s="2016"/>
      <c r="R152" s="2016"/>
      <c r="S152" s="2016"/>
      <c r="T152" s="2016"/>
      <c r="U152" s="2016"/>
      <c r="V152" s="2016">
        <f t="shared" si="70"/>
        <v>5579.8200000000006</v>
      </c>
      <c r="W152" s="2016">
        <f t="shared" si="71"/>
        <v>7439.7600000000011</v>
      </c>
      <c r="X152" s="2016">
        <f t="shared" si="72"/>
        <v>5579.8200000000006</v>
      </c>
      <c r="Y152" s="2016"/>
      <c r="Z152" s="2016"/>
    </row>
    <row r="153" spans="1:26" s="2009" customFormat="1" ht="105" x14ac:dyDescent="0.2">
      <c r="A153" s="1811" t="s">
        <v>6750</v>
      </c>
      <c r="B153" s="1984" t="s">
        <v>4448</v>
      </c>
      <c r="C153" s="1984" t="s">
        <v>5749</v>
      </c>
      <c r="D153" s="1813" t="s">
        <v>5744</v>
      </c>
      <c r="E153" s="1638">
        <v>23</v>
      </c>
      <c r="F153" s="1639" t="s">
        <v>5284</v>
      </c>
      <c r="G153" s="1648">
        <v>675.49999999999989</v>
      </c>
      <c r="H153" s="1636">
        <f t="shared" si="65"/>
        <v>181.91</v>
      </c>
      <c r="I153" s="1636">
        <f t="shared" si="66"/>
        <v>857.40999999999985</v>
      </c>
      <c r="J153" s="1723">
        <f t="shared" si="67"/>
        <v>19720.43</v>
      </c>
      <c r="K153" s="2007">
        <f t="shared" si="68"/>
        <v>15536.5</v>
      </c>
      <c r="L153" s="2007">
        <f t="shared" si="69"/>
        <v>4183.93</v>
      </c>
      <c r="M153" s="2016"/>
      <c r="N153" s="2016"/>
      <c r="O153" s="2016"/>
      <c r="P153" s="2016"/>
      <c r="Q153" s="2016"/>
      <c r="R153" s="2016"/>
      <c r="S153" s="2016"/>
      <c r="T153" s="2016"/>
      <c r="U153" s="2016"/>
      <c r="V153" s="2016">
        <f t="shared" si="70"/>
        <v>5916.1289999999999</v>
      </c>
      <c r="W153" s="2016">
        <f t="shared" si="71"/>
        <v>7888.1720000000005</v>
      </c>
      <c r="X153" s="2016">
        <f t="shared" si="72"/>
        <v>5916.1289999999999</v>
      </c>
      <c r="Y153" s="2016"/>
      <c r="Z153" s="2016"/>
    </row>
    <row r="154" spans="1:26" s="2009" customFormat="1" ht="75" x14ac:dyDescent="0.2">
      <c r="A154" s="1811" t="s">
        <v>6751</v>
      </c>
      <c r="B154" s="1984" t="s">
        <v>4448</v>
      </c>
      <c r="C154" s="1984" t="s">
        <v>5750</v>
      </c>
      <c r="D154" s="1813" t="s">
        <v>5745</v>
      </c>
      <c r="E154" s="1638">
        <v>18</v>
      </c>
      <c r="F154" s="1639" t="s">
        <v>5284</v>
      </c>
      <c r="G154" s="1648">
        <v>366.79</v>
      </c>
      <c r="H154" s="1636">
        <f t="shared" si="65"/>
        <v>98.78</v>
      </c>
      <c r="I154" s="1636">
        <f t="shared" si="66"/>
        <v>465.57000000000005</v>
      </c>
      <c r="J154" s="1723">
        <f t="shared" si="67"/>
        <v>8380.26</v>
      </c>
      <c r="K154" s="2007">
        <f t="shared" si="68"/>
        <v>6602.22</v>
      </c>
      <c r="L154" s="2007">
        <f t="shared" si="69"/>
        <v>1778.04</v>
      </c>
      <c r="M154" s="2016"/>
      <c r="N154" s="2016"/>
      <c r="O154" s="2016"/>
      <c r="P154" s="2016"/>
      <c r="Q154" s="2016"/>
      <c r="R154" s="2016"/>
      <c r="S154" s="2016"/>
      <c r="T154" s="2016"/>
      <c r="U154" s="2016"/>
      <c r="V154" s="2016">
        <f t="shared" si="70"/>
        <v>2514.078</v>
      </c>
      <c r="W154" s="2016">
        <f t="shared" si="71"/>
        <v>3352.1040000000003</v>
      </c>
      <c r="X154" s="2016">
        <f t="shared" si="72"/>
        <v>2514.078</v>
      </c>
      <c r="Y154" s="2016"/>
      <c r="Z154" s="2016"/>
    </row>
    <row r="155" spans="1:26" s="2009" customFormat="1" ht="15" x14ac:dyDescent="0.2">
      <c r="A155" s="1634" t="s">
        <v>5753</v>
      </c>
      <c r="B155" s="2136" t="s">
        <v>5754</v>
      </c>
      <c r="C155" s="2136"/>
      <c r="D155" s="2136"/>
      <c r="E155" s="2136"/>
      <c r="F155" s="2136"/>
      <c r="G155" s="2136"/>
      <c r="H155" s="2136"/>
      <c r="I155" s="2136"/>
      <c r="J155" s="2136"/>
      <c r="K155" s="1983"/>
      <c r="L155" s="2018"/>
      <c r="M155" s="2016"/>
      <c r="N155" s="2016"/>
      <c r="O155" s="2016"/>
      <c r="P155" s="2016"/>
      <c r="Q155" s="2016"/>
      <c r="R155" s="2016"/>
      <c r="S155" s="2016"/>
      <c r="T155" s="2016"/>
      <c r="U155" s="2016"/>
      <c r="V155" s="2016"/>
      <c r="W155" s="2016"/>
      <c r="X155" s="2016"/>
      <c r="Y155" s="2016"/>
      <c r="Z155" s="2016"/>
    </row>
    <row r="156" spans="1:26" s="2009" customFormat="1" ht="45" x14ac:dyDescent="0.2">
      <c r="A156" s="1635" t="s">
        <v>6752</v>
      </c>
      <c r="B156" s="1984" t="s">
        <v>5278</v>
      </c>
      <c r="C156" s="1984">
        <v>10496</v>
      </c>
      <c r="D156" s="1813" t="s">
        <v>5755</v>
      </c>
      <c r="E156" s="1638">
        <f>QuantPrédio!J344</f>
        <v>188.37</v>
      </c>
      <c r="F156" s="1639" t="s">
        <v>5286</v>
      </c>
      <c r="G156" s="1648">
        <v>444.44</v>
      </c>
      <c r="H156" s="1636">
        <f>ROUND(G156*$B$13,2)</f>
        <v>119.69</v>
      </c>
      <c r="I156" s="1636">
        <f>H156+G156</f>
        <v>564.13</v>
      </c>
      <c r="J156" s="1723">
        <f>ROUND(I156*E156,2)</f>
        <v>106265.17</v>
      </c>
      <c r="K156" s="2007">
        <f>ROUND(G156*E156,2)</f>
        <v>83719.16</v>
      </c>
      <c r="L156" s="2007">
        <f>ROUND(H156*E156,2)</f>
        <v>22546.01</v>
      </c>
      <c r="M156" s="2016"/>
      <c r="N156" s="2016"/>
      <c r="O156" s="2016"/>
      <c r="P156" s="2016"/>
      <c r="Q156" s="2016"/>
      <c r="R156" s="2016"/>
      <c r="S156" s="2016"/>
      <c r="T156" s="2016"/>
      <c r="U156" s="2016"/>
      <c r="V156" s="2016"/>
      <c r="W156" s="2016"/>
      <c r="X156" s="2016"/>
      <c r="Y156" s="2016">
        <f>0.8*J156</f>
        <v>85012.135999999999</v>
      </c>
      <c r="Z156" s="2016">
        <f>0.2*J156</f>
        <v>21253.034</v>
      </c>
    </row>
    <row r="157" spans="1:26" s="2009" customFormat="1" ht="45" x14ac:dyDescent="0.2">
      <c r="A157" s="1635" t="s">
        <v>6753</v>
      </c>
      <c r="B157" s="1984" t="s">
        <v>5278</v>
      </c>
      <c r="C157" s="1984">
        <v>10496</v>
      </c>
      <c r="D157" s="1813" t="s">
        <v>5756</v>
      </c>
      <c r="E157" s="1638">
        <v>3.5</v>
      </c>
      <c r="F157" s="1639" t="s">
        <v>5286</v>
      </c>
      <c r="G157" s="1648">
        <v>444.44</v>
      </c>
      <c r="H157" s="1636">
        <f>ROUND(G157*$B$13,2)</f>
        <v>119.69</v>
      </c>
      <c r="I157" s="1636">
        <f>H157+G157</f>
        <v>564.13</v>
      </c>
      <c r="J157" s="1723">
        <f>ROUND(I157*E157,2)</f>
        <v>1974.46</v>
      </c>
      <c r="K157" s="2007">
        <f>ROUND(G157*E157,2)</f>
        <v>1555.54</v>
      </c>
      <c r="L157" s="2007">
        <f>ROUND(H157*E157,2)</f>
        <v>418.92</v>
      </c>
      <c r="M157" s="2016"/>
      <c r="N157" s="2016"/>
      <c r="O157" s="2016"/>
      <c r="P157" s="2016"/>
      <c r="Q157" s="2016"/>
      <c r="R157" s="2016"/>
      <c r="S157" s="2016"/>
      <c r="T157" s="2016"/>
      <c r="U157" s="2016"/>
      <c r="V157" s="2016"/>
      <c r="W157" s="2016"/>
      <c r="X157" s="2016"/>
      <c r="Y157" s="2016">
        <f>0.8*J157</f>
        <v>1579.5680000000002</v>
      </c>
      <c r="Z157" s="2016">
        <f>0.2*J157</f>
        <v>394.89200000000005</v>
      </c>
    </row>
    <row r="158" spans="1:26" s="2009" customFormat="1" ht="30" x14ac:dyDescent="0.2">
      <c r="A158" s="1635" t="s">
        <v>6754</v>
      </c>
      <c r="B158" s="1984" t="s">
        <v>5278</v>
      </c>
      <c r="C158" s="1984">
        <v>34391</v>
      </c>
      <c r="D158" s="1813" t="s">
        <v>5757</v>
      </c>
      <c r="E158" s="1638">
        <f>QuantPrédio!J352</f>
        <v>131.28</v>
      </c>
      <c r="F158" s="1639" t="s">
        <v>5286</v>
      </c>
      <c r="G158" s="1648">
        <v>510.56</v>
      </c>
      <c r="H158" s="1636">
        <f>ROUND(G158*$B$13,2)</f>
        <v>137.49</v>
      </c>
      <c r="I158" s="1636">
        <f>H158+G158</f>
        <v>648.04999999999995</v>
      </c>
      <c r="J158" s="1723">
        <f>ROUND(I158*E158,2)</f>
        <v>85076</v>
      </c>
      <c r="K158" s="2007">
        <f>ROUND(G158*E158,2)</f>
        <v>67026.320000000007</v>
      </c>
      <c r="L158" s="2007">
        <f>ROUND(H158*E158,2)</f>
        <v>18049.689999999999</v>
      </c>
      <c r="M158" s="2016"/>
      <c r="N158" s="2016"/>
      <c r="O158" s="2016"/>
      <c r="P158" s="2016"/>
      <c r="Q158" s="2016"/>
      <c r="R158" s="2016"/>
      <c r="S158" s="2016"/>
      <c r="T158" s="2016"/>
      <c r="U158" s="2016"/>
      <c r="V158" s="2016"/>
      <c r="W158" s="2016"/>
      <c r="X158" s="2016"/>
      <c r="Y158" s="2016">
        <f>0.8*J158</f>
        <v>68060.800000000003</v>
      </c>
      <c r="Z158" s="2016">
        <f>0.2*J158</f>
        <v>17015.2</v>
      </c>
    </row>
    <row r="159" spans="1:26" s="2009" customFormat="1" ht="45" x14ac:dyDescent="0.2">
      <c r="A159" s="1635" t="s">
        <v>6755</v>
      </c>
      <c r="B159" s="1984" t="s">
        <v>5696</v>
      </c>
      <c r="C159" s="1984" t="s">
        <v>8545</v>
      </c>
      <c r="D159" s="1813" t="s">
        <v>5758</v>
      </c>
      <c r="E159" s="1638">
        <f>QuantPrédio!J373</f>
        <v>60.84</v>
      </c>
      <c r="F159" s="1639" t="s">
        <v>5286</v>
      </c>
      <c r="G159" s="1648">
        <v>288.13</v>
      </c>
      <c r="H159" s="1636">
        <f>ROUND(G159*$B$13,2)</f>
        <v>77.59</v>
      </c>
      <c r="I159" s="1636">
        <f>H159+G159</f>
        <v>365.72</v>
      </c>
      <c r="J159" s="1723">
        <f>ROUND(I159*E159,2)</f>
        <v>22250.400000000001</v>
      </c>
      <c r="K159" s="2007">
        <f>ROUND(G159*E159,2)</f>
        <v>17529.830000000002</v>
      </c>
      <c r="L159" s="2007">
        <f>ROUND(H159*E159,2)</f>
        <v>4720.58</v>
      </c>
      <c r="M159" s="2016"/>
      <c r="N159" s="2016"/>
      <c r="O159" s="2016"/>
      <c r="P159" s="2016"/>
      <c r="Q159" s="2016"/>
      <c r="R159" s="2016"/>
      <c r="S159" s="2016"/>
      <c r="T159" s="2016"/>
      <c r="U159" s="2016"/>
      <c r="V159" s="2016"/>
      <c r="W159" s="2016"/>
      <c r="X159" s="2016"/>
      <c r="Y159" s="2016">
        <f>0.8*J159</f>
        <v>17800.320000000003</v>
      </c>
      <c r="Z159" s="2016">
        <f>0.2*J159</f>
        <v>4450.0800000000008</v>
      </c>
    </row>
    <row r="160" spans="1:26" s="2009" customFormat="1" ht="45" x14ac:dyDescent="0.2">
      <c r="A160" s="1635" t="s">
        <v>5759</v>
      </c>
      <c r="B160" s="1984" t="s">
        <v>4448</v>
      </c>
      <c r="C160" s="1984">
        <v>85005</v>
      </c>
      <c r="D160" s="1813" t="s">
        <v>5760</v>
      </c>
      <c r="E160" s="1638">
        <f>QuantPrédio!J381</f>
        <v>9.6</v>
      </c>
      <c r="F160" s="1639" t="s">
        <v>5286</v>
      </c>
      <c r="G160" s="1648">
        <v>364.14</v>
      </c>
      <c r="H160" s="1636">
        <f>ROUND(G160*$B$13,2)</f>
        <v>98.06</v>
      </c>
      <c r="I160" s="1636">
        <f>H160+G160</f>
        <v>462.2</v>
      </c>
      <c r="J160" s="1723">
        <f>ROUND(I160*E160,2)</f>
        <v>4437.12</v>
      </c>
      <c r="K160" s="2007">
        <f>ROUND(G160*E160,2)</f>
        <v>3495.74</v>
      </c>
      <c r="L160" s="2007">
        <f>ROUND(H160*E160,2)</f>
        <v>941.38</v>
      </c>
      <c r="M160" s="2016"/>
      <c r="N160" s="2016"/>
      <c r="O160" s="2016"/>
      <c r="P160" s="2016"/>
      <c r="Q160" s="2016"/>
      <c r="R160" s="2016"/>
      <c r="S160" s="2016"/>
      <c r="T160" s="2016"/>
      <c r="U160" s="2016"/>
      <c r="V160" s="2016"/>
      <c r="W160" s="2016"/>
      <c r="X160" s="2016"/>
      <c r="Y160" s="2016">
        <f>0.8*J160</f>
        <v>3549.6959999999999</v>
      </c>
      <c r="Z160" s="2016">
        <f>0.2*J160</f>
        <v>887.42399999999998</v>
      </c>
    </row>
    <row r="161" spans="1:26" s="2009" customFormat="1" ht="15" x14ac:dyDescent="0.2">
      <c r="A161" s="1634" t="s">
        <v>5761</v>
      </c>
      <c r="B161" s="2136" t="s">
        <v>5762</v>
      </c>
      <c r="C161" s="2136"/>
      <c r="D161" s="2136"/>
      <c r="E161" s="2136"/>
      <c r="F161" s="2136"/>
      <c r="G161" s="2136"/>
      <c r="H161" s="2136"/>
      <c r="I161" s="2136"/>
      <c r="J161" s="2136"/>
      <c r="K161" s="1983"/>
      <c r="L161" s="2018"/>
      <c r="M161" s="2016"/>
      <c r="N161" s="2016"/>
      <c r="O161" s="2016"/>
      <c r="P161" s="2016"/>
      <c r="Q161" s="2016"/>
      <c r="R161" s="2016"/>
      <c r="S161" s="2016"/>
      <c r="T161" s="2016"/>
      <c r="U161" s="2016"/>
      <c r="V161" s="2016"/>
      <c r="W161" s="2016"/>
      <c r="X161" s="2016"/>
      <c r="Y161" s="2016"/>
      <c r="Z161" s="2016"/>
    </row>
    <row r="162" spans="1:26" s="2009" customFormat="1" ht="45" x14ac:dyDescent="0.2">
      <c r="A162" s="1635" t="s">
        <v>5765</v>
      </c>
      <c r="B162" s="1984" t="s">
        <v>4448</v>
      </c>
      <c r="C162" s="1984" t="s">
        <v>5766</v>
      </c>
      <c r="D162" s="1813" t="s">
        <v>8278</v>
      </c>
      <c r="E162" s="1638">
        <v>879.5</v>
      </c>
      <c r="F162" s="1639" t="s">
        <v>5286</v>
      </c>
      <c r="G162" s="1648">
        <v>92.17</v>
      </c>
      <c r="H162" s="1636">
        <f>ROUND(G162*$B$13,2)</f>
        <v>24.82</v>
      </c>
      <c r="I162" s="1636">
        <f>H162+G162</f>
        <v>116.99000000000001</v>
      </c>
      <c r="J162" s="1723">
        <f>ROUND(I162*E162,2)</f>
        <v>102892.71</v>
      </c>
      <c r="K162" s="2007">
        <f>ROUND(G162*E162,2)</f>
        <v>81063.520000000004</v>
      </c>
      <c r="L162" s="2007">
        <f>ROUND(H162*E162,2)</f>
        <v>21829.19</v>
      </c>
      <c r="M162" s="2016"/>
      <c r="N162" s="2016"/>
      <c r="O162" s="2016"/>
      <c r="P162" s="2016"/>
      <c r="Q162" s="2016"/>
      <c r="R162" s="2016"/>
      <c r="S162" s="2016"/>
      <c r="T162" s="2016">
        <f>0.8*J162</f>
        <v>82314.168000000005</v>
      </c>
      <c r="U162" s="2016">
        <f>0.2*J162</f>
        <v>20578.542000000001</v>
      </c>
      <c r="V162" s="2016"/>
      <c r="W162" s="2016"/>
      <c r="X162" s="2016"/>
      <c r="Y162" s="2016"/>
      <c r="Z162" s="2016"/>
    </row>
    <row r="163" spans="1:26" s="2009" customFormat="1" ht="45" x14ac:dyDescent="0.2">
      <c r="A163" s="1635" t="s">
        <v>6756</v>
      </c>
      <c r="B163" s="1984" t="s">
        <v>4448</v>
      </c>
      <c r="C163" s="1984">
        <v>94231</v>
      </c>
      <c r="D163" s="1813" t="s">
        <v>5763</v>
      </c>
      <c r="E163" s="1638">
        <f>QuantPrédio!I389</f>
        <v>42.22</v>
      </c>
      <c r="F163" s="1639" t="s">
        <v>5713</v>
      </c>
      <c r="G163" s="1648">
        <v>30.78</v>
      </c>
      <c r="H163" s="1636">
        <f>ROUND(G163*$B$13,2)</f>
        <v>8.2899999999999991</v>
      </c>
      <c r="I163" s="1636">
        <f>H163+G163</f>
        <v>39.07</v>
      </c>
      <c r="J163" s="1723">
        <f>ROUND(I163*E163,2)</f>
        <v>1649.54</v>
      </c>
      <c r="K163" s="2007">
        <f>ROUND(G163*E163,2)</f>
        <v>1299.53</v>
      </c>
      <c r="L163" s="2007">
        <f>ROUND(H163*E163,2)</f>
        <v>350</v>
      </c>
      <c r="M163" s="2016"/>
      <c r="N163" s="2016"/>
      <c r="O163" s="2016"/>
      <c r="P163" s="2016"/>
      <c r="Q163" s="2016"/>
      <c r="R163" s="2016"/>
      <c r="S163" s="2016"/>
      <c r="T163" s="2016">
        <f>0.8*J163</f>
        <v>1319.6320000000001</v>
      </c>
      <c r="U163" s="2016">
        <f>0.2*J163</f>
        <v>329.90800000000002</v>
      </c>
      <c r="V163" s="2016"/>
      <c r="W163" s="2016"/>
      <c r="X163" s="2016"/>
      <c r="Y163" s="2016"/>
      <c r="Z163" s="2016"/>
    </row>
    <row r="164" spans="1:26" s="2009" customFormat="1" ht="45" x14ac:dyDescent="0.2">
      <c r="A164" s="1635" t="s">
        <v>6757</v>
      </c>
      <c r="B164" s="1984" t="s">
        <v>4448</v>
      </c>
      <c r="C164" s="1984">
        <v>94231</v>
      </c>
      <c r="D164" s="1813" t="s">
        <v>5764</v>
      </c>
      <c r="E164" s="1638">
        <f>QuantPrédio!I398</f>
        <v>204.87</v>
      </c>
      <c r="F164" s="1639" t="s">
        <v>5713</v>
      </c>
      <c r="G164" s="1648">
        <v>30.78</v>
      </c>
      <c r="H164" s="1636">
        <f>ROUND(G164*$B$13,2)</f>
        <v>8.2899999999999991</v>
      </c>
      <c r="I164" s="1636">
        <f>H164+G164</f>
        <v>39.07</v>
      </c>
      <c r="J164" s="1723">
        <f>ROUND(I164*E164,2)</f>
        <v>8004.27</v>
      </c>
      <c r="K164" s="2007">
        <f>ROUND(G164*E164,2)</f>
        <v>6305.9</v>
      </c>
      <c r="L164" s="2007">
        <f>ROUND(H164*E164,2)</f>
        <v>1698.37</v>
      </c>
      <c r="M164" s="2016"/>
      <c r="N164" s="2016"/>
      <c r="O164" s="2016"/>
      <c r="P164" s="2016"/>
      <c r="Q164" s="2016"/>
      <c r="R164" s="2016"/>
      <c r="S164" s="2016"/>
      <c r="T164" s="2016">
        <f>0.8*J164</f>
        <v>6403.4160000000011</v>
      </c>
      <c r="U164" s="2016">
        <f>0.2*J164</f>
        <v>1600.8540000000003</v>
      </c>
      <c r="V164" s="2016"/>
      <c r="W164" s="2016"/>
      <c r="X164" s="2016"/>
      <c r="Y164" s="2016"/>
      <c r="Z164" s="2016"/>
    </row>
    <row r="165" spans="1:26" s="2009" customFormat="1" ht="15" x14ac:dyDescent="0.2">
      <c r="A165" s="1634" t="s">
        <v>5769</v>
      </c>
      <c r="B165" s="2136" t="s">
        <v>5770</v>
      </c>
      <c r="C165" s="2136"/>
      <c r="D165" s="2136"/>
      <c r="E165" s="2136"/>
      <c r="F165" s="2136"/>
      <c r="G165" s="2136"/>
      <c r="H165" s="2136"/>
      <c r="I165" s="2136"/>
      <c r="J165" s="2136"/>
      <c r="K165" s="1983"/>
      <c r="L165" s="2018"/>
      <c r="M165" s="2016"/>
      <c r="N165" s="2016"/>
      <c r="O165" s="2016"/>
      <c r="P165" s="2016"/>
      <c r="Q165" s="2016"/>
      <c r="R165" s="2016"/>
      <c r="S165" s="2016"/>
      <c r="T165" s="2016"/>
      <c r="U165" s="2016"/>
      <c r="V165" s="2016"/>
      <c r="W165" s="2016"/>
      <c r="X165" s="2016"/>
      <c r="Y165" s="2016"/>
      <c r="Z165" s="2016"/>
    </row>
    <row r="166" spans="1:26" s="2009" customFormat="1" ht="45" x14ac:dyDescent="0.2">
      <c r="A166" s="1635" t="s">
        <v>5773</v>
      </c>
      <c r="B166" s="1984" t="s">
        <v>4448</v>
      </c>
      <c r="C166" s="1984">
        <v>98679</v>
      </c>
      <c r="D166" s="1813" t="s">
        <v>5779</v>
      </c>
      <c r="E166" s="1638">
        <f>QuantPrédio!J406</f>
        <v>163.72</v>
      </c>
      <c r="F166" s="1639" t="s">
        <v>5286</v>
      </c>
      <c r="G166" s="1648">
        <v>24.31</v>
      </c>
      <c r="H166" s="1636">
        <f t="shared" ref="H166:H173" si="81">ROUND(G166*$B$13,2)</f>
        <v>6.55</v>
      </c>
      <c r="I166" s="1636">
        <f t="shared" ref="I166:I173" si="82">H166+G166</f>
        <v>30.86</v>
      </c>
      <c r="J166" s="1723">
        <f t="shared" ref="J166:J173" si="83">ROUND(I166*E166,2)</f>
        <v>5052.3999999999996</v>
      </c>
      <c r="K166" s="2007">
        <f t="shared" ref="K166:K173" si="84">ROUND(G166*E166,2)</f>
        <v>3980.03</v>
      </c>
      <c r="L166" s="2007">
        <f t="shared" ref="L166:L173" si="85">ROUND(H166*E166,2)</f>
        <v>1072.3699999999999</v>
      </c>
      <c r="M166" s="2016"/>
      <c r="N166" s="2016"/>
      <c r="O166" s="2016"/>
      <c r="P166" s="2016"/>
      <c r="Q166" s="2016"/>
      <c r="R166" s="2016"/>
      <c r="S166" s="2016">
        <f t="shared" ref="S166:S173" si="86">0.125*J166</f>
        <v>631.54999999999995</v>
      </c>
      <c r="T166" s="2016">
        <f t="shared" ref="T166:T173" si="87">0.125*J166</f>
        <v>631.54999999999995</v>
      </c>
      <c r="U166" s="2016">
        <f t="shared" ref="U166:U173" si="88">0.25*J166</f>
        <v>1263.0999999999999</v>
      </c>
      <c r="V166" s="2016">
        <f t="shared" ref="V166:V173" si="89">0.3*J166</f>
        <v>1515.7199999999998</v>
      </c>
      <c r="W166" s="2016">
        <f t="shared" ref="W166:W173" si="90">0.2*J166</f>
        <v>1010.48</v>
      </c>
      <c r="X166" s="2016"/>
      <c r="Y166" s="2016"/>
      <c r="Z166" s="2016"/>
    </row>
    <row r="167" spans="1:26" s="2009" customFormat="1" ht="30" x14ac:dyDescent="0.2">
      <c r="A167" s="1635" t="s">
        <v>5774</v>
      </c>
      <c r="B167" s="1984" t="s">
        <v>4448</v>
      </c>
      <c r="C167" s="1984">
        <v>89171</v>
      </c>
      <c r="D167" s="1813" t="s">
        <v>5771</v>
      </c>
      <c r="E167" s="1638">
        <f>QuantPrédio!J415</f>
        <v>107.94</v>
      </c>
      <c r="F167" s="1639" t="s">
        <v>5286</v>
      </c>
      <c r="G167" s="1648">
        <v>30.24</v>
      </c>
      <c r="H167" s="1636">
        <f t="shared" si="81"/>
        <v>8.14</v>
      </c>
      <c r="I167" s="1636">
        <f t="shared" si="82"/>
        <v>38.379999999999995</v>
      </c>
      <c r="J167" s="1723">
        <f t="shared" si="83"/>
        <v>4142.74</v>
      </c>
      <c r="K167" s="2007">
        <f t="shared" si="84"/>
        <v>3264.11</v>
      </c>
      <c r="L167" s="2007">
        <f t="shared" si="85"/>
        <v>878.63</v>
      </c>
      <c r="M167" s="2016"/>
      <c r="N167" s="2016"/>
      <c r="O167" s="2016"/>
      <c r="P167" s="2016"/>
      <c r="Q167" s="2016"/>
      <c r="R167" s="2016"/>
      <c r="S167" s="2016">
        <f t="shared" si="86"/>
        <v>517.84249999999997</v>
      </c>
      <c r="T167" s="2016">
        <f t="shared" si="87"/>
        <v>517.84249999999997</v>
      </c>
      <c r="U167" s="2016">
        <f t="shared" si="88"/>
        <v>1035.6849999999999</v>
      </c>
      <c r="V167" s="2016">
        <f t="shared" si="89"/>
        <v>1242.8219999999999</v>
      </c>
      <c r="W167" s="2016">
        <f t="shared" si="90"/>
        <v>828.548</v>
      </c>
      <c r="X167" s="2016"/>
      <c r="Y167" s="2016"/>
      <c r="Z167" s="2016"/>
    </row>
    <row r="168" spans="1:26" s="2009" customFormat="1" ht="30" x14ac:dyDescent="0.2">
      <c r="A168" s="1635" t="s">
        <v>5775</v>
      </c>
      <c r="B168" s="1984" t="s">
        <v>4448</v>
      </c>
      <c r="C168" s="1984">
        <v>98671</v>
      </c>
      <c r="D168" s="1813" t="s">
        <v>5772</v>
      </c>
      <c r="E168" s="1638">
        <f>QuantPrédio!J423</f>
        <v>26.84</v>
      </c>
      <c r="F168" s="1639" t="s">
        <v>5286</v>
      </c>
      <c r="G168" s="1648">
        <v>328.79</v>
      </c>
      <c r="H168" s="1636">
        <f t="shared" si="81"/>
        <v>88.54</v>
      </c>
      <c r="I168" s="1636">
        <f t="shared" si="82"/>
        <v>417.33000000000004</v>
      </c>
      <c r="J168" s="1723">
        <f t="shared" si="83"/>
        <v>11201.14</v>
      </c>
      <c r="K168" s="2007">
        <f t="shared" si="84"/>
        <v>8824.7199999999993</v>
      </c>
      <c r="L168" s="2007">
        <f t="shared" si="85"/>
        <v>2376.41</v>
      </c>
      <c r="M168" s="2016"/>
      <c r="N168" s="2016"/>
      <c r="O168" s="2016"/>
      <c r="P168" s="2016"/>
      <c r="Q168" s="2016"/>
      <c r="R168" s="2016"/>
      <c r="S168" s="2016">
        <f t="shared" si="86"/>
        <v>1400.1424999999999</v>
      </c>
      <c r="T168" s="2016">
        <f t="shared" si="87"/>
        <v>1400.1424999999999</v>
      </c>
      <c r="U168" s="2016">
        <f t="shared" si="88"/>
        <v>2800.2849999999999</v>
      </c>
      <c r="V168" s="2016">
        <f t="shared" si="89"/>
        <v>3360.3419999999996</v>
      </c>
      <c r="W168" s="2016">
        <f t="shared" si="90"/>
        <v>2240.2280000000001</v>
      </c>
      <c r="X168" s="2016"/>
      <c r="Y168" s="2016"/>
      <c r="Z168" s="2016"/>
    </row>
    <row r="169" spans="1:26" s="2009" customFormat="1" ht="45" x14ac:dyDescent="0.2">
      <c r="A169" s="1635" t="s">
        <v>5776</v>
      </c>
      <c r="B169" s="1984" t="s">
        <v>4448</v>
      </c>
      <c r="C169" s="1984">
        <v>84191</v>
      </c>
      <c r="D169" s="1813" t="s">
        <v>9473</v>
      </c>
      <c r="E169" s="1638">
        <f>QuantPrédio!J431</f>
        <v>1665.26</v>
      </c>
      <c r="F169" s="1639" t="s">
        <v>5286</v>
      </c>
      <c r="G169" s="1648">
        <v>106.93</v>
      </c>
      <c r="H169" s="1636">
        <f t="shared" si="81"/>
        <v>28.8</v>
      </c>
      <c r="I169" s="1636">
        <f t="shared" si="82"/>
        <v>135.73000000000002</v>
      </c>
      <c r="J169" s="1723">
        <f t="shared" si="83"/>
        <v>226025.74</v>
      </c>
      <c r="K169" s="2007">
        <f t="shared" si="84"/>
        <v>178066.25</v>
      </c>
      <c r="L169" s="2007">
        <f t="shared" si="85"/>
        <v>47959.49</v>
      </c>
      <c r="M169" s="2016"/>
      <c r="N169" s="2016"/>
      <c r="O169" s="2016"/>
      <c r="P169" s="2016"/>
      <c r="Q169" s="2016"/>
      <c r="R169" s="2016"/>
      <c r="S169" s="2016">
        <f t="shared" si="86"/>
        <v>28253.217499999999</v>
      </c>
      <c r="T169" s="2016">
        <f t="shared" si="87"/>
        <v>28253.217499999999</v>
      </c>
      <c r="U169" s="2016">
        <f t="shared" si="88"/>
        <v>56506.434999999998</v>
      </c>
      <c r="V169" s="2016">
        <f t="shared" si="89"/>
        <v>67807.721999999994</v>
      </c>
      <c r="W169" s="2016">
        <f t="shared" si="90"/>
        <v>45205.148000000001</v>
      </c>
      <c r="X169" s="2016"/>
      <c r="Y169" s="2016"/>
      <c r="Z169" s="2016"/>
    </row>
    <row r="170" spans="1:26" s="2009" customFormat="1" ht="30" x14ac:dyDescent="0.2">
      <c r="A170" s="1635" t="s">
        <v>6758</v>
      </c>
      <c r="B170" s="1984" t="s">
        <v>4448</v>
      </c>
      <c r="C170" s="1984" t="s">
        <v>7561</v>
      </c>
      <c r="D170" s="1813" t="s">
        <v>7560</v>
      </c>
      <c r="E170" s="1638">
        <v>494.55</v>
      </c>
      <c r="F170" s="1639" t="s">
        <v>5286</v>
      </c>
      <c r="G170" s="1648">
        <v>75.47999999999999</v>
      </c>
      <c r="H170" s="1636">
        <f t="shared" si="81"/>
        <v>20.329999999999998</v>
      </c>
      <c r="I170" s="1636">
        <f t="shared" si="82"/>
        <v>95.809999999999988</v>
      </c>
      <c r="J170" s="1723">
        <f t="shared" si="83"/>
        <v>47382.84</v>
      </c>
      <c r="K170" s="2007">
        <f t="shared" si="84"/>
        <v>37328.629999999997</v>
      </c>
      <c r="L170" s="2007">
        <f t="shared" si="85"/>
        <v>10054.200000000001</v>
      </c>
      <c r="M170" s="2016"/>
      <c r="N170" s="2016"/>
      <c r="O170" s="2016"/>
      <c r="P170" s="2016"/>
      <c r="Q170" s="2016"/>
      <c r="R170" s="2016"/>
      <c r="S170" s="2016">
        <f t="shared" si="86"/>
        <v>5922.8549999999996</v>
      </c>
      <c r="T170" s="2016">
        <f t="shared" si="87"/>
        <v>5922.8549999999996</v>
      </c>
      <c r="U170" s="2016">
        <f t="shared" si="88"/>
        <v>11845.71</v>
      </c>
      <c r="V170" s="2016">
        <f t="shared" si="89"/>
        <v>14214.851999999999</v>
      </c>
      <c r="W170" s="2016">
        <f t="shared" si="90"/>
        <v>9476.5679999999993</v>
      </c>
      <c r="X170" s="2016"/>
      <c r="Y170" s="2016"/>
      <c r="Z170" s="2016"/>
    </row>
    <row r="171" spans="1:26" s="2009" customFormat="1" ht="45" x14ac:dyDescent="0.2">
      <c r="A171" s="1635" t="s">
        <v>6759</v>
      </c>
      <c r="B171" s="1984" t="s">
        <v>4448</v>
      </c>
      <c r="C171" s="1984">
        <v>87624</v>
      </c>
      <c r="D171" s="1813" t="s">
        <v>7562</v>
      </c>
      <c r="E171" s="1638">
        <f>QuantPrédio!J439</f>
        <v>271.66000000000003</v>
      </c>
      <c r="F171" s="1639" t="s">
        <v>5286</v>
      </c>
      <c r="G171" s="1648">
        <v>49.69</v>
      </c>
      <c r="H171" s="1636">
        <f t="shared" si="81"/>
        <v>13.38</v>
      </c>
      <c r="I171" s="1636">
        <f t="shared" si="82"/>
        <v>63.07</v>
      </c>
      <c r="J171" s="1723">
        <f t="shared" si="83"/>
        <v>17133.599999999999</v>
      </c>
      <c r="K171" s="2007">
        <f t="shared" si="84"/>
        <v>13498.79</v>
      </c>
      <c r="L171" s="2007">
        <f t="shared" si="85"/>
        <v>3634.81</v>
      </c>
      <c r="M171" s="2016"/>
      <c r="N171" s="2016"/>
      <c r="O171" s="2016"/>
      <c r="P171" s="2016"/>
      <c r="Q171" s="2016"/>
      <c r="R171" s="2016"/>
      <c r="S171" s="2016">
        <f t="shared" si="86"/>
        <v>2141.6999999999998</v>
      </c>
      <c r="T171" s="2016">
        <f t="shared" si="87"/>
        <v>2141.6999999999998</v>
      </c>
      <c r="U171" s="2016">
        <f t="shared" si="88"/>
        <v>4283.3999999999996</v>
      </c>
      <c r="V171" s="2016">
        <f t="shared" si="89"/>
        <v>5140.079999999999</v>
      </c>
      <c r="W171" s="2016">
        <f t="shared" si="90"/>
        <v>3426.72</v>
      </c>
      <c r="X171" s="2016"/>
      <c r="Y171" s="2016"/>
      <c r="Z171" s="2016"/>
    </row>
    <row r="172" spans="1:26" s="2009" customFormat="1" ht="45" x14ac:dyDescent="0.2">
      <c r="A172" s="1635" t="s">
        <v>7559</v>
      </c>
      <c r="B172" s="1984" t="s">
        <v>4448</v>
      </c>
      <c r="C172" s="1984" t="s">
        <v>8548</v>
      </c>
      <c r="D172" s="1813" t="s">
        <v>6672</v>
      </c>
      <c r="E172" s="1638">
        <v>5.86</v>
      </c>
      <c r="F172" s="1639" t="s">
        <v>5286</v>
      </c>
      <c r="G172" s="1648">
        <v>143.85</v>
      </c>
      <c r="H172" s="1636">
        <f t="shared" si="81"/>
        <v>38.74</v>
      </c>
      <c r="I172" s="1636">
        <f t="shared" si="82"/>
        <v>182.59</v>
      </c>
      <c r="J172" s="1723">
        <f t="shared" si="83"/>
        <v>1069.98</v>
      </c>
      <c r="K172" s="2007">
        <f t="shared" si="84"/>
        <v>842.96</v>
      </c>
      <c r="L172" s="2007">
        <f t="shared" si="85"/>
        <v>227.02</v>
      </c>
      <c r="M172" s="2016"/>
      <c r="N172" s="2016"/>
      <c r="O172" s="2016"/>
      <c r="P172" s="2016"/>
      <c r="Q172" s="2016"/>
      <c r="R172" s="2016"/>
      <c r="S172" s="2016">
        <f t="shared" si="86"/>
        <v>133.7475</v>
      </c>
      <c r="T172" s="2016">
        <f t="shared" si="87"/>
        <v>133.7475</v>
      </c>
      <c r="U172" s="2016">
        <f t="shared" si="88"/>
        <v>267.495</v>
      </c>
      <c r="V172" s="2016">
        <f t="shared" si="89"/>
        <v>320.99399999999997</v>
      </c>
      <c r="W172" s="2016">
        <f t="shared" si="90"/>
        <v>213.99600000000001</v>
      </c>
      <c r="X172" s="2016"/>
      <c r="Y172" s="2016"/>
      <c r="Z172" s="2016"/>
    </row>
    <row r="173" spans="1:26" s="2009" customFormat="1" ht="60" x14ac:dyDescent="0.2">
      <c r="A173" s="1635" t="s">
        <v>5777</v>
      </c>
      <c r="B173" s="1984" t="s">
        <v>4448</v>
      </c>
      <c r="C173" s="1984" t="s">
        <v>7593</v>
      </c>
      <c r="D173" s="1813" t="s">
        <v>7594</v>
      </c>
      <c r="E173" s="1638">
        <f>QuantPrédio!J449</f>
        <v>11.06</v>
      </c>
      <c r="F173" s="1639" t="s">
        <v>5286</v>
      </c>
      <c r="G173" s="1648">
        <v>133.38</v>
      </c>
      <c r="H173" s="1636">
        <f t="shared" si="81"/>
        <v>35.92</v>
      </c>
      <c r="I173" s="1636">
        <f t="shared" si="82"/>
        <v>169.3</v>
      </c>
      <c r="J173" s="1723">
        <f t="shared" si="83"/>
        <v>1872.46</v>
      </c>
      <c r="K173" s="2007">
        <f t="shared" si="84"/>
        <v>1475.18</v>
      </c>
      <c r="L173" s="2007">
        <f t="shared" si="85"/>
        <v>397.28</v>
      </c>
      <c r="M173" s="2016"/>
      <c r="N173" s="2016"/>
      <c r="O173" s="2016"/>
      <c r="P173" s="2016"/>
      <c r="Q173" s="2016"/>
      <c r="R173" s="2016"/>
      <c r="S173" s="2016">
        <f t="shared" si="86"/>
        <v>234.0575</v>
      </c>
      <c r="T173" s="2016">
        <f t="shared" si="87"/>
        <v>234.0575</v>
      </c>
      <c r="U173" s="2016">
        <f t="shared" si="88"/>
        <v>468.11500000000001</v>
      </c>
      <c r="V173" s="2016">
        <f t="shared" si="89"/>
        <v>561.73799999999994</v>
      </c>
      <c r="W173" s="2016">
        <f t="shared" si="90"/>
        <v>374.49200000000002</v>
      </c>
      <c r="X173" s="2016"/>
      <c r="Y173" s="2016"/>
      <c r="Z173" s="2016"/>
    </row>
    <row r="174" spans="1:26" s="2009" customFormat="1" ht="15" x14ac:dyDescent="0.2">
      <c r="A174" s="1634" t="s">
        <v>5780</v>
      </c>
      <c r="B174" s="2136" t="s">
        <v>5781</v>
      </c>
      <c r="C174" s="2136"/>
      <c r="D174" s="2136"/>
      <c r="E174" s="2136"/>
      <c r="F174" s="2136"/>
      <c r="G174" s="2136"/>
      <c r="H174" s="2136"/>
      <c r="I174" s="2136"/>
      <c r="J174" s="2136"/>
      <c r="K174" s="1983"/>
      <c r="L174" s="2018"/>
      <c r="M174" s="2016"/>
      <c r="N174" s="2016"/>
      <c r="O174" s="2016"/>
      <c r="P174" s="2016"/>
      <c r="Q174" s="2016"/>
      <c r="R174" s="2016"/>
      <c r="S174" s="2016"/>
      <c r="T174" s="2016"/>
      <c r="U174" s="2016"/>
      <c r="V174" s="2016"/>
      <c r="W174" s="2016"/>
      <c r="X174" s="2016"/>
      <c r="Y174" s="2016"/>
      <c r="Z174" s="2016"/>
    </row>
    <row r="175" spans="1:26" s="2009" customFormat="1" ht="45" x14ac:dyDescent="0.2">
      <c r="A175" s="1635" t="s">
        <v>6760</v>
      </c>
      <c r="B175" s="1984" t="s">
        <v>4448</v>
      </c>
      <c r="C175" s="1984">
        <v>87905</v>
      </c>
      <c r="D175" s="1813" t="s">
        <v>6665</v>
      </c>
      <c r="E175" s="1638">
        <f>QuantPrédio!J458</f>
        <v>931.59</v>
      </c>
      <c r="F175" s="1639" t="s">
        <v>5286</v>
      </c>
      <c r="G175" s="1648">
        <v>6.51</v>
      </c>
      <c r="H175" s="1636">
        <f>ROUND(G175*$B$13,2)</f>
        <v>1.75</v>
      </c>
      <c r="I175" s="1636">
        <f>H175+G175</f>
        <v>8.26</v>
      </c>
      <c r="J175" s="1723">
        <f>ROUND(I175*E175,2)</f>
        <v>7694.93</v>
      </c>
      <c r="K175" s="2007">
        <f t="shared" ref="K175:K206" si="91">ROUND(G175*E175,2)</f>
        <v>6064.65</v>
      </c>
      <c r="L175" s="2007">
        <f t="shared" ref="L175:L206" si="92">ROUND(H175*E175,2)</f>
        <v>1630.28</v>
      </c>
      <c r="M175" s="2016"/>
      <c r="N175" s="2016"/>
      <c r="O175" s="2016"/>
      <c r="P175" s="2016"/>
      <c r="Q175" s="2016"/>
      <c r="R175" s="2016"/>
      <c r="S175" s="2016">
        <f>0.2*J175</f>
        <v>1538.9860000000001</v>
      </c>
      <c r="T175" s="2016">
        <f>0.3*J175</f>
        <v>2308.4789999999998</v>
      </c>
      <c r="U175" s="2016">
        <f>0.3*J175</f>
        <v>2308.4789999999998</v>
      </c>
      <c r="V175" s="2016">
        <f>0.2*J175</f>
        <v>1538.9860000000001</v>
      </c>
      <c r="W175" s="2016"/>
      <c r="X175" s="2016"/>
      <c r="Y175" s="2016"/>
      <c r="Z175" s="2016"/>
    </row>
    <row r="176" spans="1:26" s="2009" customFormat="1" ht="45" x14ac:dyDescent="0.2">
      <c r="A176" s="1635" t="s">
        <v>6761</v>
      </c>
      <c r="B176" s="1984" t="s">
        <v>4448</v>
      </c>
      <c r="C176" s="1984">
        <v>87879</v>
      </c>
      <c r="D176" s="1813" t="s">
        <v>5782</v>
      </c>
      <c r="E176" s="1638">
        <f>QuantPrédio!J467</f>
        <v>3061.15</v>
      </c>
      <c r="F176" s="1639" t="s">
        <v>5286</v>
      </c>
      <c r="G176" s="1648">
        <v>2.97</v>
      </c>
      <c r="H176" s="1636">
        <f>ROUND(G176*$B$13,2)</f>
        <v>0.8</v>
      </c>
      <c r="I176" s="1636">
        <f>H176+G176</f>
        <v>3.7700000000000005</v>
      </c>
      <c r="J176" s="1723">
        <f>ROUND(I176*E176,2)</f>
        <v>11540.54</v>
      </c>
      <c r="K176" s="2007">
        <f t="shared" si="91"/>
        <v>9091.6200000000008</v>
      </c>
      <c r="L176" s="2007">
        <f t="shared" si="92"/>
        <v>2448.92</v>
      </c>
      <c r="M176" s="2016"/>
      <c r="N176" s="2016"/>
      <c r="O176" s="2016"/>
      <c r="P176" s="2016"/>
      <c r="Q176" s="2016"/>
      <c r="R176" s="2016"/>
      <c r="S176" s="2016">
        <f>0.2*J176</f>
        <v>2308.1080000000002</v>
      </c>
      <c r="T176" s="2016">
        <f>0.3*J176</f>
        <v>3462.1620000000003</v>
      </c>
      <c r="U176" s="2016">
        <f>0.3*J176</f>
        <v>3462.1620000000003</v>
      </c>
      <c r="V176" s="2016">
        <f>0.2*J176</f>
        <v>2308.1080000000002</v>
      </c>
      <c r="W176" s="2016"/>
      <c r="X176" s="2016"/>
      <c r="Y176" s="2016"/>
      <c r="Z176" s="2016"/>
    </row>
    <row r="177" spans="1:26" s="2009" customFormat="1" ht="30" x14ac:dyDescent="0.2">
      <c r="A177" s="1635" t="s">
        <v>5785</v>
      </c>
      <c r="B177" s="1984" t="s">
        <v>4448</v>
      </c>
      <c r="C177" s="1984">
        <v>89173</v>
      </c>
      <c r="D177" s="1813" t="s">
        <v>5783</v>
      </c>
      <c r="E177" s="1638">
        <f>QuantPrédio!J476</f>
        <v>3959.79</v>
      </c>
      <c r="F177" s="1639" t="s">
        <v>5286</v>
      </c>
      <c r="G177" s="1648">
        <v>26.83</v>
      </c>
      <c r="H177" s="1636">
        <f>ROUND(G177*$B$13,2)</f>
        <v>7.23</v>
      </c>
      <c r="I177" s="1636">
        <f>H177+G177</f>
        <v>34.06</v>
      </c>
      <c r="J177" s="1723">
        <f>ROUND(I177*E177,2)</f>
        <v>134870.45000000001</v>
      </c>
      <c r="K177" s="2007">
        <f t="shared" si="91"/>
        <v>106241.17</v>
      </c>
      <c r="L177" s="2007">
        <f t="shared" si="92"/>
        <v>28629.279999999999</v>
      </c>
      <c r="M177" s="2016"/>
      <c r="N177" s="2016"/>
      <c r="O177" s="2016"/>
      <c r="P177" s="2016"/>
      <c r="Q177" s="2016"/>
      <c r="R177" s="2016"/>
      <c r="S177" s="2016">
        <f>0.2*J177</f>
        <v>26974.090000000004</v>
      </c>
      <c r="T177" s="2016">
        <f>0.3*J177</f>
        <v>40461.135000000002</v>
      </c>
      <c r="U177" s="2016">
        <f>0.3*J177</f>
        <v>40461.135000000002</v>
      </c>
      <c r="V177" s="2016">
        <f>0.2*J177</f>
        <v>26974.090000000004</v>
      </c>
      <c r="W177" s="2016"/>
      <c r="X177" s="2016"/>
      <c r="Y177" s="2016"/>
      <c r="Z177" s="2016"/>
    </row>
    <row r="178" spans="1:26" s="2009" customFormat="1" ht="45" x14ac:dyDescent="0.2">
      <c r="A178" s="1635" t="s">
        <v>5786</v>
      </c>
      <c r="B178" s="1984" t="s">
        <v>4448</v>
      </c>
      <c r="C178" s="1984">
        <v>89170</v>
      </c>
      <c r="D178" s="1813" t="s">
        <v>5784</v>
      </c>
      <c r="E178" s="1638">
        <f>QuantPrédio!J491</f>
        <v>349.38</v>
      </c>
      <c r="F178" s="1639" t="s">
        <v>5286</v>
      </c>
      <c r="G178" s="1648">
        <v>51.03</v>
      </c>
      <c r="H178" s="1636">
        <f>ROUND(G178*$B$13,2)</f>
        <v>13.74</v>
      </c>
      <c r="I178" s="1636">
        <f>H178+G178</f>
        <v>64.77</v>
      </c>
      <c r="J178" s="1723">
        <f>ROUND(I178*E178,2)</f>
        <v>22629.34</v>
      </c>
      <c r="K178" s="2007">
        <f t="shared" si="91"/>
        <v>17828.86</v>
      </c>
      <c r="L178" s="2007">
        <f t="shared" si="92"/>
        <v>4800.4799999999996</v>
      </c>
      <c r="M178" s="2016"/>
      <c r="N178" s="2016"/>
      <c r="O178" s="2016"/>
      <c r="P178" s="2016"/>
      <c r="Q178" s="2016"/>
      <c r="R178" s="2016"/>
      <c r="S178" s="2016">
        <f>0.2*J178</f>
        <v>4525.8680000000004</v>
      </c>
      <c r="T178" s="2016">
        <f>0.3*J178</f>
        <v>6788.8019999999997</v>
      </c>
      <c r="U178" s="2016">
        <f>0.3*J178</f>
        <v>6788.8019999999997</v>
      </c>
      <c r="V178" s="2016">
        <f>0.2*J178</f>
        <v>4525.8680000000004</v>
      </c>
      <c r="W178" s="2016"/>
      <c r="X178" s="2016"/>
      <c r="Y178" s="2016"/>
      <c r="Z178" s="2016"/>
    </row>
    <row r="179" spans="1:26" s="2009" customFormat="1" ht="45" x14ac:dyDescent="0.2">
      <c r="A179" s="1635" t="s">
        <v>6668</v>
      </c>
      <c r="B179" s="1984" t="s">
        <v>5281</v>
      </c>
      <c r="C179" s="1984" t="s">
        <v>6670</v>
      </c>
      <c r="D179" s="1813" t="s">
        <v>6669</v>
      </c>
      <c r="E179" s="1638">
        <f>QuantPrédio!J498</f>
        <v>32.950000000000003</v>
      </c>
      <c r="F179" s="1639" t="s">
        <v>5286</v>
      </c>
      <c r="G179" s="1648">
        <v>186.26</v>
      </c>
      <c r="H179" s="1636">
        <f>ROUND(G179*$B$13,2)</f>
        <v>50.16</v>
      </c>
      <c r="I179" s="1636">
        <f>H179+G179</f>
        <v>236.42</v>
      </c>
      <c r="J179" s="1723">
        <f>ROUND(I179*E179,2)</f>
        <v>7790.04</v>
      </c>
      <c r="K179" s="2007">
        <f t="shared" si="91"/>
        <v>6137.27</v>
      </c>
      <c r="L179" s="2007">
        <f t="shared" si="92"/>
        <v>1652.77</v>
      </c>
      <c r="M179" s="2016"/>
      <c r="N179" s="2016"/>
      <c r="O179" s="2016"/>
      <c r="P179" s="2016"/>
      <c r="Q179" s="2016"/>
      <c r="R179" s="2016"/>
      <c r="S179" s="2016">
        <f>0.2*J179</f>
        <v>1558.008</v>
      </c>
      <c r="T179" s="2016">
        <f>0.3*J179</f>
        <v>2337.0119999999997</v>
      </c>
      <c r="U179" s="2016">
        <f>0.3*J179</f>
        <v>2337.0119999999997</v>
      </c>
      <c r="V179" s="2016">
        <f>0.2*J179</f>
        <v>1558.008</v>
      </c>
      <c r="W179" s="2016"/>
      <c r="X179" s="2016"/>
      <c r="Y179" s="2016"/>
      <c r="Z179" s="2016"/>
    </row>
    <row r="180" spans="1:26" s="2009" customFormat="1" ht="15" x14ac:dyDescent="0.2">
      <c r="A180" s="1634" t="s">
        <v>6673</v>
      </c>
      <c r="B180" s="2136" t="s">
        <v>6674</v>
      </c>
      <c r="C180" s="2136"/>
      <c r="D180" s="2136"/>
      <c r="E180" s="2136"/>
      <c r="F180" s="2136"/>
      <c r="G180" s="2136"/>
      <c r="H180" s="2136"/>
      <c r="I180" s="2136"/>
      <c r="J180" s="2136"/>
      <c r="K180" s="2007">
        <f t="shared" si="91"/>
        <v>0</v>
      </c>
      <c r="L180" s="2007">
        <f t="shared" si="92"/>
        <v>0</v>
      </c>
      <c r="M180" s="2016"/>
      <c r="N180" s="2016"/>
      <c r="O180" s="2016"/>
      <c r="P180" s="2016"/>
      <c r="Q180" s="2016"/>
      <c r="R180" s="2016"/>
      <c r="S180" s="2016"/>
      <c r="T180" s="2016"/>
      <c r="U180" s="2016"/>
      <c r="V180" s="2016"/>
      <c r="W180" s="2016"/>
      <c r="X180" s="2016"/>
      <c r="Y180" s="2016"/>
      <c r="Z180" s="2016"/>
    </row>
    <row r="181" spans="1:26" s="2009" customFormat="1" ht="30" x14ac:dyDescent="0.2">
      <c r="A181" s="1635" t="s">
        <v>6772</v>
      </c>
      <c r="B181" s="1984" t="s">
        <v>4448</v>
      </c>
      <c r="C181" s="1984">
        <v>96114</v>
      </c>
      <c r="D181" s="1813" t="s">
        <v>6675</v>
      </c>
      <c r="E181" s="1638">
        <f>QuantPrédio!J506</f>
        <v>104.67</v>
      </c>
      <c r="F181" s="1639" t="s">
        <v>5286</v>
      </c>
      <c r="G181" s="1648">
        <v>56.9</v>
      </c>
      <c r="H181" s="1636">
        <f>ROUND(G181*$B$13,2)</f>
        <v>15.32</v>
      </c>
      <c r="I181" s="1636">
        <f>H181+G181</f>
        <v>72.22</v>
      </c>
      <c r="J181" s="1723">
        <f>ROUND(I181*E181,2)</f>
        <v>7559.27</v>
      </c>
      <c r="K181" s="2007">
        <f t="shared" si="91"/>
        <v>5955.72</v>
      </c>
      <c r="L181" s="2007">
        <f t="shared" si="92"/>
        <v>1603.54</v>
      </c>
      <c r="M181" s="2016"/>
      <c r="N181" s="2016"/>
      <c r="O181" s="2016"/>
      <c r="P181" s="2016"/>
      <c r="Q181" s="2016"/>
      <c r="R181" s="2016"/>
      <c r="S181" s="2016"/>
      <c r="T181" s="2016"/>
      <c r="U181" s="2016">
        <f>0.1*J181</f>
        <v>755.92700000000013</v>
      </c>
      <c r="V181" s="2016">
        <f>0.25*J181</f>
        <v>1889.8175000000001</v>
      </c>
      <c r="W181" s="2016">
        <f>0.3*J181</f>
        <v>2267.7809999999999</v>
      </c>
      <c r="X181" s="2016">
        <f>0.25*J181</f>
        <v>1889.8175000000001</v>
      </c>
      <c r="Y181" s="2016">
        <f>0.1*J181</f>
        <v>755.92700000000013</v>
      </c>
      <c r="Z181" s="2016"/>
    </row>
    <row r="182" spans="1:26" s="2009" customFormat="1" ht="60" x14ac:dyDescent="0.2">
      <c r="A182" s="1635" t="s">
        <v>6773</v>
      </c>
      <c r="B182" s="1984" t="s">
        <v>4448</v>
      </c>
      <c r="C182" s="1984" t="s">
        <v>8280</v>
      </c>
      <c r="D182" s="1813" t="s">
        <v>6676</v>
      </c>
      <c r="E182" s="1638">
        <f>QuantPrédio!J514</f>
        <v>1587.96</v>
      </c>
      <c r="F182" s="1639" t="s">
        <v>5286</v>
      </c>
      <c r="G182" s="1648">
        <v>75.37</v>
      </c>
      <c r="H182" s="1636">
        <f>ROUND(G182*$B$13,2)</f>
        <v>20.3</v>
      </c>
      <c r="I182" s="1636">
        <f>H182+G182</f>
        <v>95.67</v>
      </c>
      <c r="J182" s="1723">
        <f>ROUND(I182*E182,2)</f>
        <v>151920.13</v>
      </c>
      <c r="K182" s="2007">
        <f t="shared" si="91"/>
        <v>119684.55</v>
      </c>
      <c r="L182" s="2007">
        <f t="shared" si="92"/>
        <v>32235.59</v>
      </c>
      <c r="M182" s="2016"/>
      <c r="N182" s="2016"/>
      <c r="O182" s="2016"/>
      <c r="P182" s="2016"/>
      <c r="Q182" s="2016"/>
      <c r="R182" s="2016"/>
      <c r="S182" s="2016"/>
      <c r="T182" s="2016"/>
      <c r="U182" s="2016">
        <f>0.1*J182</f>
        <v>15192.013000000001</v>
      </c>
      <c r="V182" s="2016">
        <f>0.25*J182</f>
        <v>37980.032500000001</v>
      </c>
      <c r="W182" s="2016">
        <f>0.3*J182</f>
        <v>45576.038999999997</v>
      </c>
      <c r="X182" s="2016">
        <f>0.25*J182</f>
        <v>37980.032500000001</v>
      </c>
      <c r="Y182" s="2016">
        <f>0.1*J182</f>
        <v>15192.013000000001</v>
      </c>
      <c r="Z182" s="2016"/>
    </row>
    <row r="183" spans="1:26" s="2009" customFormat="1" ht="45" x14ac:dyDescent="0.2">
      <c r="A183" s="1635" t="s">
        <v>6678</v>
      </c>
      <c r="B183" s="1984" t="s">
        <v>4448</v>
      </c>
      <c r="C183" s="1984" t="s">
        <v>6679</v>
      </c>
      <c r="D183" s="1813" t="s">
        <v>6677</v>
      </c>
      <c r="E183" s="1638">
        <v>5.67</v>
      </c>
      <c r="F183" s="1639" t="s">
        <v>5286</v>
      </c>
      <c r="G183" s="1648">
        <v>154.13999999999999</v>
      </c>
      <c r="H183" s="1636">
        <f>ROUND(G183*$B$13,2)</f>
        <v>41.51</v>
      </c>
      <c r="I183" s="1636">
        <f>H183+G183</f>
        <v>195.64999999999998</v>
      </c>
      <c r="J183" s="1723">
        <f>ROUND(I183*E183,2)</f>
        <v>1109.3399999999999</v>
      </c>
      <c r="K183" s="2007">
        <f t="shared" si="91"/>
        <v>873.97</v>
      </c>
      <c r="L183" s="2007">
        <f t="shared" si="92"/>
        <v>235.36</v>
      </c>
      <c r="M183" s="2016"/>
      <c r="N183" s="2016"/>
      <c r="O183" s="2016"/>
      <c r="P183" s="2016"/>
      <c r="Q183" s="2016"/>
      <c r="R183" s="2016"/>
      <c r="S183" s="2016"/>
      <c r="T183" s="2016"/>
      <c r="U183" s="2016">
        <f>0.1*J183</f>
        <v>110.934</v>
      </c>
      <c r="V183" s="2016">
        <f>0.25*J183</f>
        <v>277.33499999999998</v>
      </c>
      <c r="W183" s="2016">
        <f>0.3*J183</f>
        <v>332.80199999999996</v>
      </c>
      <c r="X183" s="2016">
        <f>0.25*J183</f>
        <v>277.33499999999998</v>
      </c>
      <c r="Y183" s="2016">
        <f>0.1*J183</f>
        <v>110.934</v>
      </c>
      <c r="Z183" s="2016"/>
    </row>
    <row r="184" spans="1:26" s="2009" customFormat="1" ht="15" x14ac:dyDescent="0.2">
      <c r="A184" s="1634" t="s">
        <v>5787</v>
      </c>
      <c r="B184" s="2136" t="s">
        <v>5788</v>
      </c>
      <c r="C184" s="2136"/>
      <c r="D184" s="2136"/>
      <c r="E184" s="2136"/>
      <c r="F184" s="2136"/>
      <c r="G184" s="2136"/>
      <c r="H184" s="2136"/>
      <c r="I184" s="2136"/>
      <c r="J184" s="2136"/>
      <c r="K184" s="2007">
        <f t="shared" si="91"/>
        <v>0</v>
      </c>
      <c r="L184" s="2007">
        <f t="shared" si="92"/>
        <v>0</v>
      </c>
      <c r="M184" s="2016"/>
      <c r="N184" s="2016"/>
      <c r="O184" s="2016"/>
      <c r="P184" s="2016"/>
      <c r="Q184" s="2016"/>
      <c r="R184" s="2016"/>
      <c r="S184" s="2016"/>
      <c r="T184" s="2016"/>
      <c r="U184" s="2016"/>
      <c r="V184" s="2016"/>
      <c r="W184" s="2016"/>
      <c r="X184" s="2016"/>
      <c r="Y184" s="2016"/>
      <c r="Z184" s="2016"/>
    </row>
    <row r="185" spans="1:26" s="2009" customFormat="1" ht="30" x14ac:dyDescent="0.2">
      <c r="A185" s="1635" t="s">
        <v>6774</v>
      </c>
      <c r="B185" s="1984" t="s">
        <v>4448</v>
      </c>
      <c r="C185" s="1984">
        <v>88497</v>
      </c>
      <c r="D185" s="1813" t="s">
        <v>5789</v>
      </c>
      <c r="E185" s="1638">
        <f>QuantPrédio!J522</f>
        <v>4625.33</v>
      </c>
      <c r="F185" s="1639" t="s">
        <v>5286</v>
      </c>
      <c r="G185" s="1648">
        <v>12</v>
      </c>
      <c r="H185" s="1636">
        <f t="shared" ref="H185:H193" si="93">ROUND(G185*$B$13,2)</f>
        <v>3.23</v>
      </c>
      <c r="I185" s="1636">
        <f t="shared" ref="I185:I193" si="94">H185+G185</f>
        <v>15.23</v>
      </c>
      <c r="J185" s="1723">
        <f t="shared" ref="J185:J193" si="95">ROUND(I185*E185,2)</f>
        <v>70443.78</v>
      </c>
      <c r="K185" s="2007">
        <f t="shared" si="91"/>
        <v>55503.96</v>
      </c>
      <c r="L185" s="2007">
        <f t="shared" si="92"/>
        <v>14939.82</v>
      </c>
      <c r="M185" s="2016"/>
      <c r="N185" s="2016"/>
      <c r="O185" s="2016"/>
      <c r="P185" s="2016"/>
      <c r="Q185" s="2016"/>
      <c r="R185" s="2016"/>
      <c r="S185" s="2016"/>
      <c r="T185" s="2016"/>
      <c r="U185" s="2016"/>
      <c r="V185" s="2016"/>
      <c r="W185" s="2016"/>
      <c r="X185" s="2016">
        <f t="shared" ref="X185:X193" si="96">0.3*J185</f>
        <v>21133.133999999998</v>
      </c>
      <c r="Y185" s="2016">
        <f t="shared" ref="Y185:Y193" si="97">0.3*J185</f>
        <v>21133.133999999998</v>
      </c>
      <c r="Z185" s="2016">
        <f t="shared" ref="Z185:Z193" si="98">0.4*J185</f>
        <v>28177.512000000002</v>
      </c>
    </row>
    <row r="186" spans="1:26" s="2009" customFormat="1" ht="60" x14ac:dyDescent="0.2">
      <c r="A186" s="1635" t="s">
        <v>6775</v>
      </c>
      <c r="B186" s="1984" t="s">
        <v>4448</v>
      </c>
      <c r="C186" s="1984">
        <v>96131</v>
      </c>
      <c r="D186" s="1813" t="s">
        <v>6790</v>
      </c>
      <c r="E186" s="1638">
        <f>QuantPrédio!J529</f>
        <v>931.59</v>
      </c>
      <c r="F186" s="1639" t="s">
        <v>5286</v>
      </c>
      <c r="G186" s="1648">
        <v>20.11</v>
      </c>
      <c r="H186" s="1636">
        <f t="shared" si="93"/>
        <v>5.42</v>
      </c>
      <c r="I186" s="1636">
        <f t="shared" si="94"/>
        <v>25.53</v>
      </c>
      <c r="J186" s="1723">
        <f t="shared" si="95"/>
        <v>23783.49</v>
      </c>
      <c r="K186" s="2007">
        <f t="shared" si="91"/>
        <v>18734.27</v>
      </c>
      <c r="L186" s="2007">
        <f t="shared" si="92"/>
        <v>5049.22</v>
      </c>
      <c r="M186" s="2016"/>
      <c r="N186" s="2016"/>
      <c r="O186" s="2016"/>
      <c r="P186" s="2016"/>
      <c r="Q186" s="2016"/>
      <c r="R186" s="2016"/>
      <c r="S186" s="2016"/>
      <c r="T186" s="2016"/>
      <c r="U186" s="2016"/>
      <c r="V186" s="2016"/>
      <c r="W186" s="2016"/>
      <c r="X186" s="2016">
        <f t="shared" si="96"/>
        <v>7135.0470000000005</v>
      </c>
      <c r="Y186" s="2016">
        <f t="shared" si="97"/>
        <v>7135.0470000000005</v>
      </c>
      <c r="Z186" s="2016">
        <f t="shared" si="98"/>
        <v>9513.3960000000006</v>
      </c>
    </row>
    <row r="187" spans="1:26" s="2009" customFormat="1" ht="30" x14ac:dyDescent="0.2">
      <c r="A187" s="1635" t="s">
        <v>6776</v>
      </c>
      <c r="B187" s="1984" t="s">
        <v>4448</v>
      </c>
      <c r="C187" s="1984">
        <v>88496</v>
      </c>
      <c r="D187" s="1813" t="s">
        <v>5790</v>
      </c>
      <c r="E187" s="1638">
        <f>E181</f>
        <v>104.67</v>
      </c>
      <c r="F187" s="1639" t="s">
        <v>5286</v>
      </c>
      <c r="G187" s="1648">
        <v>21.66</v>
      </c>
      <c r="H187" s="1636">
        <f t="shared" si="93"/>
        <v>5.83</v>
      </c>
      <c r="I187" s="1636">
        <f t="shared" si="94"/>
        <v>27.490000000000002</v>
      </c>
      <c r="J187" s="1723">
        <f t="shared" si="95"/>
        <v>2877.38</v>
      </c>
      <c r="K187" s="2007">
        <f t="shared" si="91"/>
        <v>2267.15</v>
      </c>
      <c r="L187" s="2007">
        <f t="shared" si="92"/>
        <v>610.23</v>
      </c>
      <c r="M187" s="2016"/>
      <c r="N187" s="2016"/>
      <c r="O187" s="2016"/>
      <c r="P187" s="2016"/>
      <c r="Q187" s="2016"/>
      <c r="R187" s="2016"/>
      <c r="S187" s="2016"/>
      <c r="T187" s="2016"/>
      <c r="U187" s="2016"/>
      <c r="V187" s="2016"/>
      <c r="W187" s="2016"/>
      <c r="X187" s="2016">
        <f t="shared" si="96"/>
        <v>863.21400000000006</v>
      </c>
      <c r="Y187" s="2016">
        <f t="shared" si="97"/>
        <v>863.21400000000006</v>
      </c>
      <c r="Z187" s="2016">
        <f t="shared" si="98"/>
        <v>1150.952</v>
      </c>
    </row>
    <row r="188" spans="1:26" s="2009" customFormat="1" ht="30" x14ac:dyDescent="0.2">
      <c r="A188" s="1635" t="s">
        <v>6777</v>
      </c>
      <c r="B188" s="1984" t="s">
        <v>4448</v>
      </c>
      <c r="C188" s="1984">
        <v>88485</v>
      </c>
      <c r="D188" s="1813" t="s">
        <v>5791</v>
      </c>
      <c r="E188" s="1638">
        <f>E186+E185</f>
        <v>5556.92</v>
      </c>
      <c r="F188" s="1639" t="s">
        <v>5286</v>
      </c>
      <c r="G188" s="1648">
        <v>2.27</v>
      </c>
      <c r="H188" s="1636">
        <f t="shared" si="93"/>
        <v>0.61</v>
      </c>
      <c r="I188" s="1636">
        <f t="shared" si="94"/>
        <v>2.88</v>
      </c>
      <c r="J188" s="1723">
        <f t="shared" si="95"/>
        <v>16003.93</v>
      </c>
      <c r="K188" s="2007">
        <f t="shared" si="91"/>
        <v>12614.21</v>
      </c>
      <c r="L188" s="2007">
        <f t="shared" si="92"/>
        <v>3389.72</v>
      </c>
      <c r="M188" s="2016"/>
      <c r="N188" s="2016"/>
      <c r="O188" s="2016"/>
      <c r="P188" s="2016"/>
      <c r="Q188" s="2016"/>
      <c r="R188" s="2016"/>
      <c r="S188" s="2016"/>
      <c r="T188" s="2016"/>
      <c r="U188" s="2016"/>
      <c r="V188" s="2016"/>
      <c r="W188" s="2016"/>
      <c r="X188" s="2016">
        <f t="shared" si="96"/>
        <v>4801.1790000000001</v>
      </c>
      <c r="Y188" s="2016">
        <f t="shared" si="97"/>
        <v>4801.1790000000001</v>
      </c>
      <c r="Z188" s="2016">
        <f t="shared" si="98"/>
        <v>6401.5720000000001</v>
      </c>
    </row>
    <row r="189" spans="1:26" s="2009" customFormat="1" ht="30" x14ac:dyDescent="0.2">
      <c r="A189" s="1635" t="s">
        <v>8550</v>
      </c>
      <c r="B189" s="1984" t="s">
        <v>4448</v>
      </c>
      <c r="C189" s="1984">
        <v>88482</v>
      </c>
      <c r="D189" s="1813" t="s">
        <v>5792</v>
      </c>
      <c r="E189" s="1638">
        <f>E181</f>
        <v>104.67</v>
      </c>
      <c r="F189" s="1639" t="s">
        <v>5286</v>
      </c>
      <c r="G189" s="1648">
        <v>3.3</v>
      </c>
      <c r="H189" s="1636">
        <f t="shared" si="93"/>
        <v>0.89</v>
      </c>
      <c r="I189" s="1636">
        <f t="shared" si="94"/>
        <v>4.1899999999999995</v>
      </c>
      <c r="J189" s="1723">
        <f t="shared" si="95"/>
        <v>438.57</v>
      </c>
      <c r="K189" s="2007">
        <f t="shared" si="91"/>
        <v>345.41</v>
      </c>
      <c r="L189" s="2007">
        <f t="shared" si="92"/>
        <v>93.16</v>
      </c>
      <c r="M189" s="2016"/>
      <c r="N189" s="2016"/>
      <c r="O189" s="2016"/>
      <c r="P189" s="2016"/>
      <c r="Q189" s="2016"/>
      <c r="R189" s="2016"/>
      <c r="S189" s="2016"/>
      <c r="T189" s="2016"/>
      <c r="U189" s="2016"/>
      <c r="V189" s="2016"/>
      <c r="W189" s="2016"/>
      <c r="X189" s="2016">
        <f t="shared" si="96"/>
        <v>131.571</v>
      </c>
      <c r="Y189" s="2016">
        <f t="shared" si="97"/>
        <v>131.571</v>
      </c>
      <c r="Z189" s="2016">
        <f t="shared" si="98"/>
        <v>175.428</v>
      </c>
    </row>
    <row r="190" spans="1:26" s="2009" customFormat="1" ht="30" x14ac:dyDescent="0.2">
      <c r="A190" s="1635" t="s">
        <v>5796</v>
      </c>
      <c r="B190" s="1984" t="s">
        <v>4448</v>
      </c>
      <c r="C190" s="1984">
        <v>88486</v>
      </c>
      <c r="D190" s="1813" t="s">
        <v>5793</v>
      </c>
      <c r="E190" s="1638">
        <f>E181</f>
        <v>104.67</v>
      </c>
      <c r="F190" s="1639" t="s">
        <v>5286</v>
      </c>
      <c r="G190" s="1648">
        <v>10.42</v>
      </c>
      <c r="H190" s="1636">
        <f t="shared" si="93"/>
        <v>2.81</v>
      </c>
      <c r="I190" s="1636">
        <f t="shared" si="94"/>
        <v>13.23</v>
      </c>
      <c r="J190" s="1723">
        <f t="shared" si="95"/>
        <v>1384.78</v>
      </c>
      <c r="K190" s="2007">
        <f t="shared" si="91"/>
        <v>1090.6600000000001</v>
      </c>
      <c r="L190" s="2007">
        <f t="shared" si="92"/>
        <v>294.12</v>
      </c>
      <c r="M190" s="2016"/>
      <c r="N190" s="2016"/>
      <c r="O190" s="2016"/>
      <c r="P190" s="2016"/>
      <c r="Q190" s="2016"/>
      <c r="R190" s="2016"/>
      <c r="S190" s="2016"/>
      <c r="T190" s="2016"/>
      <c r="U190" s="2016"/>
      <c r="V190" s="2016"/>
      <c r="W190" s="2016"/>
      <c r="X190" s="2016">
        <f t="shared" si="96"/>
        <v>415.43399999999997</v>
      </c>
      <c r="Y190" s="2016">
        <f t="shared" si="97"/>
        <v>415.43399999999997</v>
      </c>
      <c r="Z190" s="2016">
        <f t="shared" si="98"/>
        <v>553.91200000000003</v>
      </c>
    </row>
    <row r="191" spans="1:26" s="2009" customFormat="1" ht="30" x14ac:dyDescent="0.2">
      <c r="A191" s="1635" t="s">
        <v>5797</v>
      </c>
      <c r="B191" s="1984" t="s">
        <v>4448</v>
      </c>
      <c r="C191" s="1984">
        <v>95622</v>
      </c>
      <c r="D191" s="1813" t="s">
        <v>5794</v>
      </c>
      <c r="E191" s="1638">
        <f>E188</f>
        <v>5556.92</v>
      </c>
      <c r="F191" s="1639" t="s">
        <v>5286</v>
      </c>
      <c r="G191" s="1648">
        <v>11.84</v>
      </c>
      <c r="H191" s="1636">
        <f t="shared" si="93"/>
        <v>3.19</v>
      </c>
      <c r="I191" s="1636">
        <f t="shared" si="94"/>
        <v>15.03</v>
      </c>
      <c r="J191" s="1723">
        <f t="shared" si="95"/>
        <v>83520.509999999995</v>
      </c>
      <c r="K191" s="2007">
        <f t="shared" si="91"/>
        <v>65793.929999999993</v>
      </c>
      <c r="L191" s="2007">
        <f t="shared" si="92"/>
        <v>17726.57</v>
      </c>
      <c r="M191" s="2016"/>
      <c r="N191" s="2016"/>
      <c r="O191" s="2016"/>
      <c r="P191" s="2016"/>
      <c r="Q191" s="2016"/>
      <c r="R191" s="2016"/>
      <c r="S191" s="2016"/>
      <c r="T191" s="2016"/>
      <c r="U191" s="2016"/>
      <c r="V191" s="2016"/>
      <c r="W191" s="2016"/>
      <c r="X191" s="2016">
        <f t="shared" si="96"/>
        <v>25056.152999999998</v>
      </c>
      <c r="Y191" s="2016">
        <f t="shared" si="97"/>
        <v>25056.152999999998</v>
      </c>
      <c r="Z191" s="2016">
        <f t="shared" si="98"/>
        <v>33408.203999999998</v>
      </c>
    </row>
    <row r="192" spans="1:26" s="2009" customFormat="1" ht="45" x14ac:dyDescent="0.2">
      <c r="A192" s="1635" t="s">
        <v>6778</v>
      </c>
      <c r="B192" s="1984" t="s">
        <v>4448</v>
      </c>
      <c r="C192" s="1984">
        <v>88485</v>
      </c>
      <c r="D192" s="1813" t="s">
        <v>5795</v>
      </c>
      <c r="E192" s="1638">
        <f>QuantPrédio!J541</f>
        <v>2310.17</v>
      </c>
      <c r="F192" s="1639" t="s">
        <v>5286</v>
      </c>
      <c r="G192" s="1648">
        <v>2.27</v>
      </c>
      <c r="H192" s="1636">
        <f t="shared" si="93"/>
        <v>0.61</v>
      </c>
      <c r="I192" s="1636">
        <f t="shared" si="94"/>
        <v>2.88</v>
      </c>
      <c r="J192" s="1723">
        <f t="shared" si="95"/>
        <v>6653.29</v>
      </c>
      <c r="K192" s="2007">
        <f t="shared" si="91"/>
        <v>5244.09</v>
      </c>
      <c r="L192" s="2007">
        <f t="shared" si="92"/>
        <v>1409.2</v>
      </c>
      <c r="M192" s="2016"/>
      <c r="N192" s="2016"/>
      <c r="O192" s="2016"/>
      <c r="P192" s="2016"/>
      <c r="Q192" s="2016"/>
      <c r="R192" s="2016"/>
      <c r="S192" s="2016"/>
      <c r="T192" s="2016"/>
      <c r="U192" s="2016"/>
      <c r="V192" s="2016"/>
      <c r="W192" s="2016"/>
      <c r="X192" s="2016">
        <f t="shared" si="96"/>
        <v>1995.9869999999999</v>
      </c>
      <c r="Y192" s="2016">
        <f t="shared" si="97"/>
        <v>1995.9869999999999</v>
      </c>
      <c r="Z192" s="2016">
        <f t="shared" si="98"/>
        <v>2661.3160000000003</v>
      </c>
    </row>
    <row r="193" spans="1:26" s="2009" customFormat="1" ht="45" x14ac:dyDescent="0.2">
      <c r="A193" s="1635" t="s">
        <v>6779</v>
      </c>
      <c r="B193" s="1984" t="s">
        <v>5281</v>
      </c>
      <c r="C193" s="1984">
        <v>4934</v>
      </c>
      <c r="D193" s="1813" t="s">
        <v>6680</v>
      </c>
      <c r="E193" s="1638">
        <f>QuantPrédio!J541</f>
        <v>2310.17</v>
      </c>
      <c r="F193" s="1639" t="s">
        <v>5286</v>
      </c>
      <c r="G193" s="1648">
        <v>6.73</v>
      </c>
      <c r="H193" s="1636">
        <f t="shared" si="93"/>
        <v>1.81</v>
      </c>
      <c r="I193" s="1636">
        <f t="shared" si="94"/>
        <v>8.5400000000000009</v>
      </c>
      <c r="J193" s="1723">
        <f t="shared" si="95"/>
        <v>19728.849999999999</v>
      </c>
      <c r="K193" s="2007">
        <f t="shared" si="91"/>
        <v>15547.44</v>
      </c>
      <c r="L193" s="2007">
        <f t="shared" si="92"/>
        <v>4181.41</v>
      </c>
      <c r="M193" s="2016"/>
      <c r="N193" s="2016"/>
      <c r="O193" s="2016"/>
      <c r="P193" s="2016"/>
      <c r="Q193" s="2016"/>
      <c r="R193" s="2016"/>
      <c r="S193" s="2016"/>
      <c r="T193" s="2016"/>
      <c r="U193" s="2016"/>
      <c r="V193" s="2016"/>
      <c r="W193" s="2016"/>
      <c r="X193" s="2016">
        <f t="shared" si="96"/>
        <v>5918.6549999999997</v>
      </c>
      <c r="Y193" s="2016">
        <f t="shared" si="97"/>
        <v>5918.6549999999997</v>
      </c>
      <c r="Z193" s="2016">
        <f t="shared" si="98"/>
        <v>7891.54</v>
      </c>
    </row>
    <row r="194" spans="1:26" s="2009" customFormat="1" ht="15" x14ac:dyDescent="0.2">
      <c r="A194" s="1634" t="s">
        <v>5798</v>
      </c>
      <c r="B194" s="2136" t="s">
        <v>5799</v>
      </c>
      <c r="C194" s="2136"/>
      <c r="D194" s="2136"/>
      <c r="E194" s="2136"/>
      <c r="F194" s="2136"/>
      <c r="G194" s="2136"/>
      <c r="H194" s="2136"/>
      <c r="I194" s="2136"/>
      <c r="J194" s="2136"/>
      <c r="K194" s="2007">
        <f t="shared" si="91"/>
        <v>0</v>
      </c>
      <c r="L194" s="2007">
        <f t="shared" si="92"/>
        <v>0</v>
      </c>
      <c r="M194" s="2016"/>
      <c r="N194" s="2016"/>
      <c r="O194" s="2016"/>
      <c r="P194" s="2016"/>
      <c r="Q194" s="2016"/>
      <c r="R194" s="2016"/>
      <c r="S194" s="2016"/>
      <c r="T194" s="2016"/>
      <c r="U194" s="2016"/>
      <c r="V194" s="2016"/>
      <c r="W194" s="2016"/>
      <c r="X194" s="2016"/>
      <c r="Y194" s="2016"/>
      <c r="Z194" s="2016"/>
    </row>
    <row r="195" spans="1:26" s="2009" customFormat="1" ht="45" x14ac:dyDescent="0.2">
      <c r="A195" s="1635" t="s">
        <v>6780</v>
      </c>
      <c r="B195" s="1984" t="s">
        <v>4448</v>
      </c>
      <c r="C195" s="1984">
        <v>87745</v>
      </c>
      <c r="D195" s="1813" t="s">
        <v>5800</v>
      </c>
      <c r="E195" s="1638">
        <v>1209</v>
      </c>
      <c r="F195" s="1639" t="s">
        <v>5286</v>
      </c>
      <c r="G195" s="1648">
        <v>39.47</v>
      </c>
      <c r="H195" s="1636">
        <f t="shared" ref="H195:H201" si="99">ROUND(G195*$B$13,2)</f>
        <v>10.63</v>
      </c>
      <c r="I195" s="1636">
        <f t="shared" ref="I195:I201" si="100">H195+G195</f>
        <v>50.1</v>
      </c>
      <c r="J195" s="1723">
        <f t="shared" ref="J195:J201" si="101">ROUND(I195*E195,2)</f>
        <v>60570.9</v>
      </c>
      <c r="K195" s="2007">
        <f t="shared" si="91"/>
        <v>47719.23</v>
      </c>
      <c r="L195" s="2007">
        <f t="shared" si="92"/>
        <v>12851.67</v>
      </c>
      <c r="M195" s="2016"/>
      <c r="N195" s="2016"/>
      <c r="O195" s="2016"/>
      <c r="P195" s="2016"/>
      <c r="Q195" s="2016"/>
      <c r="R195" s="2016"/>
      <c r="S195" s="2016">
        <f t="shared" ref="S195:S201" si="102">0.4*J195</f>
        <v>24228.36</v>
      </c>
      <c r="T195" s="2016">
        <f t="shared" ref="T195:T201" si="103">0.6*J195</f>
        <v>36342.54</v>
      </c>
      <c r="U195" s="2016"/>
      <c r="V195" s="2016"/>
      <c r="W195" s="2016"/>
      <c r="X195" s="2016"/>
      <c r="Y195" s="2016"/>
      <c r="Z195" s="2016"/>
    </row>
    <row r="196" spans="1:26" s="2009" customFormat="1" ht="60" x14ac:dyDescent="0.2">
      <c r="A196" s="1635" t="s">
        <v>6781</v>
      </c>
      <c r="B196" s="1984" t="s">
        <v>4448</v>
      </c>
      <c r="C196" s="1984" t="s">
        <v>5806</v>
      </c>
      <c r="D196" s="1813" t="s">
        <v>5801</v>
      </c>
      <c r="E196" s="1638">
        <f>QuantPrédio!J549</f>
        <v>473.02</v>
      </c>
      <c r="F196" s="1639" t="s">
        <v>5286</v>
      </c>
      <c r="G196" s="1648">
        <v>89.500000000000014</v>
      </c>
      <c r="H196" s="1636">
        <f t="shared" si="99"/>
        <v>24.1</v>
      </c>
      <c r="I196" s="1636">
        <f t="shared" si="100"/>
        <v>113.60000000000002</v>
      </c>
      <c r="J196" s="1723">
        <f t="shared" si="101"/>
        <v>53735.07</v>
      </c>
      <c r="K196" s="2007">
        <f t="shared" si="91"/>
        <v>42335.29</v>
      </c>
      <c r="L196" s="2007">
        <f t="shared" si="92"/>
        <v>11399.78</v>
      </c>
      <c r="M196" s="2016"/>
      <c r="N196" s="2016"/>
      <c r="O196" s="2016"/>
      <c r="P196" s="2016"/>
      <c r="Q196" s="2016"/>
      <c r="R196" s="2016"/>
      <c r="S196" s="2016">
        <f t="shared" si="102"/>
        <v>21494.028000000002</v>
      </c>
      <c r="T196" s="2016">
        <f t="shared" si="103"/>
        <v>32241.041999999998</v>
      </c>
      <c r="U196" s="2016"/>
      <c r="V196" s="2016"/>
      <c r="W196" s="2016"/>
      <c r="X196" s="2016"/>
      <c r="Y196" s="2016"/>
      <c r="Z196" s="2016"/>
    </row>
    <row r="197" spans="1:26" s="2009" customFormat="1" ht="75" x14ac:dyDescent="0.2">
      <c r="A197" s="1635" t="s">
        <v>6782</v>
      </c>
      <c r="B197" s="1984" t="s">
        <v>4448</v>
      </c>
      <c r="C197" s="1984" t="s">
        <v>5805</v>
      </c>
      <c r="D197" s="1813" t="s">
        <v>5802</v>
      </c>
      <c r="E197" s="1638">
        <f>QuantPrédio!J556</f>
        <v>473.02</v>
      </c>
      <c r="F197" s="1639" t="s">
        <v>5286</v>
      </c>
      <c r="G197" s="1648">
        <v>47.53</v>
      </c>
      <c r="H197" s="1636">
        <f t="shared" si="99"/>
        <v>12.8</v>
      </c>
      <c r="I197" s="1636">
        <f t="shared" si="100"/>
        <v>60.33</v>
      </c>
      <c r="J197" s="1723">
        <f t="shared" si="101"/>
        <v>28537.3</v>
      </c>
      <c r="K197" s="2007">
        <f t="shared" si="91"/>
        <v>22482.639999999999</v>
      </c>
      <c r="L197" s="2007">
        <f t="shared" si="92"/>
        <v>6054.66</v>
      </c>
      <c r="M197" s="2016"/>
      <c r="N197" s="2016"/>
      <c r="O197" s="2016"/>
      <c r="P197" s="2016"/>
      <c r="Q197" s="2016"/>
      <c r="R197" s="2016"/>
      <c r="S197" s="2016">
        <f t="shared" si="102"/>
        <v>11414.92</v>
      </c>
      <c r="T197" s="2016">
        <f t="shared" si="103"/>
        <v>17122.379999999997</v>
      </c>
      <c r="U197" s="2016"/>
      <c r="V197" s="2016"/>
      <c r="W197" s="2016"/>
      <c r="X197" s="2016"/>
      <c r="Y197" s="2016"/>
      <c r="Z197" s="2016"/>
    </row>
    <row r="198" spans="1:26" s="2009" customFormat="1" ht="60" x14ac:dyDescent="0.2">
      <c r="A198" s="1635" t="s">
        <v>5885</v>
      </c>
      <c r="B198" s="1984" t="s">
        <v>4448</v>
      </c>
      <c r="C198" s="1984">
        <v>98561</v>
      </c>
      <c r="D198" s="1813" t="s">
        <v>5803</v>
      </c>
      <c r="E198" s="1638">
        <f>QuantPrédio!J563</f>
        <v>165.55</v>
      </c>
      <c r="F198" s="1639" t="s">
        <v>5286</v>
      </c>
      <c r="G198" s="1648">
        <v>31.59</v>
      </c>
      <c r="H198" s="1636">
        <f t="shared" si="99"/>
        <v>8.51</v>
      </c>
      <c r="I198" s="1636">
        <f t="shared" si="100"/>
        <v>40.1</v>
      </c>
      <c r="J198" s="1723">
        <f t="shared" si="101"/>
        <v>6638.56</v>
      </c>
      <c r="K198" s="2007">
        <f t="shared" si="91"/>
        <v>5229.72</v>
      </c>
      <c r="L198" s="2007">
        <f t="shared" si="92"/>
        <v>1408.83</v>
      </c>
      <c r="M198" s="2016"/>
      <c r="N198" s="2016"/>
      <c r="O198" s="2016"/>
      <c r="P198" s="2016"/>
      <c r="Q198" s="2016"/>
      <c r="R198" s="2016"/>
      <c r="S198" s="2016">
        <f t="shared" si="102"/>
        <v>2655.4240000000004</v>
      </c>
      <c r="T198" s="2016">
        <f t="shared" si="103"/>
        <v>3983.136</v>
      </c>
      <c r="U198" s="2016"/>
      <c r="V198" s="2016"/>
      <c r="W198" s="2016"/>
      <c r="X198" s="2016"/>
      <c r="Y198" s="2016"/>
      <c r="Z198" s="2016"/>
    </row>
    <row r="199" spans="1:26" s="2009" customFormat="1" ht="75" x14ac:dyDescent="0.2">
      <c r="A199" s="1635" t="s">
        <v>6783</v>
      </c>
      <c r="B199" s="1984" t="s">
        <v>4448</v>
      </c>
      <c r="C199" s="1984">
        <v>98556</v>
      </c>
      <c r="D199" s="1813" t="s">
        <v>7271</v>
      </c>
      <c r="E199" s="1638">
        <f>QuantPrédio!J573</f>
        <v>23.96</v>
      </c>
      <c r="F199" s="1639" t="s">
        <v>5286</v>
      </c>
      <c r="G199" s="1648">
        <v>37.229999999999997</v>
      </c>
      <c r="H199" s="1636">
        <f t="shared" si="99"/>
        <v>10.029999999999999</v>
      </c>
      <c r="I199" s="1636">
        <f t="shared" si="100"/>
        <v>47.26</v>
      </c>
      <c r="J199" s="1723">
        <f t="shared" si="101"/>
        <v>1132.3499999999999</v>
      </c>
      <c r="K199" s="2007">
        <f t="shared" si="91"/>
        <v>892.03</v>
      </c>
      <c r="L199" s="2007">
        <f t="shared" si="92"/>
        <v>240.32</v>
      </c>
      <c r="M199" s="2016"/>
      <c r="N199" s="2016"/>
      <c r="O199" s="2016"/>
      <c r="P199" s="2016"/>
      <c r="Q199" s="2016"/>
      <c r="R199" s="2016"/>
      <c r="S199" s="2016">
        <f t="shared" si="102"/>
        <v>452.94</v>
      </c>
      <c r="T199" s="2016">
        <f t="shared" si="103"/>
        <v>679.41</v>
      </c>
      <c r="U199" s="2016"/>
      <c r="V199" s="2016"/>
      <c r="W199" s="2016"/>
      <c r="X199" s="2016"/>
      <c r="Y199" s="2016"/>
      <c r="Z199" s="2016"/>
    </row>
    <row r="200" spans="1:26" s="2009" customFormat="1" ht="45" x14ac:dyDescent="0.2">
      <c r="A200" s="1635" t="s">
        <v>6784</v>
      </c>
      <c r="B200" s="1984" t="s">
        <v>4448</v>
      </c>
      <c r="C200" s="1984">
        <v>98555</v>
      </c>
      <c r="D200" s="1813" t="s">
        <v>5804</v>
      </c>
      <c r="E200" s="1638">
        <f>QuantPrédio!J583</f>
        <v>7.8</v>
      </c>
      <c r="F200" s="1639" t="s">
        <v>5286</v>
      </c>
      <c r="G200" s="1648">
        <v>19.59</v>
      </c>
      <c r="H200" s="1636">
        <f t="shared" si="99"/>
        <v>5.28</v>
      </c>
      <c r="I200" s="1636">
        <f t="shared" si="100"/>
        <v>24.87</v>
      </c>
      <c r="J200" s="1723">
        <f t="shared" si="101"/>
        <v>193.99</v>
      </c>
      <c r="K200" s="2007">
        <f t="shared" si="91"/>
        <v>152.80000000000001</v>
      </c>
      <c r="L200" s="2007">
        <f t="shared" si="92"/>
        <v>41.18</v>
      </c>
      <c r="M200" s="2016"/>
      <c r="N200" s="2016"/>
      <c r="O200" s="2016"/>
      <c r="P200" s="2016"/>
      <c r="Q200" s="2016"/>
      <c r="R200" s="2016"/>
      <c r="S200" s="2016">
        <f t="shared" si="102"/>
        <v>77.596000000000004</v>
      </c>
      <c r="T200" s="2016">
        <f t="shared" si="103"/>
        <v>116.39400000000001</v>
      </c>
      <c r="U200" s="2016"/>
      <c r="V200" s="2016"/>
      <c r="W200" s="2016"/>
      <c r="X200" s="2016"/>
      <c r="Y200" s="2016"/>
      <c r="Z200" s="2016"/>
    </row>
    <row r="201" spans="1:26" s="2009" customFormat="1" ht="45" x14ac:dyDescent="0.2">
      <c r="A201" s="1635" t="s">
        <v>5886</v>
      </c>
      <c r="B201" s="1984" t="s">
        <v>4448</v>
      </c>
      <c r="C201" s="1984" t="s">
        <v>3868</v>
      </c>
      <c r="D201" s="1813" t="s">
        <v>7286</v>
      </c>
      <c r="E201" s="1638">
        <f>QuantPrédio!J595</f>
        <v>404.39</v>
      </c>
      <c r="F201" s="1639" t="s">
        <v>5286</v>
      </c>
      <c r="G201" s="1648">
        <v>16.239999999999998</v>
      </c>
      <c r="H201" s="1636">
        <f t="shared" si="99"/>
        <v>4.37</v>
      </c>
      <c r="I201" s="1636">
        <f t="shared" si="100"/>
        <v>20.61</v>
      </c>
      <c r="J201" s="1723">
        <f t="shared" si="101"/>
        <v>8334.48</v>
      </c>
      <c r="K201" s="2007">
        <f t="shared" si="91"/>
        <v>6567.29</v>
      </c>
      <c r="L201" s="2007">
        <f t="shared" si="92"/>
        <v>1767.18</v>
      </c>
      <c r="M201" s="2016"/>
      <c r="N201" s="2016"/>
      <c r="O201" s="2016"/>
      <c r="P201" s="2016"/>
      <c r="Q201" s="2016"/>
      <c r="R201" s="2016"/>
      <c r="S201" s="2016">
        <f t="shared" si="102"/>
        <v>3333.7919999999999</v>
      </c>
      <c r="T201" s="2016">
        <f t="shared" si="103"/>
        <v>5000.6879999999992</v>
      </c>
      <c r="U201" s="2016"/>
      <c r="V201" s="2016"/>
      <c r="W201" s="2016"/>
      <c r="X201" s="2016"/>
      <c r="Y201" s="2016"/>
      <c r="Z201" s="2016"/>
    </row>
    <row r="202" spans="1:26" s="2009" customFormat="1" ht="15" x14ac:dyDescent="0.2">
      <c r="A202" s="1634" t="s">
        <v>5172</v>
      </c>
      <c r="B202" s="2136" t="s">
        <v>5173</v>
      </c>
      <c r="C202" s="2136"/>
      <c r="D202" s="2136"/>
      <c r="E202" s="2136"/>
      <c r="F202" s="2136"/>
      <c r="G202" s="2136"/>
      <c r="H202" s="2136"/>
      <c r="I202" s="2136"/>
      <c r="J202" s="2136"/>
      <c r="K202" s="2007">
        <f t="shared" si="91"/>
        <v>0</v>
      </c>
      <c r="L202" s="2007">
        <f t="shared" si="92"/>
        <v>0</v>
      </c>
      <c r="M202" s="2016"/>
      <c r="N202" s="2016"/>
      <c r="O202" s="2016"/>
      <c r="P202" s="2016"/>
      <c r="Q202" s="2016"/>
      <c r="R202" s="2016"/>
      <c r="S202" s="2016"/>
      <c r="T202" s="2016"/>
      <c r="U202" s="2016"/>
      <c r="V202" s="2016"/>
      <c r="W202" s="2016"/>
      <c r="X202" s="2016"/>
      <c r="Y202" s="2016"/>
      <c r="Z202" s="2016"/>
    </row>
    <row r="203" spans="1:26" s="2009" customFormat="1" ht="15" x14ac:dyDescent="0.2">
      <c r="A203" s="1775" t="s">
        <v>6919</v>
      </c>
      <c r="B203" s="1984" t="s">
        <v>4448</v>
      </c>
      <c r="C203" s="1984">
        <v>98685</v>
      </c>
      <c r="D203" s="1813" t="s">
        <v>5887</v>
      </c>
      <c r="E203" s="1638">
        <f>QuantPrédio!I602</f>
        <v>161.11000000000001</v>
      </c>
      <c r="F203" s="1639" t="s">
        <v>5713</v>
      </c>
      <c r="G203" s="1648">
        <v>59.71</v>
      </c>
      <c r="H203" s="1636">
        <f>ROUND(G203*$B$13,2)</f>
        <v>16.079999999999998</v>
      </c>
      <c r="I203" s="1636">
        <f>H203+G203</f>
        <v>75.789999999999992</v>
      </c>
      <c r="J203" s="1723">
        <f>ROUND(I203*E203,2)</f>
        <v>12210.53</v>
      </c>
      <c r="K203" s="2007">
        <f t="shared" si="91"/>
        <v>9619.8799999999992</v>
      </c>
      <c r="L203" s="2007">
        <f t="shared" si="92"/>
        <v>2590.65</v>
      </c>
      <c r="M203" s="2016"/>
      <c r="N203" s="2016"/>
      <c r="O203" s="2016"/>
      <c r="P203" s="2016"/>
      <c r="Q203" s="2016"/>
      <c r="R203" s="2016"/>
      <c r="S203" s="2016"/>
      <c r="T203" s="2016"/>
      <c r="U203" s="2016">
        <f>0.5*J203</f>
        <v>6105.2650000000003</v>
      </c>
      <c r="V203" s="2016">
        <f>0.3*J203</f>
        <v>3663.1590000000001</v>
      </c>
      <c r="W203" s="2016">
        <f>0.2*J203</f>
        <v>2442.1060000000002</v>
      </c>
      <c r="X203" s="2016"/>
      <c r="Y203" s="2016"/>
      <c r="Z203" s="2016"/>
    </row>
    <row r="204" spans="1:26" s="2009" customFormat="1" ht="15" x14ac:dyDescent="0.2">
      <c r="A204" s="1775" t="s">
        <v>6920</v>
      </c>
      <c r="B204" s="1984" t="s">
        <v>4448</v>
      </c>
      <c r="C204" s="1984" t="s">
        <v>3925</v>
      </c>
      <c r="D204" s="1813" t="s">
        <v>5889</v>
      </c>
      <c r="E204" s="1638">
        <f>QuantPrédio!I610</f>
        <v>887.55</v>
      </c>
      <c r="F204" s="1639" t="s">
        <v>5713</v>
      </c>
      <c r="G204" s="1648">
        <v>23.47</v>
      </c>
      <c r="H204" s="1636">
        <f>ROUND(G204*$B$13,2)</f>
        <v>6.32</v>
      </c>
      <c r="I204" s="1636">
        <f>H204+G204</f>
        <v>29.79</v>
      </c>
      <c r="J204" s="1723">
        <f>ROUND(I204*E204,2)</f>
        <v>26440.11</v>
      </c>
      <c r="K204" s="2007">
        <f t="shared" si="91"/>
        <v>20830.8</v>
      </c>
      <c r="L204" s="2007">
        <f t="shared" si="92"/>
        <v>5609.32</v>
      </c>
      <c r="M204" s="2016"/>
      <c r="N204" s="2016"/>
      <c r="O204" s="2016"/>
      <c r="P204" s="2016"/>
      <c r="Q204" s="2016"/>
      <c r="R204" s="2016"/>
      <c r="S204" s="2016"/>
      <c r="T204" s="2016"/>
      <c r="U204" s="2016">
        <f>0.5*J204</f>
        <v>13220.055</v>
      </c>
      <c r="V204" s="2016">
        <f>0.3*J204</f>
        <v>7932.0329999999994</v>
      </c>
      <c r="W204" s="2016">
        <f>0.2*J204</f>
        <v>5288.0220000000008</v>
      </c>
      <c r="X204" s="2016"/>
      <c r="Y204" s="2016"/>
      <c r="Z204" s="2016"/>
    </row>
    <row r="205" spans="1:26" s="2009" customFormat="1" ht="45" x14ac:dyDescent="0.2">
      <c r="A205" s="1635" t="s">
        <v>5890</v>
      </c>
      <c r="B205" s="1984" t="s">
        <v>4448</v>
      </c>
      <c r="C205" s="1984">
        <v>98689</v>
      </c>
      <c r="D205" s="1813" t="s">
        <v>5891</v>
      </c>
      <c r="E205" s="1638">
        <f>QuantPrédio!I617</f>
        <v>9.8000000000000007</v>
      </c>
      <c r="F205" s="1639" t="s">
        <v>5713</v>
      </c>
      <c r="G205" s="1648">
        <v>84.46</v>
      </c>
      <c r="H205" s="1636">
        <f>ROUND(G205*$B$13,2)</f>
        <v>22.75</v>
      </c>
      <c r="I205" s="1636">
        <f>H205+G205</f>
        <v>107.21</v>
      </c>
      <c r="J205" s="1723">
        <f>ROUND(I205*E205,2)</f>
        <v>1050.6600000000001</v>
      </c>
      <c r="K205" s="2007">
        <f t="shared" si="91"/>
        <v>827.71</v>
      </c>
      <c r="L205" s="2007">
        <f t="shared" si="92"/>
        <v>222.95</v>
      </c>
      <c r="M205" s="2016"/>
      <c r="N205" s="2016"/>
      <c r="O205" s="2016"/>
      <c r="P205" s="2016"/>
      <c r="Q205" s="2016"/>
      <c r="R205" s="2016"/>
      <c r="S205" s="2016"/>
      <c r="T205" s="2016"/>
      <c r="U205" s="2016">
        <f>0.5*J205</f>
        <v>525.33000000000004</v>
      </c>
      <c r="V205" s="2016">
        <f>0.3*J205</f>
        <v>315.19800000000004</v>
      </c>
      <c r="W205" s="2016">
        <f>0.2*J205</f>
        <v>210.13200000000003</v>
      </c>
      <c r="X205" s="2016"/>
      <c r="Y205" s="2016"/>
      <c r="Z205" s="2016"/>
    </row>
    <row r="206" spans="1:26" s="2009" customFormat="1" ht="30" x14ac:dyDescent="0.2">
      <c r="A206" s="1635" t="s">
        <v>5893</v>
      </c>
      <c r="B206" s="1984" t="s">
        <v>4448</v>
      </c>
      <c r="C206" s="1984" t="s">
        <v>8281</v>
      </c>
      <c r="D206" s="1813" t="s">
        <v>5892</v>
      </c>
      <c r="E206" s="1638">
        <f>QuantPrédio!I631</f>
        <v>192.86</v>
      </c>
      <c r="F206" s="1639" t="s">
        <v>5713</v>
      </c>
      <c r="G206" s="1648">
        <v>24.96</v>
      </c>
      <c r="H206" s="1636">
        <f>ROUND(G206*$B$13,2)</f>
        <v>6.72</v>
      </c>
      <c r="I206" s="1636">
        <f>H206+G206</f>
        <v>31.68</v>
      </c>
      <c r="J206" s="1723">
        <f>ROUND(I206*E206,2)</f>
        <v>6109.8</v>
      </c>
      <c r="K206" s="2007">
        <f t="shared" si="91"/>
        <v>4813.79</v>
      </c>
      <c r="L206" s="2007">
        <f t="shared" si="92"/>
        <v>1296.02</v>
      </c>
      <c r="M206" s="2016"/>
      <c r="N206" s="2016"/>
      <c r="O206" s="2016"/>
      <c r="P206" s="2016"/>
      <c r="Q206" s="2016"/>
      <c r="R206" s="2016"/>
      <c r="S206" s="2016"/>
      <c r="T206" s="2016"/>
      <c r="U206" s="2016">
        <f>0.5*J206</f>
        <v>3054.9</v>
      </c>
      <c r="V206" s="2016">
        <f>0.3*J206</f>
        <v>1832.94</v>
      </c>
      <c r="W206" s="2016">
        <f>0.2*J206</f>
        <v>1221.96</v>
      </c>
      <c r="X206" s="2016"/>
      <c r="Y206" s="2016"/>
      <c r="Z206" s="2016"/>
    </row>
    <row r="207" spans="1:26" s="2009" customFormat="1" ht="30" x14ac:dyDescent="0.2">
      <c r="A207" s="1635" t="s">
        <v>5894</v>
      </c>
      <c r="B207" s="1984" t="s">
        <v>14971</v>
      </c>
      <c r="C207" s="1984" t="s">
        <v>1393</v>
      </c>
      <c r="D207" s="1813" t="s">
        <v>7278</v>
      </c>
      <c r="E207" s="1638">
        <f>QuantPrédio!I641</f>
        <v>22</v>
      </c>
      <c r="F207" s="1639" t="s">
        <v>5713</v>
      </c>
      <c r="G207" s="1648">
        <v>31.19</v>
      </c>
      <c r="H207" s="1636">
        <f>ROUND(G207*$B$13,2)</f>
        <v>8.4</v>
      </c>
      <c r="I207" s="1636">
        <f>H207+G207</f>
        <v>39.590000000000003</v>
      </c>
      <c r="J207" s="1723">
        <f>ROUND(I207*E207,2)</f>
        <v>870.98</v>
      </c>
      <c r="K207" s="2007">
        <f t="shared" ref="K207:K228" si="104">ROUND(G207*E207,2)</f>
        <v>686.18</v>
      </c>
      <c r="L207" s="2007">
        <f t="shared" ref="L207:L228" si="105">ROUND(H207*E207,2)</f>
        <v>184.8</v>
      </c>
      <c r="M207" s="2016"/>
      <c r="N207" s="2016"/>
      <c r="O207" s="2016"/>
      <c r="P207" s="2016"/>
      <c r="Q207" s="2016"/>
      <c r="R207" s="2016"/>
      <c r="S207" s="2016"/>
      <c r="T207" s="2016"/>
      <c r="U207" s="2016">
        <f>0.5*J207</f>
        <v>435.49</v>
      </c>
      <c r="V207" s="2016">
        <f>0.3*J207</f>
        <v>261.29399999999998</v>
      </c>
      <c r="W207" s="2016">
        <f>0.2*J207</f>
        <v>174.19600000000003</v>
      </c>
      <c r="X207" s="2016"/>
      <c r="Y207" s="2016"/>
      <c r="Z207" s="2016"/>
    </row>
    <row r="208" spans="1:26" s="2009" customFormat="1" ht="15" x14ac:dyDescent="0.2">
      <c r="A208" s="1634" t="s">
        <v>5174</v>
      </c>
      <c r="B208" s="2136" t="s">
        <v>5175</v>
      </c>
      <c r="C208" s="2136"/>
      <c r="D208" s="2136"/>
      <c r="E208" s="2136"/>
      <c r="F208" s="2136"/>
      <c r="G208" s="2136"/>
      <c r="H208" s="2136"/>
      <c r="I208" s="2136"/>
      <c r="J208" s="2136"/>
      <c r="K208" s="2007">
        <f t="shared" si="104"/>
        <v>0</v>
      </c>
      <c r="L208" s="2007">
        <f t="shared" si="105"/>
        <v>0</v>
      </c>
      <c r="M208" s="2016"/>
      <c r="N208" s="2016"/>
      <c r="O208" s="2016"/>
      <c r="P208" s="2016"/>
      <c r="Q208" s="2016"/>
      <c r="R208" s="2016"/>
      <c r="S208" s="2016"/>
      <c r="T208" s="2016"/>
      <c r="U208" s="2016"/>
      <c r="V208" s="2016"/>
      <c r="W208" s="2016"/>
      <c r="X208" s="2016"/>
      <c r="Y208" s="2016"/>
      <c r="Z208" s="2016"/>
    </row>
    <row r="209" spans="1:26" s="2009" customFormat="1" ht="90" x14ac:dyDescent="0.2">
      <c r="A209" s="1635" t="s">
        <v>6785</v>
      </c>
      <c r="B209" s="1984" t="s">
        <v>4448</v>
      </c>
      <c r="C209" s="1984" t="s">
        <v>9553</v>
      </c>
      <c r="D209" s="1813" t="s">
        <v>8932</v>
      </c>
      <c r="E209" s="1638">
        <f>QuantPrédio!I662</f>
        <v>67.86999999999999</v>
      </c>
      <c r="F209" s="1639" t="s">
        <v>5713</v>
      </c>
      <c r="G209" s="1648">
        <v>330.08000000000004</v>
      </c>
      <c r="H209" s="1636">
        <f>ROUND(G209*$B$13,2)</f>
        <v>88.89</v>
      </c>
      <c r="I209" s="1636">
        <f t="shared" ref="I209:I217" si="106">H209+G209</f>
        <v>418.97</v>
      </c>
      <c r="J209" s="1723">
        <f t="shared" ref="J209:J217" si="107">ROUND(I209*E209,2)</f>
        <v>28435.49</v>
      </c>
      <c r="K209" s="2007">
        <f t="shared" si="104"/>
        <v>22402.53</v>
      </c>
      <c r="L209" s="2007">
        <f t="shared" si="105"/>
        <v>6032.96</v>
      </c>
      <c r="M209" s="2016"/>
      <c r="N209" s="2016"/>
      <c r="O209" s="2016"/>
      <c r="P209" s="2016"/>
      <c r="Q209" s="2016"/>
      <c r="R209" s="2016"/>
      <c r="S209" s="2016"/>
      <c r="T209" s="2016"/>
      <c r="U209" s="2016"/>
      <c r="V209" s="2016">
        <f>0.4*J209</f>
        <v>11374.196000000002</v>
      </c>
      <c r="W209" s="2016">
        <f>0.6*J209</f>
        <v>17061.294000000002</v>
      </c>
      <c r="X209" s="2016"/>
      <c r="Y209" s="2016"/>
      <c r="Z209" s="2016"/>
    </row>
    <row r="210" spans="1:26" s="2009" customFormat="1" ht="105" x14ac:dyDescent="0.2">
      <c r="A210" s="1635" t="s">
        <v>7674</v>
      </c>
      <c r="B210" s="2140" t="s">
        <v>7765</v>
      </c>
      <c r="C210" s="2140"/>
      <c r="D210" s="1813" t="s">
        <v>8933</v>
      </c>
      <c r="E210" s="1638">
        <f>QuantPrédio!J670</f>
        <v>655.12</v>
      </c>
      <c r="F210" s="1639" t="s">
        <v>5286</v>
      </c>
      <c r="G210" s="1648">
        <v>71.510000000000005</v>
      </c>
      <c r="H210" s="1636">
        <f>ROUND(G210*$B$14,2)</f>
        <v>14.97</v>
      </c>
      <c r="I210" s="1636">
        <f t="shared" si="106"/>
        <v>86.48</v>
      </c>
      <c r="J210" s="1723">
        <f t="shared" si="107"/>
        <v>56654.78</v>
      </c>
      <c r="K210" s="2007">
        <f t="shared" si="104"/>
        <v>46847.63</v>
      </c>
      <c r="L210" s="2007">
        <f t="shared" si="105"/>
        <v>9807.15</v>
      </c>
      <c r="M210" s="2016"/>
      <c r="N210" s="2016"/>
      <c r="O210" s="2016"/>
      <c r="P210" s="2016"/>
      <c r="Q210" s="2016"/>
      <c r="R210" s="2016"/>
      <c r="S210" s="2016"/>
      <c r="T210" s="2016"/>
      <c r="U210" s="2016"/>
      <c r="V210" s="2016"/>
      <c r="W210" s="2016"/>
      <c r="X210" s="2016">
        <f>0.4*J210</f>
        <v>22661.912</v>
      </c>
      <c r="Y210" s="2016">
        <f>0.4*J210</f>
        <v>22661.912</v>
      </c>
      <c r="Z210" s="2016">
        <f>0.2*J210</f>
        <v>11330.956</v>
      </c>
    </row>
    <row r="211" spans="1:26" s="2009" customFormat="1" ht="45" x14ac:dyDescent="0.2">
      <c r="A211" s="1635" t="s">
        <v>7675</v>
      </c>
      <c r="B211" s="1984" t="s">
        <v>5714</v>
      </c>
      <c r="C211" s="1984">
        <v>8</v>
      </c>
      <c r="D211" s="1813" t="s">
        <v>9556</v>
      </c>
      <c r="E211" s="1638">
        <f>E210</f>
        <v>655.12</v>
      </c>
      <c r="F211" s="1639" t="s">
        <v>5286</v>
      </c>
      <c r="G211" s="1648">
        <v>104.67</v>
      </c>
      <c r="H211" s="1636">
        <f>ROUND(G211*$B$13,2)</f>
        <v>28.19</v>
      </c>
      <c r="I211" s="1636">
        <f t="shared" si="106"/>
        <v>132.86000000000001</v>
      </c>
      <c r="J211" s="1723">
        <f t="shared" si="107"/>
        <v>87039.24</v>
      </c>
      <c r="K211" s="2007">
        <f t="shared" si="104"/>
        <v>68571.41</v>
      </c>
      <c r="L211" s="2007">
        <f t="shared" si="105"/>
        <v>18467.830000000002</v>
      </c>
      <c r="M211" s="2016"/>
      <c r="N211" s="2016"/>
      <c r="O211" s="2016"/>
      <c r="P211" s="2016"/>
      <c r="Q211" s="2016"/>
      <c r="R211" s="2016"/>
      <c r="S211" s="2016"/>
      <c r="T211" s="2016"/>
      <c r="U211" s="2016"/>
      <c r="V211" s="2016"/>
      <c r="W211" s="2016"/>
      <c r="X211" s="2016">
        <f>0.4*J211</f>
        <v>34815.696000000004</v>
      </c>
      <c r="Y211" s="2016">
        <f>0.4*J211</f>
        <v>34815.696000000004</v>
      </c>
      <c r="Z211" s="2016">
        <f>0.2*J211</f>
        <v>17407.848000000002</v>
      </c>
    </row>
    <row r="212" spans="1:26" s="2009" customFormat="1" ht="30" x14ac:dyDescent="0.2">
      <c r="A212" s="1984" t="s">
        <v>9458</v>
      </c>
      <c r="B212" s="1984" t="s">
        <v>5281</v>
      </c>
      <c r="C212" s="1984" t="s">
        <v>9457</v>
      </c>
      <c r="D212" s="1813" t="s">
        <v>5899</v>
      </c>
      <c r="E212" s="1638">
        <v>1</v>
      </c>
      <c r="F212" s="1639" t="s">
        <v>5284</v>
      </c>
      <c r="G212" s="1648">
        <v>58.66</v>
      </c>
      <c r="H212" s="1636">
        <f t="shared" ref="H212:H217" si="108">ROUND(G212*$B$13,2)</f>
        <v>15.8</v>
      </c>
      <c r="I212" s="1636">
        <f t="shared" si="106"/>
        <v>74.459999999999994</v>
      </c>
      <c r="J212" s="1723">
        <f t="shared" si="107"/>
        <v>74.459999999999994</v>
      </c>
      <c r="K212" s="2007">
        <f t="shared" si="104"/>
        <v>58.66</v>
      </c>
      <c r="L212" s="2007">
        <f t="shared" si="105"/>
        <v>15.8</v>
      </c>
      <c r="M212" s="2016"/>
      <c r="N212" s="2016"/>
      <c r="O212" s="2016"/>
      <c r="P212" s="2016"/>
      <c r="Q212" s="2016"/>
      <c r="R212" s="2016"/>
      <c r="S212" s="2016"/>
      <c r="T212" s="2016"/>
      <c r="U212" s="2016">
        <f t="shared" ref="U212:U217" si="109">0.5*J212</f>
        <v>37.229999999999997</v>
      </c>
      <c r="V212" s="2016">
        <f t="shared" ref="V212:V217" si="110">0.5*J212</f>
        <v>37.229999999999997</v>
      </c>
      <c r="W212" s="2016"/>
      <c r="X212" s="2016"/>
      <c r="Y212" s="2016"/>
      <c r="Z212" s="2016"/>
    </row>
    <row r="213" spans="1:26" s="2009" customFormat="1" ht="75" x14ac:dyDescent="0.2">
      <c r="A213" s="1635" t="s">
        <v>5901</v>
      </c>
      <c r="B213" s="1984" t="s">
        <v>4448</v>
      </c>
      <c r="C213" s="1984">
        <v>73665</v>
      </c>
      <c r="D213" s="1813" t="s">
        <v>5900</v>
      </c>
      <c r="E213" s="1638">
        <v>3.75</v>
      </c>
      <c r="F213" s="1639" t="s">
        <v>5713</v>
      </c>
      <c r="G213" s="1648">
        <v>63.63</v>
      </c>
      <c r="H213" s="1636">
        <f t="shared" si="108"/>
        <v>17.14</v>
      </c>
      <c r="I213" s="1636">
        <f t="shared" si="106"/>
        <v>80.77000000000001</v>
      </c>
      <c r="J213" s="1723">
        <f t="shared" si="107"/>
        <v>302.89</v>
      </c>
      <c r="K213" s="2007">
        <f t="shared" si="104"/>
        <v>238.61</v>
      </c>
      <c r="L213" s="2007">
        <f t="shared" si="105"/>
        <v>64.28</v>
      </c>
      <c r="M213" s="2016"/>
      <c r="N213" s="2016"/>
      <c r="O213" s="2016"/>
      <c r="P213" s="2016"/>
      <c r="Q213" s="2016"/>
      <c r="R213" s="2016"/>
      <c r="S213" s="2016"/>
      <c r="T213" s="2016"/>
      <c r="U213" s="2016">
        <f t="shared" si="109"/>
        <v>151.44499999999999</v>
      </c>
      <c r="V213" s="2016">
        <f t="shared" si="110"/>
        <v>151.44499999999999</v>
      </c>
      <c r="W213" s="2016"/>
      <c r="X213" s="2016"/>
      <c r="Y213" s="2016"/>
      <c r="Z213" s="2016"/>
    </row>
    <row r="214" spans="1:26" s="2009" customFormat="1" ht="30" x14ac:dyDescent="0.2">
      <c r="A214" s="1635" t="s">
        <v>6786</v>
      </c>
      <c r="B214" s="1984" t="s">
        <v>5281</v>
      </c>
      <c r="C214" s="1984">
        <v>10759</v>
      </c>
      <c r="D214" s="1813" t="s">
        <v>5904</v>
      </c>
      <c r="E214" s="1638">
        <f>QuantPrédio!J701</f>
        <v>233.88</v>
      </c>
      <c r="F214" s="1639" t="s">
        <v>5286</v>
      </c>
      <c r="G214" s="1648">
        <v>528.39</v>
      </c>
      <c r="H214" s="1636">
        <f t="shared" si="108"/>
        <v>142.30000000000001</v>
      </c>
      <c r="I214" s="1636">
        <f t="shared" si="106"/>
        <v>670.69</v>
      </c>
      <c r="J214" s="1723">
        <f t="shared" si="107"/>
        <v>156860.98000000001</v>
      </c>
      <c r="K214" s="2007">
        <f t="shared" si="104"/>
        <v>123579.85</v>
      </c>
      <c r="L214" s="2007">
        <f t="shared" si="105"/>
        <v>33281.120000000003</v>
      </c>
      <c r="M214" s="2016"/>
      <c r="N214" s="2016"/>
      <c r="O214" s="2016"/>
      <c r="P214" s="2016"/>
      <c r="Q214" s="2016"/>
      <c r="R214" s="2016"/>
      <c r="S214" s="2016"/>
      <c r="T214" s="2016"/>
      <c r="U214" s="2016">
        <f t="shared" si="109"/>
        <v>78430.490000000005</v>
      </c>
      <c r="V214" s="2016">
        <f t="shared" si="110"/>
        <v>78430.490000000005</v>
      </c>
      <c r="W214" s="2016"/>
      <c r="X214" s="2016"/>
      <c r="Y214" s="2016"/>
      <c r="Z214" s="2016"/>
    </row>
    <row r="215" spans="1:26" s="2009" customFormat="1" ht="15" x14ac:dyDescent="0.2">
      <c r="A215" s="1635" t="s">
        <v>6787</v>
      </c>
      <c r="B215" s="1984" t="s">
        <v>4448</v>
      </c>
      <c r="C215" s="1984">
        <v>98685</v>
      </c>
      <c r="D215" s="1813" t="s">
        <v>5905</v>
      </c>
      <c r="E215" s="1638">
        <f>QuantPrédio!I732</f>
        <v>122.77</v>
      </c>
      <c r="F215" s="1639" t="s">
        <v>5713</v>
      </c>
      <c r="G215" s="1648">
        <v>59.71</v>
      </c>
      <c r="H215" s="1636">
        <f t="shared" si="108"/>
        <v>16.079999999999998</v>
      </c>
      <c r="I215" s="1636">
        <f t="shared" si="106"/>
        <v>75.789999999999992</v>
      </c>
      <c r="J215" s="1723">
        <f t="shared" si="107"/>
        <v>9304.74</v>
      </c>
      <c r="K215" s="2007">
        <f t="shared" si="104"/>
        <v>7330.6</v>
      </c>
      <c r="L215" s="2007">
        <f t="shared" si="105"/>
        <v>1974.14</v>
      </c>
      <c r="M215" s="2016"/>
      <c r="N215" s="2016"/>
      <c r="O215" s="2016"/>
      <c r="P215" s="2016"/>
      <c r="Q215" s="2016"/>
      <c r="R215" s="2016"/>
      <c r="S215" s="2016"/>
      <c r="T215" s="2016"/>
      <c r="U215" s="2016">
        <f t="shared" si="109"/>
        <v>4652.37</v>
      </c>
      <c r="V215" s="2016">
        <f t="shared" si="110"/>
        <v>4652.37</v>
      </c>
      <c r="W215" s="2016"/>
      <c r="X215" s="2016"/>
      <c r="Y215" s="2016"/>
      <c r="Z215" s="2016"/>
    </row>
    <row r="216" spans="1:26" s="2009" customFormat="1" ht="45" x14ac:dyDescent="0.2">
      <c r="A216" s="1635" t="s">
        <v>6788</v>
      </c>
      <c r="B216" s="1984" t="s">
        <v>4448</v>
      </c>
      <c r="C216" s="1984" t="s">
        <v>5896</v>
      </c>
      <c r="D216" s="1813" t="s">
        <v>5895</v>
      </c>
      <c r="E216" s="1638">
        <f>QuantPrédio!J740</f>
        <v>3.81</v>
      </c>
      <c r="F216" s="1639" t="s">
        <v>5286</v>
      </c>
      <c r="G216" s="1648">
        <v>664.55000000000007</v>
      </c>
      <c r="H216" s="1636">
        <f t="shared" si="108"/>
        <v>178.96</v>
      </c>
      <c r="I216" s="1636">
        <f t="shared" si="106"/>
        <v>843.5100000000001</v>
      </c>
      <c r="J216" s="1723">
        <f t="shared" si="107"/>
        <v>3213.77</v>
      </c>
      <c r="K216" s="2007">
        <f t="shared" si="104"/>
        <v>2531.94</v>
      </c>
      <c r="L216" s="2007">
        <f t="shared" si="105"/>
        <v>681.84</v>
      </c>
      <c r="M216" s="2016"/>
      <c r="N216" s="2016"/>
      <c r="O216" s="2016"/>
      <c r="P216" s="2016"/>
      <c r="Q216" s="2016"/>
      <c r="R216" s="2016"/>
      <c r="S216" s="2016"/>
      <c r="T216" s="2016"/>
      <c r="U216" s="2016">
        <f t="shared" si="109"/>
        <v>1606.885</v>
      </c>
      <c r="V216" s="2016">
        <f t="shared" si="110"/>
        <v>1606.885</v>
      </c>
      <c r="W216" s="2016"/>
      <c r="X216" s="2016"/>
      <c r="Y216" s="2016"/>
      <c r="Z216" s="2016"/>
    </row>
    <row r="217" spans="1:26" s="2009" customFormat="1" ht="60" x14ac:dyDescent="0.2">
      <c r="A217" s="1635" t="s">
        <v>5898</v>
      </c>
      <c r="B217" s="1984" t="s">
        <v>4448</v>
      </c>
      <c r="C217" s="1984">
        <v>100861</v>
      </c>
      <c r="D217" s="1813" t="s">
        <v>5897</v>
      </c>
      <c r="E217" s="1638">
        <f>QuantPrédio!I771</f>
        <v>30</v>
      </c>
      <c r="F217" s="1639" t="s">
        <v>5284</v>
      </c>
      <c r="G217" s="1648">
        <v>23.04</v>
      </c>
      <c r="H217" s="1636">
        <f t="shared" si="108"/>
        <v>6.2</v>
      </c>
      <c r="I217" s="1636">
        <f t="shared" si="106"/>
        <v>29.24</v>
      </c>
      <c r="J217" s="1723">
        <f t="shared" si="107"/>
        <v>877.2</v>
      </c>
      <c r="K217" s="2007">
        <f t="shared" si="104"/>
        <v>691.2</v>
      </c>
      <c r="L217" s="2007">
        <f t="shared" si="105"/>
        <v>186</v>
      </c>
      <c r="M217" s="2016"/>
      <c r="N217" s="2016"/>
      <c r="O217" s="2016"/>
      <c r="P217" s="2016"/>
      <c r="Q217" s="2016"/>
      <c r="R217" s="2016"/>
      <c r="S217" s="2016"/>
      <c r="T217" s="2016"/>
      <c r="U217" s="2016">
        <f t="shared" si="109"/>
        <v>438.6</v>
      </c>
      <c r="V217" s="2016">
        <f t="shared" si="110"/>
        <v>438.6</v>
      </c>
      <c r="W217" s="2016"/>
      <c r="X217" s="2016"/>
      <c r="Y217" s="2016"/>
      <c r="Z217" s="2016"/>
    </row>
    <row r="218" spans="1:26" s="2009" customFormat="1" ht="15" x14ac:dyDescent="0.2">
      <c r="A218" s="1634" t="s">
        <v>7809</v>
      </c>
      <c r="B218" s="2136" t="s">
        <v>7673</v>
      </c>
      <c r="C218" s="2136"/>
      <c r="D218" s="2136"/>
      <c r="E218" s="2136"/>
      <c r="F218" s="2136"/>
      <c r="G218" s="2136"/>
      <c r="H218" s="2136"/>
      <c r="I218" s="2136"/>
      <c r="J218" s="2136"/>
      <c r="K218" s="2007">
        <f t="shared" si="104"/>
        <v>0</v>
      </c>
      <c r="L218" s="2007">
        <f t="shared" si="105"/>
        <v>0</v>
      </c>
      <c r="M218" s="2016"/>
      <c r="N218" s="2016"/>
      <c r="O218" s="2016"/>
      <c r="P218" s="2016"/>
      <c r="Q218" s="2016"/>
      <c r="R218" s="2016"/>
      <c r="S218" s="2016"/>
      <c r="T218" s="2016"/>
      <c r="U218" s="2016"/>
      <c r="V218" s="2016"/>
      <c r="W218" s="2016"/>
      <c r="X218" s="2016"/>
      <c r="Y218" s="2016"/>
      <c r="Z218" s="2016"/>
    </row>
    <row r="219" spans="1:26" s="2009" customFormat="1" ht="30" x14ac:dyDescent="0.2">
      <c r="A219" s="1635" t="s">
        <v>7808</v>
      </c>
      <c r="B219" s="1984" t="s">
        <v>5281</v>
      </c>
      <c r="C219" s="1984">
        <v>2031</v>
      </c>
      <c r="D219" s="1813" t="s">
        <v>5907</v>
      </c>
      <c r="E219" s="1638">
        <v>4</v>
      </c>
      <c r="F219" s="1639" t="s">
        <v>5284</v>
      </c>
      <c r="G219" s="1648">
        <v>32.089999999999996</v>
      </c>
      <c r="H219" s="1636">
        <f t="shared" ref="H219:H228" si="111">ROUND(G219*$B$13,2)</f>
        <v>8.64</v>
      </c>
      <c r="I219" s="1636">
        <f t="shared" ref="I219:I228" si="112">H219+G219</f>
        <v>40.729999999999997</v>
      </c>
      <c r="J219" s="1723">
        <f t="shared" ref="J219:J228" si="113">ROUND(I219*E219,2)</f>
        <v>162.91999999999999</v>
      </c>
      <c r="K219" s="2007">
        <f t="shared" si="104"/>
        <v>128.36000000000001</v>
      </c>
      <c r="L219" s="2007">
        <f t="shared" si="105"/>
        <v>34.56</v>
      </c>
      <c r="M219" s="2016"/>
      <c r="N219" s="2016"/>
      <c r="O219" s="2016"/>
      <c r="P219" s="2016"/>
      <c r="Q219" s="2016"/>
      <c r="R219" s="2016"/>
      <c r="S219" s="2016"/>
      <c r="T219" s="2016"/>
      <c r="U219" s="2016"/>
      <c r="V219" s="2016">
        <f t="shared" ref="V219:V228" si="114">0.1*J219</f>
        <v>16.291999999999998</v>
      </c>
      <c r="W219" s="2016">
        <f t="shared" ref="W219:W228" si="115">0.2*J219</f>
        <v>32.583999999999996</v>
      </c>
      <c r="X219" s="2016">
        <f t="shared" ref="X219:X228" si="116">0.2*J219</f>
        <v>32.583999999999996</v>
      </c>
      <c r="Y219" s="2016">
        <f t="shared" ref="Y219:Y228" si="117">0.5*J219</f>
        <v>81.459999999999994</v>
      </c>
      <c r="Z219" s="2016"/>
    </row>
    <row r="220" spans="1:26" s="2009" customFormat="1" ht="15" x14ac:dyDescent="0.2">
      <c r="A220" s="1635" t="s">
        <v>7810</v>
      </c>
      <c r="B220" s="1984" t="s">
        <v>5281</v>
      </c>
      <c r="C220" s="1984">
        <v>2037</v>
      </c>
      <c r="D220" s="1813" t="s">
        <v>5908</v>
      </c>
      <c r="E220" s="1638">
        <v>32</v>
      </c>
      <c r="F220" s="1639" t="s">
        <v>5284</v>
      </c>
      <c r="G220" s="1648">
        <v>19.84</v>
      </c>
      <c r="H220" s="1636">
        <f t="shared" si="111"/>
        <v>5.34</v>
      </c>
      <c r="I220" s="1636">
        <f t="shared" si="112"/>
        <v>25.18</v>
      </c>
      <c r="J220" s="1723">
        <f t="shared" si="113"/>
        <v>805.76</v>
      </c>
      <c r="K220" s="2007">
        <f t="shared" si="104"/>
        <v>634.88</v>
      </c>
      <c r="L220" s="2007">
        <f t="shared" si="105"/>
        <v>170.88</v>
      </c>
      <c r="M220" s="2016"/>
      <c r="N220" s="2016"/>
      <c r="O220" s="2016"/>
      <c r="P220" s="2016"/>
      <c r="Q220" s="2016"/>
      <c r="R220" s="2016"/>
      <c r="S220" s="2016"/>
      <c r="T220" s="2016"/>
      <c r="U220" s="2016"/>
      <c r="V220" s="2016">
        <f t="shared" si="114"/>
        <v>80.576000000000008</v>
      </c>
      <c r="W220" s="2016">
        <f t="shared" si="115"/>
        <v>161.15200000000002</v>
      </c>
      <c r="X220" s="2016">
        <f t="shared" si="116"/>
        <v>161.15200000000002</v>
      </c>
      <c r="Y220" s="2016">
        <f t="shared" si="117"/>
        <v>402.88</v>
      </c>
      <c r="Z220" s="2016"/>
    </row>
    <row r="221" spans="1:26" s="2009" customFormat="1" ht="30" x14ac:dyDescent="0.2">
      <c r="A221" s="1635" t="s">
        <v>7811</v>
      </c>
      <c r="B221" s="1984" t="s">
        <v>5281</v>
      </c>
      <c r="C221" s="1984">
        <v>7611</v>
      </c>
      <c r="D221" s="1813" t="s">
        <v>5909</v>
      </c>
      <c r="E221" s="1638">
        <v>18</v>
      </c>
      <c r="F221" s="1639" t="s">
        <v>5284</v>
      </c>
      <c r="G221" s="1648">
        <v>39.619999999999997</v>
      </c>
      <c r="H221" s="1636">
        <f t="shared" si="111"/>
        <v>10.67</v>
      </c>
      <c r="I221" s="1636">
        <f t="shared" si="112"/>
        <v>50.29</v>
      </c>
      <c r="J221" s="1723">
        <f t="shared" si="113"/>
        <v>905.22</v>
      </c>
      <c r="K221" s="2007">
        <f t="shared" si="104"/>
        <v>713.16</v>
      </c>
      <c r="L221" s="2007">
        <f t="shared" si="105"/>
        <v>192.06</v>
      </c>
      <c r="M221" s="2016"/>
      <c r="N221" s="2016"/>
      <c r="O221" s="2016"/>
      <c r="P221" s="2016"/>
      <c r="Q221" s="2016"/>
      <c r="R221" s="2016"/>
      <c r="S221" s="2016"/>
      <c r="T221" s="2016"/>
      <c r="U221" s="2016"/>
      <c r="V221" s="2016">
        <f t="shared" si="114"/>
        <v>90.522000000000006</v>
      </c>
      <c r="W221" s="2016">
        <f t="shared" si="115"/>
        <v>181.04400000000001</v>
      </c>
      <c r="X221" s="2016">
        <f t="shared" si="116"/>
        <v>181.04400000000001</v>
      </c>
      <c r="Y221" s="2016">
        <f t="shared" si="117"/>
        <v>452.61</v>
      </c>
      <c r="Z221" s="2016"/>
    </row>
    <row r="222" spans="1:26" s="2009" customFormat="1" ht="30" x14ac:dyDescent="0.2">
      <c r="A222" s="1635" t="s">
        <v>7812</v>
      </c>
      <c r="B222" s="1984" t="s">
        <v>5281</v>
      </c>
      <c r="C222" s="1984">
        <v>4287</v>
      </c>
      <c r="D222" s="1813" t="s">
        <v>5910</v>
      </c>
      <c r="E222" s="1638">
        <v>8</v>
      </c>
      <c r="F222" s="1639" t="s">
        <v>5284</v>
      </c>
      <c r="G222" s="1648">
        <v>36.6</v>
      </c>
      <c r="H222" s="1636">
        <f t="shared" si="111"/>
        <v>9.86</v>
      </c>
      <c r="I222" s="1636">
        <f t="shared" si="112"/>
        <v>46.46</v>
      </c>
      <c r="J222" s="1723">
        <f t="shared" si="113"/>
        <v>371.68</v>
      </c>
      <c r="K222" s="2007">
        <f t="shared" si="104"/>
        <v>292.8</v>
      </c>
      <c r="L222" s="2007">
        <f t="shared" si="105"/>
        <v>78.88</v>
      </c>
      <c r="M222" s="2016"/>
      <c r="N222" s="2016"/>
      <c r="O222" s="2016"/>
      <c r="P222" s="2016"/>
      <c r="Q222" s="2016"/>
      <c r="R222" s="2016"/>
      <c r="S222" s="2016"/>
      <c r="T222" s="2016"/>
      <c r="U222" s="2016"/>
      <c r="V222" s="2016">
        <f t="shared" si="114"/>
        <v>37.167999999999999</v>
      </c>
      <c r="W222" s="2016">
        <f t="shared" si="115"/>
        <v>74.335999999999999</v>
      </c>
      <c r="X222" s="2016">
        <f t="shared" si="116"/>
        <v>74.335999999999999</v>
      </c>
      <c r="Y222" s="2016">
        <f t="shared" si="117"/>
        <v>185.84</v>
      </c>
      <c r="Z222" s="2016"/>
    </row>
    <row r="223" spans="1:26" s="2009" customFormat="1" ht="30" x14ac:dyDescent="0.2">
      <c r="A223" s="1635" t="s">
        <v>7813</v>
      </c>
      <c r="B223" s="1984" t="s">
        <v>4448</v>
      </c>
      <c r="C223" s="1984">
        <v>95547</v>
      </c>
      <c r="D223" s="1813" t="s">
        <v>5911</v>
      </c>
      <c r="E223" s="1638">
        <v>20</v>
      </c>
      <c r="F223" s="1639" t="s">
        <v>5284</v>
      </c>
      <c r="G223" s="1648">
        <v>39.99</v>
      </c>
      <c r="H223" s="1636">
        <f t="shared" si="111"/>
        <v>10.77</v>
      </c>
      <c r="I223" s="1636">
        <f t="shared" si="112"/>
        <v>50.760000000000005</v>
      </c>
      <c r="J223" s="1723">
        <f t="shared" si="113"/>
        <v>1015.2</v>
      </c>
      <c r="K223" s="2007">
        <f t="shared" si="104"/>
        <v>799.8</v>
      </c>
      <c r="L223" s="2007">
        <f t="shared" si="105"/>
        <v>215.4</v>
      </c>
      <c r="M223" s="2016"/>
      <c r="N223" s="2016"/>
      <c r="O223" s="2016"/>
      <c r="P223" s="2016"/>
      <c r="Q223" s="2016"/>
      <c r="R223" s="2016"/>
      <c r="S223" s="2016"/>
      <c r="T223" s="2016"/>
      <c r="U223" s="2016"/>
      <c r="V223" s="2016">
        <f t="shared" si="114"/>
        <v>101.52000000000001</v>
      </c>
      <c r="W223" s="2016">
        <f t="shared" si="115"/>
        <v>203.04000000000002</v>
      </c>
      <c r="X223" s="2016">
        <f t="shared" si="116"/>
        <v>203.04000000000002</v>
      </c>
      <c r="Y223" s="2016">
        <f t="shared" si="117"/>
        <v>507.6</v>
      </c>
      <c r="Z223" s="2016"/>
    </row>
    <row r="224" spans="1:26" s="2009" customFormat="1" ht="15" x14ac:dyDescent="0.2">
      <c r="A224" s="1635" t="s">
        <v>7814</v>
      </c>
      <c r="B224" s="1984" t="s">
        <v>5281</v>
      </c>
      <c r="C224" s="1984">
        <v>2066</v>
      </c>
      <c r="D224" s="1813" t="s">
        <v>5912</v>
      </c>
      <c r="E224" s="1638">
        <v>14</v>
      </c>
      <c r="F224" s="1639" t="s">
        <v>5284</v>
      </c>
      <c r="G224" s="1648">
        <v>39.020000000000003</v>
      </c>
      <c r="H224" s="1636">
        <f t="shared" si="111"/>
        <v>10.51</v>
      </c>
      <c r="I224" s="1636">
        <f t="shared" si="112"/>
        <v>49.53</v>
      </c>
      <c r="J224" s="1723">
        <f t="shared" si="113"/>
        <v>693.42</v>
      </c>
      <c r="K224" s="2007">
        <f t="shared" si="104"/>
        <v>546.28</v>
      </c>
      <c r="L224" s="2007">
        <f t="shared" si="105"/>
        <v>147.13999999999999</v>
      </c>
      <c r="M224" s="2016"/>
      <c r="N224" s="2016"/>
      <c r="O224" s="2016"/>
      <c r="P224" s="2016"/>
      <c r="Q224" s="2016"/>
      <c r="R224" s="2016"/>
      <c r="S224" s="2016"/>
      <c r="T224" s="2016"/>
      <c r="U224" s="2016"/>
      <c r="V224" s="2016">
        <f t="shared" si="114"/>
        <v>69.341999999999999</v>
      </c>
      <c r="W224" s="2016">
        <f t="shared" si="115"/>
        <v>138.684</v>
      </c>
      <c r="X224" s="2016">
        <f t="shared" si="116"/>
        <v>138.684</v>
      </c>
      <c r="Y224" s="2016">
        <f t="shared" si="117"/>
        <v>346.71</v>
      </c>
      <c r="Z224" s="2016"/>
    </row>
    <row r="225" spans="1:26" s="2009" customFormat="1" ht="30" x14ac:dyDescent="0.2">
      <c r="A225" s="1635" t="s">
        <v>7815</v>
      </c>
      <c r="B225" s="1984" t="s">
        <v>5737</v>
      </c>
      <c r="C225" s="1984">
        <v>202151</v>
      </c>
      <c r="D225" s="1813" t="s">
        <v>5913</v>
      </c>
      <c r="E225" s="1638">
        <v>4</v>
      </c>
      <c r="F225" s="1639" t="s">
        <v>5284</v>
      </c>
      <c r="G225" s="1648">
        <v>394.61</v>
      </c>
      <c r="H225" s="1636">
        <f t="shared" si="111"/>
        <v>106.27</v>
      </c>
      <c r="I225" s="1636">
        <f t="shared" si="112"/>
        <v>500.88</v>
      </c>
      <c r="J225" s="1723">
        <f t="shared" si="113"/>
        <v>2003.52</v>
      </c>
      <c r="K225" s="2007">
        <f t="shared" si="104"/>
        <v>1578.44</v>
      </c>
      <c r="L225" s="2007">
        <f t="shared" si="105"/>
        <v>425.08</v>
      </c>
      <c r="M225" s="2016"/>
      <c r="N225" s="2016"/>
      <c r="O225" s="2016"/>
      <c r="P225" s="2016"/>
      <c r="Q225" s="2016"/>
      <c r="R225" s="2016"/>
      <c r="S225" s="2016"/>
      <c r="T225" s="2016"/>
      <c r="U225" s="2016"/>
      <c r="V225" s="2016">
        <f t="shared" si="114"/>
        <v>200.352</v>
      </c>
      <c r="W225" s="2016">
        <f t="shared" si="115"/>
        <v>400.70400000000001</v>
      </c>
      <c r="X225" s="2016">
        <f t="shared" si="116"/>
        <v>400.70400000000001</v>
      </c>
      <c r="Y225" s="2016">
        <f t="shared" si="117"/>
        <v>1001.76</v>
      </c>
      <c r="Z225" s="2016"/>
    </row>
    <row r="226" spans="1:26" s="2009" customFormat="1" ht="30" x14ac:dyDescent="0.2">
      <c r="A226" s="1635" t="s">
        <v>7816</v>
      </c>
      <c r="B226" s="1984" t="s">
        <v>5281</v>
      </c>
      <c r="C226" s="1984">
        <v>8492</v>
      </c>
      <c r="D226" s="1813" t="s">
        <v>5914</v>
      </c>
      <c r="E226" s="1638">
        <v>16</v>
      </c>
      <c r="F226" s="1639" t="s">
        <v>5284</v>
      </c>
      <c r="G226" s="1648">
        <v>150.04999999999998</v>
      </c>
      <c r="H226" s="1636">
        <f t="shared" si="111"/>
        <v>40.409999999999997</v>
      </c>
      <c r="I226" s="1636">
        <f t="shared" si="112"/>
        <v>190.45999999999998</v>
      </c>
      <c r="J226" s="1723">
        <f t="shared" si="113"/>
        <v>3047.36</v>
      </c>
      <c r="K226" s="2007">
        <f t="shared" si="104"/>
        <v>2400.8000000000002</v>
      </c>
      <c r="L226" s="2007">
        <f t="shared" si="105"/>
        <v>646.55999999999995</v>
      </c>
      <c r="M226" s="2016"/>
      <c r="N226" s="2016"/>
      <c r="O226" s="2016"/>
      <c r="P226" s="2016"/>
      <c r="Q226" s="2016"/>
      <c r="R226" s="2016"/>
      <c r="S226" s="2016"/>
      <c r="T226" s="2016"/>
      <c r="U226" s="2016"/>
      <c r="V226" s="2016">
        <f t="shared" si="114"/>
        <v>304.73600000000005</v>
      </c>
      <c r="W226" s="2016">
        <f t="shared" si="115"/>
        <v>609.47200000000009</v>
      </c>
      <c r="X226" s="2016">
        <f t="shared" si="116"/>
        <v>609.47200000000009</v>
      </c>
      <c r="Y226" s="2016">
        <f t="shared" si="117"/>
        <v>1523.68</v>
      </c>
      <c r="Z226" s="2016"/>
    </row>
    <row r="227" spans="1:26" s="2009" customFormat="1" ht="30" x14ac:dyDescent="0.2">
      <c r="A227" s="1635" t="s">
        <v>7817</v>
      </c>
      <c r="B227" s="1984" t="s">
        <v>5281</v>
      </c>
      <c r="C227" s="1984">
        <v>12127</v>
      </c>
      <c r="D227" s="1813" t="s">
        <v>5915</v>
      </c>
      <c r="E227" s="1638">
        <v>4</v>
      </c>
      <c r="F227" s="1639" t="s">
        <v>5284</v>
      </c>
      <c r="G227" s="1648">
        <v>362.36</v>
      </c>
      <c r="H227" s="1636">
        <f t="shared" ref="H227" si="118">ROUND(G227*$B$13,2)</f>
        <v>97.58</v>
      </c>
      <c r="I227" s="1636">
        <f t="shared" ref="I227" si="119">H227+G227</f>
        <v>459.94</v>
      </c>
      <c r="J227" s="1723">
        <f t="shared" ref="J227" si="120">ROUND(I227*E227,2)</f>
        <v>1839.76</v>
      </c>
      <c r="K227" s="2007">
        <f t="shared" ref="K227" si="121">ROUND(G227*E227,2)</f>
        <v>1449.44</v>
      </c>
      <c r="L227" s="2007">
        <f t="shared" ref="L227" si="122">ROUND(H227*E227,2)</f>
        <v>390.32</v>
      </c>
      <c r="M227" s="2016"/>
      <c r="N227" s="2016"/>
      <c r="O227" s="2016"/>
      <c r="P227" s="2016"/>
      <c r="Q227" s="2016"/>
      <c r="R227" s="2016"/>
      <c r="S227" s="2016"/>
      <c r="T227" s="2016"/>
      <c r="U227" s="2016"/>
      <c r="V227" s="2016">
        <f t="shared" ref="V227" si="123">0.1*J227</f>
        <v>183.976</v>
      </c>
      <c r="W227" s="2016">
        <f t="shared" ref="W227" si="124">0.2*J227</f>
        <v>367.952</v>
      </c>
      <c r="X227" s="2016">
        <f t="shared" ref="X227" si="125">0.2*J227</f>
        <v>367.952</v>
      </c>
      <c r="Y227" s="2016">
        <f t="shared" ref="Y227" si="126">0.5*J227</f>
        <v>919.88</v>
      </c>
      <c r="Z227" s="2016"/>
    </row>
    <row r="228" spans="1:26" s="2009" customFormat="1" ht="15" x14ac:dyDescent="0.2">
      <c r="A228" s="1635" t="s">
        <v>9532</v>
      </c>
      <c r="B228" s="2140" t="s">
        <v>7765</v>
      </c>
      <c r="C228" s="2140"/>
      <c r="D228" s="1813" t="s">
        <v>9533</v>
      </c>
      <c r="E228" s="1638">
        <v>4</v>
      </c>
      <c r="F228" s="1639" t="s">
        <v>5284</v>
      </c>
      <c r="G228" s="1648">
        <v>1286.2049999999999</v>
      </c>
      <c r="H228" s="1636">
        <f t="shared" si="111"/>
        <v>346.38</v>
      </c>
      <c r="I228" s="1636">
        <f t="shared" si="112"/>
        <v>1632.585</v>
      </c>
      <c r="J228" s="1723">
        <f t="shared" si="113"/>
        <v>6530.34</v>
      </c>
      <c r="K228" s="2007">
        <f t="shared" si="104"/>
        <v>5144.82</v>
      </c>
      <c r="L228" s="2007">
        <f t="shared" si="105"/>
        <v>1385.52</v>
      </c>
      <c r="M228" s="2016"/>
      <c r="N228" s="2016"/>
      <c r="O228" s="2016"/>
      <c r="P228" s="2016"/>
      <c r="Q228" s="2016"/>
      <c r="R228" s="2016"/>
      <c r="S228" s="2016"/>
      <c r="T228" s="2016"/>
      <c r="U228" s="2016"/>
      <c r="V228" s="2016">
        <f t="shared" si="114"/>
        <v>653.03400000000011</v>
      </c>
      <c r="W228" s="2016">
        <f t="shared" si="115"/>
        <v>1306.0680000000002</v>
      </c>
      <c r="X228" s="2016">
        <f t="shared" si="116"/>
        <v>1306.0680000000002</v>
      </c>
      <c r="Y228" s="2016">
        <f t="shared" si="117"/>
        <v>3265.17</v>
      </c>
      <c r="Z228" s="2016"/>
    </row>
    <row r="229" spans="1:26" s="2006" customFormat="1" ht="15" x14ac:dyDescent="0.2">
      <c r="A229" s="2133" t="s">
        <v>5906</v>
      </c>
      <c r="B229" s="2133"/>
      <c r="C229" s="2133"/>
      <c r="D229" s="2133"/>
      <c r="E229" s="2133"/>
      <c r="F229" s="2133"/>
      <c r="G229" s="2133"/>
      <c r="H229" s="2133"/>
      <c r="I229" s="2133"/>
      <c r="J229" s="1724">
        <f>SUM(J119:J228)</f>
        <v>2695609.5100000002</v>
      </c>
      <c r="K229" s="2010"/>
      <c r="L229" s="2015"/>
      <c r="M229" s="1724">
        <f t="shared" ref="M229:Z229" si="127">SUM(M119:M228)</f>
        <v>0</v>
      </c>
      <c r="N229" s="1724">
        <f t="shared" si="127"/>
        <v>0</v>
      </c>
      <c r="O229" s="1724">
        <f t="shared" si="127"/>
        <v>0</v>
      </c>
      <c r="P229" s="1724">
        <f t="shared" si="127"/>
        <v>0</v>
      </c>
      <c r="Q229" s="1724">
        <f t="shared" si="127"/>
        <v>0</v>
      </c>
      <c r="R229" s="1724">
        <f t="shared" si="127"/>
        <v>56784.881999999998</v>
      </c>
      <c r="S229" s="1724">
        <f t="shared" si="127"/>
        <v>281759.4375</v>
      </c>
      <c r="T229" s="1724">
        <f t="shared" si="127"/>
        <v>365292.83149999997</v>
      </c>
      <c r="U229" s="1724">
        <f t="shared" si="127"/>
        <v>281054.05299999996</v>
      </c>
      <c r="V229" s="1724">
        <f t="shared" si="127"/>
        <v>465581.50699999998</v>
      </c>
      <c r="W229" s="1724">
        <f t="shared" si="127"/>
        <v>402426.185</v>
      </c>
      <c r="X229" s="1724">
        <f t="shared" si="127"/>
        <v>354360.38200000004</v>
      </c>
      <c r="Y229" s="1724">
        <f t="shared" si="127"/>
        <v>325676.96600000001</v>
      </c>
      <c r="Z229" s="1724">
        <f t="shared" si="127"/>
        <v>162673.266</v>
      </c>
    </row>
    <row r="230" spans="1:26" s="2006" customFormat="1" ht="15" x14ac:dyDescent="0.2">
      <c r="A230" s="52"/>
      <c r="B230" s="52"/>
      <c r="C230" s="52"/>
      <c r="D230" s="52"/>
      <c r="E230" s="1506"/>
      <c r="F230" s="52"/>
      <c r="G230" s="1649"/>
      <c r="H230" s="51"/>
      <c r="I230" s="51"/>
      <c r="J230" s="1725"/>
      <c r="K230" s="51"/>
      <c r="L230" s="2015"/>
      <c r="M230" s="2005"/>
      <c r="N230" s="2005"/>
      <c r="O230" s="2005"/>
      <c r="P230" s="2005"/>
      <c r="Q230" s="2005"/>
      <c r="R230" s="2005"/>
      <c r="S230" s="2005"/>
      <c r="T230" s="2005"/>
      <c r="U230" s="2005"/>
      <c r="V230" s="2005"/>
      <c r="W230" s="2005"/>
      <c r="X230" s="2005"/>
      <c r="Y230" s="2005"/>
      <c r="Z230" s="2005"/>
    </row>
    <row r="231" spans="1:26" s="2006" customFormat="1" ht="15" x14ac:dyDescent="0.2">
      <c r="A231" s="1513" t="s">
        <v>6683</v>
      </c>
      <c r="B231" s="2130" t="s">
        <v>6684</v>
      </c>
      <c r="C231" s="2130"/>
      <c r="D231" s="2130"/>
      <c r="E231" s="2130"/>
      <c r="F231" s="2130"/>
      <c r="G231" s="2130"/>
      <c r="H231" s="2130"/>
      <c r="I231" s="2130"/>
      <c r="J231" s="2130"/>
      <c r="K231" s="1980"/>
      <c r="L231" s="2015"/>
      <c r="M231" s="2005"/>
      <c r="N231" s="2005"/>
      <c r="O231" s="2005"/>
      <c r="P231" s="2005"/>
      <c r="Q231" s="2005"/>
      <c r="R231" s="2005"/>
      <c r="S231" s="2005"/>
      <c r="T231" s="2005"/>
      <c r="U231" s="2005"/>
      <c r="V231" s="2005"/>
      <c r="W231" s="2005"/>
      <c r="X231" s="2005"/>
      <c r="Y231" s="2005"/>
      <c r="Z231" s="2005"/>
    </row>
    <row r="232" spans="1:26" s="2009" customFormat="1" ht="60" x14ac:dyDescent="0.2">
      <c r="A232" s="1635" t="s">
        <v>7401</v>
      </c>
      <c r="B232" s="1984" t="s">
        <v>5278</v>
      </c>
      <c r="C232" s="1984">
        <v>37539</v>
      </c>
      <c r="D232" s="1813" t="s">
        <v>7398</v>
      </c>
      <c r="E232" s="1638">
        <f>7+7+3+4+3+3+4+2</f>
        <v>33</v>
      </c>
      <c r="F232" s="1639" t="s">
        <v>5284</v>
      </c>
      <c r="G232" s="1648">
        <v>25</v>
      </c>
      <c r="H232" s="1636">
        <f>ROUND(G232*$B$13,2)</f>
        <v>6.73</v>
      </c>
      <c r="I232" s="1636">
        <f>H232+G232</f>
        <v>31.73</v>
      </c>
      <c r="J232" s="1723">
        <f>ROUND(I232*E232,2)</f>
        <v>1047.0899999999999</v>
      </c>
      <c r="K232" s="2007">
        <f>ROUND(G232*E232,2)</f>
        <v>825</v>
      </c>
      <c r="L232" s="2007">
        <f>ROUND(H232*E232,2)</f>
        <v>222.09</v>
      </c>
      <c r="M232" s="2016"/>
      <c r="N232" s="2016"/>
      <c r="O232" s="2016"/>
      <c r="P232" s="2016"/>
      <c r="Q232" s="2016"/>
      <c r="R232" s="2016"/>
      <c r="S232" s="2016"/>
      <c r="T232" s="2016"/>
      <c r="U232" s="2016"/>
      <c r="V232" s="2016"/>
      <c r="W232" s="2016"/>
      <c r="X232" s="2016"/>
      <c r="Y232" s="2016"/>
      <c r="Z232" s="2016">
        <f>J232</f>
        <v>1047.0899999999999</v>
      </c>
    </row>
    <row r="233" spans="1:26" s="2009" customFormat="1" ht="60" x14ac:dyDescent="0.2">
      <c r="A233" s="1635" t="s">
        <v>7402</v>
      </c>
      <c r="B233" s="1984" t="s">
        <v>5278</v>
      </c>
      <c r="C233" s="1984">
        <v>37556</v>
      </c>
      <c r="D233" s="1813" t="s">
        <v>7399</v>
      </c>
      <c r="E233" s="1638">
        <f>7+5</f>
        <v>12</v>
      </c>
      <c r="F233" s="1639" t="s">
        <v>5284</v>
      </c>
      <c r="G233" s="1648">
        <v>28.91</v>
      </c>
      <c r="H233" s="1636">
        <f>ROUND(G233*$B$13,2)</f>
        <v>7.79</v>
      </c>
      <c r="I233" s="1636">
        <f>H233+G233</f>
        <v>36.700000000000003</v>
      </c>
      <c r="J233" s="1723">
        <f>ROUND(I233*E233,2)</f>
        <v>440.4</v>
      </c>
      <c r="K233" s="2007">
        <f>ROUND(G233*E233,2)</f>
        <v>346.92</v>
      </c>
      <c r="L233" s="2007">
        <f>ROUND(H233*E233,2)</f>
        <v>93.48</v>
      </c>
      <c r="M233" s="2016"/>
      <c r="N233" s="2016"/>
      <c r="O233" s="2016"/>
      <c r="P233" s="2016"/>
      <c r="Q233" s="2016"/>
      <c r="R233" s="2016"/>
      <c r="S233" s="2016"/>
      <c r="T233" s="2016"/>
      <c r="U233" s="2016"/>
      <c r="V233" s="2016"/>
      <c r="W233" s="2016"/>
      <c r="X233" s="2016"/>
      <c r="Y233" s="2016"/>
      <c r="Z233" s="2016">
        <f>J233</f>
        <v>440.4</v>
      </c>
    </row>
    <row r="234" spans="1:26" s="2009" customFormat="1" ht="60" x14ac:dyDescent="0.2">
      <c r="A234" s="1635" t="s">
        <v>7403</v>
      </c>
      <c r="B234" s="1984" t="s">
        <v>5278</v>
      </c>
      <c r="C234" s="1984">
        <v>37557</v>
      </c>
      <c r="D234" s="1813" t="s">
        <v>7400</v>
      </c>
      <c r="E234" s="1638">
        <f>2+2</f>
        <v>4</v>
      </c>
      <c r="F234" s="1639" t="s">
        <v>5284</v>
      </c>
      <c r="G234" s="1648">
        <v>14.94</v>
      </c>
      <c r="H234" s="1636">
        <f>ROUND(G234*$B$13,2)</f>
        <v>4.0199999999999996</v>
      </c>
      <c r="I234" s="1636">
        <f>H234+G234</f>
        <v>18.96</v>
      </c>
      <c r="J234" s="1723">
        <f>ROUND(I234*E234,2)</f>
        <v>75.84</v>
      </c>
      <c r="K234" s="2007">
        <f>ROUND(G234*E234,2)</f>
        <v>59.76</v>
      </c>
      <c r="L234" s="2007">
        <f>ROUND(H234*E234,2)</f>
        <v>16.079999999999998</v>
      </c>
      <c r="M234" s="2016"/>
      <c r="N234" s="2016"/>
      <c r="O234" s="2016"/>
      <c r="P234" s="2016"/>
      <c r="Q234" s="2016"/>
      <c r="R234" s="2016"/>
      <c r="S234" s="2016"/>
      <c r="T234" s="2016"/>
      <c r="U234" s="2016"/>
      <c r="V234" s="2016"/>
      <c r="W234" s="2016"/>
      <c r="X234" s="2016"/>
      <c r="Y234" s="2016"/>
      <c r="Z234" s="2016">
        <f>J234</f>
        <v>75.84</v>
      </c>
    </row>
    <row r="235" spans="1:26" s="2009" customFormat="1" ht="15" x14ac:dyDescent="0.2">
      <c r="A235" s="1635" t="s">
        <v>9524</v>
      </c>
      <c r="B235" s="1984" t="s">
        <v>5737</v>
      </c>
      <c r="C235" s="1984">
        <v>202336</v>
      </c>
      <c r="D235" s="1813" t="s">
        <v>9525</v>
      </c>
      <c r="E235" s="1638">
        <v>16</v>
      </c>
      <c r="F235" s="1639" t="s">
        <v>5284</v>
      </c>
      <c r="G235" s="1648">
        <v>73.11</v>
      </c>
      <c r="H235" s="1636">
        <f>ROUND(G235*$B$13,2)</f>
        <v>19.690000000000001</v>
      </c>
      <c r="I235" s="1636">
        <f>H235+G235</f>
        <v>92.8</v>
      </c>
      <c r="J235" s="1723">
        <f>ROUND(I235*E235,2)</f>
        <v>1484.8</v>
      </c>
      <c r="K235" s="2007">
        <f>ROUND(G235*E235,2)</f>
        <v>1169.76</v>
      </c>
      <c r="L235" s="2007">
        <f>ROUND(H235*E235,2)</f>
        <v>315.04000000000002</v>
      </c>
      <c r="M235" s="2016"/>
      <c r="N235" s="2016"/>
      <c r="O235" s="2016"/>
      <c r="P235" s="2016"/>
      <c r="Q235" s="2016"/>
      <c r="R235" s="2016"/>
      <c r="S235" s="2016"/>
      <c r="T235" s="2016"/>
      <c r="U235" s="2016"/>
      <c r="V235" s="2016"/>
      <c r="W235" s="2016"/>
      <c r="X235" s="2016"/>
      <c r="Y235" s="2016"/>
      <c r="Z235" s="2016">
        <f>J235</f>
        <v>1484.8</v>
      </c>
    </row>
    <row r="236" spans="1:26" s="2009" customFormat="1" ht="30" x14ac:dyDescent="0.2">
      <c r="A236" s="1635" t="s">
        <v>9526</v>
      </c>
      <c r="B236" s="1984" t="s">
        <v>5281</v>
      </c>
      <c r="C236" s="1984">
        <v>11621</v>
      </c>
      <c r="D236" s="1813" t="s">
        <v>9530</v>
      </c>
      <c r="E236" s="1638">
        <f>2*22*2*2*0.07</f>
        <v>12.32</v>
      </c>
      <c r="F236" s="1639" t="s">
        <v>5713</v>
      </c>
      <c r="G236" s="1648">
        <v>19.18</v>
      </c>
      <c r="H236" s="1636">
        <f>ROUND(G236*$B$13,2)</f>
        <v>5.17</v>
      </c>
      <c r="I236" s="1636">
        <f>H236+G236</f>
        <v>24.35</v>
      </c>
      <c r="J236" s="1723">
        <f>ROUND(I236*E236,2)</f>
        <v>299.99</v>
      </c>
      <c r="K236" s="2007">
        <f>ROUND(G236*E236,2)</f>
        <v>236.3</v>
      </c>
      <c r="L236" s="2007">
        <f>ROUND(H236*E236,2)</f>
        <v>63.69</v>
      </c>
      <c r="M236" s="2016"/>
      <c r="N236" s="2016"/>
      <c r="O236" s="2016"/>
      <c r="P236" s="2016"/>
      <c r="Q236" s="2016"/>
      <c r="R236" s="2016"/>
      <c r="S236" s="2016"/>
      <c r="T236" s="2016"/>
      <c r="U236" s="2016"/>
      <c r="V236" s="2016"/>
      <c r="W236" s="2016"/>
      <c r="X236" s="2016"/>
      <c r="Y236" s="2016"/>
      <c r="Z236" s="2016">
        <f>J236</f>
        <v>299.99</v>
      </c>
    </row>
    <row r="237" spans="1:26" s="2006" customFormat="1" ht="15" x14ac:dyDescent="0.2">
      <c r="A237" s="2133" t="s">
        <v>5906</v>
      </c>
      <c r="B237" s="2133"/>
      <c r="C237" s="2133"/>
      <c r="D237" s="2133"/>
      <c r="E237" s="2133"/>
      <c r="F237" s="2133"/>
      <c r="G237" s="2133"/>
      <c r="H237" s="2133"/>
      <c r="I237" s="2133"/>
      <c r="J237" s="1724">
        <f>SUM(J231:J236)</f>
        <v>3348.12</v>
      </c>
      <c r="K237" s="2010"/>
      <c r="L237" s="2015"/>
      <c r="M237" s="1724">
        <f t="shared" ref="M237:Z237" si="128">SUM(M231:M236)</f>
        <v>0</v>
      </c>
      <c r="N237" s="1724">
        <f t="shared" si="128"/>
        <v>0</v>
      </c>
      <c r="O237" s="1724">
        <f t="shared" si="128"/>
        <v>0</v>
      </c>
      <c r="P237" s="1724">
        <f t="shared" si="128"/>
        <v>0</v>
      </c>
      <c r="Q237" s="1724">
        <f t="shared" si="128"/>
        <v>0</v>
      </c>
      <c r="R237" s="1724">
        <f t="shared" si="128"/>
        <v>0</v>
      </c>
      <c r="S237" s="1724">
        <f t="shared" si="128"/>
        <v>0</v>
      </c>
      <c r="T237" s="1724">
        <f t="shared" si="128"/>
        <v>0</v>
      </c>
      <c r="U237" s="1724">
        <f t="shared" si="128"/>
        <v>0</v>
      </c>
      <c r="V237" s="1724">
        <f t="shared" si="128"/>
        <v>0</v>
      </c>
      <c r="W237" s="1724">
        <f t="shared" si="128"/>
        <v>0</v>
      </c>
      <c r="X237" s="1724">
        <f t="shared" si="128"/>
        <v>0</v>
      </c>
      <c r="Y237" s="1724">
        <f t="shared" si="128"/>
        <v>0</v>
      </c>
      <c r="Z237" s="1724">
        <f t="shared" si="128"/>
        <v>3348.12</v>
      </c>
    </row>
    <row r="238" spans="1:26" s="2006" customFormat="1" ht="15" x14ac:dyDescent="0.2">
      <c r="A238" s="52"/>
      <c r="B238" s="52"/>
      <c r="C238" s="52"/>
      <c r="D238" s="52"/>
      <c r="E238" s="1506"/>
      <c r="F238" s="52"/>
      <c r="G238" s="1649"/>
      <c r="H238" s="51"/>
      <c r="I238" s="51"/>
      <c r="J238" s="1725"/>
      <c r="K238" s="51"/>
      <c r="L238" s="2015"/>
      <c r="M238" s="2005"/>
      <c r="N238" s="2005"/>
      <c r="O238" s="2005"/>
      <c r="P238" s="2005"/>
      <c r="Q238" s="2005"/>
      <c r="R238" s="2005"/>
      <c r="S238" s="2005"/>
      <c r="T238" s="2005"/>
      <c r="U238" s="2005"/>
      <c r="V238" s="2005"/>
      <c r="W238" s="2005"/>
      <c r="X238" s="2005"/>
      <c r="Y238" s="2005"/>
      <c r="Z238" s="2005"/>
    </row>
    <row r="239" spans="1:26" s="2009" customFormat="1" ht="15" x14ac:dyDescent="0.2">
      <c r="A239" s="1513" t="s">
        <v>7732</v>
      </c>
      <c r="B239" s="2130" t="s">
        <v>7733</v>
      </c>
      <c r="C239" s="2130"/>
      <c r="D239" s="2130"/>
      <c r="E239" s="2130"/>
      <c r="F239" s="2130"/>
      <c r="G239" s="2130"/>
      <c r="H239" s="2130"/>
      <c r="I239" s="2130"/>
      <c r="J239" s="2130"/>
      <c r="M239" s="2016"/>
      <c r="N239" s="2016"/>
      <c r="O239" s="2016"/>
      <c r="P239" s="2016"/>
      <c r="Q239" s="2016"/>
      <c r="R239" s="2016"/>
      <c r="S239" s="2016"/>
      <c r="T239" s="2016"/>
      <c r="U239" s="2016"/>
      <c r="V239" s="2016"/>
      <c r="W239" s="2016"/>
      <c r="X239" s="2016"/>
      <c r="Y239" s="2016"/>
      <c r="Z239" s="2016"/>
    </row>
    <row r="240" spans="1:26" s="2009" customFormat="1" ht="60" x14ac:dyDescent="0.2">
      <c r="A240" s="1635" t="s">
        <v>8915</v>
      </c>
      <c r="B240" s="1984" t="s">
        <v>4448</v>
      </c>
      <c r="C240" s="1984" t="s">
        <v>8301</v>
      </c>
      <c r="D240" s="1813" t="s">
        <v>8300</v>
      </c>
      <c r="E240" s="1638">
        <v>1338.75</v>
      </c>
      <c r="F240" s="1639" t="s">
        <v>5286</v>
      </c>
      <c r="G240" s="1648">
        <v>8.1000000000000014</v>
      </c>
      <c r="H240" s="1636">
        <f t="shared" ref="H240" si="129">ROUND(G240*$B$13,2)</f>
        <v>2.1800000000000002</v>
      </c>
      <c r="I240" s="1636">
        <f t="shared" ref="I240" si="130">H240+G240</f>
        <v>10.280000000000001</v>
      </c>
      <c r="J240" s="1723">
        <f t="shared" ref="J240" si="131">ROUND(I240*E240,2)</f>
        <v>13762.35</v>
      </c>
      <c r="K240" s="2007">
        <f t="shared" ref="K240" si="132">ROUND(G240*E240,2)</f>
        <v>10843.88</v>
      </c>
      <c r="L240" s="2007">
        <f t="shared" ref="L240" si="133">ROUND(H240*E240,2)</f>
        <v>2918.48</v>
      </c>
      <c r="M240" s="2016"/>
      <c r="N240" s="2016"/>
      <c r="O240" s="2016"/>
      <c r="P240" s="2016"/>
      <c r="Q240" s="2016"/>
      <c r="R240" s="2016"/>
      <c r="S240" s="2016"/>
      <c r="T240" s="2016"/>
      <c r="U240" s="2016"/>
      <c r="V240" s="2016"/>
      <c r="W240" s="2016"/>
      <c r="X240" s="2016"/>
      <c r="Y240" s="2016">
        <f t="shared" ref="Y240" si="134">0.2*J240</f>
        <v>2752.4700000000003</v>
      </c>
      <c r="Z240" s="2016">
        <f t="shared" ref="Z240" si="135">0.8*J240</f>
        <v>11009.880000000001</v>
      </c>
    </row>
    <row r="241" spans="1:26" s="2009" customFormat="1" ht="15" x14ac:dyDescent="0.2">
      <c r="A241" s="2133" t="s">
        <v>7734</v>
      </c>
      <c r="B241" s="2133"/>
      <c r="C241" s="2133"/>
      <c r="D241" s="2133"/>
      <c r="E241" s="2133"/>
      <c r="F241" s="2133"/>
      <c r="G241" s="2133"/>
      <c r="H241" s="2133"/>
      <c r="I241" s="2133"/>
      <c r="J241" s="1724">
        <f>SUM(J239:J240)</f>
        <v>13762.35</v>
      </c>
      <c r="M241" s="2033">
        <f t="shared" ref="M241:Z241" si="136">SUM(M239:M240)</f>
        <v>0</v>
      </c>
      <c r="N241" s="2033">
        <f t="shared" si="136"/>
        <v>0</v>
      </c>
      <c r="O241" s="2033">
        <f t="shared" si="136"/>
        <v>0</v>
      </c>
      <c r="P241" s="2033">
        <f t="shared" si="136"/>
        <v>0</v>
      </c>
      <c r="Q241" s="2033">
        <f t="shared" si="136"/>
        <v>0</v>
      </c>
      <c r="R241" s="2033">
        <f t="shared" si="136"/>
        <v>0</v>
      </c>
      <c r="S241" s="2033">
        <f t="shared" si="136"/>
        <v>0</v>
      </c>
      <c r="T241" s="2033">
        <f t="shared" si="136"/>
        <v>0</v>
      </c>
      <c r="U241" s="2033">
        <f t="shared" si="136"/>
        <v>0</v>
      </c>
      <c r="V241" s="2033">
        <f t="shared" si="136"/>
        <v>0</v>
      </c>
      <c r="W241" s="2033">
        <f t="shared" si="136"/>
        <v>0</v>
      </c>
      <c r="X241" s="2033">
        <f t="shared" si="136"/>
        <v>0</v>
      </c>
      <c r="Y241" s="2033">
        <f t="shared" si="136"/>
        <v>2752.4700000000003</v>
      </c>
      <c r="Z241" s="2033">
        <f t="shared" si="136"/>
        <v>11009.880000000001</v>
      </c>
    </row>
    <row r="242" spans="1:26" s="2009" customFormat="1" ht="15" x14ac:dyDescent="0.2">
      <c r="A242" s="52"/>
      <c r="B242" s="52"/>
      <c r="C242" s="52"/>
      <c r="D242" s="52"/>
      <c r="E242" s="1506"/>
      <c r="F242" s="52"/>
      <c r="G242" s="1649"/>
      <c r="H242" s="51"/>
      <c r="I242" s="51"/>
      <c r="J242" s="1725"/>
      <c r="M242" s="2016"/>
      <c r="N242" s="2016"/>
      <c r="O242" s="2016"/>
      <c r="P242" s="2016"/>
      <c r="Q242" s="2016"/>
      <c r="R242" s="2016"/>
      <c r="S242" s="2016"/>
      <c r="T242" s="2016"/>
      <c r="U242" s="2016"/>
      <c r="V242" s="2016"/>
      <c r="W242" s="2016"/>
      <c r="X242" s="2016"/>
      <c r="Y242" s="2016"/>
      <c r="Z242" s="2016"/>
    </row>
    <row r="243" spans="1:26" s="2009" customFormat="1" ht="15" x14ac:dyDescent="0.2">
      <c r="A243" s="1513" t="s">
        <v>7735</v>
      </c>
      <c r="B243" s="2130" t="s">
        <v>7736</v>
      </c>
      <c r="C243" s="2130"/>
      <c r="D243" s="2130"/>
      <c r="E243" s="2130"/>
      <c r="F243" s="2130"/>
      <c r="G243" s="2130"/>
      <c r="H243" s="2130"/>
      <c r="I243" s="2130"/>
      <c r="J243" s="2130"/>
      <c r="M243" s="2016"/>
      <c r="N243" s="2016"/>
      <c r="O243" s="2016"/>
      <c r="P243" s="2016"/>
      <c r="Q243" s="2016"/>
      <c r="R243" s="2016"/>
      <c r="S243" s="2016"/>
      <c r="T243" s="2016"/>
      <c r="U243" s="2016"/>
      <c r="V243" s="2016"/>
      <c r="W243" s="2016"/>
      <c r="X243" s="2016"/>
      <c r="Y243" s="2016"/>
      <c r="Z243" s="2016"/>
    </row>
    <row r="244" spans="1:26" s="2009" customFormat="1" ht="75" x14ac:dyDescent="0.2">
      <c r="A244" s="1635" t="s">
        <v>7738</v>
      </c>
      <c r="B244" s="1984" t="s">
        <v>4448</v>
      </c>
      <c r="C244" s="1984">
        <v>94116</v>
      </c>
      <c r="D244" s="1813" t="s">
        <v>7789</v>
      </c>
      <c r="E244" s="1638">
        <f>E245*0.05</f>
        <v>24.727500000000003</v>
      </c>
      <c r="F244" s="1639" t="s">
        <v>5685</v>
      </c>
      <c r="G244" s="1648">
        <v>160.88999999999999</v>
      </c>
      <c r="H244" s="1636">
        <f t="shared" ref="H244:H245" si="137">ROUND(G244*$B$13,2)</f>
        <v>43.33</v>
      </c>
      <c r="I244" s="1636">
        <f t="shared" ref="I244:I245" si="138">H244+G244</f>
        <v>204.21999999999997</v>
      </c>
      <c r="J244" s="1723">
        <f t="shared" ref="J244:J245" si="139">ROUND(I244*E244,2)</f>
        <v>5049.8500000000004</v>
      </c>
      <c r="K244" s="2007">
        <f t="shared" ref="K244:K245" si="140">ROUND(G244*E244,2)</f>
        <v>3978.41</v>
      </c>
      <c r="L244" s="2007">
        <f t="shared" ref="L244:L245" si="141">ROUND(H244*E244,2)</f>
        <v>1071.44</v>
      </c>
      <c r="M244" s="2016"/>
      <c r="N244" s="2016"/>
      <c r="O244" s="2016"/>
      <c r="P244" s="2016"/>
      <c r="Q244" s="2016"/>
      <c r="R244" s="2016"/>
      <c r="S244" s="2016"/>
      <c r="T244" s="2016"/>
      <c r="U244" s="2016"/>
      <c r="V244" s="2016"/>
      <c r="W244" s="2016"/>
      <c r="X244" s="2016"/>
      <c r="Y244" s="2016">
        <f>0.7*J244</f>
        <v>3534.895</v>
      </c>
      <c r="Z244" s="2016">
        <f>0.3*J244</f>
        <v>1514.9550000000002</v>
      </c>
    </row>
    <row r="245" spans="1:26" s="2009" customFormat="1" ht="60" x14ac:dyDescent="0.2">
      <c r="A245" s="1635" t="s">
        <v>7739</v>
      </c>
      <c r="B245" s="1984" t="s">
        <v>4448</v>
      </c>
      <c r="C245" s="1984">
        <v>94995</v>
      </c>
      <c r="D245" s="1813" t="s">
        <v>7737</v>
      </c>
      <c r="E245" s="1638">
        <v>494.55</v>
      </c>
      <c r="F245" s="1639" t="s">
        <v>5286</v>
      </c>
      <c r="G245" s="1648">
        <v>60.74</v>
      </c>
      <c r="H245" s="1636">
        <f t="shared" si="137"/>
        <v>16.36</v>
      </c>
      <c r="I245" s="1636">
        <f t="shared" si="138"/>
        <v>77.099999999999994</v>
      </c>
      <c r="J245" s="1723">
        <f t="shared" si="139"/>
        <v>38129.81</v>
      </c>
      <c r="K245" s="2007">
        <f t="shared" si="140"/>
        <v>30038.97</v>
      </c>
      <c r="L245" s="2007">
        <f t="shared" si="141"/>
        <v>8090.84</v>
      </c>
      <c r="M245" s="2016"/>
      <c r="N245" s="2016"/>
      <c r="O245" s="2016"/>
      <c r="P245" s="2016"/>
      <c r="Q245" s="2016"/>
      <c r="R245" s="2016"/>
      <c r="S245" s="2016"/>
      <c r="T245" s="2016"/>
      <c r="U245" s="2016"/>
      <c r="V245" s="2016"/>
      <c r="W245" s="2016"/>
      <c r="X245" s="2016"/>
      <c r="Y245" s="2016">
        <f>0.7*J245</f>
        <v>26690.866999999998</v>
      </c>
      <c r="Z245" s="2016">
        <f>0.3*J245</f>
        <v>11438.942999999999</v>
      </c>
    </row>
    <row r="246" spans="1:26" s="2009" customFormat="1" ht="15" x14ac:dyDescent="0.2">
      <c r="A246" s="2133" t="s">
        <v>7740</v>
      </c>
      <c r="B246" s="2133"/>
      <c r="C246" s="2133"/>
      <c r="D246" s="2133"/>
      <c r="E246" s="2133"/>
      <c r="F246" s="2133"/>
      <c r="G246" s="2133"/>
      <c r="H246" s="2133"/>
      <c r="I246" s="2133"/>
      <c r="J246" s="1724">
        <f>SUM(J243:J245)</f>
        <v>43179.659999999996</v>
      </c>
      <c r="M246" s="2033">
        <f t="shared" ref="M246:Z246" si="142">SUM(M243:M245)</f>
        <v>0</v>
      </c>
      <c r="N246" s="2033">
        <f t="shared" si="142"/>
        <v>0</v>
      </c>
      <c r="O246" s="2033">
        <f t="shared" si="142"/>
        <v>0</v>
      </c>
      <c r="P246" s="2033">
        <f t="shared" si="142"/>
        <v>0</v>
      </c>
      <c r="Q246" s="2033">
        <f t="shared" si="142"/>
        <v>0</v>
      </c>
      <c r="R246" s="2033">
        <f t="shared" si="142"/>
        <v>0</v>
      </c>
      <c r="S246" s="2033">
        <f t="shared" si="142"/>
        <v>0</v>
      </c>
      <c r="T246" s="2033">
        <f t="shared" si="142"/>
        <v>0</v>
      </c>
      <c r="U246" s="2033">
        <f t="shared" si="142"/>
        <v>0</v>
      </c>
      <c r="V246" s="2033">
        <f t="shared" si="142"/>
        <v>0</v>
      </c>
      <c r="W246" s="2033">
        <f t="shared" si="142"/>
        <v>0</v>
      </c>
      <c r="X246" s="2033">
        <f t="shared" si="142"/>
        <v>0</v>
      </c>
      <c r="Y246" s="2033">
        <f t="shared" si="142"/>
        <v>30225.761999999999</v>
      </c>
      <c r="Z246" s="2033">
        <f t="shared" si="142"/>
        <v>12953.897999999999</v>
      </c>
    </row>
    <row r="247" spans="1:26" s="2009" customFormat="1" ht="15" x14ac:dyDescent="0.2">
      <c r="A247" s="52"/>
      <c r="B247" s="52"/>
      <c r="C247" s="52"/>
      <c r="D247" s="52"/>
      <c r="E247" s="1506"/>
      <c r="F247" s="52"/>
      <c r="G247" s="1649"/>
      <c r="H247" s="51"/>
      <c r="I247" s="51"/>
      <c r="J247" s="1725"/>
      <c r="M247" s="2016"/>
      <c r="N247" s="2016"/>
      <c r="O247" s="2016"/>
      <c r="P247" s="2016"/>
      <c r="Q247" s="2016"/>
      <c r="R247" s="2016"/>
      <c r="S247" s="2016"/>
      <c r="T247" s="2016"/>
      <c r="U247" s="2016"/>
      <c r="V247" s="2016"/>
      <c r="W247" s="2016"/>
      <c r="X247" s="2016"/>
      <c r="Y247" s="2016"/>
      <c r="Z247" s="2016"/>
    </row>
    <row r="248" spans="1:26" s="2003" customFormat="1" ht="15" x14ac:dyDescent="0.2">
      <c r="A248" s="2132" t="s">
        <v>5918</v>
      </c>
      <c r="B248" s="2132"/>
      <c r="C248" s="2132"/>
      <c r="D248" s="2132"/>
      <c r="E248" s="2132"/>
      <c r="F248" s="2132"/>
      <c r="G248" s="2132"/>
      <c r="H248" s="2132"/>
      <c r="I248" s="2132"/>
      <c r="J248" s="1726">
        <f>J229+J237+J241+J246</f>
        <v>2755899.6400000006</v>
      </c>
      <c r="K248" s="2011"/>
      <c r="L248" s="2015"/>
      <c r="M248" s="1726">
        <f t="shared" ref="M248:Z248" si="143">M229+M237+M241+M246</f>
        <v>0</v>
      </c>
      <c r="N248" s="1726">
        <f t="shared" si="143"/>
        <v>0</v>
      </c>
      <c r="O248" s="1726">
        <f t="shared" si="143"/>
        <v>0</v>
      </c>
      <c r="P248" s="1726">
        <f t="shared" si="143"/>
        <v>0</v>
      </c>
      <c r="Q248" s="1726">
        <f t="shared" si="143"/>
        <v>0</v>
      </c>
      <c r="R248" s="1726">
        <f t="shared" si="143"/>
        <v>56784.881999999998</v>
      </c>
      <c r="S248" s="1726">
        <f t="shared" si="143"/>
        <v>281759.4375</v>
      </c>
      <c r="T248" s="1726">
        <f t="shared" si="143"/>
        <v>365292.83149999997</v>
      </c>
      <c r="U248" s="1726">
        <f t="shared" si="143"/>
        <v>281054.05299999996</v>
      </c>
      <c r="V248" s="1726">
        <f t="shared" si="143"/>
        <v>465581.50699999998</v>
      </c>
      <c r="W248" s="1726">
        <f t="shared" si="143"/>
        <v>402426.185</v>
      </c>
      <c r="X248" s="1726">
        <f t="shared" si="143"/>
        <v>354360.38200000004</v>
      </c>
      <c r="Y248" s="1726">
        <f t="shared" si="143"/>
        <v>358655.19799999997</v>
      </c>
      <c r="Z248" s="1726">
        <f t="shared" si="143"/>
        <v>189985.16399999999</v>
      </c>
    </row>
    <row r="249" spans="1:26" s="2006" customFormat="1" ht="15" x14ac:dyDescent="0.2">
      <c r="A249" s="1635"/>
      <c r="B249" s="1984"/>
      <c r="C249" s="1984"/>
      <c r="D249" s="1813"/>
      <c r="E249" s="1638"/>
      <c r="F249" s="1639"/>
      <c r="G249" s="1650"/>
      <c r="H249" s="19"/>
      <c r="I249" s="19"/>
      <c r="J249" s="1727"/>
      <c r="K249" s="2012"/>
      <c r="L249" s="2015"/>
      <c r="M249" s="2013">
        <f t="shared" ref="M249:Z249" si="144">M248/$J$248</f>
        <v>0</v>
      </c>
      <c r="N249" s="2013">
        <f t="shared" si="144"/>
        <v>0</v>
      </c>
      <c r="O249" s="2013">
        <f t="shared" si="144"/>
        <v>0</v>
      </c>
      <c r="P249" s="2013">
        <f t="shared" si="144"/>
        <v>0</v>
      </c>
      <c r="Q249" s="2013">
        <f t="shared" si="144"/>
        <v>0</v>
      </c>
      <c r="R249" s="2013">
        <f t="shared" si="144"/>
        <v>2.0604843941269206E-2</v>
      </c>
      <c r="S249" s="2013">
        <f t="shared" si="144"/>
        <v>0.10223864229685807</v>
      </c>
      <c r="T249" s="2013">
        <f t="shared" si="144"/>
        <v>0.13254939555781498</v>
      </c>
      <c r="U249" s="2013">
        <f t="shared" si="144"/>
        <v>0.10198268794722869</v>
      </c>
      <c r="V249" s="2013">
        <f t="shared" si="144"/>
        <v>0.16893993534539592</v>
      </c>
      <c r="W249" s="2013">
        <f t="shared" si="144"/>
        <v>0.14602352682189831</v>
      </c>
      <c r="X249" s="2013">
        <f t="shared" si="144"/>
        <v>0.12858246971576948</v>
      </c>
      <c r="Y249" s="2013">
        <f t="shared" si="144"/>
        <v>0.13014087769901517</v>
      </c>
      <c r="Z249" s="2013">
        <f t="shared" si="144"/>
        <v>6.8937620674749955E-2</v>
      </c>
    </row>
    <row r="250" spans="1:26" s="2003" customFormat="1" ht="15" x14ac:dyDescent="0.2">
      <c r="A250" s="1988" t="s">
        <v>4991</v>
      </c>
      <c r="B250" s="2135" t="s">
        <v>4999</v>
      </c>
      <c r="C250" s="2135"/>
      <c r="D250" s="2135"/>
      <c r="E250" s="2135"/>
      <c r="F250" s="2135"/>
      <c r="G250" s="2135"/>
      <c r="H250" s="2135"/>
      <c r="I250" s="2135"/>
      <c r="J250" s="2135"/>
      <c r="K250" s="1981"/>
      <c r="L250" s="2014"/>
      <c r="M250" s="2000"/>
      <c r="N250" s="2000"/>
      <c r="O250" s="2000"/>
      <c r="P250" s="2005"/>
      <c r="Q250" s="2005"/>
      <c r="R250" s="2005"/>
      <c r="S250" s="2005"/>
      <c r="T250" s="2005"/>
      <c r="U250" s="2005"/>
      <c r="V250" s="2005"/>
      <c r="W250" s="2005"/>
      <c r="X250" s="2005"/>
      <c r="Y250" s="2005"/>
      <c r="Z250" s="2005"/>
    </row>
    <row r="251" spans="1:26" s="2006" customFormat="1" ht="15" x14ac:dyDescent="0.2">
      <c r="A251" s="2004" t="s">
        <v>0</v>
      </c>
      <c r="B251" s="2004" t="s">
        <v>6715</v>
      </c>
      <c r="C251" s="2004"/>
      <c r="D251" s="2004" t="s">
        <v>1</v>
      </c>
      <c r="E251" s="1986" t="s">
        <v>131</v>
      </c>
      <c r="F251" s="1987" t="s">
        <v>11</v>
      </c>
      <c r="G251" s="1990" t="s">
        <v>12</v>
      </c>
      <c r="H251" s="1989" t="s">
        <v>5679</v>
      </c>
      <c r="I251" s="1989" t="s">
        <v>5680</v>
      </c>
      <c r="J251" s="1990" t="s">
        <v>130</v>
      </c>
      <c r="K251" s="1989"/>
      <c r="L251" s="2014"/>
      <c r="M251" s="2000"/>
      <c r="N251" s="2000"/>
      <c r="O251" s="2000"/>
      <c r="P251" s="2005"/>
      <c r="Q251" s="2005"/>
      <c r="R251" s="2005"/>
      <c r="S251" s="2005"/>
      <c r="T251" s="2005"/>
      <c r="U251" s="2005"/>
      <c r="V251" s="2005"/>
      <c r="W251" s="2005"/>
      <c r="X251" s="2005"/>
      <c r="Y251" s="2005"/>
      <c r="Z251" s="2005"/>
    </row>
    <row r="252" spans="1:26" s="2006" customFormat="1" ht="15" x14ac:dyDescent="0.2">
      <c r="A252" s="1513" t="s">
        <v>4992</v>
      </c>
      <c r="B252" s="2130" t="s">
        <v>5000</v>
      </c>
      <c r="C252" s="2130"/>
      <c r="D252" s="2130"/>
      <c r="E252" s="2130"/>
      <c r="F252" s="2130"/>
      <c r="G252" s="2130"/>
      <c r="H252" s="2130"/>
      <c r="I252" s="2130"/>
      <c r="J252" s="2130"/>
      <c r="K252" s="1980"/>
      <c r="L252" s="2015"/>
      <c r="M252" s="2005"/>
      <c r="N252" s="2005"/>
      <c r="O252" s="2005"/>
      <c r="P252" s="2005"/>
      <c r="Q252" s="2005"/>
      <c r="R252" s="2005"/>
      <c r="S252" s="2005"/>
      <c r="T252" s="2005"/>
      <c r="U252" s="2005"/>
      <c r="V252" s="2005"/>
      <c r="W252" s="2005"/>
      <c r="X252" s="2005"/>
      <c r="Y252" s="2005"/>
      <c r="Z252" s="2005"/>
    </row>
    <row r="253" spans="1:26" s="2006" customFormat="1" ht="15" x14ac:dyDescent="0.2">
      <c r="A253" s="1634" t="s">
        <v>5919</v>
      </c>
      <c r="B253" s="2136" t="s">
        <v>5920</v>
      </c>
      <c r="C253" s="2136"/>
      <c r="D253" s="2136"/>
      <c r="E253" s="2136"/>
      <c r="F253" s="2136"/>
      <c r="G253" s="2136"/>
      <c r="H253" s="2136"/>
      <c r="I253" s="2136"/>
      <c r="J253" s="2136"/>
      <c r="K253" s="1983"/>
      <c r="L253" s="2015"/>
      <c r="M253" s="2005"/>
      <c r="N253" s="2005"/>
      <c r="O253" s="2005"/>
      <c r="P253" s="2005"/>
      <c r="Q253" s="2005"/>
      <c r="R253" s="2005"/>
      <c r="S253" s="2005"/>
      <c r="T253" s="2005"/>
      <c r="U253" s="2005"/>
      <c r="V253" s="2005"/>
      <c r="W253" s="2005"/>
      <c r="X253" s="2005"/>
      <c r="Y253" s="2005"/>
      <c r="Z253" s="2005"/>
    </row>
    <row r="254" spans="1:26" s="2009" customFormat="1" ht="30" x14ac:dyDescent="0.2">
      <c r="A254" s="1635" t="s">
        <v>6960</v>
      </c>
      <c r="B254" s="1984" t="s">
        <v>4448</v>
      </c>
      <c r="C254" s="1984">
        <v>89356</v>
      </c>
      <c r="D254" s="1813" t="s">
        <v>5922</v>
      </c>
      <c r="E254" s="1638">
        <f>QuantitativosÁgFria!G14</f>
        <v>397.88</v>
      </c>
      <c r="F254" s="1639" t="s">
        <v>5713</v>
      </c>
      <c r="G254" s="1648">
        <v>16.170000000000002</v>
      </c>
      <c r="H254" s="1636">
        <f t="shared" ref="H254:H286" si="145">ROUND(G254*$B$13,2)</f>
        <v>4.3499999999999996</v>
      </c>
      <c r="I254" s="1636">
        <f t="shared" ref="I254:I286" si="146">H254+G254</f>
        <v>20.520000000000003</v>
      </c>
      <c r="J254" s="1723">
        <f t="shared" ref="J254:J286" si="147">ROUND(I254*E254,2)</f>
        <v>8164.5</v>
      </c>
      <c r="K254" s="2007">
        <f t="shared" ref="K254:K286" si="148">ROUND(G254*E254,2)</f>
        <v>6433.72</v>
      </c>
      <c r="L254" s="2007">
        <f t="shared" ref="L254:L286" si="149">ROUND(H254*E254,2)</f>
        <v>1730.78</v>
      </c>
      <c r="M254" s="2016"/>
      <c r="N254" s="2016"/>
      <c r="O254" s="2016"/>
      <c r="P254" s="2016">
        <f t="shared" ref="P254:P286" si="150">0.05*J254</f>
        <v>408.22500000000002</v>
      </c>
      <c r="Q254" s="2016"/>
      <c r="R254" s="2016"/>
      <c r="S254" s="2016">
        <f t="shared" ref="S254:S286" si="151">0.1*J254</f>
        <v>816.45</v>
      </c>
      <c r="T254" s="2016">
        <f t="shared" ref="T254:T286" si="152">0.1*J254</f>
        <v>816.45</v>
      </c>
      <c r="U254" s="2016">
        <f t="shared" ref="U254:U286" si="153">0.2*J254</f>
        <v>1632.9</v>
      </c>
      <c r="V254" s="2016">
        <f t="shared" ref="V254:V286" si="154">0.25*J254</f>
        <v>2041.125</v>
      </c>
      <c r="W254" s="2016">
        <f t="shared" ref="W254:W286" si="155">0.3*J254</f>
        <v>2449.35</v>
      </c>
      <c r="X254" s="2016"/>
      <c r="Y254" s="2016"/>
      <c r="Z254" s="2016"/>
    </row>
    <row r="255" spans="1:26" s="2009" customFormat="1" ht="30" x14ac:dyDescent="0.2">
      <c r="A255" s="1635" t="s">
        <v>6961</v>
      </c>
      <c r="B255" s="1984" t="s">
        <v>4448</v>
      </c>
      <c r="C255" s="1984">
        <v>89357</v>
      </c>
      <c r="D255" s="1813" t="s">
        <v>5923</v>
      </c>
      <c r="E255" s="1638">
        <f>QuantitativosÁgFria!G15</f>
        <v>177.76</v>
      </c>
      <c r="F255" s="1639" t="s">
        <v>5713</v>
      </c>
      <c r="G255" s="1648">
        <v>22.4</v>
      </c>
      <c r="H255" s="1636">
        <f t="shared" si="145"/>
        <v>6.03</v>
      </c>
      <c r="I255" s="1636">
        <f t="shared" si="146"/>
        <v>28.43</v>
      </c>
      <c r="J255" s="1723">
        <f t="shared" si="147"/>
        <v>5053.72</v>
      </c>
      <c r="K255" s="2007">
        <f t="shared" si="148"/>
        <v>3981.82</v>
      </c>
      <c r="L255" s="2007">
        <f t="shared" si="149"/>
        <v>1071.8900000000001</v>
      </c>
      <c r="M255" s="2016"/>
      <c r="N255" s="2016"/>
      <c r="O255" s="2016"/>
      <c r="P255" s="2016">
        <f t="shared" si="150"/>
        <v>252.68600000000004</v>
      </c>
      <c r="Q255" s="2016"/>
      <c r="R255" s="2016"/>
      <c r="S255" s="2016">
        <f t="shared" si="151"/>
        <v>505.37200000000007</v>
      </c>
      <c r="T255" s="2016">
        <f t="shared" si="152"/>
        <v>505.37200000000007</v>
      </c>
      <c r="U255" s="2016">
        <f t="shared" si="153"/>
        <v>1010.7440000000001</v>
      </c>
      <c r="V255" s="2016">
        <f t="shared" si="154"/>
        <v>1263.43</v>
      </c>
      <c r="W255" s="2016">
        <f t="shared" si="155"/>
        <v>1516.116</v>
      </c>
      <c r="X255" s="2016"/>
      <c r="Y255" s="2016"/>
      <c r="Z255" s="2016"/>
    </row>
    <row r="256" spans="1:26" s="2009" customFormat="1" ht="30" x14ac:dyDescent="0.2">
      <c r="A256" s="1635" t="s">
        <v>6962</v>
      </c>
      <c r="B256" s="1984" t="s">
        <v>4448</v>
      </c>
      <c r="C256" s="1984">
        <v>89448</v>
      </c>
      <c r="D256" s="1813" t="s">
        <v>5924</v>
      </c>
      <c r="E256" s="1638">
        <f>QuantitativosÁgFria!G16</f>
        <v>114.11999999999999</v>
      </c>
      <c r="F256" s="1639" t="s">
        <v>5713</v>
      </c>
      <c r="G256" s="1648">
        <v>10.52</v>
      </c>
      <c r="H256" s="1636">
        <f t="shared" si="145"/>
        <v>2.83</v>
      </c>
      <c r="I256" s="1636">
        <f t="shared" si="146"/>
        <v>13.35</v>
      </c>
      <c r="J256" s="1723">
        <f t="shared" si="147"/>
        <v>1523.5</v>
      </c>
      <c r="K256" s="2007">
        <f t="shared" si="148"/>
        <v>1200.54</v>
      </c>
      <c r="L256" s="2007">
        <f t="shared" si="149"/>
        <v>322.95999999999998</v>
      </c>
      <c r="M256" s="2016"/>
      <c r="N256" s="2016"/>
      <c r="O256" s="2016"/>
      <c r="P256" s="2016">
        <f t="shared" si="150"/>
        <v>76.174999999999997</v>
      </c>
      <c r="Q256" s="2016"/>
      <c r="R256" s="2016"/>
      <c r="S256" s="2016">
        <f t="shared" si="151"/>
        <v>152.35</v>
      </c>
      <c r="T256" s="2016">
        <f t="shared" si="152"/>
        <v>152.35</v>
      </c>
      <c r="U256" s="2016">
        <f t="shared" si="153"/>
        <v>304.7</v>
      </c>
      <c r="V256" s="2016">
        <f t="shared" si="154"/>
        <v>380.875</v>
      </c>
      <c r="W256" s="2016">
        <f t="shared" si="155"/>
        <v>457.05</v>
      </c>
      <c r="X256" s="2016"/>
      <c r="Y256" s="2016"/>
      <c r="Z256" s="2016"/>
    </row>
    <row r="257" spans="1:26" s="2009" customFormat="1" ht="30" x14ac:dyDescent="0.2">
      <c r="A257" s="1635" t="s">
        <v>6963</v>
      </c>
      <c r="B257" s="1984" t="s">
        <v>4448</v>
      </c>
      <c r="C257" s="1984">
        <v>89449</v>
      </c>
      <c r="D257" s="1813" t="s">
        <v>5925</v>
      </c>
      <c r="E257" s="1638">
        <f>QuantitativosÁgFria!G17</f>
        <v>151.18</v>
      </c>
      <c r="F257" s="1639" t="s">
        <v>5713</v>
      </c>
      <c r="G257" s="1648">
        <v>12.11</v>
      </c>
      <c r="H257" s="1636">
        <f t="shared" si="145"/>
        <v>3.26</v>
      </c>
      <c r="I257" s="1636">
        <f t="shared" si="146"/>
        <v>15.37</v>
      </c>
      <c r="J257" s="1723">
        <f t="shared" si="147"/>
        <v>2323.64</v>
      </c>
      <c r="K257" s="2007">
        <f t="shared" si="148"/>
        <v>1830.79</v>
      </c>
      <c r="L257" s="2007">
        <f t="shared" si="149"/>
        <v>492.85</v>
      </c>
      <c r="M257" s="2016"/>
      <c r="N257" s="2016"/>
      <c r="O257" s="2016"/>
      <c r="P257" s="2016">
        <f t="shared" si="150"/>
        <v>116.182</v>
      </c>
      <c r="Q257" s="2016"/>
      <c r="R257" s="2016"/>
      <c r="S257" s="2016">
        <f t="shared" si="151"/>
        <v>232.364</v>
      </c>
      <c r="T257" s="2016">
        <f t="shared" si="152"/>
        <v>232.364</v>
      </c>
      <c r="U257" s="2016">
        <f t="shared" si="153"/>
        <v>464.72800000000001</v>
      </c>
      <c r="V257" s="2016">
        <f t="shared" si="154"/>
        <v>580.91</v>
      </c>
      <c r="W257" s="2016">
        <f t="shared" si="155"/>
        <v>697.09199999999998</v>
      </c>
      <c r="X257" s="2016"/>
      <c r="Y257" s="2016"/>
      <c r="Z257" s="2016"/>
    </row>
    <row r="258" spans="1:26" s="2009" customFormat="1" ht="30" x14ac:dyDescent="0.2">
      <c r="A258" s="1635" t="s">
        <v>6964</v>
      </c>
      <c r="B258" s="1984" t="s">
        <v>4448</v>
      </c>
      <c r="C258" s="1984">
        <v>89450</v>
      </c>
      <c r="D258" s="1813" t="s">
        <v>5926</v>
      </c>
      <c r="E258" s="1638">
        <f>QuantitativosÁgFria!G18</f>
        <v>31.14</v>
      </c>
      <c r="F258" s="1639" t="s">
        <v>5713</v>
      </c>
      <c r="G258" s="1648">
        <v>19.89</v>
      </c>
      <c r="H258" s="1636">
        <f t="shared" si="145"/>
        <v>5.36</v>
      </c>
      <c r="I258" s="1636">
        <f t="shared" si="146"/>
        <v>25.25</v>
      </c>
      <c r="J258" s="1723">
        <f t="shared" si="147"/>
        <v>786.29</v>
      </c>
      <c r="K258" s="2007">
        <f t="shared" si="148"/>
        <v>619.37</v>
      </c>
      <c r="L258" s="2007">
        <f t="shared" si="149"/>
        <v>166.91</v>
      </c>
      <c r="M258" s="2016"/>
      <c r="N258" s="2016"/>
      <c r="O258" s="2016"/>
      <c r="P258" s="2016">
        <f t="shared" si="150"/>
        <v>39.314500000000002</v>
      </c>
      <c r="Q258" s="2016"/>
      <c r="R258" s="2016"/>
      <c r="S258" s="2016">
        <f t="shared" si="151"/>
        <v>78.629000000000005</v>
      </c>
      <c r="T258" s="2016">
        <f t="shared" si="152"/>
        <v>78.629000000000005</v>
      </c>
      <c r="U258" s="2016">
        <f t="shared" si="153"/>
        <v>157.25800000000001</v>
      </c>
      <c r="V258" s="2016">
        <f t="shared" si="154"/>
        <v>196.57249999999999</v>
      </c>
      <c r="W258" s="2016">
        <f t="shared" si="155"/>
        <v>235.88699999999997</v>
      </c>
      <c r="X258" s="2016"/>
      <c r="Y258" s="2016"/>
      <c r="Z258" s="2016"/>
    </row>
    <row r="259" spans="1:26" s="2009" customFormat="1" ht="30" x14ac:dyDescent="0.2">
      <c r="A259" s="1635" t="s">
        <v>6965</v>
      </c>
      <c r="B259" s="1984" t="s">
        <v>4448</v>
      </c>
      <c r="C259" s="1984">
        <v>89451</v>
      </c>
      <c r="D259" s="1813" t="s">
        <v>5927</v>
      </c>
      <c r="E259" s="1638">
        <f>QuantitativosÁgFria!G19</f>
        <v>53.04</v>
      </c>
      <c r="F259" s="1639" t="s">
        <v>5713</v>
      </c>
      <c r="G259" s="1648">
        <v>32.82</v>
      </c>
      <c r="H259" s="1636">
        <f t="shared" si="145"/>
        <v>8.84</v>
      </c>
      <c r="I259" s="1636">
        <f t="shared" si="146"/>
        <v>41.66</v>
      </c>
      <c r="J259" s="1723">
        <f t="shared" si="147"/>
        <v>2209.65</v>
      </c>
      <c r="K259" s="2007">
        <f t="shared" si="148"/>
        <v>1740.77</v>
      </c>
      <c r="L259" s="2007">
        <f t="shared" si="149"/>
        <v>468.87</v>
      </c>
      <c r="M259" s="2016"/>
      <c r="N259" s="2016"/>
      <c r="O259" s="2016"/>
      <c r="P259" s="2016">
        <f t="shared" si="150"/>
        <v>110.48250000000002</v>
      </c>
      <c r="Q259" s="2016"/>
      <c r="R259" s="2016"/>
      <c r="S259" s="2016">
        <f t="shared" si="151"/>
        <v>220.96500000000003</v>
      </c>
      <c r="T259" s="2016">
        <f t="shared" si="152"/>
        <v>220.96500000000003</v>
      </c>
      <c r="U259" s="2016">
        <f t="shared" si="153"/>
        <v>441.93000000000006</v>
      </c>
      <c r="V259" s="2016">
        <f t="shared" si="154"/>
        <v>552.41250000000002</v>
      </c>
      <c r="W259" s="2016">
        <f t="shared" si="155"/>
        <v>662.89499999999998</v>
      </c>
      <c r="X259" s="2016"/>
      <c r="Y259" s="2016"/>
      <c r="Z259" s="2016"/>
    </row>
    <row r="260" spans="1:26" s="2009" customFormat="1" ht="60" x14ac:dyDescent="0.2">
      <c r="A260" s="1635" t="s">
        <v>6966</v>
      </c>
      <c r="B260" s="1984" t="s">
        <v>4448</v>
      </c>
      <c r="C260" s="1984">
        <v>94709</v>
      </c>
      <c r="D260" s="1813" t="s">
        <v>6689</v>
      </c>
      <c r="E260" s="1638">
        <f>QuantitativosÁgFria!G20</f>
        <v>1</v>
      </c>
      <c r="F260" s="1639" t="s">
        <v>5284</v>
      </c>
      <c r="G260" s="1648">
        <v>23.93</v>
      </c>
      <c r="H260" s="1636">
        <f t="shared" si="145"/>
        <v>6.44</v>
      </c>
      <c r="I260" s="1636">
        <f t="shared" si="146"/>
        <v>30.37</v>
      </c>
      <c r="J260" s="1723">
        <f t="shared" si="147"/>
        <v>30.37</v>
      </c>
      <c r="K260" s="2007">
        <f t="shared" si="148"/>
        <v>23.93</v>
      </c>
      <c r="L260" s="2007">
        <f t="shared" si="149"/>
        <v>6.44</v>
      </c>
      <c r="M260" s="2016"/>
      <c r="N260" s="2016"/>
      <c r="O260" s="2016"/>
      <c r="P260" s="2016">
        <f t="shared" si="150"/>
        <v>1.5185000000000002</v>
      </c>
      <c r="Q260" s="2016"/>
      <c r="R260" s="2016"/>
      <c r="S260" s="2016">
        <f t="shared" si="151"/>
        <v>3.0370000000000004</v>
      </c>
      <c r="T260" s="2016">
        <f t="shared" si="152"/>
        <v>3.0370000000000004</v>
      </c>
      <c r="U260" s="2016">
        <f t="shared" si="153"/>
        <v>6.0740000000000007</v>
      </c>
      <c r="V260" s="2016">
        <f t="shared" si="154"/>
        <v>7.5925000000000002</v>
      </c>
      <c r="W260" s="2016">
        <f t="shared" si="155"/>
        <v>9.1110000000000007</v>
      </c>
      <c r="X260" s="2016"/>
      <c r="Y260" s="2016"/>
      <c r="Z260" s="2016"/>
    </row>
    <row r="261" spans="1:26" s="2009" customFormat="1" ht="60" x14ac:dyDescent="0.2">
      <c r="A261" s="1635" t="s">
        <v>6967</v>
      </c>
      <c r="B261" s="1984" t="s">
        <v>4448</v>
      </c>
      <c r="C261" s="1984">
        <v>94711</v>
      </c>
      <c r="D261" s="1813" t="s">
        <v>5928</v>
      </c>
      <c r="E261" s="1638">
        <f>QuantitativosÁgFria!G21</f>
        <v>4</v>
      </c>
      <c r="F261" s="1639" t="s">
        <v>5284</v>
      </c>
      <c r="G261" s="1648">
        <v>43.82</v>
      </c>
      <c r="H261" s="1636">
        <f t="shared" si="145"/>
        <v>11.8</v>
      </c>
      <c r="I261" s="1636">
        <f t="shared" si="146"/>
        <v>55.620000000000005</v>
      </c>
      <c r="J261" s="1723">
        <f t="shared" si="147"/>
        <v>222.48</v>
      </c>
      <c r="K261" s="2007">
        <f t="shared" si="148"/>
        <v>175.28</v>
      </c>
      <c r="L261" s="2007">
        <f t="shared" si="149"/>
        <v>47.2</v>
      </c>
      <c r="M261" s="2016"/>
      <c r="N261" s="2016"/>
      <c r="O261" s="2016"/>
      <c r="P261" s="2016">
        <f t="shared" si="150"/>
        <v>11.124000000000001</v>
      </c>
      <c r="Q261" s="2016"/>
      <c r="R261" s="2016"/>
      <c r="S261" s="2016">
        <f t="shared" si="151"/>
        <v>22.248000000000001</v>
      </c>
      <c r="T261" s="2016">
        <f t="shared" si="152"/>
        <v>22.248000000000001</v>
      </c>
      <c r="U261" s="2016">
        <f t="shared" si="153"/>
        <v>44.496000000000002</v>
      </c>
      <c r="V261" s="2016">
        <f t="shared" si="154"/>
        <v>55.62</v>
      </c>
      <c r="W261" s="2016">
        <f t="shared" si="155"/>
        <v>66.744</v>
      </c>
      <c r="X261" s="2016"/>
      <c r="Y261" s="2016"/>
      <c r="Z261" s="2016"/>
    </row>
    <row r="262" spans="1:26" s="2009" customFormat="1" ht="60" x14ac:dyDescent="0.2">
      <c r="A262" s="1635" t="s">
        <v>6968</v>
      </c>
      <c r="B262" s="1984" t="s">
        <v>4448</v>
      </c>
      <c r="C262" s="1984">
        <v>94789</v>
      </c>
      <c r="D262" s="1813" t="s">
        <v>5929</v>
      </c>
      <c r="E262" s="1638">
        <f>QuantitativosÁgFria!G22</f>
        <v>5</v>
      </c>
      <c r="F262" s="1639" t="s">
        <v>5284</v>
      </c>
      <c r="G262" s="1648">
        <v>182.95</v>
      </c>
      <c r="H262" s="1636">
        <f t="shared" si="145"/>
        <v>49.27</v>
      </c>
      <c r="I262" s="1636">
        <f t="shared" si="146"/>
        <v>232.22</v>
      </c>
      <c r="J262" s="1723">
        <f t="shared" si="147"/>
        <v>1161.0999999999999</v>
      </c>
      <c r="K262" s="2007">
        <f t="shared" si="148"/>
        <v>914.75</v>
      </c>
      <c r="L262" s="2007">
        <f t="shared" si="149"/>
        <v>246.35</v>
      </c>
      <c r="M262" s="2016"/>
      <c r="N262" s="2016"/>
      <c r="O262" s="2016"/>
      <c r="P262" s="2016">
        <f t="shared" si="150"/>
        <v>58.055</v>
      </c>
      <c r="Q262" s="2016"/>
      <c r="R262" s="2016"/>
      <c r="S262" s="2016">
        <f t="shared" si="151"/>
        <v>116.11</v>
      </c>
      <c r="T262" s="2016">
        <f t="shared" si="152"/>
        <v>116.11</v>
      </c>
      <c r="U262" s="2016">
        <f t="shared" si="153"/>
        <v>232.22</v>
      </c>
      <c r="V262" s="2016">
        <f t="shared" si="154"/>
        <v>290.27499999999998</v>
      </c>
      <c r="W262" s="2016">
        <f t="shared" si="155"/>
        <v>348.33</v>
      </c>
      <c r="X262" s="2016"/>
      <c r="Y262" s="2016"/>
      <c r="Z262" s="2016"/>
    </row>
    <row r="263" spans="1:26" s="2009" customFormat="1" ht="45" x14ac:dyDescent="0.2">
      <c r="A263" s="1635" t="s">
        <v>6969</v>
      </c>
      <c r="B263" s="1984" t="s">
        <v>4448</v>
      </c>
      <c r="C263" s="1984">
        <v>94656</v>
      </c>
      <c r="D263" s="1813" t="s">
        <v>5930</v>
      </c>
      <c r="E263" s="1638">
        <f>QuantitativosÁgFria!G23</f>
        <v>63</v>
      </c>
      <c r="F263" s="1639" t="s">
        <v>5284</v>
      </c>
      <c r="G263" s="1648">
        <v>4.6900000000000004</v>
      </c>
      <c r="H263" s="1636">
        <f t="shared" si="145"/>
        <v>1.26</v>
      </c>
      <c r="I263" s="1636">
        <f t="shared" si="146"/>
        <v>5.95</v>
      </c>
      <c r="J263" s="1723">
        <f t="shared" si="147"/>
        <v>374.85</v>
      </c>
      <c r="K263" s="2007">
        <f t="shared" si="148"/>
        <v>295.47000000000003</v>
      </c>
      <c r="L263" s="2007">
        <f t="shared" si="149"/>
        <v>79.38</v>
      </c>
      <c r="M263" s="2016"/>
      <c r="N263" s="2016"/>
      <c r="O263" s="2016"/>
      <c r="P263" s="2016">
        <f t="shared" si="150"/>
        <v>18.742500000000003</v>
      </c>
      <c r="Q263" s="2016"/>
      <c r="R263" s="2016"/>
      <c r="S263" s="2016">
        <f t="shared" si="151"/>
        <v>37.485000000000007</v>
      </c>
      <c r="T263" s="2016">
        <f t="shared" si="152"/>
        <v>37.485000000000007</v>
      </c>
      <c r="U263" s="2016">
        <f t="shared" si="153"/>
        <v>74.970000000000013</v>
      </c>
      <c r="V263" s="2016">
        <f t="shared" si="154"/>
        <v>93.712500000000006</v>
      </c>
      <c r="W263" s="2016">
        <f t="shared" si="155"/>
        <v>112.455</v>
      </c>
      <c r="X263" s="2016"/>
      <c r="Y263" s="2016"/>
      <c r="Z263" s="2016"/>
    </row>
    <row r="264" spans="1:26" s="2009" customFormat="1" ht="45" x14ac:dyDescent="0.2">
      <c r="A264" s="1635" t="s">
        <v>6970</v>
      </c>
      <c r="B264" s="1984" t="s">
        <v>4448</v>
      </c>
      <c r="C264" s="1984">
        <v>94658</v>
      </c>
      <c r="D264" s="1813" t="s">
        <v>5931</v>
      </c>
      <c r="E264" s="1638">
        <f>QuantitativosÁgFria!G24</f>
        <v>20</v>
      </c>
      <c r="F264" s="1639" t="s">
        <v>5284</v>
      </c>
      <c r="G264" s="1648">
        <v>5.4</v>
      </c>
      <c r="H264" s="1636">
        <f t="shared" si="145"/>
        <v>1.45</v>
      </c>
      <c r="I264" s="1636">
        <f t="shared" si="146"/>
        <v>6.8500000000000005</v>
      </c>
      <c r="J264" s="1723">
        <f t="shared" si="147"/>
        <v>137</v>
      </c>
      <c r="K264" s="2007">
        <f t="shared" si="148"/>
        <v>108</v>
      </c>
      <c r="L264" s="2007">
        <f t="shared" si="149"/>
        <v>29</v>
      </c>
      <c r="M264" s="2016"/>
      <c r="N264" s="2016"/>
      <c r="O264" s="2016"/>
      <c r="P264" s="2016">
        <f t="shared" si="150"/>
        <v>6.8500000000000005</v>
      </c>
      <c r="Q264" s="2016"/>
      <c r="R264" s="2016"/>
      <c r="S264" s="2016">
        <f t="shared" si="151"/>
        <v>13.700000000000001</v>
      </c>
      <c r="T264" s="2016">
        <f t="shared" si="152"/>
        <v>13.700000000000001</v>
      </c>
      <c r="U264" s="2016">
        <f t="shared" si="153"/>
        <v>27.400000000000002</v>
      </c>
      <c r="V264" s="2016">
        <f t="shared" si="154"/>
        <v>34.25</v>
      </c>
      <c r="W264" s="2016">
        <f t="shared" si="155"/>
        <v>41.1</v>
      </c>
      <c r="X264" s="2016"/>
      <c r="Y264" s="2016"/>
      <c r="Z264" s="2016"/>
    </row>
    <row r="265" spans="1:26" s="2009" customFormat="1" ht="45" x14ac:dyDescent="0.2">
      <c r="A265" s="1635" t="s">
        <v>6971</v>
      </c>
      <c r="B265" s="1984" t="s">
        <v>4448</v>
      </c>
      <c r="C265" s="1984">
        <v>94662</v>
      </c>
      <c r="D265" s="1813" t="s">
        <v>5932</v>
      </c>
      <c r="E265" s="1638">
        <f>QuantitativosÁgFria!G25</f>
        <v>22</v>
      </c>
      <c r="F265" s="1639" t="s">
        <v>5284</v>
      </c>
      <c r="G265" s="1648">
        <v>9.5</v>
      </c>
      <c r="H265" s="1636">
        <f t="shared" si="145"/>
        <v>2.56</v>
      </c>
      <c r="I265" s="1636">
        <f t="shared" si="146"/>
        <v>12.06</v>
      </c>
      <c r="J265" s="1723">
        <f t="shared" si="147"/>
        <v>265.32</v>
      </c>
      <c r="K265" s="2007">
        <f t="shared" si="148"/>
        <v>209</v>
      </c>
      <c r="L265" s="2007">
        <f t="shared" si="149"/>
        <v>56.32</v>
      </c>
      <c r="M265" s="2016"/>
      <c r="N265" s="2016"/>
      <c r="O265" s="2016"/>
      <c r="P265" s="2016">
        <f t="shared" si="150"/>
        <v>13.266</v>
      </c>
      <c r="Q265" s="2016"/>
      <c r="R265" s="2016"/>
      <c r="S265" s="2016">
        <f t="shared" si="151"/>
        <v>26.532</v>
      </c>
      <c r="T265" s="2016">
        <f t="shared" si="152"/>
        <v>26.532</v>
      </c>
      <c r="U265" s="2016">
        <f t="shared" si="153"/>
        <v>53.064</v>
      </c>
      <c r="V265" s="2016">
        <f t="shared" si="154"/>
        <v>66.33</v>
      </c>
      <c r="W265" s="2016">
        <f t="shared" si="155"/>
        <v>79.595999999999989</v>
      </c>
      <c r="X265" s="2016"/>
      <c r="Y265" s="2016"/>
      <c r="Z265" s="2016"/>
    </row>
    <row r="266" spans="1:26" s="2009" customFormat="1" ht="30" x14ac:dyDescent="0.2">
      <c r="A266" s="1635" t="s">
        <v>6972</v>
      </c>
      <c r="B266" s="1984" t="s">
        <v>4448</v>
      </c>
      <c r="C266" s="1984" t="s">
        <v>5941</v>
      </c>
      <c r="D266" s="1813" t="s">
        <v>5933</v>
      </c>
      <c r="E266" s="1638">
        <f>QuantitativosÁgFria!G27</f>
        <v>3</v>
      </c>
      <c r="F266" s="1639" t="s">
        <v>5284</v>
      </c>
      <c r="G266" s="1648">
        <v>6.02</v>
      </c>
      <c r="H266" s="1636">
        <f t="shared" si="145"/>
        <v>1.62</v>
      </c>
      <c r="I266" s="1636">
        <f t="shared" si="146"/>
        <v>7.64</v>
      </c>
      <c r="J266" s="1723">
        <f t="shared" si="147"/>
        <v>22.92</v>
      </c>
      <c r="K266" s="2007">
        <f t="shared" si="148"/>
        <v>18.059999999999999</v>
      </c>
      <c r="L266" s="2007">
        <f t="shared" si="149"/>
        <v>4.8600000000000003</v>
      </c>
      <c r="M266" s="2016"/>
      <c r="N266" s="2016"/>
      <c r="O266" s="2016"/>
      <c r="P266" s="2016">
        <f t="shared" si="150"/>
        <v>1.1460000000000001</v>
      </c>
      <c r="Q266" s="2016"/>
      <c r="R266" s="2016"/>
      <c r="S266" s="2016">
        <f t="shared" si="151"/>
        <v>2.2920000000000003</v>
      </c>
      <c r="T266" s="2016">
        <f t="shared" si="152"/>
        <v>2.2920000000000003</v>
      </c>
      <c r="U266" s="2016">
        <f t="shared" si="153"/>
        <v>4.5840000000000005</v>
      </c>
      <c r="V266" s="2016">
        <f t="shared" si="154"/>
        <v>5.73</v>
      </c>
      <c r="W266" s="2016">
        <f t="shared" si="155"/>
        <v>6.8760000000000003</v>
      </c>
      <c r="X266" s="2016"/>
      <c r="Y266" s="2016"/>
      <c r="Z266" s="2016"/>
    </row>
    <row r="267" spans="1:26" s="2009" customFormat="1" ht="30" x14ac:dyDescent="0.2">
      <c r="A267" s="1635" t="s">
        <v>6973</v>
      </c>
      <c r="B267" s="1984" t="s">
        <v>4448</v>
      </c>
      <c r="C267" s="1984">
        <v>90375</v>
      </c>
      <c r="D267" s="1813" t="s">
        <v>5934</v>
      </c>
      <c r="E267" s="1638">
        <f>QuantitativosÁgFria!G28+QuantitativosÁgFria!G52</f>
        <v>17</v>
      </c>
      <c r="F267" s="1639" t="s">
        <v>5284</v>
      </c>
      <c r="G267" s="1648">
        <v>6.81</v>
      </c>
      <c r="H267" s="1636">
        <f t="shared" si="145"/>
        <v>1.83</v>
      </c>
      <c r="I267" s="1636">
        <f t="shared" si="146"/>
        <v>8.64</v>
      </c>
      <c r="J267" s="1723">
        <f t="shared" si="147"/>
        <v>146.88</v>
      </c>
      <c r="K267" s="2007">
        <f t="shared" si="148"/>
        <v>115.77</v>
      </c>
      <c r="L267" s="2007">
        <f t="shared" si="149"/>
        <v>31.11</v>
      </c>
      <c r="M267" s="2016"/>
      <c r="N267" s="2016"/>
      <c r="O267" s="2016"/>
      <c r="P267" s="2016">
        <f t="shared" si="150"/>
        <v>7.3440000000000003</v>
      </c>
      <c r="Q267" s="2016"/>
      <c r="R267" s="2016"/>
      <c r="S267" s="2016">
        <f t="shared" si="151"/>
        <v>14.688000000000001</v>
      </c>
      <c r="T267" s="2016">
        <f t="shared" si="152"/>
        <v>14.688000000000001</v>
      </c>
      <c r="U267" s="2016">
        <f t="shared" si="153"/>
        <v>29.376000000000001</v>
      </c>
      <c r="V267" s="2016">
        <f t="shared" si="154"/>
        <v>36.72</v>
      </c>
      <c r="W267" s="2016">
        <f t="shared" si="155"/>
        <v>44.064</v>
      </c>
      <c r="X267" s="2016"/>
      <c r="Y267" s="2016"/>
      <c r="Z267" s="2016"/>
    </row>
    <row r="268" spans="1:26" s="2009" customFormat="1" ht="30" x14ac:dyDescent="0.2">
      <c r="A268" s="1635" t="s">
        <v>6974</v>
      </c>
      <c r="B268" s="1984" t="s">
        <v>4448</v>
      </c>
      <c r="C268" s="1984" t="s">
        <v>5942</v>
      </c>
      <c r="D268" s="1813" t="s">
        <v>5935</v>
      </c>
      <c r="E268" s="1638">
        <f>QuantitativosÁgFria!G29</f>
        <v>2</v>
      </c>
      <c r="F268" s="1639" t="s">
        <v>5284</v>
      </c>
      <c r="G268" s="1648">
        <v>7.76</v>
      </c>
      <c r="H268" s="1636">
        <f t="shared" si="145"/>
        <v>2.09</v>
      </c>
      <c r="I268" s="1636">
        <f t="shared" si="146"/>
        <v>9.85</v>
      </c>
      <c r="J268" s="1723">
        <f t="shared" si="147"/>
        <v>19.7</v>
      </c>
      <c r="K268" s="2007">
        <f t="shared" si="148"/>
        <v>15.52</v>
      </c>
      <c r="L268" s="2007">
        <f t="shared" si="149"/>
        <v>4.18</v>
      </c>
      <c r="M268" s="2016"/>
      <c r="N268" s="2016"/>
      <c r="O268" s="2016"/>
      <c r="P268" s="2016">
        <f t="shared" si="150"/>
        <v>0.98499999999999999</v>
      </c>
      <c r="Q268" s="2016"/>
      <c r="R268" s="2016"/>
      <c r="S268" s="2016">
        <f t="shared" si="151"/>
        <v>1.97</v>
      </c>
      <c r="T268" s="2016">
        <f t="shared" si="152"/>
        <v>1.97</v>
      </c>
      <c r="U268" s="2016">
        <f t="shared" si="153"/>
        <v>3.94</v>
      </c>
      <c r="V268" s="2016">
        <f t="shared" si="154"/>
        <v>4.9249999999999998</v>
      </c>
      <c r="W268" s="2016">
        <f t="shared" si="155"/>
        <v>5.9099999999999993</v>
      </c>
      <c r="X268" s="2016"/>
      <c r="Y268" s="2016"/>
      <c r="Z268" s="2016"/>
    </row>
    <row r="269" spans="1:26" s="2009" customFormat="1" ht="30" x14ac:dyDescent="0.2">
      <c r="A269" s="1635" t="s">
        <v>6975</v>
      </c>
      <c r="B269" s="1984" t="s">
        <v>4448</v>
      </c>
      <c r="C269" s="1984" t="s">
        <v>5943</v>
      </c>
      <c r="D269" s="1813" t="s">
        <v>5936</v>
      </c>
      <c r="E269" s="1638">
        <f>QuantitativosÁgFria!G30</f>
        <v>20</v>
      </c>
      <c r="F269" s="1639" t="s">
        <v>5284</v>
      </c>
      <c r="G269" s="1648">
        <v>9.41</v>
      </c>
      <c r="H269" s="1636">
        <f t="shared" si="145"/>
        <v>2.5299999999999998</v>
      </c>
      <c r="I269" s="1636">
        <f t="shared" si="146"/>
        <v>11.94</v>
      </c>
      <c r="J269" s="1723">
        <f t="shared" si="147"/>
        <v>238.8</v>
      </c>
      <c r="K269" s="2007">
        <f t="shared" si="148"/>
        <v>188.2</v>
      </c>
      <c r="L269" s="2007">
        <f t="shared" si="149"/>
        <v>50.6</v>
      </c>
      <c r="M269" s="2016"/>
      <c r="N269" s="2016"/>
      <c r="O269" s="2016"/>
      <c r="P269" s="2016">
        <f t="shared" si="150"/>
        <v>11.940000000000001</v>
      </c>
      <c r="Q269" s="2016"/>
      <c r="R269" s="2016"/>
      <c r="S269" s="2016">
        <f t="shared" si="151"/>
        <v>23.880000000000003</v>
      </c>
      <c r="T269" s="2016">
        <f t="shared" si="152"/>
        <v>23.880000000000003</v>
      </c>
      <c r="U269" s="2016">
        <f t="shared" si="153"/>
        <v>47.760000000000005</v>
      </c>
      <c r="V269" s="2016">
        <f t="shared" si="154"/>
        <v>59.7</v>
      </c>
      <c r="W269" s="2016">
        <f t="shared" si="155"/>
        <v>71.64</v>
      </c>
      <c r="X269" s="2016"/>
      <c r="Y269" s="2016"/>
      <c r="Z269" s="2016"/>
    </row>
    <row r="270" spans="1:26" s="2009" customFormat="1" ht="30" x14ac:dyDescent="0.2">
      <c r="A270" s="1635" t="s">
        <v>6976</v>
      </c>
      <c r="B270" s="1984" t="s">
        <v>4448</v>
      </c>
      <c r="C270" s="1984" t="s">
        <v>5944</v>
      </c>
      <c r="D270" s="1813" t="s">
        <v>5937</v>
      </c>
      <c r="E270" s="1638">
        <f>QuantitativosÁgFria!G31</f>
        <v>2</v>
      </c>
      <c r="F270" s="1639" t="s">
        <v>5284</v>
      </c>
      <c r="G270" s="1648">
        <v>17.599999999999998</v>
      </c>
      <c r="H270" s="1636">
        <f t="shared" si="145"/>
        <v>4.74</v>
      </c>
      <c r="I270" s="1636">
        <f t="shared" si="146"/>
        <v>22.339999999999996</v>
      </c>
      <c r="J270" s="1723">
        <f t="shared" si="147"/>
        <v>44.68</v>
      </c>
      <c r="K270" s="2007">
        <f t="shared" si="148"/>
        <v>35.200000000000003</v>
      </c>
      <c r="L270" s="2007">
        <f t="shared" si="149"/>
        <v>9.48</v>
      </c>
      <c r="M270" s="2016"/>
      <c r="N270" s="2016"/>
      <c r="O270" s="2016"/>
      <c r="P270" s="2016">
        <f t="shared" si="150"/>
        <v>2.234</v>
      </c>
      <c r="Q270" s="2016"/>
      <c r="R270" s="2016"/>
      <c r="S270" s="2016">
        <f t="shared" si="151"/>
        <v>4.468</v>
      </c>
      <c r="T270" s="2016">
        <f t="shared" si="152"/>
        <v>4.468</v>
      </c>
      <c r="U270" s="2016">
        <f t="shared" si="153"/>
        <v>8.9359999999999999</v>
      </c>
      <c r="V270" s="2016">
        <f t="shared" si="154"/>
        <v>11.17</v>
      </c>
      <c r="W270" s="2016">
        <f t="shared" si="155"/>
        <v>13.404</v>
      </c>
      <c r="X270" s="2016"/>
      <c r="Y270" s="2016"/>
      <c r="Z270" s="2016"/>
    </row>
    <row r="271" spans="1:26" s="2009" customFormat="1" ht="30" x14ac:dyDescent="0.2">
      <c r="A271" s="1635" t="s">
        <v>6977</v>
      </c>
      <c r="B271" s="1984" t="s">
        <v>4448</v>
      </c>
      <c r="C271" s="1984" t="s">
        <v>5945</v>
      </c>
      <c r="D271" s="1813" t="s">
        <v>5938</v>
      </c>
      <c r="E271" s="1638">
        <f>QuantitativosÁgFria!G32</f>
        <v>2</v>
      </c>
      <c r="F271" s="1639" t="s">
        <v>5284</v>
      </c>
      <c r="G271" s="1648">
        <v>8.1999999999999993</v>
      </c>
      <c r="H271" s="1636">
        <f t="shared" si="145"/>
        <v>2.21</v>
      </c>
      <c r="I271" s="1636">
        <f t="shared" si="146"/>
        <v>10.41</v>
      </c>
      <c r="J271" s="1723">
        <f t="shared" si="147"/>
        <v>20.82</v>
      </c>
      <c r="K271" s="2007">
        <f t="shared" si="148"/>
        <v>16.399999999999999</v>
      </c>
      <c r="L271" s="2007">
        <f t="shared" si="149"/>
        <v>4.42</v>
      </c>
      <c r="M271" s="2016"/>
      <c r="N271" s="2016"/>
      <c r="O271" s="2016"/>
      <c r="P271" s="2016">
        <f t="shared" si="150"/>
        <v>1.0410000000000001</v>
      </c>
      <c r="Q271" s="2016"/>
      <c r="R271" s="2016"/>
      <c r="S271" s="2016">
        <f t="shared" si="151"/>
        <v>2.0820000000000003</v>
      </c>
      <c r="T271" s="2016">
        <f t="shared" si="152"/>
        <v>2.0820000000000003</v>
      </c>
      <c r="U271" s="2016">
        <f t="shared" si="153"/>
        <v>4.1640000000000006</v>
      </c>
      <c r="V271" s="2016">
        <f t="shared" si="154"/>
        <v>5.2050000000000001</v>
      </c>
      <c r="W271" s="2016">
        <f t="shared" si="155"/>
        <v>6.2459999999999996</v>
      </c>
      <c r="X271" s="2016"/>
      <c r="Y271" s="2016"/>
      <c r="Z271" s="2016"/>
    </row>
    <row r="272" spans="1:26" s="2009" customFormat="1" ht="30" x14ac:dyDescent="0.2">
      <c r="A272" s="1635" t="s">
        <v>6978</v>
      </c>
      <c r="B272" s="1984" t="s">
        <v>4448</v>
      </c>
      <c r="C272" s="1984" t="s">
        <v>5946</v>
      </c>
      <c r="D272" s="1813" t="s">
        <v>5939</v>
      </c>
      <c r="E272" s="1638">
        <f>QuantitativosÁgFria!G33</f>
        <v>1</v>
      </c>
      <c r="F272" s="1639" t="s">
        <v>5284</v>
      </c>
      <c r="G272" s="1648">
        <v>8.4699999999999989</v>
      </c>
      <c r="H272" s="1636">
        <f t="shared" si="145"/>
        <v>2.2799999999999998</v>
      </c>
      <c r="I272" s="1636">
        <f t="shared" si="146"/>
        <v>10.749999999999998</v>
      </c>
      <c r="J272" s="1723">
        <f t="shared" si="147"/>
        <v>10.75</v>
      </c>
      <c r="K272" s="2007">
        <f t="shared" si="148"/>
        <v>8.4700000000000006</v>
      </c>
      <c r="L272" s="2007">
        <f t="shared" si="149"/>
        <v>2.2799999999999998</v>
      </c>
      <c r="M272" s="2016"/>
      <c r="N272" s="2016"/>
      <c r="O272" s="2016"/>
      <c r="P272" s="2016">
        <f t="shared" si="150"/>
        <v>0.53749999999999998</v>
      </c>
      <c r="Q272" s="2016"/>
      <c r="R272" s="2016"/>
      <c r="S272" s="2016">
        <f t="shared" si="151"/>
        <v>1.075</v>
      </c>
      <c r="T272" s="2016">
        <f t="shared" si="152"/>
        <v>1.075</v>
      </c>
      <c r="U272" s="2016">
        <f t="shared" si="153"/>
        <v>2.15</v>
      </c>
      <c r="V272" s="2016">
        <f t="shared" si="154"/>
        <v>2.6875</v>
      </c>
      <c r="W272" s="2016">
        <f t="shared" si="155"/>
        <v>3.2250000000000001</v>
      </c>
      <c r="X272" s="2016"/>
      <c r="Y272" s="2016"/>
      <c r="Z272" s="2016"/>
    </row>
    <row r="273" spans="1:26" s="2009" customFormat="1" ht="30" x14ac:dyDescent="0.2">
      <c r="A273" s="1635" t="s">
        <v>6979</v>
      </c>
      <c r="B273" s="1984" t="s">
        <v>4448</v>
      </c>
      <c r="C273" s="1984" t="s">
        <v>5947</v>
      </c>
      <c r="D273" s="1813" t="s">
        <v>5940</v>
      </c>
      <c r="E273" s="1638">
        <f>QuantitativosÁgFria!G34</f>
        <v>3</v>
      </c>
      <c r="F273" s="1639" t="s">
        <v>5284</v>
      </c>
      <c r="G273" s="1648">
        <v>9.3099999999999987</v>
      </c>
      <c r="H273" s="1636">
        <f t="shared" si="145"/>
        <v>2.5099999999999998</v>
      </c>
      <c r="I273" s="1636">
        <f t="shared" si="146"/>
        <v>11.819999999999999</v>
      </c>
      <c r="J273" s="1723">
        <f t="shared" si="147"/>
        <v>35.46</v>
      </c>
      <c r="K273" s="2007">
        <f t="shared" si="148"/>
        <v>27.93</v>
      </c>
      <c r="L273" s="2007">
        <f t="shared" si="149"/>
        <v>7.53</v>
      </c>
      <c r="M273" s="2016"/>
      <c r="N273" s="2016"/>
      <c r="O273" s="2016"/>
      <c r="P273" s="2016">
        <f t="shared" si="150"/>
        <v>1.7730000000000001</v>
      </c>
      <c r="Q273" s="2016"/>
      <c r="R273" s="2016"/>
      <c r="S273" s="2016">
        <f t="shared" si="151"/>
        <v>3.5460000000000003</v>
      </c>
      <c r="T273" s="2016">
        <f t="shared" si="152"/>
        <v>3.5460000000000003</v>
      </c>
      <c r="U273" s="2016">
        <f t="shared" si="153"/>
        <v>7.0920000000000005</v>
      </c>
      <c r="V273" s="2016">
        <f t="shared" si="154"/>
        <v>8.8650000000000002</v>
      </c>
      <c r="W273" s="2016">
        <f t="shared" si="155"/>
        <v>10.638</v>
      </c>
      <c r="X273" s="2016"/>
      <c r="Y273" s="2016"/>
      <c r="Z273" s="2016"/>
    </row>
    <row r="274" spans="1:26" s="2009" customFormat="1" ht="30" x14ac:dyDescent="0.2">
      <c r="A274" s="1635" t="s">
        <v>5949</v>
      </c>
      <c r="B274" s="1984" t="s">
        <v>4448</v>
      </c>
      <c r="C274" s="1984" t="s">
        <v>9563</v>
      </c>
      <c r="D274" s="1813" t="s">
        <v>5948</v>
      </c>
      <c r="E274" s="1638">
        <f>QuantitativosÁgFria!G35</f>
        <v>44</v>
      </c>
      <c r="F274" s="1639" t="s">
        <v>5284</v>
      </c>
      <c r="G274" s="1648">
        <v>3.82</v>
      </c>
      <c r="H274" s="1636">
        <f t="shared" si="145"/>
        <v>1.03</v>
      </c>
      <c r="I274" s="1636">
        <f t="shared" si="146"/>
        <v>4.8499999999999996</v>
      </c>
      <c r="J274" s="1723">
        <f t="shared" si="147"/>
        <v>213.4</v>
      </c>
      <c r="K274" s="2007">
        <f t="shared" si="148"/>
        <v>168.08</v>
      </c>
      <c r="L274" s="2007">
        <f t="shared" si="149"/>
        <v>45.32</v>
      </c>
      <c r="M274" s="2016"/>
      <c r="N274" s="2016"/>
      <c r="O274" s="2016"/>
      <c r="P274" s="2016">
        <f t="shared" si="150"/>
        <v>10.670000000000002</v>
      </c>
      <c r="Q274" s="2016"/>
      <c r="R274" s="2016"/>
      <c r="S274" s="2016">
        <f t="shared" si="151"/>
        <v>21.340000000000003</v>
      </c>
      <c r="T274" s="2016">
        <f t="shared" si="152"/>
        <v>21.340000000000003</v>
      </c>
      <c r="U274" s="2016">
        <f t="shared" si="153"/>
        <v>42.680000000000007</v>
      </c>
      <c r="V274" s="2016">
        <f t="shared" si="154"/>
        <v>53.35</v>
      </c>
      <c r="W274" s="2016">
        <f t="shared" si="155"/>
        <v>64.02</v>
      </c>
      <c r="X274" s="2016"/>
      <c r="Y274" s="2016"/>
      <c r="Z274" s="2016"/>
    </row>
    <row r="275" spans="1:26" s="2009" customFormat="1" ht="30" x14ac:dyDescent="0.2">
      <c r="A275" s="1635" t="s">
        <v>6980</v>
      </c>
      <c r="B275" s="1984" t="s">
        <v>4448</v>
      </c>
      <c r="C275" s="1984">
        <v>89490</v>
      </c>
      <c r="D275" s="1813" t="s">
        <v>5950</v>
      </c>
      <c r="E275" s="1638">
        <f>QuantitativosÁgFria!G36</f>
        <v>1</v>
      </c>
      <c r="F275" s="1639" t="s">
        <v>5284</v>
      </c>
      <c r="G275" s="1648">
        <v>4.6900000000000004</v>
      </c>
      <c r="H275" s="1636">
        <f t="shared" si="145"/>
        <v>1.26</v>
      </c>
      <c r="I275" s="1636">
        <f t="shared" si="146"/>
        <v>5.95</v>
      </c>
      <c r="J275" s="1723">
        <f t="shared" si="147"/>
        <v>5.95</v>
      </c>
      <c r="K275" s="2007">
        <f t="shared" si="148"/>
        <v>4.6900000000000004</v>
      </c>
      <c r="L275" s="2007">
        <f t="shared" si="149"/>
        <v>1.26</v>
      </c>
      <c r="M275" s="2016"/>
      <c r="N275" s="2016"/>
      <c r="O275" s="2016"/>
      <c r="P275" s="2016">
        <f t="shared" si="150"/>
        <v>0.29750000000000004</v>
      </c>
      <c r="Q275" s="2016"/>
      <c r="R275" s="2016"/>
      <c r="S275" s="2016">
        <f t="shared" si="151"/>
        <v>0.59500000000000008</v>
      </c>
      <c r="T275" s="2016">
        <f t="shared" si="152"/>
        <v>0.59500000000000008</v>
      </c>
      <c r="U275" s="2016">
        <f t="shared" si="153"/>
        <v>1.1900000000000002</v>
      </c>
      <c r="V275" s="2016">
        <f t="shared" si="154"/>
        <v>1.4875</v>
      </c>
      <c r="W275" s="2016">
        <f t="shared" si="155"/>
        <v>1.7849999999999999</v>
      </c>
      <c r="X275" s="2016"/>
      <c r="Y275" s="2016"/>
      <c r="Z275" s="2016"/>
    </row>
    <row r="276" spans="1:26" s="2009" customFormat="1" ht="30" x14ac:dyDescent="0.2">
      <c r="A276" s="1635" t="s">
        <v>6981</v>
      </c>
      <c r="B276" s="1984" t="s">
        <v>4448</v>
      </c>
      <c r="C276" s="1984">
        <v>89519</v>
      </c>
      <c r="D276" s="1813" t="s">
        <v>5951</v>
      </c>
      <c r="E276" s="1638">
        <f>QuantitativosÁgFria!G37</f>
        <v>2</v>
      </c>
      <c r="F276" s="1639" t="s">
        <v>5284</v>
      </c>
      <c r="G276" s="1648">
        <v>34.1</v>
      </c>
      <c r="H276" s="1636">
        <f t="shared" si="145"/>
        <v>9.18</v>
      </c>
      <c r="I276" s="1636">
        <f t="shared" si="146"/>
        <v>43.28</v>
      </c>
      <c r="J276" s="1723">
        <f t="shared" si="147"/>
        <v>86.56</v>
      </c>
      <c r="K276" s="2007">
        <f t="shared" si="148"/>
        <v>68.2</v>
      </c>
      <c r="L276" s="2007">
        <f t="shared" si="149"/>
        <v>18.36</v>
      </c>
      <c r="M276" s="2016"/>
      <c r="N276" s="2016"/>
      <c r="O276" s="2016"/>
      <c r="P276" s="2016">
        <f t="shared" si="150"/>
        <v>4.3280000000000003</v>
      </c>
      <c r="Q276" s="2016"/>
      <c r="R276" s="2016"/>
      <c r="S276" s="2016">
        <f t="shared" si="151"/>
        <v>8.6560000000000006</v>
      </c>
      <c r="T276" s="2016">
        <f t="shared" si="152"/>
        <v>8.6560000000000006</v>
      </c>
      <c r="U276" s="2016">
        <f t="shared" si="153"/>
        <v>17.312000000000001</v>
      </c>
      <c r="V276" s="2016">
        <f t="shared" si="154"/>
        <v>21.64</v>
      </c>
      <c r="W276" s="2016">
        <f t="shared" si="155"/>
        <v>25.968</v>
      </c>
      <c r="X276" s="2016"/>
      <c r="Y276" s="2016"/>
      <c r="Z276" s="2016"/>
    </row>
    <row r="277" spans="1:26" s="2009" customFormat="1" ht="30" x14ac:dyDescent="0.2">
      <c r="A277" s="1635" t="s">
        <v>6982</v>
      </c>
      <c r="B277" s="1984" t="s">
        <v>4448</v>
      </c>
      <c r="C277" s="1984">
        <v>89489</v>
      </c>
      <c r="D277" s="1813" t="s">
        <v>5952</v>
      </c>
      <c r="E277" s="1638">
        <f>QuantitativosÁgFria!G39</f>
        <v>165</v>
      </c>
      <c r="F277" s="1639" t="s">
        <v>5284</v>
      </c>
      <c r="G277" s="1648">
        <v>5.22</v>
      </c>
      <c r="H277" s="1636">
        <f t="shared" si="145"/>
        <v>1.41</v>
      </c>
      <c r="I277" s="1636">
        <f t="shared" si="146"/>
        <v>6.63</v>
      </c>
      <c r="J277" s="1723">
        <f t="shared" si="147"/>
        <v>1093.95</v>
      </c>
      <c r="K277" s="2007">
        <f t="shared" si="148"/>
        <v>861.3</v>
      </c>
      <c r="L277" s="2007">
        <f t="shared" si="149"/>
        <v>232.65</v>
      </c>
      <c r="M277" s="2016"/>
      <c r="N277" s="2016"/>
      <c r="O277" s="2016"/>
      <c r="P277" s="2016">
        <f t="shared" si="150"/>
        <v>54.697500000000005</v>
      </c>
      <c r="Q277" s="2016"/>
      <c r="R277" s="2016"/>
      <c r="S277" s="2016">
        <f t="shared" si="151"/>
        <v>109.39500000000001</v>
      </c>
      <c r="T277" s="2016">
        <f t="shared" si="152"/>
        <v>109.39500000000001</v>
      </c>
      <c r="U277" s="2016">
        <f t="shared" si="153"/>
        <v>218.79000000000002</v>
      </c>
      <c r="V277" s="2016">
        <f t="shared" si="154"/>
        <v>273.48750000000001</v>
      </c>
      <c r="W277" s="2016">
        <f t="shared" si="155"/>
        <v>328.185</v>
      </c>
      <c r="X277" s="2016"/>
      <c r="Y277" s="2016"/>
      <c r="Z277" s="2016"/>
    </row>
    <row r="278" spans="1:26" s="2009" customFormat="1" ht="30" x14ac:dyDescent="0.2">
      <c r="A278" s="1635" t="s">
        <v>6983</v>
      </c>
      <c r="B278" s="1984" t="s">
        <v>4448</v>
      </c>
      <c r="C278" s="1984">
        <v>89494</v>
      </c>
      <c r="D278" s="1813" t="s">
        <v>5953</v>
      </c>
      <c r="E278" s="1638">
        <f>QuantitativosÁgFria!G40</f>
        <v>28</v>
      </c>
      <c r="F278" s="1639" t="s">
        <v>5284</v>
      </c>
      <c r="G278" s="1648">
        <v>8.89</v>
      </c>
      <c r="H278" s="1636">
        <f t="shared" si="145"/>
        <v>2.39</v>
      </c>
      <c r="I278" s="1636">
        <f t="shared" si="146"/>
        <v>11.280000000000001</v>
      </c>
      <c r="J278" s="1723">
        <f t="shared" si="147"/>
        <v>315.83999999999997</v>
      </c>
      <c r="K278" s="2007">
        <f t="shared" si="148"/>
        <v>248.92</v>
      </c>
      <c r="L278" s="2007">
        <f t="shared" si="149"/>
        <v>66.92</v>
      </c>
      <c r="M278" s="2016"/>
      <c r="N278" s="2016"/>
      <c r="O278" s="2016"/>
      <c r="P278" s="2016">
        <f t="shared" si="150"/>
        <v>15.792</v>
      </c>
      <c r="Q278" s="2016"/>
      <c r="R278" s="2016"/>
      <c r="S278" s="2016">
        <f t="shared" si="151"/>
        <v>31.584</v>
      </c>
      <c r="T278" s="2016">
        <f t="shared" si="152"/>
        <v>31.584</v>
      </c>
      <c r="U278" s="2016">
        <f t="shared" si="153"/>
        <v>63.167999999999999</v>
      </c>
      <c r="V278" s="2016">
        <f t="shared" si="154"/>
        <v>78.959999999999994</v>
      </c>
      <c r="W278" s="2016">
        <f t="shared" si="155"/>
        <v>94.751999999999995</v>
      </c>
      <c r="X278" s="2016"/>
      <c r="Y278" s="2016"/>
      <c r="Z278" s="2016"/>
    </row>
    <row r="279" spans="1:26" s="2009" customFormat="1" ht="30" x14ac:dyDescent="0.2">
      <c r="A279" s="1635" t="s">
        <v>6984</v>
      </c>
      <c r="B279" s="1984" t="s">
        <v>4448</v>
      </c>
      <c r="C279" s="1984">
        <v>89499</v>
      </c>
      <c r="D279" s="1813" t="s">
        <v>5954</v>
      </c>
      <c r="E279" s="1638">
        <f>QuantitativosÁgFria!G41</f>
        <v>6</v>
      </c>
      <c r="F279" s="1639" t="s">
        <v>5284</v>
      </c>
      <c r="G279" s="1648">
        <v>13.85</v>
      </c>
      <c r="H279" s="1636">
        <f t="shared" si="145"/>
        <v>3.73</v>
      </c>
      <c r="I279" s="1636">
        <f t="shared" si="146"/>
        <v>17.579999999999998</v>
      </c>
      <c r="J279" s="1723">
        <f t="shared" si="147"/>
        <v>105.48</v>
      </c>
      <c r="K279" s="2007">
        <f t="shared" si="148"/>
        <v>83.1</v>
      </c>
      <c r="L279" s="2007">
        <f t="shared" si="149"/>
        <v>22.38</v>
      </c>
      <c r="M279" s="2016"/>
      <c r="N279" s="2016"/>
      <c r="O279" s="2016"/>
      <c r="P279" s="2016">
        <f t="shared" si="150"/>
        <v>5.2740000000000009</v>
      </c>
      <c r="Q279" s="2016"/>
      <c r="R279" s="2016"/>
      <c r="S279" s="2016">
        <f t="shared" si="151"/>
        <v>10.548000000000002</v>
      </c>
      <c r="T279" s="2016">
        <f t="shared" si="152"/>
        <v>10.548000000000002</v>
      </c>
      <c r="U279" s="2016">
        <f t="shared" si="153"/>
        <v>21.096000000000004</v>
      </c>
      <c r="V279" s="2016">
        <f t="shared" si="154"/>
        <v>26.37</v>
      </c>
      <c r="W279" s="2016">
        <f t="shared" si="155"/>
        <v>31.643999999999998</v>
      </c>
      <c r="X279" s="2016"/>
      <c r="Y279" s="2016"/>
      <c r="Z279" s="2016"/>
    </row>
    <row r="280" spans="1:26" s="2009" customFormat="1" ht="30" x14ac:dyDescent="0.2">
      <c r="A280" s="1635" t="s">
        <v>6985</v>
      </c>
      <c r="B280" s="1984" t="s">
        <v>4448</v>
      </c>
      <c r="C280" s="1984">
        <v>89503</v>
      </c>
      <c r="D280" s="1813" t="s">
        <v>5955</v>
      </c>
      <c r="E280" s="1638">
        <f>QuantitativosÁgFria!G42</f>
        <v>49</v>
      </c>
      <c r="F280" s="1639" t="s">
        <v>5284</v>
      </c>
      <c r="G280" s="1648">
        <v>17.3</v>
      </c>
      <c r="H280" s="1636">
        <f t="shared" si="145"/>
        <v>4.66</v>
      </c>
      <c r="I280" s="1636">
        <f t="shared" si="146"/>
        <v>21.96</v>
      </c>
      <c r="J280" s="1723">
        <f t="shared" si="147"/>
        <v>1076.04</v>
      </c>
      <c r="K280" s="2007">
        <f t="shared" si="148"/>
        <v>847.7</v>
      </c>
      <c r="L280" s="2007">
        <f t="shared" si="149"/>
        <v>228.34</v>
      </c>
      <c r="M280" s="2016"/>
      <c r="N280" s="2016"/>
      <c r="O280" s="2016"/>
      <c r="P280" s="2016">
        <f t="shared" si="150"/>
        <v>53.802</v>
      </c>
      <c r="Q280" s="2016"/>
      <c r="R280" s="2016"/>
      <c r="S280" s="2016">
        <f t="shared" si="151"/>
        <v>107.604</v>
      </c>
      <c r="T280" s="2016">
        <f t="shared" si="152"/>
        <v>107.604</v>
      </c>
      <c r="U280" s="2016">
        <f t="shared" si="153"/>
        <v>215.208</v>
      </c>
      <c r="V280" s="2016">
        <f t="shared" si="154"/>
        <v>269.01</v>
      </c>
      <c r="W280" s="2016">
        <f t="shared" si="155"/>
        <v>322.81199999999995</v>
      </c>
      <c r="X280" s="2016"/>
      <c r="Y280" s="2016"/>
      <c r="Z280" s="2016"/>
    </row>
    <row r="281" spans="1:26" s="2009" customFormat="1" ht="30" x14ac:dyDescent="0.2">
      <c r="A281" s="1635" t="s">
        <v>6986</v>
      </c>
      <c r="B281" s="1984" t="s">
        <v>4448</v>
      </c>
      <c r="C281" s="1984">
        <v>89507</v>
      </c>
      <c r="D281" s="1813" t="s">
        <v>5956</v>
      </c>
      <c r="E281" s="1638">
        <f>QuantitativosÁgFria!G43</f>
        <v>3</v>
      </c>
      <c r="F281" s="1639" t="s">
        <v>5284</v>
      </c>
      <c r="G281" s="1648">
        <v>35.479999999999997</v>
      </c>
      <c r="H281" s="1636">
        <f t="shared" si="145"/>
        <v>9.5500000000000007</v>
      </c>
      <c r="I281" s="1636">
        <f t="shared" si="146"/>
        <v>45.03</v>
      </c>
      <c r="J281" s="1723">
        <f t="shared" si="147"/>
        <v>135.09</v>
      </c>
      <c r="K281" s="2007">
        <f t="shared" si="148"/>
        <v>106.44</v>
      </c>
      <c r="L281" s="2007">
        <f t="shared" si="149"/>
        <v>28.65</v>
      </c>
      <c r="M281" s="2016"/>
      <c r="N281" s="2016"/>
      <c r="O281" s="2016"/>
      <c r="P281" s="2016">
        <f t="shared" si="150"/>
        <v>6.7545000000000002</v>
      </c>
      <c r="Q281" s="2016"/>
      <c r="R281" s="2016"/>
      <c r="S281" s="2016">
        <f t="shared" si="151"/>
        <v>13.509</v>
      </c>
      <c r="T281" s="2016">
        <f t="shared" si="152"/>
        <v>13.509</v>
      </c>
      <c r="U281" s="2016">
        <f t="shared" si="153"/>
        <v>27.018000000000001</v>
      </c>
      <c r="V281" s="2016">
        <f t="shared" si="154"/>
        <v>33.772500000000001</v>
      </c>
      <c r="W281" s="2016">
        <f t="shared" si="155"/>
        <v>40.527000000000001</v>
      </c>
      <c r="X281" s="2016"/>
      <c r="Y281" s="2016"/>
      <c r="Z281" s="2016"/>
    </row>
    <row r="282" spans="1:26" s="2009" customFormat="1" ht="30" x14ac:dyDescent="0.2">
      <c r="A282" s="1635" t="s">
        <v>6987</v>
      </c>
      <c r="B282" s="1984" t="s">
        <v>4448</v>
      </c>
      <c r="C282" s="1984">
        <v>89517</v>
      </c>
      <c r="D282" s="1813" t="s">
        <v>5957</v>
      </c>
      <c r="E282" s="1638">
        <f>QuantitativosÁgFria!G44</f>
        <v>15</v>
      </c>
      <c r="F282" s="1639" t="s">
        <v>5284</v>
      </c>
      <c r="G282" s="1648">
        <v>50.34</v>
      </c>
      <c r="H282" s="1636">
        <f t="shared" si="145"/>
        <v>13.56</v>
      </c>
      <c r="I282" s="1636">
        <f t="shared" si="146"/>
        <v>63.900000000000006</v>
      </c>
      <c r="J282" s="1723">
        <f t="shared" si="147"/>
        <v>958.5</v>
      </c>
      <c r="K282" s="2007">
        <f t="shared" si="148"/>
        <v>755.1</v>
      </c>
      <c r="L282" s="2007">
        <f t="shared" si="149"/>
        <v>203.4</v>
      </c>
      <c r="M282" s="2016"/>
      <c r="N282" s="2016"/>
      <c r="O282" s="2016"/>
      <c r="P282" s="2016">
        <f t="shared" si="150"/>
        <v>47.925000000000004</v>
      </c>
      <c r="Q282" s="2016"/>
      <c r="R282" s="2016"/>
      <c r="S282" s="2016">
        <f t="shared" si="151"/>
        <v>95.850000000000009</v>
      </c>
      <c r="T282" s="2016">
        <f t="shared" si="152"/>
        <v>95.850000000000009</v>
      </c>
      <c r="U282" s="2016">
        <f t="shared" si="153"/>
        <v>191.70000000000002</v>
      </c>
      <c r="V282" s="2016">
        <f t="shared" si="154"/>
        <v>239.625</v>
      </c>
      <c r="W282" s="2016">
        <f t="shared" si="155"/>
        <v>287.55</v>
      </c>
      <c r="X282" s="2016"/>
      <c r="Y282" s="2016"/>
      <c r="Z282" s="2016"/>
    </row>
    <row r="283" spans="1:26" s="2009" customFormat="1" ht="30" x14ac:dyDescent="0.2">
      <c r="A283" s="1635" t="s">
        <v>6988</v>
      </c>
      <c r="B283" s="1984" t="s">
        <v>4448</v>
      </c>
      <c r="C283" s="1984">
        <v>89497</v>
      </c>
      <c r="D283" s="1813" t="s">
        <v>9560</v>
      </c>
      <c r="E283" s="1638">
        <f>QuantitativosÁgFria!G52</f>
        <v>11</v>
      </c>
      <c r="F283" s="1639" t="s">
        <v>5284</v>
      </c>
      <c r="G283" s="1648">
        <v>8.42</v>
      </c>
      <c r="H283" s="1636">
        <f t="shared" ref="H283" si="156">ROUND(G283*$B$13,2)</f>
        <v>2.27</v>
      </c>
      <c r="I283" s="1636">
        <f t="shared" ref="I283" si="157">H283+G283</f>
        <v>10.69</v>
      </c>
      <c r="J283" s="1723">
        <f t="shared" ref="J283" si="158">ROUND(I283*E283,2)</f>
        <v>117.59</v>
      </c>
      <c r="K283" s="2007">
        <f t="shared" ref="K283" si="159">ROUND(G283*E283,2)</f>
        <v>92.62</v>
      </c>
      <c r="L283" s="2007">
        <f t="shared" ref="L283" si="160">ROUND(H283*E283,2)</f>
        <v>24.97</v>
      </c>
      <c r="M283" s="2016"/>
      <c r="N283" s="2016"/>
      <c r="O283" s="2016"/>
      <c r="P283" s="2016">
        <f t="shared" ref="P283" si="161">0.05*J283</f>
        <v>5.8795000000000002</v>
      </c>
      <c r="Q283" s="2016"/>
      <c r="R283" s="2016"/>
      <c r="S283" s="2016">
        <f t="shared" ref="S283" si="162">0.1*J283</f>
        <v>11.759</v>
      </c>
      <c r="T283" s="2016">
        <f t="shared" ref="T283" si="163">0.1*J283</f>
        <v>11.759</v>
      </c>
      <c r="U283" s="2016">
        <f t="shared" ref="U283" si="164">0.2*J283</f>
        <v>23.518000000000001</v>
      </c>
      <c r="V283" s="2016">
        <f t="shared" ref="V283" si="165">0.25*J283</f>
        <v>29.397500000000001</v>
      </c>
      <c r="W283" s="2016">
        <f t="shared" ref="W283" si="166">0.3*J283</f>
        <v>35.277000000000001</v>
      </c>
      <c r="X283" s="2016"/>
      <c r="Y283" s="2016"/>
      <c r="Z283" s="2016"/>
    </row>
    <row r="284" spans="1:26" s="2009" customFormat="1" ht="30" x14ac:dyDescent="0.2">
      <c r="A284" s="1635" t="s">
        <v>6989</v>
      </c>
      <c r="B284" s="1984" t="s">
        <v>4448</v>
      </c>
      <c r="C284" s="1984">
        <v>89502</v>
      </c>
      <c r="D284" s="1813" t="s">
        <v>5958</v>
      </c>
      <c r="E284" s="1638">
        <f>QuantitativosÁgFria!G45</f>
        <v>2</v>
      </c>
      <c r="F284" s="1639" t="s">
        <v>5284</v>
      </c>
      <c r="G284" s="1648">
        <v>11.48</v>
      </c>
      <c r="H284" s="1636">
        <f t="shared" si="145"/>
        <v>3.09</v>
      </c>
      <c r="I284" s="1636">
        <f t="shared" si="146"/>
        <v>14.57</v>
      </c>
      <c r="J284" s="1723">
        <f t="shared" si="147"/>
        <v>29.14</v>
      </c>
      <c r="K284" s="2007">
        <f t="shared" si="148"/>
        <v>22.96</v>
      </c>
      <c r="L284" s="2007">
        <f t="shared" si="149"/>
        <v>6.18</v>
      </c>
      <c r="M284" s="2016"/>
      <c r="N284" s="2016"/>
      <c r="O284" s="2016"/>
      <c r="P284" s="2016">
        <f t="shared" si="150"/>
        <v>1.4570000000000001</v>
      </c>
      <c r="Q284" s="2016"/>
      <c r="R284" s="2016"/>
      <c r="S284" s="2016">
        <f t="shared" si="151"/>
        <v>2.9140000000000001</v>
      </c>
      <c r="T284" s="2016">
        <f t="shared" si="152"/>
        <v>2.9140000000000001</v>
      </c>
      <c r="U284" s="2016">
        <f t="shared" si="153"/>
        <v>5.8280000000000003</v>
      </c>
      <c r="V284" s="2016">
        <f t="shared" si="154"/>
        <v>7.2850000000000001</v>
      </c>
      <c r="W284" s="2016">
        <f t="shared" si="155"/>
        <v>8.7419999999999991</v>
      </c>
      <c r="X284" s="2016"/>
      <c r="Y284" s="2016"/>
      <c r="Z284" s="2016"/>
    </row>
    <row r="285" spans="1:26" s="2009" customFormat="1" ht="45" x14ac:dyDescent="0.2">
      <c r="A285" s="1635" t="s">
        <v>6990</v>
      </c>
      <c r="B285" s="1984" t="s">
        <v>4448</v>
      </c>
      <c r="C285" s="1984">
        <v>89366</v>
      </c>
      <c r="D285" s="1813" t="s">
        <v>5959</v>
      </c>
      <c r="E285" s="1638">
        <f>QuantitativosÁgFria!G46</f>
        <v>2</v>
      </c>
      <c r="F285" s="1639" t="s">
        <v>5284</v>
      </c>
      <c r="G285" s="1648">
        <v>11.58</v>
      </c>
      <c r="H285" s="1636">
        <f t="shared" si="145"/>
        <v>3.12</v>
      </c>
      <c r="I285" s="1636">
        <f t="shared" si="146"/>
        <v>14.7</v>
      </c>
      <c r="J285" s="1723">
        <f t="shared" si="147"/>
        <v>29.4</v>
      </c>
      <c r="K285" s="2007">
        <f t="shared" si="148"/>
        <v>23.16</v>
      </c>
      <c r="L285" s="2007">
        <f t="shared" si="149"/>
        <v>6.24</v>
      </c>
      <c r="M285" s="2016"/>
      <c r="N285" s="2016"/>
      <c r="O285" s="2016"/>
      <c r="P285" s="2016">
        <f t="shared" si="150"/>
        <v>1.47</v>
      </c>
      <c r="Q285" s="2016"/>
      <c r="R285" s="2016"/>
      <c r="S285" s="2016">
        <f t="shared" si="151"/>
        <v>2.94</v>
      </c>
      <c r="T285" s="2016">
        <f t="shared" si="152"/>
        <v>2.94</v>
      </c>
      <c r="U285" s="2016">
        <f t="shared" si="153"/>
        <v>5.88</v>
      </c>
      <c r="V285" s="2016">
        <f t="shared" si="154"/>
        <v>7.35</v>
      </c>
      <c r="W285" s="2016">
        <f t="shared" si="155"/>
        <v>8.8199999999999985</v>
      </c>
      <c r="X285" s="2016"/>
      <c r="Y285" s="2016"/>
      <c r="Z285" s="2016"/>
    </row>
    <row r="286" spans="1:26" s="2009" customFormat="1" ht="45" x14ac:dyDescent="0.2">
      <c r="A286" s="1635" t="s">
        <v>6991</v>
      </c>
      <c r="B286" s="1984" t="s">
        <v>4448</v>
      </c>
      <c r="C286" s="1984" t="s">
        <v>5963</v>
      </c>
      <c r="D286" s="1813" t="s">
        <v>5960</v>
      </c>
      <c r="E286" s="1638">
        <f>QuantitativosÁgFria!G47</f>
        <v>55</v>
      </c>
      <c r="F286" s="1639" t="s">
        <v>5284</v>
      </c>
      <c r="G286" s="1648">
        <v>10.73</v>
      </c>
      <c r="H286" s="1636">
        <f t="shared" si="145"/>
        <v>2.89</v>
      </c>
      <c r="I286" s="1636">
        <f t="shared" si="146"/>
        <v>13.620000000000001</v>
      </c>
      <c r="J286" s="1723">
        <f t="shared" si="147"/>
        <v>749.1</v>
      </c>
      <c r="K286" s="2007">
        <f t="shared" si="148"/>
        <v>590.15</v>
      </c>
      <c r="L286" s="2007">
        <f t="shared" si="149"/>
        <v>158.94999999999999</v>
      </c>
      <c r="M286" s="2016"/>
      <c r="N286" s="2016"/>
      <c r="O286" s="2016"/>
      <c r="P286" s="2016">
        <f t="shared" si="150"/>
        <v>37.455000000000005</v>
      </c>
      <c r="Q286" s="2016"/>
      <c r="R286" s="2016"/>
      <c r="S286" s="2016">
        <f t="shared" si="151"/>
        <v>74.910000000000011</v>
      </c>
      <c r="T286" s="2016">
        <f t="shared" si="152"/>
        <v>74.910000000000011</v>
      </c>
      <c r="U286" s="2016">
        <f t="shared" si="153"/>
        <v>149.82000000000002</v>
      </c>
      <c r="V286" s="2016">
        <f t="shared" si="154"/>
        <v>187.27500000000001</v>
      </c>
      <c r="W286" s="2016">
        <f t="shared" si="155"/>
        <v>224.73</v>
      </c>
      <c r="X286" s="2016"/>
      <c r="Y286" s="2016"/>
      <c r="Z286" s="2016"/>
    </row>
    <row r="287" spans="1:26" s="2009" customFormat="1" ht="45" x14ac:dyDescent="0.2">
      <c r="A287" s="1635" t="s">
        <v>6992</v>
      </c>
      <c r="B287" s="1984" t="s">
        <v>4448</v>
      </c>
      <c r="C287" s="1984" t="s">
        <v>5964</v>
      </c>
      <c r="D287" s="1813" t="s">
        <v>5961</v>
      </c>
      <c r="E287" s="1638">
        <f>QuantitativosÁgFria!G48</f>
        <v>10</v>
      </c>
      <c r="F287" s="1639" t="s">
        <v>5284</v>
      </c>
      <c r="G287" s="1648">
        <v>16.100000000000001</v>
      </c>
      <c r="H287" s="1636">
        <f t="shared" ref="H287:H307" si="167">ROUND(G287*$B$13,2)</f>
        <v>4.34</v>
      </c>
      <c r="I287" s="1636">
        <f t="shared" ref="I287:I307" si="168">H287+G287</f>
        <v>20.440000000000001</v>
      </c>
      <c r="J287" s="1723">
        <f t="shared" ref="J287:J307" si="169">ROUND(I287*E287,2)</f>
        <v>204.4</v>
      </c>
      <c r="K287" s="2007">
        <f t="shared" ref="K287:K317" si="170">ROUND(G287*E287,2)</f>
        <v>161</v>
      </c>
      <c r="L287" s="2007">
        <f t="shared" ref="L287:L317" si="171">ROUND(H287*E287,2)</f>
        <v>43.4</v>
      </c>
      <c r="M287" s="2016"/>
      <c r="N287" s="2016"/>
      <c r="O287" s="2016"/>
      <c r="P287" s="2016">
        <f t="shared" ref="P287:P307" si="172">0.05*J287</f>
        <v>10.220000000000001</v>
      </c>
      <c r="Q287" s="2016"/>
      <c r="R287" s="2016"/>
      <c r="S287" s="2016">
        <f t="shared" ref="S287:S307" si="173">0.1*J287</f>
        <v>20.440000000000001</v>
      </c>
      <c r="T287" s="2016">
        <f t="shared" ref="T287:T307" si="174">0.1*J287</f>
        <v>20.440000000000001</v>
      </c>
      <c r="U287" s="2016">
        <f t="shared" ref="U287:U307" si="175">0.2*J287</f>
        <v>40.880000000000003</v>
      </c>
      <c r="V287" s="2016">
        <f t="shared" ref="V287:V307" si="176">0.25*J287</f>
        <v>51.1</v>
      </c>
      <c r="W287" s="2016">
        <f t="shared" ref="W287:W307" si="177">0.3*J287</f>
        <v>61.32</v>
      </c>
      <c r="X287" s="2016"/>
      <c r="Y287" s="2016"/>
      <c r="Z287" s="2016"/>
    </row>
    <row r="288" spans="1:26" s="2009" customFormat="1" ht="45" x14ac:dyDescent="0.2">
      <c r="A288" s="1635" t="s">
        <v>8282</v>
      </c>
      <c r="B288" s="1984" t="s">
        <v>4448</v>
      </c>
      <c r="C288" s="1984" t="s">
        <v>5965</v>
      </c>
      <c r="D288" s="1813" t="s">
        <v>5962</v>
      </c>
      <c r="E288" s="1638">
        <f>QuantitativosÁgFria!G49+QuantitativosÁgFria!G50</f>
        <v>57</v>
      </c>
      <c r="F288" s="1639" t="s">
        <v>5284</v>
      </c>
      <c r="G288" s="1648">
        <v>16.150000000000002</v>
      </c>
      <c r="H288" s="1636">
        <f t="shared" si="167"/>
        <v>4.3499999999999996</v>
      </c>
      <c r="I288" s="1636">
        <f t="shared" si="168"/>
        <v>20.5</v>
      </c>
      <c r="J288" s="1723">
        <f t="shared" si="169"/>
        <v>1168.5</v>
      </c>
      <c r="K288" s="2007">
        <f t="shared" si="170"/>
        <v>920.55</v>
      </c>
      <c r="L288" s="2007">
        <f t="shared" si="171"/>
        <v>247.95</v>
      </c>
      <c r="M288" s="2016"/>
      <c r="N288" s="2016"/>
      <c r="O288" s="2016"/>
      <c r="P288" s="2016">
        <f t="shared" si="172"/>
        <v>58.425000000000004</v>
      </c>
      <c r="Q288" s="2016"/>
      <c r="R288" s="2016"/>
      <c r="S288" s="2016">
        <f t="shared" si="173"/>
        <v>116.85000000000001</v>
      </c>
      <c r="T288" s="2016">
        <f t="shared" si="174"/>
        <v>116.85000000000001</v>
      </c>
      <c r="U288" s="2016">
        <f t="shared" si="175"/>
        <v>233.70000000000002</v>
      </c>
      <c r="V288" s="2016">
        <f t="shared" si="176"/>
        <v>292.125</v>
      </c>
      <c r="W288" s="2016">
        <f t="shared" si="177"/>
        <v>350.55</v>
      </c>
      <c r="X288" s="2016"/>
      <c r="Y288" s="2016"/>
      <c r="Z288" s="2016"/>
    </row>
    <row r="289" spans="1:26" s="2009" customFormat="1" ht="30" x14ac:dyDescent="0.2">
      <c r="A289" s="1635" t="s">
        <v>9559</v>
      </c>
      <c r="B289" s="1984" t="s">
        <v>4448</v>
      </c>
      <c r="C289" s="1984" t="s">
        <v>5966</v>
      </c>
      <c r="D289" s="1813" t="s">
        <v>8554</v>
      </c>
      <c r="E289" s="1638">
        <f>QuantitativosÁgFria!G51</f>
        <v>28</v>
      </c>
      <c r="F289" s="1639" t="s">
        <v>5284</v>
      </c>
      <c r="G289" s="1648">
        <v>10.41</v>
      </c>
      <c r="H289" s="1636">
        <f t="shared" si="167"/>
        <v>2.8</v>
      </c>
      <c r="I289" s="1636">
        <f t="shared" si="168"/>
        <v>13.21</v>
      </c>
      <c r="J289" s="1723">
        <f t="shared" si="169"/>
        <v>369.88</v>
      </c>
      <c r="K289" s="2007">
        <f t="shared" si="170"/>
        <v>291.48</v>
      </c>
      <c r="L289" s="2007">
        <f t="shared" si="171"/>
        <v>78.400000000000006</v>
      </c>
      <c r="M289" s="2016"/>
      <c r="N289" s="2016"/>
      <c r="O289" s="2016"/>
      <c r="P289" s="2016">
        <f t="shared" si="172"/>
        <v>18.494</v>
      </c>
      <c r="Q289" s="2016"/>
      <c r="R289" s="2016"/>
      <c r="S289" s="2016">
        <f t="shared" si="173"/>
        <v>36.988</v>
      </c>
      <c r="T289" s="2016">
        <f t="shared" si="174"/>
        <v>36.988</v>
      </c>
      <c r="U289" s="2016">
        <f t="shared" si="175"/>
        <v>73.975999999999999</v>
      </c>
      <c r="V289" s="2016">
        <f t="shared" si="176"/>
        <v>92.47</v>
      </c>
      <c r="W289" s="2016">
        <f t="shared" si="177"/>
        <v>110.964</v>
      </c>
      <c r="X289" s="2016"/>
      <c r="Y289" s="2016"/>
      <c r="Z289" s="2016"/>
    </row>
    <row r="290" spans="1:26" s="2009" customFormat="1" ht="30" x14ac:dyDescent="0.2">
      <c r="A290" s="1635" t="s">
        <v>6993</v>
      </c>
      <c r="B290" s="1984" t="s">
        <v>4448</v>
      </c>
      <c r="C290" s="1984">
        <v>89380</v>
      </c>
      <c r="D290" s="1813" t="s">
        <v>5967</v>
      </c>
      <c r="E290" s="1638">
        <f>QuantitativosÁgFria!G53</f>
        <v>4</v>
      </c>
      <c r="F290" s="1639" t="s">
        <v>5284</v>
      </c>
      <c r="G290" s="1648">
        <v>7.14</v>
      </c>
      <c r="H290" s="1636">
        <f t="shared" si="167"/>
        <v>1.92</v>
      </c>
      <c r="I290" s="1636">
        <f t="shared" si="168"/>
        <v>9.0599999999999987</v>
      </c>
      <c r="J290" s="1723">
        <f t="shared" si="169"/>
        <v>36.24</v>
      </c>
      <c r="K290" s="2007">
        <f t="shared" si="170"/>
        <v>28.56</v>
      </c>
      <c r="L290" s="2007">
        <f t="shared" si="171"/>
        <v>7.68</v>
      </c>
      <c r="M290" s="2016"/>
      <c r="N290" s="2016"/>
      <c r="O290" s="2016"/>
      <c r="P290" s="2016">
        <f t="shared" si="172"/>
        <v>1.8120000000000003</v>
      </c>
      <c r="Q290" s="2016"/>
      <c r="R290" s="2016"/>
      <c r="S290" s="2016">
        <f t="shared" si="173"/>
        <v>3.6240000000000006</v>
      </c>
      <c r="T290" s="2016">
        <f t="shared" si="174"/>
        <v>3.6240000000000006</v>
      </c>
      <c r="U290" s="2016">
        <f t="shared" si="175"/>
        <v>7.2480000000000011</v>
      </c>
      <c r="V290" s="2016">
        <f t="shared" si="176"/>
        <v>9.06</v>
      </c>
      <c r="W290" s="2016">
        <f t="shared" si="177"/>
        <v>10.872</v>
      </c>
      <c r="X290" s="2016"/>
      <c r="Y290" s="2016"/>
      <c r="Z290" s="2016"/>
    </row>
    <row r="291" spans="1:26" s="2009" customFormat="1" ht="30" x14ac:dyDescent="0.2">
      <c r="A291" s="1635" t="s">
        <v>6994</v>
      </c>
      <c r="B291" s="1984" t="s">
        <v>4448</v>
      </c>
      <c r="C291" s="1984">
        <v>89579</v>
      </c>
      <c r="D291" s="1813" t="s">
        <v>5968</v>
      </c>
      <c r="E291" s="1638">
        <f>QuantitativosÁgFria!G54</f>
        <v>1</v>
      </c>
      <c r="F291" s="1639" t="s">
        <v>5284</v>
      </c>
      <c r="G291" s="1648">
        <v>8.32</v>
      </c>
      <c r="H291" s="1636">
        <f t="shared" si="167"/>
        <v>2.2400000000000002</v>
      </c>
      <c r="I291" s="1636">
        <f t="shared" si="168"/>
        <v>10.56</v>
      </c>
      <c r="J291" s="1723">
        <f t="shared" si="169"/>
        <v>10.56</v>
      </c>
      <c r="K291" s="2007">
        <f t="shared" si="170"/>
        <v>8.32</v>
      </c>
      <c r="L291" s="2007">
        <f t="shared" si="171"/>
        <v>2.2400000000000002</v>
      </c>
      <c r="M291" s="2016"/>
      <c r="N291" s="2016"/>
      <c r="O291" s="2016"/>
      <c r="P291" s="2016">
        <f t="shared" si="172"/>
        <v>0.52800000000000002</v>
      </c>
      <c r="Q291" s="2016"/>
      <c r="R291" s="2016"/>
      <c r="S291" s="2016">
        <f t="shared" si="173"/>
        <v>1.056</v>
      </c>
      <c r="T291" s="2016">
        <f t="shared" si="174"/>
        <v>1.056</v>
      </c>
      <c r="U291" s="2016">
        <f t="shared" si="175"/>
        <v>2.1120000000000001</v>
      </c>
      <c r="V291" s="2016">
        <f t="shared" si="176"/>
        <v>2.64</v>
      </c>
      <c r="W291" s="2016">
        <f t="shared" si="177"/>
        <v>3.1680000000000001</v>
      </c>
      <c r="X291" s="2016"/>
      <c r="Y291" s="2016"/>
      <c r="Z291" s="2016"/>
    </row>
    <row r="292" spans="1:26" s="2009" customFormat="1" ht="30" x14ac:dyDescent="0.2">
      <c r="A292" s="1635" t="s">
        <v>6995</v>
      </c>
      <c r="B292" s="1984" t="s">
        <v>4448</v>
      </c>
      <c r="C292" s="1984" t="s">
        <v>5974</v>
      </c>
      <c r="D292" s="1813" t="s">
        <v>5969</v>
      </c>
      <c r="E292" s="1638">
        <f>QuantitativosÁgFria!G55</f>
        <v>3</v>
      </c>
      <c r="F292" s="1639" t="s">
        <v>5284</v>
      </c>
      <c r="G292" s="1648">
        <v>8.4599999999999991</v>
      </c>
      <c r="H292" s="1636">
        <f t="shared" si="167"/>
        <v>2.2799999999999998</v>
      </c>
      <c r="I292" s="1636">
        <f t="shared" si="168"/>
        <v>10.739999999999998</v>
      </c>
      <c r="J292" s="1723">
        <f t="shared" si="169"/>
        <v>32.22</v>
      </c>
      <c r="K292" s="2007">
        <f t="shared" si="170"/>
        <v>25.38</v>
      </c>
      <c r="L292" s="2007">
        <f t="shared" si="171"/>
        <v>6.84</v>
      </c>
      <c r="M292" s="2016"/>
      <c r="N292" s="2016"/>
      <c r="O292" s="2016"/>
      <c r="P292" s="2016">
        <f t="shared" si="172"/>
        <v>1.611</v>
      </c>
      <c r="Q292" s="2016"/>
      <c r="R292" s="2016"/>
      <c r="S292" s="2016">
        <f t="shared" si="173"/>
        <v>3.222</v>
      </c>
      <c r="T292" s="2016">
        <f t="shared" si="174"/>
        <v>3.222</v>
      </c>
      <c r="U292" s="2016">
        <f t="shared" si="175"/>
        <v>6.444</v>
      </c>
      <c r="V292" s="2016">
        <f t="shared" si="176"/>
        <v>8.0549999999999997</v>
      </c>
      <c r="W292" s="2016">
        <f t="shared" si="177"/>
        <v>9.6659999999999986</v>
      </c>
      <c r="X292" s="2016"/>
      <c r="Y292" s="2016"/>
      <c r="Z292" s="2016"/>
    </row>
    <row r="293" spans="1:26" s="2009" customFormat="1" ht="30" x14ac:dyDescent="0.2">
      <c r="A293" s="1635" t="s">
        <v>6996</v>
      </c>
      <c r="B293" s="1984" t="s">
        <v>4448</v>
      </c>
      <c r="C293" s="1984">
        <v>89385</v>
      </c>
      <c r="D293" s="1813" t="s">
        <v>5970</v>
      </c>
      <c r="E293" s="1638">
        <f>QuantitativosÁgFria!G56</f>
        <v>7</v>
      </c>
      <c r="F293" s="1639" t="s">
        <v>5284</v>
      </c>
      <c r="G293" s="1648">
        <v>5.6</v>
      </c>
      <c r="H293" s="1636">
        <f t="shared" si="167"/>
        <v>1.51</v>
      </c>
      <c r="I293" s="1636">
        <f t="shared" si="168"/>
        <v>7.1099999999999994</v>
      </c>
      <c r="J293" s="1723">
        <f t="shared" si="169"/>
        <v>49.77</v>
      </c>
      <c r="K293" s="2007">
        <f t="shared" si="170"/>
        <v>39.200000000000003</v>
      </c>
      <c r="L293" s="2007">
        <f t="shared" si="171"/>
        <v>10.57</v>
      </c>
      <c r="M293" s="2016"/>
      <c r="N293" s="2016"/>
      <c r="O293" s="2016"/>
      <c r="P293" s="2016">
        <f t="shared" si="172"/>
        <v>2.4885000000000002</v>
      </c>
      <c r="Q293" s="2016"/>
      <c r="R293" s="2016"/>
      <c r="S293" s="2016">
        <f t="shared" si="173"/>
        <v>4.9770000000000003</v>
      </c>
      <c r="T293" s="2016">
        <f t="shared" si="174"/>
        <v>4.9770000000000003</v>
      </c>
      <c r="U293" s="2016">
        <f t="shared" si="175"/>
        <v>9.9540000000000006</v>
      </c>
      <c r="V293" s="2016">
        <f t="shared" si="176"/>
        <v>12.442500000000001</v>
      </c>
      <c r="W293" s="2016">
        <f t="shared" si="177"/>
        <v>14.931000000000001</v>
      </c>
      <c r="X293" s="2016"/>
      <c r="Y293" s="2016"/>
      <c r="Z293" s="2016"/>
    </row>
    <row r="294" spans="1:26" s="2009" customFormat="1" ht="30" x14ac:dyDescent="0.2">
      <c r="A294" s="1635" t="s">
        <v>15087</v>
      </c>
      <c r="B294" s="1984" t="s">
        <v>4448</v>
      </c>
      <c r="C294" s="1984">
        <v>89611</v>
      </c>
      <c r="D294" s="1813" t="s">
        <v>5972</v>
      </c>
      <c r="E294" s="1638">
        <f>QuantitativosÁgFria!G58</f>
        <v>2</v>
      </c>
      <c r="F294" s="1639" t="s">
        <v>5284</v>
      </c>
      <c r="G294" s="1648">
        <v>24.19</v>
      </c>
      <c r="H294" s="1636">
        <f t="shared" si="167"/>
        <v>6.51</v>
      </c>
      <c r="I294" s="1636">
        <f t="shared" si="168"/>
        <v>30.700000000000003</v>
      </c>
      <c r="J294" s="1723">
        <f t="shared" si="169"/>
        <v>61.4</v>
      </c>
      <c r="K294" s="2007">
        <f t="shared" si="170"/>
        <v>48.38</v>
      </c>
      <c r="L294" s="2007">
        <f t="shared" si="171"/>
        <v>13.02</v>
      </c>
      <c r="M294" s="2016"/>
      <c r="N294" s="2016"/>
      <c r="O294" s="2016"/>
      <c r="P294" s="2016">
        <f t="shared" si="172"/>
        <v>3.0700000000000003</v>
      </c>
      <c r="Q294" s="2016"/>
      <c r="R294" s="2016"/>
      <c r="S294" s="2016">
        <f t="shared" si="173"/>
        <v>6.1400000000000006</v>
      </c>
      <c r="T294" s="2016">
        <f t="shared" si="174"/>
        <v>6.1400000000000006</v>
      </c>
      <c r="U294" s="2016">
        <f t="shared" si="175"/>
        <v>12.280000000000001</v>
      </c>
      <c r="V294" s="2016">
        <f t="shared" si="176"/>
        <v>15.35</v>
      </c>
      <c r="W294" s="2016">
        <f t="shared" si="177"/>
        <v>18.419999999999998</v>
      </c>
      <c r="X294" s="2016"/>
      <c r="Y294" s="2016"/>
      <c r="Z294" s="2016"/>
    </row>
    <row r="295" spans="1:26" s="2009" customFormat="1" ht="30" x14ac:dyDescent="0.2">
      <c r="A295" s="1635" t="s">
        <v>8560</v>
      </c>
      <c r="B295" s="1984" t="s">
        <v>4448</v>
      </c>
      <c r="C295" s="1984">
        <v>89575</v>
      </c>
      <c r="D295" s="1813" t="s">
        <v>5973</v>
      </c>
      <c r="E295" s="1638">
        <f>QuantitativosÁgFria!G59</f>
        <v>5</v>
      </c>
      <c r="F295" s="1639" t="s">
        <v>5284</v>
      </c>
      <c r="G295" s="1648">
        <v>8.1199999999999992</v>
      </c>
      <c r="H295" s="1636">
        <f t="shared" si="167"/>
        <v>2.19</v>
      </c>
      <c r="I295" s="1636">
        <f t="shared" si="168"/>
        <v>10.309999999999999</v>
      </c>
      <c r="J295" s="1723">
        <f t="shared" si="169"/>
        <v>51.55</v>
      </c>
      <c r="K295" s="2007">
        <f t="shared" si="170"/>
        <v>40.6</v>
      </c>
      <c r="L295" s="2007">
        <f t="shared" si="171"/>
        <v>10.95</v>
      </c>
      <c r="M295" s="2016"/>
      <c r="N295" s="2016"/>
      <c r="O295" s="2016"/>
      <c r="P295" s="2016">
        <f t="shared" si="172"/>
        <v>2.5775000000000001</v>
      </c>
      <c r="Q295" s="2016"/>
      <c r="R295" s="2016"/>
      <c r="S295" s="2016">
        <f t="shared" si="173"/>
        <v>5.1550000000000002</v>
      </c>
      <c r="T295" s="2016">
        <f t="shared" si="174"/>
        <v>5.1550000000000002</v>
      </c>
      <c r="U295" s="2016">
        <f t="shared" si="175"/>
        <v>10.31</v>
      </c>
      <c r="V295" s="2016">
        <f t="shared" si="176"/>
        <v>12.887499999999999</v>
      </c>
      <c r="W295" s="2016">
        <f t="shared" si="177"/>
        <v>15.464999999999998</v>
      </c>
      <c r="X295" s="2016"/>
      <c r="Y295" s="2016"/>
      <c r="Z295" s="2016"/>
    </row>
    <row r="296" spans="1:26" s="2009" customFormat="1" ht="30" x14ac:dyDescent="0.2">
      <c r="A296" s="1635" t="s">
        <v>6998</v>
      </c>
      <c r="B296" s="1984" t="s">
        <v>4448</v>
      </c>
      <c r="C296" s="1984">
        <v>89395</v>
      </c>
      <c r="D296" s="1813" t="s">
        <v>5975</v>
      </c>
      <c r="E296" s="1638">
        <f>QuantitativosÁgFria!G60</f>
        <v>111</v>
      </c>
      <c r="F296" s="1639" t="s">
        <v>5284</v>
      </c>
      <c r="G296" s="1648">
        <v>9.31</v>
      </c>
      <c r="H296" s="1636">
        <f t="shared" si="167"/>
        <v>2.5099999999999998</v>
      </c>
      <c r="I296" s="1636">
        <f t="shared" si="168"/>
        <v>11.82</v>
      </c>
      <c r="J296" s="1723">
        <f t="shared" si="169"/>
        <v>1312.02</v>
      </c>
      <c r="K296" s="2007">
        <f t="shared" si="170"/>
        <v>1033.4100000000001</v>
      </c>
      <c r="L296" s="2007">
        <f t="shared" si="171"/>
        <v>278.61</v>
      </c>
      <c r="M296" s="2016"/>
      <c r="N296" s="2016"/>
      <c r="O296" s="2016"/>
      <c r="P296" s="2016">
        <f t="shared" si="172"/>
        <v>65.600999999999999</v>
      </c>
      <c r="Q296" s="2016"/>
      <c r="R296" s="2016"/>
      <c r="S296" s="2016">
        <f t="shared" si="173"/>
        <v>131.202</v>
      </c>
      <c r="T296" s="2016">
        <f t="shared" si="174"/>
        <v>131.202</v>
      </c>
      <c r="U296" s="2016">
        <f t="shared" si="175"/>
        <v>262.404</v>
      </c>
      <c r="V296" s="2016">
        <f t="shared" si="176"/>
        <v>328.005</v>
      </c>
      <c r="W296" s="2016">
        <f t="shared" si="177"/>
        <v>393.60599999999999</v>
      </c>
      <c r="X296" s="2016"/>
      <c r="Y296" s="2016"/>
      <c r="Z296" s="2016"/>
    </row>
    <row r="297" spans="1:26" s="2009" customFormat="1" ht="30" x14ac:dyDescent="0.2">
      <c r="A297" s="1635" t="s">
        <v>6999</v>
      </c>
      <c r="B297" s="1984" t="s">
        <v>4448</v>
      </c>
      <c r="C297" s="1984">
        <v>89398</v>
      </c>
      <c r="D297" s="1813" t="s">
        <v>5976</v>
      </c>
      <c r="E297" s="1638">
        <f>QuantitativosÁgFria!G61</f>
        <v>12</v>
      </c>
      <c r="F297" s="1639" t="s">
        <v>5284</v>
      </c>
      <c r="G297" s="1648">
        <v>13.26</v>
      </c>
      <c r="H297" s="1636">
        <f t="shared" si="167"/>
        <v>3.57</v>
      </c>
      <c r="I297" s="1636">
        <f t="shared" si="168"/>
        <v>16.829999999999998</v>
      </c>
      <c r="J297" s="1723">
        <f t="shared" si="169"/>
        <v>201.96</v>
      </c>
      <c r="K297" s="2007">
        <f t="shared" si="170"/>
        <v>159.12</v>
      </c>
      <c r="L297" s="2007">
        <f t="shared" si="171"/>
        <v>42.84</v>
      </c>
      <c r="M297" s="2016"/>
      <c r="N297" s="2016"/>
      <c r="O297" s="2016"/>
      <c r="P297" s="2016">
        <f t="shared" si="172"/>
        <v>10.098000000000001</v>
      </c>
      <c r="Q297" s="2016"/>
      <c r="R297" s="2016"/>
      <c r="S297" s="2016">
        <f t="shared" si="173"/>
        <v>20.196000000000002</v>
      </c>
      <c r="T297" s="2016">
        <f t="shared" si="174"/>
        <v>20.196000000000002</v>
      </c>
      <c r="U297" s="2016">
        <f t="shared" si="175"/>
        <v>40.392000000000003</v>
      </c>
      <c r="V297" s="2016">
        <f t="shared" si="176"/>
        <v>50.49</v>
      </c>
      <c r="W297" s="2016">
        <f t="shared" si="177"/>
        <v>60.588000000000001</v>
      </c>
      <c r="X297" s="2016"/>
      <c r="Y297" s="2016"/>
      <c r="Z297" s="2016"/>
    </row>
    <row r="298" spans="1:26" s="2009" customFormat="1" ht="30" x14ac:dyDescent="0.2">
      <c r="A298" s="1635" t="s">
        <v>7000</v>
      </c>
      <c r="B298" s="1984" t="s">
        <v>4448</v>
      </c>
      <c r="C298" s="1984">
        <v>89623</v>
      </c>
      <c r="D298" s="1813" t="s">
        <v>5977</v>
      </c>
      <c r="E298" s="1638">
        <f>QuantitativosÁgFria!G62</f>
        <v>17</v>
      </c>
      <c r="F298" s="1639" t="s">
        <v>5284</v>
      </c>
      <c r="G298" s="1648">
        <v>13.08</v>
      </c>
      <c r="H298" s="1636">
        <f t="shared" si="167"/>
        <v>3.52</v>
      </c>
      <c r="I298" s="1636">
        <f t="shared" si="168"/>
        <v>16.600000000000001</v>
      </c>
      <c r="J298" s="1723">
        <f t="shared" si="169"/>
        <v>282.2</v>
      </c>
      <c r="K298" s="2007">
        <f t="shared" si="170"/>
        <v>222.36</v>
      </c>
      <c r="L298" s="2007">
        <f t="shared" si="171"/>
        <v>59.84</v>
      </c>
      <c r="M298" s="2016"/>
      <c r="N298" s="2016"/>
      <c r="O298" s="2016"/>
      <c r="P298" s="2016">
        <f t="shared" si="172"/>
        <v>14.11</v>
      </c>
      <c r="Q298" s="2016"/>
      <c r="R298" s="2016"/>
      <c r="S298" s="2016">
        <f t="shared" si="173"/>
        <v>28.22</v>
      </c>
      <c r="T298" s="2016">
        <f t="shared" si="174"/>
        <v>28.22</v>
      </c>
      <c r="U298" s="2016">
        <f t="shared" si="175"/>
        <v>56.44</v>
      </c>
      <c r="V298" s="2016">
        <f t="shared" si="176"/>
        <v>70.55</v>
      </c>
      <c r="W298" s="2016">
        <f t="shared" si="177"/>
        <v>84.66</v>
      </c>
      <c r="X298" s="2016"/>
      <c r="Y298" s="2016"/>
      <c r="Z298" s="2016"/>
    </row>
    <row r="299" spans="1:26" s="2009" customFormat="1" ht="30" x14ac:dyDescent="0.2">
      <c r="A299" s="1635" t="s">
        <v>7001</v>
      </c>
      <c r="B299" s="1984" t="s">
        <v>4448</v>
      </c>
      <c r="C299" s="1984">
        <v>89625</v>
      </c>
      <c r="D299" s="1813" t="s">
        <v>5978</v>
      </c>
      <c r="E299" s="1638">
        <f>QuantitativosÁgFria!G63</f>
        <v>6</v>
      </c>
      <c r="F299" s="1639" t="s">
        <v>5284</v>
      </c>
      <c r="G299" s="1648">
        <v>15.81</v>
      </c>
      <c r="H299" s="1636">
        <f t="shared" si="167"/>
        <v>4.26</v>
      </c>
      <c r="I299" s="1636">
        <f t="shared" si="168"/>
        <v>20.07</v>
      </c>
      <c r="J299" s="1723">
        <f t="shared" si="169"/>
        <v>120.42</v>
      </c>
      <c r="K299" s="2007">
        <f t="shared" si="170"/>
        <v>94.86</v>
      </c>
      <c r="L299" s="2007">
        <f t="shared" si="171"/>
        <v>25.56</v>
      </c>
      <c r="M299" s="2016"/>
      <c r="N299" s="2016"/>
      <c r="O299" s="2016"/>
      <c r="P299" s="2016">
        <f t="shared" si="172"/>
        <v>6.0210000000000008</v>
      </c>
      <c r="Q299" s="2016"/>
      <c r="R299" s="2016"/>
      <c r="S299" s="2016">
        <f t="shared" si="173"/>
        <v>12.042000000000002</v>
      </c>
      <c r="T299" s="2016">
        <f t="shared" si="174"/>
        <v>12.042000000000002</v>
      </c>
      <c r="U299" s="2016">
        <f t="shared" si="175"/>
        <v>24.084000000000003</v>
      </c>
      <c r="V299" s="2016">
        <f t="shared" si="176"/>
        <v>30.105</v>
      </c>
      <c r="W299" s="2016">
        <f t="shared" si="177"/>
        <v>36.125999999999998</v>
      </c>
      <c r="X299" s="2016"/>
      <c r="Y299" s="2016"/>
      <c r="Z299" s="2016"/>
    </row>
    <row r="300" spans="1:26" s="2009" customFormat="1" ht="30" x14ac:dyDescent="0.2">
      <c r="A300" s="1635" t="s">
        <v>7002</v>
      </c>
      <c r="B300" s="1984" t="s">
        <v>4448</v>
      </c>
      <c r="C300" s="1984">
        <v>89628</v>
      </c>
      <c r="D300" s="1813" t="s">
        <v>5979</v>
      </c>
      <c r="E300" s="1638">
        <f>QuantitativosÁgFria!G64</f>
        <v>15</v>
      </c>
      <c r="F300" s="1639" t="s">
        <v>5284</v>
      </c>
      <c r="G300" s="1648">
        <v>32.880000000000003</v>
      </c>
      <c r="H300" s="1636">
        <f t="shared" si="167"/>
        <v>8.85</v>
      </c>
      <c r="I300" s="1636">
        <f t="shared" si="168"/>
        <v>41.730000000000004</v>
      </c>
      <c r="J300" s="1723">
        <f t="shared" si="169"/>
        <v>625.95000000000005</v>
      </c>
      <c r="K300" s="2007">
        <f t="shared" si="170"/>
        <v>493.2</v>
      </c>
      <c r="L300" s="2007">
        <f t="shared" si="171"/>
        <v>132.75</v>
      </c>
      <c r="M300" s="2016"/>
      <c r="N300" s="2016"/>
      <c r="O300" s="2016"/>
      <c r="P300" s="2016">
        <f t="shared" si="172"/>
        <v>31.297500000000003</v>
      </c>
      <c r="Q300" s="2016"/>
      <c r="R300" s="2016"/>
      <c r="S300" s="2016">
        <f t="shared" si="173"/>
        <v>62.595000000000006</v>
      </c>
      <c r="T300" s="2016">
        <f t="shared" si="174"/>
        <v>62.595000000000006</v>
      </c>
      <c r="U300" s="2016">
        <f t="shared" si="175"/>
        <v>125.19000000000001</v>
      </c>
      <c r="V300" s="2016">
        <f t="shared" si="176"/>
        <v>156.48750000000001</v>
      </c>
      <c r="W300" s="2016">
        <f t="shared" si="177"/>
        <v>187.785</v>
      </c>
      <c r="X300" s="2016"/>
      <c r="Y300" s="2016"/>
      <c r="Z300" s="2016"/>
    </row>
    <row r="301" spans="1:26" s="2009" customFormat="1" ht="30" x14ac:dyDescent="0.2">
      <c r="A301" s="1635" t="s">
        <v>7003</v>
      </c>
      <c r="B301" s="1984" t="s">
        <v>4448</v>
      </c>
      <c r="C301" s="1984">
        <v>89629</v>
      </c>
      <c r="D301" s="1813" t="s">
        <v>5980</v>
      </c>
      <c r="E301" s="1638">
        <f>QuantitativosÁgFria!G65</f>
        <v>4</v>
      </c>
      <c r="F301" s="1639" t="s">
        <v>5284</v>
      </c>
      <c r="G301" s="1648">
        <v>59.93</v>
      </c>
      <c r="H301" s="1636">
        <f t="shared" si="167"/>
        <v>16.14</v>
      </c>
      <c r="I301" s="1636">
        <f t="shared" si="168"/>
        <v>76.069999999999993</v>
      </c>
      <c r="J301" s="1723">
        <f t="shared" si="169"/>
        <v>304.27999999999997</v>
      </c>
      <c r="K301" s="2007">
        <f t="shared" si="170"/>
        <v>239.72</v>
      </c>
      <c r="L301" s="2007">
        <f t="shared" si="171"/>
        <v>64.56</v>
      </c>
      <c r="M301" s="2016"/>
      <c r="N301" s="2016"/>
      <c r="O301" s="2016"/>
      <c r="P301" s="2016">
        <f t="shared" si="172"/>
        <v>15.213999999999999</v>
      </c>
      <c r="Q301" s="2016"/>
      <c r="R301" s="2016"/>
      <c r="S301" s="2016">
        <f t="shared" si="173"/>
        <v>30.427999999999997</v>
      </c>
      <c r="T301" s="2016">
        <f t="shared" si="174"/>
        <v>30.427999999999997</v>
      </c>
      <c r="U301" s="2016">
        <f t="shared" si="175"/>
        <v>60.855999999999995</v>
      </c>
      <c r="V301" s="2016">
        <f t="shared" si="176"/>
        <v>76.069999999999993</v>
      </c>
      <c r="W301" s="2016">
        <f t="shared" si="177"/>
        <v>91.283999999999992</v>
      </c>
      <c r="X301" s="2016"/>
      <c r="Y301" s="2016"/>
      <c r="Z301" s="2016"/>
    </row>
    <row r="302" spans="1:26" s="2009" customFormat="1" ht="30" x14ac:dyDescent="0.2">
      <c r="A302" s="1635" t="s">
        <v>7004</v>
      </c>
      <c r="B302" s="1984" t="s">
        <v>4448</v>
      </c>
      <c r="C302" s="1984">
        <v>89622</v>
      </c>
      <c r="D302" s="1813" t="s">
        <v>5981</v>
      </c>
      <c r="E302" s="1638">
        <f>QuantitativosÁgFria!G66</f>
        <v>21</v>
      </c>
      <c r="F302" s="1639" t="s">
        <v>5284</v>
      </c>
      <c r="G302" s="1648">
        <v>9.7100000000000009</v>
      </c>
      <c r="H302" s="1636">
        <f t="shared" si="167"/>
        <v>2.61</v>
      </c>
      <c r="I302" s="1636">
        <f t="shared" si="168"/>
        <v>12.32</v>
      </c>
      <c r="J302" s="1723">
        <f t="shared" si="169"/>
        <v>258.72000000000003</v>
      </c>
      <c r="K302" s="2007">
        <f t="shared" si="170"/>
        <v>203.91</v>
      </c>
      <c r="L302" s="2007">
        <f t="shared" si="171"/>
        <v>54.81</v>
      </c>
      <c r="M302" s="2016"/>
      <c r="N302" s="2016"/>
      <c r="O302" s="2016"/>
      <c r="P302" s="2016">
        <f t="shared" si="172"/>
        <v>12.936000000000002</v>
      </c>
      <c r="Q302" s="2016"/>
      <c r="R302" s="2016"/>
      <c r="S302" s="2016">
        <f t="shared" si="173"/>
        <v>25.872000000000003</v>
      </c>
      <c r="T302" s="2016">
        <f t="shared" si="174"/>
        <v>25.872000000000003</v>
      </c>
      <c r="U302" s="2016">
        <f t="shared" si="175"/>
        <v>51.744000000000007</v>
      </c>
      <c r="V302" s="2016">
        <f t="shared" si="176"/>
        <v>64.680000000000007</v>
      </c>
      <c r="W302" s="2016">
        <f t="shared" si="177"/>
        <v>77.616</v>
      </c>
      <c r="X302" s="2016"/>
      <c r="Y302" s="2016"/>
      <c r="Z302" s="2016"/>
    </row>
    <row r="303" spans="1:26" s="2009" customFormat="1" ht="30" x14ac:dyDescent="0.2">
      <c r="A303" s="1635" t="s">
        <v>7005</v>
      </c>
      <c r="B303" s="1984" t="s">
        <v>4448</v>
      </c>
      <c r="C303" s="1984">
        <v>89624</v>
      </c>
      <c r="D303" s="1813" t="s">
        <v>5982</v>
      </c>
      <c r="E303" s="1638">
        <f>QuantitativosÁgFria!G67</f>
        <v>7</v>
      </c>
      <c r="F303" s="1639" t="s">
        <v>5284</v>
      </c>
      <c r="G303" s="1648">
        <v>13.84</v>
      </c>
      <c r="H303" s="1636">
        <f t="shared" si="167"/>
        <v>3.73</v>
      </c>
      <c r="I303" s="1636">
        <f t="shared" si="168"/>
        <v>17.57</v>
      </c>
      <c r="J303" s="1723">
        <f t="shared" si="169"/>
        <v>122.99</v>
      </c>
      <c r="K303" s="2007">
        <f t="shared" si="170"/>
        <v>96.88</v>
      </c>
      <c r="L303" s="2007">
        <f t="shared" si="171"/>
        <v>26.11</v>
      </c>
      <c r="M303" s="2016"/>
      <c r="N303" s="2016"/>
      <c r="O303" s="2016"/>
      <c r="P303" s="2016">
        <f t="shared" si="172"/>
        <v>6.1494999999999997</v>
      </c>
      <c r="Q303" s="2016"/>
      <c r="R303" s="2016"/>
      <c r="S303" s="2016">
        <f t="shared" si="173"/>
        <v>12.298999999999999</v>
      </c>
      <c r="T303" s="2016">
        <f t="shared" si="174"/>
        <v>12.298999999999999</v>
      </c>
      <c r="U303" s="2016">
        <f t="shared" si="175"/>
        <v>24.597999999999999</v>
      </c>
      <c r="V303" s="2016">
        <f t="shared" si="176"/>
        <v>30.747499999999999</v>
      </c>
      <c r="W303" s="2016">
        <f t="shared" si="177"/>
        <v>36.896999999999998</v>
      </c>
      <c r="X303" s="2016"/>
      <c r="Y303" s="2016"/>
      <c r="Z303" s="2016"/>
    </row>
    <row r="304" spans="1:26" s="2009" customFormat="1" ht="30" x14ac:dyDescent="0.2">
      <c r="A304" s="1635" t="s">
        <v>7006</v>
      </c>
      <c r="B304" s="1984" t="s">
        <v>4448</v>
      </c>
      <c r="C304" s="1984">
        <v>94698</v>
      </c>
      <c r="D304" s="1813" t="s">
        <v>5983</v>
      </c>
      <c r="E304" s="1638">
        <f>QuantitativosÁgFria!G68</f>
        <v>1</v>
      </c>
      <c r="F304" s="1639" t="s">
        <v>5284</v>
      </c>
      <c r="G304" s="1648">
        <v>57.57</v>
      </c>
      <c r="H304" s="1636">
        <f t="shared" si="167"/>
        <v>15.5</v>
      </c>
      <c r="I304" s="1636">
        <f t="shared" si="168"/>
        <v>73.069999999999993</v>
      </c>
      <c r="J304" s="1723">
        <f t="shared" si="169"/>
        <v>73.069999999999993</v>
      </c>
      <c r="K304" s="2007">
        <f t="shared" si="170"/>
        <v>57.57</v>
      </c>
      <c r="L304" s="2007">
        <f t="shared" si="171"/>
        <v>15.5</v>
      </c>
      <c r="M304" s="2016"/>
      <c r="N304" s="2016"/>
      <c r="O304" s="2016"/>
      <c r="P304" s="2016">
        <f t="shared" si="172"/>
        <v>3.6534999999999997</v>
      </c>
      <c r="Q304" s="2016"/>
      <c r="R304" s="2016"/>
      <c r="S304" s="2016">
        <f t="shared" si="173"/>
        <v>7.3069999999999995</v>
      </c>
      <c r="T304" s="2016">
        <f t="shared" si="174"/>
        <v>7.3069999999999995</v>
      </c>
      <c r="U304" s="2016">
        <f t="shared" si="175"/>
        <v>14.613999999999999</v>
      </c>
      <c r="V304" s="2016">
        <f t="shared" si="176"/>
        <v>18.267499999999998</v>
      </c>
      <c r="W304" s="2016">
        <f t="shared" si="177"/>
        <v>21.920999999999996</v>
      </c>
      <c r="X304" s="2016"/>
      <c r="Y304" s="2016"/>
      <c r="Z304" s="2016"/>
    </row>
    <row r="305" spans="1:26" s="2009" customFormat="1" ht="45" x14ac:dyDescent="0.2">
      <c r="A305" s="1635" t="s">
        <v>7007</v>
      </c>
      <c r="B305" s="1984" t="s">
        <v>4448</v>
      </c>
      <c r="C305" s="1984">
        <v>89396</v>
      </c>
      <c r="D305" s="1813" t="s">
        <v>5984</v>
      </c>
      <c r="E305" s="1638">
        <f>QuantitativosÁgFria!G69</f>
        <v>26</v>
      </c>
      <c r="F305" s="1639" t="s">
        <v>5284</v>
      </c>
      <c r="G305" s="1648">
        <v>14.99</v>
      </c>
      <c r="H305" s="1636">
        <f t="shared" si="167"/>
        <v>4.04</v>
      </c>
      <c r="I305" s="1636">
        <f t="shared" si="168"/>
        <v>19.03</v>
      </c>
      <c r="J305" s="1723">
        <f t="shared" si="169"/>
        <v>494.78</v>
      </c>
      <c r="K305" s="2007">
        <f t="shared" si="170"/>
        <v>389.74</v>
      </c>
      <c r="L305" s="2007">
        <f t="shared" si="171"/>
        <v>105.04</v>
      </c>
      <c r="M305" s="2016"/>
      <c r="N305" s="2016"/>
      <c r="O305" s="2016"/>
      <c r="P305" s="2016">
        <f t="shared" si="172"/>
        <v>24.739000000000001</v>
      </c>
      <c r="Q305" s="2016"/>
      <c r="R305" s="2016"/>
      <c r="S305" s="2016">
        <f t="shared" si="173"/>
        <v>49.478000000000002</v>
      </c>
      <c r="T305" s="2016">
        <f t="shared" si="174"/>
        <v>49.478000000000002</v>
      </c>
      <c r="U305" s="2016">
        <f t="shared" si="175"/>
        <v>98.956000000000003</v>
      </c>
      <c r="V305" s="2016">
        <f t="shared" si="176"/>
        <v>123.69499999999999</v>
      </c>
      <c r="W305" s="2016">
        <f t="shared" si="177"/>
        <v>148.434</v>
      </c>
      <c r="X305" s="2016"/>
      <c r="Y305" s="2016"/>
      <c r="Z305" s="2016"/>
    </row>
    <row r="306" spans="1:26" s="2009" customFormat="1" ht="45" x14ac:dyDescent="0.2">
      <c r="A306" s="1635" t="s">
        <v>7008</v>
      </c>
      <c r="B306" s="1984" t="s">
        <v>4448</v>
      </c>
      <c r="C306" s="1984">
        <v>90374</v>
      </c>
      <c r="D306" s="1813" t="s">
        <v>5985</v>
      </c>
      <c r="E306" s="1638">
        <f>QuantitativosÁgFria!G71</f>
        <v>6</v>
      </c>
      <c r="F306" s="1639" t="s">
        <v>5284</v>
      </c>
      <c r="G306" s="1648">
        <v>16.64</v>
      </c>
      <c r="H306" s="1636">
        <f t="shared" si="167"/>
        <v>4.4800000000000004</v>
      </c>
      <c r="I306" s="1636">
        <f t="shared" si="168"/>
        <v>21.12</v>
      </c>
      <c r="J306" s="1723">
        <f t="shared" si="169"/>
        <v>126.72</v>
      </c>
      <c r="K306" s="2007">
        <f t="shared" si="170"/>
        <v>99.84</v>
      </c>
      <c r="L306" s="2007">
        <f t="shared" si="171"/>
        <v>26.88</v>
      </c>
      <c r="M306" s="2016"/>
      <c r="N306" s="2016"/>
      <c r="O306" s="2016"/>
      <c r="P306" s="2016">
        <f t="shared" si="172"/>
        <v>6.3360000000000003</v>
      </c>
      <c r="Q306" s="2016"/>
      <c r="R306" s="2016"/>
      <c r="S306" s="2016">
        <f t="shared" si="173"/>
        <v>12.672000000000001</v>
      </c>
      <c r="T306" s="2016">
        <f t="shared" si="174"/>
        <v>12.672000000000001</v>
      </c>
      <c r="U306" s="2016">
        <f t="shared" si="175"/>
        <v>25.344000000000001</v>
      </c>
      <c r="V306" s="2016">
        <f t="shared" si="176"/>
        <v>31.68</v>
      </c>
      <c r="W306" s="2016">
        <f t="shared" si="177"/>
        <v>38.015999999999998</v>
      </c>
      <c r="X306" s="2016"/>
      <c r="Y306" s="2016"/>
      <c r="Z306" s="2016"/>
    </row>
    <row r="307" spans="1:26" s="2009" customFormat="1" ht="30" x14ac:dyDescent="0.2">
      <c r="A307" s="1635" t="s">
        <v>5987</v>
      </c>
      <c r="B307" s="1984" t="s">
        <v>4448</v>
      </c>
      <c r="C307" s="1984">
        <v>89594</v>
      </c>
      <c r="D307" s="1813" t="s">
        <v>5986</v>
      </c>
      <c r="E307" s="1638">
        <f>QuantitativosÁgFria!G72</f>
        <v>1</v>
      </c>
      <c r="F307" s="1639" t="s">
        <v>5284</v>
      </c>
      <c r="G307" s="1648">
        <v>27.83</v>
      </c>
      <c r="H307" s="1636">
        <f t="shared" si="167"/>
        <v>7.49</v>
      </c>
      <c r="I307" s="1636">
        <f t="shared" si="168"/>
        <v>35.32</v>
      </c>
      <c r="J307" s="1723">
        <f t="shared" si="169"/>
        <v>35.32</v>
      </c>
      <c r="K307" s="2007">
        <f t="shared" si="170"/>
        <v>27.83</v>
      </c>
      <c r="L307" s="2007">
        <f t="shared" si="171"/>
        <v>7.49</v>
      </c>
      <c r="M307" s="2016"/>
      <c r="N307" s="2016"/>
      <c r="O307" s="2016"/>
      <c r="P307" s="2016">
        <f t="shared" si="172"/>
        <v>1.766</v>
      </c>
      <c r="Q307" s="2016"/>
      <c r="R307" s="2016"/>
      <c r="S307" s="2016">
        <f t="shared" si="173"/>
        <v>3.532</v>
      </c>
      <c r="T307" s="2016">
        <f t="shared" si="174"/>
        <v>3.532</v>
      </c>
      <c r="U307" s="2016">
        <f t="shared" si="175"/>
        <v>7.0640000000000001</v>
      </c>
      <c r="V307" s="2016">
        <f t="shared" si="176"/>
        <v>8.83</v>
      </c>
      <c r="W307" s="2016">
        <f t="shared" si="177"/>
        <v>10.596</v>
      </c>
      <c r="X307" s="2016"/>
      <c r="Y307" s="2016"/>
      <c r="Z307" s="2016"/>
    </row>
    <row r="308" spans="1:26" s="2009" customFormat="1" ht="15" x14ac:dyDescent="0.2">
      <c r="A308" s="1634" t="s">
        <v>5988</v>
      </c>
      <c r="B308" s="2136" t="s">
        <v>5989</v>
      </c>
      <c r="C308" s="2136"/>
      <c r="D308" s="2136"/>
      <c r="E308" s="2136"/>
      <c r="F308" s="2136"/>
      <c r="G308" s="2136"/>
      <c r="H308" s="2136"/>
      <c r="I308" s="2136"/>
      <c r="J308" s="2136"/>
      <c r="K308" s="2007">
        <f t="shared" si="170"/>
        <v>0</v>
      </c>
      <c r="L308" s="2007">
        <f t="shared" si="171"/>
        <v>0</v>
      </c>
      <c r="M308" s="2016"/>
      <c r="N308" s="2016"/>
      <c r="O308" s="2016"/>
      <c r="P308" s="2016"/>
      <c r="Q308" s="2016"/>
      <c r="R308" s="2016"/>
      <c r="S308" s="2016"/>
      <c r="T308" s="2016"/>
      <c r="U308" s="2016"/>
      <c r="V308" s="2016"/>
      <c r="W308" s="2016"/>
      <c r="X308" s="2016"/>
      <c r="Y308" s="2016"/>
      <c r="Z308" s="2016"/>
    </row>
    <row r="309" spans="1:26" s="2009" customFormat="1" ht="45" x14ac:dyDescent="0.2">
      <c r="A309" s="1635" t="s">
        <v>7011</v>
      </c>
      <c r="B309" s="1984" t="s">
        <v>4448</v>
      </c>
      <c r="C309" s="1984" t="s">
        <v>6151</v>
      </c>
      <c r="D309" s="1813" t="s">
        <v>6152</v>
      </c>
      <c r="E309" s="1638">
        <v>16</v>
      </c>
      <c r="F309" s="1639" t="s">
        <v>5284</v>
      </c>
      <c r="G309" s="1648">
        <v>266.33999999999997</v>
      </c>
      <c r="H309" s="1636">
        <f t="shared" ref="H309:H334" si="178">ROUND(G309*$B$13,2)</f>
        <v>71.73</v>
      </c>
      <c r="I309" s="1636">
        <f t="shared" ref="I309:I334" si="179">H309+G309</f>
        <v>338.07</v>
      </c>
      <c r="J309" s="1723">
        <f t="shared" ref="J309:J334" si="180">ROUND(I309*E309,2)</f>
        <v>5409.12</v>
      </c>
      <c r="K309" s="2007">
        <f t="shared" si="170"/>
        <v>4261.4399999999996</v>
      </c>
      <c r="L309" s="2007">
        <f t="shared" si="171"/>
        <v>1147.68</v>
      </c>
      <c r="M309" s="2016"/>
      <c r="N309" s="2016"/>
      <c r="O309" s="2016"/>
      <c r="P309" s="2016">
        <f t="shared" ref="P309:P334" si="181">0.05*J309</f>
        <v>270.45600000000002</v>
      </c>
      <c r="Q309" s="2016"/>
      <c r="R309" s="2016"/>
      <c r="S309" s="2016">
        <f t="shared" ref="S309:S334" si="182">0.1*J309</f>
        <v>540.91200000000003</v>
      </c>
      <c r="T309" s="2016">
        <f t="shared" ref="T309:T334" si="183">0.1*J309</f>
        <v>540.91200000000003</v>
      </c>
      <c r="U309" s="2016">
        <f t="shared" ref="U309:U334" si="184">0.2*J309</f>
        <v>1081.8240000000001</v>
      </c>
      <c r="V309" s="2016">
        <f t="shared" ref="V309:V334" si="185">0.25*J309</f>
        <v>1352.28</v>
      </c>
      <c r="W309" s="2016">
        <f t="shared" ref="W309:W334" si="186">0.3*J309</f>
        <v>1622.7359999999999</v>
      </c>
      <c r="X309" s="2016"/>
      <c r="Y309" s="2016"/>
      <c r="Z309" s="2016"/>
    </row>
    <row r="310" spans="1:26" s="2009" customFormat="1" ht="90" x14ac:dyDescent="0.2">
      <c r="A310" s="1635" t="s">
        <v>7012</v>
      </c>
      <c r="B310" s="1984" t="s">
        <v>5281</v>
      </c>
      <c r="C310" s="1984">
        <v>7759</v>
      </c>
      <c r="D310" s="1813" t="s">
        <v>8561</v>
      </c>
      <c r="E310" s="1638">
        <v>4</v>
      </c>
      <c r="F310" s="1639" t="s">
        <v>5284</v>
      </c>
      <c r="G310" s="1648">
        <v>508.25000000000006</v>
      </c>
      <c r="H310" s="1636">
        <f t="shared" si="178"/>
        <v>136.87</v>
      </c>
      <c r="I310" s="1636">
        <f t="shared" si="179"/>
        <v>645.12000000000012</v>
      </c>
      <c r="J310" s="1723">
        <f t="shared" si="180"/>
        <v>2580.48</v>
      </c>
      <c r="K310" s="2007">
        <f t="shared" si="170"/>
        <v>2033</v>
      </c>
      <c r="L310" s="2007">
        <f t="shared" si="171"/>
        <v>547.48</v>
      </c>
      <c r="M310" s="2016"/>
      <c r="N310" s="2016"/>
      <c r="O310" s="2016"/>
      <c r="P310" s="2016">
        <f t="shared" si="181"/>
        <v>129.024</v>
      </c>
      <c r="Q310" s="2016"/>
      <c r="R310" s="2016"/>
      <c r="S310" s="2016">
        <f t="shared" si="182"/>
        <v>258.048</v>
      </c>
      <c r="T310" s="2016">
        <f t="shared" si="183"/>
        <v>258.048</v>
      </c>
      <c r="U310" s="2016">
        <f t="shared" si="184"/>
        <v>516.096</v>
      </c>
      <c r="V310" s="2016">
        <f t="shared" si="185"/>
        <v>645.12</v>
      </c>
      <c r="W310" s="2016">
        <f t="shared" si="186"/>
        <v>774.14400000000001</v>
      </c>
      <c r="X310" s="2016"/>
      <c r="Y310" s="2016"/>
      <c r="Z310" s="2016"/>
    </row>
    <row r="311" spans="1:26" s="2009" customFormat="1" ht="45" x14ac:dyDescent="0.2">
      <c r="A311" s="1635" t="s">
        <v>7013</v>
      </c>
      <c r="B311" s="1984" t="s">
        <v>4448</v>
      </c>
      <c r="C311" s="1984">
        <v>95469</v>
      </c>
      <c r="D311" s="1813" t="s">
        <v>7009</v>
      </c>
      <c r="E311" s="1638">
        <f>QuantitativosÁgFria!G73</f>
        <v>14</v>
      </c>
      <c r="F311" s="1639" t="s">
        <v>5284</v>
      </c>
      <c r="G311" s="1648">
        <v>165.42</v>
      </c>
      <c r="H311" s="1636">
        <f t="shared" si="178"/>
        <v>44.55</v>
      </c>
      <c r="I311" s="1636">
        <f t="shared" si="179"/>
        <v>209.96999999999997</v>
      </c>
      <c r="J311" s="1723">
        <f t="shared" si="180"/>
        <v>2939.58</v>
      </c>
      <c r="K311" s="2007">
        <f t="shared" si="170"/>
        <v>2315.88</v>
      </c>
      <c r="L311" s="2007">
        <f t="shared" si="171"/>
        <v>623.70000000000005</v>
      </c>
      <c r="M311" s="2016"/>
      <c r="N311" s="2016"/>
      <c r="O311" s="2016"/>
      <c r="P311" s="2016">
        <f t="shared" si="181"/>
        <v>146.97900000000001</v>
      </c>
      <c r="Q311" s="2016"/>
      <c r="R311" s="2016"/>
      <c r="S311" s="2016">
        <f t="shared" si="182"/>
        <v>293.95800000000003</v>
      </c>
      <c r="T311" s="2016">
        <f t="shared" si="183"/>
        <v>293.95800000000003</v>
      </c>
      <c r="U311" s="2016">
        <f t="shared" si="184"/>
        <v>587.91600000000005</v>
      </c>
      <c r="V311" s="2016">
        <f t="shared" si="185"/>
        <v>734.89499999999998</v>
      </c>
      <c r="W311" s="2016">
        <f t="shared" si="186"/>
        <v>881.87399999999991</v>
      </c>
      <c r="X311" s="2016"/>
      <c r="Y311" s="2016"/>
      <c r="Z311" s="2016"/>
    </row>
    <row r="312" spans="1:26" s="2009" customFormat="1" ht="45" x14ac:dyDescent="0.2">
      <c r="A312" s="1635" t="s">
        <v>7014</v>
      </c>
      <c r="B312" s="1984" t="s">
        <v>4448</v>
      </c>
      <c r="C312" s="1984">
        <v>95471</v>
      </c>
      <c r="D312" s="1813" t="s">
        <v>7010</v>
      </c>
      <c r="E312" s="1638">
        <f>QuantitativosÁgFria!G74</f>
        <v>4</v>
      </c>
      <c r="F312" s="1639" t="s">
        <v>5284</v>
      </c>
      <c r="G312" s="1648">
        <v>627.89</v>
      </c>
      <c r="H312" s="1636">
        <f t="shared" si="178"/>
        <v>169.09</v>
      </c>
      <c r="I312" s="1636">
        <f t="shared" si="179"/>
        <v>796.98</v>
      </c>
      <c r="J312" s="1723">
        <f t="shared" si="180"/>
        <v>3187.92</v>
      </c>
      <c r="K312" s="2007">
        <f t="shared" si="170"/>
        <v>2511.56</v>
      </c>
      <c r="L312" s="2007">
        <f t="shared" si="171"/>
        <v>676.36</v>
      </c>
      <c r="M312" s="2016"/>
      <c r="N312" s="2016"/>
      <c r="O312" s="2016"/>
      <c r="P312" s="2016">
        <f t="shared" si="181"/>
        <v>159.39600000000002</v>
      </c>
      <c r="Q312" s="2016"/>
      <c r="R312" s="2016"/>
      <c r="S312" s="2016">
        <f t="shared" si="182"/>
        <v>318.79200000000003</v>
      </c>
      <c r="T312" s="2016">
        <f t="shared" si="183"/>
        <v>318.79200000000003</v>
      </c>
      <c r="U312" s="2016">
        <f t="shared" si="184"/>
        <v>637.58400000000006</v>
      </c>
      <c r="V312" s="2016">
        <f t="shared" si="185"/>
        <v>796.98</v>
      </c>
      <c r="W312" s="2016">
        <f t="shared" si="186"/>
        <v>956.37599999999998</v>
      </c>
      <c r="X312" s="2016"/>
      <c r="Y312" s="2016"/>
      <c r="Z312" s="2016"/>
    </row>
    <row r="313" spans="1:26" s="2009" customFormat="1" ht="30" x14ac:dyDescent="0.2">
      <c r="A313" s="1635" t="s">
        <v>7016</v>
      </c>
      <c r="B313" s="1984" t="s">
        <v>5281</v>
      </c>
      <c r="C313" s="1984">
        <v>3707</v>
      </c>
      <c r="D313" s="1813" t="s">
        <v>7015</v>
      </c>
      <c r="E313" s="1638">
        <f>QuantitativosÁgFria!G75</f>
        <v>18</v>
      </c>
      <c r="F313" s="1639" t="s">
        <v>5284</v>
      </c>
      <c r="G313" s="1648">
        <v>74.400000000000006</v>
      </c>
      <c r="H313" s="1636">
        <f t="shared" si="178"/>
        <v>20.04</v>
      </c>
      <c r="I313" s="1636">
        <f t="shared" si="179"/>
        <v>94.44</v>
      </c>
      <c r="J313" s="1723">
        <f t="shared" si="180"/>
        <v>1699.92</v>
      </c>
      <c r="K313" s="2007">
        <f t="shared" si="170"/>
        <v>1339.2</v>
      </c>
      <c r="L313" s="2007">
        <f t="shared" si="171"/>
        <v>360.72</v>
      </c>
      <c r="M313" s="2016"/>
      <c r="N313" s="2016"/>
      <c r="O313" s="2016"/>
      <c r="P313" s="2016">
        <f t="shared" si="181"/>
        <v>84.996000000000009</v>
      </c>
      <c r="Q313" s="2016"/>
      <c r="R313" s="2016"/>
      <c r="S313" s="2016">
        <f t="shared" si="182"/>
        <v>169.99200000000002</v>
      </c>
      <c r="T313" s="2016">
        <f t="shared" si="183"/>
        <v>169.99200000000002</v>
      </c>
      <c r="U313" s="2016">
        <f t="shared" si="184"/>
        <v>339.98400000000004</v>
      </c>
      <c r="V313" s="2016">
        <f t="shared" si="185"/>
        <v>424.98</v>
      </c>
      <c r="W313" s="2016">
        <f t="shared" si="186"/>
        <v>509.976</v>
      </c>
      <c r="X313" s="2016"/>
      <c r="Y313" s="2016"/>
      <c r="Z313" s="2016"/>
    </row>
    <row r="314" spans="1:26" s="2009" customFormat="1" ht="15" x14ac:dyDescent="0.2">
      <c r="A314" s="1635" t="s">
        <v>7034</v>
      </c>
      <c r="B314" s="1984" t="s">
        <v>5281</v>
      </c>
      <c r="C314" s="1984">
        <v>802</v>
      </c>
      <c r="D314" s="1813" t="s">
        <v>7035</v>
      </c>
      <c r="E314" s="1638">
        <v>4</v>
      </c>
      <c r="F314" s="1639" t="s">
        <v>5284</v>
      </c>
      <c r="G314" s="1648">
        <v>681.31999999999994</v>
      </c>
      <c r="H314" s="1636">
        <f t="shared" si="178"/>
        <v>183.48</v>
      </c>
      <c r="I314" s="1636">
        <f t="shared" si="179"/>
        <v>864.8</v>
      </c>
      <c r="J314" s="1723">
        <f t="shared" si="180"/>
        <v>3459.2</v>
      </c>
      <c r="K314" s="2007">
        <f t="shared" si="170"/>
        <v>2725.28</v>
      </c>
      <c r="L314" s="2007">
        <f t="shared" si="171"/>
        <v>733.92</v>
      </c>
      <c r="M314" s="2016"/>
      <c r="N314" s="2016"/>
      <c r="O314" s="2016"/>
      <c r="P314" s="2016">
        <f t="shared" si="181"/>
        <v>172.96</v>
      </c>
      <c r="Q314" s="2016"/>
      <c r="R314" s="2016"/>
      <c r="S314" s="2016">
        <f t="shared" si="182"/>
        <v>345.92</v>
      </c>
      <c r="T314" s="2016">
        <f t="shared" si="183"/>
        <v>345.92</v>
      </c>
      <c r="U314" s="2016">
        <f t="shared" si="184"/>
        <v>691.84</v>
      </c>
      <c r="V314" s="2016">
        <f t="shared" si="185"/>
        <v>864.8</v>
      </c>
      <c r="W314" s="2016">
        <f t="shared" si="186"/>
        <v>1037.76</v>
      </c>
      <c r="X314" s="2016"/>
      <c r="Y314" s="2016"/>
      <c r="Z314" s="2016"/>
    </row>
    <row r="315" spans="1:26" s="2009" customFormat="1" ht="45" x14ac:dyDescent="0.2">
      <c r="A315" s="1635" t="s">
        <v>6009</v>
      </c>
      <c r="B315" s="1984" t="s">
        <v>4448</v>
      </c>
      <c r="C315" s="1984">
        <v>100858</v>
      </c>
      <c r="D315" s="1813" t="s">
        <v>9471</v>
      </c>
      <c r="E315" s="1638">
        <f>QuantitativosÁgFria!G78</f>
        <v>6</v>
      </c>
      <c r="F315" s="1639" t="s">
        <v>5284</v>
      </c>
      <c r="G315" s="1648">
        <v>462.09</v>
      </c>
      <c r="H315" s="1636">
        <f t="shared" si="178"/>
        <v>124.44</v>
      </c>
      <c r="I315" s="1636">
        <f t="shared" si="179"/>
        <v>586.53</v>
      </c>
      <c r="J315" s="1723">
        <f t="shared" si="180"/>
        <v>3519.18</v>
      </c>
      <c r="K315" s="2007">
        <f t="shared" si="170"/>
        <v>2772.54</v>
      </c>
      <c r="L315" s="2007">
        <f t="shared" si="171"/>
        <v>746.64</v>
      </c>
      <c r="M315" s="2016"/>
      <c r="N315" s="2016"/>
      <c r="O315" s="2016"/>
      <c r="P315" s="2016">
        <f t="shared" si="181"/>
        <v>175.959</v>
      </c>
      <c r="Q315" s="2016"/>
      <c r="R315" s="2016"/>
      <c r="S315" s="2016">
        <f t="shared" si="182"/>
        <v>351.91800000000001</v>
      </c>
      <c r="T315" s="2016">
        <f t="shared" si="183"/>
        <v>351.91800000000001</v>
      </c>
      <c r="U315" s="2016">
        <f t="shared" si="184"/>
        <v>703.83600000000001</v>
      </c>
      <c r="V315" s="2016">
        <f t="shared" si="185"/>
        <v>879.79499999999996</v>
      </c>
      <c r="W315" s="2016">
        <f t="shared" si="186"/>
        <v>1055.7539999999999</v>
      </c>
      <c r="X315" s="2016"/>
      <c r="Y315" s="2016"/>
      <c r="Z315" s="2016"/>
    </row>
    <row r="316" spans="1:26" s="2009" customFormat="1" ht="60" x14ac:dyDescent="0.2">
      <c r="A316" s="1635" t="s">
        <v>7019</v>
      </c>
      <c r="B316" s="1984" t="s">
        <v>4448</v>
      </c>
      <c r="C316" s="1984">
        <v>86936</v>
      </c>
      <c r="D316" s="1813" t="s">
        <v>5991</v>
      </c>
      <c r="E316" s="1638">
        <v>1</v>
      </c>
      <c r="F316" s="1639" t="s">
        <v>5284</v>
      </c>
      <c r="G316" s="1648">
        <v>303.07</v>
      </c>
      <c r="H316" s="1636">
        <f t="shared" si="178"/>
        <v>81.62</v>
      </c>
      <c r="I316" s="1636">
        <f t="shared" si="179"/>
        <v>384.69</v>
      </c>
      <c r="J316" s="1723">
        <f t="shared" si="180"/>
        <v>384.69</v>
      </c>
      <c r="K316" s="2007">
        <f t="shared" si="170"/>
        <v>303.07</v>
      </c>
      <c r="L316" s="2007">
        <f t="shared" si="171"/>
        <v>81.62</v>
      </c>
      <c r="M316" s="2016"/>
      <c r="N316" s="2016"/>
      <c r="O316" s="2016"/>
      <c r="P316" s="2016">
        <f t="shared" si="181"/>
        <v>19.234500000000001</v>
      </c>
      <c r="Q316" s="2016"/>
      <c r="R316" s="2016"/>
      <c r="S316" s="2016">
        <f t="shared" si="182"/>
        <v>38.469000000000001</v>
      </c>
      <c r="T316" s="2016">
        <f t="shared" si="183"/>
        <v>38.469000000000001</v>
      </c>
      <c r="U316" s="2016">
        <f t="shared" si="184"/>
        <v>76.938000000000002</v>
      </c>
      <c r="V316" s="2016">
        <f t="shared" si="185"/>
        <v>96.172499999999999</v>
      </c>
      <c r="W316" s="2016">
        <f t="shared" si="186"/>
        <v>115.407</v>
      </c>
      <c r="X316" s="2016"/>
      <c r="Y316" s="2016"/>
      <c r="Z316" s="2016"/>
    </row>
    <row r="317" spans="1:26" s="2009" customFormat="1" ht="60" x14ac:dyDescent="0.2">
      <c r="A317" s="1635" t="s">
        <v>7020</v>
      </c>
      <c r="B317" s="1984" t="s">
        <v>4448</v>
      </c>
      <c r="C317" s="1984" t="s">
        <v>6010</v>
      </c>
      <c r="D317" s="1813" t="s">
        <v>5992</v>
      </c>
      <c r="E317" s="1638">
        <f>4+12+4+4+4</f>
        <v>28</v>
      </c>
      <c r="F317" s="1639" t="s">
        <v>5284</v>
      </c>
      <c r="G317" s="1648">
        <v>593.16999999999996</v>
      </c>
      <c r="H317" s="1636">
        <f t="shared" si="178"/>
        <v>159.74</v>
      </c>
      <c r="I317" s="1636">
        <f t="shared" si="179"/>
        <v>752.91</v>
      </c>
      <c r="J317" s="1723">
        <f t="shared" si="180"/>
        <v>21081.48</v>
      </c>
      <c r="K317" s="2007">
        <f t="shared" si="170"/>
        <v>16608.759999999998</v>
      </c>
      <c r="L317" s="2007">
        <f t="shared" si="171"/>
        <v>4472.72</v>
      </c>
      <c r="M317" s="2016"/>
      <c r="N317" s="2016"/>
      <c r="O317" s="2016"/>
      <c r="P317" s="2016">
        <f t="shared" si="181"/>
        <v>1054.0740000000001</v>
      </c>
      <c r="Q317" s="2016"/>
      <c r="R317" s="2016"/>
      <c r="S317" s="2016">
        <f t="shared" si="182"/>
        <v>2108.1480000000001</v>
      </c>
      <c r="T317" s="2016">
        <f t="shared" si="183"/>
        <v>2108.1480000000001</v>
      </c>
      <c r="U317" s="2016">
        <f t="shared" si="184"/>
        <v>4216.2960000000003</v>
      </c>
      <c r="V317" s="2016">
        <f t="shared" si="185"/>
        <v>5270.37</v>
      </c>
      <c r="W317" s="2016">
        <f t="shared" si="186"/>
        <v>6324.4439999999995</v>
      </c>
      <c r="X317" s="2016"/>
      <c r="Y317" s="2016"/>
      <c r="Z317" s="2016"/>
    </row>
    <row r="318" spans="1:26" s="2009" customFormat="1" ht="60" x14ac:dyDescent="0.2">
      <c r="A318" s="1635" t="s">
        <v>7021</v>
      </c>
      <c r="B318" s="1984" t="s">
        <v>4448</v>
      </c>
      <c r="C318" s="1984" t="s">
        <v>6011</v>
      </c>
      <c r="D318" s="1813" t="s">
        <v>5993</v>
      </c>
      <c r="E318" s="1638">
        <v>5</v>
      </c>
      <c r="F318" s="1639" t="s">
        <v>5284</v>
      </c>
      <c r="G318" s="1648">
        <v>950.62</v>
      </c>
      <c r="H318" s="1636">
        <f t="shared" si="178"/>
        <v>256</v>
      </c>
      <c r="I318" s="1636">
        <f t="shared" si="179"/>
        <v>1206.6199999999999</v>
      </c>
      <c r="J318" s="1723">
        <f t="shared" si="180"/>
        <v>6033.1</v>
      </c>
      <c r="K318" s="2007">
        <f t="shared" ref="K318:K338" si="187">ROUND(G318*E318,2)</f>
        <v>4753.1000000000004</v>
      </c>
      <c r="L318" s="2007">
        <f t="shared" ref="L318:L338" si="188">ROUND(H318*E318,2)</f>
        <v>1280</v>
      </c>
      <c r="M318" s="2016"/>
      <c r="N318" s="2016"/>
      <c r="O318" s="2016"/>
      <c r="P318" s="2016">
        <f t="shared" si="181"/>
        <v>301.65500000000003</v>
      </c>
      <c r="Q318" s="2016"/>
      <c r="R318" s="2016"/>
      <c r="S318" s="2016">
        <f t="shared" si="182"/>
        <v>603.31000000000006</v>
      </c>
      <c r="T318" s="2016">
        <f t="shared" si="183"/>
        <v>603.31000000000006</v>
      </c>
      <c r="U318" s="2016">
        <f t="shared" si="184"/>
        <v>1206.6200000000001</v>
      </c>
      <c r="V318" s="2016">
        <f t="shared" si="185"/>
        <v>1508.2750000000001</v>
      </c>
      <c r="W318" s="2016">
        <f t="shared" si="186"/>
        <v>1809.93</v>
      </c>
      <c r="X318" s="2016"/>
      <c r="Y318" s="2016"/>
      <c r="Z318" s="2016"/>
    </row>
    <row r="319" spans="1:26" s="2009" customFormat="1" ht="60" x14ac:dyDescent="0.2">
      <c r="A319" s="1635" t="s">
        <v>7022</v>
      </c>
      <c r="B319" s="1984" t="s">
        <v>4448</v>
      </c>
      <c r="C319" s="1984" t="s">
        <v>6012</v>
      </c>
      <c r="D319" s="1813" t="s">
        <v>5994</v>
      </c>
      <c r="E319" s="1638">
        <f>1+4+2+1</f>
        <v>8</v>
      </c>
      <c r="F319" s="1639" t="s">
        <v>5284</v>
      </c>
      <c r="G319" s="1648">
        <v>1155.73</v>
      </c>
      <c r="H319" s="1636">
        <f t="shared" si="178"/>
        <v>311.24</v>
      </c>
      <c r="I319" s="1636">
        <f t="shared" si="179"/>
        <v>1466.97</v>
      </c>
      <c r="J319" s="1723">
        <f t="shared" si="180"/>
        <v>11735.76</v>
      </c>
      <c r="K319" s="2007">
        <f t="shared" si="187"/>
        <v>9245.84</v>
      </c>
      <c r="L319" s="2007">
        <f t="shared" si="188"/>
        <v>2489.92</v>
      </c>
      <c r="M319" s="2016"/>
      <c r="N319" s="2016"/>
      <c r="O319" s="2016"/>
      <c r="P319" s="2016">
        <f t="shared" si="181"/>
        <v>586.78800000000001</v>
      </c>
      <c r="Q319" s="2016"/>
      <c r="R319" s="2016"/>
      <c r="S319" s="2016">
        <f t="shared" si="182"/>
        <v>1173.576</v>
      </c>
      <c r="T319" s="2016">
        <f t="shared" si="183"/>
        <v>1173.576</v>
      </c>
      <c r="U319" s="2016">
        <f t="shared" si="184"/>
        <v>2347.152</v>
      </c>
      <c r="V319" s="2016">
        <f t="shared" si="185"/>
        <v>2933.94</v>
      </c>
      <c r="W319" s="2016">
        <f t="shared" si="186"/>
        <v>3520.7280000000001</v>
      </c>
      <c r="X319" s="2016"/>
      <c r="Y319" s="2016"/>
      <c r="Z319" s="2016"/>
    </row>
    <row r="320" spans="1:26" s="2009" customFormat="1" ht="30" x14ac:dyDescent="0.2">
      <c r="A320" s="1635" t="s">
        <v>6013</v>
      </c>
      <c r="B320" s="1984" t="s">
        <v>4448</v>
      </c>
      <c r="C320" s="1984">
        <v>86872</v>
      </c>
      <c r="D320" s="1813" t="s">
        <v>5995</v>
      </c>
      <c r="E320" s="1638">
        <f>QuantitativosÁgFria!G79</f>
        <v>1</v>
      </c>
      <c r="F320" s="1639" t="s">
        <v>5284</v>
      </c>
      <c r="G320" s="1648">
        <v>611.47</v>
      </c>
      <c r="H320" s="1636">
        <f t="shared" si="178"/>
        <v>164.67</v>
      </c>
      <c r="I320" s="1636">
        <f t="shared" si="179"/>
        <v>776.14</v>
      </c>
      <c r="J320" s="1723">
        <f t="shared" si="180"/>
        <v>776.14</v>
      </c>
      <c r="K320" s="2007">
        <f t="shared" si="187"/>
        <v>611.47</v>
      </c>
      <c r="L320" s="2007">
        <f t="shared" si="188"/>
        <v>164.67</v>
      </c>
      <c r="M320" s="2016"/>
      <c r="N320" s="2016"/>
      <c r="O320" s="2016"/>
      <c r="P320" s="2016">
        <f t="shared" si="181"/>
        <v>38.807000000000002</v>
      </c>
      <c r="Q320" s="2016"/>
      <c r="R320" s="2016"/>
      <c r="S320" s="2016">
        <f t="shared" si="182"/>
        <v>77.614000000000004</v>
      </c>
      <c r="T320" s="2016">
        <f t="shared" si="183"/>
        <v>77.614000000000004</v>
      </c>
      <c r="U320" s="2016">
        <f t="shared" si="184"/>
        <v>155.22800000000001</v>
      </c>
      <c r="V320" s="2016">
        <f t="shared" si="185"/>
        <v>194.035</v>
      </c>
      <c r="W320" s="2016">
        <f t="shared" si="186"/>
        <v>232.84199999999998</v>
      </c>
      <c r="X320" s="2016"/>
      <c r="Y320" s="2016"/>
      <c r="Z320" s="2016"/>
    </row>
    <row r="321" spans="1:26" s="2009" customFormat="1" ht="30" x14ac:dyDescent="0.2">
      <c r="A321" s="1635" t="s">
        <v>7023</v>
      </c>
      <c r="B321" s="1984" t="s">
        <v>4448</v>
      </c>
      <c r="C321" s="1984" t="s">
        <v>6014</v>
      </c>
      <c r="D321" s="1813" t="s">
        <v>5996</v>
      </c>
      <c r="E321" s="1638">
        <f>QuantitativosÁgFria!G81</f>
        <v>20</v>
      </c>
      <c r="F321" s="1639" t="s">
        <v>5284</v>
      </c>
      <c r="G321" s="1648">
        <v>153.71999999999997</v>
      </c>
      <c r="H321" s="1636">
        <f t="shared" si="178"/>
        <v>41.4</v>
      </c>
      <c r="I321" s="1636">
        <f t="shared" si="179"/>
        <v>195.11999999999998</v>
      </c>
      <c r="J321" s="1723">
        <f t="shared" si="180"/>
        <v>3902.4</v>
      </c>
      <c r="K321" s="2007">
        <f t="shared" si="187"/>
        <v>3074.4</v>
      </c>
      <c r="L321" s="2007">
        <f t="shared" si="188"/>
        <v>828</v>
      </c>
      <c r="M321" s="2016"/>
      <c r="N321" s="2016"/>
      <c r="O321" s="2016"/>
      <c r="P321" s="2016">
        <f t="shared" si="181"/>
        <v>195.12</v>
      </c>
      <c r="Q321" s="2016"/>
      <c r="R321" s="2016"/>
      <c r="S321" s="2016">
        <f t="shared" si="182"/>
        <v>390.24</v>
      </c>
      <c r="T321" s="2016">
        <f t="shared" si="183"/>
        <v>390.24</v>
      </c>
      <c r="U321" s="2016">
        <f t="shared" si="184"/>
        <v>780.48</v>
      </c>
      <c r="V321" s="2016">
        <f t="shared" si="185"/>
        <v>975.6</v>
      </c>
      <c r="W321" s="2016">
        <f t="shared" si="186"/>
        <v>1170.72</v>
      </c>
      <c r="X321" s="2016"/>
      <c r="Y321" s="2016"/>
      <c r="Z321" s="2016"/>
    </row>
    <row r="322" spans="1:26" s="2009" customFormat="1" ht="45" x14ac:dyDescent="0.2">
      <c r="A322" s="1635" t="s">
        <v>7024</v>
      </c>
      <c r="B322" s="1984" t="s">
        <v>4448</v>
      </c>
      <c r="C322" s="1984">
        <v>86910</v>
      </c>
      <c r="D322" s="1813" t="s">
        <v>5997</v>
      </c>
      <c r="E322" s="1638">
        <f>QuantitativosÁgFria!G82</f>
        <v>45</v>
      </c>
      <c r="F322" s="1639" t="s">
        <v>5284</v>
      </c>
      <c r="G322" s="1648">
        <v>89.34</v>
      </c>
      <c r="H322" s="1636">
        <f t="shared" si="178"/>
        <v>24.06</v>
      </c>
      <c r="I322" s="1636">
        <f t="shared" si="179"/>
        <v>113.4</v>
      </c>
      <c r="J322" s="1723">
        <f t="shared" si="180"/>
        <v>5103</v>
      </c>
      <c r="K322" s="2007">
        <f t="shared" si="187"/>
        <v>4020.3</v>
      </c>
      <c r="L322" s="2007">
        <f t="shared" si="188"/>
        <v>1082.7</v>
      </c>
      <c r="M322" s="2016"/>
      <c r="N322" s="2016"/>
      <c r="O322" s="2016"/>
      <c r="P322" s="2016">
        <f t="shared" si="181"/>
        <v>255.15</v>
      </c>
      <c r="Q322" s="2016"/>
      <c r="R322" s="2016"/>
      <c r="S322" s="2016">
        <f t="shared" si="182"/>
        <v>510.3</v>
      </c>
      <c r="T322" s="2016">
        <f t="shared" si="183"/>
        <v>510.3</v>
      </c>
      <c r="U322" s="2016">
        <f t="shared" si="184"/>
        <v>1020.6</v>
      </c>
      <c r="V322" s="2016">
        <f t="shared" si="185"/>
        <v>1275.75</v>
      </c>
      <c r="W322" s="2016">
        <f t="shared" si="186"/>
        <v>1530.8999999999999</v>
      </c>
      <c r="X322" s="2016"/>
      <c r="Y322" s="2016"/>
      <c r="Z322" s="2016"/>
    </row>
    <row r="323" spans="1:26" s="2009" customFormat="1" ht="30" x14ac:dyDescent="0.2">
      <c r="A323" s="1635" t="s">
        <v>7025</v>
      </c>
      <c r="B323" s="1984" t="s">
        <v>5281</v>
      </c>
      <c r="C323" s="1984">
        <v>4392</v>
      </c>
      <c r="D323" s="1813" t="s">
        <v>5998</v>
      </c>
      <c r="E323" s="1638">
        <f>QuantitativosÁgFria!G83</f>
        <v>2</v>
      </c>
      <c r="F323" s="1639" t="s">
        <v>5284</v>
      </c>
      <c r="G323" s="1648">
        <v>456.64</v>
      </c>
      <c r="H323" s="1636">
        <f t="shared" si="178"/>
        <v>122.97</v>
      </c>
      <c r="I323" s="1636">
        <f t="shared" si="179"/>
        <v>579.61</v>
      </c>
      <c r="J323" s="1723">
        <f t="shared" si="180"/>
        <v>1159.22</v>
      </c>
      <c r="K323" s="2007">
        <f t="shared" si="187"/>
        <v>913.28</v>
      </c>
      <c r="L323" s="2007">
        <f t="shared" si="188"/>
        <v>245.94</v>
      </c>
      <c r="M323" s="2016"/>
      <c r="N323" s="2016"/>
      <c r="O323" s="2016"/>
      <c r="P323" s="2016">
        <f t="shared" si="181"/>
        <v>57.961000000000006</v>
      </c>
      <c r="Q323" s="2016"/>
      <c r="R323" s="2016"/>
      <c r="S323" s="2016">
        <f t="shared" si="182"/>
        <v>115.92200000000001</v>
      </c>
      <c r="T323" s="2016">
        <f t="shared" si="183"/>
        <v>115.92200000000001</v>
      </c>
      <c r="U323" s="2016">
        <f t="shared" si="184"/>
        <v>231.84400000000002</v>
      </c>
      <c r="V323" s="2016">
        <f t="shared" si="185"/>
        <v>289.80500000000001</v>
      </c>
      <c r="W323" s="2016">
        <f t="shared" si="186"/>
        <v>347.76600000000002</v>
      </c>
      <c r="X323" s="2016"/>
      <c r="Y323" s="2016"/>
      <c r="Z323" s="2016"/>
    </row>
    <row r="324" spans="1:26" s="2009" customFormat="1" ht="30" x14ac:dyDescent="0.2">
      <c r="A324" s="1635" t="s">
        <v>7026</v>
      </c>
      <c r="B324" s="1984" t="s">
        <v>4448</v>
      </c>
      <c r="C324" s="1984">
        <v>86913</v>
      </c>
      <c r="D324" s="1813" t="s">
        <v>7028</v>
      </c>
      <c r="E324" s="1638">
        <f>QuantitativosÁgFria!G84</f>
        <v>9</v>
      </c>
      <c r="F324" s="1639" t="s">
        <v>5284</v>
      </c>
      <c r="G324" s="1648">
        <v>17.989999999999998</v>
      </c>
      <c r="H324" s="1636">
        <f t="shared" si="178"/>
        <v>4.84</v>
      </c>
      <c r="I324" s="1636">
        <f t="shared" si="179"/>
        <v>22.83</v>
      </c>
      <c r="J324" s="1723">
        <f t="shared" si="180"/>
        <v>205.47</v>
      </c>
      <c r="K324" s="2007">
        <f t="shared" si="187"/>
        <v>161.91</v>
      </c>
      <c r="L324" s="2007">
        <f t="shared" si="188"/>
        <v>43.56</v>
      </c>
      <c r="M324" s="2016"/>
      <c r="N324" s="2016"/>
      <c r="O324" s="2016"/>
      <c r="P324" s="2016">
        <f t="shared" si="181"/>
        <v>10.2735</v>
      </c>
      <c r="Q324" s="2016"/>
      <c r="R324" s="2016"/>
      <c r="S324" s="2016">
        <f t="shared" si="182"/>
        <v>20.547000000000001</v>
      </c>
      <c r="T324" s="2016">
        <f t="shared" si="183"/>
        <v>20.547000000000001</v>
      </c>
      <c r="U324" s="2016">
        <f t="shared" si="184"/>
        <v>41.094000000000001</v>
      </c>
      <c r="V324" s="2016">
        <f t="shared" si="185"/>
        <v>51.3675</v>
      </c>
      <c r="W324" s="2016">
        <f t="shared" si="186"/>
        <v>61.640999999999998</v>
      </c>
      <c r="X324" s="2016"/>
      <c r="Y324" s="2016"/>
      <c r="Z324" s="2016"/>
    </row>
    <row r="325" spans="1:26" s="2009" customFormat="1" ht="30" x14ac:dyDescent="0.2">
      <c r="A325" s="1635" t="s">
        <v>7027</v>
      </c>
      <c r="B325" s="1984" t="s">
        <v>4448</v>
      </c>
      <c r="C325" s="1984" t="s">
        <v>6015</v>
      </c>
      <c r="D325" s="1813" t="s">
        <v>6000</v>
      </c>
      <c r="E325" s="1638">
        <f>QuantitativosÁgFria!G85</f>
        <v>9</v>
      </c>
      <c r="F325" s="1639" t="s">
        <v>5284</v>
      </c>
      <c r="G325" s="1648">
        <v>57.140000000000008</v>
      </c>
      <c r="H325" s="1636">
        <f t="shared" si="178"/>
        <v>15.39</v>
      </c>
      <c r="I325" s="1636">
        <f t="shared" si="179"/>
        <v>72.53</v>
      </c>
      <c r="J325" s="1723">
        <f t="shared" si="180"/>
        <v>652.77</v>
      </c>
      <c r="K325" s="2007">
        <f t="shared" si="187"/>
        <v>514.26</v>
      </c>
      <c r="L325" s="2007">
        <f t="shared" si="188"/>
        <v>138.51</v>
      </c>
      <c r="M325" s="2016"/>
      <c r="N325" s="2016"/>
      <c r="O325" s="2016"/>
      <c r="P325" s="2016">
        <f t="shared" si="181"/>
        <v>32.638500000000001</v>
      </c>
      <c r="Q325" s="2016"/>
      <c r="R325" s="2016"/>
      <c r="S325" s="2016">
        <f t="shared" si="182"/>
        <v>65.277000000000001</v>
      </c>
      <c r="T325" s="2016">
        <f t="shared" si="183"/>
        <v>65.277000000000001</v>
      </c>
      <c r="U325" s="2016">
        <f t="shared" si="184"/>
        <v>130.554</v>
      </c>
      <c r="V325" s="2016">
        <f t="shared" si="185"/>
        <v>163.1925</v>
      </c>
      <c r="W325" s="2016">
        <f t="shared" si="186"/>
        <v>195.83099999999999</v>
      </c>
      <c r="X325" s="2016"/>
      <c r="Y325" s="2016"/>
      <c r="Z325" s="2016"/>
    </row>
    <row r="326" spans="1:26" s="2009" customFormat="1" ht="45" x14ac:dyDescent="0.2">
      <c r="A326" s="1635" t="s">
        <v>6016</v>
      </c>
      <c r="B326" s="1984" t="s">
        <v>4448</v>
      </c>
      <c r="C326" s="1984">
        <v>89985</v>
      </c>
      <c r="D326" s="1813" t="s">
        <v>6001</v>
      </c>
      <c r="E326" s="1638">
        <f>QuantitativosÁgFria!G86</f>
        <v>7</v>
      </c>
      <c r="F326" s="1639" t="s">
        <v>5284</v>
      </c>
      <c r="G326" s="1648">
        <v>74.17</v>
      </c>
      <c r="H326" s="1636">
        <f t="shared" si="178"/>
        <v>19.97</v>
      </c>
      <c r="I326" s="1636">
        <f t="shared" si="179"/>
        <v>94.14</v>
      </c>
      <c r="J326" s="1723">
        <f t="shared" si="180"/>
        <v>658.98</v>
      </c>
      <c r="K326" s="2007">
        <f t="shared" si="187"/>
        <v>519.19000000000005</v>
      </c>
      <c r="L326" s="2007">
        <f t="shared" si="188"/>
        <v>139.79</v>
      </c>
      <c r="M326" s="2016"/>
      <c r="N326" s="2016"/>
      <c r="O326" s="2016"/>
      <c r="P326" s="2016">
        <f t="shared" si="181"/>
        <v>32.949000000000005</v>
      </c>
      <c r="Q326" s="2016"/>
      <c r="R326" s="2016"/>
      <c r="S326" s="2016">
        <f t="shared" si="182"/>
        <v>65.89800000000001</v>
      </c>
      <c r="T326" s="2016">
        <f t="shared" si="183"/>
        <v>65.89800000000001</v>
      </c>
      <c r="U326" s="2016">
        <f t="shared" si="184"/>
        <v>131.79600000000002</v>
      </c>
      <c r="V326" s="2016">
        <f t="shared" si="185"/>
        <v>164.745</v>
      </c>
      <c r="W326" s="2016">
        <f t="shared" si="186"/>
        <v>197.69399999999999</v>
      </c>
      <c r="X326" s="2016"/>
      <c r="Y326" s="2016"/>
      <c r="Z326" s="2016"/>
    </row>
    <row r="327" spans="1:26" s="2009" customFormat="1" ht="45" x14ac:dyDescent="0.2">
      <c r="A327" s="1635" t="s">
        <v>7029</v>
      </c>
      <c r="B327" s="1984" t="s">
        <v>4448</v>
      </c>
      <c r="C327" s="1984">
        <v>89987</v>
      </c>
      <c r="D327" s="1813" t="s">
        <v>6002</v>
      </c>
      <c r="E327" s="1638">
        <f>QuantitativosÁgFria!G88</f>
        <v>27</v>
      </c>
      <c r="F327" s="1639" t="s">
        <v>5284</v>
      </c>
      <c r="G327" s="1648">
        <v>78.06</v>
      </c>
      <c r="H327" s="1636">
        <f t="shared" si="178"/>
        <v>21.02</v>
      </c>
      <c r="I327" s="1636">
        <f t="shared" si="179"/>
        <v>99.08</v>
      </c>
      <c r="J327" s="1723">
        <f t="shared" si="180"/>
        <v>2675.16</v>
      </c>
      <c r="K327" s="2007">
        <f t="shared" si="187"/>
        <v>2107.62</v>
      </c>
      <c r="L327" s="2007">
        <f t="shared" si="188"/>
        <v>567.54</v>
      </c>
      <c r="M327" s="2016"/>
      <c r="N327" s="2016"/>
      <c r="O327" s="2016"/>
      <c r="P327" s="2016">
        <f t="shared" si="181"/>
        <v>133.75800000000001</v>
      </c>
      <c r="Q327" s="2016"/>
      <c r="R327" s="2016"/>
      <c r="S327" s="2016">
        <f t="shared" si="182"/>
        <v>267.51600000000002</v>
      </c>
      <c r="T327" s="2016">
        <f t="shared" si="183"/>
        <v>267.51600000000002</v>
      </c>
      <c r="U327" s="2016">
        <f t="shared" si="184"/>
        <v>535.03200000000004</v>
      </c>
      <c r="V327" s="2016">
        <f t="shared" si="185"/>
        <v>668.79</v>
      </c>
      <c r="W327" s="2016">
        <f t="shared" si="186"/>
        <v>802.54799999999989</v>
      </c>
      <c r="X327" s="2016"/>
      <c r="Y327" s="2016"/>
      <c r="Z327" s="2016"/>
    </row>
    <row r="328" spans="1:26" s="2009" customFormat="1" ht="45" x14ac:dyDescent="0.2">
      <c r="A328" s="1635" t="s">
        <v>7030</v>
      </c>
      <c r="B328" s="1984" t="s">
        <v>4448</v>
      </c>
      <c r="C328" s="1984">
        <v>94495</v>
      </c>
      <c r="D328" s="1813" t="s">
        <v>6003</v>
      </c>
      <c r="E328" s="1638">
        <f>QuantitativosÁgFria!G89</f>
        <v>11</v>
      </c>
      <c r="F328" s="1639" t="s">
        <v>5284</v>
      </c>
      <c r="G328" s="1648">
        <v>71.7</v>
      </c>
      <c r="H328" s="1636">
        <f t="shared" si="178"/>
        <v>19.309999999999999</v>
      </c>
      <c r="I328" s="1636">
        <f t="shared" si="179"/>
        <v>91.01</v>
      </c>
      <c r="J328" s="1723">
        <f t="shared" si="180"/>
        <v>1001.11</v>
      </c>
      <c r="K328" s="2007">
        <f t="shared" si="187"/>
        <v>788.7</v>
      </c>
      <c r="L328" s="2007">
        <f t="shared" si="188"/>
        <v>212.41</v>
      </c>
      <c r="M328" s="2016"/>
      <c r="N328" s="2016"/>
      <c r="O328" s="2016"/>
      <c r="P328" s="2016">
        <f t="shared" si="181"/>
        <v>50.055500000000002</v>
      </c>
      <c r="Q328" s="2016"/>
      <c r="R328" s="2016"/>
      <c r="S328" s="2016">
        <f t="shared" si="182"/>
        <v>100.111</v>
      </c>
      <c r="T328" s="2016">
        <f t="shared" si="183"/>
        <v>100.111</v>
      </c>
      <c r="U328" s="2016">
        <f t="shared" si="184"/>
        <v>200.22200000000001</v>
      </c>
      <c r="V328" s="2016">
        <f t="shared" si="185"/>
        <v>250.2775</v>
      </c>
      <c r="W328" s="2016">
        <f t="shared" si="186"/>
        <v>300.33299999999997</v>
      </c>
      <c r="X328" s="2016"/>
      <c r="Y328" s="2016"/>
      <c r="Z328" s="2016"/>
    </row>
    <row r="329" spans="1:26" s="2009" customFormat="1" ht="30" x14ac:dyDescent="0.2">
      <c r="A329" s="1635" t="s">
        <v>9558</v>
      </c>
      <c r="B329" s="1984" t="s">
        <v>4448</v>
      </c>
      <c r="C329" s="1984">
        <v>94499</v>
      </c>
      <c r="D329" s="1813" t="s">
        <v>6004</v>
      </c>
      <c r="E329" s="1638">
        <f>QuantitativosÁgFria!G91</f>
        <v>5</v>
      </c>
      <c r="F329" s="1639" t="s">
        <v>5284</v>
      </c>
      <c r="G329" s="1648">
        <v>249.34</v>
      </c>
      <c r="H329" s="1636">
        <f t="shared" si="178"/>
        <v>67.150000000000006</v>
      </c>
      <c r="I329" s="1636">
        <f t="shared" si="179"/>
        <v>316.49</v>
      </c>
      <c r="J329" s="1723">
        <f t="shared" si="180"/>
        <v>1582.45</v>
      </c>
      <c r="K329" s="2007">
        <f t="shared" si="187"/>
        <v>1246.7</v>
      </c>
      <c r="L329" s="2007">
        <f t="shared" si="188"/>
        <v>335.75</v>
      </c>
      <c r="M329" s="2016"/>
      <c r="N329" s="2016"/>
      <c r="O329" s="2016"/>
      <c r="P329" s="2016">
        <f t="shared" si="181"/>
        <v>79.122500000000002</v>
      </c>
      <c r="Q329" s="2016"/>
      <c r="R329" s="2016"/>
      <c r="S329" s="2016">
        <f t="shared" si="182"/>
        <v>158.245</v>
      </c>
      <c r="T329" s="2016">
        <f t="shared" si="183"/>
        <v>158.245</v>
      </c>
      <c r="U329" s="2016">
        <f t="shared" si="184"/>
        <v>316.49</v>
      </c>
      <c r="V329" s="2016">
        <f t="shared" si="185"/>
        <v>395.61250000000001</v>
      </c>
      <c r="W329" s="2016">
        <f t="shared" si="186"/>
        <v>474.73500000000001</v>
      </c>
      <c r="X329" s="2016"/>
      <c r="Y329" s="2016"/>
      <c r="Z329" s="2016"/>
    </row>
    <row r="330" spans="1:26" s="2009" customFormat="1" ht="30" x14ac:dyDescent="0.2">
      <c r="A330" s="1635" t="s">
        <v>15088</v>
      </c>
      <c r="B330" s="1984" t="s">
        <v>4448</v>
      </c>
      <c r="C330" s="1984">
        <v>94497</v>
      </c>
      <c r="D330" s="1813" t="s">
        <v>6005</v>
      </c>
      <c r="E330" s="1638">
        <f>QuantitativosÁgFria!G92</f>
        <v>2</v>
      </c>
      <c r="F330" s="1639" t="s">
        <v>5284</v>
      </c>
      <c r="G330" s="1648">
        <v>104.23</v>
      </c>
      <c r="H330" s="1636">
        <f t="shared" si="178"/>
        <v>28.07</v>
      </c>
      <c r="I330" s="1636">
        <f t="shared" si="179"/>
        <v>132.30000000000001</v>
      </c>
      <c r="J330" s="1723">
        <f t="shared" si="180"/>
        <v>264.60000000000002</v>
      </c>
      <c r="K330" s="2007">
        <f t="shared" si="187"/>
        <v>208.46</v>
      </c>
      <c r="L330" s="2007">
        <f t="shared" si="188"/>
        <v>56.14</v>
      </c>
      <c r="M330" s="2016"/>
      <c r="N330" s="2016"/>
      <c r="O330" s="2016"/>
      <c r="P330" s="2016">
        <f t="shared" si="181"/>
        <v>13.230000000000002</v>
      </c>
      <c r="Q330" s="2016"/>
      <c r="R330" s="2016"/>
      <c r="S330" s="2016">
        <f t="shared" si="182"/>
        <v>26.460000000000004</v>
      </c>
      <c r="T330" s="2016">
        <f t="shared" si="183"/>
        <v>26.460000000000004</v>
      </c>
      <c r="U330" s="2016">
        <f t="shared" si="184"/>
        <v>52.920000000000009</v>
      </c>
      <c r="V330" s="2016">
        <f t="shared" si="185"/>
        <v>66.150000000000006</v>
      </c>
      <c r="W330" s="2016">
        <f t="shared" si="186"/>
        <v>79.38000000000001</v>
      </c>
      <c r="X330" s="2016"/>
      <c r="Y330" s="2016"/>
      <c r="Z330" s="2016"/>
    </row>
    <row r="331" spans="1:26" s="2009" customFormat="1" ht="30" x14ac:dyDescent="0.2">
      <c r="A331" s="1635" t="s">
        <v>7017</v>
      </c>
      <c r="B331" s="1984" t="s">
        <v>4448</v>
      </c>
      <c r="C331" s="1984">
        <v>86884</v>
      </c>
      <c r="D331" s="1813" t="s">
        <v>7033</v>
      </c>
      <c r="E331" s="1638">
        <f>QuantitativosÁgFria!G76</f>
        <v>25</v>
      </c>
      <c r="F331" s="1639" t="s">
        <v>5284</v>
      </c>
      <c r="G331" s="1648">
        <v>6.9</v>
      </c>
      <c r="H331" s="1636">
        <f t="shared" si="178"/>
        <v>1.86</v>
      </c>
      <c r="I331" s="1636">
        <f t="shared" si="179"/>
        <v>8.76</v>
      </c>
      <c r="J331" s="1723">
        <f t="shared" si="180"/>
        <v>219</v>
      </c>
      <c r="K331" s="2007">
        <f t="shared" si="187"/>
        <v>172.5</v>
      </c>
      <c r="L331" s="2007">
        <f t="shared" si="188"/>
        <v>46.5</v>
      </c>
      <c r="M331" s="2016"/>
      <c r="N331" s="2016"/>
      <c r="O331" s="2016"/>
      <c r="P331" s="2016">
        <f t="shared" si="181"/>
        <v>10.950000000000001</v>
      </c>
      <c r="Q331" s="2016"/>
      <c r="R331" s="2016"/>
      <c r="S331" s="2016">
        <f t="shared" si="182"/>
        <v>21.900000000000002</v>
      </c>
      <c r="T331" s="2016">
        <f t="shared" si="183"/>
        <v>21.900000000000002</v>
      </c>
      <c r="U331" s="2016">
        <f t="shared" si="184"/>
        <v>43.800000000000004</v>
      </c>
      <c r="V331" s="2016">
        <f t="shared" si="185"/>
        <v>54.75</v>
      </c>
      <c r="W331" s="2016">
        <f t="shared" si="186"/>
        <v>65.7</v>
      </c>
      <c r="X331" s="2016"/>
      <c r="Y331" s="2016"/>
      <c r="Z331" s="2016"/>
    </row>
    <row r="332" spans="1:26" s="2009" customFormat="1" ht="30" x14ac:dyDescent="0.2">
      <c r="A332" s="1635" t="s">
        <v>7477</v>
      </c>
      <c r="B332" s="1984" t="s">
        <v>4448</v>
      </c>
      <c r="C332" s="1984">
        <v>100860</v>
      </c>
      <c r="D332" s="1813" t="s">
        <v>6006</v>
      </c>
      <c r="E332" s="1638">
        <f>QuantitativosÁgFria!G93</f>
        <v>4</v>
      </c>
      <c r="F332" s="1639" t="s">
        <v>5284</v>
      </c>
      <c r="G332" s="1648">
        <v>63.4</v>
      </c>
      <c r="H332" s="1636">
        <f t="shared" si="178"/>
        <v>17.07</v>
      </c>
      <c r="I332" s="1636">
        <f t="shared" si="179"/>
        <v>80.47</v>
      </c>
      <c r="J332" s="1723">
        <f t="shared" si="180"/>
        <v>321.88</v>
      </c>
      <c r="K332" s="2007">
        <f t="shared" si="187"/>
        <v>253.6</v>
      </c>
      <c r="L332" s="2007">
        <f t="shared" si="188"/>
        <v>68.28</v>
      </c>
      <c r="M332" s="2016"/>
      <c r="N332" s="2016"/>
      <c r="O332" s="2016"/>
      <c r="P332" s="2016">
        <f t="shared" si="181"/>
        <v>16.094000000000001</v>
      </c>
      <c r="Q332" s="2016"/>
      <c r="R332" s="2016"/>
      <c r="S332" s="2016">
        <f t="shared" si="182"/>
        <v>32.188000000000002</v>
      </c>
      <c r="T332" s="2016">
        <f t="shared" si="183"/>
        <v>32.188000000000002</v>
      </c>
      <c r="U332" s="2016">
        <f t="shared" si="184"/>
        <v>64.376000000000005</v>
      </c>
      <c r="V332" s="2016">
        <f t="shared" si="185"/>
        <v>80.47</v>
      </c>
      <c r="W332" s="2016">
        <f t="shared" si="186"/>
        <v>96.563999999999993</v>
      </c>
      <c r="X332" s="2016"/>
      <c r="Y332" s="2016"/>
      <c r="Z332" s="2016"/>
    </row>
    <row r="333" spans="1:26" s="2009" customFormat="1" ht="45" x14ac:dyDescent="0.2">
      <c r="A333" s="1635" t="s">
        <v>7478</v>
      </c>
      <c r="B333" s="1984" t="s">
        <v>5281</v>
      </c>
      <c r="C333" s="1984">
        <v>10041</v>
      </c>
      <c r="D333" s="1813" t="s">
        <v>6007</v>
      </c>
      <c r="E333" s="1638">
        <f>QuantitativosÁgFria!G94</f>
        <v>10</v>
      </c>
      <c r="F333" s="1639" t="s">
        <v>5284</v>
      </c>
      <c r="G333" s="1648">
        <v>1540.77</v>
      </c>
      <c r="H333" s="1636">
        <f t="shared" si="178"/>
        <v>414.93</v>
      </c>
      <c r="I333" s="1636">
        <f t="shared" si="179"/>
        <v>1955.7</v>
      </c>
      <c r="J333" s="1723">
        <f t="shared" si="180"/>
        <v>19557</v>
      </c>
      <c r="K333" s="2007">
        <f t="shared" si="187"/>
        <v>15407.7</v>
      </c>
      <c r="L333" s="2007">
        <f t="shared" si="188"/>
        <v>4149.3</v>
      </c>
      <c r="M333" s="2016"/>
      <c r="N333" s="2016"/>
      <c r="O333" s="2016"/>
      <c r="P333" s="2016">
        <f t="shared" si="181"/>
        <v>977.85</v>
      </c>
      <c r="Q333" s="2016"/>
      <c r="R333" s="2016"/>
      <c r="S333" s="2016">
        <f t="shared" si="182"/>
        <v>1955.7</v>
      </c>
      <c r="T333" s="2016">
        <f t="shared" si="183"/>
        <v>1955.7</v>
      </c>
      <c r="U333" s="2016">
        <f t="shared" si="184"/>
        <v>3911.4</v>
      </c>
      <c r="V333" s="2016">
        <f t="shared" si="185"/>
        <v>4889.25</v>
      </c>
      <c r="W333" s="2016">
        <f t="shared" si="186"/>
        <v>5867.0999999999995</v>
      </c>
      <c r="X333" s="2016"/>
      <c r="Y333" s="2016"/>
      <c r="Z333" s="2016"/>
    </row>
    <row r="334" spans="1:26" s="2009" customFormat="1" ht="45" x14ac:dyDescent="0.2">
      <c r="A334" s="1635" t="s">
        <v>6017</v>
      </c>
      <c r="B334" s="1984" t="s">
        <v>4448</v>
      </c>
      <c r="C334" s="1984">
        <v>99635</v>
      </c>
      <c r="D334" s="1813" t="s">
        <v>6008</v>
      </c>
      <c r="E334" s="1638">
        <f>QuantitativosÁgFria!G95</f>
        <v>18</v>
      </c>
      <c r="F334" s="1639" t="s">
        <v>5284</v>
      </c>
      <c r="G334" s="1648">
        <v>205.29</v>
      </c>
      <c r="H334" s="1636">
        <f t="shared" si="178"/>
        <v>55.28</v>
      </c>
      <c r="I334" s="1636">
        <f t="shared" si="179"/>
        <v>260.57</v>
      </c>
      <c r="J334" s="1723">
        <f t="shared" si="180"/>
        <v>4690.26</v>
      </c>
      <c r="K334" s="2007">
        <f t="shared" si="187"/>
        <v>3695.22</v>
      </c>
      <c r="L334" s="2007">
        <f t="shared" si="188"/>
        <v>995.04</v>
      </c>
      <c r="M334" s="2016"/>
      <c r="N334" s="2016"/>
      <c r="O334" s="2016"/>
      <c r="P334" s="2016">
        <f t="shared" si="181"/>
        <v>234.51300000000003</v>
      </c>
      <c r="Q334" s="2016"/>
      <c r="R334" s="2016"/>
      <c r="S334" s="2016">
        <f t="shared" si="182"/>
        <v>469.02600000000007</v>
      </c>
      <c r="T334" s="2016">
        <f t="shared" si="183"/>
        <v>469.02600000000007</v>
      </c>
      <c r="U334" s="2016">
        <f t="shared" si="184"/>
        <v>938.05200000000013</v>
      </c>
      <c r="V334" s="2016">
        <f t="shared" si="185"/>
        <v>1172.5650000000001</v>
      </c>
      <c r="W334" s="2016">
        <f t="shared" si="186"/>
        <v>1407.078</v>
      </c>
      <c r="X334" s="2016"/>
      <c r="Y334" s="2016"/>
      <c r="Z334" s="2016"/>
    </row>
    <row r="335" spans="1:26" s="2009" customFormat="1" ht="15" x14ac:dyDescent="0.2">
      <c r="A335" s="1634" t="s">
        <v>6023</v>
      </c>
      <c r="B335" s="2136" t="s">
        <v>6024</v>
      </c>
      <c r="C335" s="2136"/>
      <c r="D335" s="2136"/>
      <c r="E335" s="2136"/>
      <c r="F335" s="2136"/>
      <c r="G335" s="2136"/>
      <c r="H335" s="2136"/>
      <c r="I335" s="2136"/>
      <c r="J335" s="2136"/>
      <c r="K335" s="2007">
        <f t="shared" si="187"/>
        <v>0</v>
      </c>
      <c r="L335" s="2007">
        <f t="shared" si="188"/>
        <v>0</v>
      </c>
      <c r="M335" s="2016"/>
      <c r="N335" s="2016"/>
      <c r="O335" s="2016"/>
      <c r="P335" s="2016"/>
      <c r="Q335" s="2016"/>
      <c r="R335" s="2016"/>
      <c r="S335" s="2016"/>
      <c r="T335" s="2016"/>
      <c r="U335" s="2016"/>
      <c r="V335" s="2016"/>
      <c r="W335" s="2016"/>
      <c r="X335" s="2016"/>
      <c r="Y335" s="2016"/>
      <c r="Z335" s="2016"/>
    </row>
    <row r="336" spans="1:26" s="2009" customFormat="1" ht="15" x14ac:dyDescent="0.2">
      <c r="A336" s="1635" t="s">
        <v>6034</v>
      </c>
      <c r="B336" s="1984" t="s">
        <v>4448</v>
      </c>
      <c r="C336" s="1984">
        <v>88547</v>
      </c>
      <c r="D336" s="1813" t="s">
        <v>6028</v>
      </c>
      <c r="E336" s="1638">
        <v>2</v>
      </c>
      <c r="F336" s="1639" t="s">
        <v>5284</v>
      </c>
      <c r="G336" s="1648">
        <v>73.150000000000006</v>
      </c>
      <c r="H336" s="1636">
        <f>ROUND(G336*$B$13,2)</f>
        <v>19.7</v>
      </c>
      <c r="I336" s="1636">
        <f>H336+G336</f>
        <v>92.850000000000009</v>
      </c>
      <c r="J336" s="1723">
        <f>ROUND(I336*E336,2)</f>
        <v>185.7</v>
      </c>
      <c r="K336" s="2007">
        <f t="shared" si="187"/>
        <v>146.30000000000001</v>
      </c>
      <c r="L336" s="2007">
        <f t="shared" si="188"/>
        <v>39.4</v>
      </c>
      <c r="M336" s="2016"/>
      <c r="N336" s="2016"/>
      <c r="O336" s="2016"/>
      <c r="P336" s="2016">
        <f>0.05*J336</f>
        <v>9.2850000000000001</v>
      </c>
      <c r="Q336" s="2016"/>
      <c r="R336" s="2016"/>
      <c r="S336" s="2016">
        <f>0.1*J336</f>
        <v>18.57</v>
      </c>
      <c r="T336" s="2016">
        <f>0.1*J336</f>
        <v>18.57</v>
      </c>
      <c r="U336" s="2016">
        <f>0.2*J336</f>
        <v>37.14</v>
      </c>
      <c r="V336" s="2016">
        <f>0.25*J336</f>
        <v>46.424999999999997</v>
      </c>
      <c r="W336" s="2016">
        <f>0.3*J336</f>
        <v>55.709999999999994</v>
      </c>
      <c r="X336" s="2016"/>
      <c r="Y336" s="2016"/>
      <c r="Z336" s="2016"/>
    </row>
    <row r="337" spans="1:26" s="2009" customFormat="1" ht="45" x14ac:dyDescent="0.2">
      <c r="A337" s="1635" t="s">
        <v>15145</v>
      </c>
      <c r="B337" s="2140" t="s">
        <v>7765</v>
      </c>
      <c r="C337" s="2140"/>
      <c r="D337" s="1813" t="s">
        <v>15146</v>
      </c>
      <c r="E337" s="1638">
        <v>2</v>
      </c>
      <c r="F337" s="1639" t="s">
        <v>5284</v>
      </c>
      <c r="G337" s="1648">
        <v>36000</v>
      </c>
      <c r="H337" s="1636">
        <f>ROUND(G337*$B$14,2)</f>
        <v>7534.8</v>
      </c>
      <c r="I337" s="1636">
        <f>H337+G337</f>
        <v>43534.8</v>
      </c>
      <c r="J337" s="1723">
        <f>ROUND(I337*E337,2)</f>
        <v>87069.6</v>
      </c>
      <c r="K337" s="2007">
        <f t="shared" ref="K337" si="189">ROUND(G337*E337,2)</f>
        <v>72000</v>
      </c>
      <c r="L337" s="2007">
        <f t="shared" ref="L337" si="190">ROUND(H337*E337,2)</f>
        <v>15069.6</v>
      </c>
      <c r="M337" s="2016"/>
      <c r="N337" s="2016"/>
      <c r="O337" s="2016"/>
      <c r="P337" s="2016">
        <f>0.05*J337</f>
        <v>4353.4800000000005</v>
      </c>
      <c r="Q337" s="2016"/>
      <c r="R337" s="2016"/>
      <c r="S337" s="2016">
        <f>0.1*J337</f>
        <v>8706.9600000000009</v>
      </c>
      <c r="T337" s="2016">
        <f>0.1*J337</f>
        <v>8706.9600000000009</v>
      </c>
      <c r="U337" s="2016">
        <f>0.2*J337</f>
        <v>17413.920000000002</v>
      </c>
      <c r="V337" s="2016">
        <f>0.25*J337</f>
        <v>21767.4</v>
      </c>
      <c r="W337" s="2016">
        <f>0.3*J337</f>
        <v>26120.880000000001</v>
      </c>
      <c r="X337" s="2016"/>
      <c r="Y337" s="2016"/>
      <c r="Z337" s="2016"/>
    </row>
    <row r="338" spans="1:26" s="2009" customFormat="1" ht="45" x14ac:dyDescent="0.2">
      <c r="A338" s="1635" t="s">
        <v>15148</v>
      </c>
      <c r="B338" s="1984" t="s">
        <v>5696</v>
      </c>
      <c r="C338" s="1984" t="s">
        <v>6036</v>
      </c>
      <c r="D338" s="1813" t="s">
        <v>15147</v>
      </c>
      <c r="E338" s="1638">
        <v>2</v>
      </c>
      <c r="F338" s="1639" t="s">
        <v>5284</v>
      </c>
      <c r="G338" s="1648">
        <v>925.01</v>
      </c>
      <c r="H338" s="1636">
        <f>ROUND(G338*$B$13,2)</f>
        <v>249.11</v>
      </c>
      <c r="I338" s="1636">
        <f>H338+G338</f>
        <v>1174.1199999999999</v>
      </c>
      <c r="J338" s="1723">
        <f>ROUND(I338*E338,2)</f>
        <v>2348.2399999999998</v>
      </c>
      <c r="K338" s="2007">
        <f t="shared" si="187"/>
        <v>1850.02</v>
      </c>
      <c r="L338" s="2007">
        <f t="shared" si="188"/>
        <v>498.22</v>
      </c>
      <c r="M338" s="2016"/>
      <c r="N338" s="2016"/>
      <c r="O338" s="2016"/>
      <c r="P338" s="2016">
        <f>0.05*J338</f>
        <v>117.41199999999999</v>
      </c>
      <c r="Q338" s="2016"/>
      <c r="R338" s="2016"/>
      <c r="S338" s="2016">
        <f>0.1*J338</f>
        <v>234.82399999999998</v>
      </c>
      <c r="T338" s="2016">
        <f>0.1*J338</f>
        <v>234.82399999999998</v>
      </c>
      <c r="U338" s="2016">
        <f>0.2*J338</f>
        <v>469.64799999999997</v>
      </c>
      <c r="V338" s="2016">
        <f>0.25*J338</f>
        <v>587.05999999999995</v>
      </c>
      <c r="W338" s="2016">
        <f>0.3*J338</f>
        <v>704.47199999999987</v>
      </c>
      <c r="X338" s="2016"/>
      <c r="Y338" s="2016"/>
      <c r="Z338" s="2016"/>
    </row>
    <row r="339" spans="1:26" s="2006" customFormat="1" ht="15" x14ac:dyDescent="0.2">
      <c r="A339" s="2133" t="s">
        <v>5921</v>
      </c>
      <c r="B339" s="2133"/>
      <c r="C339" s="2133"/>
      <c r="D339" s="2133"/>
      <c r="E339" s="2133"/>
      <c r="F339" s="2133"/>
      <c r="G339" s="2133"/>
      <c r="H339" s="2133"/>
      <c r="I339" s="2133"/>
      <c r="J339" s="1724">
        <f>SUM(J252:J338)</f>
        <v>228054.83000000005</v>
      </c>
      <c r="K339" s="2010"/>
      <c r="L339" s="2015"/>
      <c r="M339" s="1724">
        <f t="shared" ref="M339:Z339" si="191">SUM(M252:M338)</f>
        <v>0</v>
      </c>
      <c r="N339" s="1724">
        <f t="shared" si="191"/>
        <v>0</v>
      </c>
      <c r="O339" s="1724">
        <f t="shared" si="191"/>
        <v>0</v>
      </c>
      <c r="P339" s="1724">
        <f t="shared" si="191"/>
        <v>11402.7415</v>
      </c>
      <c r="Q339" s="1724">
        <f t="shared" si="191"/>
        <v>0</v>
      </c>
      <c r="R339" s="1724">
        <f t="shared" si="191"/>
        <v>0</v>
      </c>
      <c r="S339" s="1724">
        <f t="shared" si="191"/>
        <v>22805.483</v>
      </c>
      <c r="T339" s="1724">
        <f t="shared" si="191"/>
        <v>22805.483</v>
      </c>
      <c r="U339" s="1724">
        <f t="shared" si="191"/>
        <v>45610.966</v>
      </c>
      <c r="V339" s="1724">
        <f t="shared" si="191"/>
        <v>57013.707500000011</v>
      </c>
      <c r="W339" s="1724">
        <f t="shared" si="191"/>
        <v>68416.448999999979</v>
      </c>
      <c r="X339" s="1724">
        <f t="shared" si="191"/>
        <v>0</v>
      </c>
      <c r="Y339" s="1724">
        <f t="shared" si="191"/>
        <v>0</v>
      </c>
      <c r="Z339" s="1724">
        <f t="shared" si="191"/>
        <v>0</v>
      </c>
    </row>
    <row r="340" spans="1:26" s="2006" customFormat="1" ht="15" x14ac:dyDescent="0.2">
      <c r="A340" s="52"/>
      <c r="B340" s="52"/>
      <c r="C340" s="52"/>
      <c r="D340" s="52"/>
      <c r="E340" s="1506"/>
      <c r="F340" s="52"/>
      <c r="G340" s="1649"/>
      <c r="H340" s="51"/>
      <c r="I340" s="51"/>
      <c r="J340" s="1725"/>
      <c r="K340" s="51"/>
      <c r="L340" s="2015"/>
      <c r="M340" s="2005"/>
      <c r="N340" s="2005"/>
      <c r="O340" s="2005"/>
      <c r="P340" s="2005"/>
      <c r="Q340" s="2005"/>
      <c r="R340" s="2005"/>
      <c r="S340" s="2005"/>
      <c r="T340" s="2005"/>
      <c r="U340" s="2005"/>
      <c r="V340" s="2005"/>
      <c r="W340" s="2005"/>
      <c r="X340" s="2005"/>
      <c r="Y340" s="2005"/>
      <c r="Z340" s="2005"/>
    </row>
    <row r="341" spans="1:26" s="2006" customFormat="1" ht="15" x14ac:dyDescent="0.2">
      <c r="A341" s="1513" t="s">
        <v>4993</v>
      </c>
      <c r="B341" s="2130" t="s">
        <v>5001</v>
      </c>
      <c r="C341" s="2130"/>
      <c r="D341" s="2130"/>
      <c r="E341" s="2130"/>
      <c r="F341" s="2130"/>
      <c r="G341" s="2130"/>
      <c r="H341" s="2130"/>
      <c r="I341" s="2130"/>
      <c r="J341" s="2130"/>
      <c r="K341" s="1980"/>
      <c r="L341" s="2015"/>
      <c r="M341" s="2005"/>
      <c r="N341" s="2005"/>
      <c r="O341" s="2005"/>
      <c r="P341" s="2005"/>
      <c r="Q341" s="2005"/>
      <c r="R341" s="2005"/>
      <c r="S341" s="2005"/>
      <c r="T341" s="2005"/>
      <c r="U341" s="2005"/>
      <c r="V341" s="2005"/>
      <c r="W341" s="2005"/>
      <c r="X341" s="2005"/>
      <c r="Y341" s="2005"/>
      <c r="Z341" s="2005"/>
    </row>
    <row r="342" spans="1:26" s="2006" customFormat="1" ht="15" x14ac:dyDescent="0.2">
      <c r="A342" s="1634" t="s">
        <v>4994</v>
      </c>
      <c r="B342" s="2136" t="s">
        <v>6038</v>
      </c>
      <c r="C342" s="2136"/>
      <c r="D342" s="2136"/>
      <c r="E342" s="2136"/>
      <c r="F342" s="2136"/>
      <c r="G342" s="2136"/>
      <c r="H342" s="2136"/>
      <c r="I342" s="2136"/>
      <c r="J342" s="2136"/>
      <c r="K342" s="1983"/>
      <c r="L342" s="2015"/>
      <c r="M342" s="2005"/>
      <c r="N342" s="2005"/>
      <c r="O342" s="2005"/>
      <c r="P342" s="2005"/>
      <c r="Q342" s="2005"/>
      <c r="R342" s="2005"/>
      <c r="S342" s="2005"/>
      <c r="T342" s="2005"/>
      <c r="U342" s="2005"/>
      <c r="V342" s="2005"/>
      <c r="W342" s="2005"/>
      <c r="X342" s="2005"/>
      <c r="Y342" s="2005"/>
      <c r="Z342" s="2005"/>
    </row>
    <row r="343" spans="1:26" s="2009" customFormat="1" ht="30" x14ac:dyDescent="0.2">
      <c r="A343" s="1635" t="s">
        <v>6040</v>
      </c>
      <c r="B343" s="1984" t="s">
        <v>5281</v>
      </c>
      <c r="C343" s="1984">
        <v>4283</v>
      </c>
      <c r="D343" s="1813" t="s">
        <v>6039</v>
      </c>
      <c r="E343" s="1638">
        <v>18</v>
      </c>
      <c r="F343" s="1639" t="s">
        <v>5284</v>
      </c>
      <c r="G343" s="1648">
        <v>29.619999999999997</v>
      </c>
      <c r="H343" s="1636">
        <f>ROUND(G343*$B$13,2)</f>
        <v>7.98</v>
      </c>
      <c r="I343" s="1636">
        <f t="shared" ref="I343:I358" si="192">H343+G343</f>
        <v>37.599999999999994</v>
      </c>
      <c r="J343" s="1723">
        <f t="shared" ref="J343:J358" si="193">ROUND(I343*E343,2)</f>
        <v>676.8</v>
      </c>
      <c r="K343" s="2007">
        <f t="shared" ref="K343" si="194">ROUND(G343*E343,2)</f>
        <v>533.16</v>
      </c>
      <c r="L343" s="2007">
        <f t="shared" ref="L343" si="195">ROUND(H343*E343,2)</f>
        <v>143.63999999999999</v>
      </c>
      <c r="M343" s="2016"/>
      <c r="N343" s="2016"/>
      <c r="O343" s="2016"/>
      <c r="P343" s="2016">
        <f>0.1*J343</f>
        <v>67.679999999999993</v>
      </c>
      <c r="Q343" s="2016"/>
      <c r="R343" s="2016"/>
      <c r="S343" s="2016"/>
      <c r="T343" s="2016"/>
      <c r="U343" s="2016">
        <f>0.3*J343</f>
        <v>203.04</v>
      </c>
      <c r="V343" s="2016">
        <f>0.3*J343</f>
        <v>203.04</v>
      </c>
      <c r="W343" s="2016">
        <f>0.3*J343</f>
        <v>203.04</v>
      </c>
      <c r="X343" s="2016"/>
      <c r="Y343" s="2016"/>
      <c r="Z343" s="2016"/>
    </row>
    <row r="344" spans="1:26" s="2009" customFormat="1" ht="15" x14ac:dyDescent="0.2">
      <c r="A344" s="1634" t="s">
        <v>6041</v>
      </c>
      <c r="B344" s="2136" t="s">
        <v>6042</v>
      </c>
      <c r="C344" s="2136"/>
      <c r="D344" s="2136"/>
      <c r="E344" s="2136"/>
      <c r="F344" s="2136"/>
      <c r="G344" s="2136"/>
      <c r="H344" s="2136"/>
      <c r="I344" s="2136"/>
      <c r="J344" s="2136"/>
      <c r="K344" s="2007">
        <f t="shared" ref="K344:K358" si="196">ROUND(G344*E344,2)</f>
        <v>0</v>
      </c>
      <c r="L344" s="2007">
        <f t="shared" ref="L344:L358" si="197">ROUND(H344*E344,2)</f>
        <v>0</v>
      </c>
      <c r="M344" s="2016"/>
      <c r="N344" s="2016"/>
      <c r="O344" s="2016"/>
      <c r="P344" s="2016"/>
      <c r="Q344" s="2016"/>
      <c r="R344" s="2016"/>
      <c r="S344" s="2016"/>
      <c r="T344" s="2016"/>
      <c r="U344" s="2016"/>
      <c r="V344" s="2016"/>
      <c r="W344" s="2016"/>
      <c r="X344" s="2016"/>
      <c r="Y344" s="2016"/>
      <c r="Z344" s="2016"/>
    </row>
    <row r="345" spans="1:26" s="2009" customFormat="1" ht="30" x14ac:dyDescent="0.2">
      <c r="A345" s="1635" t="s">
        <v>8896</v>
      </c>
      <c r="B345" s="1984" t="s">
        <v>4448</v>
      </c>
      <c r="C345" s="1984">
        <v>89512</v>
      </c>
      <c r="D345" s="1813" t="s">
        <v>6043</v>
      </c>
      <c r="E345" s="1638">
        <f>225.19+83.48+29.05</f>
        <v>337.72</v>
      </c>
      <c r="F345" s="1639" t="s">
        <v>5713</v>
      </c>
      <c r="G345" s="1648">
        <v>46.34</v>
      </c>
      <c r="H345" s="1636">
        <f t="shared" ref="H345:H352" si="198">ROUND(G345*$B$13,2)</f>
        <v>12.48</v>
      </c>
      <c r="I345" s="1636">
        <f t="shared" si="192"/>
        <v>58.820000000000007</v>
      </c>
      <c r="J345" s="1723">
        <f t="shared" si="193"/>
        <v>19864.689999999999</v>
      </c>
      <c r="K345" s="2007">
        <f t="shared" si="196"/>
        <v>15649.94</v>
      </c>
      <c r="L345" s="2007">
        <f t="shared" si="197"/>
        <v>4214.75</v>
      </c>
      <c r="M345" s="2016"/>
      <c r="N345" s="2016"/>
      <c r="O345" s="2016"/>
      <c r="P345" s="2016">
        <f t="shared" ref="P345:P350" si="199">0.1*J345</f>
        <v>1986.4690000000001</v>
      </c>
      <c r="Q345" s="2016"/>
      <c r="R345" s="2016"/>
      <c r="S345" s="2016"/>
      <c r="T345" s="2016"/>
      <c r="U345" s="2016">
        <f t="shared" ref="U345:U350" si="200">0.3*J345</f>
        <v>5959.4069999999992</v>
      </c>
      <c r="V345" s="2016">
        <f t="shared" ref="V345:V350" si="201">0.3*J345</f>
        <v>5959.4069999999992</v>
      </c>
      <c r="W345" s="2016">
        <f t="shared" ref="W345:W350" si="202">0.3*J345</f>
        <v>5959.4069999999992</v>
      </c>
      <c r="X345" s="2016"/>
      <c r="Y345" s="2016"/>
      <c r="Z345" s="2016"/>
    </row>
    <row r="346" spans="1:26" s="2009" customFormat="1" ht="30" x14ac:dyDescent="0.2">
      <c r="A346" s="1635" t="s">
        <v>8897</v>
      </c>
      <c r="B346" s="1984" t="s">
        <v>4448</v>
      </c>
      <c r="C346" s="1984">
        <v>89580</v>
      </c>
      <c r="D346" s="1813" t="s">
        <v>8898</v>
      </c>
      <c r="E346" s="1638">
        <v>91.23</v>
      </c>
      <c r="F346" s="1639" t="s">
        <v>5713</v>
      </c>
      <c r="G346" s="1648">
        <v>57.11</v>
      </c>
      <c r="H346" s="1636">
        <f t="shared" si="198"/>
        <v>15.38</v>
      </c>
      <c r="I346" s="1636">
        <f t="shared" ref="I346" si="203">H346+G346</f>
        <v>72.489999999999995</v>
      </c>
      <c r="J346" s="1723">
        <f t="shared" ref="J346" si="204">ROUND(I346*E346,2)</f>
        <v>6613.26</v>
      </c>
      <c r="K346" s="2007">
        <f t="shared" ref="K346" si="205">ROUND(G346*E346,2)</f>
        <v>5210.1499999999996</v>
      </c>
      <c r="L346" s="2007">
        <f t="shared" ref="L346" si="206">ROUND(H346*E346,2)</f>
        <v>1403.12</v>
      </c>
      <c r="M346" s="2016"/>
      <c r="N346" s="2016"/>
      <c r="O346" s="2016"/>
      <c r="P346" s="2016">
        <f t="shared" si="199"/>
        <v>661.32600000000002</v>
      </c>
      <c r="Q346" s="2016"/>
      <c r="R346" s="2016"/>
      <c r="S346" s="2016"/>
      <c r="T346" s="2016"/>
      <c r="U346" s="2016">
        <f t="shared" si="200"/>
        <v>1983.9780000000001</v>
      </c>
      <c r="V346" s="2016">
        <f t="shared" si="201"/>
        <v>1983.9780000000001</v>
      </c>
      <c r="W346" s="2016">
        <f t="shared" si="202"/>
        <v>1983.9780000000001</v>
      </c>
      <c r="X346" s="2016"/>
      <c r="Y346" s="2016"/>
      <c r="Z346" s="2016"/>
    </row>
    <row r="347" spans="1:26" s="2009" customFormat="1" ht="30" x14ac:dyDescent="0.2">
      <c r="A347" s="1635" t="s">
        <v>6051</v>
      </c>
      <c r="B347" s="1984" t="s">
        <v>5714</v>
      </c>
      <c r="C347" s="1984">
        <v>9</v>
      </c>
      <c r="D347" s="1813" t="s">
        <v>6044</v>
      </c>
      <c r="E347" s="1638">
        <v>6</v>
      </c>
      <c r="F347" s="1639" t="s">
        <v>5284</v>
      </c>
      <c r="G347" s="1648">
        <v>8.8000000000000007</v>
      </c>
      <c r="H347" s="1636">
        <f t="shared" si="198"/>
        <v>2.37</v>
      </c>
      <c r="I347" s="1636">
        <f t="shared" si="192"/>
        <v>11.170000000000002</v>
      </c>
      <c r="J347" s="1723">
        <f t="shared" si="193"/>
        <v>67.02</v>
      </c>
      <c r="K347" s="2007">
        <f t="shared" si="196"/>
        <v>52.8</v>
      </c>
      <c r="L347" s="2007">
        <f t="shared" si="197"/>
        <v>14.22</v>
      </c>
      <c r="M347" s="2016"/>
      <c r="N347" s="2016"/>
      <c r="O347" s="2016"/>
      <c r="P347" s="2016">
        <f t="shared" si="199"/>
        <v>6.702</v>
      </c>
      <c r="Q347" s="2016"/>
      <c r="R347" s="2016"/>
      <c r="S347" s="2016"/>
      <c r="T347" s="2016"/>
      <c r="U347" s="2016">
        <f t="shared" si="200"/>
        <v>20.105999999999998</v>
      </c>
      <c r="V347" s="2016">
        <f t="shared" si="201"/>
        <v>20.105999999999998</v>
      </c>
      <c r="W347" s="2016">
        <f t="shared" si="202"/>
        <v>20.105999999999998</v>
      </c>
      <c r="X347" s="2016"/>
      <c r="Y347" s="2016"/>
      <c r="Z347" s="2016"/>
    </row>
    <row r="348" spans="1:26" s="2009" customFormat="1" ht="45" x14ac:dyDescent="0.2">
      <c r="A348" s="1635" t="s">
        <v>7496</v>
      </c>
      <c r="B348" s="1984" t="s">
        <v>4448</v>
      </c>
      <c r="C348" s="1984" t="s">
        <v>6050</v>
      </c>
      <c r="D348" s="1813" t="s">
        <v>6045</v>
      </c>
      <c r="E348" s="1638">
        <f>9+3</f>
        <v>12</v>
      </c>
      <c r="F348" s="1639" t="s">
        <v>5284</v>
      </c>
      <c r="G348" s="1648">
        <v>35.85</v>
      </c>
      <c r="H348" s="1636">
        <f t="shared" si="198"/>
        <v>9.65</v>
      </c>
      <c r="I348" s="1636">
        <f t="shared" si="192"/>
        <v>45.5</v>
      </c>
      <c r="J348" s="1723">
        <f t="shared" si="193"/>
        <v>546</v>
      </c>
      <c r="K348" s="2007">
        <f t="shared" si="196"/>
        <v>430.2</v>
      </c>
      <c r="L348" s="2007">
        <f t="shared" si="197"/>
        <v>115.8</v>
      </c>
      <c r="M348" s="2016"/>
      <c r="N348" s="2016"/>
      <c r="O348" s="2016"/>
      <c r="P348" s="2016">
        <f t="shared" si="199"/>
        <v>54.6</v>
      </c>
      <c r="Q348" s="2016"/>
      <c r="R348" s="2016"/>
      <c r="S348" s="2016"/>
      <c r="T348" s="2016"/>
      <c r="U348" s="2016">
        <f t="shared" si="200"/>
        <v>163.79999999999998</v>
      </c>
      <c r="V348" s="2016">
        <f t="shared" si="201"/>
        <v>163.79999999999998</v>
      </c>
      <c r="W348" s="2016">
        <f t="shared" si="202"/>
        <v>163.79999999999998</v>
      </c>
      <c r="X348" s="2016"/>
      <c r="Y348" s="2016"/>
      <c r="Z348" s="2016"/>
    </row>
    <row r="349" spans="1:26" s="2009" customFormat="1" ht="30" x14ac:dyDescent="0.2">
      <c r="A349" s="1635" t="s">
        <v>7497</v>
      </c>
      <c r="B349" s="1984" t="s">
        <v>4448</v>
      </c>
      <c r="C349" s="1984">
        <v>95695</v>
      </c>
      <c r="D349" s="1813" t="s">
        <v>6046</v>
      </c>
      <c r="E349" s="1638">
        <v>11</v>
      </c>
      <c r="F349" s="1639" t="s">
        <v>5284</v>
      </c>
      <c r="G349" s="1648">
        <v>44.21</v>
      </c>
      <c r="H349" s="1636">
        <f t="shared" si="198"/>
        <v>11.91</v>
      </c>
      <c r="I349" s="1636">
        <f t="shared" si="192"/>
        <v>56.120000000000005</v>
      </c>
      <c r="J349" s="1723">
        <f t="shared" si="193"/>
        <v>617.32000000000005</v>
      </c>
      <c r="K349" s="2007">
        <f t="shared" si="196"/>
        <v>486.31</v>
      </c>
      <c r="L349" s="2007">
        <f t="shared" si="197"/>
        <v>131.01</v>
      </c>
      <c r="M349" s="2016"/>
      <c r="N349" s="2016"/>
      <c r="O349" s="2016"/>
      <c r="P349" s="2016">
        <f t="shared" si="199"/>
        <v>61.732000000000006</v>
      </c>
      <c r="Q349" s="2016"/>
      <c r="R349" s="2016"/>
      <c r="S349" s="2016"/>
      <c r="T349" s="2016"/>
      <c r="U349" s="2016">
        <f t="shared" si="200"/>
        <v>185.196</v>
      </c>
      <c r="V349" s="2016">
        <f t="shared" si="201"/>
        <v>185.196</v>
      </c>
      <c r="W349" s="2016">
        <f t="shared" si="202"/>
        <v>185.196</v>
      </c>
      <c r="X349" s="2016"/>
      <c r="Y349" s="2016"/>
      <c r="Z349" s="2016"/>
    </row>
    <row r="350" spans="1:26" s="2009" customFormat="1" ht="45" x14ac:dyDescent="0.2">
      <c r="A350" s="1635" t="s">
        <v>6052</v>
      </c>
      <c r="B350" s="1984" t="s">
        <v>4448</v>
      </c>
      <c r="C350" s="1984">
        <v>89690</v>
      </c>
      <c r="D350" s="1813" t="s">
        <v>6047</v>
      </c>
      <c r="E350" s="1638">
        <v>4</v>
      </c>
      <c r="F350" s="1639" t="s">
        <v>5284</v>
      </c>
      <c r="G350" s="1648">
        <v>49.24</v>
      </c>
      <c r="H350" s="1636">
        <f t="shared" si="198"/>
        <v>13.26</v>
      </c>
      <c r="I350" s="1636">
        <f t="shared" si="192"/>
        <v>62.5</v>
      </c>
      <c r="J350" s="1723">
        <f t="shared" si="193"/>
        <v>250</v>
      </c>
      <c r="K350" s="2007">
        <f t="shared" si="196"/>
        <v>196.96</v>
      </c>
      <c r="L350" s="2007">
        <f t="shared" si="197"/>
        <v>53.04</v>
      </c>
      <c r="M350" s="2016"/>
      <c r="N350" s="2016"/>
      <c r="O350" s="2016"/>
      <c r="P350" s="2016">
        <f t="shared" si="199"/>
        <v>25</v>
      </c>
      <c r="Q350" s="2016"/>
      <c r="R350" s="2016"/>
      <c r="S350" s="2016"/>
      <c r="T350" s="2016"/>
      <c r="U350" s="2016">
        <f t="shared" si="200"/>
        <v>75</v>
      </c>
      <c r="V350" s="2016">
        <f t="shared" si="201"/>
        <v>75</v>
      </c>
      <c r="W350" s="2016">
        <f t="shared" si="202"/>
        <v>75</v>
      </c>
      <c r="X350" s="2016"/>
      <c r="Y350" s="2016"/>
      <c r="Z350" s="2016"/>
    </row>
    <row r="351" spans="1:26" s="2009" customFormat="1" ht="30" x14ac:dyDescent="0.2">
      <c r="A351" s="1635" t="s">
        <v>7498</v>
      </c>
      <c r="B351" s="1984" t="s">
        <v>4448</v>
      </c>
      <c r="C351" s="1984">
        <v>89669</v>
      </c>
      <c r="D351" s="1813" t="s">
        <v>6048</v>
      </c>
      <c r="E351" s="1638">
        <f>8+6</f>
        <v>14</v>
      </c>
      <c r="F351" s="1639" t="s">
        <v>5284</v>
      </c>
      <c r="G351" s="1648">
        <v>15.11</v>
      </c>
      <c r="H351" s="1636">
        <f t="shared" si="198"/>
        <v>4.07</v>
      </c>
      <c r="I351" s="1636">
        <f t="shared" si="192"/>
        <v>19.18</v>
      </c>
      <c r="J351" s="1723">
        <f t="shared" si="193"/>
        <v>268.52</v>
      </c>
      <c r="K351" s="2007">
        <f t="shared" si="196"/>
        <v>211.54</v>
      </c>
      <c r="L351" s="2007">
        <f t="shared" si="197"/>
        <v>56.98</v>
      </c>
      <c r="M351" s="2016"/>
      <c r="N351" s="2016"/>
      <c r="O351" s="2016"/>
      <c r="P351" s="2016">
        <f t="shared" ref="P351:P352" si="207">0.1*J351</f>
        <v>26.852</v>
      </c>
      <c r="Q351" s="2016"/>
      <c r="R351" s="2016"/>
      <c r="S351" s="2016"/>
      <c r="T351" s="2016"/>
      <c r="U351" s="2016">
        <f t="shared" ref="U351:U352" si="208">0.3*J351</f>
        <v>80.555999999999997</v>
      </c>
      <c r="V351" s="2016">
        <f t="shared" ref="V351:V352" si="209">0.3*J351</f>
        <v>80.555999999999997</v>
      </c>
      <c r="W351" s="2016">
        <f t="shared" ref="W351:W352" si="210">0.3*J351</f>
        <v>80.555999999999997</v>
      </c>
      <c r="X351" s="2016"/>
      <c r="Y351" s="2016"/>
      <c r="Z351" s="2016"/>
    </row>
    <row r="352" spans="1:26" s="2009" customFormat="1" ht="30" x14ac:dyDescent="0.2">
      <c r="A352" s="1635" t="s">
        <v>7499</v>
      </c>
      <c r="B352" s="1984" t="s">
        <v>4448</v>
      </c>
      <c r="C352" s="1984">
        <v>89761</v>
      </c>
      <c r="D352" s="1813" t="s">
        <v>6049</v>
      </c>
      <c r="E352" s="1638">
        <v>11</v>
      </c>
      <c r="F352" s="1639" t="s">
        <v>5284</v>
      </c>
      <c r="G352" s="1648">
        <v>15.74</v>
      </c>
      <c r="H352" s="1636">
        <f t="shared" si="198"/>
        <v>4.24</v>
      </c>
      <c r="I352" s="1636">
        <f t="shared" si="192"/>
        <v>19.98</v>
      </c>
      <c r="J352" s="1723">
        <f t="shared" si="193"/>
        <v>219.78</v>
      </c>
      <c r="K352" s="2007">
        <f t="shared" si="196"/>
        <v>173.14</v>
      </c>
      <c r="L352" s="2007">
        <f t="shared" si="197"/>
        <v>46.64</v>
      </c>
      <c r="M352" s="2016"/>
      <c r="N352" s="2016"/>
      <c r="O352" s="2016"/>
      <c r="P352" s="2016">
        <f t="shared" si="207"/>
        <v>21.978000000000002</v>
      </c>
      <c r="Q352" s="2016"/>
      <c r="R352" s="2016"/>
      <c r="S352" s="2016"/>
      <c r="T352" s="2016"/>
      <c r="U352" s="2016">
        <f t="shared" si="208"/>
        <v>65.933999999999997</v>
      </c>
      <c r="V352" s="2016">
        <f t="shared" si="209"/>
        <v>65.933999999999997</v>
      </c>
      <c r="W352" s="2016">
        <f t="shared" si="210"/>
        <v>65.933999999999997</v>
      </c>
      <c r="X352" s="2016"/>
      <c r="Y352" s="2016"/>
      <c r="Z352" s="2016"/>
    </row>
    <row r="353" spans="1:26" s="2009" customFormat="1" ht="15" x14ac:dyDescent="0.2">
      <c r="A353" s="1634" t="s">
        <v>6053</v>
      </c>
      <c r="B353" s="2136" t="s">
        <v>6054</v>
      </c>
      <c r="C353" s="2136"/>
      <c r="D353" s="2136"/>
      <c r="E353" s="2136"/>
      <c r="F353" s="2136"/>
      <c r="G353" s="2136"/>
      <c r="H353" s="2136"/>
      <c r="I353" s="2136"/>
      <c r="J353" s="2136"/>
      <c r="K353" s="2007">
        <f t="shared" si="196"/>
        <v>0</v>
      </c>
      <c r="L353" s="2007">
        <f t="shared" si="197"/>
        <v>0</v>
      </c>
      <c r="M353" s="2016"/>
      <c r="N353" s="2016"/>
      <c r="O353" s="2016"/>
      <c r="P353" s="2016"/>
      <c r="Q353" s="2016"/>
      <c r="R353" s="2016"/>
      <c r="S353" s="2016"/>
      <c r="T353" s="2016"/>
      <c r="U353" s="2016"/>
      <c r="V353" s="2016"/>
      <c r="W353" s="2016"/>
      <c r="X353" s="2016"/>
      <c r="Y353" s="2016"/>
      <c r="Z353" s="2016"/>
    </row>
    <row r="354" spans="1:26" s="2009" customFormat="1" ht="30" x14ac:dyDescent="0.2">
      <c r="A354" s="1635" t="s">
        <v>6059</v>
      </c>
      <c r="B354" s="1984" t="s">
        <v>4448</v>
      </c>
      <c r="C354" s="1984" t="s">
        <v>6063</v>
      </c>
      <c r="D354" s="1813" t="s">
        <v>6055</v>
      </c>
      <c r="E354" s="1638">
        <v>16</v>
      </c>
      <c r="F354" s="1639" t="s">
        <v>5284</v>
      </c>
      <c r="G354" s="1648">
        <v>160.97</v>
      </c>
      <c r="H354" s="1636">
        <f>ROUND(G354*$B$13,2)</f>
        <v>43.35</v>
      </c>
      <c r="I354" s="1636">
        <f t="shared" si="192"/>
        <v>204.32</v>
      </c>
      <c r="J354" s="1723">
        <f t="shared" si="193"/>
        <v>3269.12</v>
      </c>
      <c r="K354" s="2007">
        <f t="shared" si="196"/>
        <v>2575.52</v>
      </c>
      <c r="L354" s="2007">
        <f t="shared" si="197"/>
        <v>693.6</v>
      </c>
      <c r="M354" s="2016"/>
      <c r="N354" s="2016"/>
      <c r="O354" s="2016"/>
      <c r="P354" s="2016">
        <f t="shared" ref="P354" si="211">0.1*J354</f>
        <v>326.91200000000003</v>
      </c>
      <c r="Q354" s="2016"/>
      <c r="R354" s="2016"/>
      <c r="S354" s="2016"/>
      <c r="T354" s="2016"/>
      <c r="U354" s="2016">
        <f t="shared" ref="U354" si="212">0.3*J354</f>
        <v>980.73599999999988</v>
      </c>
      <c r="V354" s="2016">
        <f t="shared" ref="V354" si="213">0.3*J354</f>
        <v>980.73599999999988</v>
      </c>
      <c r="W354" s="2016">
        <f t="shared" ref="W354" si="214">0.3*J354</f>
        <v>980.73599999999988</v>
      </c>
      <c r="X354" s="2016"/>
      <c r="Y354" s="2016"/>
      <c r="Z354" s="2016"/>
    </row>
    <row r="355" spans="1:26" s="2009" customFormat="1" ht="30" x14ac:dyDescent="0.2">
      <c r="A355" s="1635" t="s">
        <v>6060</v>
      </c>
      <c r="B355" s="1984" t="s">
        <v>4448</v>
      </c>
      <c r="C355" s="1984">
        <v>6171</v>
      </c>
      <c r="D355" s="1813" t="s">
        <v>6056</v>
      </c>
      <c r="E355" s="1638">
        <v>16</v>
      </c>
      <c r="F355" s="1639" t="s">
        <v>5284</v>
      </c>
      <c r="G355" s="1648">
        <v>23.4</v>
      </c>
      <c r="H355" s="1636">
        <f>ROUND(G355*$B$13,2)</f>
        <v>6.3</v>
      </c>
      <c r="I355" s="1636">
        <f t="shared" si="192"/>
        <v>29.7</v>
      </c>
      <c r="J355" s="1723">
        <f t="shared" si="193"/>
        <v>475.2</v>
      </c>
      <c r="K355" s="2007">
        <f t="shared" si="196"/>
        <v>374.4</v>
      </c>
      <c r="L355" s="2007">
        <f t="shared" si="197"/>
        <v>100.8</v>
      </c>
      <c r="M355" s="2016"/>
      <c r="N355" s="2016"/>
      <c r="O355" s="2016"/>
      <c r="P355" s="2016">
        <f t="shared" ref="P355:P358" si="215">0.1*J355</f>
        <v>47.52</v>
      </c>
      <c r="Q355" s="2016"/>
      <c r="R355" s="2016"/>
      <c r="S355" s="2016"/>
      <c r="T355" s="2016"/>
      <c r="U355" s="2016">
        <f t="shared" ref="U355:U358" si="216">0.3*J355</f>
        <v>142.56</v>
      </c>
      <c r="V355" s="2016">
        <f t="shared" ref="V355:V358" si="217">0.3*J355</f>
        <v>142.56</v>
      </c>
      <c r="W355" s="2016">
        <f t="shared" ref="W355:W358" si="218">0.3*J355</f>
        <v>142.56</v>
      </c>
      <c r="X355" s="2016"/>
      <c r="Y355" s="2016"/>
      <c r="Z355" s="2016"/>
    </row>
    <row r="356" spans="1:26" s="2009" customFormat="1" ht="30" x14ac:dyDescent="0.2">
      <c r="A356" s="1635" t="s">
        <v>6061</v>
      </c>
      <c r="B356" s="1984" t="s">
        <v>4448</v>
      </c>
      <c r="C356" s="1984">
        <v>93358</v>
      </c>
      <c r="D356" s="1813" t="s">
        <v>6057</v>
      </c>
      <c r="E356" s="1638">
        <f>16*0.6*0.6*0.6</f>
        <v>3.456</v>
      </c>
      <c r="F356" s="1639" t="s">
        <v>5685</v>
      </c>
      <c r="G356" s="1648">
        <v>59.65</v>
      </c>
      <c r="H356" s="1636">
        <f>ROUND(G356*$B$13,2)</f>
        <v>16.059999999999999</v>
      </c>
      <c r="I356" s="1636">
        <f t="shared" si="192"/>
        <v>75.709999999999994</v>
      </c>
      <c r="J356" s="1723">
        <f t="shared" si="193"/>
        <v>261.64999999999998</v>
      </c>
      <c r="K356" s="2007">
        <f t="shared" si="196"/>
        <v>206.15</v>
      </c>
      <c r="L356" s="2007">
        <f t="shared" si="197"/>
        <v>55.5</v>
      </c>
      <c r="M356" s="2016"/>
      <c r="N356" s="2016"/>
      <c r="O356" s="2016"/>
      <c r="P356" s="2016">
        <f t="shared" si="215"/>
        <v>26.164999999999999</v>
      </c>
      <c r="Q356" s="2016"/>
      <c r="R356" s="2016"/>
      <c r="S356" s="2016"/>
      <c r="T356" s="2016"/>
      <c r="U356" s="2016">
        <f t="shared" si="216"/>
        <v>78.49499999999999</v>
      </c>
      <c r="V356" s="2016">
        <f t="shared" si="217"/>
        <v>78.49499999999999</v>
      </c>
      <c r="W356" s="2016">
        <f t="shared" si="218"/>
        <v>78.49499999999999</v>
      </c>
      <c r="X356" s="2016"/>
      <c r="Y356" s="2016"/>
      <c r="Z356" s="2016"/>
    </row>
    <row r="357" spans="1:26" s="2009" customFormat="1" ht="45" x14ac:dyDescent="0.2">
      <c r="A357" s="1635" t="s">
        <v>6062</v>
      </c>
      <c r="B357" s="1984" t="s">
        <v>4448</v>
      </c>
      <c r="C357" s="1984" t="s">
        <v>8901</v>
      </c>
      <c r="D357" s="1813" t="s">
        <v>8900</v>
      </c>
      <c r="E357" s="1638">
        <v>3</v>
      </c>
      <c r="F357" s="1639" t="s">
        <v>5284</v>
      </c>
      <c r="G357" s="1648">
        <v>875.98</v>
      </c>
      <c r="H357" s="1636">
        <f>ROUND(G357*$B$13,2)</f>
        <v>235.9</v>
      </c>
      <c r="I357" s="1636">
        <f t="shared" ref="I357" si="219">H357+G357</f>
        <v>1111.8800000000001</v>
      </c>
      <c r="J357" s="1723">
        <f t="shared" ref="J357" si="220">ROUND(I357*E357,2)</f>
        <v>3335.64</v>
      </c>
      <c r="K357" s="2007">
        <f t="shared" ref="K357" si="221">ROUND(G357*E357,2)</f>
        <v>2627.94</v>
      </c>
      <c r="L357" s="2007">
        <f t="shared" ref="L357" si="222">ROUND(H357*E357,2)</f>
        <v>707.7</v>
      </c>
      <c r="M357" s="2016"/>
      <c r="N357" s="2016"/>
      <c r="O357" s="2016"/>
      <c r="P357" s="2016">
        <f t="shared" ref="P357" si="223">0.1*J357</f>
        <v>333.56400000000002</v>
      </c>
      <c r="Q357" s="2016"/>
      <c r="R357" s="2016"/>
      <c r="S357" s="2016"/>
      <c r="T357" s="2016"/>
      <c r="U357" s="2016">
        <f t="shared" ref="U357" si="224">0.3*J357</f>
        <v>1000.6919999999999</v>
      </c>
      <c r="V357" s="2016">
        <f t="shared" ref="V357" si="225">0.3*J357</f>
        <v>1000.6919999999999</v>
      </c>
      <c r="W357" s="2016">
        <f t="shared" ref="W357" si="226">0.3*J357</f>
        <v>1000.6919999999999</v>
      </c>
      <c r="X357" s="2016"/>
      <c r="Y357" s="2016"/>
      <c r="Z357" s="2016"/>
    </row>
    <row r="358" spans="1:26" s="2009" customFormat="1" ht="30" x14ac:dyDescent="0.2">
      <c r="A358" s="1635" t="s">
        <v>8899</v>
      </c>
      <c r="B358" s="1984" t="s">
        <v>4448</v>
      </c>
      <c r="C358" s="1984">
        <v>90724</v>
      </c>
      <c r="D358" s="1813" t="s">
        <v>6058</v>
      </c>
      <c r="E358" s="1638">
        <v>48</v>
      </c>
      <c r="F358" s="1639" t="s">
        <v>5284</v>
      </c>
      <c r="G358" s="1648">
        <v>17.27</v>
      </c>
      <c r="H358" s="1636">
        <f>ROUND(G358*$B$13,2)</f>
        <v>4.6500000000000004</v>
      </c>
      <c r="I358" s="1636">
        <f t="shared" si="192"/>
        <v>21.92</v>
      </c>
      <c r="J358" s="1723">
        <f t="shared" si="193"/>
        <v>1052.1600000000001</v>
      </c>
      <c r="K358" s="2007">
        <f t="shared" si="196"/>
        <v>828.96</v>
      </c>
      <c r="L358" s="2007">
        <f t="shared" si="197"/>
        <v>223.2</v>
      </c>
      <c r="M358" s="2016"/>
      <c r="N358" s="2016"/>
      <c r="O358" s="2016"/>
      <c r="P358" s="2016">
        <f t="shared" si="215"/>
        <v>105.21600000000001</v>
      </c>
      <c r="Q358" s="2016"/>
      <c r="R358" s="2016"/>
      <c r="S358" s="2016"/>
      <c r="T358" s="2016"/>
      <c r="U358" s="2016">
        <f t="shared" si="216"/>
        <v>315.64800000000002</v>
      </c>
      <c r="V358" s="2016">
        <f t="shared" si="217"/>
        <v>315.64800000000002</v>
      </c>
      <c r="W358" s="2016">
        <f t="shared" si="218"/>
        <v>315.64800000000002</v>
      </c>
      <c r="X358" s="2016"/>
      <c r="Y358" s="2016"/>
      <c r="Z358" s="2016"/>
    </row>
    <row r="359" spans="1:26" s="2006" customFormat="1" ht="15" x14ac:dyDescent="0.2">
      <c r="A359" s="2133" t="s">
        <v>6037</v>
      </c>
      <c r="B359" s="2133"/>
      <c r="C359" s="2133"/>
      <c r="D359" s="2133"/>
      <c r="E359" s="2133"/>
      <c r="F359" s="2133"/>
      <c r="G359" s="2133"/>
      <c r="H359" s="2133"/>
      <c r="I359" s="2133"/>
      <c r="J359" s="1724">
        <f>SUM(J341:J358)</f>
        <v>37517.160000000003</v>
      </c>
      <c r="K359" s="2010"/>
      <c r="L359" s="2015"/>
      <c r="M359" s="1724">
        <f t="shared" ref="M359:Z359" si="227">SUM(M341:M358)</f>
        <v>0</v>
      </c>
      <c r="N359" s="1724">
        <f t="shared" si="227"/>
        <v>0</v>
      </c>
      <c r="O359" s="1724">
        <f t="shared" si="227"/>
        <v>0</v>
      </c>
      <c r="P359" s="1724">
        <f t="shared" si="227"/>
        <v>3751.7159999999999</v>
      </c>
      <c r="Q359" s="1724">
        <f t="shared" si="227"/>
        <v>0</v>
      </c>
      <c r="R359" s="1724">
        <f t="shared" si="227"/>
        <v>0</v>
      </c>
      <c r="S359" s="1724">
        <f t="shared" si="227"/>
        <v>0</v>
      </c>
      <c r="T359" s="1724">
        <f t="shared" si="227"/>
        <v>0</v>
      </c>
      <c r="U359" s="1724">
        <f t="shared" si="227"/>
        <v>11255.147999999996</v>
      </c>
      <c r="V359" s="1724">
        <f t="shared" si="227"/>
        <v>11255.147999999996</v>
      </c>
      <c r="W359" s="1724">
        <f t="shared" si="227"/>
        <v>11255.147999999996</v>
      </c>
      <c r="X359" s="1724">
        <f t="shared" si="227"/>
        <v>0</v>
      </c>
      <c r="Y359" s="1724">
        <f t="shared" si="227"/>
        <v>0</v>
      </c>
      <c r="Z359" s="1724">
        <f t="shared" si="227"/>
        <v>0</v>
      </c>
    </row>
    <row r="360" spans="1:26" s="2006" customFormat="1" ht="15" x14ac:dyDescent="0.2">
      <c r="A360" s="52"/>
      <c r="B360" s="52"/>
      <c r="C360" s="52"/>
      <c r="D360" s="52"/>
      <c r="E360" s="1506"/>
      <c r="F360" s="52"/>
      <c r="G360" s="1649"/>
      <c r="H360" s="51"/>
      <c r="I360" s="51"/>
      <c r="J360" s="1725"/>
      <c r="K360" s="51"/>
      <c r="L360" s="2015"/>
      <c r="M360" s="2005"/>
      <c r="N360" s="2005"/>
      <c r="O360" s="2005"/>
      <c r="P360" s="2005"/>
      <c r="Q360" s="2005"/>
      <c r="R360" s="2005"/>
      <c r="S360" s="2005"/>
      <c r="T360" s="2005"/>
      <c r="U360" s="2005"/>
      <c r="V360" s="2005"/>
      <c r="W360" s="2005"/>
      <c r="X360" s="2005"/>
      <c r="Y360" s="2005"/>
      <c r="Z360" s="2005"/>
    </row>
    <row r="361" spans="1:26" s="2006" customFormat="1" ht="15" x14ac:dyDescent="0.2">
      <c r="A361" s="1513" t="s">
        <v>4997</v>
      </c>
      <c r="B361" s="2130" t="s">
        <v>5002</v>
      </c>
      <c r="C361" s="2130"/>
      <c r="D361" s="2130"/>
      <c r="E361" s="2130"/>
      <c r="F361" s="2130"/>
      <c r="G361" s="2130"/>
      <c r="H361" s="2130"/>
      <c r="I361" s="2130"/>
      <c r="J361" s="2130"/>
      <c r="K361" s="1980"/>
      <c r="L361" s="2015"/>
      <c r="M361" s="2005"/>
      <c r="N361" s="2005"/>
      <c r="O361" s="2005"/>
      <c r="P361" s="2005"/>
      <c r="Q361" s="2005"/>
      <c r="R361" s="2005"/>
      <c r="S361" s="2005"/>
      <c r="T361" s="2005"/>
      <c r="U361" s="2005"/>
      <c r="V361" s="2005"/>
      <c r="W361" s="2005"/>
      <c r="X361" s="2005"/>
      <c r="Y361" s="2005"/>
      <c r="Z361" s="2005"/>
    </row>
    <row r="362" spans="1:26" s="2006" customFormat="1" ht="15" x14ac:dyDescent="0.2">
      <c r="A362" s="1634" t="s">
        <v>4998</v>
      </c>
      <c r="B362" s="2136" t="s">
        <v>6064</v>
      </c>
      <c r="C362" s="2136"/>
      <c r="D362" s="2136"/>
      <c r="E362" s="2136"/>
      <c r="F362" s="2136"/>
      <c r="G362" s="2136"/>
      <c r="H362" s="2136"/>
      <c r="I362" s="2136"/>
      <c r="J362" s="2136"/>
      <c r="K362" s="1983"/>
      <c r="L362" s="2015"/>
      <c r="M362" s="2005"/>
      <c r="N362" s="2005"/>
      <c r="O362" s="2005"/>
      <c r="P362" s="2005"/>
      <c r="Q362" s="2005"/>
      <c r="R362" s="2005"/>
      <c r="S362" s="2005"/>
      <c r="T362" s="2005"/>
      <c r="U362" s="2005"/>
      <c r="V362" s="2005"/>
      <c r="W362" s="2005"/>
      <c r="X362" s="2005"/>
      <c r="Y362" s="2005"/>
      <c r="Z362" s="2005"/>
    </row>
    <row r="363" spans="1:26" s="2009" customFormat="1" ht="30" x14ac:dyDescent="0.2">
      <c r="A363" s="1635" t="s">
        <v>7500</v>
      </c>
      <c r="B363" s="1984" t="s">
        <v>4448</v>
      </c>
      <c r="C363" s="1984">
        <v>89711</v>
      </c>
      <c r="D363" s="1813" t="s">
        <v>6066</v>
      </c>
      <c r="E363" s="1638">
        <f>66.53+115.1</f>
        <v>181.63</v>
      </c>
      <c r="F363" s="1639" t="s">
        <v>5713</v>
      </c>
      <c r="G363" s="1648">
        <v>14.34</v>
      </c>
      <c r="H363" s="1636">
        <f t="shared" ref="H363:H394" si="228">ROUND(G363*$B$13,2)</f>
        <v>3.86</v>
      </c>
      <c r="I363" s="1636">
        <f t="shared" ref="I363:I402" si="229">H363+G363</f>
        <v>18.2</v>
      </c>
      <c r="J363" s="1723">
        <f t="shared" ref="J363:J402" si="230">ROUND(I363*E363,2)</f>
        <v>3305.67</v>
      </c>
      <c r="K363" s="2007">
        <f t="shared" ref="K363" si="231">ROUND(G363*E363,2)</f>
        <v>2604.5700000000002</v>
      </c>
      <c r="L363" s="2007">
        <f t="shared" ref="L363" si="232">ROUND(H363*E363,2)</f>
        <v>701.09</v>
      </c>
      <c r="M363" s="2016"/>
      <c r="N363" s="2016"/>
      <c r="O363" s="2016"/>
      <c r="P363" s="2016">
        <f>0.2*J363</f>
        <v>661.13400000000001</v>
      </c>
      <c r="Q363" s="2016"/>
      <c r="R363" s="2016"/>
      <c r="S363" s="2016">
        <f>0.05*J363</f>
        <v>165.2835</v>
      </c>
      <c r="T363" s="2016">
        <f>0.05*J363</f>
        <v>165.2835</v>
      </c>
      <c r="U363" s="2016">
        <f>0.5*J363</f>
        <v>1652.835</v>
      </c>
      <c r="V363" s="2016">
        <f>0.2*J363</f>
        <v>661.13400000000001</v>
      </c>
      <c r="W363" s="2016"/>
      <c r="X363" s="2016"/>
      <c r="Y363" s="2016"/>
      <c r="Z363" s="2016"/>
    </row>
    <row r="364" spans="1:26" s="2009" customFormat="1" ht="30" x14ac:dyDescent="0.2">
      <c r="A364" s="1635" t="s">
        <v>7501</v>
      </c>
      <c r="B364" s="1984" t="s">
        <v>4448</v>
      </c>
      <c r="C364" s="1984">
        <v>89712</v>
      </c>
      <c r="D364" s="1813" t="s">
        <v>6067</v>
      </c>
      <c r="E364" s="1638">
        <f>0.12+119+6.55+63.87+6.06</f>
        <v>195.6</v>
      </c>
      <c r="F364" s="1639" t="s">
        <v>5713</v>
      </c>
      <c r="G364" s="1648">
        <v>21.17</v>
      </c>
      <c r="H364" s="1636">
        <f t="shared" si="228"/>
        <v>5.7</v>
      </c>
      <c r="I364" s="1636">
        <f t="shared" si="229"/>
        <v>26.87</v>
      </c>
      <c r="J364" s="1723">
        <f t="shared" si="230"/>
        <v>5255.77</v>
      </c>
      <c r="K364" s="2007">
        <f t="shared" ref="K364:K421" si="233">ROUND(G364*E364,2)</f>
        <v>4140.8500000000004</v>
      </c>
      <c r="L364" s="2007">
        <f t="shared" ref="L364:L421" si="234">ROUND(H364*E364,2)</f>
        <v>1114.92</v>
      </c>
      <c r="M364" s="2016"/>
      <c r="N364" s="2016"/>
      <c r="O364" s="2016"/>
      <c r="P364" s="2016">
        <f t="shared" ref="P364:P412" si="235">0.2*J364</f>
        <v>1051.1540000000002</v>
      </c>
      <c r="Q364" s="2016"/>
      <c r="R364" s="2016"/>
      <c r="S364" s="2016">
        <f t="shared" ref="S364:S412" si="236">0.05*J364</f>
        <v>262.78850000000006</v>
      </c>
      <c r="T364" s="2016">
        <f t="shared" ref="T364:T412" si="237">0.05*J364</f>
        <v>262.78850000000006</v>
      </c>
      <c r="U364" s="2016">
        <f t="shared" ref="U364:U412" si="238">0.5*J364</f>
        <v>2627.8850000000002</v>
      </c>
      <c r="V364" s="2016">
        <f t="shared" ref="V364:V412" si="239">0.2*J364</f>
        <v>1051.1540000000002</v>
      </c>
      <c r="W364" s="2016"/>
      <c r="X364" s="2016"/>
      <c r="Y364" s="2016"/>
      <c r="Z364" s="2016"/>
    </row>
    <row r="365" spans="1:26" s="2009" customFormat="1" ht="30" x14ac:dyDescent="0.2">
      <c r="A365" s="1635" t="s">
        <v>7502</v>
      </c>
      <c r="B365" s="1984" t="s">
        <v>4448</v>
      </c>
      <c r="C365" s="1984">
        <v>89713</v>
      </c>
      <c r="D365" s="1813" t="s">
        <v>6068</v>
      </c>
      <c r="E365" s="1638">
        <f>85.59+107.22+3.91+102.67+113.64+2.65+2.65+13.75</f>
        <v>432.07999999999993</v>
      </c>
      <c r="F365" s="1639" t="s">
        <v>5713</v>
      </c>
      <c r="G365" s="1648">
        <v>32.229999999999997</v>
      </c>
      <c r="H365" s="1636">
        <f t="shared" si="228"/>
        <v>8.68</v>
      </c>
      <c r="I365" s="1636">
        <f t="shared" si="229"/>
        <v>40.909999999999997</v>
      </c>
      <c r="J365" s="1723">
        <f t="shared" si="230"/>
        <v>17676.39</v>
      </c>
      <c r="K365" s="2007">
        <f t="shared" si="233"/>
        <v>13925.94</v>
      </c>
      <c r="L365" s="2007">
        <f t="shared" si="234"/>
        <v>3750.45</v>
      </c>
      <c r="M365" s="2016"/>
      <c r="N365" s="2016"/>
      <c r="O365" s="2016"/>
      <c r="P365" s="2016">
        <f t="shared" si="235"/>
        <v>3535.2780000000002</v>
      </c>
      <c r="Q365" s="2016"/>
      <c r="R365" s="2016"/>
      <c r="S365" s="2016">
        <f t="shared" si="236"/>
        <v>883.81950000000006</v>
      </c>
      <c r="T365" s="2016">
        <f t="shared" si="237"/>
        <v>883.81950000000006</v>
      </c>
      <c r="U365" s="2016">
        <f t="shared" si="238"/>
        <v>8838.1949999999997</v>
      </c>
      <c r="V365" s="2016">
        <f t="shared" si="239"/>
        <v>3535.2780000000002</v>
      </c>
      <c r="W365" s="2016"/>
      <c r="X365" s="2016"/>
      <c r="Y365" s="2016"/>
      <c r="Z365" s="2016"/>
    </row>
    <row r="366" spans="1:26" s="2009" customFormat="1" ht="30" x14ac:dyDescent="0.2">
      <c r="A366" s="1635" t="s">
        <v>7503</v>
      </c>
      <c r="B366" s="1984" t="s">
        <v>4448</v>
      </c>
      <c r="C366" s="1984">
        <v>89714</v>
      </c>
      <c r="D366" s="1813" t="s">
        <v>6069</v>
      </c>
      <c r="E366" s="1638">
        <f>0.17+178.34+6.67+71.04+10.61</f>
        <v>266.83</v>
      </c>
      <c r="F366" s="1639" t="s">
        <v>5713</v>
      </c>
      <c r="G366" s="1648">
        <v>41.52</v>
      </c>
      <c r="H366" s="1636">
        <f t="shared" si="228"/>
        <v>11.18</v>
      </c>
      <c r="I366" s="1636">
        <f t="shared" si="229"/>
        <v>52.7</v>
      </c>
      <c r="J366" s="1723">
        <f t="shared" si="230"/>
        <v>14061.94</v>
      </c>
      <c r="K366" s="2007">
        <f t="shared" si="233"/>
        <v>11078.78</v>
      </c>
      <c r="L366" s="2007">
        <f t="shared" si="234"/>
        <v>2983.16</v>
      </c>
      <c r="M366" s="2016"/>
      <c r="N366" s="2016"/>
      <c r="O366" s="2016"/>
      <c r="P366" s="2016">
        <f t="shared" si="235"/>
        <v>2812.3880000000004</v>
      </c>
      <c r="Q366" s="2016"/>
      <c r="R366" s="2016"/>
      <c r="S366" s="2016">
        <f t="shared" si="236"/>
        <v>703.09700000000009</v>
      </c>
      <c r="T366" s="2016">
        <f t="shared" si="237"/>
        <v>703.09700000000009</v>
      </c>
      <c r="U366" s="2016">
        <f t="shared" si="238"/>
        <v>7030.97</v>
      </c>
      <c r="V366" s="2016">
        <f t="shared" si="239"/>
        <v>2812.3880000000004</v>
      </c>
      <c r="W366" s="2016"/>
      <c r="X366" s="2016"/>
      <c r="Y366" s="2016"/>
      <c r="Z366" s="2016"/>
    </row>
    <row r="367" spans="1:26" s="2009" customFormat="1" ht="30" x14ac:dyDescent="0.2">
      <c r="A367" s="1635" t="s">
        <v>7504</v>
      </c>
      <c r="B367" s="1984" t="s">
        <v>4448</v>
      </c>
      <c r="C367" s="1984">
        <v>89849</v>
      </c>
      <c r="D367" s="1813" t="s">
        <v>6070</v>
      </c>
      <c r="E367" s="1638">
        <f>9.82+73.96+89.71</f>
        <v>173.49</v>
      </c>
      <c r="F367" s="1639" t="s">
        <v>5713</v>
      </c>
      <c r="G367" s="1648">
        <v>41.28</v>
      </c>
      <c r="H367" s="1636">
        <f t="shared" si="228"/>
        <v>11.12</v>
      </c>
      <c r="I367" s="1636">
        <f t="shared" si="229"/>
        <v>52.4</v>
      </c>
      <c r="J367" s="1723">
        <f t="shared" si="230"/>
        <v>9090.8799999999992</v>
      </c>
      <c r="K367" s="2007">
        <f t="shared" si="233"/>
        <v>7161.67</v>
      </c>
      <c r="L367" s="2007">
        <f t="shared" si="234"/>
        <v>1929.21</v>
      </c>
      <c r="M367" s="2016"/>
      <c r="N367" s="2016"/>
      <c r="O367" s="2016"/>
      <c r="P367" s="2016">
        <f t="shared" si="235"/>
        <v>1818.1759999999999</v>
      </c>
      <c r="Q367" s="2016"/>
      <c r="R367" s="2016"/>
      <c r="S367" s="2016">
        <f t="shared" si="236"/>
        <v>454.54399999999998</v>
      </c>
      <c r="T367" s="2016">
        <f t="shared" si="237"/>
        <v>454.54399999999998</v>
      </c>
      <c r="U367" s="2016">
        <f t="shared" si="238"/>
        <v>4545.4399999999996</v>
      </c>
      <c r="V367" s="2016">
        <f t="shared" si="239"/>
        <v>1818.1759999999999</v>
      </c>
      <c r="W367" s="2016"/>
      <c r="X367" s="2016"/>
      <c r="Y367" s="2016"/>
      <c r="Z367" s="2016"/>
    </row>
    <row r="368" spans="1:26" s="2009" customFormat="1" ht="30" x14ac:dyDescent="0.2">
      <c r="A368" s="1635" t="s">
        <v>7505</v>
      </c>
      <c r="B368" s="1984" t="s">
        <v>5714</v>
      </c>
      <c r="C368" s="1984">
        <v>10</v>
      </c>
      <c r="D368" s="1813" t="s">
        <v>6071</v>
      </c>
      <c r="E368" s="1638">
        <f>10</f>
        <v>10</v>
      </c>
      <c r="F368" s="1639" t="s">
        <v>5284</v>
      </c>
      <c r="G368" s="1648">
        <v>5.57</v>
      </c>
      <c r="H368" s="1636">
        <f t="shared" si="228"/>
        <v>1.5</v>
      </c>
      <c r="I368" s="1636">
        <f t="shared" si="229"/>
        <v>7.07</v>
      </c>
      <c r="J368" s="1723">
        <f t="shared" si="230"/>
        <v>70.7</v>
      </c>
      <c r="K368" s="2007">
        <f t="shared" si="233"/>
        <v>55.7</v>
      </c>
      <c r="L368" s="2007">
        <f t="shared" si="234"/>
        <v>15</v>
      </c>
      <c r="M368" s="2016"/>
      <c r="N368" s="2016"/>
      <c r="O368" s="2016"/>
      <c r="P368" s="2016">
        <f t="shared" si="235"/>
        <v>14.14</v>
      </c>
      <c r="Q368" s="2016"/>
      <c r="R368" s="2016"/>
      <c r="S368" s="2016">
        <f t="shared" si="236"/>
        <v>3.5350000000000001</v>
      </c>
      <c r="T368" s="2016">
        <f t="shared" si="237"/>
        <v>3.5350000000000001</v>
      </c>
      <c r="U368" s="2016">
        <f t="shared" si="238"/>
        <v>35.35</v>
      </c>
      <c r="V368" s="2016">
        <f t="shared" si="239"/>
        <v>14.14</v>
      </c>
      <c r="W368" s="2016"/>
      <c r="X368" s="2016"/>
      <c r="Y368" s="2016"/>
      <c r="Z368" s="2016"/>
    </row>
    <row r="369" spans="1:26" s="2009" customFormat="1" ht="30" x14ac:dyDescent="0.2">
      <c r="A369" s="1635" t="s">
        <v>7506</v>
      </c>
      <c r="B369" s="1984" t="s">
        <v>5714</v>
      </c>
      <c r="C369" s="1984">
        <v>11</v>
      </c>
      <c r="D369" s="1813" t="s">
        <v>6072</v>
      </c>
      <c r="E369" s="1638">
        <f>9</f>
        <v>9</v>
      </c>
      <c r="F369" s="1639" t="s">
        <v>5284</v>
      </c>
      <c r="G369" s="1648">
        <v>7.3599999999999994</v>
      </c>
      <c r="H369" s="1636">
        <f t="shared" si="228"/>
        <v>1.98</v>
      </c>
      <c r="I369" s="1636">
        <f t="shared" si="229"/>
        <v>9.34</v>
      </c>
      <c r="J369" s="1723">
        <f t="shared" si="230"/>
        <v>84.06</v>
      </c>
      <c r="K369" s="2007">
        <f t="shared" si="233"/>
        <v>66.239999999999995</v>
      </c>
      <c r="L369" s="2007">
        <f t="shared" si="234"/>
        <v>17.82</v>
      </c>
      <c r="M369" s="2016"/>
      <c r="N369" s="2016"/>
      <c r="O369" s="2016"/>
      <c r="P369" s="2016">
        <f t="shared" si="235"/>
        <v>16.812000000000001</v>
      </c>
      <c r="Q369" s="2016"/>
      <c r="R369" s="2016"/>
      <c r="S369" s="2016">
        <f t="shared" si="236"/>
        <v>4.2030000000000003</v>
      </c>
      <c r="T369" s="2016">
        <f t="shared" si="237"/>
        <v>4.2030000000000003</v>
      </c>
      <c r="U369" s="2016">
        <f t="shared" si="238"/>
        <v>42.03</v>
      </c>
      <c r="V369" s="2016">
        <f t="shared" si="239"/>
        <v>16.812000000000001</v>
      </c>
      <c r="W369" s="2016"/>
      <c r="X369" s="2016"/>
      <c r="Y369" s="2016"/>
      <c r="Z369" s="2016"/>
    </row>
    <row r="370" spans="1:26" s="2009" customFormat="1" ht="30" x14ac:dyDescent="0.2">
      <c r="A370" s="1635" t="s">
        <v>7507</v>
      </c>
      <c r="B370" s="1984" t="s">
        <v>5714</v>
      </c>
      <c r="C370" s="1984">
        <v>9</v>
      </c>
      <c r="D370" s="1813" t="s">
        <v>6073</v>
      </c>
      <c r="E370" s="1638">
        <f>4</f>
        <v>4</v>
      </c>
      <c r="F370" s="1639" t="s">
        <v>5284</v>
      </c>
      <c r="G370" s="1648">
        <v>8.8000000000000007</v>
      </c>
      <c r="H370" s="1636">
        <f t="shared" si="228"/>
        <v>2.37</v>
      </c>
      <c r="I370" s="1636">
        <f t="shared" si="229"/>
        <v>11.170000000000002</v>
      </c>
      <c r="J370" s="1723">
        <f t="shared" si="230"/>
        <v>44.68</v>
      </c>
      <c r="K370" s="2007">
        <f t="shared" si="233"/>
        <v>35.200000000000003</v>
      </c>
      <c r="L370" s="2007">
        <f t="shared" si="234"/>
        <v>9.48</v>
      </c>
      <c r="M370" s="2016"/>
      <c r="N370" s="2016"/>
      <c r="O370" s="2016"/>
      <c r="P370" s="2016">
        <f t="shared" si="235"/>
        <v>8.9359999999999999</v>
      </c>
      <c r="Q370" s="2016"/>
      <c r="R370" s="2016"/>
      <c r="S370" s="2016">
        <f t="shared" si="236"/>
        <v>2.234</v>
      </c>
      <c r="T370" s="2016">
        <f t="shared" si="237"/>
        <v>2.234</v>
      </c>
      <c r="U370" s="2016">
        <f t="shared" si="238"/>
        <v>22.34</v>
      </c>
      <c r="V370" s="2016">
        <f t="shared" si="239"/>
        <v>8.9359999999999999</v>
      </c>
      <c r="W370" s="2016"/>
      <c r="X370" s="2016"/>
      <c r="Y370" s="2016"/>
      <c r="Z370" s="2016"/>
    </row>
    <row r="371" spans="1:26" s="2009" customFormat="1" ht="30" x14ac:dyDescent="0.2">
      <c r="A371" s="1635" t="s">
        <v>7508</v>
      </c>
      <c r="B371" s="1984" t="s">
        <v>4448</v>
      </c>
      <c r="C371" s="1984" t="s">
        <v>6114</v>
      </c>
      <c r="D371" s="1813" t="s">
        <v>6074</v>
      </c>
      <c r="E371" s="1638">
        <f>1</f>
        <v>1</v>
      </c>
      <c r="F371" s="1639" t="s">
        <v>5284</v>
      </c>
      <c r="G371" s="1648">
        <v>30.32</v>
      </c>
      <c r="H371" s="1636">
        <f t="shared" si="228"/>
        <v>8.17</v>
      </c>
      <c r="I371" s="1636">
        <f t="shared" si="229"/>
        <v>38.49</v>
      </c>
      <c r="J371" s="1723">
        <f t="shared" si="230"/>
        <v>38.49</v>
      </c>
      <c r="K371" s="2007">
        <f t="shared" si="233"/>
        <v>30.32</v>
      </c>
      <c r="L371" s="2007">
        <f t="shared" si="234"/>
        <v>8.17</v>
      </c>
      <c r="M371" s="2016"/>
      <c r="N371" s="2016"/>
      <c r="O371" s="2016"/>
      <c r="P371" s="2016">
        <f t="shared" si="235"/>
        <v>7.6980000000000004</v>
      </c>
      <c r="Q371" s="2016"/>
      <c r="R371" s="2016"/>
      <c r="S371" s="2016">
        <f t="shared" si="236"/>
        <v>1.9245000000000001</v>
      </c>
      <c r="T371" s="2016">
        <f t="shared" si="237"/>
        <v>1.9245000000000001</v>
      </c>
      <c r="U371" s="2016">
        <f t="shared" si="238"/>
        <v>19.245000000000001</v>
      </c>
      <c r="V371" s="2016">
        <f t="shared" si="239"/>
        <v>7.6980000000000004</v>
      </c>
      <c r="W371" s="2016"/>
      <c r="X371" s="2016"/>
      <c r="Y371" s="2016"/>
      <c r="Z371" s="2016"/>
    </row>
    <row r="372" spans="1:26" s="2009" customFormat="1" ht="30" x14ac:dyDescent="0.2">
      <c r="A372" s="1635" t="s">
        <v>7509</v>
      </c>
      <c r="B372" s="1984" t="s">
        <v>4448</v>
      </c>
      <c r="C372" s="1984" t="s">
        <v>6117</v>
      </c>
      <c r="D372" s="1813" t="s">
        <v>6075</v>
      </c>
      <c r="E372" s="1638">
        <f>19+36</f>
        <v>55</v>
      </c>
      <c r="F372" s="1639" t="s">
        <v>5284</v>
      </c>
      <c r="G372" s="1648">
        <v>35.85</v>
      </c>
      <c r="H372" s="1636">
        <f t="shared" si="228"/>
        <v>9.65</v>
      </c>
      <c r="I372" s="1636">
        <f t="shared" si="229"/>
        <v>45.5</v>
      </c>
      <c r="J372" s="1723">
        <f t="shared" si="230"/>
        <v>2502.5</v>
      </c>
      <c r="K372" s="2007">
        <f t="shared" si="233"/>
        <v>1971.75</v>
      </c>
      <c r="L372" s="2007">
        <f t="shared" si="234"/>
        <v>530.75</v>
      </c>
      <c r="M372" s="2016"/>
      <c r="N372" s="2016"/>
      <c r="O372" s="2016"/>
      <c r="P372" s="2016">
        <f t="shared" si="235"/>
        <v>500.5</v>
      </c>
      <c r="Q372" s="2016"/>
      <c r="R372" s="2016"/>
      <c r="S372" s="2016">
        <f t="shared" si="236"/>
        <v>125.125</v>
      </c>
      <c r="T372" s="2016">
        <f t="shared" si="237"/>
        <v>125.125</v>
      </c>
      <c r="U372" s="2016">
        <f t="shared" si="238"/>
        <v>1251.25</v>
      </c>
      <c r="V372" s="2016">
        <f t="shared" si="239"/>
        <v>500.5</v>
      </c>
      <c r="W372" s="2016"/>
      <c r="X372" s="2016"/>
      <c r="Y372" s="2016"/>
      <c r="Z372" s="2016"/>
    </row>
    <row r="373" spans="1:26" s="2009" customFormat="1" ht="30" x14ac:dyDescent="0.2">
      <c r="A373" s="1635" t="s">
        <v>7510</v>
      </c>
      <c r="B373" s="1984" t="s">
        <v>4448</v>
      </c>
      <c r="C373" s="1984" t="s">
        <v>6115</v>
      </c>
      <c r="D373" s="1813" t="s">
        <v>6076</v>
      </c>
      <c r="E373" s="1638">
        <f>37+1+18+2</f>
        <v>58</v>
      </c>
      <c r="F373" s="1639" t="s">
        <v>5284</v>
      </c>
      <c r="G373" s="1648">
        <v>13.610000000000001</v>
      </c>
      <c r="H373" s="1636">
        <f t="shared" si="228"/>
        <v>3.67</v>
      </c>
      <c r="I373" s="1636">
        <f t="shared" si="229"/>
        <v>17.28</v>
      </c>
      <c r="J373" s="1723">
        <f t="shared" si="230"/>
        <v>1002.24</v>
      </c>
      <c r="K373" s="2007">
        <f t="shared" si="233"/>
        <v>789.38</v>
      </c>
      <c r="L373" s="2007">
        <f t="shared" si="234"/>
        <v>212.86</v>
      </c>
      <c r="M373" s="2016"/>
      <c r="N373" s="2016"/>
      <c r="O373" s="2016"/>
      <c r="P373" s="2016">
        <f t="shared" si="235"/>
        <v>200.44800000000001</v>
      </c>
      <c r="Q373" s="2016"/>
      <c r="R373" s="2016"/>
      <c r="S373" s="2016">
        <f t="shared" si="236"/>
        <v>50.112000000000002</v>
      </c>
      <c r="T373" s="2016">
        <f t="shared" si="237"/>
        <v>50.112000000000002</v>
      </c>
      <c r="U373" s="2016">
        <f t="shared" si="238"/>
        <v>501.12</v>
      </c>
      <c r="V373" s="2016">
        <f t="shared" si="239"/>
        <v>200.44800000000001</v>
      </c>
      <c r="W373" s="2016"/>
      <c r="X373" s="2016"/>
      <c r="Y373" s="2016"/>
      <c r="Z373" s="2016"/>
    </row>
    <row r="374" spans="1:26" s="2009" customFormat="1" ht="30" x14ac:dyDescent="0.2">
      <c r="A374" s="1635" t="s">
        <v>7511</v>
      </c>
      <c r="B374" s="1984" t="s">
        <v>4448</v>
      </c>
      <c r="C374" s="1984" t="s">
        <v>6118</v>
      </c>
      <c r="D374" s="1813" t="s">
        <v>6077</v>
      </c>
      <c r="E374" s="1638">
        <f>17+9+23+10</f>
        <v>59</v>
      </c>
      <c r="F374" s="1639" t="s">
        <v>5284</v>
      </c>
      <c r="G374" s="1648">
        <v>33.230000000000004</v>
      </c>
      <c r="H374" s="1636">
        <f t="shared" si="228"/>
        <v>8.9499999999999993</v>
      </c>
      <c r="I374" s="1636">
        <f t="shared" si="229"/>
        <v>42.180000000000007</v>
      </c>
      <c r="J374" s="1723">
        <f t="shared" si="230"/>
        <v>2488.62</v>
      </c>
      <c r="K374" s="2007">
        <f t="shared" si="233"/>
        <v>1960.57</v>
      </c>
      <c r="L374" s="2007">
        <f t="shared" si="234"/>
        <v>528.04999999999995</v>
      </c>
      <c r="M374" s="2016"/>
      <c r="N374" s="2016"/>
      <c r="O374" s="2016"/>
      <c r="P374" s="2016">
        <f t="shared" si="235"/>
        <v>497.72399999999999</v>
      </c>
      <c r="Q374" s="2016"/>
      <c r="R374" s="2016"/>
      <c r="S374" s="2016">
        <f t="shared" si="236"/>
        <v>124.431</v>
      </c>
      <c r="T374" s="2016">
        <f t="shared" si="237"/>
        <v>124.431</v>
      </c>
      <c r="U374" s="2016">
        <f t="shared" si="238"/>
        <v>1244.31</v>
      </c>
      <c r="V374" s="2016">
        <f t="shared" si="239"/>
        <v>497.72399999999999</v>
      </c>
      <c r="W374" s="2016"/>
      <c r="X374" s="2016"/>
      <c r="Y374" s="2016"/>
      <c r="Z374" s="2016"/>
    </row>
    <row r="375" spans="1:26" s="2009" customFormat="1" ht="30" x14ac:dyDescent="0.2">
      <c r="A375" s="1635" t="s">
        <v>7512</v>
      </c>
      <c r="B375" s="1984" t="s">
        <v>4448</v>
      </c>
      <c r="C375" s="1984" t="s">
        <v>6116</v>
      </c>
      <c r="D375" s="1813" t="s">
        <v>6078</v>
      </c>
      <c r="E375" s="1638">
        <f>19+16</f>
        <v>35</v>
      </c>
      <c r="F375" s="1639" t="s">
        <v>5284</v>
      </c>
      <c r="G375" s="1648">
        <v>41.14</v>
      </c>
      <c r="H375" s="1636">
        <f t="shared" si="228"/>
        <v>11.08</v>
      </c>
      <c r="I375" s="1636">
        <f t="shared" si="229"/>
        <v>52.22</v>
      </c>
      <c r="J375" s="1723">
        <f t="shared" si="230"/>
        <v>1827.7</v>
      </c>
      <c r="K375" s="2007">
        <f t="shared" si="233"/>
        <v>1439.9</v>
      </c>
      <c r="L375" s="2007">
        <f t="shared" si="234"/>
        <v>387.8</v>
      </c>
      <c r="M375" s="2016"/>
      <c r="N375" s="2016"/>
      <c r="O375" s="2016"/>
      <c r="P375" s="2016">
        <f t="shared" si="235"/>
        <v>365.54</v>
      </c>
      <c r="Q375" s="2016"/>
      <c r="R375" s="2016"/>
      <c r="S375" s="2016">
        <f t="shared" si="236"/>
        <v>91.385000000000005</v>
      </c>
      <c r="T375" s="2016">
        <f t="shared" si="237"/>
        <v>91.385000000000005</v>
      </c>
      <c r="U375" s="2016">
        <f t="shared" si="238"/>
        <v>913.85</v>
      </c>
      <c r="V375" s="2016">
        <f t="shared" si="239"/>
        <v>365.54</v>
      </c>
      <c r="W375" s="2016"/>
      <c r="X375" s="2016"/>
      <c r="Y375" s="2016"/>
      <c r="Z375" s="2016"/>
    </row>
    <row r="376" spans="1:26" s="2009" customFormat="1" ht="30" x14ac:dyDescent="0.2">
      <c r="A376" s="1635" t="s">
        <v>7513</v>
      </c>
      <c r="B376" s="1984" t="s">
        <v>4448</v>
      </c>
      <c r="C376" s="1984">
        <v>89728</v>
      </c>
      <c r="D376" s="1813" t="s">
        <v>6079</v>
      </c>
      <c r="E376" s="1638">
        <f>42+76</f>
        <v>118</v>
      </c>
      <c r="F376" s="1639" t="s">
        <v>5284</v>
      </c>
      <c r="G376" s="1648">
        <v>7.66</v>
      </c>
      <c r="H376" s="1636">
        <f t="shared" si="228"/>
        <v>2.06</v>
      </c>
      <c r="I376" s="1636">
        <f t="shared" si="229"/>
        <v>9.7200000000000006</v>
      </c>
      <c r="J376" s="1723">
        <f t="shared" si="230"/>
        <v>1146.96</v>
      </c>
      <c r="K376" s="2007">
        <f t="shared" si="233"/>
        <v>903.88</v>
      </c>
      <c r="L376" s="2007">
        <f t="shared" si="234"/>
        <v>243.08</v>
      </c>
      <c r="M376" s="2016"/>
      <c r="N376" s="2016"/>
      <c r="O376" s="2016"/>
      <c r="P376" s="2016">
        <f t="shared" si="235"/>
        <v>229.39200000000002</v>
      </c>
      <c r="Q376" s="2016"/>
      <c r="R376" s="2016"/>
      <c r="S376" s="2016">
        <f t="shared" si="236"/>
        <v>57.348000000000006</v>
      </c>
      <c r="T376" s="2016">
        <f t="shared" si="237"/>
        <v>57.348000000000006</v>
      </c>
      <c r="U376" s="2016">
        <f t="shared" si="238"/>
        <v>573.48</v>
      </c>
      <c r="V376" s="2016">
        <f t="shared" si="239"/>
        <v>229.39200000000002</v>
      </c>
      <c r="W376" s="2016"/>
      <c r="X376" s="2016"/>
      <c r="Y376" s="2016"/>
      <c r="Z376" s="2016"/>
    </row>
    <row r="377" spans="1:26" s="2009" customFormat="1" ht="30" x14ac:dyDescent="0.2">
      <c r="A377" s="1635" t="s">
        <v>7514</v>
      </c>
      <c r="B377" s="1984" t="s">
        <v>4448</v>
      </c>
      <c r="C377" s="1984">
        <v>89733</v>
      </c>
      <c r="D377" s="1813" t="s">
        <v>6080</v>
      </c>
      <c r="E377" s="1638">
        <f>1</f>
        <v>1</v>
      </c>
      <c r="F377" s="1639" t="s">
        <v>5284</v>
      </c>
      <c r="G377" s="1648">
        <v>12.63</v>
      </c>
      <c r="H377" s="1636">
        <f t="shared" si="228"/>
        <v>3.4</v>
      </c>
      <c r="I377" s="1636">
        <f t="shared" si="229"/>
        <v>16.03</v>
      </c>
      <c r="J377" s="1723">
        <f t="shared" si="230"/>
        <v>16.03</v>
      </c>
      <c r="K377" s="2007">
        <f t="shared" si="233"/>
        <v>12.63</v>
      </c>
      <c r="L377" s="2007">
        <f t="shared" si="234"/>
        <v>3.4</v>
      </c>
      <c r="M377" s="2016"/>
      <c r="N377" s="2016"/>
      <c r="O377" s="2016"/>
      <c r="P377" s="2016">
        <f t="shared" si="235"/>
        <v>3.2060000000000004</v>
      </c>
      <c r="Q377" s="2016"/>
      <c r="R377" s="2016"/>
      <c r="S377" s="2016">
        <f t="shared" si="236"/>
        <v>0.8015000000000001</v>
      </c>
      <c r="T377" s="2016">
        <f t="shared" si="237"/>
        <v>0.8015000000000001</v>
      </c>
      <c r="U377" s="2016">
        <f t="shared" si="238"/>
        <v>8.0150000000000006</v>
      </c>
      <c r="V377" s="2016">
        <f t="shared" si="239"/>
        <v>3.2060000000000004</v>
      </c>
      <c r="W377" s="2016"/>
      <c r="X377" s="2016"/>
      <c r="Y377" s="2016"/>
      <c r="Z377" s="2016"/>
    </row>
    <row r="378" spans="1:26" s="2009" customFormat="1" ht="30" x14ac:dyDescent="0.2">
      <c r="A378" s="1635" t="s">
        <v>7515</v>
      </c>
      <c r="B378" s="1984" t="s">
        <v>4448</v>
      </c>
      <c r="C378" s="1984">
        <v>89742</v>
      </c>
      <c r="D378" s="1813" t="s">
        <v>6081</v>
      </c>
      <c r="E378" s="1638">
        <f>3+9+1</f>
        <v>13</v>
      </c>
      <c r="F378" s="1639" t="s">
        <v>5284</v>
      </c>
      <c r="G378" s="1648">
        <v>21.57</v>
      </c>
      <c r="H378" s="1636">
        <f t="shared" si="228"/>
        <v>5.81</v>
      </c>
      <c r="I378" s="1636">
        <f t="shared" si="229"/>
        <v>27.38</v>
      </c>
      <c r="J378" s="1723">
        <f t="shared" si="230"/>
        <v>355.94</v>
      </c>
      <c r="K378" s="2007">
        <f t="shared" si="233"/>
        <v>280.41000000000003</v>
      </c>
      <c r="L378" s="2007">
        <f t="shared" si="234"/>
        <v>75.53</v>
      </c>
      <c r="M378" s="2016"/>
      <c r="N378" s="2016"/>
      <c r="O378" s="2016"/>
      <c r="P378" s="2016">
        <f t="shared" si="235"/>
        <v>71.188000000000002</v>
      </c>
      <c r="Q378" s="2016"/>
      <c r="R378" s="2016"/>
      <c r="S378" s="2016">
        <f t="shared" si="236"/>
        <v>17.797000000000001</v>
      </c>
      <c r="T378" s="2016">
        <f t="shared" si="237"/>
        <v>17.797000000000001</v>
      </c>
      <c r="U378" s="2016">
        <f t="shared" si="238"/>
        <v>177.97</v>
      </c>
      <c r="V378" s="2016">
        <f t="shared" si="239"/>
        <v>71.188000000000002</v>
      </c>
      <c r="W378" s="2016"/>
      <c r="X378" s="2016"/>
      <c r="Y378" s="2016"/>
      <c r="Z378" s="2016"/>
    </row>
    <row r="379" spans="1:26" s="2009" customFormat="1" ht="30" x14ac:dyDescent="0.2">
      <c r="A379" s="1635" t="s">
        <v>7516</v>
      </c>
      <c r="B379" s="1984" t="s">
        <v>4448</v>
      </c>
      <c r="C379" s="1984">
        <v>89748</v>
      </c>
      <c r="D379" s="1813" t="s">
        <v>6082</v>
      </c>
      <c r="E379" s="1638">
        <f>6</f>
        <v>6</v>
      </c>
      <c r="F379" s="1639" t="s">
        <v>5284</v>
      </c>
      <c r="G379" s="1648">
        <v>26.36</v>
      </c>
      <c r="H379" s="1636">
        <f t="shared" si="228"/>
        <v>7.1</v>
      </c>
      <c r="I379" s="1636">
        <f t="shared" si="229"/>
        <v>33.46</v>
      </c>
      <c r="J379" s="1723">
        <f t="shared" si="230"/>
        <v>200.76</v>
      </c>
      <c r="K379" s="2007">
        <f t="shared" si="233"/>
        <v>158.16</v>
      </c>
      <c r="L379" s="2007">
        <f t="shared" si="234"/>
        <v>42.6</v>
      </c>
      <c r="M379" s="2016"/>
      <c r="N379" s="2016"/>
      <c r="O379" s="2016"/>
      <c r="P379" s="2016">
        <f t="shared" si="235"/>
        <v>40.152000000000001</v>
      </c>
      <c r="Q379" s="2016"/>
      <c r="R379" s="2016"/>
      <c r="S379" s="2016">
        <f t="shared" si="236"/>
        <v>10.038</v>
      </c>
      <c r="T379" s="2016">
        <f t="shared" si="237"/>
        <v>10.038</v>
      </c>
      <c r="U379" s="2016">
        <f t="shared" si="238"/>
        <v>100.38</v>
      </c>
      <c r="V379" s="2016">
        <f t="shared" si="239"/>
        <v>40.152000000000001</v>
      </c>
      <c r="W379" s="2016"/>
      <c r="X379" s="2016"/>
      <c r="Y379" s="2016"/>
      <c r="Z379" s="2016"/>
    </row>
    <row r="380" spans="1:26" s="2009" customFormat="1" ht="30" x14ac:dyDescent="0.2">
      <c r="A380" s="1635" t="s">
        <v>7517</v>
      </c>
      <c r="B380" s="1984" t="s">
        <v>4448</v>
      </c>
      <c r="C380" s="1984">
        <v>89804</v>
      </c>
      <c r="D380" s="1813" t="s">
        <v>6083</v>
      </c>
      <c r="E380" s="1638">
        <f>3+2</f>
        <v>5</v>
      </c>
      <c r="F380" s="1639" t="s">
        <v>5284</v>
      </c>
      <c r="G380" s="1648">
        <v>10.119999999999999</v>
      </c>
      <c r="H380" s="1636">
        <f t="shared" si="228"/>
        <v>2.73</v>
      </c>
      <c r="I380" s="1636">
        <f t="shared" si="229"/>
        <v>12.85</v>
      </c>
      <c r="J380" s="1723">
        <f t="shared" si="230"/>
        <v>64.25</v>
      </c>
      <c r="K380" s="2007">
        <f t="shared" si="233"/>
        <v>50.6</v>
      </c>
      <c r="L380" s="2007">
        <f t="shared" si="234"/>
        <v>13.65</v>
      </c>
      <c r="M380" s="2016"/>
      <c r="N380" s="2016"/>
      <c r="O380" s="2016"/>
      <c r="P380" s="2016">
        <f t="shared" si="235"/>
        <v>12.850000000000001</v>
      </c>
      <c r="Q380" s="2016"/>
      <c r="R380" s="2016"/>
      <c r="S380" s="2016">
        <f t="shared" si="236"/>
        <v>3.2125000000000004</v>
      </c>
      <c r="T380" s="2016">
        <f t="shared" si="237"/>
        <v>3.2125000000000004</v>
      </c>
      <c r="U380" s="2016">
        <f t="shared" si="238"/>
        <v>32.125</v>
      </c>
      <c r="V380" s="2016">
        <f t="shared" si="239"/>
        <v>12.850000000000001</v>
      </c>
      <c r="W380" s="2016"/>
      <c r="X380" s="2016"/>
      <c r="Y380" s="2016"/>
      <c r="Z380" s="2016"/>
    </row>
    <row r="381" spans="1:26" s="2009" customFormat="1" ht="30" x14ac:dyDescent="0.2">
      <c r="A381" s="1635" t="s">
        <v>7518</v>
      </c>
      <c r="B381" s="1984" t="s">
        <v>4448</v>
      </c>
      <c r="C381" s="1984">
        <v>89808</v>
      </c>
      <c r="D381" s="1813" t="s">
        <v>6084</v>
      </c>
      <c r="E381" s="1638">
        <f>7+2+6</f>
        <v>15</v>
      </c>
      <c r="F381" s="1639" t="s">
        <v>5284</v>
      </c>
      <c r="G381" s="1648">
        <v>25.95</v>
      </c>
      <c r="H381" s="1636">
        <f t="shared" si="228"/>
        <v>6.99</v>
      </c>
      <c r="I381" s="1636">
        <f t="shared" si="229"/>
        <v>32.94</v>
      </c>
      <c r="J381" s="1723">
        <f t="shared" si="230"/>
        <v>494.1</v>
      </c>
      <c r="K381" s="2007">
        <f t="shared" si="233"/>
        <v>389.25</v>
      </c>
      <c r="L381" s="2007">
        <f t="shared" si="234"/>
        <v>104.85</v>
      </c>
      <c r="M381" s="2016"/>
      <c r="N381" s="2016"/>
      <c r="O381" s="2016"/>
      <c r="P381" s="2016">
        <f t="shared" si="235"/>
        <v>98.820000000000007</v>
      </c>
      <c r="Q381" s="2016"/>
      <c r="R381" s="2016"/>
      <c r="S381" s="2016">
        <f t="shared" si="236"/>
        <v>24.705000000000002</v>
      </c>
      <c r="T381" s="2016">
        <f t="shared" si="237"/>
        <v>24.705000000000002</v>
      </c>
      <c r="U381" s="2016">
        <f t="shared" si="238"/>
        <v>247.05</v>
      </c>
      <c r="V381" s="2016">
        <f t="shared" si="239"/>
        <v>98.820000000000007</v>
      </c>
      <c r="W381" s="2016"/>
      <c r="X381" s="2016"/>
      <c r="Y381" s="2016"/>
      <c r="Z381" s="2016"/>
    </row>
    <row r="382" spans="1:26" s="2009" customFormat="1" ht="30" x14ac:dyDescent="0.2">
      <c r="A382" s="1635" t="s">
        <v>7519</v>
      </c>
      <c r="B382" s="1984" t="s">
        <v>4448</v>
      </c>
      <c r="C382" s="1984">
        <v>89812</v>
      </c>
      <c r="D382" s="1813" t="s">
        <v>6085</v>
      </c>
      <c r="E382" s="1638">
        <f>1</f>
        <v>1</v>
      </c>
      <c r="F382" s="1639" t="s">
        <v>5284</v>
      </c>
      <c r="G382" s="1648">
        <v>37.65</v>
      </c>
      <c r="H382" s="1636">
        <f t="shared" si="228"/>
        <v>10.14</v>
      </c>
      <c r="I382" s="1636">
        <f t="shared" si="229"/>
        <v>47.79</v>
      </c>
      <c r="J382" s="1723">
        <f t="shared" si="230"/>
        <v>47.79</v>
      </c>
      <c r="K382" s="2007">
        <f t="shared" si="233"/>
        <v>37.65</v>
      </c>
      <c r="L382" s="2007">
        <f t="shared" si="234"/>
        <v>10.14</v>
      </c>
      <c r="M382" s="2016"/>
      <c r="N382" s="2016"/>
      <c r="O382" s="2016"/>
      <c r="P382" s="2016">
        <f t="shared" si="235"/>
        <v>9.5579999999999998</v>
      </c>
      <c r="Q382" s="2016"/>
      <c r="R382" s="2016"/>
      <c r="S382" s="2016">
        <f t="shared" si="236"/>
        <v>2.3895</v>
      </c>
      <c r="T382" s="2016">
        <f t="shared" si="237"/>
        <v>2.3895</v>
      </c>
      <c r="U382" s="2016">
        <f t="shared" si="238"/>
        <v>23.895</v>
      </c>
      <c r="V382" s="2016">
        <f t="shared" si="239"/>
        <v>9.5579999999999998</v>
      </c>
      <c r="W382" s="2016"/>
      <c r="X382" s="2016"/>
      <c r="Y382" s="2016"/>
      <c r="Z382" s="2016"/>
    </row>
    <row r="383" spans="1:26" s="2009" customFormat="1" ht="30" x14ac:dyDescent="0.2">
      <c r="A383" s="1635" t="s">
        <v>7520</v>
      </c>
      <c r="B383" s="1984" t="s">
        <v>4448</v>
      </c>
      <c r="C383" s="1984">
        <v>89726</v>
      </c>
      <c r="D383" s="1813" t="s">
        <v>6086</v>
      </c>
      <c r="E383" s="1638">
        <f>1</f>
        <v>1</v>
      </c>
      <c r="F383" s="1639" t="s">
        <v>5284</v>
      </c>
      <c r="G383" s="1648">
        <v>5.53</v>
      </c>
      <c r="H383" s="1636">
        <f t="shared" si="228"/>
        <v>1.49</v>
      </c>
      <c r="I383" s="1636">
        <f t="shared" si="229"/>
        <v>7.0200000000000005</v>
      </c>
      <c r="J383" s="1723">
        <f t="shared" si="230"/>
        <v>7.02</v>
      </c>
      <c r="K383" s="2007">
        <f t="shared" si="233"/>
        <v>5.53</v>
      </c>
      <c r="L383" s="2007">
        <f t="shared" si="234"/>
        <v>1.49</v>
      </c>
      <c r="M383" s="2016"/>
      <c r="N383" s="2016"/>
      <c r="O383" s="2016"/>
      <c r="P383" s="2016">
        <f t="shared" si="235"/>
        <v>1.4039999999999999</v>
      </c>
      <c r="Q383" s="2016"/>
      <c r="R383" s="2016"/>
      <c r="S383" s="2016">
        <f t="shared" si="236"/>
        <v>0.35099999999999998</v>
      </c>
      <c r="T383" s="2016">
        <f t="shared" si="237"/>
        <v>0.35099999999999998</v>
      </c>
      <c r="U383" s="2016">
        <f t="shared" si="238"/>
        <v>3.51</v>
      </c>
      <c r="V383" s="2016">
        <f t="shared" si="239"/>
        <v>1.4039999999999999</v>
      </c>
      <c r="W383" s="2016"/>
      <c r="X383" s="2016"/>
      <c r="Y383" s="2016"/>
      <c r="Z383" s="2016"/>
    </row>
    <row r="384" spans="1:26" s="2009" customFormat="1" ht="30" x14ac:dyDescent="0.2">
      <c r="A384" s="1635" t="s">
        <v>7521</v>
      </c>
      <c r="B384" s="1984" t="s">
        <v>4448</v>
      </c>
      <c r="C384" s="1984">
        <v>89732</v>
      </c>
      <c r="D384" s="1813" t="s">
        <v>6087</v>
      </c>
      <c r="E384" s="1638">
        <f>2+2</f>
        <v>4</v>
      </c>
      <c r="F384" s="1639" t="s">
        <v>5284</v>
      </c>
      <c r="G384" s="1648">
        <v>8.2899999999999991</v>
      </c>
      <c r="H384" s="1636">
        <f t="shared" si="228"/>
        <v>2.23</v>
      </c>
      <c r="I384" s="1636">
        <f t="shared" si="229"/>
        <v>10.52</v>
      </c>
      <c r="J384" s="1723">
        <f t="shared" si="230"/>
        <v>42.08</v>
      </c>
      <c r="K384" s="2007">
        <f t="shared" si="233"/>
        <v>33.159999999999997</v>
      </c>
      <c r="L384" s="2007">
        <f t="shared" si="234"/>
        <v>8.92</v>
      </c>
      <c r="M384" s="2016"/>
      <c r="N384" s="2016"/>
      <c r="O384" s="2016"/>
      <c r="P384" s="2016">
        <f t="shared" si="235"/>
        <v>8.4160000000000004</v>
      </c>
      <c r="Q384" s="2016"/>
      <c r="R384" s="2016"/>
      <c r="S384" s="2016">
        <f t="shared" si="236"/>
        <v>2.1040000000000001</v>
      </c>
      <c r="T384" s="2016">
        <f t="shared" si="237"/>
        <v>2.1040000000000001</v>
      </c>
      <c r="U384" s="2016">
        <f t="shared" si="238"/>
        <v>21.04</v>
      </c>
      <c r="V384" s="2016">
        <f t="shared" si="239"/>
        <v>8.4160000000000004</v>
      </c>
      <c r="W384" s="2016"/>
      <c r="X384" s="2016"/>
      <c r="Y384" s="2016"/>
      <c r="Z384" s="2016"/>
    </row>
    <row r="385" spans="1:26" s="2009" customFormat="1" ht="30" x14ac:dyDescent="0.2">
      <c r="A385" s="1635" t="s">
        <v>7522</v>
      </c>
      <c r="B385" s="1984" t="s">
        <v>4448</v>
      </c>
      <c r="C385" s="1984">
        <v>89737</v>
      </c>
      <c r="D385" s="1813" t="s">
        <v>6088</v>
      </c>
      <c r="E385" s="1638">
        <f>9+1+6</f>
        <v>16</v>
      </c>
      <c r="F385" s="1639" t="s">
        <v>5284</v>
      </c>
      <c r="G385" s="1648">
        <v>13.34</v>
      </c>
      <c r="H385" s="1636">
        <f t="shared" si="228"/>
        <v>3.59</v>
      </c>
      <c r="I385" s="1636">
        <f t="shared" si="229"/>
        <v>16.93</v>
      </c>
      <c r="J385" s="1723">
        <f t="shared" si="230"/>
        <v>270.88</v>
      </c>
      <c r="K385" s="2007">
        <f t="shared" si="233"/>
        <v>213.44</v>
      </c>
      <c r="L385" s="2007">
        <f t="shared" si="234"/>
        <v>57.44</v>
      </c>
      <c r="M385" s="2016"/>
      <c r="N385" s="2016"/>
      <c r="O385" s="2016"/>
      <c r="P385" s="2016">
        <f t="shared" si="235"/>
        <v>54.176000000000002</v>
      </c>
      <c r="Q385" s="2016"/>
      <c r="R385" s="2016"/>
      <c r="S385" s="2016">
        <f t="shared" si="236"/>
        <v>13.544</v>
      </c>
      <c r="T385" s="2016">
        <f t="shared" si="237"/>
        <v>13.544</v>
      </c>
      <c r="U385" s="2016">
        <f t="shared" si="238"/>
        <v>135.44</v>
      </c>
      <c r="V385" s="2016">
        <f t="shared" si="239"/>
        <v>54.176000000000002</v>
      </c>
      <c r="W385" s="2016"/>
      <c r="X385" s="2016"/>
      <c r="Y385" s="2016"/>
      <c r="Z385" s="2016"/>
    </row>
    <row r="386" spans="1:26" s="2009" customFormat="1" ht="30" x14ac:dyDescent="0.2">
      <c r="A386" s="1635" t="s">
        <v>7523</v>
      </c>
      <c r="B386" s="1984" t="s">
        <v>4448</v>
      </c>
      <c r="C386" s="1984">
        <v>89746</v>
      </c>
      <c r="D386" s="1813" t="s">
        <v>6089</v>
      </c>
      <c r="E386" s="1638">
        <f>5</f>
        <v>5</v>
      </c>
      <c r="F386" s="1639" t="s">
        <v>5284</v>
      </c>
      <c r="G386" s="1648">
        <v>17.37</v>
      </c>
      <c r="H386" s="1636">
        <f t="shared" si="228"/>
        <v>4.68</v>
      </c>
      <c r="I386" s="1636">
        <f t="shared" si="229"/>
        <v>22.05</v>
      </c>
      <c r="J386" s="1723">
        <f t="shared" si="230"/>
        <v>110.25</v>
      </c>
      <c r="K386" s="2007">
        <f t="shared" si="233"/>
        <v>86.85</v>
      </c>
      <c r="L386" s="2007">
        <f t="shared" si="234"/>
        <v>23.4</v>
      </c>
      <c r="M386" s="2016"/>
      <c r="N386" s="2016"/>
      <c r="O386" s="2016"/>
      <c r="P386" s="2016">
        <f t="shared" si="235"/>
        <v>22.05</v>
      </c>
      <c r="Q386" s="2016"/>
      <c r="R386" s="2016"/>
      <c r="S386" s="2016">
        <f t="shared" si="236"/>
        <v>5.5125000000000002</v>
      </c>
      <c r="T386" s="2016">
        <f t="shared" si="237"/>
        <v>5.5125000000000002</v>
      </c>
      <c r="U386" s="2016">
        <f t="shared" si="238"/>
        <v>55.125</v>
      </c>
      <c r="V386" s="2016">
        <f t="shared" si="239"/>
        <v>22.05</v>
      </c>
      <c r="W386" s="2016"/>
      <c r="X386" s="2016"/>
      <c r="Y386" s="2016"/>
      <c r="Z386" s="2016"/>
    </row>
    <row r="387" spans="1:26" s="2009" customFormat="1" ht="30" x14ac:dyDescent="0.2">
      <c r="A387" s="1635" t="s">
        <v>7524</v>
      </c>
      <c r="B387" s="1984" t="s">
        <v>4448</v>
      </c>
      <c r="C387" s="1984">
        <v>89724</v>
      </c>
      <c r="D387" s="1813" t="s">
        <v>6090</v>
      </c>
      <c r="E387" s="1638">
        <f>35+72</f>
        <v>107</v>
      </c>
      <c r="F387" s="1639" t="s">
        <v>5284</v>
      </c>
      <c r="G387" s="1648">
        <v>7.24</v>
      </c>
      <c r="H387" s="1636">
        <f t="shared" si="228"/>
        <v>1.95</v>
      </c>
      <c r="I387" s="1636">
        <f t="shared" si="229"/>
        <v>9.19</v>
      </c>
      <c r="J387" s="1723">
        <f t="shared" si="230"/>
        <v>983.33</v>
      </c>
      <c r="K387" s="2007">
        <f t="shared" si="233"/>
        <v>774.68</v>
      </c>
      <c r="L387" s="2007">
        <f t="shared" si="234"/>
        <v>208.65</v>
      </c>
      <c r="M387" s="2016"/>
      <c r="N387" s="2016"/>
      <c r="O387" s="2016"/>
      <c r="P387" s="2016">
        <f t="shared" si="235"/>
        <v>196.66600000000003</v>
      </c>
      <c r="Q387" s="2016"/>
      <c r="R387" s="2016"/>
      <c r="S387" s="2016">
        <f t="shared" si="236"/>
        <v>49.166500000000006</v>
      </c>
      <c r="T387" s="2016">
        <f t="shared" si="237"/>
        <v>49.166500000000006</v>
      </c>
      <c r="U387" s="2016">
        <f t="shared" si="238"/>
        <v>491.66500000000002</v>
      </c>
      <c r="V387" s="2016">
        <f t="shared" si="239"/>
        <v>196.66600000000003</v>
      </c>
      <c r="W387" s="2016"/>
      <c r="X387" s="2016"/>
      <c r="Y387" s="2016"/>
      <c r="Z387" s="2016"/>
    </row>
    <row r="388" spans="1:26" s="2009" customFormat="1" ht="30" x14ac:dyDescent="0.2">
      <c r="A388" s="1635" t="s">
        <v>7525</v>
      </c>
      <c r="B388" s="1984" t="s">
        <v>4448</v>
      </c>
      <c r="C388" s="1984">
        <v>89801</v>
      </c>
      <c r="D388" s="1813" t="s">
        <v>6091</v>
      </c>
      <c r="E388" s="1638">
        <f>53+9+31+3</f>
        <v>96</v>
      </c>
      <c r="F388" s="1639" t="s">
        <v>5284</v>
      </c>
      <c r="G388" s="1648">
        <v>4.7</v>
      </c>
      <c r="H388" s="1636">
        <f t="shared" si="228"/>
        <v>1.27</v>
      </c>
      <c r="I388" s="1636">
        <f t="shared" si="229"/>
        <v>5.9700000000000006</v>
      </c>
      <c r="J388" s="1723">
        <f t="shared" si="230"/>
        <v>573.12</v>
      </c>
      <c r="K388" s="2007">
        <f t="shared" si="233"/>
        <v>451.2</v>
      </c>
      <c r="L388" s="2007">
        <f t="shared" si="234"/>
        <v>121.92</v>
      </c>
      <c r="M388" s="2016"/>
      <c r="N388" s="2016"/>
      <c r="O388" s="2016"/>
      <c r="P388" s="2016">
        <f t="shared" si="235"/>
        <v>114.62400000000001</v>
      </c>
      <c r="Q388" s="2016"/>
      <c r="R388" s="2016"/>
      <c r="S388" s="2016">
        <f t="shared" si="236"/>
        <v>28.656000000000002</v>
      </c>
      <c r="T388" s="2016">
        <f t="shared" si="237"/>
        <v>28.656000000000002</v>
      </c>
      <c r="U388" s="2016">
        <f t="shared" si="238"/>
        <v>286.56</v>
      </c>
      <c r="V388" s="2016">
        <f t="shared" si="239"/>
        <v>114.62400000000001</v>
      </c>
      <c r="W388" s="2016"/>
      <c r="X388" s="2016"/>
      <c r="Y388" s="2016"/>
      <c r="Z388" s="2016"/>
    </row>
    <row r="389" spans="1:26" s="2009" customFormat="1" ht="30" x14ac:dyDescent="0.2">
      <c r="A389" s="1635" t="s">
        <v>7526</v>
      </c>
      <c r="B389" s="1984" t="s">
        <v>4448</v>
      </c>
      <c r="C389" s="1984">
        <v>89805</v>
      </c>
      <c r="D389" s="1813" t="s">
        <v>6092</v>
      </c>
      <c r="E389" s="1638">
        <f>17+24+25+21</f>
        <v>87</v>
      </c>
      <c r="F389" s="1639" t="s">
        <v>5284</v>
      </c>
      <c r="G389" s="1648">
        <v>9.4600000000000009</v>
      </c>
      <c r="H389" s="1636">
        <f t="shared" si="228"/>
        <v>2.5499999999999998</v>
      </c>
      <c r="I389" s="1636">
        <f t="shared" si="229"/>
        <v>12.010000000000002</v>
      </c>
      <c r="J389" s="1723">
        <f t="shared" si="230"/>
        <v>1044.8699999999999</v>
      </c>
      <c r="K389" s="2007">
        <f t="shared" si="233"/>
        <v>823.02</v>
      </c>
      <c r="L389" s="2007">
        <f t="shared" si="234"/>
        <v>221.85</v>
      </c>
      <c r="M389" s="2016"/>
      <c r="N389" s="2016"/>
      <c r="O389" s="2016"/>
      <c r="P389" s="2016">
        <f t="shared" si="235"/>
        <v>208.97399999999999</v>
      </c>
      <c r="Q389" s="2016"/>
      <c r="R389" s="2016"/>
      <c r="S389" s="2016">
        <f t="shared" si="236"/>
        <v>52.243499999999997</v>
      </c>
      <c r="T389" s="2016">
        <f t="shared" si="237"/>
        <v>52.243499999999997</v>
      </c>
      <c r="U389" s="2016">
        <f t="shared" si="238"/>
        <v>522.43499999999995</v>
      </c>
      <c r="V389" s="2016">
        <f t="shared" si="239"/>
        <v>208.97399999999999</v>
      </c>
      <c r="W389" s="2016"/>
      <c r="X389" s="2016"/>
      <c r="Y389" s="2016"/>
      <c r="Z389" s="2016"/>
    </row>
    <row r="390" spans="1:26" s="2009" customFormat="1" ht="30" x14ac:dyDescent="0.2">
      <c r="A390" s="1635" t="s">
        <v>7527</v>
      </c>
      <c r="B390" s="1984" t="s">
        <v>4448</v>
      </c>
      <c r="C390" s="1984">
        <v>89809</v>
      </c>
      <c r="D390" s="1813" t="s">
        <v>6093</v>
      </c>
      <c r="E390" s="1638">
        <f>9</f>
        <v>9</v>
      </c>
      <c r="F390" s="1639" t="s">
        <v>5284</v>
      </c>
      <c r="G390" s="1648">
        <v>12.81</v>
      </c>
      <c r="H390" s="1636">
        <f t="shared" si="228"/>
        <v>3.45</v>
      </c>
      <c r="I390" s="1636">
        <f t="shared" si="229"/>
        <v>16.260000000000002</v>
      </c>
      <c r="J390" s="1723">
        <f t="shared" si="230"/>
        <v>146.34</v>
      </c>
      <c r="K390" s="2007">
        <f t="shared" si="233"/>
        <v>115.29</v>
      </c>
      <c r="L390" s="2007">
        <f t="shared" si="234"/>
        <v>31.05</v>
      </c>
      <c r="M390" s="2016"/>
      <c r="N390" s="2016"/>
      <c r="O390" s="2016"/>
      <c r="P390" s="2016">
        <f t="shared" si="235"/>
        <v>29.268000000000001</v>
      </c>
      <c r="Q390" s="2016"/>
      <c r="R390" s="2016"/>
      <c r="S390" s="2016">
        <f t="shared" si="236"/>
        <v>7.3170000000000002</v>
      </c>
      <c r="T390" s="2016">
        <f t="shared" si="237"/>
        <v>7.3170000000000002</v>
      </c>
      <c r="U390" s="2016">
        <f t="shared" si="238"/>
        <v>73.17</v>
      </c>
      <c r="V390" s="2016">
        <f t="shared" si="239"/>
        <v>29.268000000000001</v>
      </c>
      <c r="W390" s="2016"/>
      <c r="X390" s="2016"/>
      <c r="Y390" s="2016"/>
      <c r="Z390" s="2016"/>
    </row>
    <row r="391" spans="1:26" s="2009" customFormat="1" ht="45" x14ac:dyDescent="0.2">
      <c r="A391" s="1635" t="s">
        <v>7528</v>
      </c>
      <c r="B391" s="1984" t="s">
        <v>4448</v>
      </c>
      <c r="C391" s="1984" t="s">
        <v>6119</v>
      </c>
      <c r="D391" s="1813" t="s">
        <v>6094</v>
      </c>
      <c r="E391" s="1638">
        <f>9</f>
        <v>9</v>
      </c>
      <c r="F391" s="1639" t="s">
        <v>5284</v>
      </c>
      <c r="G391" s="1648">
        <v>21.15</v>
      </c>
      <c r="H391" s="1636">
        <f t="shared" si="228"/>
        <v>5.7</v>
      </c>
      <c r="I391" s="1636">
        <f t="shared" si="229"/>
        <v>26.849999999999998</v>
      </c>
      <c r="J391" s="1723">
        <f t="shared" si="230"/>
        <v>241.65</v>
      </c>
      <c r="K391" s="2007">
        <f t="shared" si="233"/>
        <v>190.35</v>
      </c>
      <c r="L391" s="2007">
        <f t="shared" si="234"/>
        <v>51.3</v>
      </c>
      <c r="M391" s="2016"/>
      <c r="N391" s="2016"/>
      <c r="O391" s="2016"/>
      <c r="P391" s="2016">
        <f t="shared" si="235"/>
        <v>48.330000000000005</v>
      </c>
      <c r="Q391" s="2016"/>
      <c r="R391" s="2016"/>
      <c r="S391" s="2016">
        <f t="shared" si="236"/>
        <v>12.082500000000001</v>
      </c>
      <c r="T391" s="2016">
        <f t="shared" si="237"/>
        <v>12.082500000000001</v>
      </c>
      <c r="U391" s="2016">
        <f t="shared" si="238"/>
        <v>120.825</v>
      </c>
      <c r="V391" s="2016">
        <f t="shared" si="239"/>
        <v>48.330000000000005</v>
      </c>
      <c r="W391" s="2016"/>
      <c r="X391" s="2016"/>
      <c r="Y391" s="2016"/>
      <c r="Z391" s="2016"/>
    </row>
    <row r="392" spans="1:26" s="2009" customFormat="1" ht="30" x14ac:dyDescent="0.2">
      <c r="A392" s="1635" t="s">
        <v>7529</v>
      </c>
      <c r="B392" s="1984" t="s">
        <v>4448</v>
      </c>
      <c r="C392" s="1984" t="s">
        <v>6120</v>
      </c>
      <c r="D392" s="1813" t="s">
        <v>6095</v>
      </c>
      <c r="E392" s="1638">
        <f>4+3+3+3</f>
        <v>13</v>
      </c>
      <c r="F392" s="1639" t="s">
        <v>5284</v>
      </c>
      <c r="G392" s="1648">
        <v>20.839999999999996</v>
      </c>
      <c r="H392" s="1636">
        <f t="shared" si="228"/>
        <v>5.61</v>
      </c>
      <c r="I392" s="1636">
        <f t="shared" si="229"/>
        <v>26.449999999999996</v>
      </c>
      <c r="J392" s="1723">
        <f t="shared" si="230"/>
        <v>343.85</v>
      </c>
      <c r="K392" s="2007">
        <f t="shared" si="233"/>
        <v>270.92</v>
      </c>
      <c r="L392" s="2007">
        <f t="shared" si="234"/>
        <v>72.930000000000007</v>
      </c>
      <c r="M392" s="2016"/>
      <c r="N392" s="2016"/>
      <c r="O392" s="2016"/>
      <c r="P392" s="2016">
        <f t="shared" si="235"/>
        <v>68.77000000000001</v>
      </c>
      <c r="Q392" s="2016"/>
      <c r="R392" s="2016"/>
      <c r="S392" s="2016">
        <f t="shared" si="236"/>
        <v>17.192500000000003</v>
      </c>
      <c r="T392" s="2016">
        <f t="shared" si="237"/>
        <v>17.192500000000003</v>
      </c>
      <c r="U392" s="2016">
        <f t="shared" si="238"/>
        <v>171.92500000000001</v>
      </c>
      <c r="V392" s="2016">
        <f t="shared" si="239"/>
        <v>68.77000000000001</v>
      </c>
      <c r="W392" s="2016"/>
      <c r="X392" s="2016"/>
      <c r="Y392" s="2016"/>
      <c r="Z392" s="2016"/>
    </row>
    <row r="393" spans="1:26" s="2009" customFormat="1" ht="30" x14ac:dyDescent="0.2">
      <c r="A393" s="1635" t="s">
        <v>7530</v>
      </c>
      <c r="B393" s="1984" t="s">
        <v>4448</v>
      </c>
      <c r="C393" s="1984" t="s">
        <v>6121</v>
      </c>
      <c r="D393" s="1813" t="s">
        <v>6096</v>
      </c>
      <c r="E393" s="1638">
        <f>2+4</f>
        <v>6</v>
      </c>
      <c r="F393" s="1639" t="s">
        <v>5284</v>
      </c>
      <c r="G393" s="1648">
        <v>28.400000000000002</v>
      </c>
      <c r="H393" s="1636">
        <f t="shared" si="228"/>
        <v>7.65</v>
      </c>
      <c r="I393" s="1636">
        <f t="shared" si="229"/>
        <v>36.050000000000004</v>
      </c>
      <c r="J393" s="1723">
        <f t="shared" si="230"/>
        <v>216.3</v>
      </c>
      <c r="K393" s="2007">
        <f t="shared" si="233"/>
        <v>170.4</v>
      </c>
      <c r="L393" s="2007">
        <f t="shared" si="234"/>
        <v>45.9</v>
      </c>
      <c r="M393" s="2016"/>
      <c r="N393" s="2016"/>
      <c r="O393" s="2016"/>
      <c r="P393" s="2016">
        <f t="shared" si="235"/>
        <v>43.260000000000005</v>
      </c>
      <c r="Q393" s="2016"/>
      <c r="R393" s="2016"/>
      <c r="S393" s="2016">
        <f t="shared" si="236"/>
        <v>10.815000000000001</v>
      </c>
      <c r="T393" s="2016">
        <f t="shared" si="237"/>
        <v>10.815000000000001</v>
      </c>
      <c r="U393" s="2016">
        <f t="shared" si="238"/>
        <v>108.15</v>
      </c>
      <c r="V393" s="2016">
        <f t="shared" si="239"/>
        <v>43.260000000000005</v>
      </c>
      <c r="W393" s="2016"/>
      <c r="X393" s="2016"/>
      <c r="Y393" s="2016"/>
      <c r="Z393" s="2016"/>
    </row>
    <row r="394" spans="1:26" s="2009" customFormat="1" ht="30" x14ac:dyDescent="0.2">
      <c r="A394" s="1635" t="s">
        <v>7531</v>
      </c>
      <c r="B394" s="1984" t="s">
        <v>4448</v>
      </c>
      <c r="C394" s="1984">
        <v>89569</v>
      </c>
      <c r="D394" s="1813" t="s">
        <v>6097</v>
      </c>
      <c r="E394" s="1638">
        <f>9+17</f>
        <v>26</v>
      </c>
      <c r="F394" s="1639" t="s">
        <v>5284</v>
      </c>
      <c r="G394" s="1648">
        <v>48.46</v>
      </c>
      <c r="H394" s="1636">
        <f t="shared" si="228"/>
        <v>13.05</v>
      </c>
      <c r="I394" s="1636">
        <f t="shared" si="229"/>
        <v>61.510000000000005</v>
      </c>
      <c r="J394" s="1723">
        <f t="shared" si="230"/>
        <v>1599.26</v>
      </c>
      <c r="K394" s="2007">
        <f t="shared" si="233"/>
        <v>1259.96</v>
      </c>
      <c r="L394" s="2007">
        <f t="shared" si="234"/>
        <v>339.3</v>
      </c>
      <c r="M394" s="2016"/>
      <c r="N394" s="2016"/>
      <c r="O394" s="2016"/>
      <c r="P394" s="2016">
        <f t="shared" si="235"/>
        <v>319.85200000000003</v>
      </c>
      <c r="Q394" s="2016"/>
      <c r="R394" s="2016"/>
      <c r="S394" s="2016">
        <f t="shared" si="236"/>
        <v>79.963000000000008</v>
      </c>
      <c r="T394" s="2016">
        <f t="shared" si="237"/>
        <v>79.963000000000008</v>
      </c>
      <c r="U394" s="2016">
        <f t="shared" si="238"/>
        <v>799.63</v>
      </c>
      <c r="V394" s="2016">
        <f t="shared" si="239"/>
        <v>319.85200000000003</v>
      </c>
      <c r="W394" s="2016"/>
      <c r="X394" s="2016"/>
      <c r="Y394" s="2016"/>
      <c r="Z394" s="2016"/>
    </row>
    <row r="395" spans="1:26" s="2009" customFormat="1" ht="30" x14ac:dyDescent="0.2">
      <c r="A395" s="1635" t="s">
        <v>7532</v>
      </c>
      <c r="B395" s="1984" t="s">
        <v>4448</v>
      </c>
      <c r="C395" s="1984">
        <v>89785</v>
      </c>
      <c r="D395" s="1813" t="s">
        <v>6098</v>
      </c>
      <c r="E395" s="1638">
        <f>3+5</f>
        <v>8</v>
      </c>
      <c r="F395" s="1639" t="s">
        <v>5284</v>
      </c>
      <c r="G395" s="1648">
        <v>15.1</v>
      </c>
      <c r="H395" s="1636">
        <f t="shared" ref="H395:H412" si="240">ROUND(G395*$B$13,2)</f>
        <v>4.07</v>
      </c>
      <c r="I395" s="1636">
        <f t="shared" si="229"/>
        <v>19.170000000000002</v>
      </c>
      <c r="J395" s="1723">
        <f t="shared" si="230"/>
        <v>153.36000000000001</v>
      </c>
      <c r="K395" s="2007">
        <f t="shared" si="233"/>
        <v>120.8</v>
      </c>
      <c r="L395" s="2007">
        <f t="shared" si="234"/>
        <v>32.56</v>
      </c>
      <c r="M395" s="2016"/>
      <c r="N395" s="2016"/>
      <c r="O395" s="2016"/>
      <c r="P395" s="2016">
        <f t="shared" si="235"/>
        <v>30.672000000000004</v>
      </c>
      <c r="Q395" s="2016"/>
      <c r="R395" s="2016"/>
      <c r="S395" s="2016">
        <f t="shared" si="236"/>
        <v>7.668000000000001</v>
      </c>
      <c r="T395" s="2016">
        <f t="shared" si="237"/>
        <v>7.668000000000001</v>
      </c>
      <c r="U395" s="2016">
        <f t="shared" si="238"/>
        <v>76.680000000000007</v>
      </c>
      <c r="V395" s="2016">
        <f t="shared" si="239"/>
        <v>30.672000000000004</v>
      </c>
      <c r="W395" s="2016"/>
      <c r="X395" s="2016"/>
      <c r="Y395" s="2016"/>
      <c r="Z395" s="2016"/>
    </row>
    <row r="396" spans="1:26" s="2009" customFormat="1" ht="30" x14ac:dyDescent="0.2">
      <c r="A396" s="1635" t="s">
        <v>7533</v>
      </c>
      <c r="B396" s="1984" t="s">
        <v>4448</v>
      </c>
      <c r="C396" s="1984">
        <v>89795</v>
      </c>
      <c r="D396" s="1813" t="s">
        <v>6099</v>
      </c>
      <c r="E396" s="1638">
        <f>9+13+19+20</f>
        <v>61</v>
      </c>
      <c r="F396" s="1639" t="s">
        <v>5284</v>
      </c>
      <c r="G396" s="1648">
        <v>24.4</v>
      </c>
      <c r="H396" s="1636">
        <f t="shared" si="240"/>
        <v>6.57</v>
      </c>
      <c r="I396" s="1636">
        <f t="shared" si="229"/>
        <v>30.97</v>
      </c>
      <c r="J396" s="1723">
        <f t="shared" si="230"/>
        <v>1889.17</v>
      </c>
      <c r="K396" s="2007">
        <f t="shared" si="233"/>
        <v>1488.4</v>
      </c>
      <c r="L396" s="2007">
        <f t="shared" si="234"/>
        <v>400.77</v>
      </c>
      <c r="M396" s="2016"/>
      <c r="N396" s="2016"/>
      <c r="O396" s="2016"/>
      <c r="P396" s="2016">
        <f t="shared" si="235"/>
        <v>377.83400000000006</v>
      </c>
      <c r="Q396" s="2016"/>
      <c r="R396" s="2016"/>
      <c r="S396" s="2016">
        <f t="shared" si="236"/>
        <v>94.458500000000015</v>
      </c>
      <c r="T396" s="2016">
        <f t="shared" si="237"/>
        <v>94.458500000000015</v>
      </c>
      <c r="U396" s="2016">
        <f t="shared" si="238"/>
        <v>944.58500000000004</v>
      </c>
      <c r="V396" s="2016">
        <f t="shared" si="239"/>
        <v>377.83400000000006</v>
      </c>
      <c r="W396" s="2016"/>
      <c r="X396" s="2016"/>
      <c r="Y396" s="2016"/>
      <c r="Z396" s="2016"/>
    </row>
    <row r="397" spans="1:26" s="2009" customFormat="1" ht="30" x14ac:dyDescent="0.2">
      <c r="A397" s="1635" t="s">
        <v>7534</v>
      </c>
      <c r="B397" s="1984" t="s">
        <v>4448</v>
      </c>
      <c r="C397" s="1984">
        <v>89797</v>
      </c>
      <c r="D397" s="1813" t="s">
        <v>6100</v>
      </c>
      <c r="E397" s="1638">
        <f>10+17</f>
        <v>27</v>
      </c>
      <c r="F397" s="1639" t="s">
        <v>5284</v>
      </c>
      <c r="G397" s="1648">
        <v>32.11</v>
      </c>
      <c r="H397" s="1636">
        <f t="shared" si="240"/>
        <v>8.65</v>
      </c>
      <c r="I397" s="1636">
        <f t="shared" si="229"/>
        <v>40.76</v>
      </c>
      <c r="J397" s="1723">
        <f t="shared" si="230"/>
        <v>1100.52</v>
      </c>
      <c r="K397" s="2007">
        <f t="shared" si="233"/>
        <v>866.97</v>
      </c>
      <c r="L397" s="2007">
        <f t="shared" si="234"/>
        <v>233.55</v>
      </c>
      <c r="M397" s="2016"/>
      <c r="N397" s="2016"/>
      <c r="O397" s="2016"/>
      <c r="P397" s="2016">
        <f t="shared" si="235"/>
        <v>220.10400000000001</v>
      </c>
      <c r="Q397" s="2016"/>
      <c r="R397" s="2016"/>
      <c r="S397" s="2016">
        <f t="shared" si="236"/>
        <v>55.026000000000003</v>
      </c>
      <c r="T397" s="2016">
        <f t="shared" si="237"/>
        <v>55.026000000000003</v>
      </c>
      <c r="U397" s="2016">
        <f t="shared" si="238"/>
        <v>550.26</v>
      </c>
      <c r="V397" s="2016">
        <f t="shared" si="239"/>
        <v>220.10400000000001</v>
      </c>
      <c r="W397" s="2016"/>
      <c r="X397" s="2016"/>
      <c r="Y397" s="2016"/>
      <c r="Z397" s="2016"/>
    </row>
    <row r="398" spans="1:26" s="2009" customFormat="1" ht="30" x14ac:dyDescent="0.2">
      <c r="A398" s="1635" t="s">
        <v>7535</v>
      </c>
      <c r="B398" s="1984" t="s">
        <v>4448</v>
      </c>
      <c r="C398" s="1984">
        <v>89813</v>
      </c>
      <c r="D398" s="1813" t="s">
        <v>6101</v>
      </c>
      <c r="E398" s="1638">
        <f>45+1+26+4</f>
        <v>76</v>
      </c>
      <c r="F398" s="1639" t="s">
        <v>5284</v>
      </c>
      <c r="G398" s="1648">
        <v>4.5999999999999996</v>
      </c>
      <c r="H398" s="1636">
        <f t="shared" si="240"/>
        <v>1.24</v>
      </c>
      <c r="I398" s="1636">
        <f t="shared" si="229"/>
        <v>5.84</v>
      </c>
      <c r="J398" s="1723">
        <f t="shared" si="230"/>
        <v>443.84</v>
      </c>
      <c r="K398" s="2007">
        <f t="shared" si="233"/>
        <v>349.6</v>
      </c>
      <c r="L398" s="2007">
        <f t="shared" si="234"/>
        <v>94.24</v>
      </c>
      <c r="M398" s="2016"/>
      <c r="N398" s="2016"/>
      <c r="O398" s="2016"/>
      <c r="P398" s="2016">
        <f t="shared" si="235"/>
        <v>88.768000000000001</v>
      </c>
      <c r="Q398" s="2016"/>
      <c r="R398" s="2016"/>
      <c r="S398" s="2016">
        <f t="shared" si="236"/>
        <v>22.192</v>
      </c>
      <c r="T398" s="2016">
        <f t="shared" si="237"/>
        <v>22.192</v>
      </c>
      <c r="U398" s="2016">
        <f t="shared" si="238"/>
        <v>221.92</v>
      </c>
      <c r="V398" s="2016">
        <f t="shared" si="239"/>
        <v>88.768000000000001</v>
      </c>
      <c r="W398" s="2016"/>
      <c r="X398" s="2016"/>
      <c r="Y398" s="2016"/>
      <c r="Z398" s="2016"/>
    </row>
    <row r="399" spans="1:26" s="2009" customFormat="1" ht="30" x14ac:dyDescent="0.2">
      <c r="A399" s="1635" t="s">
        <v>7536</v>
      </c>
      <c r="B399" s="1984" t="s">
        <v>4448</v>
      </c>
      <c r="C399" s="1984">
        <v>89817</v>
      </c>
      <c r="D399" s="1813" t="s">
        <v>6102</v>
      </c>
      <c r="E399" s="1638">
        <f>40+42+52+48</f>
        <v>182</v>
      </c>
      <c r="F399" s="1639" t="s">
        <v>5284</v>
      </c>
      <c r="G399" s="1648">
        <v>8.06</v>
      </c>
      <c r="H399" s="1636">
        <f t="shared" si="240"/>
        <v>2.17</v>
      </c>
      <c r="I399" s="1636">
        <f t="shared" si="229"/>
        <v>10.23</v>
      </c>
      <c r="J399" s="1723">
        <f t="shared" si="230"/>
        <v>1861.86</v>
      </c>
      <c r="K399" s="2007">
        <f t="shared" si="233"/>
        <v>1466.92</v>
      </c>
      <c r="L399" s="2007">
        <f t="shared" si="234"/>
        <v>394.94</v>
      </c>
      <c r="M399" s="2016"/>
      <c r="N399" s="2016"/>
      <c r="O399" s="2016"/>
      <c r="P399" s="2016">
        <f t="shared" si="235"/>
        <v>372.37200000000001</v>
      </c>
      <c r="Q399" s="2016"/>
      <c r="R399" s="2016"/>
      <c r="S399" s="2016">
        <f t="shared" si="236"/>
        <v>93.093000000000004</v>
      </c>
      <c r="T399" s="2016">
        <f t="shared" si="237"/>
        <v>93.093000000000004</v>
      </c>
      <c r="U399" s="2016">
        <f t="shared" si="238"/>
        <v>930.93</v>
      </c>
      <c r="V399" s="2016">
        <f t="shared" si="239"/>
        <v>372.37200000000001</v>
      </c>
      <c r="W399" s="2016"/>
      <c r="X399" s="2016"/>
      <c r="Y399" s="2016"/>
      <c r="Z399" s="2016"/>
    </row>
    <row r="400" spans="1:26" s="2009" customFormat="1" ht="30" x14ac:dyDescent="0.2">
      <c r="A400" s="1635" t="s">
        <v>7537</v>
      </c>
      <c r="B400" s="1984" t="s">
        <v>4448</v>
      </c>
      <c r="C400" s="1984">
        <v>89821</v>
      </c>
      <c r="D400" s="1813" t="s">
        <v>6103</v>
      </c>
      <c r="E400" s="1638">
        <f>44+55</f>
        <v>99</v>
      </c>
      <c r="F400" s="1639" t="s">
        <v>5284</v>
      </c>
      <c r="G400" s="1648">
        <v>10.11</v>
      </c>
      <c r="H400" s="1636">
        <f t="shared" si="240"/>
        <v>2.72</v>
      </c>
      <c r="I400" s="1636">
        <f t="shared" si="229"/>
        <v>12.83</v>
      </c>
      <c r="J400" s="1723">
        <f t="shared" si="230"/>
        <v>1270.17</v>
      </c>
      <c r="K400" s="2007">
        <f t="shared" si="233"/>
        <v>1000.89</v>
      </c>
      <c r="L400" s="2007">
        <f t="shared" si="234"/>
        <v>269.27999999999997</v>
      </c>
      <c r="M400" s="2016"/>
      <c r="N400" s="2016"/>
      <c r="O400" s="2016"/>
      <c r="P400" s="2016">
        <f t="shared" si="235"/>
        <v>254.03400000000002</v>
      </c>
      <c r="Q400" s="2016"/>
      <c r="R400" s="2016"/>
      <c r="S400" s="2016">
        <f t="shared" si="236"/>
        <v>63.508500000000005</v>
      </c>
      <c r="T400" s="2016">
        <f t="shared" si="237"/>
        <v>63.508500000000005</v>
      </c>
      <c r="U400" s="2016">
        <f t="shared" si="238"/>
        <v>635.08500000000004</v>
      </c>
      <c r="V400" s="2016">
        <f t="shared" si="239"/>
        <v>254.03400000000002</v>
      </c>
      <c r="W400" s="2016"/>
      <c r="X400" s="2016"/>
      <c r="Y400" s="2016"/>
      <c r="Z400" s="2016"/>
    </row>
    <row r="401" spans="1:26" s="2009" customFormat="1" ht="30" x14ac:dyDescent="0.2">
      <c r="A401" s="1635" t="s">
        <v>7538</v>
      </c>
      <c r="B401" s="1984" t="s">
        <v>4448</v>
      </c>
      <c r="C401" s="1984">
        <v>89819</v>
      </c>
      <c r="D401" s="1813" t="s">
        <v>6104</v>
      </c>
      <c r="E401" s="1638">
        <v>1</v>
      </c>
      <c r="F401" s="1639" t="s">
        <v>5284</v>
      </c>
      <c r="G401" s="1648">
        <v>11.79</v>
      </c>
      <c r="H401" s="1636">
        <f t="shared" si="240"/>
        <v>3.18</v>
      </c>
      <c r="I401" s="1636">
        <f t="shared" si="229"/>
        <v>14.969999999999999</v>
      </c>
      <c r="J401" s="1723">
        <f t="shared" si="230"/>
        <v>14.97</v>
      </c>
      <c r="K401" s="2007">
        <f t="shared" si="233"/>
        <v>11.79</v>
      </c>
      <c r="L401" s="2007">
        <f t="shared" si="234"/>
        <v>3.18</v>
      </c>
      <c r="M401" s="2016"/>
      <c r="N401" s="2016"/>
      <c r="O401" s="2016"/>
      <c r="P401" s="2016">
        <f t="shared" si="235"/>
        <v>2.9940000000000002</v>
      </c>
      <c r="Q401" s="2016"/>
      <c r="R401" s="2016"/>
      <c r="S401" s="2016">
        <f t="shared" si="236"/>
        <v>0.74850000000000005</v>
      </c>
      <c r="T401" s="2016">
        <f t="shared" si="237"/>
        <v>0.74850000000000005</v>
      </c>
      <c r="U401" s="2016">
        <f t="shared" si="238"/>
        <v>7.4850000000000003</v>
      </c>
      <c r="V401" s="2016">
        <f t="shared" si="239"/>
        <v>2.9940000000000002</v>
      </c>
      <c r="W401" s="2016"/>
      <c r="X401" s="2016"/>
      <c r="Y401" s="2016"/>
      <c r="Z401" s="2016"/>
    </row>
    <row r="402" spans="1:26" s="2009" customFormat="1" ht="30" x14ac:dyDescent="0.2">
      <c r="A402" s="1635" t="s">
        <v>7539</v>
      </c>
      <c r="B402" s="1984" t="s">
        <v>4448</v>
      </c>
      <c r="C402" s="1984">
        <v>89546</v>
      </c>
      <c r="D402" s="1813" t="s">
        <v>6105</v>
      </c>
      <c r="E402" s="1638">
        <f>31+13</f>
        <v>44</v>
      </c>
      <c r="F402" s="1639" t="s">
        <v>5284</v>
      </c>
      <c r="G402" s="1648">
        <v>7.47</v>
      </c>
      <c r="H402" s="1636">
        <f t="shared" si="240"/>
        <v>2.0099999999999998</v>
      </c>
      <c r="I402" s="1636">
        <f t="shared" si="229"/>
        <v>9.48</v>
      </c>
      <c r="J402" s="1723">
        <f t="shared" si="230"/>
        <v>417.12</v>
      </c>
      <c r="K402" s="2007">
        <f t="shared" si="233"/>
        <v>328.68</v>
      </c>
      <c r="L402" s="2007">
        <f t="shared" si="234"/>
        <v>88.44</v>
      </c>
      <c r="M402" s="2016"/>
      <c r="N402" s="2016"/>
      <c r="O402" s="2016"/>
      <c r="P402" s="2016">
        <f t="shared" si="235"/>
        <v>83.424000000000007</v>
      </c>
      <c r="Q402" s="2016"/>
      <c r="R402" s="2016"/>
      <c r="S402" s="2016">
        <f t="shared" si="236"/>
        <v>20.856000000000002</v>
      </c>
      <c r="T402" s="2016">
        <f t="shared" si="237"/>
        <v>20.856000000000002</v>
      </c>
      <c r="U402" s="2016">
        <f t="shared" si="238"/>
        <v>208.56</v>
      </c>
      <c r="V402" s="2016">
        <f t="shared" si="239"/>
        <v>83.424000000000007</v>
      </c>
      <c r="W402" s="2016"/>
      <c r="X402" s="2016"/>
      <c r="Y402" s="2016"/>
      <c r="Z402" s="2016"/>
    </row>
    <row r="403" spans="1:26" s="2009" customFormat="1" ht="30" x14ac:dyDescent="0.2">
      <c r="A403" s="1635" t="s">
        <v>7540</v>
      </c>
      <c r="B403" s="1984" t="s">
        <v>4448</v>
      </c>
      <c r="C403" s="1984">
        <v>89665</v>
      </c>
      <c r="D403" s="1813" t="s">
        <v>6106</v>
      </c>
      <c r="E403" s="1638">
        <f>12+6+9+2+4</f>
        <v>33</v>
      </c>
      <c r="F403" s="1639" t="s">
        <v>5284</v>
      </c>
      <c r="G403" s="1648">
        <v>8.98</v>
      </c>
      <c r="H403" s="1636">
        <f t="shared" si="240"/>
        <v>2.42</v>
      </c>
      <c r="I403" s="1636">
        <f t="shared" ref="I403:I421" si="241">H403+G403</f>
        <v>11.4</v>
      </c>
      <c r="J403" s="1723">
        <f t="shared" ref="J403:J421" si="242">ROUND(I403*E403,2)</f>
        <v>376.2</v>
      </c>
      <c r="K403" s="2007">
        <f t="shared" si="233"/>
        <v>296.33999999999997</v>
      </c>
      <c r="L403" s="2007">
        <f t="shared" si="234"/>
        <v>79.86</v>
      </c>
      <c r="M403" s="2016"/>
      <c r="N403" s="2016"/>
      <c r="O403" s="2016"/>
      <c r="P403" s="2016">
        <f t="shared" si="235"/>
        <v>75.239999999999995</v>
      </c>
      <c r="Q403" s="2016"/>
      <c r="R403" s="2016"/>
      <c r="S403" s="2016">
        <f t="shared" si="236"/>
        <v>18.809999999999999</v>
      </c>
      <c r="T403" s="2016">
        <f t="shared" si="237"/>
        <v>18.809999999999999</v>
      </c>
      <c r="U403" s="2016">
        <f t="shared" si="238"/>
        <v>188.1</v>
      </c>
      <c r="V403" s="2016">
        <f t="shared" si="239"/>
        <v>75.239999999999995</v>
      </c>
      <c r="W403" s="2016"/>
      <c r="X403" s="2016"/>
      <c r="Y403" s="2016"/>
      <c r="Z403" s="2016"/>
    </row>
    <row r="404" spans="1:26" s="2009" customFormat="1" ht="30" x14ac:dyDescent="0.2">
      <c r="A404" s="1635" t="s">
        <v>7541</v>
      </c>
      <c r="B404" s="1984" t="s">
        <v>4448</v>
      </c>
      <c r="C404" s="1984">
        <v>89557</v>
      </c>
      <c r="D404" s="1813" t="s">
        <v>6107</v>
      </c>
      <c r="E404" s="1638">
        <f>7+5</f>
        <v>12</v>
      </c>
      <c r="F404" s="1639" t="s">
        <v>5284</v>
      </c>
      <c r="G404" s="1648">
        <v>18.52</v>
      </c>
      <c r="H404" s="1636">
        <f t="shared" si="240"/>
        <v>4.99</v>
      </c>
      <c r="I404" s="1636">
        <f t="shared" si="241"/>
        <v>23.509999999999998</v>
      </c>
      <c r="J404" s="1723">
        <f t="shared" si="242"/>
        <v>282.12</v>
      </c>
      <c r="K404" s="2007">
        <f t="shared" si="233"/>
        <v>222.24</v>
      </c>
      <c r="L404" s="2007">
        <f t="shared" si="234"/>
        <v>59.88</v>
      </c>
      <c r="M404" s="2016"/>
      <c r="N404" s="2016"/>
      <c r="O404" s="2016"/>
      <c r="P404" s="2016">
        <f t="shared" si="235"/>
        <v>56.424000000000007</v>
      </c>
      <c r="Q404" s="2016"/>
      <c r="R404" s="2016"/>
      <c r="S404" s="2016">
        <f t="shared" si="236"/>
        <v>14.106000000000002</v>
      </c>
      <c r="T404" s="2016">
        <f t="shared" si="237"/>
        <v>14.106000000000002</v>
      </c>
      <c r="U404" s="2016">
        <f t="shared" si="238"/>
        <v>141.06</v>
      </c>
      <c r="V404" s="2016">
        <f t="shared" si="239"/>
        <v>56.424000000000007</v>
      </c>
      <c r="W404" s="2016"/>
      <c r="X404" s="2016"/>
      <c r="Y404" s="2016"/>
      <c r="Z404" s="2016"/>
    </row>
    <row r="405" spans="1:26" s="2009" customFormat="1" ht="30" x14ac:dyDescent="0.2">
      <c r="A405" s="1635" t="s">
        <v>7542</v>
      </c>
      <c r="B405" s="1984" t="s">
        <v>4448</v>
      </c>
      <c r="C405" s="1984">
        <v>89825</v>
      </c>
      <c r="D405" s="1813" t="s">
        <v>6108</v>
      </c>
      <c r="E405" s="1638">
        <f>1+9+6+3</f>
        <v>19</v>
      </c>
      <c r="F405" s="1639" t="s">
        <v>5284</v>
      </c>
      <c r="G405" s="1648">
        <v>10.07</v>
      </c>
      <c r="H405" s="1636">
        <f t="shared" si="240"/>
        <v>2.71</v>
      </c>
      <c r="I405" s="1636">
        <f t="shared" si="241"/>
        <v>12.780000000000001</v>
      </c>
      <c r="J405" s="1723">
        <f t="shared" si="242"/>
        <v>242.82</v>
      </c>
      <c r="K405" s="2007">
        <f t="shared" si="233"/>
        <v>191.33</v>
      </c>
      <c r="L405" s="2007">
        <f t="shared" si="234"/>
        <v>51.49</v>
      </c>
      <c r="M405" s="2016"/>
      <c r="N405" s="2016"/>
      <c r="O405" s="2016"/>
      <c r="P405" s="2016">
        <f t="shared" si="235"/>
        <v>48.564</v>
      </c>
      <c r="Q405" s="2016"/>
      <c r="R405" s="2016"/>
      <c r="S405" s="2016">
        <f t="shared" si="236"/>
        <v>12.141</v>
      </c>
      <c r="T405" s="2016">
        <f t="shared" si="237"/>
        <v>12.141</v>
      </c>
      <c r="U405" s="2016">
        <f t="shared" si="238"/>
        <v>121.41</v>
      </c>
      <c r="V405" s="2016">
        <f t="shared" si="239"/>
        <v>48.564</v>
      </c>
      <c r="W405" s="2016"/>
      <c r="X405" s="2016"/>
      <c r="Y405" s="2016"/>
      <c r="Z405" s="2016"/>
    </row>
    <row r="406" spans="1:26" s="2009" customFormat="1" ht="30" x14ac:dyDescent="0.2">
      <c r="A406" s="1635" t="s">
        <v>7543</v>
      </c>
      <c r="B406" s="1984" t="s">
        <v>4448</v>
      </c>
      <c r="C406" s="1984">
        <v>89829</v>
      </c>
      <c r="D406" s="1813" t="s">
        <v>6109</v>
      </c>
      <c r="E406" s="1638">
        <f>12+23+16+20</f>
        <v>71</v>
      </c>
      <c r="F406" s="1639" t="s">
        <v>5284</v>
      </c>
      <c r="G406" s="1648">
        <v>17.899999999999999</v>
      </c>
      <c r="H406" s="1636">
        <f t="shared" si="240"/>
        <v>4.82</v>
      </c>
      <c r="I406" s="1636">
        <f t="shared" si="241"/>
        <v>22.72</v>
      </c>
      <c r="J406" s="1723">
        <f t="shared" si="242"/>
        <v>1613.12</v>
      </c>
      <c r="K406" s="2007">
        <f t="shared" si="233"/>
        <v>1270.9000000000001</v>
      </c>
      <c r="L406" s="2007">
        <f t="shared" si="234"/>
        <v>342.22</v>
      </c>
      <c r="M406" s="2016"/>
      <c r="N406" s="2016"/>
      <c r="O406" s="2016"/>
      <c r="P406" s="2016">
        <f t="shared" si="235"/>
        <v>322.62400000000002</v>
      </c>
      <c r="Q406" s="2016"/>
      <c r="R406" s="2016"/>
      <c r="S406" s="2016">
        <f t="shared" si="236"/>
        <v>80.656000000000006</v>
      </c>
      <c r="T406" s="2016">
        <f t="shared" si="237"/>
        <v>80.656000000000006</v>
      </c>
      <c r="U406" s="2016">
        <f t="shared" si="238"/>
        <v>806.56</v>
      </c>
      <c r="V406" s="2016">
        <f t="shared" si="239"/>
        <v>322.62400000000002</v>
      </c>
      <c r="W406" s="2016"/>
      <c r="X406" s="2016"/>
      <c r="Y406" s="2016"/>
      <c r="Z406" s="2016"/>
    </row>
    <row r="407" spans="1:26" s="2009" customFormat="1" ht="30" x14ac:dyDescent="0.2">
      <c r="A407" s="1635" t="s">
        <v>7544</v>
      </c>
      <c r="B407" s="1984" t="s">
        <v>4448</v>
      </c>
      <c r="C407" s="1984">
        <v>89833</v>
      </c>
      <c r="D407" s="1813" t="s">
        <v>6110</v>
      </c>
      <c r="E407" s="1638">
        <f>1+1</f>
        <v>2</v>
      </c>
      <c r="F407" s="1639" t="s">
        <v>5284</v>
      </c>
      <c r="G407" s="1648">
        <v>22.4</v>
      </c>
      <c r="H407" s="1636">
        <f t="shared" si="240"/>
        <v>6.03</v>
      </c>
      <c r="I407" s="1636">
        <f t="shared" si="241"/>
        <v>28.43</v>
      </c>
      <c r="J407" s="1723">
        <f t="shared" si="242"/>
        <v>56.86</v>
      </c>
      <c r="K407" s="2007">
        <f t="shared" si="233"/>
        <v>44.8</v>
      </c>
      <c r="L407" s="2007">
        <f t="shared" si="234"/>
        <v>12.06</v>
      </c>
      <c r="M407" s="2016"/>
      <c r="N407" s="2016"/>
      <c r="O407" s="2016"/>
      <c r="P407" s="2016">
        <f t="shared" si="235"/>
        <v>11.372</v>
      </c>
      <c r="Q407" s="2016"/>
      <c r="R407" s="2016"/>
      <c r="S407" s="2016">
        <f t="shared" si="236"/>
        <v>2.843</v>
      </c>
      <c r="T407" s="2016">
        <f t="shared" si="237"/>
        <v>2.843</v>
      </c>
      <c r="U407" s="2016">
        <f t="shared" si="238"/>
        <v>28.43</v>
      </c>
      <c r="V407" s="2016">
        <f t="shared" si="239"/>
        <v>11.372</v>
      </c>
      <c r="W407" s="2016"/>
      <c r="X407" s="2016"/>
      <c r="Y407" s="2016"/>
      <c r="Z407" s="2016"/>
    </row>
    <row r="408" spans="1:26" s="2009" customFormat="1" ht="30" x14ac:dyDescent="0.2">
      <c r="A408" s="1635" t="s">
        <v>7545</v>
      </c>
      <c r="B408" s="1984" t="s">
        <v>4448</v>
      </c>
      <c r="C408" s="1984" t="s">
        <v>6155</v>
      </c>
      <c r="D408" s="1813" t="s">
        <v>6153</v>
      </c>
      <c r="E408" s="1638">
        <f>2</f>
        <v>2</v>
      </c>
      <c r="F408" s="1639" t="s">
        <v>5284</v>
      </c>
      <c r="G408" s="1648">
        <v>23.689999999999998</v>
      </c>
      <c r="H408" s="1636">
        <f t="shared" si="240"/>
        <v>6.38</v>
      </c>
      <c r="I408" s="1636">
        <f>H408+G408</f>
        <v>30.069999999999997</v>
      </c>
      <c r="J408" s="1723">
        <f>ROUND(I408*E408,2)</f>
        <v>60.14</v>
      </c>
      <c r="K408" s="2007">
        <f t="shared" si="233"/>
        <v>47.38</v>
      </c>
      <c r="L408" s="2007">
        <f t="shared" si="234"/>
        <v>12.76</v>
      </c>
      <c r="M408" s="2016"/>
      <c r="N408" s="2016"/>
      <c r="O408" s="2016"/>
      <c r="P408" s="2016">
        <f t="shared" si="235"/>
        <v>12.028</v>
      </c>
      <c r="Q408" s="2016"/>
      <c r="R408" s="2016"/>
      <c r="S408" s="2016">
        <f t="shared" si="236"/>
        <v>3.0070000000000001</v>
      </c>
      <c r="T408" s="2016">
        <f t="shared" si="237"/>
        <v>3.0070000000000001</v>
      </c>
      <c r="U408" s="2016">
        <f t="shared" si="238"/>
        <v>30.07</v>
      </c>
      <c r="V408" s="2016">
        <f t="shared" si="239"/>
        <v>12.028</v>
      </c>
      <c r="W408" s="2016"/>
      <c r="X408" s="2016"/>
      <c r="Y408" s="2016"/>
      <c r="Z408" s="2016"/>
    </row>
    <row r="409" spans="1:26" s="2009" customFormat="1" ht="30" x14ac:dyDescent="0.2">
      <c r="A409" s="1635" t="s">
        <v>7546</v>
      </c>
      <c r="B409" s="1984" t="s">
        <v>4448</v>
      </c>
      <c r="C409" s="1984" t="s">
        <v>6154</v>
      </c>
      <c r="D409" s="1813" t="s">
        <v>6111</v>
      </c>
      <c r="E409" s="1638">
        <f>2+7+6+10</f>
        <v>25</v>
      </c>
      <c r="F409" s="1639" t="s">
        <v>5284</v>
      </c>
      <c r="G409" s="1648">
        <v>24.15</v>
      </c>
      <c r="H409" s="1636">
        <f t="shared" si="240"/>
        <v>6.5</v>
      </c>
      <c r="I409" s="1636">
        <f t="shared" si="241"/>
        <v>30.65</v>
      </c>
      <c r="J409" s="1723">
        <f t="shared" si="242"/>
        <v>766.25</v>
      </c>
      <c r="K409" s="2007">
        <f t="shared" si="233"/>
        <v>603.75</v>
      </c>
      <c r="L409" s="2007">
        <f t="shared" si="234"/>
        <v>162.5</v>
      </c>
      <c r="M409" s="2016"/>
      <c r="N409" s="2016"/>
      <c r="O409" s="2016"/>
      <c r="P409" s="2016">
        <f t="shared" si="235"/>
        <v>153.25</v>
      </c>
      <c r="Q409" s="2016"/>
      <c r="R409" s="2016"/>
      <c r="S409" s="2016">
        <f t="shared" si="236"/>
        <v>38.3125</v>
      </c>
      <c r="T409" s="2016">
        <f t="shared" si="237"/>
        <v>38.3125</v>
      </c>
      <c r="U409" s="2016">
        <f t="shared" si="238"/>
        <v>383.125</v>
      </c>
      <c r="V409" s="2016">
        <f t="shared" si="239"/>
        <v>153.25</v>
      </c>
      <c r="W409" s="2016"/>
      <c r="X409" s="2016"/>
      <c r="Y409" s="2016"/>
      <c r="Z409" s="2016"/>
    </row>
    <row r="410" spans="1:26" s="2009" customFormat="1" ht="30" x14ac:dyDescent="0.2">
      <c r="A410" s="1635" t="s">
        <v>7547</v>
      </c>
      <c r="B410" s="1984" t="s">
        <v>4448</v>
      </c>
      <c r="C410" s="1984" t="s">
        <v>6122</v>
      </c>
      <c r="D410" s="1813" t="s">
        <v>6112</v>
      </c>
      <c r="E410" s="1638">
        <f>1+1+2</f>
        <v>4</v>
      </c>
      <c r="F410" s="1639" t="s">
        <v>5284</v>
      </c>
      <c r="G410" s="1648">
        <v>18.98</v>
      </c>
      <c r="H410" s="1636">
        <f t="shared" si="240"/>
        <v>5.1100000000000003</v>
      </c>
      <c r="I410" s="1636">
        <f t="shared" si="241"/>
        <v>24.09</v>
      </c>
      <c r="J410" s="1723">
        <f t="shared" si="242"/>
        <v>96.36</v>
      </c>
      <c r="K410" s="2007">
        <f t="shared" si="233"/>
        <v>75.92</v>
      </c>
      <c r="L410" s="2007">
        <f t="shared" si="234"/>
        <v>20.440000000000001</v>
      </c>
      <c r="M410" s="2016"/>
      <c r="N410" s="2016"/>
      <c r="O410" s="2016"/>
      <c r="P410" s="2016">
        <f t="shared" si="235"/>
        <v>19.272000000000002</v>
      </c>
      <c r="Q410" s="2016"/>
      <c r="R410" s="2016"/>
      <c r="S410" s="2016">
        <f t="shared" si="236"/>
        <v>4.8180000000000005</v>
      </c>
      <c r="T410" s="2016">
        <f t="shared" si="237"/>
        <v>4.8180000000000005</v>
      </c>
      <c r="U410" s="2016">
        <f t="shared" si="238"/>
        <v>48.18</v>
      </c>
      <c r="V410" s="2016">
        <f t="shared" si="239"/>
        <v>19.272000000000002</v>
      </c>
      <c r="W410" s="2016"/>
      <c r="X410" s="2016"/>
      <c r="Y410" s="2016"/>
      <c r="Z410" s="2016"/>
    </row>
    <row r="411" spans="1:26" s="2009" customFormat="1" ht="30" x14ac:dyDescent="0.2">
      <c r="A411" s="1635" t="s">
        <v>7548</v>
      </c>
      <c r="B411" s="1984" t="s">
        <v>5281</v>
      </c>
      <c r="C411" s="1984">
        <v>10266</v>
      </c>
      <c r="D411" s="1813" t="s">
        <v>6113</v>
      </c>
      <c r="E411" s="1638">
        <f>4</f>
        <v>4</v>
      </c>
      <c r="F411" s="1639" t="s">
        <v>5284</v>
      </c>
      <c r="G411" s="1648">
        <v>15.02</v>
      </c>
      <c r="H411" s="1636">
        <f t="shared" si="240"/>
        <v>4.04</v>
      </c>
      <c r="I411" s="1636">
        <f t="shared" si="241"/>
        <v>19.059999999999999</v>
      </c>
      <c r="J411" s="1723">
        <f t="shared" si="242"/>
        <v>76.239999999999995</v>
      </c>
      <c r="K411" s="2007">
        <f t="shared" si="233"/>
        <v>60.08</v>
      </c>
      <c r="L411" s="2007">
        <f t="shared" si="234"/>
        <v>16.16</v>
      </c>
      <c r="M411" s="2016"/>
      <c r="N411" s="2016"/>
      <c r="O411" s="2016"/>
      <c r="P411" s="2016">
        <f t="shared" si="235"/>
        <v>15.247999999999999</v>
      </c>
      <c r="Q411" s="2016"/>
      <c r="R411" s="2016"/>
      <c r="S411" s="2016">
        <f t="shared" si="236"/>
        <v>3.8119999999999998</v>
      </c>
      <c r="T411" s="2016">
        <f t="shared" si="237"/>
        <v>3.8119999999999998</v>
      </c>
      <c r="U411" s="2016">
        <f t="shared" si="238"/>
        <v>38.119999999999997</v>
      </c>
      <c r="V411" s="2016">
        <f t="shared" si="239"/>
        <v>15.247999999999999</v>
      </c>
      <c r="W411" s="2016"/>
      <c r="X411" s="2016"/>
      <c r="Y411" s="2016"/>
      <c r="Z411" s="2016"/>
    </row>
    <row r="412" spans="1:26" s="2009" customFormat="1" ht="30" x14ac:dyDescent="0.2">
      <c r="A412" s="1635" t="s">
        <v>7549</v>
      </c>
      <c r="B412" s="1984" t="s">
        <v>5281</v>
      </c>
      <c r="C412" s="1984">
        <v>7594</v>
      </c>
      <c r="D412" s="1813" t="s">
        <v>6156</v>
      </c>
      <c r="E412" s="1638">
        <f>2+9</f>
        <v>11</v>
      </c>
      <c r="F412" s="1639" t="s">
        <v>5284</v>
      </c>
      <c r="G412" s="1648">
        <v>8.02</v>
      </c>
      <c r="H412" s="1636">
        <f t="shared" si="240"/>
        <v>2.16</v>
      </c>
      <c r="I412" s="1636">
        <f t="shared" si="241"/>
        <v>10.18</v>
      </c>
      <c r="J412" s="1723">
        <f t="shared" si="242"/>
        <v>111.98</v>
      </c>
      <c r="K412" s="2007">
        <f t="shared" si="233"/>
        <v>88.22</v>
      </c>
      <c r="L412" s="2007">
        <f t="shared" si="234"/>
        <v>23.76</v>
      </c>
      <c r="M412" s="2016"/>
      <c r="N412" s="2016"/>
      <c r="O412" s="2016"/>
      <c r="P412" s="2016">
        <f t="shared" si="235"/>
        <v>22.396000000000001</v>
      </c>
      <c r="Q412" s="2016"/>
      <c r="R412" s="2016"/>
      <c r="S412" s="2016">
        <f t="shared" si="236"/>
        <v>5.5990000000000002</v>
      </c>
      <c r="T412" s="2016">
        <f t="shared" si="237"/>
        <v>5.5990000000000002</v>
      </c>
      <c r="U412" s="2016">
        <f t="shared" si="238"/>
        <v>55.99</v>
      </c>
      <c r="V412" s="2016">
        <f t="shared" si="239"/>
        <v>22.396000000000001</v>
      </c>
      <c r="W412" s="2016"/>
      <c r="X412" s="2016"/>
      <c r="Y412" s="2016"/>
      <c r="Z412" s="2016"/>
    </row>
    <row r="413" spans="1:26" s="2009" customFormat="1" ht="15" x14ac:dyDescent="0.2">
      <c r="A413" s="1634" t="s">
        <v>6123</v>
      </c>
      <c r="B413" s="2136" t="s">
        <v>6124</v>
      </c>
      <c r="C413" s="2136"/>
      <c r="D413" s="2136"/>
      <c r="E413" s="2136"/>
      <c r="F413" s="2136"/>
      <c r="G413" s="2136"/>
      <c r="H413" s="2136"/>
      <c r="I413" s="2136"/>
      <c r="J413" s="2136"/>
      <c r="K413" s="2007">
        <f t="shared" si="233"/>
        <v>0</v>
      </c>
      <c r="L413" s="2007">
        <f t="shared" si="234"/>
        <v>0</v>
      </c>
      <c r="M413" s="2016"/>
      <c r="N413" s="2016"/>
      <c r="O413" s="2016"/>
      <c r="P413" s="2016"/>
      <c r="Q413" s="2016"/>
      <c r="R413" s="2016"/>
      <c r="S413" s="2016"/>
      <c r="T413" s="2016"/>
      <c r="U413" s="2016"/>
      <c r="V413" s="2016"/>
      <c r="W413" s="2016"/>
      <c r="X413" s="2016"/>
      <c r="Y413" s="2016"/>
      <c r="Z413" s="2016"/>
    </row>
    <row r="414" spans="1:26" s="2009" customFormat="1" ht="30" x14ac:dyDescent="0.2">
      <c r="A414" s="1635" t="s">
        <v>7550</v>
      </c>
      <c r="B414" s="1984" t="s">
        <v>4448</v>
      </c>
      <c r="C414" s="1984" t="s">
        <v>6130</v>
      </c>
      <c r="D414" s="1813" t="s">
        <v>6125</v>
      </c>
      <c r="E414" s="1638">
        <f>1+1</f>
        <v>2</v>
      </c>
      <c r="F414" s="1639" t="s">
        <v>5284</v>
      </c>
      <c r="G414" s="1648">
        <v>29.79</v>
      </c>
      <c r="H414" s="1636">
        <f t="shared" ref="H414:H419" si="243">ROUND(G414*$B$13,2)</f>
        <v>8.02</v>
      </c>
      <c r="I414" s="1636">
        <f t="shared" si="241"/>
        <v>37.81</v>
      </c>
      <c r="J414" s="1723">
        <f t="shared" si="242"/>
        <v>75.62</v>
      </c>
      <c r="K414" s="2007">
        <f t="shared" si="233"/>
        <v>59.58</v>
      </c>
      <c r="L414" s="2007">
        <f t="shared" si="234"/>
        <v>16.04</v>
      </c>
      <c r="M414" s="2016"/>
      <c r="N414" s="2016"/>
      <c r="O414" s="2016"/>
      <c r="P414" s="2016">
        <f t="shared" ref="P414" si="244">0.2*J414</f>
        <v>15.124000000000002</v>
      </c>
      <c r="Q414" s="2016"/>
      <c r="R414" s="2016"/>
      <c r="S414" s="2016">
        <f t="shared" ref="S414" si="245">0.05*J414</f>
        <v>3.7810000000000006</v>
      </c>
      <c r="T414" s="2016">
        <f t="shared" ref="T414" si="246">0.05*J414</f>
        <v>3.7810000000000006</v>
      </c>
      <c r="U414" s="2016">
        <f t="shared" ref="U414" si="247">0.5*J414</f>
        <v>37.81</v>
      </c>
      <c r="V414" s="2016">
        <f t="shared" ref="V414" si="248">0.2*J414</f>
        <v>15.124000000000002</v>
      </c>
      <c r="W414" s="2016"/>
      <c r="X414" s="2016"/>
      <c r="Y414" s="2016"/>
      <c r="Z414" s="2016"/>
    </row>
    <row r="415" spans="1:26" s="2009" customFormat="1" ht="30" x14ac:dyDescent="0.2">
      <c r="A415" s="1635" t="s">
        <v>7551</v>
      </c>
      <c r="B415" s="1984" t="s">
        <v>4448</v>
      </c>
      <c r="C415" s="1984" t="s">
        <v>6131</v>
      </c>
      <c r="D415" s="1813" t="s">
        <v>6126</v>
      </c>
      <c r="E415" s="1638">
        <f>16+1+15</f>
        <v>32</v>
      </c>
      <c r="F415" s="1639" t="s">
        <v>5284</v>
      </c>
      <c r="G415" s="1648">
        <v>45.710000000000008</v>
      </c>
      <c r="H415" s="1636">
        <f t="shared" si="243"/>
        <v>12.31</v>
      </c>
      <c r="I415" s="1636">
        <f t="shared" si="241"/>
        <v>58.02000000000001</v>
      </c>
      <c r="J415" s="1723">
        <f t="shared" si="242"/>
        <v>1856.64</v>
      </c>
      <c r="K415" s="2007">
        <f t="shared" si="233"/>
        <v>1462.72</v>
      </c>
      <c r="L415" s="2007">
        <f t="shared" si="234"/>
        <v>393.92</v>
      </c>
      <c r="M415" s="2016"/>
      <c r="N415" s="2016"/>
      <c r="O415" s="2016"/>
      <c r="P415" s="2016">
        <f t="shared" ref="P415:P419" si="249">0.2*J415</f>
        <v>371.32800000000003</v>
      </c>
      <c r="Q415" s="2016"/>
      <c r="R415" s="2016"/>
      <c r="S415" s="2016">
        <f t="shared" ref="S415:S419" si="250">0.05*J415</f>
        <v>92.832000000000008</v>
      </c>
      <c r="T415" s="2016">
        <f t="shared" ref="T415:T419" si="251">0.05*J415</f>
        <v>92.832000000000008</v>
      </c>
      <c r="U415" s="2016">
        <f t="shared" ref="U415:U419" si="252">0.5*J415</f>
        <v>928.32</v>
      </c>
      <c r="V415" s="2016">
        <f t="shared" ref="V415:V419" si="253">0.2*J415</f>
        <v>371.32800000000003</v>
      </c>
      <c r="W415" s="2016"/>
      <c r="X415" s="2016"/>
      <c r="Y415" s="2016"/>
      <c r="Z415" s="2016"/>
    </row>
    <row r="416" spans="1:26" s="2009" customFormat="1" ht="30" x14ac:dyDescent="0.2">
      <c r="A416" s="1635" t="s">
        <v>7552</v>
      </c>
      <c r="B416" s="1984" t="s">
        <v>4448</v>
      </c>
      <c r="C416" s="1984">
        <v>89708</v>
      </c>
      <c r="D416" s="1813" t="s">
        <v>6127</v>
      </c>
      <c r="E416" s="1638">
        <f>15+24</f>
        <v>39</v>
      </c>
      <c r="F416" s="1639" t="s">
        <v>5284</v>
      </c>
      <c r="G416" s="1648">
        <v>55.53</v>
      </c>
      <c r="H416" s="1636">
        <f t="shared" si="243"/>
        <v>14.95</v>
      </c>
      <c r="I416" s="1636">
        <f t="shared" si="241"/>
        <v>70.48</v>
      </c>
      <c r="J416" s="1723">
        <f t="shared" si="242"/>
        <v>2748.72</v>
      </c>
      <c r="K416" s="2007">
        <f t="shared" si="233"/>
        <v>2165.67</v>
      </c>
      <c r="L416" s="2007">
        <f t="shared" si="234"/>
        <v>583.04999999999995</v>
      </c>
      <c r="M416" s="2016"/>
      <c r="N416" s="2016"/>
      <c r="O416" s="2016"/>
      <c r="P416" s="2016">
        <f t="shared" si="249"/>
        <v>549.74400000000003</v>
      </c>
      <c r="Q416" s="2016"/>
      <c r="R416" s="2016"/>
      <c r="S416" s="2016">
        <f t="shared" si="250"/>
        <v>137.43600000000001</v>
      </c>
      <c r="T416" s="2016">
        <f t="shared" si="251"/>
        <v>137.43600000000001</v>
      </c>
      <c r="U416" s="2016">
        <f t="shared" si="252"/>
        <v>1374.36</v>
      </c>
      <c r="V416" s="2016">
        <f t="shared" si="253"/>
        <v>549.74400000000003</v>
      </c>
      <c r="W416" s="2016"/>
      <c r="X416" s="2016"/>
      <c r="Y416" s="2016"/>
      <c r="Z416" s="2016"/>
    </row>
    <row r="417" spans="1:26" s="2009" customFormat="1" ht="15" x14ac:dyDescent="0.2">
      <c r="A417" s="1635" t="s">
        <v>6149</v>
      </c>
      <c r="B417" s="1984" t="s">
        <v>4448</v>
      </c>
      <c r="C417" s="1984">
        <v>89709</v>
      </c>
      <c r="D417" s="1813" t="s">
        <v>6150</v>
      </c>
      <c r="E417" s="1638">
        <f>2+2</f>
        <v>4</v>
      </c>
      <c r="F417" s="1639" t="s">
        <v>5284</v>
      </c>
      <c r="G417" s="1648">
        <v>9.2899999999999991</v>
      </c>
      <c r="H417" s="1636">
        <f t="shared" si="243"/>
        <v>2.5</v>
      </c>
      <c r="I417" s="1636">
        <f>H417+G417</f>
        <v>11.79</v>
      </c>
      <c r="J417" s="1723">
        <f>ROUND(I417*E417,2)</f>
        <v>47.16</v>
      </c>
      <c r="K417" s="2007">
        <f t="shared" si="233"/>
        <v>37.159999999999997</v>
      </c>
      <c r="L417" s="2007">
        <f t="shared" si="234"/>
        <v>10</v>
      </c>
      <c r="M417" s="2016"/>
      <c r="N417" s="2016"/>
      <c r="O417" s="2016"/>
      <c r="P417" s="2016">
        <f t="shared" si="249"/>
        <v>9.4320000000000004</v>
      </c>
      <c r="Q417" s="2016"/>
      <c r="R417" s="2016"/>
      <c r="S417" s="2016">
        <f t="shared" si="250"/>
        <v>2.3580000000000001</v>
      </c>
      <c r="T417" s="2016">
        <f t="shared" si="251"/>
        <v>2.3580000000000001</v>
      </c>
      <c r="U417" s="2016">
        <f t="shared" si="252"/>
        <v>23.58</v>
      </c>
      <c r="V417" s="2016">
        <f t="shared" si="253"/>
        <v>9.4320000000000004</v>
      </c>
      <c r="W417" s="2016"/>
      <c r="X417" s="2016"/>
      <c r="Y417" s="2016"/>
      <c r="Z417" s="2016"/>
    </row>
    <row r="418" spans="1:26" s="2009" customFormat="1" ht="15" x14ac:dyDescent="0.2">
      <c r="A418" s="1635" t="s">
        <v>7597</v>
      </c>
      <c r="B418" s="1984" t="s">
        <v>4448</v>
      </c>
      <c r="C418" s="1984">
        <v>98105</v>
      </c>
      <c r="D418" s="1813" t="s">
        <v>6128</v>
      </c>
      <c r="E418" s="1638">
        <f>1</f>
        <v>1</v>
      </c>
      <c r="F418" s="1639" t="s">
        <v>5284</v>
      </c>
      <c r="G418" s="1648">
        <v>493.31</v>
      </c>
      <c r="H418" s="1636">
        <f t="shared" si="243"/>
        <v>132.85</v>
      </c>
      <c r="I418" s="1636">
        <f t="shared" si="241"/>
        <v>626.16</v>
      </c>
      <c r="J418" s="1723">
        <f t="shared" si="242"/>
        <v>626.16</v>
      </c>
      <c r="K418" s="2007">
        <f t="shared" si="233"/>
        <v>493.31</v>
      </c>
      <c r="L418" s="2007">
        <f t="shared" si="234"/>
        <v>132.85</v>
      </c>
      <c r="M418" s="2016"/>
      <c r="N418" s="2016"/>
      <c r="O418" s="2016"/>
      <c r="P418" s="2016">
        <f t="shared" si="249"/>
        <v>125.232</v>
      </c>
      <c r="Q418" s="2016"/>
      <c r="R418" s="2016"/>
      <c r="S418" s="2016">
        <f t="shared" si="250"/>
        <v>31.308</v>
      </c>
      <c r="T418" s="2016">
        <f t="shared" si="251"/>
        <v>31.308</v>
      </c>
      <c r="U418" s="2016">
        <f t="shared" si="252"/>
        <v>313.08</v>
      </c>
      <c r="V418" s="2016">
        <f t="shared" si="253"/>
        <v>125.232</v>
      </c>
      <c r="W418" s="2016"/>
      <c r="X418" s="2016"/>
      <c r="Y418" s="2016"/>
      <c r="Z418" s="2016"/>
    </row>
    <row r="419" spans="1:26" s="2009" customFormat="1" ht="15" x14ac:dyDescent="0.2">
      <c r="A419" s="1635" t="s">
        <v>8907</v>
      </c>
      <c r="B419" s="1984" t="s">
        <v>4448</v>
      </c>
      <c r="C419" s="1984">
        <v>97903</v>
      </c>
      <c r="D419" s="1813" t="s">
        <v>6129</v>
      </c>
      <c r="E419" s="1638">
        <v>15</v>
      </c>
      <c r="F419" s="1639" t="s">
        <v>5284</v>
      </c>
      <c r="G419" s="1648">
        <v>584.41</v>
      </c>
      <c r="H419" s="1636">
        <f t="shared" si="243"/>
        <v>157.38</v>
      </c>
      <c r="I419" s="1636">
        <f t="shared" si="241"/>
        <v>741.79</v>
      </c>
      <c r="J419" s="1723">
        <f t="shared" si="242"/>
        <v>11126.85</v>
      </c>
      <c r="K419" s="2007">
        <f t="shared" si="233"/>
        <v>8766.15</v>
      </c>
      <c r="L419" s="2007">
        <f t="shared" si="234"/>
        <v>2360.6999999999998</v>
      </c>
      <c r="M419" s="2016"/>
      <c r="N419" s="2016"/>
      <c r="O419" s="2016"/>
      <c r="P419" s="2016">
        <f t="shared" si="249"/>
        <v>2225.3700000000003</v>
      </c>
      <c r="Q419" s="2016"/>
      <c r="R419" s="2016"/>
      <c r="S419" s="2016">
        <f t="shared" si="250"/>
        <v>556.34250000000009</v>
      </c>
      <c r="T419" s="2016">
        <f t="shared" si="251"/>
        <v>556.34250000000009</v>
      </c>
      <c r="U419" s="2016">
        <f t="shared" si="252"/>
        <v>5563.4250000000002</v>
      </c>
      <c r="V419" s="2016">
        <f t="shared" si="253"/>
        <v>2225.3700000000003</v>
      </c>
      <c r="W419" s="2016"/>
      <c r="X419" s="2016"/>
      <c r="Y419" s="2016"/>
      <c r="Z419" s="2016"/>
    </row>
    <row r="420" spans="1:26" s="2009" customFormat="1" ht="45" x14ac:dyDescent="0.2">
      <c r="A420" s="1635" t="s">
        <v>8908</v>
      </c>
      <c r="B420" s="1984" t="s">
        <v>4448</v>
      </c>
      <c r="C420" s="1984">
        <v>98414</v>
      </c>
      <c r="D420" s="1813" t="s">
        <v>8906</v>
      </c>
      <c r="E420" s="1638">
        <v>3</v>
      </c>
      <c r="F420" s="1639" t="s">
        <v>5284</v>
      </c>
      <c r="G420" s="1648">
        <v>968.83</v>
      </c>
      <c r="H420" s="1636">
        <f>ROUND(G420*$B$13,2)</f>
        <v>260.91000000000003</v>
      </c>
      <c r="I420" s="1636">
        <f t="shared" ref="I420" si="254">H420+G420</f>
        <v>1229.74</v>
      </c>
      <c r="J420" s="1723">
        <f t="shared" ref="J420" si="255">ROUND(I420*E420,2)</f>
        <v>3689.22</v>
      </c>
      <c r="K420" s="2007">
        <f t="shared" ref="K420" si="256">ROUND(G420*E420,2)</f>
        <v>2906.49</v>
      </c>
      <c r="L420" s="2007">
        <f t="shared" ref="L420" si="257">ROUND(H420*E420,2)</f>
        <v>782.73</v>
      </c>
      <c r="M420" s="2016"/>
      <c r="N420" s="2016"/>
      <c r="O420" s="2016"/>
      <c r="P420" s="2016">
        <f t="shared" ref="P420" si="258">0.1*J420</f>
        <v>368.92200000000003</v>
      </c>
      <c r="Q420" s="2016"/>
      <c r="R420" s="2016"/>
      <c r="S420" s="2016"/>
      <c r="T420" s="2016"/>
      <c r="U420" s="2016">
        <f t="shared" ref="U420" si="259">0.3*J420</f>
        <v>1106.7659999999998</v>
      </c>
      <c r="V420" s="2016">
        <f t="shared" ref="V420" si="260">0.3*J420</f>
        <v>1106.7659999999998</v>
      </c>
      <c r="W420" s="2016">
        <f t="shared" ref="W420" si="261">0.3*J420</f>
        <v>1106.7659999999998</v>
      </c>
      <c r="X420" s="2016"/>
      <c r="Y420" s="2016"/>
      <c r="Z420" s="2016"/>
    </row>
    <row r="421" spans="1:26" s="2009" customFormat="1" ht="45" x14ac:dyDescent="0.2">
      <c r="A421" s="1635" t="s">
        <v>8909</v>
      </c>
      <c r="B421" s="1984" t="s">
        <v>4448</v>
      </c>
      <c r="C421" s="1984">
        <v>97983</v>
      </c>
      <c r="D421" s="1813" t="s">
        <v>8910</v>
      </c>
      <c r="E421" s="1638">
        <f>(2.09-1.45)+(1.87-1.45)</f>
        <v>1.06</v>
      </c>
      <c r="F421" s="1639" t="s">
        <v>5713</v>
      </c>
      <c r="G421" s="1648">
        <v>407.53</v>
      </c>
      <c r="H421" s="1636">
        <f>ROUND(G421*$B$13,2)</f>
        <v>109.75</v>
      </c>
      <c r="I421" s="1636">
        <f t="shared" si="241"/>
        <v>517.28</v>
      </c>
      <c r="J421" s="1723">
        <f t="shared" si="242"/>
        <v>548.32000000000005</v>
      </c>
      <c r="K421" s="2007">
        <f t="shared" si="233"/>
        <v>431.98</v>
      </c>
      <c r="L421" s="2007">
        <f t="shared" si="234"/>
        <v>116.34</v>
      </c>
      <c r="M421" s="2016"/>
      <c r="N421" s="2016"/>
      <c r="O421" s="2016"/>
      <c r="P421" s="2016">
        <f t="shared" ref="P421" si="262">0.1*J421</f>
        <v>54.832000000000008</v>
      </c>
      <c r="Q421" s="2016"/>
      <c r="R421" s="2016"/>
      <c r="S421" s="2016"/>
      <c r="T421" s="2016"/>
      <c r="U421" s="2016">
        <f t="shared" ref="U421" si="263">0.3*J421</f>
        <v>164.49600000000001</v>
      </c>
      <c r="V421" s="2016">
        <f t="shared" ref="V421" si="264">0.3*J421</f>
        <v>164.49600000000001</v>
      </c>
      <c r="W421" s="2016">
        <f t="shared" ref="W421" si="265">0.3*J421</f>
        <v>164.49600000000001</v>
      </c>
      <c r="X421" s="2016"/>
      <c r="Y421" s="2016"/>
      <c r="Z421" s="2016"/>
    </row>
    <row r="422" spans="1:26" s="2006" customFormat="1" ht="15" x14ac:dyDescent="0.2">
      <c r="A422" s="2133" t="s">
        <v>6065</v>
      </c>
      <c r="B422" s="2133"/>
      <c r="C422" s="2133"/>
      <c r="D422" s="2133"/>
      <c r="E422" s="2133"/>
      <c r="F422" s="2133"/>
      <c r="G422" s="2133"/>
      <c r="H422" s="2133"/>
      <c r="I422" s="2133"/>
      <c r="J422" s="1724">
        <f>SUM(J361:J421)</f>
        <v>96906.21</v>
      </c>
      <c r="K422" s="2010"/>
      <c r="L422" s="2015"/>
      <c r="M422" s="1724">
        <f t="shared" ref="M422:Z422" si="266">SUM(M361:M421)</f>
        <v>0</v>
      </c>
      <c r="N422" s="1724">
        <f t="shared" si="266"/>
        <v>0</v>
      </c>
      <c r="O422" s="1724">
        <f t="shared" si="266"/>
        <v>0</v>
      </c>
      <c r="P422" s="1724">
        <f t="shared" si="266"/>
        <v>18957.488000000001</v>
      </c>
      <c r="Q422" s="1724">
        <f t="shared" si="266"/>
        <v>0</v>
      </c>
      <c r="R422" s="1724">
        <f t="shared" si="266"/>
        <v>0</v>
      </c>
      <c r="S422" s="1724">
        <f t="shared" si="266"/>
        <v>4633.433500000001</v>
      </c>
      <c r="T422" s="1724">
        <f t="shared" si="266"/>
        <v>4633.433500000001</v>
      </c>
      <c r="U422" s="1724">
        <f t="shared" si="266"/>
        <v>47605.597000000002</v>
      </c>
      <c r="V422" s="1724">
        <f t="shared" si="266"/>
        <v>19804.996000000003</v>
      </c>
      <c r="W422" s="1724">
        <f t="shared" si="266"/>
        <v>1271.2619999999999</v>
      </c>
      <c r="X422" s="1724">
        <f t="shared" si="266"/>
        <v>0</v>
      </c>
      <c r="Y422" s="1724">
        <f t="shared" si="266"/>
        <v>0</v>
      </c>
      <c r="Z422" s="1724">
        <f t="shared" si="266"/>
        <v>0</v>
      </c>
    </row>
    <row r="423" spans="1:26" s="2006" customFormat="1" ht="15" x14ac:dyDescent="0.2">
      <c r="A423" s="52"/>
      <c r="B423" s="52"/>
      <c r="C423" s="52"/>
      <c r="D423" s="52"/>
      <c r="E423" s="1506"/>
      <c r="F423" s="52"/>
      <c r="G423" s="1649"/>
      <c r="H423" s="51"/>
      <c r="I423" s="51"/>
      <c r="J423" s="1725"/>
      <c r="K423" s="51"/>
      <c r="L423" s="2015"/>
      <c r="M423" s="2005"/>
      <c r="N423" s="2005"/>
      <c r="O423" s="2005"/>
      <c r="P423" s="2005"/>
      <c r="Q423" s="2005"/>
      <c r="R423" s="2005"/>
      <c r="S423" s="2005"/>
      <c r="T423" s="2005"/>
      <c r="U423" s="2005"/>
      <c r="V423" s="2005"/>
      <c r="W423" s="2005"/>
      <c r="X423" s="2005"/>
      <c r="Y423" s="2005"/>
      <c r="Z423" s="2005"/>
    </row>
    <row r="424" spans="1:26" s="2006" customFormat="1" ht="15" x14ac:dyDescent="0.2">
      <c r="A424" s="1513" t="s">
        <v>4995</v>
      </c>
      <c r="B424" s="2130" t="s">
        <v>5003</v>
      </c>
      <c r="C424" s="2130"/>
      <c r="D424" s="2130"/>
      <c r="E424" s="2130"/>
      <c r="F424" s="2130"/>
      <c r="G424" s="2130"/>
      <c r="H424" s="2130"/>
      <c r="I424" s="2130"/>
      <c r="J424" s="2130"/>
      <c r="K424" s="1980"/>
      <c r="L424" s="2015"/>
      <c r="M424" s="2005"/>
      <c r="N424" s="2005"/>
      <c r="O424" s="2005"/>
      <c r="P424" s="2005"/>
      <c r="Q424" s="2005"/>
      <c r="R424" s="2005"/>
      <c r="S424" s="2005"/>
      <c r="T424" s="2005"/>
      <c r="U424" s="2005"/>
      <c r="V424" s="2005"/>
      <c r="W424" s="2005"/>
      <c r="X424" s="2005"/>
      <c r="Y424" s="2005"/>
      <c r="Z424" s="2005"/>
    </row>
    <row r="425" spans="1:26" s="2009" customFormat="1" ht="15" x14ac:dyDescent="0.2">
      <c r="A425" s="1634" t="s">
        <v>4996</v>
      </c>
      <c r="B425" s="2136" t="s">
        <v>7237</v>
      </c>
      <c r="C425" s="2136"/>
      <c r="D425" s="2136"/>
      <c r="E425" s="2136"/>
      <c r="F425" s="2136"/>
      <c r="G425" s="2136"/>
      <c r="H425" s="2136"/>
      <c r="I425" s="2136"/>
      <c r="J425" s="2136"/>
      <c r="K425" s="2007">
        <f t="shared" ref="K425" si="267">ROUND(G425*E425,2)</f>
        <v>0</v>
      </c>
      <c r="L425" s="2007">
        <f t="shared" ref="L425" si="268">ROUND(H425*E425,2)</f>
        <v>0</v>
      </c>
      <c r="M425" s="2016"/>
      <c r="N425" s="2016"/>
      <c r="O425" s="2016"/>
      <c r="P425" s="2016"/>
      <c r="Q425" s="2016"/>
      <c r="R425" s="2016"/>
      <c r="S425" s="2016"/>
      <c r="T425" s="2016"/>
      <c r="U425" s="2016"/>
      <c r="V425" s="2016"/>
      <c r="W425" s="2016"/>
      <c r="X425" s="2016"/>
      <c r="Y425" s="2016"/>
      <c r="Z425" s="2016"/>
    </row>
    <row r="426" spans="1:26" s="2009" customFormat="1" ht="45" x14ac:dyDescent="0.2">
      <c r="A426" s="1635" t="s">
        <v>8904</v>
      </c>
      <c r="B426" s="1984" t="s">
        <v>4448</v>
      </c>
      <c r="C426" s="1984">
        <v>93358</v>
      </c>
      <c r="D426" s="1813" t="s">
        <v>9475</v>
      </c>
      <c r="E426" s="1638">
        <f>133.77+52.44</f>
        <v>186.21</v>
      </c>
      <c r="F426" s="1639" t="s">
        <v>5685</v>
      </c>
      <c r="G426" s="1648">
        <v>59.65</v>
      </c>
      <c r="H426" s="1636">
        <f>ROUND(G426*$B$13,2)</f>
        <v>16.059999999999999</v>
      </c>
      <c r="I426" s="1636">
        <f>H426+G426</f>
        <v>75.709999999999994</v>
      </c>
      <c r="J426" s="1723">
        <f>ROUND(I426*E426,2)</f>
        <v>14097.96</v>
      </c>
      <c r="K426" s="2007">
        <f>ROUND(G426*E426,2)</f>
        <v>11107.43</v>
      </c>
      <c r="L426" s="2007">
        <f>ROUND(H426*E426,2)</f>
        <v>2990.53</v>
      </c>
      <c r="M426" s="2016"/>
      <c r="N426" s="2016"/>
      <c r="O426" s="2016"/>
      <c r="P426" s="2016"/>
      <c r="Q426" s="2016"/>
      <c r="R426" s="2016"/>
      <c r="S426" s="2016"/>
      <c r="T426" s="2016"/>
      <c r="U426" s="2016"/>
      <c r="V426" s="2016"/>
      <c r="W426" s="2016"/>
      <c r="X426" s="2016"/>
      <c r="Y426" s="2016"/>
      <c r="Z426" s="2016">
        <f>J426</f>
        <v>14097.96</v>
      </c>
    </row>
    <row r="427" spans="1:26" s="2009" customFormat="1" ht="15" x14ac:dyDescent="0.2">
      <c r="A427" s="1635" t="s">
        <v>7795</v>
      </c>
      <c r="B427" s="1984" t="s">
        <v>4448</v>
      </c>
      <c r="C427" s="1984">
        <v>96995</v>
      </c>
      <c r="D427" s="1813" t="s">
        <v>8905</v>
      </c>
      <c r="E427" s="1638">
        <f>133.61+50.91</f>
        <v>184.52</v>
      </c>
      <c r="F427" s="1639" t="s">
        <v>5685</v>
      </c>
      <c r="G427" s="1648">
        <v>36.17</v>
      </c>
      <c r="H427" s="1636">
        <f>ROUND(G427*$B$13,2)</f>
        <v>9.74</v>
      </c>
      <c r="I427" s="1636">
        <f>H427+G427</f>
        <v>45.910000000000004</v>
      </c>
      <c r="J427" s="1723">
        <f>ROUND(I427*E427,2)</f>
        <v>8471.31</v>
      </c>
      <c r="K427" s="2007">
        <f>ROUND(G427*E427,2)</f>
        <v>6674.09</v>
      </c>
      <c r="L427" s="2007">
        <f>ROUND(H427*E427,2)</f>
        <v>1797.22</v>
      </c>
      <c r="M427" s="2016"/>
      <c r="N427" s="2016"/>
      <c r="O427" s="2016"/>
      <c r="P427" s="2016"/>
      <c r="Q427" s="2016"/>
      <c r="R427" s="2016"/>
      <c r="S427" s="2016"/>
      <c r="T427" s="2016"/>
      <c r="U427" s="2016"/>
      <c r="V427" s="2016"/>
      <c r="W427" s="2016"/>
      <c r="X427" s="2016"/>
      <c r="Y427" s="2016"/>
      <c r="Z427" s="2016">
        <f>J427</f>
        <v>8471.31</v>
      </c>
    </row>
    <row r="428" spans="1:26" s="2006" customFormat="1" ht="15" x14ac:dyDescent="0.2">
      <c r="A428" s="2133" t="s">
        <v>7796</v>
      </c>
      <c r="B428" s="2133"/>
      <c r="C428" s="2133"/>
      <c r="D428" s="2133"/>
      <c r="E428" s="2133"/>
      <c r="F428" s="2133"/>
      <c r="G428" s="2133"/>
      <c r="H428" s="2133"/>
      <c r="I428" s="2133"/>
      <c r="J428" s="1724">
        <f>SUM(J424:J427)</f>
        <v>22569.269999999997</v>
      </c>
      <c r="K428" s="2010"/>
      <c r="L428" s="2015"/>
      <c r="M428" s="1724">
        <f t="shared" ref="M428:Z428" si="269">SUM(M424:M427)</f>
        <v>0</v>
      </c>
      <c r="N428" s="1724">
        <f t="shared" si="269"/>
        <v>0</v>
      </c>
      <c r="O428" s="1724">
        <f t="shared" si="269"/>
        <v>0</v>
      </c>
      <c r="P428" s="1724">
        <f t="shared" si="269"/>
        <v>0</v>
      </c>
      <c r="Q428" s="1724">
        <f t="shared" si="269"/>
        <v>0</v>
      </c>
      <c r="R428" s="1724">
        <f t="shared" si="269"/>
        <v>0</v>
      </c>
      <c r="S428" s="1724">
        <f t="shared" si="269"/>
        <v>0</v>
      </c>
      <c r="T428" s="1724">
        <f t="shared" si="269"/>
        <v>0</v>
      </c>
      <c r="U428" s="1724">
        <f t="shared" si="269"/>
        <v>0</v>
      </c>
      <c r="V428" s="1724">
        <f t="shared" si="269"/>
        <v>0</v>
      </c>
      <c r="W428" s="1724">
        <f t="shared" si="269"/>
        <v>0</v>
      </c>
      <c r="X428" s="1724">
        <f t="shared" si="269"/>
        <v>0</v>
      </c>
      <c r="Y428" s="1724">
        <f t="shared" si="269"/>
        <v>0</v>
      </c>
      <c r="Z428" s="1724">
        <f t="shared" si="269"/>
        <v>22569.269999999997</v>
      </c>
    </row>
    <row r="429" spans="1:26" s="2006" customFormat="1" ht="15" x14ac:dyDescent="0.2">
      <c r="A429" s="52"/>
      <c r="B429" s="52"/>
      <c r="C429" s="52"/>
      <c r="D429" s="52"/>
      <c r="E429" s="1506"/>
      <c r="F429" s="52"/>
      <c r="G429" s="1649"/>
      <c r="H429" s="51"/>
      <c r="I429" s="51"/>
      <c r="J429" s="1725"/>
      <c r="K429" s="51"/>
      <c r="L429" s="2015"/>
      <c r="M429" s="2005"/>
      <c r="N429" s="2005"/>
      <c r="O429" s="2005"/>
      <c r="P429" s="2005"/>
      <c r="Q429" s="2005"/>
      <c r="R429" s="2005"/>
      <c r="S429" s="2005"/>
      <c r="T429" s="2005"/>
      <c r="U429" s="2005"/>
      <c r="V429" s="2005"/>
      <c r="W429" s="2005"/>
      <c r="X429" s="2005"/>
      <c r="Y429" s="2005"/>
      <c r="Z429" s="2005"/>
    </row>
    <row r="430" spans="1:26" s="2003" customFormat="1" ht="15" x14ac:dyDescent="0.2">
      <c r="A430" s="2132" t="s">
        <v>6132</v>
      </c>
      <c r="B430" s="2132"/>
      <c r="C430" s="2132"/>
      <c r="D430" s="2132"/>
      <c r="E430" s="2132"/>
      <c r="F430" s="2132"/>
      <c r="G430" s="2132"/>
      <c r="H430" s="2132"/>
      <c r="I430" s="2132"/>
      <c r="J430" s="1726">
        <f>J422+J359+J339+J428</f>
        <v>385047.47000000009</v>
      </c>
      <c r="K430" s="2011"/>
      <c r="L430" s="2015"/>
      <c r="M430" s="1726">
        <f t="shared" ref="M430:Z430" si="270">M422+M359+M339+M428</f>
        <v>0</v>
      </c>
      <c r="N430" s="1726">
        <f t="shared" si="270"/>
        <v>0</v>
      </c>
      <c r="O430" s="1726">
        <f t="shared" si="270"/>
        <v>0</v>
      </c>
      <c r="P430" s="1726">
        <f t="shared" si="270"/>
        <v>34111.945500000002</v>
      </c>
      <c r="Q430" s="1726">
        <f t="shared" si="270"/>
        <v>0</v>
      </c>
      <c r="R430" s="1726">
        <f t="shared" si="270"/>
        <v>0</v>
      </c>
      <c r="S430" s="1726">
        <f t="shared" si="270"/>
        <v>27438.916499999999</v>
      </c>
      <c r="T430" s="1726">
        <f t="shared" si="270"/>
        <v>27438.916499999999</v>
      </c>
      <c r="U430" s="1726">
        <f t="shared" si="270"/>
        <v>104471.711</v>
      </c>
      <c r="V430" s="1726">
        <f t="shared" si="270"/>
        <v>88073.851500000019</v>
      </c>
      <c r="W430" s="1726">
        <f t="shared" si="270"/>
        <v>80942.858999999968</v>
      </c>
      <c r="X430" s="1726">
        <f t="shared" si="270"/>
        <v>0</v>
      </c>
      <c r="Y430" s="1726">
        <f t="shared" si="270"/>
        <v>0</v>
      </c>
      <c r="Z430" s="1726">
        <f t="shared" si="270"/>
        <v>22569.269999999997</v>
      </c>
    </row>
    <row r="431" spans="1:26" s="2006" customFormat="1" ht="15" x14ac:dyDescent="0.2">
      <c r="A431" s="1635"/>
      <c r="B431" s="1984"/>
      <c r="C431" s="1984"/>
      <c r="D431" s="1813"/>
      <c r="E431" s="1638"/>
      <c r="F431" s="1639"/>
      <c r="G431" s="1650"/>
      <c r="H431" s="19"/>
      <c r="I431" s="19"/>
      <c r="J431" s="1727"/>
      <c r="K431" s="2012"/>
      <c r="L431" s="2015"/>
      <c r="M431" s="2013">
        <f>M430/$J$430</f>
        <v>0</v>
      </c>
      <c r="N431" s="2013">
        <f t="shared" ref="N431:Z431" si="271">N430/$J$430</f>
        <v>0</v>
      </c>
      <c r="O431" s="2013">
        <f t="shared" si="271"/>
        <v>0</v>
      </c>
      <c r="P431" s="2013">
        <f t="shared" si="271"/>
        <v>8.8591532623237323E-2</v>
      </c>
      <c r="Q431" s="2013">
        <f t="shared" si="271"/>
        <v>0</v>
      </c>
      <c r="R431" s="2013">
        <f t="shared" si="271"/>
        <v>0</v>
      </c>
      <c r="S431" s="2013">
        <f t="shared" si="271"/>
        <v>7.126112658265224E-2</v>
      </c>
      <c r="T431" s="2013">
        <f t="shared" si="271"/>
        <v>7.126112658265224E-2</v>
      </c>
      <c r="U431" s="2013">
        <f t="shared" si="271"/>
        <v>0.27132163990065944</v>
      </c>
      <c r="V431" s="2013">
        <f t="shared" si="271"/>
        <v>0.22873504791500124</v>
      </c>
      <c r="W431" s="2013">
        <f t="shared" si="271"/>
        <v>0.21021527293764572</v>
      </c>
      <c r="X431" s="2013">
        <f t="shared" si="271"/>
        <v>0</v>
      </c>
      <c r="Y431" s="2013">
        <f t="shared" si="271"/>
        <v>0</v>
      </c>
      <c r="Z431" s="2013">
        <f t="shared" si="271"/>
        <v>5.8614253458151515E-2</v>
      </c>
    </row>
    <row r="432" spans="1:26" s="2003" customFormat="1" ht="15" x14ac:dyDescent="0.2">
      <c r="A432" s="1988" t="s">
        <v>5</v>
      </c>
      <c r="B432" s="2135" t="s">
        <v>4864</v>
      </c>
      <c r="C432" s="2135"/>
      <c r="D432" s="2135"/>
      <c r="E432" s="2135"/>
      <c r="F432" s="2135"/>
      <c r="G432" s="2135"/>
      <c r="H432" s="2135"/>
      <c r="I432" s="2135"/>
      <c r="J432" s="2135"/>
      <c r="K432" s="1981"/>
      <c r="L432" s="2014"/>
      <c r="M432" s="2000"/>
      <c r="N432" s="2000"/>
      <c r="O432" s="2000"/>
      <c r="P432" s="2005"/>
      <c r="Q432" s="2005"/>
      <c r="R432" s="2005"/>
      <c r="S432" s="2005"/>
      <c r="T432" s="2005"/>
      <c r="U432" s="2005"/>
      <c r="V432" s="2005"/>
      <c r="W432" s="2005"/>
      <c r="X432" s="2005"/>
      <c r="Y432" s="2005"/>
      <c r="Z432" s="2005"/>
    </row>
    <row r="433" spans="1:26" s="2006" customFormat="1" ht="15" x14ac:dyDescent="0.2">
      <c r="A433" s="2004" t="s">
        <v>0</v>
      </c>
      <c r="B433" s="2131" t="s">
        <v>6715</v>
      </c>
      <c r="C433" s="2131"/>
      <c r="D433" s="2004" t="s">
        <v>1</v>
      </c>
      <c r="E433" s="1986" t="s">
        <v>131</v>
      </c>
      <c r="F433" s="1987" t="s">
        <v>11</v>
      </c>
      <c r="G433" s="1990" t="s">
        <v>12</v>
      </c>
      <c r="H433" s="1989" t="s">
        <v>5679</v>
      </c>
      <c r="I433" s="1989" t="s">
        <v>5680</v>
      </c>
      <c r="J433" s="1990" t="s">
        <v>130</v>
      </c>
      <c r="K433" s="1989"/>
      <c r="L433" s="2014"/>
      <c r="M433" s="2000"/>
      <c r="N433" s="2000"/>
      <c r="O433" s="2000"/>
      <c r="P433" s="2005"/>
      <c r="Q433" s="2005"/>
      <c r="R433" s="2005"/>
      <c r="S433" s="2005"/>
      <c r="T433" s="2005"/>
      <c r="U433" s="2005"/>
      <c r="V433" s="2005"/>
      <c r="W433" s="2005"/>
      <c r="X433" s="2005"/>
      <c r="Y433" s="2005"/>
      <c r="Z433" s="2005"/>
    </row>
    <row r="434" spans="1:26" s="2006" customFormat="1" ht="15" x14ac:dyDescent="0.2">
      <c r="A434" s="1513" t="s">
        <v>4865</v>
      </c>
      <c r="B434" s="2130" t="s">
        <v>5005</v>
      </c>
      <c r="C434" s="2130"/>
      <c r="D434" s="2130"/>
      <c r="E434" s="2130"/>
      <c r="F434" s="2130"/>
      <c r="G434" s="2130"/>
      <c r="H434" s="2130"/>
      <c r="I434" s="2130"/>
      <c r="J434" s="2130"/>
      <c r="K434" s="1980"/>
      <c r="L434" s="2015"/>
      <c r="M434" s="2005"/>
      <c r="N434" s="2005"/>
      <c r="O434" s="2005"/>
      <c r="P434" s="2005"/>
      <c r="Q434" s="2005"/>
      <c r="R434" s="2005"/>
      <c r="S434" s="2005"/>
      <c r="T434" s="2005"/>
      <c r="U434" s="2005"/>
      <c r="V434" s="2005"/>
      <c r="W434" s="2005"/>
      <c r="X434" s="2005"/>
      <c r="Y434" s="2005"/>
      <c r="Z434" s="2005"/>
    </row>
    <row r="435" spans="1:26" s="2009" customFormat="1" ht="15" x14ac:dyDescent="0.2">
      <c r="A435" s="1634" t="s">
        <v>7556</v>
      </c>
      <c r="B435" s="2136" t="s">
        <v>8306</v>
      </c>
      <c r="C435" s="2136"/>
      <c r="D435" s="2136"/>
      <c r="E435" s="2136"/>
      <c r="F435" s="2136"/>
      <c r="G435" s="2136"/>
      <c r="H435" s="2136"/>
      <c r="I435" s="2136"/>
      <c r="J435" s="2136"/>
      <c r="K435" s="2017"/>
      <c r="L435" s="2016"/>
      <c r="M435" s="2016"/>
      <c r="N435" s="2016"/>
      <c r="O435" s="2016"/>
      <c r="P435" s="2016"/>
      <c r="Q435" s="2016"/>
      <c r="R435" s="2016"/>
      <c r="S435" s="2016"/>
      <c r="T435" s="2016"/>
      <c r="U435" s="2016"/>
      <c r="V435" s="2016"/>
      <c r="W435" s="2016"/>
      <c r="X435" s="2016"/>
      <c r="Y435" s="2016"/>
      <c r="Z435" s="2016"/>
    </row>
    <row r="436" spans="1:26" s="2009" customFormat="1" ht="15" x14ac:dyDescent="0.2">
      <c r="A436" s="1635" t="s">
        <v>15089</v>
      </c>
      <c r="B436" s="1984" t="s">
        <v>5696</v>
      </c>
      <c r="C436" s="1984" t="s">
        <v>8310</v>
      </c>
      <c r="D436" s="1813" t="s">
        <v>8305</v>
      </c>
      <c r="E436" s="1638">
        <v>3</v>
      </c>
      <c r="F436" s="1639" t="s">
        <v>5284</v>
      </c>
      <c r="G436" s="1636">
        <v>191.88</v>
      </c>
      <c r="H436" s="1636">
        <f>ROUND(G436*$B$13,2)</f>
        <v>51.67</v>
      </c>
      <c r="I436" s="1636">
        <f t="shared" ref="I436:I439" si="272">H436+G436</f>
        <v>243.55</v>
      </c>
      <c r="J436" s="1723">
        <f t="shared" ref="J436:J439" si="273">ROUND(I436*E436,2)</f>
        <v>730.65</v>
      </c>
      <c r="K436" s="2007">
        <f>ROUND(G436*E436,2)</f>
        <v>575.64</v>
      </c>
      <c r="L436" s="2007">
        <f>ROUND(H436*E436,2)</f>
        <v>155.01</v>
      </c>
      <c r="M436" s="2016"/>
      <c r="N436" s="2016"/>
      <c r="O436" s="2016"/>
      <c r="P436" s="2016"/>
      <c r="Q436" s="2016"/>
      <c r="R436" s="2016"/>
      <c r="S436" s="2016"/>
      <c r="T436" s="2016">
        <f t="shared" ref="T436:T439" si="274">0.05*J436</f>
        <v>36.532499999999999</v>
      </c>
      <c r="U436" s="2016"/>
      <c r="V436" s="2016">
        <f t="shared" ref="V436:V439" si="275">0.1*J436</f>
        <v>73.064999999999998</v>
      </c>
      <c r="W436" s="2016">
        <f t="shared" ref="W436:W439" si="276">0.15*J436</f>
        <v>109.5975</v>
      </c>
      <c r="X436" s="2016">
        <f t="shared" ref="X436:X439" si="277">0.2*J436</f>
        <v>146.13</v>
      </c>
      <c r="Y436" s="2016">
        <f t="shared" ref="Y436:Y439" si="278">0.3*J436</f>
        <v>219.19499999999999</v>
      </c>
      <c r="Z436" s="2016">
        <f t="shared" ref="Z436:Z439" si="279">0.2*J436</f>
        <v>146.13</v>
      </c>
    </row>
    <row r="437" spans="1:26" s="2009" customFormat="1" ht="75" x14ac:dyDescent="0.2">
      <c r="A437" s="1635" t="s">
        <v>9012</v>
      </c>
      <c r="B437" s="1984" t="s">
        <v>5696</v>
      </c>
      <c r="C437" s="1984" t="s">
        <v>9015</v>
      </c>
      <c r="D437" s="1813" t="s">
        <v>9010</v>
      </c>
      <c r="E437" s="1638">
        <v>1</v>
      </c>
      <c r="F437" s="1639" t="s">
        <v>5284</v>
      </c>
      <c r="G437" s="1636">
        <v>40373.61</v>
      </c>
      <c r="H437" s="1636">
        <f>ROUND(G437*$B$14,2)</f>
        <v>8450.2000000000007</v>
      </c>
      <c r="I437" s="1636">
        <f t="shared" ref="I437" si="280">H437+G437</f>
        <v>48823.81</v>
      </c>
      <c r="J437" s="1723">
        <f t="shared" ref="J437" si="281">ROUND(I437*E437,2)</f>
        <v>48823.81</v>
      </c>
      <c r="K437" s="2007">
        <f>ROUND(G437*E437,2)</f>
        <v>40373.61</v>
      </c>
      <c r="L437" s="2007">
        <f>ROUND(H437*E437,2)</f>
        <v>8450.2000000000007</v>
      </c>
      <c r="M437" s="2016"/>
      <c r="N437" s="2016"/>
      <c r="O437" s="2016"/>
      <c r="P437" s="2016"/>
      <c r="Q437" s="2016"/>
      <c r="R437" s="2016"/>
      <c r="S437" s="2016"/>
      <c r="T437" s="2016">
        <f t="shared" ref="T437" si="282">0.05*J437</f>
        <v>2441.1905000000002</v>
      </c>
      <c r="U437" s="2016"/>
      <c r="V437" s="2016">
        <f t="shared" ref="V437" si="283">0.1*J437</f>
        <v>4882.3810000000003</v>
      </c>
      <c r="W437" s="2016">
        <f t="shared" ref="W437" si="284">0.15*J437</f>
        <v>7323.5714999999991</v>
      </c>
      <c r="X437" s="2016">
        <f t="shared" ref="X437" si="285">0.2*J437</f>
        <v>9764.7620000000006</v>
      </c>
      <c r="Y437" s="2016">
        <f t="shared" ref="Y437" si="286">0.3*J437</f>
        <v>14647.142999999998</v>
      </c>
      <c r="Z437" s="2016">
        <f t="shared" ref="Z437" si="287">0.2*J437</f>
        <v>9764.7620000000006</v>
      </c>
    </row>
    <row r="438" spans="1:26" s="2009" customFormat="1" ht="75" x14ac:dyDescent="0.2">
      <c r="A438" s="1635" t="s">
        <v>9013</v>
      </c>
      <c r="B438" s="1984" t="s">
        <v>5696</v>
      </c>
      <c r="C438" s="1984" t="s">
        <v>9014</v>
      </c>
      <c r="D438" s="1813" t="s">
        <v>9011</v>
      </c>
      <c r="E438" s="1638">
        <v>1</v>
      </c>
      <c r="F438" s="1639" t="s">
        <v>5284</v>
      </c>
      <c r="G438" s="1636">
        <v>1137.1399999999999</v>
      </c>
      <c r="H438" s="1636">
        <f>ROUND(G438*$B$13,2)</f>
        <v>306.23</v>
      </c>
      <c r="I438" s="1636">
        <f t="shared" ref="I438" si="288">H438+G438</f>
        <v>1443.37</v>
      </c>
      <c r="J438" s="1723">
        <f t="shared" ref="J438" si="289">ROUND(I438*E438,2)</f>
        <v>1443.37</v>
      </c>
      <c r="K438" s="2007">
        <f>ROUND(G438*E438,2)</f>
        <v>1137.1400000000001</v>
      </c>
      <c r="L438" s="2007">
        <f>ROUND(H438*E438,2)</f>
        <v>306.23</v>
      </c>
      <c r="M438" s="2016"/>
      <c r="N438" s="2016"/>
      <c r="O438" s="2016"/>
      <c r="P438" s="2016"/>
      <c r="Q438" s="2016"/>
      <c r="R438" s="2016"/>
      <c r="S438" s="2016"/>
      <c r="T438" s="2016">
        <f t="shared" ref="T438" si="290">0.05*J438</f>
        <v>72.168499999999995</v>
      </c>
      <c r="U438" s="2016"/>
      <c r="V438" s="2016">
        <f t="shared" ref="V438" si="291">0.1*J438</f>
        <v>144.33699999999999</v>
      </c>
      <c r="W438" s="2016">
        <f t="shared" ref="W438" si="292">0.15*J438</f>
        <v>216.50549999999998</v>
      </c>
      <c r="X438" s="2016">
        <f t="shared" ref="X438" si="293">0.2*J438</f>
        <v>288.67399999999998</v>
      </c>
      <c r="Y438" s="2016">
        <f t="shared" ref="Y438" si="294">0.3*J438</f>
        <v>433.01099999999997</v>
      </c>
      <c r="Z438" s="2016">
        <f t="shared" ref="Z438" si="295">0.2*J438</f>
        <v>288.67399999999998</v>
      </c>
    </row>
    <row r="439" spans="1:26" s="2009" customFormat="1" ht="45" x14ac:dyDescent="0.2">
      <c r="A439" s="1635" t="s">
        <v>8309</v>
      </c>
      <c r="B439" s="1984" t="s">
        <v>5281</v>
      </c>
      <c r="C439" s="1984" t="s">
        <v>8315</v>
      </c>
      <c r="D439" s="1813" t="s">
        <v>8304</v>
      </c>
      <c r="E439" s="1638">
        <v>3.81</v>
      </c>
      <c r="F439" s="1639" t="s">
        <v>5688</v>
      </c>
      <c r="G439" s="1636">
        <v>111.61000000000001</v>
      </c>
      <c r="H439" s="1636">
        <f>ROUND(G439*$B$13,2)</f>
        <v>30.06</v>
      </c>
      <c r="I439" s="1636">
        <f t="shared" si="272"/>
        <v>141.67000000000002</v>
      </c>
      <c r="J439" s="1723">
        <f t="shared" si="273"/>
        <v>539.76</v>
      </c>
      <c r="K439" s="2007">
        <f>ROUND(G439*E439,2)</f>
        <v>425.23</v>
      </c>
      <c r="L439" s="2007">
        <f>ROUND(H439*E439,2)</f>
        <v>114.53</v>
      </c>
      <c r="M439" s="2016"/>
      <c r="N439" s="2016"/>
      <c r="O439" s="2016"/>
      <c r="P439" s="2016"/>
      <c r="Q439" s="2016"/>
      <c r="R439" s="2016"/>
      <c r="S439" s="2016"/>
      <c r="T439" s="2016">
        <f t="shared" si="274"/>
        <v>26.988</v>
      </c>
      <c r="U439" s="2016"/>
      <c r="V439" s="2016">
        <f t="shared" si="275"/>
        <v>53.975999999999999</v>
      </c>
      <c r="W439" s="2016">
        <f t="shared" si="276"/>
        <v>80.963999999999999</v>
      </c>
      <c r="X439" s="2016">
        <f t="shared" si="277"/>
        <v>107.952</v>
      </c>
      <c r="Y439" s="2016">
        <f t="shared" si="278"/>
        <v>161.928</v>
      </c>
      <c r="Z439" s="2016">
        <f t="shared" si="279"/>
        <v>107.952</v>
      </c>
    </row>
    <row r="440" spans="1:26" s="2009" customFormat="1" ht="15" x14ac:dyDescent="0.2">
      <c r="A440" s="1634" t="s">
        <v>9020</v>
      </c>
      <c r="B440" s="2136" t="s">
        <v>9024</v>
      </c>
      <c r="C440" s="2136"/>
      <c r="D440" s="2136"/>
      <c r="E440" s="2136"/>
      <c r="F440" s="2136"/>
      <c r="G440" s="2136"/>
      <c r="H440" s="2136"/>
      <c r="I440" s="2136"/>
      <c r="J440" s="2136"/>
      <c r="K440" s="1983"/>
      <c r="L440" s="2018"/>
      <c r="M440" s="2016"/>
      <c r="N440" s="2016"/>
      <c r="O440" s="2016"/>
      <c r="P440" s="2016"/>
      <c r="Q440" s="2016"/>
      <c r="R440" s="2016"/>
      <c r="S440" s="2016"/>
      <c r="T440" s="2016"/>
      <c r="U440" s="2016"/>
      <c r="V440" s="2016"/>
      <c r="W440" s="2016"/>
      <c r="X440" s="2016"/>
      <c r="Y440" s="2016"/>
      <c r="Z440" s="2016"/>
    </row>
    <row r="441" spans="1:26" s="2009" customFormat="1" ht="60" x14ac:dyDescent="0.2">
      <c r="A441" s="1635" t="s">
        <v>9021</v>
      </c>
      <c r="B441" s="1984" t="s">
        <v>5281</v>
      </c>
      <c r="C441" s="1984" t="s">
        <v>9016</v>
      </c>
      <c r="D441" s="1813" t="s">
        <v>9018</v>
      </c>
      <c r="E441" s="1638">
        <v>1</v>
      </c>
      <c r="F441" s="1639" t="s">
        <v>5284</v>
      </c>
      <c r="G441" s="1636">
        <v>4354.46</v>
      </c>
      <c r="H441" s="1636">
        <f t="shared" ref="H441" si="296">ROUND(G441*$B$13,2)</f>
        <v>1172.6600000000001</v>
      </c>
      <c r="I441" s="1636">
        <f t="shared" ref="I441" si="297">H441+G441</f>
        <v>5527.12</v>
      </c>
      <c r="J441" s="1723">
        <f t="shared" ref="J441" si="298">ROUND(I441*E441,2)</f>
        <v>5527.12</v>
      </c>
      <c r="K441" s="2017">
        <f>ROUND(G441*E441,2)</f>
        <v>4354.46</v>
      </c>
      <c r="L441" s="2016">
        <f>ROUND(H441*E441,2)</f>
        <v>1172.6600000000001</v>
      </c>
      <c r="M441" s="2016"/>
      <c r="N441" s="2016"/>
      <c r="O441" s="2016"/>
      <c r="P441" s="2016"/>
      <c r="Q441" s="2016"/>
      <c r="R441" s="2016"/>
      <c r="S441" s="2016"/>
      <c r="T441" s="2016">
        <f t="shared" ref="T441" si="299">0.05*J441</f>
        <v>276.35599999999999</v>
      </c>
      <c r="U441" s="2016"/>
      <c r="V441" s="2016">
        <f t="shared" ref="V441" si="300">0.1*J441</f>
        <v>552.71199999999999</v>
      </c>
      <c r="W441" s="2016">
        <f t="shared" ref="W441" si="301">0.15*J441</f>
        <v>829.06799999999998</v>
      </c>
      <c r="X441" s="2016">
        <f t="shared" ref="X441" si="302">0.2*J441</f>
        <v>1105.424</v>
      </c>
      <c r="Y441" s="2016">
        <f t="shared" ref="Y441" si="303">0.3*J441</f>
        <v>1658.136</v>
      </c>
      <c r="Z441" s="2016">
        <f t="shared" ref="Z441" si="304">0.2*J441</f>
        <v>1105.424</v>
      </c>
    </row>
    <row r="442" spans="1:26" s="2009" customFormat="1" ht="15" x14ac:dyDescent="0.2">
      <c r="A442" s="1635" t="s">
        <v>9022</v>
      </c>
      <c r="B442" s="1984" t="s">
        <v>4448</v>
      </c>
      <c r="C442" s="1984">
        <v>97669</v>
      </c>
      <c r="D442" s="1813" t="s">
        <v>9019</v>
      </c>
      <c r="E442" s="1638">
        <v>247.64</v>
      </c>
      <c r="F442" s="1639" t="s">
        <v>5713</v>
      </c>
      <c r="G442" s="1636">
        <v>15.14</v>
      </c>
      <c r="H442" s="1636">
        <f t="shared" ref="H442:H454" si="305">ROUND(G442*$B$13,2)</f>
        <v>4.08</v>
      </c>
      <c r="I442" s="1636">
        <f t="shared" ref="I442:I449" si="306">H442+G442</f>
        <v>19.22</v>
      </c>
      <c r="J442" s="1723">
        <f t="shared" ref="J442:J449" si="307">ROUND(I442*E442,2)</f>
        <v>4759.6400000000003</v>
      </c>
      <c r="K442" s="2007">
        <f>ROUND(G442*E442,2)</f>
        <v>3749.27</v>
      </c>
      <c r="L442" s="2007">
        <f>ROUND(H442*E442,2)</f>
        <v>1010.37</v>
      </c>
      <c r="M442" s="2016"/>
      <c r="N442" s="2016"/>
      <c r="O442" s="2016"/>
      <c r="P442" s="2016"/>
      <c r="Q442" s="2016"/>
      <c r="R442" s="2016"/>
      <c r="S442" s="2016"/>
      <c r="T442" s="2016">
        <f t="shared" ref="T442:T449" si="308">0.05*J442</f>
        <v>237.98200000000003</v>
      </c>
      <c r="U442" s="2016"/>
      <c r="V442" s="2016">
        <f t="shared" ref="V442:V449" si="309">0.1*J442</f>
        <v>475.96400000000006</v>
      </c>
      <c r="W442" s="2016">
        <f t="shared" ref="W442:W449" si="310">0.15*J442</f>
        <v>713.94600000000003</v>
      </c>
      <c r="X442" s="2016">
        <f t="shared" ref="X442:X449" si="311">0.2*J442</f>
        <v>951.92800000000011</v>
      </c>
      <c r="Y442" s="2016">
        <f t="shared" ref="Y442:Y449" si="312">0.3*J442</f>
        <v>1427.8920000000001</v>
      </c>
      <c r="Z442" s="2016">
        <f t="shared" ref="Z442:Z449" si="313">0.2*J442</f>
        <v>951.92800000000011</v>
      </c>
    </row>
    <row r="443" spans="1:26" s="2009" customFormat="1" ht="45" x14ac:dyDescent="0.2">
      <c r="A443" s="1635" t="s">
        <v>9028</v>
      </c>
      <c r="B443" s="1984" t="s">
        <v>5281</v>
      </c>
      <c r="C443" s="1984" t="s">
        <v>9026</v>
      </c>
      <c r="D443" s="1813" t="s">
        <v>9025</v>
      </c>
      <c r="E443" s="1638">
        <v>502.74</v>
      </c>
      <c r="F443" s="1639" t="s">
        <v>5713</v>
      </c>
      <c r="G443" s="1636">
        <v>9.6</v>
      </c>
      <c r="H443" s="1636">
        <f t="shared" si="305"/>
        <v>2.59</v>
      </c>
      <c r="I443" s="1636">
        <f t="shared" si="306"/>
        <v>12.19</v>
      </c>
      <c r="J443" s="1723">
        <f t="shared" si="307"/>
        <v>6128.4</v>
      </c>
      <c r="K443" s="2007">
        <f>ROUND(G443*E443,2)</f>
        <v>4826.3</v>
      </c>
      <c r="L443" s="2007">
        <f>ROUND(H443*E443,2)</f>
        <v>1302.0999999999999</v>
      </c>
      <c r="M443" s="2016"/>
      <c r="N443" s="2016"/>
      <c r="O443" s="2016"/>
      <c r="P443" s="2016"/>
      <c r="Q443" s="2016"/>
      <c r="R443" s="2016"/>
      <c r="S443" s="2016"/>
      <c r="T443" s="2016">
        <f t="shared" si="308"/>
        <v>306.42</v>
      </c>
      <c r="U443" s="2016"/>
      <c r="V443" s="2016">
        <f t="shared" si="309"/>
        <v>612.84</v>
      </c>
      <c r="W443" s="2016">
        <f t="shared" si="310"/>
        <v>919.25999999999988</v>
      </c>
      <c r="X443" s="2016">
        <f t="shared" si="311"/>
        <v>1225.68</v>
      </c>
      <c r="Y443" s="2016">
        <f t="shared" si="312"/>
        <v>1838.5199999999998</v>
      </c>
      <c r="Z443" s="2016">
        <f t="shared" si="313"/>
        <v>1225.68</v>
      </c>
    </row>
    <row r="444" spans="1:26" s="2009" customFormat="1" ht="30" x14ac:dyDescent="0.2">
      <c r="A444" s="1635" t="s">
        <v>9029</v>
      </c>
      <c r="B444" s="1984" t="s">
        <v>5281</v>
      </c>
      <c r="C444" s="1984" t="s">
        <v>9036</v>
      </c>
      <c r="D444" s="1813" t="s">
        <v>9034</v>
      </c>
      <c r="E444" s="1638">
        <v>65.760000000000005</v>
      </c>
      <c r="F444" s="1639" t="s">
        <v>5688</v>
      </c>
      <c r="G444" s="1636">
        <v>11.72</v>
      </c>
      <c r="H444" s="1636">
        <f t="shared" si="305"/>
        <v>3.16</v>
      </c>
      <c r="I444" s="1636">
        <f t="shared" ref="I444" si="314">H444+G444</f>
        <v>14.88</v>
      </c>
      <c r="J444" s="1723">
        <f t="shared" ref="J444" si="315">ROUND(I444*E444,2)</f>
        <v>978.51</v>
      </c>
      <c r="K444" s="2007">
        <f>ROUND(G444*E444,2)</f>
        <v>770.71</v>
      </c>
      <c r="L444" s="2007">
        <f>ROUND(H444*E444,2)</f>
        <v>207.8</v>
      </c>
      <c r="M444" s="2016"/>
      <c r="N444" s="2016"/>
      <c r="O444" s="2016"/>
      <c r="P444" s="2016"/>
      <c r="Q444" s="2016"/>
      <c r="R444" s="2016"/>
      <c r="S444" s="2016"/>
      <c r="T444" s="2016">
        <f t="shared" ref="T444" si="316">0.05*J444</f>
        <v>48.9255</v>
      </c>
      <c r="U444" s="2016"/>
      <c r="V444" s="2016">
        <f t="shared" ref="V444" si="317">0.1*J444</f>
        <v>97.850999999999999</v>
      </c>
      <c r="W444" s="2016">
        <f t="shared" ref="W444" si="318">0.15*J444</f>
        <v>146.7765</v>
      </c>
      <c r="X444" s="2016">
        <f t="shared" ref="X444" si="319">0.2*J444</f>
        <v>195.702</v>
      </c>
      <c r="Y444" s="2016">
        <f t="shared" ref="Y444" si="320">0.3*J444</f>
        <v>293.553</v>
      </c>
      <c r="Z444" s="2016">
        <f t="shared" ref="Z444" si="321">0.2*J444</f>
        <v>195.702</v>
      </c>
    </row>
    <row r="445" spans="1:26" s="2009" customFormat="1" ht="60" x14ac:dyDescent="0.2">
      <c r="A445" s="1635" t="s">
        <v>9033</v>
      </c>
      <c r="B445" s="1984" t="s">
        <v>8562</v>
      </c>
      <c r="C445" s="1984" t="s">
        <v>9030</v>
      </c>
      <c r="D445" s="1813" t="s">
        <v>9031</v>
      </c>
      <c r="E445" s="1638">
        <v>7</v>
      </c>
      <c r="F445" s="1639" t="s">
        <v>9032</v>
      </c>
      <c r="G445" s="1636">
        <v>252.36</v>
      </c>
      <c r="H445" s="1636">
        <f t="shared" si="305"/>
        <v>67.959999999999994</v>
      </c>
      <c r="I445" s="1636">
        <f t="shared" si="306"/>
        <v>320.32</v>
      </c>
      <c r="J445" s="1723">
        <f t="shared" si="307"/>
        <v>2242.2399999999998</v>
      </c>
      <c r="K445" s="2007">
        <f t="shared" ref="K445:K456" si="322">ROUND(G445*E445,2)</f>
        <v>1766.52</v>
      </c>
      <c r="L445" s="2007">
        <f t="shared" ref="L445:L456" si="323">ROUND(H445*E445,2)</f>
        <v>475.72</v>
      </c>
      <c r="M445" s="2016"/>
      <c r="N445" s="2016"/>
      <c r="O445" s="2016"/>
      <c r="P445" s="2016"/>
      <c r="Q445" s="2016"/>
      <c r="R445" s="2016"/>
      <c r="S445" s="2016"/>
      <c r="T445" s="2016">
        <f t="shared" si="308"/>
        <v>112.11199999999999</v>
      </c>
      <c r="U445" s="2016"/>
      <c r="V445" s="2016">
        <f t="shared" si="309"/>
        <v>224.22399999999999</v>
      </c>
      <c r="W445" s="2016">
        <f t="shared" si="310"/>
        <v>336.33599999999996</v>
      </c>
      <c r="X445" s="2016">
        <f t="shared" si="311"/>
        <v>448.44799999999998</v>
      </c>
      <c r="Y445" s="2016">
        <f t="shared" si="312"/>
        <v>672.67199999999991</v>
      </c>
      <c r="Z445" s="2016">
        <f t="shared" si="313"/>
        <v>448.44799999999998</v>
      </c>
    </row>
    <row r="446" spans="1:26" s="2009" customFormat="1" ht="45" x14ac:dyDescent="0.2">
      <c r="A446" s="1635" t="s">
        <v>9038</v>
      </c>
      <c r="B446" s="1984" t="s">
        <v>5281</v>
      </c>
      <c r="C446" s="1984" t="s">
        <v>9039</v>
      </c>
      <c r="D446" s="1813" t="s">
        <v>9037</v>
      </c>
      <c r="E446" s="1638">
        <v>101.54</v>
      </c>
      <c r="F446" s="1639" t="s">
        <v>5713</v>
      </c>
      <c r="G446" s="1636">
        <v>16.5</v>
      </c>
      <c r="H446" s="1636">
        <f t="shared" si="305"/>
        <v>4.4400000000000004</v>
      </c>
      <c r="I446" s="1636">
        <f t="shared" si="306"/>
        <v>20.94</v>
      </c>
      <c r="J446" s="1723">
        <f t="shared" si="307"/>
        <v>2126.25</v>
      </c>
      <c r="K446" s="2007">
        <f t="shared" si="322"/>
        <v>1675.41</v>
      </c>
      <c r="L446" s="2007">
        <f t="shared" si="323"/>
        <v>450.84</v>
      </c>
      <c r="M446" s="2016"/>
      <c r="N446" s="2016"/>
      <c r="O446" s="2016"/>
      <c r="P446" s="2016"/>
      <c r="Q446" s="2016"/>
      <c r="R446" s="2016"/>
      <c r="S446" s="2016"/>
      <c r="T446" s="2016">
        <f t="shared" si="308"/>
        <v>106.3125</v>
      </c>
      <c r="U446" s="2016"/>
      <c r="V446" s="2016">
        <f t="shared" si="309"/>
        <v>212.625</v>
      </c>
      <c r="W446" s="2016">
        <f t="shared" si="310"/>
        <v>318.9375</v>
      </c>
      <c r="X446" s="2016">
        <f t="shared" si="311"/>
        <v>425.25</v>
      </c>
      <c r="Y446" s="2016">
        <f t="shared" si="312"/>
        <v>637.875</v>
      </c>
      <c r="Z446" s="2016">
        <f t="shared" si="313"/>
        <v>425.25</v>
      </c>
    </row>
    <row r="447" spans="1:26" s="2009" customFormat="1" ht="60" x14ac:dyDescent="0.2">
      <c r="A447" s="1635" t="s">
        <v>9041</v>
      </c>
      <c r="B447" s="1984" t="s">
        <v>8562</v>
      </c>
      <c r="C447" s="1984" t="s">
        <v>14980</v>
      </c>
      <c r="D447" s="1813" t="s">
        <v>14981</v>
      </c>
      <c r="E447" s="1638">
        <v>4</v>
      </c>
      <c r="F447" s="1639" t="s">
        <v>9032</v>
      </c>
      <c r="G447" s="1636">
        <v>210.3</v>
      </c>
      <c r="H447" s="1636">
        <f t="shared" si="305"/>
        <v>56.63</v>
      </c>
      <c r="I447" s="1636">
        <f t="shared" si="306"/>
        <v>266.93</v>
      </c>
      <c r="J447" s="1723">
        <f t="shared" si="307"/>
        <v>1067.72</v>
      </c>
      <c r="K447" s="2007">
        <f t="shared" si="322"/>
        <v>841.2</v>
      </c>
      <c r="L447" s="2007">
        <f t="shared" si="323"/>
        <v>226.52</v>
      </c>
      <c r="M447" s="2016"/>
      <c r="N447" s="2016"/>
      <c r="O447" s="2016"/>
      <c r="P447" s="2016"/>
      <c r="Q447" s="2016"/>
      <c r="R447" s="2016"/>
      <c r="S447" s="2016"/>
      <c r="T447" s="2016">
        <f t="shared" si="308"/>
        <v>53.386000000000003</v>
      </c>
      <c r="U447" s="2016"/>
      <c r="V447" s="2016">
        <f t="shared" si="309"/>
        <v>106.77200000000001</v>
      </c>
      <c r="W447" s="2016">
        <f t="shared" si="310"/>
        <v>160.15799999999999</v>
      </c>
      <c r="X447" s="2016">
        <f t="shared" si="311"/>
        <v>213.54400000000001</v>
      </c>
      <c r="Y447" s="2016">
        <f t="shared" si="312"/>
        <v>320.31599999999997</v>
      </c>
      <c r="Z447" s="2016">
        <f t="shared" si="313"/>
        <v>213.54400000000001</v>
      </c>
    </row>
    <row r="448" spans="1:26" s="2009" customFormat="1" ht="30" x14ac:dyDescent="0.2">
      <c r="A448" s="1635" t="s">
        <v>9042</v>
      </c>
      <c r="B448" s="1984" t="s">
        <v>5281</v>
      </c>
      <c r="C448" s="1984" t="s">
        <v>9043</v>
      </c>
      <c r="D448" s="1813" t="s">
        <v>9044</v>
      </c>
      <c r="E448" s="1638">
        <v>7.22</v>
      </c>
      <c r="F448" s="1639" t="s">
        <v>5688</v>
      </c>
      <c r="G448" s="1636">
        <v>6.45</v>
      </c>
      <c r="H448" s="1636">
        <f t="shared" si="305"/>
        <v>1.74</v>
      </c>
      <c r="I448" s="1636">
        <f t="shared" si="306"/>
        <v>8.19</v>
      </c>
      <c r="J448" s="1723">
        <f t="shared" si="307"/>
        <v>59.13</v>
      </c>
      <c r="K448" s="2007">
        <f t="shared" si="322"/>
        <v>46.57</v>
      </c>
      <c r="L448" s="2007">
        <f t="shared" si="323"/>
        <v>12.56</v>
      </c>
      <c r="M448" s="2016"/>
      <c r="N448" s="2016"/>
      <c r="O448" s="2016"/>
      <c r="P448" s="2016"/>
      <c r="Q448" s="2016"/>
      <c r="R448" s="2016"/>
      <c r="S448" s="2016"/>
      <c r="T448" s="2016">
        <f t="shared" si="308"/>
        <v>2.9565000000000001</v>
      </c>
      <c r="U448" s="2016"/>
      <c r="V448" s="2016">
        <f t="shared" si="309"/>
        <v>5.9130000000000003</v>
      </c>
      <c r="W448" s="2016">
        <f t="shared" si="310"/>
        <v>8.8695000000000004</v>
      </c>
      <c r="X448" s="2016">
        <f t="shared" si="311"/>
        <v>11.826000000000001</v>
      </c>
      <c r="Y448" s="2016">
        <f t="shared" si="312"/>
        <v>17.739000000000001</v>
      </c>
      <c r="Z448" s="2016">
        <f t="shared" si="313"/>
        <v>11.826000000000001</v>
      </c>
    </row>
    <row r="449" spans="1:26" s="2009" customFormat="1" ht="45" x14ac:dyDescent="0.2">
      <c r="A449" s="1635" t="s">
        <v>15090</v>
      </c>
      <c r="B449" s="1984" t="s">
        <v>5696</v>
      </c>
      <c r="C449" s="1984" t="s">
        <v>9047</v>
      </c>
      <c r="D449" s="1813" t="s">
        <v>9048</v>
      </c>
      <c r="E449" s="1638">
        <f>1095.2+168</f>
        <v>1263.2</v>
      </c>
      <c r="F449" s="1639" t="s">
        <v>5713</v>
      </c>
      <c r="G449" s="1648">
        <v>71.69</v>
      </c>
      <c r="H449" s="1636">
        <f t="shared" si="305"/>
        <v>19.309999999999999</v>
      </c>
      <c r="I449" s="1636">
        <f t="shared" si="306"/>
        <v>91</v>
      </c>
      <c r="J449" s="1723">
        <f t="shared" si="307"/>
        <v>114951.2</v>
      </c>
      <c r="K449" s="2007">
        <f t="shared" si="322"/>
        <v>90558.81</v>
      </c>
      <c r="L449" s="2007">
        <f t="shared" si="323"/>
        <v>24392.39</v>
      </c>
      <c r="M449" s="2016"/>
      <c r="N449" s="2016"/>
      <c r="O449" s="2016"/>
      <c r="P449" s="2016"/>
      <c r="Q449" s="2016"/>
      <c r="R449" s="2016"/>
      <c r="S449" s="2016"/>
      <c r="T449" s="2016">
        <f t="shared" si="308"/>
        <v>5747.56</v>
      </c>
      <c r="U449" s="2016"/>
      <c r="V449" s="2016">
        <f t="shared" si="309"/>
        <v>11495.12</v>
      </c>
      <c r="W449" s="2016">
        <f t="shared" si="310"/>
        <v>17242.68</v>
      </c>
      <c r="X449" s="2016">
        <f t="shared" si="311"/>
        <v>22990.240000000002</v>
      </c>
      <c r="Y449" s="2016">
        <f t="shared" si="312"/>
        <v>34485.360000000001</v>
      </c>
      <c r="Z449" s="2016">
        <f t="shared" si="313"/>
        <v>22990.240000000002</v>
      </c>
    </row>
    <row r="450" spans="1:26" s="2009" customFormat="1" ht="45" x14ac:dyDescent="0.2">
      <c r="A450" s="1635" t="s">
        <v>9051</v>
      </c>
      <c r="B450" s="1984" t="s">
        <v>4448</v>
      </c>
      <c r="C450" s="1984">
        <v>96975</v>
      </c>
      <c r="D450" s="1813" t="s">
        <v>9052</v>
      </c>
      <c r="E450" s="1638">
        <f>273.8+42</f>
        <v>315.8</v>
      </c>
      <c r="F450" s="1639" t="s">
        <v>5713</v>
      </c>
      <c r="G450" s="1648">
        <v>61.37</v>
      </c>
      <c r="H450" s="1636">
        <f t="shared" si="305"/>
        <v>16.53</v>
      </c>
      <c r="I450" s="1636">
        <f t="shared" ref="I450:I451" si="324">H450+G450</f>
        <v>77.900000000000006</v>
      </c>
      <c r="J450" s="1723">
        <f t="shared" ref="J450:J451" si="325">ROUND(I450*E450,2)</f>
        <v>24600.82</v>
      </c>
      <c r="K450" s="2007">
        <f t="shared" si="322"/>
        <v>19380.650000000001</v>
      </c>
      <c r="L450" s="2007">
        <f t="shared" si="323"/>
        <v>5220.17</v>
      </c>
      <c r="M450" s="2016"/>
      <c r="N450" s="2016"/>
      <c r="O450" s="2016"/>
      <c r="P450" s="2016"/>
      <c r="Q450" s="2016"/>
      <c r="R450" s="2016"/>
      <c r="S450" s="2016"/>
      <c r="T450" s="2016">
        <f t="shared" ref="T450:T451" si="326">0.05*J450</f>
        <v>1230.0410000000002</v>
      </c>
      <c r="U450" s="2016"/>
      <c r="V450" s="2016">
        <f t="shared" ref="V450:V451" si="327">0.1*J450</f>
        <v>2460.0820000000003</v>
      </c>
      <c r="W450" s="2016">
        <f t="shared" ref="W450:W451" si="328">0.15*J450</f>
        <v>3690.1229999999996</v>
      </c>
      <c r="X450" s="2016">
        <f t="shared" ref="X450:X451" si="329">0.2*J450</f>
        <v>4920.1640000000007</v>
      </c>
      <c r="Y450" s="2016">
        <f t="shared" ref="Y450:Y451" si="330">0.3*J450</f>
        <v>7380.2459999999992</v>
      </c>
      <c r="Z450" s="2016">
        <f t="shared" ref="Z450:Z451" si="331">0.2*J450</f>
        <v>4920.1640000000007</v>
      </c>
    </row>
    <row r="451" spans="1:26" s="2009" customFormat="1" ht="15" x14ac:dyDescent="0.2">
      <c r="A451" s="1635" t="s">
        <v>9054</v>
      </c>
      <c r="B451" s="1984" t="s">
        <v>4448</v>
      </c>
      <c r="C451" s="1984">
        <v>97889</v>
      </c>
      <c r="D451" s="1813" t="s">
        <v>9055</v>
      </c>
      <c r="E451" s="1638">
        <v>3</v>
      </c>
      <c r="F451" s="1639" t="s">
        <v>5284</v>
      </c>
      <c r="G451" s="1648">
        <v>501.88</v>
      </c>
      <c r="H451" s="1636">
        <f t="shared" si="305"/>
        <v>135.16</v>
      </c>
      <c r="I451" s="1636">
        <f t="shared" si="324"/>
        <v>637.04</v>
      </c>
      <c r="J451" s="1723">
        <f t="shared" si="325"/>
        <v>1911.12</v>
      </c>
      <c r="K451" s="2007">
        <f t="shared" si="322"/>
        <v>1505.64</v>
      </c>
      <c r="L451" s="2007">
        <f t="shared" si="323"/>
        <v>405.48</v>
      </c>
      <c r="M451" s="2016"/>
      <c r="N451" s="2016"/>
      <c r="O451" s="2016"/>
      <c r="P451" s="2016"/>
      <c r="Q451" s="2016"/>
      <c r="R451" s="2016"/>
      <c r="S451" s="2016"/>
      <c r="T451" s="2016">
        <f t="shared" si="326"/>
        <v>95.555999999999997</v>
      </c>
      <c r="U451" s="2016"/>
      <c r="V451" s="2016">
        <f t="shared" si="327"/>
        <v>191.11199999999999</v>
      </c>
      <c r="W451" s="2016">
        <f t="shared" si="328"/>
        <v>286.66799999999995</v>
      </c>
      <c r="X451" s="2016">
        <f t="shared" si="329"/>
        <v>382.22399999999999</v>
      </c>
      <c r="Y451" s="2016">
        <f t="shared" si="330"/>
        <v>573.3359999999999</v>
      </c>
      <c r="Z451" s="2016">
        <f t="shared" si="331"/>
        <v>382.22399999999999</v>
      </c>
    </row>
    <row r="452" spans="1:26" s="2009" customFormat="1" ht="45" x14ac:dyDescent="0.2">
      <c r="A452" s="1635" t="s">
        <v>9056</v>
      </c>
      <c r="B452" s="1984" t="s">
        <v>4448</v>
      </c>
      <c r="C452" s="1984">
        <v>72319</v>
      </c>
      <c r="D452" s="1813" t="s">
        <v>9057</v>
      </c>
      <c r="E452" s="1638">
        <v>3</v>
      </c>
      <c r="F452" s="1639" t="s">
        <v>5284</v>
      </c>
      <c r="G452" s="1648">
        <v>4407.87</v>
      </c>
      <c r="H452" s="1636">
        <f t="shared" si="305"/>
        <v>1187.04</v>
      </c>
      <c r="I452" s="1636">
        <f t="shared" ref="I452:I454" si="332">H452+G452</f>
        <v>5594.91</v>
      </c>
      <c r="J452" s="1723">
        <f t="shared" ref="J452:J454" si="333">ROUND(I452*E452,2)</f>
        <v>16784.73</v>
      </c>
      <c r="K452" s="2007">
        <f t="shared" si="322"/>
        <v>13223.61</v>
      </c>
      <c r="L452" s="2007">
        <f t="shared" si="323"/>
        <v>3561.12</v>
      </c>
      <c r="M452" s="2016"/>
      <c r="N452" s="2016"/>
      <c r="O452" s="2016"/>
      <c r="P452" s="2016"/>
      <c r="Q452" s="2016"/>
      <c r="R452" s="2016"/>
      <c r="S452" s="2016"/>
      <c r="T452" s="2016">
        <f t="shared" ref="T452:T454" si="334">0.05*J452</f>
        <v>839.23649999999998</v>
      </c>
      <c r="U452" s="2016"/>
      <c r="V452" s="2016">
        <f t="shared" ref="V452:V454" si="335">0.1*J452</f>
        <v>1678.473</v>
      </c>
      <c r="W452" s="2016">
        <f t="shared" ref="W452:W454" si="336">0.15*J452</f>
        <v>2517.7094999999999</v>
      </c>
      <c r="X452" s="2016">
        <f t="shared" ref="X452:X454" si="337">0.2*J452</f>
        <v>3356.9459999999999</v>
      </c>
      <c r="Y452" s="2016">
        <f t="shared" ref="Y452:Y454" si="338">0.3*J452</f>
        <v>5035.4189999999999</v>
      </c>
      <c r="Z452" s="2016">
        <f t="shared" ref="Z452:Z454" si="339">0.2*J452</f>
        <v>3356.9459999999999</v>
      </c>
    </row>
    <row r="453" spans="1:26" s="2009" customFormat="1" ht="15" x14ac:dyDescent="0.2">
      <c r="A453" s="1634" t="s">
        <v>9058</v>
      </c>
      <c r="B453" s="2136" t="s">
        <v>9059</v>
      </c>
      <c r="C453" s="2136"/>
      <c r="D453" s="2136"/>
      <c r="E453" s="2136"/>
      <c r="F453" s="2136"/>
      <c r="G453" s="2136"/>
      <c r="H453" s="2136"/>
      <c r="I453" s="2136"/>
      <c r="J453" s="2136"/>
      <c r="K453" s="2007">
        <f t="shared" si="322"/>
        <v>0</v>
      </c>
      <c r="L453" s="2007">
        <f t="shared" si="323"/>
        <v>0</v>
      </c>
      <c r="M453" s="2016"/>
      <c r="N453" s="2016"/>
      <c r="O453" s="2016"/>
      <c r="P453" s="2016"/>
      <c r="Q453" s="2016"/>
      <c r="R453" s="2016"/>
      <c r="S453" s="2016"/>
      <c r="T453" s="2016"/>
      <c r="U453" s="2016"/>
      <c r="V453" s="2016"/>
      <c r="W453" s="2016"/>
      <c r="X453" s="2016"/>
      <c r="Y453" s="2016"/>
      <c r="Z453" s="2016"/>
    </row>
    <row r="454" spans="1:26" s="2009" customFormat="1" ht="30" x14ac:dyDescent="0.2">
      <c r="A454" s="1635" t="s">
        <v>9061</v>
      </c>
      <c r="B454" s="1984" t="s">
        <v>5281</v>
      </c>
      <c r="C454" s="1984" t="s">
        <v>9062</v>
      </c>
      <c r="D454" s="1813" t="s">
        <v>9060</v>
      </c>
      <c r="E454" s="1638">
        <v>65.95</v>
      </c>
      <c r="F454" s="1639" t="s">
        <v>5713</v>
      </c>
      <c r="G454" s="1636">
        <v>1.43</v>
      </c>
      <c r="H454" s="1636">
        <f t="shared" si="305"/>
        <v>0.39</v>
      </c>
      <c r="I454" s="1636">
        <f t="shared" si="332"/>
        <v>1.8199999999999998</v>
      </c>
      <c r="J454" s="1723">
        <f t="shared" si="333"/>
        <v>120.03</v>
      </c>
      <c r="K454" s="2007">
        <f t="shared" si="322"/>
        <v>94.31</v>
      </c>
      <c r="L454" s="2007">
        <f t="shared" si="323"/>
        <v>25.72</v>
      </c>
      <c r="M454" s="2016"/>
      <c r="N454" s="2016"/>
      <c r="O454" s="2016"/>
      <c r="P454" s="2016"/>
      <c r="Q454" s="2016"/>
      <c r="R454" s="2016"/>
      <c r="S454" s="2016"/>
      <c r="T454" s="2016">
        <f t="shared" si="334"/>
        <v>6.0015000000000001</v>
      </c>
      <c r="U454" s="2016"/>
      <c r="V454" s="2016">
        <f t="shared" si="335"/>
        <v>12.003</v>
      </c>
      <c r="W454" s="2016">
        <f t="shared" si="336"/>
        <v>18.0045</v>
      </c>
      <c r="X454" s="2016">
        <f t="shared" si="337"/>
        <v>24.006</v>
      </c>
      <c r="Y454" s="2016">
        <f t="shared" si="338"/>
        <v>36.009</v>
      </c>
      <c r="Z454" s="2016">
        <f t="shared" si="339"/>
        <v>24.006</v>
      </c>
    </row>
    <row r="455" spans="1:26" s="2009" customFormat="1" ht="15" x14ac:dyDescent="0.2">
      <c r="A455" s="1634" t="s">
        <v>9064</v>
      </c>
      <c r="B455" s="2136" t="s">
        <v>9065</v>
      </c>
      <c r="C455" s="2136"/>
      <c r="D455" s="2136"/>
      <c r="E455" s="2136"/>
      <c r="F455" s="2136"/>
      <c r="G455" s="2136"/>
      <c r="H455" s="2136"/>
      <c r="I455" s="2136"/>
      <c r="J455" s="2136"/>
      <c r="K455" s="1983"/>
      <c r="L455" s="2018"/>
      <c r="M455" s="2016"/>
      <c r="N455" s="2016"/>
      <c r="O455" s="2016"/>
      <c r="P455" s="2016"/>
      <c r="Q455" s="2016"/>
      <c r="R455" s="2016"/>
      <c r="S455" s="2016"/>
      <c r="T455" s="2016"/>
      <c r="U455" s="2016"/>
      <c r="V455" s="2016"/>
      <c r="W455" s="2016"/>
      <c r="X455" s="2016"/>
      <c r="Y455" s="2016"/>
      <c r="Z455" s="2016"/>
    </row>
    <row r="456" spans="1:26" s="2009" customFormat="1" ht="30" x14ac:dyDescent="0.2">
      <c r="A456" s="1635" t="s">
        <v>9316</v>
      </c>
      <c r="B456" s="1984" t="s">
        <v>5281</v>
      </c>
      <c r="C456" s="1984" t="s">
        <v>9067</v>
      </c>
      <c r="D456" s="1813" t="s">
        <v>9066</v>
      </c>
      <c r="E456" s="1638">
        <v>22</v>
      </c>
      <c r="F456" s="1639" t="s">
        <v>5284</v>
      </c>
      <c r="G456" s="1636">
        <v>11.39</v>
      </c>
      <c r="H456" s="1636">
        <f t="shared" ref="H456:H511" si="340">ROUND(G456*$B$13,2)</f>
        <v>3.07</v>
      </c>
      <c r="I456" s="1636">
        <f t="shared" ref="I456:I511" si="341">H456+G456</f>
        <v>14.46</v>
      </c>
      <c r="J456" s="1723">
        <f t="shared" ref="J456:J511" si="342">ROUND(I456*E456,2)</f>
        <v>318.12</v>
      </c>
      <c r="K456" s="2007">
        <f t="shared" si="322"/>
        <v>250.58</v>
      </c>
      <c r="L456" s="2007">
        <f t="shared" si="323"/>
        <v>67.540000000000006</v>
      </c>
      <c r="M456" s="2016"/>
      <c r="N456" s="2016"/>
      <c r="O456" s="2016"/>
      <c r="P456" s="2016"/>
      <c r="Q456" s="2016"/>
      <c r="R456" s="2016"/>
      <c r="S456" s="2016"/>
      <c r="T456" s="2016">
        <f t="shared" ref="T456:T511" si="343">0.05*J456</f>
        <v>15.906000000000001</v>
      </c>
      <c r="U456" s="2016"/>
      <c r="V456" s="2016">
        <f t="shared" ref="V456:V511" si="344">0.1*J456</f>
        <v>31.812000000000001</v>
      </c>
      <c r="W456" s="2016">
        <f t="shared" ref="W456:W511" si="345">0.15*J456</f>
        <v>47.717999999999996</v>
      </c>
      <c r="X456" s="2016">
        <f t="shared" ref="X456:X511" si="346">0.2*J456</f>
        <v>63.624000000000002</v>
      </c>
      <c r="Y456" s="2016">
        <f t="shared" ref="Y456:Y511" si="347">0.3*J456</f>
        <v>95.435999999999993</v>
      </c>
      <c r="Z456" s="2016">
        <f t="shared" ref="Z456:Z511" si="348">0.2*J456</f>
        <v>63.624000000000002</v>
      </c>
    </row>
    <row r="457" spans="1:26" s="2009" customFormat="1" ht="30" x14ac:dyDescent="0.2">
      <c r="A457" s="1635" t="s">
        <v>9318</v>
      </c>
      <c r="B457" s="1984" t="s">
        <v>4448</v>
      </c>
      <c r="C457" s="1984" t="s">
        <v>9319</v>
      </c>
      <c r="D457" s="1813" t="s">
        <v>9068</v>
      </c>
      <c r="E457" s="1638">
        <v>10</v>
      </c>
      <c r="F457" s="1639" t="s">
        <v>5284</v>
      </c>
      <c r="G457" s="1636">
        <v>6.4499999999999993</v>
      </c>
      <c r="H457" s="1636">
        <f t="shared" si="340"/>
        <v>1.74</v>
      </c>
      <c r="I457" s="1636">
        <f t="shared" si="341"/>
        <v>8.19</v>
      </c>
      <c r="J457" s="1723">
        <f t="shared" si="342"/>
        <v>81.900000000000006</v>
      </c>
      <c r="K457" s="2007">
        <f t="shared" ref="K457:K512" si="349">ROUND(G457*E457,2)</f>
        <v>64.5</v>
      </c>
      <c r="L457" s="2007">
        <f t="shared" ref="L457:L512" si="350">ROUND(H457*E457,2)</f>
        <v>17.399999999999999</v>
      </c>
      <c r="M457" s="2016"/>
      <c r="N457" s="2016"/>
      <c r="O457" s="2016"/>
      <c r="P457" s="2016"/>
      <c r="Q457" s="2016"/>
      <c r="R457" s="2016"/>
      <c r="S457" s="2016"/>
      <c r="T457" s="2016">
        <f t="shared" si="343"/>
        <v>4.0950000000000006</v>
      </c>
      <c r="U457" s="2016"/>
      <c r="V457" s="2016">
        <f t="shared" si="344"/>
        <v>8.1900000000000013</v>
      </c>
      <c r="W457" s="2016">
        <f t="shared" si="345"/>
        <v>12.285</v>
      </c>
      <c r="X457" s="2016">
        <f t="shared" si="346"/>
        <v>16.380000000000003</v>
      </c>
      <c r="Y457" s="2016">
        <f t="shared" si="347"/>
        <v>24.57</v>
      </c>
      <c r="Z457" s="2016">
        <f t="shared" si="348"/>
        <v>16.380000000000003</v>
      </c>
    </row>
    <row r="458" spans="1:26" s="2009" customFormat="1" ht="30" x14ac:dyDescent="0.2">
      <c r="A458" s="1635" t="s">
        <v>9321</v>
      </c>
      <c r="B458" s="1984" t="s">
        <v>4448</v>
      </c>
      <c r="C458" s="1984" t="s">
        <v>9320</v>
      </c>
      <c r="D458" s="1813" t="s">
        <v>9069</v>
      </c>
      <c r="E458" s="1638">
        <v>6</v>
      </c>
      <c r="F458" s="1639" t="s">
        <v>5284</v>
      </c>
      <c r="G458" s="1636">
        <v>5.14</v>
      </c>
      <c r="H458" s="1636">
        <f t="shared" si="340"/>
        <v>1.38</v>
      </c>
      <c r="I458" s="1636">
        <f t="shared" si="341"/>
        <v>6.52</v>
      </c>
      <c r="J458" s="1723">
        <f t="shared" si="342"/>
        <v>39.119999999999997</v>
      </c>
      <c r="K458" s="2007">
        <f t="shared" si="349"/>
        <v>30.84</v>
      </c>
      <c r="L458" s="2007">
        <f t="shared" si="350"/>
        <v>8.2799999999999994</v>
      </c>
      <c r="M458" s="2016"/>
      <c r="N458" s="2016"/>
      <c r="O458" s="2016"/>
      <c r="P458" s="2016"/>
      <c r="Q458" s="2016"/>
      <c r="R458" s="2016"/>
      <c r="S458" s="2016"/>
      <c r="T458" s="2016">
        <f t="shared" si="343"/>
        <v>1.956</v>
      </c>
      <c r="U458" s="2016"/>
      <c r="V458" s="2016">
        <f t="shared" si="344"/>
        <v>3.9119999999999999</v>
      </c>
      <c r="W458" s="2016">
        <f t="shared" si="345"/>
        <v>5.8679999999999994</v>
      </c>
      <c r="X458" s="2016">
        <f t="shared" si="346"/>
        <v>7.8239999999999998</v>
      </c>
      <c r="Y458" s="2016">
        <f t="shared" si="347"/>
        <v>11.735999999999999</v>
      </c>
      <c r="Z458" s="2016">
        <f t="shared" si="348"/>
        <v>7.8239999999999998</v>
      </c>
    </row>
    <row r="459" spans="1:26" s="2009" customFormat="1" ht="30" x14ac:dyDescent="0.2">
      <c r="A459" s="1635" t="s">
        <v>9323</v>
      </c>
      <c r="B459" s="1984" t="s">
        <v>5281</v>
      </c>
      <c r="C459" s="1984" t="s">
        <v>9071</v>
      </c>
      <c r="D459" s="1813" t="s">
        <v>9070</v>
      </c>
      <c r="E459" s="1638">
        <v>19</v>
      </c>
      <c r="F459" s="1639" t="s">
        <v>5284</v>
      </c>
      <c r="G459" s="1636">
        <v>20.94</v>
      </c>
      <c r="H459" s="1636">
        <f t="shared" si="340"/>
        <v>5.64</v>
      </c>
      <c r="I459" s="1636">
        <f t="shared" si="341"/>
        <v>26.580000000000002</v>
      </c>
      <c r="J459" s="1723">
        <f t="shared" si="342"/>
        <v>505.02</v>
      </c>
      <c r="K459" s="2007">
        <f t="shared" si="349"/>
        <v>397.86</v>
      </c>
      <c r="L459" s="2007">
        <f t="shared" si="350"/>
        <v>107.16</v>
      </c>
      <c r="M459" s="2016"/>
      <c r="N459" s="2016"/>
      <c r="O459" s="2016"/>
      <c r="P459" s="2016"/>
      <c r="Q459" s="2016"/>
      <c r="R459" s="2016"/>
      <c r="S459" s="2016"/>
      <c r="T459" s="2016">
        <f t="shared" si="343"/>
        <v>25.251000000000001</v>
      </c>
      <c r="U459" s="2016"/>
      <c r="V459" s="2016">
        <f t="shared" si="344"/>
        <v>50.502000000000002</v>
      </c>
      <c r="W459" s="2016">
        <f t="shared" si="345"/>
        <v>75.753</v>
      </c>
      <c r="X459" s="2016">
        <f t="shared" si="346"/>
        <v>101.004</v>
      </c>
      <c r="Y459" s="2016">
        <f t="shared" si="347"/>
        <v>151.506</v>
      </c>
      <c r="Z459" s="2016">
        <f t="shared" si="348"/>
        <v>101.004</v>
      </c>
    </row>
    <row r="460" spans="1:26" s="2009" customFormat="1" ht="30" x14ac:dyDescent="0.2">
      <c r="A460" s="1635" t="s">
        <v>9325</v>
      </c>
      <c r="B460" s="1984" t="s">
        <v>5281</v>
      </c>
      <c r="C460" s="1984" t="s">
        <v>9072</v>
      </c>
      <c r="D460" s="1813" t="s">
        <v>9073</v>
      </c>
      <c r="E460" s="1638">
        <v>3</v>
      </c>
      <c r="F460" s="1639" t="s">
        <v>5284</v>
      </c>
      <c r="G460" s="1636">
        <v>3.38</v>
      </c>
      <c r="H460" s="1636">
        <f t="shared" si="340"/>
        <v>0.91</v>
      </c>
      <c r="I460" s="1636">
        <f t="shared" si="341"/>
        <v>4.29</v>
      </c>
      <c r="J460" s="1723">
        <f t="shared" si="342"/>
        <v>12.87</v>
      </c>
      <c r="K460" s="2007">
        <f t="shared" si="349"/>
        <v>10.14</v>
      </c>
      <c r="L460" s="2007">
        <f t="shared" si="350"/>
        <v>2.73</v>
      </c>
      <c r="M460" s="2016"/>
      <c r="N460" s="2016"/>
      <c r="O460" s="2016"/>
      <c r="P460" s="2016"/>
      <c r="Q460" s="2016"/>
      <c r="R460" s="2016"/>
      <c r="S460" s="2016"/>
      <c r="T460" s="2016">
        <f t="shared" si="343"/>
        <v>0.64349999999999996</v>
      </c>
      <c r="U460" s="2016"/>
      <c r="V460" s="2016">
        <f t="shared" si="344"/>
        <v>1.2869999999999999</v>
      </c>
      <c r="W460" s="2016">
        <f t="shared" si="345"/>
        <v>1.9304999999999999</v>
      </c>
      <c r="X460" s="2016">
        <f t="shared" si="346"/>
        <v>2.5739999999999998</v>
      </c>
      <c r="Y460" s="2016">
        <f t="shared" si="347"/>
        <v>3.8609999999999998</v>
      </c>
      <c r="Z460" s="2016">
        <f t="shared" si="348"/>
        <v>2.5739999999999998</v>
      </c>
    </row>
    <row r="461" spans="1:26" s="2009" customFormat="1" ht="30" x14ac:dyDescent="0.2">
      <c r="A461" s="1635" t="s">
        <v>9327</v>
      </c>
      <c r="B461" s="1984" t="s">
        <v>5281</v>
      </c>
      <c r="C461" s="1984" t="s">
        <v>9074</v>
      </c>
      <c r="D461" s="1813" t="s">
        <v>9075</v>
      </c>
      <c r="E461" s="1638">
        <v>3</v>
      </c>
      <c r="F461" s="1639" t="s">
        <v>5284</v>
      </c>
      <c r="G461" s="1636">
        <v>2.74</v>
      </c>
      <c r="H461" s="1636">
        <f t="shared" si="340"/>
        <v>0.74</v>
      </c>
      <c r="I461" s="1636">
        <f t="shared" si="341"/>
        <v>3.4800000000000004</v>
      </c>
      <c r="J461" s="1723">
        <f t="shared" si="342"/>
        <v>10.44</v>
      </c>
      <c r="K461" s="2007">
        <f t="shared" si="349"/>
        <v>8.2200000000000006</v>
      </c>
      <c r="L461" s="2007">
        <f t="shared" si="350"/>
        <v>2.2200000000000002</v>
      </c>
      <c r="M461" s="2016"/>
      <c r="N461" s="2016"/>
      <c r="O461" s="2016"/>
      <c r="P461" s="2016"/>
      <c r="Q461" s="2016"/>
      <c r="R461" s="2016"/>
      <c r="S461" s="2016"/>
      <c r="T461" s="2016">
        <f t="shared" si="343"/>
        <v>0.52200000000000002</v>
      </c>
      <c r="U461" s="2016"/>
      <c r="V461" s="2016">
        <f t="shared" si="344"/>
        <v>1.044</v>
      </c>
      <c r="W461" s="2016">
        <f t="shared" si="345"/>
        <v>1.5659999999999998</v>
      </c>
      <c r="X461" s="2016">
        <f t="shared" si="346"/>
        <v>2.0880000000000001</v>
      </c>
      <c r="Y461" s="2016">
        <f t="shared" si="347"/>
        <v>3.1319999999999997</v>
      </c>
      <c r="Z461" s="2016">
        <f t="shared" si="348"/>
        <v>2.0880000000000001</v>
      </c>
    </row>
    <row r="462" spans="1:26" s="2009" customFormat="1" ht="30" x14ac:dyDescent="0.2">
      <c r="A462" s="1635" t="s">
        <v>9329</v>
      </c>
      <c r="B462" s="1984" t="s">
        <v>5281</v>
      </c>
      <c r="C462" s="1984" t="s">
        <v>9111</v>
      </c>
      <c r="D462" s="1813" t="s">
        <v>9076</v>
      </c>
      <c r="E462" s="1638">
        <v>18</v>
      </c>
      <c r="F462" s="1639" t="s">
        <v>5284</v>
      </c>
      <c r="G462" s="1636">
        <v>21.8</v>
      </c>
      <c r="H462" s="1636">
        <f t="shared" ref="H462:H498" si="351">ROUND(G462*$B$13,2)</f>
        <v>5.87</v>
      </c>
      <c r="I462" s="1636">
        <f t="shared" ref="I462:I498" si="352">H462+G462</f>
        <v>27.67</v>
      </c>
      <c r="J462" s="1723">
        <f t="shared" ref="J462:J498" si="353">ROUND(I462*E462,2)</f>
        <v>498.06</v>
      </c>
      <c r="K462" s="2007">
        <f t="shared" si="349"/>
        <v>392.4</v>
      </c>
      <c r="L462" s="2007">
        <f t="shared" si="350"/>
        <v>105.66</v>
      </c>
      <c r="M462" s="2016"/>
      <c r="N462" s="2016"/>
      <c r="O462" s="2016"/>
      <c r="P462" s="2016"/>
      <c r="Q462" s="2016"/>
      <c r="R462" s="2016"/>
      <c r="S462" s="2016"/>
      <c r="T462" s="2016">
        <f t="shared" ref="T462:T497" si="354">0.05*J462</f>
        <v>24.903000000000002</v>
      </c>
      <c r="U462" s="2016"/>
      <c r="V462" s="2016">
        <f t="shared" ref="V462:V497" si="355">0.1*J462</f>
        <v>49.806000000000004</v>
      </c>
      <c r="W462" s="2016">
        <f t="shared" ref="W462:W497" si="356">0.15*J462</f>
        <v>74.709000000000003</v>
      </c>
      <c r="X462" s="2016">
        <f t="shared" ref="X462:X497" si="357">0.2*J462</f>
        <v>99.612000000000009</v>
      </c>
      <c r="Y462" s="2016">
        <f t="shared" ref="Y462:Y497" si="358">0.3*J462</f>
        <v>149.41800000000001</v>
      </c>
      <c r="Z462" s="2016">
        <f t="shared" ref="Z462:Z497" si="359">0.2*J462</f>
        <v>99.612000000000009</v>
      </c>
    </row>
    <row r="463" spans="1:26" s="2009" customFormat="1" ht="30" x14ac:dyDescent="0.2">
      <c r="A463" s="1635" t="s">
        <v>9330</v>
      </c>
      <c r="B463" s="1984" t="s">
        <v>5278</v>
      </c>
      <c r="C463" s="1984">
        <v>11837</v>
      </c>
      <c r="D463" s="1813" t="s">
        <v>9077</v>
      </c>
      <c r="E463" s="1638">
        <v>3</v>
      </c>
      <c r="F463" s="1639" t="s">
        <v>5284</v>
      </c>
      <c r="G463" s="1636">
        <v>48.66</v>
      </c>
      <c r="H463" s="1636">
        <f t="shared" si="351"/>
        <v>13.1</v>
      </c>
      <c r="I463" s="1636">
        <f t="shared" si="352"/>
        <v>61.76</v>
      </c>
      <c r="J463" s="1723">
        <f t="shared" si="353"/>
        <v>185.28</v>
      </c>
      <c r="K463" s="2007">
        <f t="shared" si="349"/>
        <v>145.97999999999999</v>
      </c>
      <c r="L463" s="2007">
        <f t="shared" si="350"/>
        <v>39.299999999999997</v>
      </c>
      <c r="M463" s="2016"/>
      <c r="N463" s="2016"/>
      <c r="O463" s="2016"/>
      <c r="P463" s="2016"/>
      <c r="Q463" s="2016"/>
      <c r="R463" s="2016"/>
      <c r="S463" s="2016"/>
      <c r="T463" s="2016">
        <f t="shared" si="354"/>
        <v>9.2640000000000011</v>
      </c>
      <c r="U463" s="2016"/>
      <c r="V463" s="2016">
        <f t="shared" si="355"/>
        <v>18.528000000000002</v>
      </c>
      <c r="W463" s="2016">
        <f t="shared" si="356"/>
        <v>27.791999999999998</v>
      </c>
      <c r="X463" s="2016">
        <f t="shared" si="357"/>
        <v>37.056000000000004</v>
      </c>
      <c r="Y463" s="2016">
        <f t="shared" si="358"/>
        <v>55.583999999999996</v>
      </c>
      <c r="Z463" s="2016">
        <f t="shared" si="359"/>
        <v>37.056000000000004</v>
      </c>
    </row>
    <row r="464" spans="1:26" s="2009" customFormat="1" ht="30" x14ac:dyDescent="0.2">
      <c r="A464" s="1635" t="s">
        <v>9332</v>
      </c>
      <c r="B464" s="1984" t="s">
        <v>5281</v>
      </c>
      <c r="C464" s="1984" t="s">
        <v>9112</v>
      </c>
      <c r="D464" s="1813" t="s">
        <v>9078</v>
      </c>
      <c r="E464" s="1638">
        <v>3</v>
      </c>
      <c r="F464" s="1639" t="s">
        <v>5284</v>
      </c>
      <c r="G464" s="1636">
        <v>272.87</v>
      </c>
      <c r="H464" s="1636">
        <f t="shared" si="351"/>
        <v>73.48</v>
      </c>
      <c r="I464" s="1636">
        <f t="shared" si="352"/>
        <v>346.35</v>
      </c>
      <c r="J464" s="1723">
        <f t="shared" si="353"/>
        <v>1039.05</v>
      </c>
      <c r="K464" s="2007">
        <f t="shared" si="349"/>
        <v>818.61</v>
      </c>
      <c r="L464" s="2007">
        <f t="shared" si="350"/>
        <v>220.44</v>
      </c>
      <c r="M464" s="2016"/>
      <c r="N464" s="2016"/>
      <c r="O464" s="2016"/>
      <c r="P464" s="2016"/>
      <c r="Q464" s="2016"/>
      <c r="R464" s="2016"/>
      <c r="S464" s="2016"/>
      <c r="T464" s="2016">
        <f t="shared" si="354"/>
        <v>51.952500000000001</v>
      </c>
      <c r="U464" s="2016"/>
      <c r="V464" s="2016">
        <f t="shared" si="355"/>
        <v>103.905</v>
      </c>
      <c r="W464" s="2016">
        <f t="shared" si="356"/>
        <v>155.85749999999999</v>
      </c>
      <c r="X464" s="2016">
        <f t="shared" si="357"/>
        <v>207.81</v>
      </c>
      <c r="Y464" s="2016">
        <f t="shared" si="358"/>
        <v>311.71499999999997</v>
      </c>
      <c r="Z464" s="2016">
        <f t="shared" si="359"/>
        <v>207.81</v>
      </c>
    </row>
    <row r="465" spans="1:26" s="2009" customFormat="1" ht="30" x14ac:dyDescent="0.2">
      <c r="A465" s="1635" t="s">
        <v>9333</v>
      </c>
      <c r="B465" s="1984" t="s">
        <v>5281</v>
      </c>
      <c r="C465" s="1984" t="s">
        <v>9113</v>
      </c>
      <c r="D465" s="1813" t="s">
        <v>9079</v>
      </c>
      <c r="E465" s="1638">
        <v>12</v>
      </c>
      <c r="F465" s="1639" t="s">
        <v>5284</v>
      </c>
      <c r="G465" s="1636">
        <v>17.87</v>
      </c>
      <c r="H465" s="1636">
        <f t="shared" si="351"/>
        <v>4.8099999999999996</v>
      </c>
      <c r="I465" s="1636">
        <f t="shared" si="352"/>
        <v>22.68</v>
      </c>
      <c r="J465" s="1723">
        <f t="shared" si="353"/>
        <v>272.16000000000003</v>
      </c>
      <c r="K465" s="2007">
        <f t="shared" si="349"/>
        <v>214.44</v>
      </c>
      <c r="L465" s="2007">
        <f t="shared" si="350"/>
        <v>57.72</v>
      </c>
      <c r="M465" s="2016"/>
      <c r="N465" s="2016"/>
      <c r="O465" s="2016"/>
      <c r="P465" s="2016"/>
      <c r="Q465" s="2016"/>
      <c r="R465" s="2016"/>
      <c r="S465" s="2016"/>
      <c r="T465" s="2016">
        <f t="shared" si="354"/>
        <v>13.608000000000002</v>
      </c>
      <c r="U465" s="2016"/>
      <c r="V465" s="2016">
        <f t="shared" si="355"/>
        <v>27.216000000000005</v>
      </c>
      <c r="W465" s="2016">
        <f t="shared" si="356"/>
        <v>40.824000000000005</v>
      </c>
      <c r="X465" s="2016">
        <f t="shared" si="357"/>
        <v>54.432000000000009</v>
      </c>
      <c r="Y465" s="2016">
        <f t="shared" si="358"/>
        <v>81.64800000000001</v>
      </c>
      <c r="Z465" s="2016">
        <f t="shared" si="359"/>
        <v>54.432000000000009</v>
      </c>
    </row>
    <row r="466" spans="1:26" s="2009" customFormat="1" ht="30" x14ac:dyDescent="0.2">
      <c r="A466" s="1635" t="s">
        <v>9338</v>
      </c>
      <c r="B466" s="1984" t="s">
        <v>5696</v>
      </c>
      <c r="C466" s="1984" t="s">
        <v>9114</v>
      </c>
      <c r="D466" s="1813" t="s">
        <v>9335</v>
      </c>
      <c r="E466" s="1638">
        <v>23</v>
      </c>
      <c r="F466" s="1639" t="s">
        <v>5284</v>
      </c>
      <c r="G466" s="1636">
        <v>17.87</v>
      </c>
      <c r="H466" s="1636">
        <f t="shared" si="351"/>
        <v>4.8099999999999996</v>
      </c>
      <c r="I466" s="1636">
        <f t="shared" si="352"/>
        <v>22.68</v>
      </c>
      <c r="J466" s="1723">
        <f t="shared" si="353"/>
        <v>521.64</v>
      </c>
      <c r="K466" s="2007">
        <f t="shared" si="349"/>
        <v>411.01</v>
      </c>
      <c r="L466" s="2007">
        <f t="shared" si="350"/>
        <v>110.63</v>
      </c>
      <c r="M466" s="2016"/>
      <c r="N466" s="2016"/>
      <c r="O466" s="2016"/>
      <c r="P466" s="2016"/>
      <c r="Q466" s="2016"/>
      <c r="R466" s="2016"/>
      <c r="S466" s="2016"/>
      <c r="T466" s="2016">
        <f t="shared" si="354"/>
        <v>26.082000000000001</v>
      </c>
      <c r="U466" s="2016"/>
      <c r="V466" s="2016">
        <f t="shared" si="355"/>
        <v>52.164000000000001</v>
      </c>
      <c r="W466" s="2016">
        <f t="shared" si="356"/>
        <v>78.245999999999995</v>
      </c>
      <c r="X466" s="2016">
        <f t="shared" si="357"/>
        <v>104.328</v>
      </c>
      <c r="Y466" s="2016">
        <f t="shared" si="358"/>
        <v>156.49199999999999</v>
      </c>
      <c r="Z466" s="2016">
        <f t="shared" si="359"/>
        <v>104.328</v>
      </c>
    </row>
    <row r="467" spans="1:26" s="2009" customFormat="1" ht="30" x14ac:dyDescent="0.2">
      <c r="A467" s="1635" t="s">
        <v>9341</v>
      </c>
      <c r="B467" s="1984" t="s">
        <v>5281</v>
      </c>
      <c r="C467" s="1984" t="s">
        <v>9115</v>
      </c>
      <c r="D467" s="1813" t="s">
        <v>9339</v>
      </c>
      <c r="E467" s="1638">
        <v>4</v>
      </c>
      <c r="F467" s="1639" t="s">
        <v>5284</v>
      </c>
      <c r="G467" s="1636">
        <v>1.99</v>
      </c>
      <c r="H467" s="1636">
        <f t="shared" si="351"/>
        <v>0.54</v>
      </c>
      <c r="I467" s="1636">
        <f t="shared" si="352"/>
        <v>2.5300000000000002</v>
      </c>
      <c r="J467" s="1723">
        <f t="shared" si="353"/>
        <v>10.119999999999999</v>
      </c>
      <c r="K467" s="2007">
        <f t="shared" si="349"/>
        <v>7.96</v>
      </c>
      <c r="L467" s="2007">
        <f t="shared" si="350"/>
        <v>2.16</v>
      </c>
      <c r="M467" s="2016"/>
      <c r="N467" s="2016"/>
      <c r="O467" s="2016"/>
      <c r="P467" s="2016"/>
      <c r="Q467" s="2016"/>
      <c r="R467" s="2016"/>
      <c r="S467" s="2016"/>
      <c r="T467" s="2016">
        <f t="shared" si="354"/>
        <v>0.50600000000000001</v>
      </c>
      <c r="U467" s="2016"/>
      <c r="V467" s="2016">
        <f t="shared" si="355"/>
        <v>1.012</v>
      </c>
      <c r="W467" s="2016">
        <f t="shared" si="356"/>
        <v>1.5179999999999998</v>
      </c>
      <c r="X467" s="2016">
        <f t="shared" si="357"/>
        <v>2.024</v>
      </c>
      <c r="Y467" s="2016">
        <f t="shared" si="358"/>
        <v>3.0359999999999996</v>
      </c>
      <c r="Z467" s="2016">
        <f t="shared" si="359"/>
        <v>2.024</v>
      </c>
    </row>
    <row r="468" spans="1:26" s="2009" customFormat="1" ht="30" x14ac:dyDescent="0.2">
      <c r="A468" s="1635" t="s">
        <v>9342</v>
      </c>
      <c r="B468" s="1984" t="s">
        <v>5281</v>
      </c>
      <c r="C468" s="1984" t="s">
        <v>9116</v>
      </c>
      <c r="D468" s="1813" t="s">
        <v>9080</v>
      </c>
      <c r="E468" s="1638">
        <v>17</v>
      </c>
      <c r="F468" s="1639" t="s">
        <v>5284</v>
      </c>
      <c r="G468" s="1636">
        <v>11.83</v>
      </c>
      <c r="H468" s="1636">
        <f t="shared" si="351"/>
        <v>3.19</v>
      </c>
      <c r="I468" s="1636">
        <f t="shared" si="352"/>
        <v>15.02</v>
      </c>
      <c r="J468" s="1723">
        <f t="shared" si="353"/>
        <v>255.34</v>
      </c>
      <c r="K468" s="2007">
        <f t="shared" si="349"/>
        <v>201.11</v>
      </c>
      <c r="L468" s="2007">
        <f t="shared" si="350"/>
        <v>54.23</v>
      </c>
      <c r="M468" s="2016"/>
      <c r="N468" s="2016"/>
      <c r="O468" s="2016"/>
      <c r="P468" s="2016"/>
      <c r="Q468" s="2016"/>
      <c r="R468" s="2016"/>
      <c r="S468" s="2016"/>
      <c r="T468" s="2016">
        <f t="shared" si="354"/>
        <v>12.767000000000001</v>
      </c>
      <c r="U468" s="2016"/>
      <c r="V468" s="2016">
        <f t="shared" si="355"/>
        <v>25.534000000000002</v>
      </c>
      <c r="W468" s="2016">
        <f t="shared" si="356"/>
        <v>38.301000000000002</v>
      </c>
      <c r="X468" s="2016">
        <f t="shared" si="357"/>
        <v>51.068000000000005</v>
      </c>
      <c r="Y468" s="2016">
        <f t="shared" si="358"/>
        <v>76.602000000000004</v>
      </c>
      <c r="Z468" s="2016">
        <f t="shared" si="359"/>
        <v>51.068000000000005</v>
      </c>
    </row>
    <row r="469" spans="1:26" s="2009" customFormat="1" ht="30" x14ac:dyDescent="0.2">
      <c r="A469" s="1635" t="s">
        <v>9344</v>
      </c>
      <c r="B469" s="1984" t="s">
        <v>5278</v>
      </c>
      <c r="C469" s="1984">
        <v>442</v>
      </c>
      <c r="D469" s="1813" t="s">
        <v>9081</v>
      </c>
      <c r="E469" s="1638">
        <v>30</v>
      </c>
      <c r="F469" s="1639" t="s">
        <v>5284</v>
      </c>
      <c r="G469" s="1636">
        <v>3.69</v>
      </c>
      <c r="H469" s="1636">
        <f t="shared" si="351"/>
        <v>0.99</v>
      </c>
      <c r="I469" s="1636">
        <f t="shared" si="352"/>
        <v>4.68</v>
      </c>
      <c r="J469" s="1723">
        <f t="shared" si="353"/>
        <v>140.4</v>
      </c>
      <c r="K469" s="2007">
        <f t="shared" si="349"/>
        <v>110.7</v>
      </c>
      <c r="L469" s="2007">
        <f t="shared" si="350"/>
        <v>29.7</v>
      </c>
      <c r="M469" s="2016"/>
      <c r="N469" s="2016"/>
      <c r="O469" s="2016"/>
      <c r="P469" s="2016"/>
      <c r="Q469" s="2016"/>
      <c r="R469" s="2016"/>
      <c r="S469" s="2016"/>
      <c r="T469" s="2016">
        <f t="shared" si="354"/>
        <v>7.0200000000000005</v>
      </c>
      <c r="U469" s="2016"/>
      <c r="V469" s="2016">
        <f t="shared" si="355"/>
        <v>14.040000000000001</v>
      </c>
      <c r="W469" s="2016">
        <f t="shared" si="356"/>
        <v>21.06</v>
      </c>
      <c r="X469" s="2016">
        <f t="shared" si="357"/>
        <v>28.080000000000002</v>
      </c>
      <c r="Y469" s="2016">
        <f t="shared" si="358"/>
        <v>42.12</v>
      </c>
      <c r="Z469" s="2016">
        <f t="shared" si="359"/>
        <v>28.080000000000002</v>
      </c>
    </row>
    <row r="470" spans="1:26" s="2009" customFormat="1" ht="30" x14ac:dyDescent="0.2">
      <c r="A470" s="1635" t="s">
        <v>9346</v>
      </c>
      <c r="B470" s="1984" t="s">
        <v>5281</v>
      </c>
      <c r="C470" s="1984" t="s">
        <v>9117</v>
      </c>
      <c r="D470" s="1813" t="s">
        <v>9082</v>
      </c>
      <c r="E470" s="1638">
        <v>4</v>
      </c>
      <c r="F470" s="1639" t="s">
        <v>5284</v>
      </c>
      <c r="G470" s="1636">
        <v>18.28</v>
      </c>
      <c r="H470" s="1636">
        <f t="shared" si="351"/>
        <v>4.92</v>
      </c>
      <c r="I470" s="1636">
        <f t="shared" si="352"/>
        <v>23.200000000000003</v>
      </c>
      <c r="J470" s="1723">
        <f t="shared" si="353"/>
        <v>92.8</v>
      </c>
      <c r="K470" s="2007">
        <f t="shared" si="349"/>
        <v>73.12</v>
      </c>
      <c r="L470" s="2007">
        <f t="shared" si="350"/>
        <v>19.68</v>
      </c>
      <c r="M470" s="2016"/>
      <c r="N470" s="2016"/>
      <c r="O470" s="2016"/>
      <c r="P470" s="2016"/>
      <c r="Q470" s="2016"/>
      <c r="R470" s="2016"/>
      <c r="S470" s="2016"/>
      <c r="T470" s="2016">
        <f t="shared" si="354"/>
        <v>4.6399999999999997</v>
      </c>
      <c r="U470" s="2016"/>
      <c r="V470" s="2016">
        <f t="shared" si="355"/>
        <v>9.2799999999999994</v>
      </c>
      <c r="W470" s="2016">
        <f t="shared" si="356"/>
        <v>13.92</v>
      </c>
      <c r="X470" s="2016">
        <f t="shared" si="357"/>
        <v>18.559999999999999</v>
      </c>
      <c r="Y470" s="2016">
        <f t="shared" si="358"/>
        <v>27.84</v>
      </c>
      <c r="Z470" s="2016">
        <f t="shared" si="359"/>
        <v>18.559999999999999</v>
      </c>
    </row>
    <row r="471" spans="1:26" s="2009" customFormat="1" ht="30" x14ac:dyDescent="0.2">
      <c r="A471" s="1635" t="s">
        <v>9347</v>
      </c>
      <c r="B471" s="1984" t="s">
        <v>5278</v>
      </c>
      <c r="C471" s="1984">
        <v>436</v>
      </c>
      <c r="D471" s="1813" t="s">
        <v>9083</v>
      </c>
      <c r="E471" s="1638">
        <v>4</v>
      </c>
      <c r="F471" s="1639" t="s">
        <v>5284</v>
      </c>
      <c r="G471" s="1636">
        <v>6.24</v>
      </c>
      <c r="H471" s="1636">
        <f t="shared" si="351"/>
        <v>1.68</v>
      </c>
      <c r="I471" s="1636">
        <f t="shared" si="352"/>
        <v>7.92</v>
      </c>
      <c r="J471" s="1723">
        <f t="shared" si="353"/>
        <v>31.68</v>
      </c>
      <c r="K471" s="2007">
        <f t="shared" si="349"/>
        <v>24.96</v>
      </c>
      <c r="L471" s="2007">
        <f t="shared" si="350"/>
        <v>6.72</v>
      </c>
      <c r="M471" s="2016"/>
      <c r="N471" s="2016"/>
      <c r="O471" s="2016"/>
      <c r="P471" s="2016"/>
      <c r="Q471" s="2016"/>
      <c r="R471" s="2016"/>
      <c r="S471" s="2016"/>
      <c r="T471" s="2016">
        <f t="shared" si="354"/>
        <v>1.5840000000000001</v>
      </c>
      <c r="U471" s="2016"/>
      <c r="V471" s="2016">
        <f t="shared" si="355"/>
        <v>3.1680000000000001</v>
      </c>
      <c r="W471" s="2016">
        <f t="shared" si="356"/>
        <v>4.7519999999999998</v>
      </c>
      <c r="X471" s="2016">
        <f t="shared" si="357"/>
        <v>6.3360000000000003</v>
      </c>
      <c r="Y471" s="2016">
        <f t="shared" si="358"/>
        <v>9.5039999999999996</v>
      </c>
      <c r="Z471" s="2016">
        <f t="shared" si="359"/>
        <v>6.3360000000000003</v>
      </c>
    </row>
    <row r="472" spans="1:26" s="2009" customFormat="1" ht="30" x14ac:dyDescent="0.2">
      <c r="A472" s="1635" t="s">
        <v>9349</v>
      </c>
      <c r="B472" s="1984" t="s">
        <v>5281</v>
      </c>
      <c r="C472" s="1984" t="s">
        <v>9118</v>
      </c>
      <c r="D472" s="1813" t="s">
        <v>9084</v>
      </c>
      <c r="E472" s="1638">
        <v>28</v>
      </c>
      <c r="F472" s="1639" t="s">
        <v>5284</v>
      </c>
      <c r="G472" s="1636">
        <v>0.73</v>
      </c>
      <c r="H472" s="1636">
        <f t="shared" si="351"/>
        <v>0.2</v>
      </c>
      <c r="I472" s="1636">
        <f t="shared" si="352"/>
        <v>0.92999999999999994</v>
      </c>
      <c r="J472" s="1723">
        <f t="shared" si="353"/>
        <v>26.04</v>
      </c>
      <c r="K472" s="2007">
        <f t="shared" si="349"/>
        <v>20.440000000000001</v>
      </c>
      <c r="L472" s="2007">
        <f t="shared" si="350"/>
        <v>5.6</v>
      </c>
      <c r="M472" s="2016"/>
      <c r="N472" s="2016"/>
      <c r="O472" s="2016"/>
      <c r="P472" s="2016"/>
      <c r="Q472" s="2016"/>
      <c r="R472" s="2016"/>
      <c r="S472" s="2016"/>
      <c r="T472" s="2016">
        <f t="shared" si="354"/>
        <v>1.302</v>
      </c>
      <c r="U472" s="2016"/>
      <c r="V472" s="2016">
        <f t="shared" si="355"/>
        <v>2.6040000000000001</v>
      </c>
      <c r="W472" s="2016">
        <f t="shared" si="356"/>
        <v>3.9059999999999997</v>
      </c>
      <c r="X472" s="2016">
        <f t="shared" si="357"/>
        <v>5.2080000000000002</v>
      </c>
      <c r="Y472" s="2016">
        <f t="shared" si="358"/>
        <v>7.8119999999999994</v>
      </c>
      <c r="Z472" s="2016">
        <f t="shared" si="359"/>
        <v>5.2080000000000002</v>
      </c>
    </row>
    <row r="473" spans="1:26" s="2009" customFormat="1" ht="30" x14ac:dyDescent="0.2">
      <c r="A473" s="1635" t="s">
        <v>9351</v>
      </c>
      <c r="B473" s="1984" t="s">
        <v>5281</v>
      </c>
      <c r="C473" s="1984" t="s">
        <v>9119</v>
      </c>
      <c r="D473" s="1813" t="s">
        <v>9085</v>
      </c>
      <c r="E473" s="1638">
        <v>6</v>
      </c>
      <c r="F473" s="1639" t="s">
        <v>5284</v>
      </c>
      <c r="G473" s="1636">
        <v>7.46</v>
      </c>
      <c r="H473" s="1636">
        <f t="shared" si="351"/>
        <v>2.0099999999999998</v>
      </c>
      <c r="I473" s="1636">
        <f t="shared" si="352"/>
        <v>9.4699999999999989</v>
      </c>
      <c r="J473" s="1723">
        <f t="shared" si="353"/>
        <v>56.82</v>
      </c>
      <c r="K473" s="2007">
        <f t="shared" si="349"/>
        <v>44.76</v>
      </c>
      <c r="L473" s="2007">
        <f t="shared" si="350"/>
        <v>12.06</v>
      </c>
      <c r="M473" s="2016"/>
      <c r="N473" s="2016"/>
      <c r="O473" s="2016"/>
      <c r="P473" s="2016"/>
      <c r="Q473" s="2016"/>
      <c r="R473" s="2016"/>
      <c r="S473" s="2016"/>
      <c r="T473" s="2016">
        <f t="shared" si="354"/>
        <v>2.8410000000000002</v>
      </c>
      <c r="U473" s="2016"/>
      <c r="V473" s="2016">
        <f t="shared" si="355"/>
        <v>5.6820000000000004</v>
      </c>
      <c r="W473" s="2016">
        <f t="shared" si="356"/>
        <v>8.5229999999999997</v>
      </c>
      <c r="X473" s="2016">
        <f t="shared" si="357"/>
        <v>11.364000000000001</v>
      </c>
      <c r="Y473" s="2016">
        <f t="shared" si="358"/>
        <v>17.045999999999999</v>
      </c>
      <c r="Z473" s="2016">
        <f t="shared" si="359"/>
        <v>11.364000000000001</v>
      </c>
    </row>
    <row r="474" spans="1:26" s="2009" customFormat="1" ht="30" x14ac:dyDescent="0.2">
      <c r="A474" s="1635" t="s">
        <v>9352</v>
      </c>
      <c r="B474" s="1984" t="s">
        <v>5278</v>
      </c>
      <c r="C474" s="1984">
        <v>430</v>
      </c>
      <c r="D474" s="1813" t="s">
        <v>9086</v>
      </c>
      <c r="E474" s="1638">
        <v>6</v>
      </c>
      <c r="F474" s="1639" t="s">
        <v>5284</v>
      </c>
      <c r="G474" s="1636">
        <v>5.58</v>
      </c>
      <c r="H474" s="1636">
        <f t="shared" si="351"/>
        <v>1.5</v>
      </c>
      <c r="I474" s="1636">
        <f t="shared" si="352"/>
        <v>7.08</v>
      </c>
      <c r="J474" s="1723">
        <f t="shared" si="353"/>
        <v>42.48</v>
      </c>
      <c r="K474" s="2007">
        <f t="shared" si="349"/>
        <v>33.479999999999997</v>
      </c>
      <c r="L474" s="2007">
        <f t="shared" si="350"/>
        <v>9</v>
      </c>
      <c r="M474" s="2016"/>
      <c r="N474" s="2016"/>
      <c r="O474" s="2016"/>
      <c r="P474" s="2016"/>
      <c r="Q474" s="2016"/>
      <c r="R474" s="2016"/>
      <c r="S474" s="2016"/>
      <c r="T474" s="2016">
        <f t="shared" si="354"/>
        <v>2.1240000000000001</v>
      </c>
      <c r="U474" s="2016"/>
      <c r="V474" s="2016">
        <f t="shared" si="355"/>
        <v>4.2480000000000002</v>
      </c>
      <c r="W474" s="2016">
        <f t="shared" si="356"/>
        <v>6.371999999999999</v>
      </c>
      <c r="X474" s="2016">
        <f t="shared" si="357"/>
        <v>8.4960000000000004</v>
      </c>
      <c r="Y474" s="2016">
        <f t="shared" si="358"/>
        <v>12.743999999999998</v>
      </c>
      <c r="Z474" s="2016">
        <f t="shared" si="359"/>
        <v>8.4960000000000004</v>
      </c>
    </row>
    <row r="475" spans="1:26" s="2009" customFormat="1" ht="30" x14ac:dyDescent="0.2">
      <c r="A475" s="1635" t="s">
        <v>9356</v>
      </c>
      <c r="B475" s="1984" t="s">
        <v>5696</v>
      </c>
      <c r="C475" s="1984" t="s">
        <v>9353</v>
      </c>
      <c r="D475" s="1813" t="s">
        <v>9087</v>
      </c>
      <c r="E475" s="1638">
        <v>3</v>
      </c>
      <c r="F475" s="1639" t="s">
        <v>5284</v>
      </c>
      <c r="G475" s="1636">
        <v>62.26</v>
      </c>
      <c r="H475" s="1636">
        <f t="shared" si="351"/>
        <v>16.77</v>
      </c>
      <c r="I475" s="1636">
        <f t="shared" si="352"/>
        <v>79.03</v>
      </c>
      <c r="J475" s="1723">
        <f t="shared" si="353"/>
        <v>237.09</v>
      </c>
      <c r="K475" s="2007">
        <f t="shared" si="349"/>
        <v>186.78</v>
      </c>
      <c r="L475" s="2007">
        <f t="shared" si="350"/>
        <v>50.31</v>
      </c>
      <c r="M475" s="2016"/>
      <c r="N475" s="2016"/>
      <c r="O475" s="2016"/>
      <c r="P475" s="2016"/>
      <c r="Q475" s="2016"/>
      <c r="R475" s="2016"/>
      <c r="S475" s="2016"/>
      <c r="T475" s="2016">
        <f t="shared" si="354"/>
        <v>11.854500000000002</v>
      </c>
      <c r="U475" s="2016"/>
      <c r="V475" s="2016">
        <f t="shared" si="355"/>
        <v>23.709000000000003</v>
      </c>
      <c r="W475" s="2016">
        <f t="shared" si="356"/>
        <v>35.563499999999998</v>
      </c>
      <c r="X475" s="2016">
        <f t="shared" si="357"/>
        <v>47.418000000000006</v>
      </c>
      <c r="Y475" s="2016">
        <f t="shared" si="358"/>
        <v>71.126999999999995</v>
      </c>
      <c r="Z475" s="2016">
        <f t="shared" si="359"/>
        <v>47.418000000000006</v>
      </c>
    </row>
    <row r="476" spans="1:26" s="2009" customFormat="1" ht="30" x14ac:dyDescent="0.2">
      <c r="A476" s="1635" t="s">
        <v>9358</v>
      </c>
      <c r="B476" s="1984" t="s">
        <v>5281</v>
      </c>
      <c r="C476" s="1984" t="s">
        <v>9120</v>
      </c>
      <c r="D476" s="1813" t="s">
        <v>9088</v>
      </c>
      <c r="E476" s="1638">
        <v>8</v>
      </c>
      <c r="F476" s="1639" t="s">
        <v>5284</v>
      </c>
      <c r="G476" s="1636">
        <v>1.47</v>
      </c>
      <c r="H476" s="1636">
        <f t="shared" si="351"/>
        <v>0.4</v>
      </c>
      <c r="I476" s="1636">
        <f t="shared" si="352"/>
        <v>1.87</v>
      </c>
      <c r="J476" s="1723">
        <f t="shared" si="353"/>
        <v>14.96</v>
      </c>
      <c r="K476" s="2007">
        <f t="shared" si="349"/>
        <v>11.76</v>
      </c>
      <c r="L476" s="2007">
        <f t="shared" si="350"/>
        <v>3.2</v>
      </c>
      <c r="M476" s="2016"/>
      <c r="N476" s="2016"/>
      <c r="O476" s="2016"/>
      <c r="P476" s="2016"/>
      <c r="Q476" s="2016"/>
      <c r="R476" s="2016"/>
      <c r="S476" s="2016"/>
      <c r="T476" s="2016">
        <f t="shared" si="354"/>
        <v>0.74800000000000011</v>
      </c>
      <c r="U476" s="2016"/>
      <c r="V476" s="2016">
        <f t="shared" si="355"/>
        <v>1.4960000000000002</v>
      </c>
      <c r="W476" s="2016">
        <f t="shared" si="356"/>
        <v>2.2440000000000002</v>
      </c>
      <c r="X476" s="2016">
        <f t="shared" si="357"/>
        <v>2.9920000000000004</v>
      </c>
      <c r="Y476" s="2016">
        <f t="shared" si="358"/>
        <v>4.4880000000000004</v>
      </c>
      <c r="Z476" s="2016">
        <f t="shared" si="359"/>
        <v>2.9920000000000004</v>
      </c>
    </row>
    <row r="477" spans="1:26" s="2009" customFormat="1" ht="30" x14ac:dyDescent="0.2">
      <c r="A477" s="1635" t="s">
        <v>9359</v>
      </c>
      <c r="B477" s="1984" t="s">
        <v>5278</v>
      </c>
      <c r="C477" s="1984">
        <v>402</v>
      </c>
      <c r="D477" s="1813" t="s">
        <v>9089</v>
      </c>
      <c r="E477" s="1638">
        <v>5</v>
      </c>
      <c r="F477" s="1639" t="s">
        <v>5284</v>
      </c>
      <c r="G477" s="1636">
        <v>9.0399999999999991</v>
      </c>
      <c r="H477" s="1636">
        <f t="shared" si="351"/>
        <v>2.4300000000000002</v>
      </c>
      <c r="I477" s="1636">
        <f t="shared" si="352"/>
        <v>11.469999999999999</v>
      </c>
      <c r="J477" s="1723">
        <f t="shared" si="353"/>
        <v>57.35</v>
      </c>
      <c r="K477" s="2007">
        <f t="shared" si="349"/>
        <v>45.2</v>
      </c>
      <c r="L477" s="2007">
        <f t="shared" si="350"/>
        <v>12.15</v>
      </c>
      <c r="M477" s="2016"/>
      <c r="N477" s="2016"/>
      <c r="O477" s="2016"/>
      <c r="P477" s="2016"/>
      <c r="Q477" s="2016"/>
      <c r="R477" s="2016"/>
      <c r="S477" s="2016"/>
      <c r="T477" s="2016">
        <f t="shared" si="354"/>
        <v>2.8675000000000002</v>
      </c>
      <c r="U477" s="2016"/>
      <c r="V477" s="2016">
        <f t="shared" si="355"/>
        <v>5.7350000000000003</v>
      </c>
      <c r="W477" s="2016">
        <f t="shared" si="356"/>
        <v>8.6024999999999991</v>
      </c>
      <c r="X477" s="2016">
        <f t="shared" si="357"/>
        <v>11.47</v>
      </c>
      <c r="Y477" s="2016">
        <f t="shared" si="358"/>
        <v>17.204999999999998</v>
      </c>
      <c r="Z477" s="2016">
        <f t="shared" si="359"/>
        <v>11.47</v>
      </c>
    </row>
    <row r="478" spans="1:26" s="2009" customFormat="1" ht="15" x14ac:dyDescent="0.2">
      <c r="A478" s="1635" t="s">
        <v>9361</v>
      </c>
      <c r="B478" s="1984" t="s">
        <v>9121</v>
      </c>
      <c r="C478" s="1984">
        <v>49774</v>
      </c>
      <c r="D478" s="1813" t="s">
        <v>9090</v>
      </c>
      <c r="E478" s="1638">
        <v>3</v>
      </c>
      <c r="F478" s="1639" t="s">
        <v>5284</v>
      </c>
      <c r="G478" s="1636">
        <v>14.99</v>
      </c>
      <c r="H478" s="1636">
        <f t="shared" si="351"/>
        <v>4.04</v>
      </c>
      <c r="I478" s="1636">
        <f t="shared" si="352"/>
        <v>19.03</v>
      </c>
      <c r="J478" s="1723">
        <f t="shared" si="353"/>
        <v>57.09</v>
      </c>
      <c r="K478" s="2007">
        <f t="shared" si="349"/>
        <v>44.97</v>
      </c>
      <c r="L478" s="2007">
        <f t="shared" si="350"/>
        <v>12.12</v>
      </c>
      <c r="M478" s="2016"/>
      <c r="N478" s="2016"/>
      <c r="O478" s="2016"/>
      <c r="P478" s="2016"/>
      <c r="Q478" s="2016"/>
      <c r="R478" s="2016"/>
      <c r="S478" s="2016"/>
      <c r="T478" s="2016">
        <f t="shared" si="354"/>
        <v>2.8545000000000003</v>
      </c>
      <c r="U478" s="2016"/>
      <c r="V478" s="2016">
        <f t="shared" si="355"/>
        <v>5.7090000000000005</v>
      </c>
      <c r="W478" s="2016">
        <f t="shared" si="356"/>
        <v>8.5634999999999994</v>
      </c>
      <c r="X478" s="2016">
        <f t="shared" si="357"/>
        <v>11.418000000000001</v>
      </c>
      <c r="Y478" s="2016">
        <f t="shared" si="358"/>
        <v>17.126999999999999</v>
      </c>
      <c r="Z478" s="2016">
        <f t="shared" si="359"/>
        <v>11.418000000000001</v>
      </c>
    </row>
    <row r="479" spans="1:26" s="2009" customFormat="1" ht="30" x14ac:dyDescent="0.2">
      <c r="A479" s="1635" t="s">
        <v>9363</v>
      </c>
      <c r="B479" s="1984" t="s">
        <v>6907</v>
      </c>
      <c r="C479" s="1984">
        <v>9352</v>
      </c>
      <c r="D479" s="1813" t="s">
        <v>9091</v>
      </c>
      <c r="E479" s="1638">
        <v>10</v>
      </c>
      <c r="F479" s="1639" t="s">
        <v>5284</v>
      </c>
      <c r="G479" s="1636">
        <v>36.9</v>
      </c>
      <c r="H479" s="1636">
        <f t="shared" si="351"/>
        <v>9.94</v>
      </c>
      <c r="I479" s="1636">
        <f t="shared" si="352"/>
        <v>46.839999999999996</v>
      </c>
      <c r="J479" s="1723">
        <f t="shared" si="353"/>
        <v>468.4</v>
      </c>
      <c r="K479" s="2007">
        <f t="shared" si="349"/>
        <v>369</v>
      </c>
      <c r="L479" s="2007">
        <f t="shared" si="350"/>
        <v>99.4</v>
      </c>
      <c r="M479" s="2016"/>
      <c r="N479" s="2016"/>
      <c r="O479" s="2016"/>
      <c r="P479" s="2016"/>
      <c r="Q479" s="2016"/>
      <c r="R479" s="2016"/>
      <c r="S479" s="2016"/>
      <c r="T479" s="2016">
        <f t="shared" si="354"/>
        <v>23.42</v>
      </c>
      <c r="U479" s="2016"/>
      <c r="V479" s="2016">
        <f t="shared" si="355"/>
        <v>46.84</v>
      </c>
      <c r="W479" s="2016">
        <f t="shared" si="356"/>
        <v>70.259999999999991</v>
      </c>
      <c r="X479" s="2016">
        <f t="shared" si="357"/>
        <v>93.68</v>
      </c>
      <c r="Y479" s="2016">
        <f t="shared" si="358"/>
        <v>140.51999999999998</v>
      </c>
      <c r="Z479" s="2016">
        <f t="shared" si="359"/>
        <v>93.68</v>
      </c>
    </row>
    <row r="480" spans="1:26" s="2009" customFormat="1" ht="30" x14ac:dyDescent="0.2">
      <c r="A480" s="1635" t="s">
        <v>9365</v>
      </c>
      <c r="B480" s="1984" t="s">
        <v>6907</v>
      </c>
      <c r="C480" s="1984">
        <v>10631</v>
      </c>
      <c r="D480" s="1813" t="s">
        <v>9092</v>
      </c>
      <c r="E480" s="1638">
        <v>21</v>
      </c>
      <c r="F480" s="1639" t="s">
        <v>5284</v>
      </c>
      <c r="G480" s="1636">
        <v>25.78</v>
      </c>
      <c r="H480" s="1636">
        <f t="shared" si="351"/>
        <v>6.94</v>
      </c>
      <c r="I480" s="1636">
        <f t="shared" si="352"/>
        <v>32.72</v>
      </c>
      <c r="J480" s="1723">
        <f t="shared" si="353"/>
        <v>687.12</v>
      </c>
      <c r="K480" s="2007">
        <f t="shared" si="349"/>
        <v>541.38</v>
      </c>
      <c r="L480" s="2007">
        <f t="shared" si="350"/>
        <v>145.74</v>
      </c>
      <c r="M480" s="2016"/>
      <c r="N480" s="2016"/>
      <c r="O480" s="2016"/>
      <c r="P480" s="2016"/>
      <c r="Q480" s="2016"/>
      <c r="R480" s="2016"/>
      <c r="S480" s="2016"/>
      <c r="T480" s="2016">
        <f t="shared" si="354"/>
        <v>34.356000000000002</v>
      </c>
      <c r="U480" s="2016"/>
      <c r="V480" s="2016">
        <f t="shared" si="355"/>
        <v>68.712000000000003</v>
      </c>
      <c r="W480" s="2016">
        <f t="shared" si="356"/>
        <v>103.068</v>
      </c>
      <c r="X480" s="2016">
        <f t="shared" si="357"/>
        <v>137.42400000000001</v>
      </c>
      <c r="Y480" s="2016">
        <f t="shared" si="358"/>
        <v>206.136</v>
      </c>
      <c r="Z480" s="2016">
        <f t="shared" si="359"/>
        <v>137.42400000000001</v>
      </c>
    </row>
    <row r="481" spans="1:26" s="2009" customFormat="1" ht="30" x14ac:dyDescent="0.2">
      <c r="A481" s="1635" t="s">
        <v>9369</v>
      </c>
      <c r="B481" s="1984" t="s">
        <v>5281</v>
      </c>
      <c r="C481" s="1984" t="s">
        <v>9366</v>
      </c>
      <c r="D481" s="1813" t="s">
        <v>9367</v>
      </c>
      <c r="E481" s="1638">
        <v>1</v>
      </c>
      <c r="F481" s="1639" t="s">
        <v>5284</v>
      </c>
      <c r="G481" s="1636">
        <v>141.91</v>
      </c>
      <c r="H481" s="1636">
        <f t="shared" si="351"/>
        <v>38.22</v>
      </c>
      <c r="I481" s="1636">
        <f t="shared" si="352"/>
        <v>180.13</v>
      </c>
      <c r="J481" s="1723">
        <f t="shared" si="353"/>
        <v>180.13</v>
      </c>
      <c r="K481" s="2007">
        <f t="shared" si="349"/>
        <v>141.91</v>
      </c>
      <c r="L481" s="2007">
        <f t="shared" si="350"/>
        <v>38.22</v>
      </c>
      <c r="M481" s="2016"/>
      <c r="N481" s="2016"/>
      <c r="O481" s="2016"/>
      <c r="P481" s="2016"/>
      <c r="Q481" s="2016"/>
      <c r="R481" s="2016"/>
      <c r="S481" s="2016"/>
      <c r="T481" s="2016">
        <f t="shared" si="354"/>
        <v>9.0065000000000008</v>
      </c>
      <c r="U481" s="2016"/>
      <c r="V481" s="2016">
        <f t="shared" si="355"/>
        <v>18.013000000000002</v>
      </c>
      <c r="W481" s="2016">
        <f t="shared" si="356"/>
        <v>27.019499999999997</v>
      </c>
      <c r="X481" s="2016">
        <f t="shared" si="357"/>
        <v>36.026000000000003</v>
      </c>
      <c r="Y481" s="2016">
        <f t="shared" si="358"/>
        <v>54.038999999999994</v>
      </c>
      <c r="Z481" s="2016">
        <f t="shared" si="359"/>
        <v>36.026000000000003</v>
      </c>
    </row>
    <row r="482" spans="1:26" s="2009" customFormat="1" ht="15" x14ac:dyDescent="0.2">
      <c r="A482" s="1635" t="s">
        <v>9370</v>
      </c>
      <c r="B482" s="1984" t="s">
        <v>5778</v>
      </c>
      <c r="C482" s="1984">
        <v>71110</v>
      </c>
      <c r="D482" s="1813" t="s">
        <v>9093</v>
      </c>
      <c r="E482" s="1638">
        <v>2</v>
      </c>
      <c r="F482" s="1639" t="s">
        <v>5284</v>
      </c>
      <c r="G482" s="1636">
        <v>184.71</v>
      </c>
      <c r="H482" s="1636">
        <f t="shared" si="351"/>
        <v>49.74</v>
      </c>
      <c r="I482" s="1636">
        <f t="shared" si="352"/>
        <v>234.45000000000002</v>
      </c>
      <c r="J482" s="1723">
        <f t="shared" si="353"/>
        <v>468.9</v>
      </c>
      <c r="K482" s="2007">
        <f t="shared" si="349"/>
        <v>369.42</v>
      </c>
      <c r="L482" s="2007">
        <f t="shared" si="350"/>
        <v>99.48</v>
      </c>
      <c r="M482" s="2016"/>
      <c r="N482" s="2016"/>
      <c r="O482" s="2016"/>
      <c r="P482" s="2016"/>
      <c r="Q482" s="2016"/>
      <c r="R482" s="2016"/>
      <c r="S482" s="2016"/>
      <c r="T482" s="2016">
        <f t="shared" si="354"/>
        <v>23.445</v>
      </c>
      <c r="U482" s="2016"/>
      <c r="V482" s="2016">
        <f t="shared" si="355"/>
        <v>46.89</v>
      </c>
      <c r="W482" s="2016">
        <f t="shared" si="356"/>
        <v>70.334999999999994</v>
      </c>
      <c r="X482" s="2016">
        <f t="shared" si="357"/>
        <v>93.78</v>
      </c>
      <c r="Y482" s="2016">
        <f t="shared" si="358"/>
        <v>140.66999999999999</v>
      </c>
      <c r="Z482" s="2016">
        <f t="shared" si="359"/>
        <v>93.78</v>
      </c>
    </row>
    <row r="483" spans="1:26" s="2009" customFormat="1" ht="30" x14ac:dyDescent="0.2">
      <c r="A483" s="1635" t="s">
        <v>9373</v>
      </c>
      <c r="B483" s="1984" t="s">
        <v>6907</v>
      </c>
      <c r="C483" s="1984">
        <v>4634</v>
      </c>
      <c r="D483" s="1813" t="s">
        <v>9094</v>
      </c>
      <c r="E483" s="1638">
        <v>6</v>
      </c>
      <c r="F483" s="1639" t="s">
        <v>5284</v>
      </c>
      <c r="G483" s="1636">
        <v>141.65</v>
      </c>
      <c r="H483" s="1636">
        <f t="shared" si="351"/>
        <v>38.15</v>
      </c>
      <c r="I483" s="1636">
        <f t="shared" si="352"/>
        <v>179.8</v>
      </c>
      <c r="J483" s="1723">
        <f t="shared" si="353"/>
        <v>1078.8</v>
      </c>
      <c r="K483" s="2007">
        <f t="shared" si="349"/>
        <v>849.9</v>
      </c>
      <c r="L483" s="2007">
        <f t="shared" si="350"/>
        <v>228.9</v>
      </c>
      <c r="M483" s="2016"/>
      <c r="N483" s="2016"/>
      <c r="O483" s="2016"/>
      <c r="P483" s="2016"/>
      <c r="Q483" s="2016"/>
      <c r="R483" s="2016"/>
      <c r="S483" s="2016"/>
      <c r="T483" s="2016">
        <f t="shared" si="354"/>
        <v>53.94</v>
      </c>
      <c r="U483" s="2016"/>
      <c r="V483" s="2016">
        <f t="shared" si="355"/>
        <v>107.88</v>
      </c>
      <c r="W483" s="2016">
        <f t="shared" si="356"/>
        <v>161.82</v>
      </c>
      <c r="X483" s="2016">
        <f t="shared" si="357"/>
        <v>215.76</v>
      </c>
      <c r="Y483" s="2016">
        <f t="shared" si="358"/>
        <v>323.64</v>
      </c>
      <c r="Z483" s="2016">
        <f t="shared" si="359"/>
        <v>215.76</v>
      </c>
    </row>
    <row r="484" spans="1:26" s="2009" customFormat="1" ht="15" x14ac:dyDescent="0.2">
      <c r="A484" s="1635" t="s">
        <v>9375</v>
      </c>
      <c r="B484" s="1984" t="s">
        <v>5778</v>
      </c>
      <c r="C484" s="1984">
        <v>70771</v>
      </c>
      <c r="D484" s="1813" t="s">
        <v>9095</v>
      </c>
      <c r="E484" s="1638">
        <v>4</v>
      </c>
      <c r="F484" s="1639" t="s">
        <v>5284</v>
      </c>
      <c r="G484" s="1636">
        <v>64.069999999999993</v>
      </c>
      <c r="H484" s="1636">
        <f t="shared" si="351"/>
        <v>17.25</v>
      </c>
      <c r="I484" s="1636">
        <f t="shared" si="352"/>
        <v>81.319999999999993</v>
      </c>
      <c r="J484" s="1723">
        <f t="shared" si="353"/>
        <v>325.27999999999997</v>
      </c>
      <c r="K484" s="2007">
        <f t="shared" si="349"/>
        <v>256.27999999999997</v>
      </c>
      <c r="L484" s="2007">
        <f t="shared" si="350"/>
        <v>69</v>
      </c>
      <c r="M484" s="2016"/>
      <c r="N484" s="2016"/>
      <c r="O484" s="2016"/>
      <c r="P484" s="2016"/>
      <c r="Q484" s="2016"/>
      <c r="R484" s="2016"/>
      <c r="S484" s="2016"/>
      <c r="T484" s="2016">
        <f t="shared" si="354"/>
        <v>16.263999999999999</v>
      </c>
      <c r="U484" s="2016"/>
      <c r="V484" s="2016">
        <f t="shared" si="355"/>
        <v>32.527999999999999</v>
      </c>
      <c r="W484" s="2016">
        <f t="shared" si="356"/>
        <v>48.791999999999994</v>
      </c>
      <c r="X484" s="2016">
        <f t="shared" si="357"/>
        <v>65.055999999999997</v>
      </c>
      <c r="Y484" s="2016">
        <f t="shared" si="358"/>
        <v>97.583999999999989</v>
      </c>
      <c r="Z484" s="2016">
        <f t="shared" si="359"/>
        <v>65.055999999999997</v>
      </c>
    </row>
    <row r="485" spans="1:26" s="2009" customFormat="1" ht="30" x14ac:dyDescent="0.2">
      <c r="A485" s="1635" t="s">
        <v>9377</v>
      </c>
      <c r="B485" s="1984" t="s">
        <v>6907</v>
      </c>
      <c r="C485" s="1984">
        <v>10512</v>
      </c>
      <c r="D485" s="1813" t="s">
        <v>9096</v>
      </c>
      <c r="E485" s="1638">
        <v>4</v>
      </c>
      <c r="F485" s="1639" t="s">
        <v>5284</v>
      </c>
      <c r="G485" s="1636">
        <v>11.96</v>
      </c>
      <c r="H485" s="1636">
        <f t="shared" si="351"/>
        <v>3.22</v>
      </c>
      <c r="I485" s="1636">
        <f t="shared" si="352"/>
        <v>15.180000000000001</v>
      </c>
      <c r="J485" s="1723">
        <f t="shared" si="353"/>
        <v>60.72</v>
      </c>
      <c r="K485" s="2007">
        <f t="shared" si="349"/>
        <v>47.84</v>
      </c>
      <c r="L485" s="2007">
        <f t="shared" si="350"/>
        <v>12.88</v>
      </c>
      <c r="M485" s="2016"/>
      <c r="N485" s="2016"/>
      <c r="O485" s="2016"/>
      <c r="P485" s="2016"/>
      <c r="Q485" s="2016"/>
      <c r="R485" s="2016"/>
      <c r="S485" s="2016"/>
      <c r="T485" s="2016">
        <f t="shared" si="354"/>
        <v>3.036</v>
      </c>
      <c r="U485" s="2016"/>
      <c r="V485" s="2016">
        <f t="shared" si="355"/>
        <v>6.0720000000000001</v>
      </c>
      <c r="W485" s="2016">
        <f t="shared" si="356"/>
        <v>9.1079999999999988</v>
      </c>
      <c r="X485" s="2016">
        <f t="shared" si="357"/>
        <v>12.144</v>
      </c>
      <c r="Y485" s="2016">
        <f t="shared" si="358"/>
        <v>18.215999999999998</v>
      </c>
      <c r="Z485" s="2016">
        <f t="shared" si="359"/>
        <v>12.144</v>
      </c>
    </row>
    <row r="486" spans="1:26" s="2009" customFormat="1" ht="30" x14ac:dyDescent="0.2">
      <c r="A486" s="1635" t="s">
        <v>9379</v>
      </c>
      <c r="B486" s="1984" t="s">
        <v>6907</v>
      </c>
      <c r="C486" s="1984">
        <v>1672</v>
      </c>
      <c r="D486" s="1813" t="s">
        <v>9097</v>
      </c>
      <c r="E486" s="1638">
        <v>16</v>
      </c>
      <c r="F486" s="1639" t="s">
        <v>5284</v>
      </c>
      <c r="G486" s="1636">
        <v>9.52</v>
      </c>
      <c r="H486" s="1636">
        <f t="shared" si="351"/>
        <v>2.56</v>
      </c>
      <c r="I486" s="1636">
        <f t="shared" si="352"/>
        <v>12.08</v>
      </c>
      <c r="J486" s="1723">
        <f t="shared" si="353"/>
        <v>193.28</v>
      </c>
      <c r="K486" s="2007">
        <f t="shared" si="349"/>
        <v>152.32</v>
      </c>
      <c r="L486" s="2007">
        <f t="shared" si="350"/>
        <v>40.96</v>
      </c>
      <c r="M486" s="2016"/>
      <c r="N486" s="2016"/>
      <c r="O486" s="2016"/>
      <c r="P486" s="2016"/>
      <c r="Q486" s="2016"/>
      <c r="R486" s="2016"/>
      <c r="S486" s="2016"/>
      <c r="T486" s="2016">
        <f t="shared" si="354"/>
        <v>9.6640000000000015</v>
      </c>
      <c r="U486" s="2016"/>
      <c r="V486" s="2016">
        <f t="shared" si="355"/>
        <v>19.328000000000003</v>
      </c>
      <c r="W486" s="2016">
        <f t="shared" si="356"/>
        <v>28.991999999999997</v>
      </c>
      <c r="X486" s="2016">
        <f t="shared" si="357"/>
        <v>38.656000000000006</v>
      </c>
      <c r="Y486" s="2016">
        <f t="shared" si="358"/>
        <v>57.983999999999995</v>
      </c>
      <c r="Z486" s="2016">
        <f t="shared" si="359"/>
        <v>38.656000000000006</v>
      </c>
    </row>
    <row r="487" spans="1:26" s="2009" customFormat="1" ht="30" x14ac:dyDescent="0.2">
      <c r="A487" s="1635" t="s">
        <v>9381</v>
      </c>
      <c r="B487" s="1984" t="s">
        <v>6907</v>
      </c>
      <c r="C487" s="1984">
        <v>4638</v>
      </c>
      <c r="D487" s="1813" t="s">
        <v>9098</v>
      </c>
      <c r="E487" s="1638">
        <v>7</v>
      </c>
      <c r="F487" s="1639" t="s">
        <v>5284</v>
      </c>
      <c r="G487" s="1636">
        <v>20.6</v>
      </c>
      <c r="H487" s="1636">
        <f t="shared" si="351"/>
        <v>5.55</v>
      </c>
      <c r="I487" s="1636">
        <f t="shared" si="352"/>
        <v>26.150000000000002</v>
      </c>
      <c r="J487" s="1723">
        <f t="shared" si="353"/>
        <v>183.05</v>
      </c>
      <c r="K487" s="2007">
        <f t="shared" si="349"/>
        <v>144.19999999999999</v>
      </c>
      <c r="L487" s="2007">
        <f t="shared" si="350"/>
        <v>38.85</v>
      </c>
      <c r="M487" s="2016"/>
      <c r="N487" s="2016"/>
      <c r="O487" s="2016"/>
      <c r="P487" s="2016"/>
      <c r="Q487" s="2016"/>
      <c r="R487" s="2016"/>
      <c r="S487" s="2016"/>
      <c r="T487" s="2016">
        <f t="shared" si="354"/>
        <v>9.1525000000000016</v>
      </c>
      <c r="U487" s="2016"/>
      <c r="V487" s="2016">
        <f t="shared" si="355"/>
        <v>18.305000000000003</v>
      </c>
      <c r="W487" s="2016">
        <f t="shared" si="356"/>
        <v>27.4575</v>
      </c>
      <c r="X487" s="2016">
        <f t="shared" si="357"/>
        <v>36.610000000000007</v>
      </c>
      <c r="Y487" s="2016">
        <f t="shared" si="358"/>
        <v>54.914999999999999</v>
      </c>
      <c r="Z487" s="2016">
        <f t="shared" si="359"/>
        <v>36.610000000000007</v>
      </c>
    </row>
    <row r="488" spans="1:26" s="2009" customFormat="1" ht="75" x14ac:dyDescent="0.2">
      <c r="A488" s="1635" t="s">
        <v>9385</v>
      </c>
      <c r="B488" s="1984" t="s">
        <v>4448</v>
      </c>
      <c r="C488" s="1984">
        <v>100613</v>
      </c>
      <c r="D488" s="1813" t="s">
        <v>9382</v>
      </c>
      <c r="E488" s="1638">
        <v>1</v>
      </c>
      <c r="F488" s="1639" t="s">
        <v>5284</v>
      </c>
      <c r="G488" s="1636">
        <v>1031.94</v>
      </c>
      <c r="H488" s="1636">
        <f t="shared" si="351"/>
        <v>277.89999999999998</v>
      </c>
      <c r="I488" s="1636">
        <f t="shared" si="352"/>
        <v>1309.8400000000001</v>
      </c>
      <c r="J488" s="1723">
        <f t="shared" si="353"/>
        <v>1309.8399999999999</v>
      </c>
      <c r="K488" s="2007">
        <f t="shared" si="349"/>
        <v>1031.94</v>
      </c>
      <c r="L488" s="2007">
        <f t="shared" si="350"/>
        <v>277.89999999999998</v>
      </c>
      <c r="M488" s="2016"/>
      <c r="N488" s="2016"/>
      <c r="O488" s="2016"/>
      <c r="P488" s="2016"/>
      <c r="Q488" s="2016"/>
      <c r="R488" s="2016"/>
      <c r="S488" s="2016"/>
      <c r="T488" s="2016">
        <f t="shared" si="354"/>
        <v>65.492000000000004</v>
      </c>
      <c r="U488" s="2016"/>
      <c r="V488" s="2016">
        <f t="shared" si="355"/>
        <v>130.98400000000001</v>
      </c>
      <c r="W488" s="2016">
        <f t="shared" si="356"/>
        <v>196.47599999999997</v>
      </c>
      <c r="X488" s="2016">
        <f t="shared" si="357"/>
        <v>261.96800000000002</v>
      </c>
      <c r="Y488" s="2016">
        <f t="shared" si="358"/>
        <v>392.95199999999994</v>
      </c>
      <c r="Z488" s="2016">
        <f t="shared" si="359"/>
        <v>261.96800000000002</v>
      </c>
    </row>
    <row r="489" spans="1:26" s="2009" customFormat="1" ht="45" x14ac:dyDescent="0.2">
      <c r="A489" s="1635" t="s">
        <v>9386</v>
      </c>
      <c r="B489" s="1984" t="s">
        <v>5281</v>
      </c>
      <c r="C489" s="1984">
        <v>3230</v>
      </c>
      <c r="D489" s="1813" t="s">
        <v>9383</v>
      </c>
      <c r="E489" s="1638">
        <v>1</v>
      </c>
      <c r="F489" s="1639" t="s">
        <v>5284</v>
      </c>
      <c r="G489" s="1636">
        <v>2034.97</v>
      </c>
      <c r="H489" s="1636">
        <f t="shared" ref="H489" si="360">ROUND(G489*$B$13,2)</f>
        <v>548.02</v>
      </c>
      <c r="I489" s="1636">
        <f t="shared" ref="I489" si="361">H489+G489</f>
        <v>2582.9899999999998</v>
      </c>
      <c r="J489" s="1723">
        <f t="shared" ref="J489" si="362">ROUND(I489*E489,2)</f>
        <v>2582.9899999999998</v>
      </c>
      <c r="K489" s="2007">
        <f t="shared" si="349"/>
        <v>2034.97</v>
      </c>
      <c r="L489" s="2007">
        <f t="shared" si="350"/>
        <v>548.02</v>
      </c>
      <c r="M489" s="2016"/>
      <c r="N489" s="2016"/>
      <c r="O489" s="2016"/>
      <c r="P489" s="2016"/>
      <c r="Q489" s="2016"/>
      <c r="R489" s="2016"/>
      <c r="S489" s="2016"/>
      <c r="T489" s="2016">
        <f t="shared" ref="T489" si="363">0.05*J489</f>
        <v>129.14949999999999</v>
      </c>
      <c r="U489" s="2016"/>
      <c r="V489" s="2016">
        <f t="shared" ref="V489" si="364">0.1*J489</f>
        <v>258.29899999999998</v>
      </c>
      <c r="W489" s="2016">
        <f t="shared" ref="W489" si="365">0.15*J489</f>
        <v>387.44849999999997</v>
      </c>
      <c r="X489" s="2016">
        <f t="shared" ref="X489" si="366">0.2*J489</f>
        <v>516.59799999999996</v>
      </c>
      <c r="Y489" s="2016">
        <f t="shared" ref="Y489" si="367">0.3*J489</f>
        <v>774.89699999999993</v>
      </c>
      <c r="Z489" s="2016">
        <f t="shared" ref="Z489" si="368">0.2*J489</f>
        <v>516.59799999999996</v>
      </c>
    </row>
    <row r="490" spans="1:26" s="2009" customFormat="1" ht="30" x14ac:dyDescent="0.2">
      <c r="A490" s="1635" t="s">
        <v>9388</v>
      </c>
      <c r="B490" s="1984" t="s">
        <v>6907</v>
      </c>
      <c r="C490" s="1984">
        <v>4633</v>
      </c>
      <c r="D490" s="1813" t="s">
        <v>9099</v>
      </c>
      <c r="E490" s="1638">
        <v>2</v>
      </c>
      <c r="F490" s="1639" t="s">
        <v>5284</v>
      </c>
      <c r="G490" s="1636">
        <v>165.5</v>
      </c>
      <c r="H490" s="1636">
        <f t="shared" si="351"/>
        <v>44.57</v>
      </c>
      <c r="I490" s="1636">
        <f t="shared" si="352"/>
        <v>210.07</v>
      </c>
      <c r="J490" s="1723">
        <f t="shared" si="353"/>
        <v>420.14</v>
      </c>
      <c r="K490" s="2007">
        <f t="shared" si="349"/>
        <v>331</v>
      </c>
      <c r="L490" s="2007">
        <f t="shared" si="350"/>
        <v>89.14</v>
      </c>
      <c r="M490" s="2016"/>
      <c r="N490" s="2016"/>
      <c r="O490" s="2016"/>
      <c r="P490" s="2016"/>
      <c r="Q490" s="2016"/>
      <c r="R490" s="2016"/>
      <c r="S490" s="2016"/>
      <c r="T490" s="2016">
        <f t="shared" si="354"/>
        <v>21.007000000000001</v>
      </c>
      <c r="U490" s="2016"/>
      <c r="V490" s="2016">
        <f t="shared" si="355"/>
        <v>42.014000000000003</v>
      </c>
      <c r="W490" s="2016">
        <f t="shared" si="356"/>
        <v>63.020999999999994</v>
      </c>
      <c r="X490" s="2016">
        <f t="shared" si="357"/>
        <v>84.028000000000006</v>
      </c>
      <c r="Y490" s="2016">
        <f t="shared" si="358"/>
        <v>126.04199999999999</v>
      </c>
      <c r="Z490" s="2016">
        <f t="shared" si="359"/>
        <v>84.028000000000006</v>
      </c>
    </row>
    <row r="491" spans="1:26" s="2009" customFormat="1" ht="30" x14ac:dyDescent="0.2">
      <c r="A491" s="1635" t="s">
        <v>9390</v>
      </c>
      <c r="B491" s="1984" t="s">
        <v>6907</v>
      </c>
      <c r="C491" s="1984">
        <v>4635</v>
      </c>
      <c r="D491" s="1813" t="s">
        <v>9100</v>
      </c>
      <c r="E491" s="1638">
        <v>2</v>
      </c>
      <c r="F491" s="1639" t="s">
        <v>5284</v>
      </c>
      <c r="G491" s="1636">
        <v>6.93</v>
      </c>
      <c r="H491" s="1636">
        <f t="shared" si="351"/>
        <v>1.87</v>
      </c>
      <c r="I491" s="1636">
        <f t="shared" si="352"/>
        <v>8.8000000000000007</v>
      </c>
      <c r="J491" s="1723">
        <f t="shared" si="353"/>
        <v>17.600000000000001</v>
      </c>
      <c r="K491" s="2007">
        <f t="shared" si="349"/>
        <v>13.86</v>
      </c>
      <c r="L491" s="2007">
        <f t="shared" si="350"/>
        <v>3.74</v>
      </c>
      <c r="M491" s="2016"/>
      <c r="N491" s="2016"/>
      <c r="O491" s="2016"/>
      <c r="P491" s="2016"/>
      <c r="Q491" s="2016"/>
      <c r="R491" s="2016"/>
      <c r="S491" s="2016"/>
      <c r="T491" s="2016">
        <f t="shared" si="354"/>
        <v>0.88000000000000012</v>
      </c>
      <c r="U491" s="2016"/>
      <c r="V491" s="2016">
        <f t="shared" si="355"/>
        <v>1.7600000000000002</v>
      </c>
      <c r="W491" s="2016">
        <f t="shared" si="356"/>
        <v>2.64</v>
      </c>
      <c r="X491" s="2016">
        <f t="shared" si="357"/>
        <v>3.5200000000000005</v>
      </c>
      <c r="Y491" s="2016">
        <f t="shared" si="358"/>
        <v>5.28</v>
      </c>
      <c r="Z491" s="2016">
        <f t="shared" si="359"/>
        <v>3.5200000000000005</v>
      </c>
    </row>
    <row r="492" spans="1:26" s="2009" customFormat="1" ht="30" x14ac:dyDescent="0.2">
      <c r="A492" s="1635" t="s">
        <v>9392</v>
      </c>
      <c r="B492" s="1984" t="s">
        <v>6907</v>
      </c>
      <c r="C492" s="1984">
        <v>4655</v>
      </c>
      <c r="D492" s="1813" t="s">
        <v>9101</v>
      </c>
      <c r="E492" s="1638">
        <v>17</v>
      </c>
      <c r="F492" s="1639" t="s">
        <v>5284</v>
      </c>
      <c r="G492" s="1636">
        <v>26.9</v>
      </c>
      <c r="H492" s="1636">
        <f t="shared" si="351"/>
        <v>7.24</v>
      </c>
      <c r="I492" s="1636">
        <f t="shared" si="352"/>
        <v>34.14</v>
      </c>
      <c r="J492" s="1723">
        <f t="shared" si="353"/>
        <v>580.38</v>
      </c>
      <c r="K492" s="2007">
        <f t="shared" si="349"/>
        <v>457.3</v>
      </c>
      <c r="L492" s="2007">
        <f t="shared" si="350"/>
        <v>123.08</v>
      </c>
      <c r="M492" s="2016"/>
      <c r="N492" s="2016"/>
      <c r="O492" s="2016"/>
      <c r="P492" s="2016"/>
      <c r="Q492" s="2016"/>
      <c r="R492" s="2016"/>
      <c r="S492" s="2016"/>
      <c r="T492" s="2016">
        <f t="shared" si="354"/>
        <v>29.019000000000002</v>
      </c>
      <c r="U492" s="2016"/>
      <c r="V492" s="2016">
        <f t="shared" si="355"/>
        <v>58.038000000000004</v>
      </c>
      <c r="W492" s="2016">
        <f t="shared" si="356"/>
        <v>87.057000000000002</v>
      </c>
      <c r="X492" s="2016">
        <f t="shared" si="357"/>
        <v>116.07600000000001</v>
      </c>
      <c r="Y492" s="2016">
        <f t="shared" si="358"/>
        <v>174.114</v>
      </c>
      <c r="Z492" s="2016">
        <f t="shared" si="359"/>
        <v>116.07600000000001</v>
      </c>
    </row>
    <row r="493" spans="1:26" s="2009" customFormat="1" ht="15" x14ac:dyDescent="0.2">
      <c r="A493" s="1635" t="s">
        <v>9394</v>
      </c>
      <c r="B493" s="2140" t="s">
        <v>7765</v>
      </c>
      <c r="C493" s="2140"/>
      <c r="D493" s="1813" t="s">
        <v>9102</v>
      </c>
      <c r="E493" s="1638">
        <v>2</v>
      </c>
      <c r="F493" s="1639" t="s">
        <v>5284</v>
      </c>
      <c r="G493" s="1636">
        <v>27.36</v>
      </c>
      <c r="H493" s="1636">
        <f t="shared" si="351"/>
        <v>7.37</v>
      </c>
      <c r="I493" s="1636">
        <f t="shared" si="352"/>
        <v>34.729999999999997</v>
      </c>
      <c r="J493" s="1723">
        <f t="shared" si="353"/>
        <v>69.459999999999994</v>
      </c>
      <c r="K493" s="2007">
        <f t="shared" si="349"/>
        <v>54.72</v>
      </c>
      <c r="L493" s="2007">
        <f t="shared" si="350"/>
        <v>14.74</v>
      </c>
      <c r="M493" s="2016"/>
      <c r="N493" s="2016"/>
      <c r="O493" s="2016"/>
      <c r="P493" s="2016"/>
      <c r="Q493" s="2016"/>
      <c r="R493" s="2016"/>
      <c r="S493" s="2016"/>
      <c r="T493" s="2016">
        <f t="shared" si="354"/>
        <v>3.4729999999999999</v>
      </c>
      <c r="U493" s="2016"/>
      <c r="V493" s="2016">
        <f t="shared" si="355"/>
        <v>6.9459999999999997</v>
      </c>
      <c r="W493" s="2016">
        <f t="shared" si="356"/>
        <v>10.418999999999999</v>
      </c>
      <c r="X493" s="2016">
        <f t="shared" si="357"/>
        <v>13.891999999999999</v>
      </c>
      <c r="Y493" s="2016">
        <f t="shared" si="358"/>
        <v>20.837999999999997</v>
      </c>
      <c r="Z493" s="2016">
        <f t="shared" si="359"/>
        <v>13.891999999999999</v>
      </c>
    </row>
    <row r="494" spans="1:26" s="2009" customFormat="1" ht="75" x14ac:dyDescent="0.2">
      <c r="A494" s="1635" t="s">
        <v>9395</v>
      </c>
      <c r="B494" s="1984" t="s">
        <v>4448</v>
      </c>
      <c r="C494" s="1984">
        <v>100610</v>
      </c>
      <c r="D494" s="1813" t="s">
        <v>9393</v>
      </c>
      <c r="E494" s="1638">
        <v>2</v>
      </c>
      <c r="F494" s="1639" t="s">
        <v>5284</v>
      </c>
      <c r="G494" s="1636">
        <v>386.26</v>
      </c>
      <c r="H494" s="1636">
        <f t="shared" ref="H494:H495" si="369">ROUND(G494*$B$13,2)</f>
        <v>104.02</v>
      </c>
      <c r="I494" s="1636">
        <f t="shared" ref="I494:I495" si="370">H494+G494</f>
        <v>490.28</v>
      </c>
      <c r="J494" s="1723">
        <f t="shared" ref="J494:J495" si="371">ROUND(I494*E494,2)</f>
        <v>980.56</v>
      </c>
      <c r="K494" s="2007">
        <f t="shared" si="349"/>
        <v>772.52</v>
      </c>
      <c r="L494" s="2007">
        <f t="shared" si="350"/>
        <v>208.04</v>
      </c>
      <c r="M494" s="2016"/>
      <c r="N494" s="2016"/>
      <c r="O494" s="2016"/>
      <c r="P494" s="2016"/>
      <c r="Q494" s="2016"/>
      <c r="R494" s="2016"/>
      <c r="S494" s="2016"/>
      <c r="T494" s="2016">
        <f t="shared" ref="T494" si="372">0.05*J494</f>
        <v>49.027999999999999</v>
      </c>
      <c r="U494" s="2016"/>
      <c r="V494" s="2016">
        <f t="shared" ref="V494" si="373">0.1*J494</f>
        <v>98.055999999999997</v>
      </c>
      <c r="W494" s="2016">
        <f t="shared" ref="W494" si="374">0.15*J494</f>
        <v>147.08399999999997</v>
      </c>
      <c r="X494" s="2016">
        <f t="shared" ref="X494" si="375">0.2*J494</f>
        <v>196.11199999999999</v>
      </c>
      <c r="Y494" s="2016">
        <f t="shared" ref="Y494" si="376">0.3*J494</f>
        <v>294.16799999999995</v>
      </c>
      <c r="Z494" s="2016">
        <f t="shared" ref="Z494" si="377">0.2*J494</f>
        <v>196.11199999999999</v>
      </c>
    </row>
    <row r="495" spans="1:26" s="2009" customFormat="1" ht="45" x14ac:dyDescent="0.2">
      <c r="A495" s="1635" t="s">
        <v>9396</v>
      </c>
      <c r="B495" s="1984" t="s">
        <v>5278</v>
      </c>
      <c r="C495" s="1984">
        <v>5055</v>
      </c>
      <c r="D495" s="1813" t="s">
        <v>9401</v>
      </c>
      <c r="E495" s="1638">
        <v>2</v>
      </c>
      <c r="F495" s="1639" t="s">
        <v>5284</v>
      </c>
      <c r="G495" s="1636">
        <v>754.43</v>
      </c>
      <c r="H495" s="1636">
        <f t="shared" si="369"/>
        <v>203.17</v>
      </c>
      <c r="I495" s="1636">
        <f t="shared" si="370"/>
        <v>957.59999999999991</v>
      </c>
      <c r="J495" s="1723">
        <f t="shared" si="371"/>
        <v>1915.2</v>
      </c>
      <c r="K495" s="2007">
        <f t="shared" si="349"/>
        <v>1508.86</v>
      </c>
      <c r="L495" s="2007">
        <f t="shared" si="350"/>
        <v>406.34</v>
      </c>
      <c r="M495" s="2016"/>
      <c r="N495" s="2016"/>
      <c r="O495" s="2016"/>
      <c r="P495" s="2016"/>
      <c r="Q495" s="2016"/>
      <c r="R495" s="2016"/>
      <c r="S495" s="2016"/>
      <c r="T495" s="2016">
        <f t="shared" ref="T495" si="378">0.05*J495</f>
        <v>95.76</v>
      </c>
      <c r="U495" s="2016"/>
      <c r="V495" s="2016">
        <f t="shared" ref="V495" si="379">0.1*J495</f>
        <v>191.52</v>
      </c>
      <c r="W495" s="2016">
        <f t="shared" ref="W495" si="380">0.15*J495</f>
        <v>287.27999999999997</v>
      </c>
      <c r="X495" s="2016">
        <f t="shared" ref="X495" si="381">0.2*J495</f>
        <v>383.04</v>
      </c>
      <c r="Y495" s="2016">
        <f t="shared" ref="Y495" si="382">0.3*J495</f>
        <v>574.55999999999995</v>
      </c>
      <c r="Z495" s="2016">
        <f t="shared" ref="Z495" si="383">0.2*J495</f>
        <v>383.04</v>
      </c>
    </row>
    <row r="496" spans="1:26" s="2009" customFormat="1" ht="30" x14ac:dyDescent="0.2">
      <c r="A496" s="1635" t="s">
        <v>9398</v>
      </c>
      <c r="B496" s="1984" t="s">
        <v>6907</v>
      </c>
      <c r="C496" s="1984">
        <v>4640</v>
      </c>
      <c r="D496" s="1813" t="s">
        <v>9103</v>
      </c>
      <c r="E496" s="1638">
        <v>3</v>
      </c>
      <c r="F496" s="1639" t="s">
        <v>5284</v>
      </c>
      <c r="G496" s="1636">
        <v>14.83</v>
      </c>
      <c r="H496" s="1636">
        <f t="shared" si="351"/>
        <v>3.99</v>
      </c>
      <c r="I496" s="1636">
        <f t="shared" si="352"/>
        <v>18.82</v>
      </c>
      <c r="J496" s="1723">
        <f t="shared" si="353"/>
        <v>56.46</v>
      </c>
      <c r="K496" s="2007">
        <f t="shared" si="349"/>
        <v>44.49</v>
      </c>
      <c r="L496" s="2007">
        <f t="shared" si="350"/>
        <v>11.97</v>
      </c>
      <c r="M496" s="2016"/>
      <c r="N496" s="2016"/>
      <c r="O496" s="2016"/>
      <c r="P496" s="2016"/>
      <c r="Q496" s="2016"/>
      <c r="R496" s="2016"/>
      <c r="S496" s="2016"/>
      <c r="T496" s="2016">
        <f t="shared" si="354"/>
        <v>2.8230000000000004</v>
      </c>
      <c r="U496" s="2016"/>
      <c r="V496" s="2016">
        <f t="shared" si="355"/>
        <v>5.6460000000000008</v>
      </c>
      <c r="W496" s="2016">
        <f t="shared" si="356"/>
        <v>8.4689999999999994</v>
      </c>
      <c r="X496" s="2016">
        <f t="shared" si="357"/>
        <v>11.292000000000002</v>
      </c>
      <c r="Y496" s="2016">
        <f t="shared" si="358"/>
        <v>16.937999999999999</v>
      </c>
      <c r="Z496" s="2016">
        <f t="shared" si="359"/>
        <v>11.292000000000002</v>
      </c>
    </row>
    <row r="497" spans="1:26" s="2009" customFormat="1" ht="75" x14ac:dyDescent="0.2">
      <c r="A497" s="1635" t="s">
        <v>9403</v>
      </c>
      <c r="B497" s="1984" t="s">
        <v>4448</v>
      </c>
      <c r="C497" s="1984">
        <v>100612</v>
      </c>
      <c r="D497" s="1813" t="s">
        <v>9399</v>
      </c>
      <c r="E497" s="1638">
        <v>1</v>
      </c>
      <c r="F497" s="1639" t="s">
        <v>5284</v>
      </c>
      <c r="G497" s="1636">
        <v>652.14</v>
      </c>
      <c r="H497" s="1636">
        <f t="shared" si="351"/>
        <v>175.62</v>
      </c>
      <c r="I497" s="1636">
        <f t="shared" si="352"/>
        <v>827.76</v>
      </c>
      <c r="J497" s="1723">
        <f t="shared" si="353"/>
        <v>827.76</v>
      </c>
      <c r="K497" s="2007">
        <f t="shared" si="349"/>
        <v>652.14</v>
      </c>
      <c r="L497" s="2007">
        <f t="shared" si="350"/>
        <v>175.62</v>
      </c>
      <c r="M497" s="2016"/>
      <c r="N497" s="2016"/>
      <c r="O497" s="2016"/>
      <c r="P497" s="2016"/>
      <c r="Q497" s="2016"/>
      <c r="R497" s="2016"/>
      <c r="S497" s="2016"/>
      <c r="T497" s="2016">
        <f t="shared" si="354"/>
        <v>41.388000000000005</v>
      </c>
      <c r="U497" s="2016"/>
      <c r="V497" s="2016">
        <f t="shared" si="355"/>
        <v>82.77600000000001</v>
      </c>
      <c r="W497" s="2016">
        <f t="shared" si="356"/>
        <v>124.16399999999999</v>
      </c>
      <c r="X497" s="2016">
        <f t="shared" si="357"/>
        <v>165.55200000000002</v>
      </c>
      <c r="Y497" s="2016">
        <f t="shared" si="358"/>
        <v>248.32799999999997</v>
      </c>
      <c r="Z497" s="2016">
        <f t="shared" si="359"/>
        <v>165.55200000000002</v>
      </c>
    </row>
    <row r="498" spans="1:26" s="2009" customFormat="1" ht="45" x14ac:dyDescent="0.2">
      <c r="A498" s="1635" t="s">
        <v>9404</v>
      </c>
      <c r="B498" s="1984" t="s">
        <v>6907</v>
      </c>
      <c r="C498" s="1984">
        <v>4646</v>
      </c>
      <c r="D498" s="1813" t="s">
        <v>9400</v>
      </c>
      <c r="E498" s="1638">
        <v>1</v>
      </c>
      <c r="F498" s="1639" t="s">
        <v>5284</v>
      </c>
      <c r="G498" s="1636">
        <v>1479.97</v>
      </c>
      <c r="H498" s="1636">
        <f t="shared" si="351"/>
        <v>398.56</v>
      </c>
      <c r="I498" s="1636">
        <f t="shared" si="352"/>
        <v>1878.53</v>
      </c>
      <c r="J498" s="1723">
        <f t="shared" si="353"/>
        <v>1878.53</v>
      </c>
      <c r="K498" s="2007">
        <f t="shared" si="349"/>
        <v>1479.97</v>
      </c>
      <c r="L498" s="2007">
        <f t="shared" si="350"/>
        <v>398.56</v>
      </c>
      <c r="M498" s="2016"/>
      <c r="N498" s="2016"/>
      <c r="O498" s="2016"/>
      <c r="P498" s="2016"/>
      <c r="Q498" s="2016"/>
      <c r="R498" s="2016"/>
      <c r="S498" s="2016"/>
      <c r="T498" s="2016">
        <f t="shared" ref="T498" si="384">0.05*J498</f>
        <v>93.926500000000004</v>
      </c>
      <c r="U498" s="2016"/>
      <c r="V498" s="2016">
        <f t="shared" ref="V498" si="385">0.1*J498</f>
        <v>187.85300000000001</v>
      </c>
      <c r="W498" s="2016">
        <f t="shared" ref="W498" si="386">0.15*J498</f>
        <v>281.77949999999998</v>
      </c>
      <c r="X498" s="2016">
        <f t="shared" ref="X498" si="387">0.2*J498</f>
        <v>375.70600000000002</v>
      </c>
      <c r="Y498" s="2016">
        <f t="shared" ref="Y498" si="388">0.3*J498</f>
        <v>563.55899999999997</v>
      </c>
      <c r="Z498" s="2016">
        <f t="shared" ref="Z498" si="389">0.2*J498</f>
        <v>375.70600000000002</v>
      </c>
    </row>
    <row r="499" spans="1:26" s="2009" customFormat="1" ht="30" x14ac:dyDescent="0.2">
      <c r="A499" s="1635" t="s">
        <v>9406</v>
      </c>
      <c r="B499" s="1984" t="s">
        <v>6907</v>
      </c>
      <c r="C499" s="1984">
        <v>2668</v>
      </c>
      <c r="D499" s="1813" t="s">
        <v>9104</v>
      </c>
      <c r="E499" s="1638">
        <v>8</v>
      </c>
      <c r="F499" s="1639" t="s">
        <v>5284</v>
      </c>
      <c r="G499" s="1636">
        <v>8.49</v>
      </c>
      <c r="H499" s="1636">
        <f t="shared" si="340"/>
        <v>2.29</v>
      </c>
      <c r="I499" s="1636">
        <f t="shared" si="341"/>
        <v>10.780000000000001</v>
      </c>
      <c r="J499" s="1723">
        <f t="shared" si="342"/>
        <v>86.24</v>
      </c>
      <c r="K499" s="2007">
        <f t="shared" si="349"/>
        <v>67.92</v>
      </c>
      <c r="L499" s="2007">
        <f t="shared" si="350"/>
        <v>18.32</v>
      </c>
      <c r="M499" s="2016"/>
      <c r="N499" s="2016"/>
      <c r="O499" s="2016"/>
      <c r="P499" s="2016"/>
      <c r="Q499" s="2016"/>
      <c r="R499" s="2016"/>
      <c r="S499" s="2016"/>
      <c r="T499" s="2016">
        <f t="shared" si="343"/>
        <v>4.3120000000000003</v>
      </c>
      <c r="U499" s="2016"/>
      <c r="V499" s="2016">
        <f t="shared" si="344"/>
        <v>8.6240000000000006</v>
      </c>
      <c r="W499" s="2016">
        <f t="shared" si="345"/>
        <v>12.935999999999998</v>
      </c>
      <c r="X499" s="2016">
        <f t="shared" si="346"/>
        <v>17.248000000000001</v>
      </c>
      <c r="Y499" s="2016">
        <f t="shared" si="347"/>
        <v>25.871999999999996</v>
      </c>
      <c r="Z499" s="2016">
        <f t="shared" si="348"/>
        <v>17.248000000000001</v>
      </c>
    </row>
    <row r="500" spans="1:26" s="2009" customFormat="1" ht="30" x14ac:dyDescent="0.2">
      <c r="A500" s="1635" t="s">
        <v>9407</v>
      </c>
      <c r="B500" s="1984" t="s">
        <v>5278</v>
      </c>
      <c r="C500" s="1984">
        <v>411</v>
      </c>
      <c r="D500" s="1813" t="s">
        <v>9105</v>
      </c>
      <c r="E500" s="1638">
        <v>7</v>
      </c>
      <c r="F500" s="1639" t="s">
        <v>5284</v>
      </c>
      <c r="G500" s="1636">
        <v>0.19</v>
      </c>
      <c r="H500" s="1636">
        <f t="shared" si="340"/>
        <v>0.05</v>
      </c>
      <c r="I500" s="1636">
        <f t="shared" si="341"/>
        <v>0.24</v>
      </c>
      <c r="J500" s="1723">
        <f t="shared" si="342"/>
        <v>1.68</v>
      </c>
      <c r="K500" s="2007">
        <f t="shared" si="349"/>
        <v>1.33</v>
      </c>
      <c r="L500" s="2007">
        <f t="shared" si="350"/>
        <v>0.35</v>
      </c>
      <c r="M500" s="2016"/>
      <c r="N500" s="2016"/>
      <c r="O500" s="2016"/>
      <c r="P500" s="2016"/>
      <c r="Q500" s="2016"/>
      <c r="R500" s="2016"/>
      <c r="S500" s="2016"/>
      <c r="T500" s="2016">
        <f t="shared" si="343"/>
        <v>8.4000000000000005E-2</v>
      </c>
      <c r="U500" s="2016"/>
      <c r="V500" s="2016">
        <f t="shared" si="344"/>
        <v>0.16800000000000001</v>
      </c>
      <c r="W500" s="2016">
        <f t="shared" si="345"/>
        <v>0.252</v>
      </c>
      <c r="X500" s="2016">
        <f t="shared" si="346"/>
        <v>0.33600000000000002</v>
      </c>
      <c r="Y500" s="2016">
        <f t="shared" si="347"/>
        <v>0.504</v>
      </c>
      <c r="Z500" s="2016">
        <f t="shared" si="348"/>
        <v>0.33600000000000002</v>
      </c>
    </row>
    <row r="501" spans="1:26" s="2009" customFormat="1" ht="30" x14ac:dyDescent="0.2">
      <c r="A501" s="1635" t="s">
        <v>9409</v>
      </c>
      <c r="B501" s="1984" t="s">
        <v>6907</v>
      </c>
      <c r="C501" s="1984">
        <v>9354</v>
      </c>
      <c r="D501" s="1813" t="s">
        <v>9106</v>
      </c>
      <c r="E501" s="1638">
        <v>4</v>
      </c>
      <c r="F501" s="1639" t="s">
        <v>5284</v>
      </c>
      <c r="G501" s="1636">
        <v>5</v>
      </c>
      <c r="H501" s="1636">
        <f t="shared" si="340"/>
        <v>1.35</v>
      </c>
      <c r="I501" s="1636">
        <f t="shared" si="341"/>
        <v>6.35</v>
      </c>
      <c r="J501" s="1723">
        <f t="shared" si="342"/>
        <v>25.4</v>
      </c>
      <c r="K501" s="2007">
        <f t="shared" si="349"/>
        <v>20</v>
      </c>
      <c r="L501" s="2007">
        <f t="shared" si="350"/>
        <v>5.4</v>
      </c>
      <c r="M501" s="2016"/>
      <c r="N501" s="2016"/>
      <c r="O501" s="2016"/>
      <c r="P501" s="2016"/>
      <c r="Q501" s="2016"/>
      <c r="R501" s="2016"/>
      <c r="S501" s="2016"/>
      <c r="T501" s="2016">
        <f t="shared" si="343"/>
        <v>1.27</v>
      </c>
      <c r="U501" s="2016"/>
      <c r="V501" s="2016">
        <f t="shared" si="344"/>
        <v>2.54</v>
      </c>
      <c r="W501" s="2016">
        <f t="shared" si="345"/>
        <v>3.8099999999999996</v>
      </c>
      <c r="X501" s="2016">
        <f t="shared" si="346"/>
        <v>5.08</v>
      </c>
      <c r="Y501" s="2016">
        <f t="shared" si="347"/>
        <v>7.6199999999999992</v>
      </c>
      <c r="Z501" s="2016">
        <f t="shared" si="348"/>
        <v>5.08</v>
      </c>
    </row>
    <row r="502" spans="1:26" s="2009" customFormat="1" ht="30" x14ac:dyDescent="0.2">
      <c r="A502" s="1635" t="s">
        <v>9411</v>
      </c>
      <c r="B502" s="1984" t="s">
        <v>6907</v>
      </c>
      <c r="C502" s="1984">
        <v>4641</v>
      </c>
      <c r="D502" s="1813" t="s">
        <v>9107</v>
      </c>
      <c r="E502" s="1638">
        <v>12</v>
      </c>
      <c r="F502" s="1639" t="s">
        <v>5284</v>
      </c>
      <c r="G502" s="1636">
        <v>16.75</v>
      </c>
      <c r="H502" s="1636">
        <f t="shared" si="340"/>
        <v>4.51</v>
      </c>
      <c r="I502" s="1636">
        <f t="shared" si="341"/>
        <v>21.259999999999998</v>
      </c>
      <c r="J502" s="1723">
        <f t="shared" si="342"/>
        <v>255.12</v>
      </c>
      <c r="K502" s="2007">
        <f t="shared" si="349"/>
        <v>201</v>
      </c>
      <c r="L502" s="2007">
        <f t="shared" si="350"/>
        <v>54.12</v>
      </c>
      <c r="M502" s="2016"/>
      <c r="N502" s="2016"/>
      <c r="O502" s="2016"/>
      <c r="P502" s="2016"/>
      <c r="Q502" s="2016"/>
      <c r="R502" s="2016"/>
      <c r="S502" s="2016"/>
      <c r="T502" s="2016">
        <f t="shared" si="343"/>
        <v>12.756</v>
      </c>
      <c r="U502" s="2016"/>
      <c r="V502" s="2016">
        <f t="shared" si="344"/>
        <v>25.512</v>
      </c>
      <c r="W502" s="2016">
        <f t="shared" si="345"/>
        <v>38.268000000000001</v>
      </c>
      <c r="X502" s="2016">
        <f t="shared" si="346"/>
        <v>51.024000000000001</v>
      </c>
      <c r="Y502" s="2016">
        <f t="shared" si="347"/>
        <v>76.536000000000001</v>
      </c>
      <c r="Z502" s="2016">
        <f t="shared" si="348"/>
        <v>51.024000000000001</v>
      </c>
    </row>
    <row r="503" spans="1:26" s="2009" customFormat="1" ht="30" x14ac:dyDescent="0.2">
      <c r="A503" s="1635" t="s">
        <v>9412</v>
      </c>
      <c r="B503" s="1984" t="s">
        <v>5278</v>
      </c>
      <c r="C503" s="1984">
        <v>3398</v>
      </c>
      <c r="D503" s="1813" t="s">
        <v>9108</v>
      </c>
      <c r="E503" s="1638">
        <v>12</v>
      </c>
      <c r="F503" s="1639" t="s">
        <v>5284</v>
      </c>
      <c r="G503" s="1636">
        <v>4.01</v>
      </c>
      <c r="H503" s="1636">
        <f t="shared" si="340"/>
        <v>1.08</v>
      </c>
      <c r="I503" s="1636">
        <f t="shared" si="341"/>
        <v>5.09</v>
      </c>
      <c r="J503" s="1723">
        <f t="shared" si="342"/>
        <v>61.08</v>
      </c>
      <c r="K503" s="2007">
        <f t="shared" si="349"/>
        <v>48.12</v>
      </c>
      <c r="L503" s="2007">
        <f t="shared" si="350"/>
        <v>12.96</v>
      </c>
      <c r="M503" s="2016"/>
      <c r="N503" s="2016"/>
      <c r="O503" s="2016"/>
      <c r="P503" s="2016"/>
      <c r="Q503" s="2016"/>
      <c r="R503" s="2016"/>
      <c r="S503" s="2016"/>
      <c r="T503" s="2016">
        <f t="shared" si="343"/>
        <v>3.0540000000000003</v>
      </c>
      <c r="U503" s="2016"/>
      <c r="V503" s="2016">
        <f t="shared" si="344"/>
        <v>6.1080000000000005</v>
      </c>
      <c r="W503" s="2016">
        <f t="shared" si="345"/>
        <v>9.161999999999999</v>
      </c>
      <c r="X503" s="2016">
        <f t="shared" si="346"/>
        <v>12.216000000000001</v>
      </c>
      <c r="Y503" s="2016">
        <f t="shared" si="347"/>
        <v>18.323999999999998</v>
      </c>
      <c r="Z503" s="2016">
        <f t="shared" si="348"/>
        <v>12.216000000000001</v>
      </c>
    </row>
    <row r="504" spans="1:26" s="2009" customFormat="1" ht="15" x14ac:dyDescent="0.2">
      <c r="A504" s="1635" t="s">
        <v>9413</v>
      </c>
      <c r="B504" s="1984" t="s">
        <v>4448</v>
      </c>
      <c r="C504" s="1984">
        <v>88544</v>
      </c>
      <c r="D504" s="1813" t="s">
        <v>9109</v>
      </c>
      <c r="E504" s="1638">
        <v>6</v>
      </c>
      <c r="F504" s="1639" t="s">
        <v>5284</v>
      </c>
      <c r="G504" s="1636">
        <v>87.87</v>
      </c>
      <c r="H504" s="1636">
        <f t="shared" si="340"/>
        <v>23.66</v>
      </c>
      <c r="I504" s="1636">
        <f t="shared" si="341"/>
        <v>111.53</v>
      </c>
      <c r="J504" s="1723">
        <f t="shared" si="342"/>
        <v>669.18</v>
      </c>
      <c r="K504" s="2007">
        <f t="shared" si="349"/>
        <v>527.22</v>
      </c>
      <c r="L504" s="2007">
        <f t="shared" si="350"/>
        <v>141.96</v>
      </c>
      <c r="M504" s="2016"/>
      <c r="N504" s="2016"/>
      <c r="O504" s="2016"/>
      <c r="P504" s="2016"/>
      <c r="Q504" s="2016"/>
      <c r="R504" s="2016"/>
      <c r="S504" s="2016"/>
      <c r="T504" s="2016">
        <f t="shared" si="343"/>
        <v>33.458999999999996</v>
      </c>
      <c r="U504" s="2016"/>
      <c r="V504" s="2016">
        <f t="shared" si="344"/>
        <v>66.917999999999992</v>
      </c>
      <c r="W504" s="2016">
        <f t="shared" si="345"/>
        <v>100.377</v>
      </c>
      <c r="X504" s="2016">
        <f t="shared" si="346"/>
        <v>133.83599999999998</v>
      </c>
      <c r="Y504" s="2016">
        <f t="shared" si="347"/>
        <v>200.75399999999999</v>
      </c>
      <c r="Z504" s="2016">
        <f t="shared" si="348"/>
        <v>133.83599999999998</v>
      </c>
    </row>
    <row r="505" spans="1:26" s="2009" customFormat="1" ht="30" x14ac:dyDescent="0.2">
      <c r="A505" s="1635" t="s">
        <v>9414</v>
      </c>
      <c r="B505" s="1984" t="s">
        <v>5278</v>
      </c>
      <c r="C505" s="1984">
        <v>421</v>
      </c>
      <c r="D505" s="1813" t="s">
        <v>9415</v>
      </c>
      <c r="E505" s="1638">
        <v>2</v>
      </c>
      <c r="F505" s="1639" t="s">
        <v>5284</v>
      </c>
      <c r="G505" s="1636">
        <v>10.87</v>
      </c>
      <c r="H505" s="1636">
        <f t="shared" si="340"/>
        <v>2.93</v>
      </c>
      <c r="I505" s="1636">
        <f t="shared" si="341"/>
        <v>13.799999999999999</v>
      </c>
      <c r="J505" s="1723">
        <f t="shared" si="342"/>
        <v>27.6</v>
      </c>
      <c r="K505" s="2007">
        <f t="shared" si="349"/>
        <v>21.74</v>
      </c>
      <c r="L505" s="2007">
        <f t="shared" si="350"/>
        <v>5.86</v>
      </c>
      <c r="M505" s="2016"/>
      <c r="N505" s="2016"/>
      <c r="O505" s="2016"/>
      <c r="P505" s="2016"/>
      <c r="Q505" s="2016"/>
      <c r="R505" s="2016"/>
      <c r="S505" s="2016"/>
      <c r="T505" s="2016">
        <f t="shared" si="343"/>
        <v>1.3800000000000001</v>
      </c>
      <c r="U505" s="2016"/>
      <c r="V505" s="2016">
        <f t="shared" si="344"/>
        <v>2.7600000000000002</v>
      </c>
      <c r="W505" s="2016">
        <f t="shared" si="345"/>
        <v>4.1399999999999997</v>
      </c>
      <c r="X505" s="2016">
        <f t="shared" si="346"/>
        <v>5.5200000000000005</v>
      </c>
      <c r="Y505" s="2016">
        <f t="shared" si="347"/>
        <v>8.2799999999999994</v>
      </c>
      <c r="Z505" s="2016">
        <f t="shared" si="348"/>
        <v>5.5200000000000005</v>
      </c>
    </row>
    <row r="506" spans="1:26" s="2009" customFormat="1" ht="30" x14ac:dyDescent="0.2">
      <c r="A506" s="1635" t="s">
        <v>9416</v>
      </c>
      <c r="B506" s="1984" t="s">
        <v>6907</v>
      </c>
      <c r="C506" s="1984">
        <v>4650</v>
      </c>
      <c r="D506" s="1813" t="s">
        <v>9418</v>
      </c>
      <c r="E506" s="1638">
        <v>0.4</v>
      </c>
      <c r="F506" s="1639" t="s">
        <v>5688</v>
      </c>
      <c r="G506" s="1636">
        <v>16.5</v>
      </c>
      <c r="H506" s="1636">
        <f t="shared" si="340"/>
        <v>4.4400000000000004</v>
      </c>
      <c r="I506" s="1636">
        <f t="shared" si="341"/>
        <v>20.94</v>
      </c>
      <c r="J506" s="1723">
        <f t="shared" si="342"/>
        <v>8.3800000000000008</v>
      </c>
      <c r="K506" s="2007">
        <f t="shared" si="349"/>
        <v>6.6</v>
      </c>
      <c r="L506" s="2007">
        <f t="shared" si="350"/>
        <v>1.78</v>
      </c>
      <c r="M506" s="2016"/>
      <c r="N506" s="2016"/>
      <c r="O506" s="2016"/>
      <c r="P506" s="2016"/>
      <c r="Q506" s="2016"/>
      <c r="R506" s="2016"/>
      <c r="S506" s="2016"/>
      <c r="T506" s="2016">
        <f t="shared" si="343"/>
        <v>0.41900000000000004</v>
      </c>
      <c r="U506" s="2016"/>
      <c r="V506" s="2016">
        <f t="shared" si="344"/>
        <v>0.83800000000000008</v>
      </c>
      <c r="W506" s="2016">
        <f t="shared" si="345"/>
        <v>1.2570000000000001</v>
      </c>
      <c r="X506" s="2016">
        <f t="shared" si="346"/>
        <v>1.6760000000000002</v>
      </c>
      <c r="Y506" s="2016">
        <f t="shared" si="347"/>
        <v>2.5140000000000002</v>
      </c>
      <c r="Z506" s="2016">
        <f t="shared" si="348"/>
        <v>1.6760000000000002</v>
      </c>
    </row>
    <row r="507" spans="1:26" s="2009" customFormat="1" ht="30" x14ac:dyDescent="0.2">
      <c r="A507" s="1635" t="s">
        <v>9417</v>
      </c>
      <c r="B507" s="1984" t="s">
        <v>5278</v>
      </c>
      <c r="C507" s="1984">
        <v>407</v>
      </c>
      <c r="D507" s="1813" t="s">
        <v>9110</v>
      </c>
      <c r="E507" s="1638">
        <v>0.4</v>
      </c>
      <c r="F507" s="1639" t="s">
        <v>5688</v>
      </c>
      <c r="G507" s="1636">
        <v>35.68</v>
      </c>
      <c r="H507" s="1636">
        <f t="shared" si="340"/>
        <v>9.61</v>
      </c>
      <c r="I507" s="1636">
        <f t="shared" si="341"/>
        <v>45.29</v>
      </c>
      <c r="J507" s="1723">
        <f t="shared" si="342"/>
        <v>18.12</v>
      </c>
      <c r="K507" s="2007">
        <f t="shared" si="349"/>
        <v>14.27</v>
      </c>
      <c r="L507" s="2007">
        <f t="shared" si="350"/>
        <v>3.84</v>
      </c>
      <c r="M507" s="2016"/>
      <c r="N507" s="2016"/>
      <c r="O507" s="2016"/>
      <c r="P507" s="2016"/>
      <c r="Q507" s="2016"/>
      <c r="R507" s="2016"/>
      <c r="S507" s="2016"/>
      <c r="T507" s="2016">
        <f t="shared" si="343"/>
        <v>0.90600000000000014</v>
      </c>
      <c r="U507" s="2016"/>
      <c r="V507" s="2016">
        <f t="shared" si="344"/>
        <v>1.8120000000000003</v>
      </c>
      <c r="W507" s="2016">
        <f t="shared" si="345"/>
        <v>2.718</v>
      </c>
      <c r="X507" s="2016">
        <f t="shared" si="346"/>
        <v>3.6240000000000006</v>
      </c>
      <c r="Y507" s="2016">
        <f t="shared" si="347"/>
        <v>5.4359999999999999</v>
      </c>
      <c r="Z507" s="2016">
        <f t="shared" si="348"/>
        <v>3.6240000000000006</v>
      </c>
    </row>
    <row r="508" spans="1:26" s="2009" customFormat="1" ht="15" x14ac:dyDescent="0.2">
      <c r="A508" s="1634" t="s">
        <v>9122</v>
      </c>
      <c r="B508" s="2136" t="s">
        <v>9123</v>
      </c>
      <c r="C508" s="2136"/>
      <c r="D508" s="2136"/>
      <c r="E508" s="2136"/>
      <c r="F508" s="2136"/>
      <c r="G508" s="2136"/>
      <c r="H508" s="2136"/>
      <c r="I508" s="2136"/>
      <c r="J508" s="2136"/>
      <c r="K508" s="2007">
        <f t="shared" si="349"/>
        <v>0</v>
      </c>
      <c r="L508" s="2007">
        <f t="shared" si="350"/>
        <v>0</v>
      </c>
      <c r="M508" s="2016"/>
      <c r="N508" s="2016"/>
      <c r="O508" s="2016"/>
      <c r="P508" s="2016"/>
      <c r="Q508" s="2016"/>
      <c r="R508" s="2016"/>
      <c r="S508" s="2016"/>
      <c r="T508" s="2016"/>
      <c r="U508" s="2016"/>
      <c r="V508" s="2016"/>
      <c r="W508" s="2016"/>
      <c r="X508" s="2016"/>
      <c r="Y508" s="2016"/>
      <c r="Z508" s="2016"/>
    </row>
    <row r="509" spans="1:26" s="2009" customFormat="1" ht="30" x14ac:dyDescent="0.2">
      <c r="A509" s="1635" t="s">
        <v>9420</v>
      </c>
      <c r="B509" s="1984" t="s">
        <v>5737</v>
      </c>
      <c r="C509" s="1984" t="s">
        <v>9422</v>
      </c>
      <c r="D509" s="1813" t="s">
        <v>9124</v>
      </c>
      <c r="E509" s="1638">
        <v>1</v>
      </c>
      <c r="F509" s="1639" t="s">
        <v>5284</v>
      </c>
      <c r="G509" s="1636">
        <v>1131.5</v>
      </c>
      <c r="H509" s="1636">
        <f t="shared" si="340"/>
        <v>304.70999999999998</v>
      </c>
      <c r="I509" s="1636">
        <f t="shared" si="341"/>
        <v>1436.21</v>
      </c>
      <c r="J509" s="1723">
        <f t="shared" si="342"/>
        <v>1436.21</v>
      </c>
      <c r="K509" s="2007">
        <f t="shared" si="349"/>
        <v>1131.5</v>
      </c>
      <c r="L509" s="2007">
        <f t="shared" si="350"/>
        <v>304.70999999999998</v>
      </c>
      <c r="M509" s="2016"/>
      <c r="N509" s="2016"/>
      <c r="O509" s="2016"/>
      <c r="P509" s="2016"/>
      <c r="Q509" s="2016"/>
      <c r="R509" s="2016"/>
      <c r="S509" s="2016"/>
      <c r="T509" s="2016">
        <f t="shared" si="343"/>
        <v>71.810500000000005</v>
      </c>
      <c r="U509" s="2016"/>
      <c r="V509" s="2016">
        <f t="shared" si="344"/>
        <v>143.62100000000001</v>
      </c>
      <c r="W509" s="2016">
        <f t="shared" si="345"/>
        <v>215.4315</v>
      </c>
      <c r="X509" s="2016">
        <f t="shared" si="346"/>
        <v>287.24200000000002</v>
      </c>
      <c r="Y509" s="2016">
        <f t="shared" si="347"/>
        <v>430.863</v>
      </c>
      <c r="Z509" s="2016">
        <f t="shared" si="348"/>
        <v>287.24200000000002</v>
      </c>
    </row>
    <row r="510" spans="1:26" s="2009" customFormat="1" ht="15" x14ac:dyDescent="0.2">
      <c r="A510" s="1635" t="s">
        <v>9429</v>
      </c>
      <c r="B510" s="2140" t="s">
        <v>7765</v>
      </c>
      <c r="C510" s="2140"/>
      <c r="D510" s="1813" t="s">
        <v>9125</v>
      </c>
      <c r="E510" s="1638">
        <v>1</v>
      </c>
      <c r="F510" s="1639" t="s">
        <v>5284</v>
      </c>
      <c r="G510" s="1636">
        <v>9.9</v>
      </c>
      <c r="H510" s="1636">
        <f t="shared" si="340"/>
        <v>2.67</v>
      </c>
      <c r="I510" s="1636">
        <f t="shared" si="341"/>
        <v>12.57</v>
      </c>
      <c r="J510" s="1723">
        <f t="shared" si="342"/>
        <v>12.57</v>
      </c>
      <c r="K510" s="2007">
        <f t="shared" si="349"/>
        <v>9.9</v>
      </c>
      <c r="L510" s="2007">
        <f t="shared" si="350"/>
        <v>2.67</v>
      </c>
      <c r="M510" s="2016"/>
      <c r="N510" s="2016"/>
      <c r="O510" s="2016"/>
      <c r="P510" s="2016"/>
      <c r="Q510" s="2016"/>
      <c r="R510" s="2016"/>
      <c r="S510" s="2016"/>
      <c r="T510" s="2016">
        <f t="shared" si="343"/>
        <v>0.62850000000000006</v>
      </c>
      <c r="U510" s="2016"/>
      <c r="V510" s="2016">
        <f t="shared" si="344"/>
        <v>1.2570000000000001</v>
      </c>
      <c r="W510" s="2016">
        <f t="shared" si="345"/>
        <v>1.8855</v>
      </c>
      <c r="X510" s="2016">
        <f t="shared" si="346"/>
        <v>2.5140000000000002</v>
      </c>
      <c r="Y510" s="2016">
        <f t="shared" si="347"/>
        <v>3.7709999999999999</v>
      </c>
      <c r="Z510" s="2016">
        <f t="shared" si="348"/>
        <v>2.5140000000000002</v>
      </c>
    </row>
    <row r="511" spans="1:26" s="2009" customFormat="1" ht="30" x14ac:dyDescent="0.2">
      <c r="A511" s="1635" t="s">
        <v>9430</v>
      </c>
      <c r="B511" s="1984" t="s">
        <v>5714</v>
      </c>
      <c r="C511" s="1984">
        <v>12</v>
      </c>
      <c r="D511" s="1813" t="s">
        <v>9126</v>
      </c>
      <c r="E511" s="1638">
        <v>2.57</v>
      </c>
      <c r="F511" s="1639" t="s">
        <v>5713</v>
      </c>
      <c r="G511" s="1636">
        <v>315.36</v>
      </c>
      <c r="H511" s="1636">
        <f t="shared" si="340"/>
        <v>84.93</v>
      </c>
      <c r="I511" s="1636">
        <f t="shared" si="341"/>
        <v>400.29</v>
      </c>
      <c r="J511" s="1723">
        <f t="shared" si="342"/>
        <v>1028.75</v>
      </c>
      <c r="K511" s="2007">
        <f t="shared" si="349"/>
        <v>810.48</v>
      </c>
      <c r="L511" s="2007">
        <f t="shared" si="350"/>
        <v>218.27</v>
      </c>
      <c r="M511" s="2016"/>
      <c r="N511" s="2016"/>
      <c r="O511" s="2016"/>
      <c r="P511" s="2016"/>
      <c r="Q511" s="2016"/>
      <c r="R511" s="2016"/>
      <c r="S511" s="2016"/>
      <c r="T511" s="2016">
        <f t="shared" si="343"/>
        <v>51.4375</v>
      </c>
      <c r="U511" s="2016"/>
      <c r="V511" s="2016">
        <f t="shared" si="344"/>
        <v>102.875</v>
      </c>
      <c r="W511" s="2016">
        <f t="shared" si="345"/>
        <v>154.3125</v>
      </c>
      <c r="X511" s="2016">
        <f t="shared" si="346"/>
        <v>205.75</v>
      </c>
      <c r="Y511" s="2016">
        <f t="shared" si="347"/>
        <v>308.625</v>
      </c>
      <c r="Z511" s="2016">
        <f t="shared" si="348"/>
        <v>205.75</v>
      </c>
    </row>
    <row r="512" spans="1:26" s="2009" customFormat="1" ht="15" x14ac:dyDescent="0.2">
      <c r="A512" s="1634" t="s">
        <v>6133</v>
      </c>
      <c r="B512" s="2136" t="s">
        <v>9023</v>
      </c>
      <c r="C512" s="2136"/>
      <c r="D512" s="2136"/>
      <c r="E512" s="2136"/>
      <c r="F512" s="2136"/>
      <c r="G512" s="2136"/>
      <c r="H512" s="2136"/>
      <c r="I512" s="2136"/>
      <c r="J512" s="2136"/>
      <c r="K512" s="2007">
        <f t="shared" si="349"/>
        <v>0</v>
      </c>
      <c r="L512" s="2007">
        <f t="shared" si="350"/>
        <v>0</v>
      </c>
      <c r="M512" s="2016"/>
      <c r="N512" s="2016"/>
      <c r="O512" s="2016"/>
      <c r="P512" s="2016"/>
      <c r="Q512" s="2016"/>
      <c r="R512" s="2016"/>
      <c r="S512" s="2016"/>
      <c r="T512" s="2016"/>
      <c r="U512" s="2016"/>
      <c r="V512" s="2016"/>
      <c r="W512" s="2016"/>
      <c r="X512" s="2016"/>
      <c r="Y512" s="2016"/>
      <c r="Z512" s="2016"/>
    </row>
    <row r="513" spans="1:26" s="2009" customFormat="1" ht="60" x14ac:dyDescent="0.2">
      <c r="A513" s="1635" t="s">
        <v>8307</v>
      </c>
      <c r="B513" s="1984" t="s">
        <v>5281</v>
      </c>
      <c r="C513" s="1984" t="s">
        <v>9016</v>
      </c>
      <c r="D513" s="1813" t="s">
        <v>9018</v>
      </c>
      <c r="E513" s="1638">
        <v>2</v>
      </c>
      <c r="F513" s="1639" t="s">
        <v>5284</v>
      </c>
      <c r="G513" s="1636">
        <v>4354.46</v>
      </c>
      <c r="H513" s="1636">
        <f t="shared" ref="H513:H544" si="390">ROUND(G513*$B$13,2)</f>
        <v>1172.6600000000001</v>
      </c>
      <c r="I513" s="1636">
        <f t="shared" ref="I513" si="391">H513+G513</f>
        <v>5527.12</v>
      </c>
      <c r="J513" s="1723">
        <f t="shared" ref="J513" si="392">ROUND(I513*E513,2)</f>
        <v>11054.24</v>
      </c>
      <c r="K513" s="2017">
        <f>ROUND(G513*E513,2)</f>
        <v>8708.92</v>
      </c>
      <c r="L513" s="2016">
        <f>ROUND(H513*E513,2)</f>
        <v>2345.3200000000002</v>
      </c>
      <c r="M513" s="2016"/>
      <c r="N513" s="2016"/>
      <c r="O513" s="2016"/>
      <c r="P513" s="2016"/>
      <c r="Q513" s="2016"/>
      <c r="R513" s="2016"/>
      <c r="S513" s="2016"/>
      <c r="T513" s="2016">
        <f t="shared" ref="T513" si="393">0.05*J513</f>
        <v>552.71199999999999</v>
      </c>
      <c r="U513" s="2016"/>
      <c r="V513" s="2016">
        <f t="shared" ref="V513" si="394">0.1*J513</f>
        <v>1105.424</v>
      </c>
      <c r="W513" s="2016">
        <f t="shared" ref="W513" si="395">0.15*J513</f>
        <v>1658.136</v>
      </c>
      <c r="X513" s="2016">
        <f t="shared" ref="X513" si="396">0.2*J513</f>
        <v>2210.848</v>
      </c>
      <c r="Y513" s="2016">
        <f t="shared" ref="Y513" si="397">0.3*J513</f>
        <v>3316.2719999999999</v>
      </c>
      <c r="Z513" s="2016">
        <f t="shared" ref="Z513" si="398">0.2*J513</f>
        <v>2210.848</v>
      </c>
    </row>
    <row r="514" spans="1:26" s="2009" customFormat="1" ht="30" x14ac:dyDescent="0.2">
      <c r="A514" s="1635" t="s">
        <v>7037</v>
      </c>
      <c r="B514" s="1984" t="s">
        <v>5696</v>
      </c>
      <c r="C514" s="1984" t="s">
        <v>8944</v>
      </c>
      <c r="D514" s="1813" t="s">
        <v>8941</v>
      </c>
      <c r="E514" s="1638">
        <v>11</v>
      </c>
      <c r="F514" s="1639" t="s">
        <v>5284</v>
      </c>
      <c r="G514" s="1648">
        <v>298.85000000000002</v>
      </c>
      <c r="H514" s="1636">
        <f t="shared" si="390"/>
        <v>80.48</v>
      </c>
      <c r="I514" s="1636">
        <f t="shared" ref="I514:I516" si="399">H514+G514</f>
        <v>379.33000000000004</v>
      </c>
      <c r="J514" s="1723">
        <f t="shared" ref="J514:J516" si="400">ROUND(I514*E514,2)</f>
        <v>4172.63</v>
      </c>
      <c r="K514" s="2007">
        <f t="shared" ref="K514:K578" si="401">ROUND(G514*E514,2)</f>
        <v>3287.35</v>
      </c>
      <c r="L514" s="2007">
        <f t="shared" ref="L514:L578" si="402">ROUND(H514*E514,2)</f>
        <v>885.28</v>
      </c>
      <c r="M514" s="2016"/>
      <c r="N514" s="2016"/>
      <c r="O514" s="2016"/>
      <c r="P514" s="2016"/>
      <c r="Q514" s="2016"/>
      <c r="R514" s="2016"/>
      <c r="S514" s="2016"/>
      <c r="T514" s="2016">
        <f t="shared" ref="T514:T578" si="403">0.05*J514</f>
        <v>208.63150000000002</v>
      </c>
      <c r="U514" s="2016"/>
      <c r="V514" s="2016">
        <f t="shared" ref="V514:V578" si="404">0.1*J514</f>
        <v>417.26300000000003</v>
      </c>
      <c r="W514" s="2016">
        <f t="shared" ref="W514:W578" si="405">0.15*J514</f>
        <v>625.89449999999999</v>
      </c>
      <c r="X514" s="2016">
        <f t="shared" ref="X514:X578" si="406">0.2*J514</f>
        <v>834.52600000000007</v>
      </c>
      <c r="Y514" s="2016">
        <f t="shared" ref="Y514:Y578" si="407">0.3*J514</f>
        <v>1251.789</v>
      </c>
      <c r="Z514" s="2016">
        <f t="shared" ref="Z514:Z578" si="408">0.2*J514</f>
        <v>834.52600000000007</v>
      </c>
    </row>
    <row r="515" spans="1:26" s="2009" customFormat="1" ht="30" x14ac:dyDescent="0.2">
      <c r="A515" s="1635" t="s">
        <v>7038</v>
      </c>
      <c r="B515" s="1984" t="s">
        <v>5696</v>
      </c>
      <c r="C515" s="1984" t="s">
        <v>8945</v>
      </c>
      <c r="D515" s="1813" t="s">
        <v>8942</v>
      </c>
      <c r="E515" s="1638">
        <v>15</v>
      </c>
      <c r="F515" s="1639" t="s">
        <v>5284</v>
      </c>
      <c r="G515" s="1648">
        <v>558.27</v>
      </c>
      <c r="H515" s="1636">
        <f t="shared" si="390"/>
        <v>150.34</v>
      </c>
      <c r="I515" s="1636">
        <f t="shared" si="399"/>
        <v>708.61</v>
      </c>
      <c r="J515" s="1723">
        <f t="shared" si="400"/>
        <v>10629.15</v>
      </c>
      <c r="K515" s="2007">
        <f t="shared" si="401"/>
        <v>8374.0499999999993</v>
      </c>
      <c r="L515" s="2007">
        <f t="shared" si="402"/>
        <v>2255.1</v>
      </c>
      <c r="M515" s="2016"/>
      <c r="N515" s="2016"/>
      <c r="O515" s="2016"/>
      <c r="P515" s="2016"/>
      <c r="Q515" s="2016"/>
      <c r="R515" s="2016"/>
      <c r="S515" s="2016"/>
      <c r="T515" s="2016">
        <f t="shared" si="403"/>
        <v>531.45749999999998</v>
      </c>
      <c r="U515" s="2016"/>
      <c r="V515" s="2016">
        <f t="shared" si="404"/>
        <v>1062.915</v>
      </c>
      <c r="W515" s="2016">
        <f t="shared" si="405"/>
        <v>1594.3724999999999</v>
      </c>
      <c r="X515" s="2016">
        <f t="shared" si="406"/>
        <v>2125.83</v>
      </c>
      <c r="Y515" s="2016">
        <f t="shared" si="407"/>
        <v>3188.7449999999999</v>
      </c>
      <c r="Z515" s="2016">
        <f t="shared" si="408"/>
        <v>2125.83</v>
      </c>
    </row>
    <row r="516" spans="1:26" s="2009" customFormat="1" ht="30" x14ac:dyDescent="0.2">
      <c r="A516" s="1635" t="s">
        <v>7039</v>
      </c>
      <c r="B516" s="1984" t="s">
        <v>5696</v>
      </c>
      <c r="C516" s="1984" t="s">
        <v>8946</v>
      </c>
      <c r="D516" s="1813" t="s">
        <v>8943</v>
      </c>
      <c r="E516" s="1638">
        <v>1</v>
      </c>
      <c r="F516" s="1639" t="s">
        <v>5284</v>
      </c>
      <c r="G516" s="1648">
        <v>648.22</v>
      </c>
      <c r="H516" s="1636">
        <f t="shared" si="390"/>
        <v>174.57</v>
      </c>
      <c r="I516" s="1636">
        <f t="shared" si="399"/>
        <v>822.79</v>
      </c>
      <c r="J516" s="1723">
        <f t="shared" si="400"/>
        <v>822.79</v>
      </c>
      <c r="K516" s="2007">
        <f t="shared" si="401"/>
        <v>648.22</v>
      </c>
      <c r="L516" s="2007">
        <f t="shared" si="402"/>
        <v>174.57</v>
      </c>
      <c r="M516" s="2016"/>
      <c r="N516" s="2016"/>
      <c r="O516" s="2016"/>
      <c r="P516" s="2016"/>
      <c r="Q516" s="2016"/>
      <c r="R516" s="2016"/>
      <c r="S516" s="2016"/>
      <c r="T516" s="2016">
        <f t="shared" si="403"/>
        <v>41.139499999999998</v>
      </c>
      <c r="U516" s="2016"/>
      <c r="V516" s="2016">
        <f t="shared" si="404"/>
        <v>82.278999999999996</v>
      </c>
      <c r="W516" s="2016">
        <f t="shared" si="405"/>
        <v>123.41849999999999</v>
      </c>
      <c r="X516" s="2016">
        <f t="shared" si="406"/>
        <v>164.55799999999999</v>
      </c>
      <c r="Y516" s="2016">
        <f t="shared" si="407"/>
        <v>246.83699999999999</v>
      </c>
      <c r="Z516" s="2016">
        <f t="shared" si="408"/>
        <v>164.55799999999999</v>
      </c>
    </row>
    <row r="517" spans="1:26" s="2009" customFormat="1" ht="30" x14ac:dyDescent="0.2">
      <c r="A517" s="1635" t="s">
        <v>7040</v>
      </c>
      <c r="B517" s="1984" t="s">
        <v>4448</v>
      </c>
      <c r="C517" s="1984" t="s">
        <v>6157</v>
      </c>
      <c r="D517" s="1813" t="s">
        <v>6134</v>
      </c>
      <c r="E517" s="1638">
        <v>3401.56</v>
      </c>
      <c r="F517" s="1639" t="s">
        <v>5713</v>
      </c>
      <c r="G517" s="1648">
        <v>8.19</v>
      </c>
      <c r="H517" s="1636">
        <f t="shared" si="390"/>
        <v>2.21</v>
      </c>
      <c r="I517" s="1636">
        <f t="shared" ref="I517:I549" si="409">H517+G517</f>
        <v>10.399999999999999</v>
      </c>
      <c r="J517" s="1723">
        <f t="shared" ref="J517:J549" si="410">ROUND(I517*E517,2)</f>
        <v>35376.22</v>
      </c>
      <c r="K517" s="2007">
        <f t="shared" si="401"/>
        <v>27858.78</v>
      </c>
      <c r="L517" s="2007">
        <f t="shared" si="402"/>
        <v>7517.45</v>
      </c>
      <c r="M517" s="2016"/>
      <c r="N517" s="2016"/>
      <c r="O517" s="2016"/>
      <c r="P517" s="2016"/>
      <c r="Q517" s="2016"/>
      <c r="R517" s="2016"/>
      <c r="S517" s="2016"/>
      <c r="T517" s="2016">
        <f t="shared" si="403"/>
        <v>1768.8110000000001</v>
      </c>
      <c r="U517" s="2016"/>
      <c r="V517" s="2016">
        <f t="shared" si="404"/>
        <v>3537.6220000000003</v>
      </c>
      <c r="W517" s="2016">
        <f t="shared" si="405"/>
        <v>5306.433</v>
      </c>
      <c r="X517" s="2016">
        <f t="shared" si="406"/>
        <v>7075.2440000000006</v>
      </c>
      <c r="Y517" s="2016">
        <f t="shared" si="407"/>
        <v>10612.866</v>
      </c>
      <c r="Z517" s="2016">
        <f t="shared" si="408"/>
        <v>7075.2440000000006</v>
      </c>
    </row>
    <row r="518" spans="1:26" s="2009" customFormat="1" ht="30" x14ac:dyDescent="0.2">
      <c r="A518" s="1635" t="s">
        <v>7041</v>
      </c>
      <c r="B518" s="1984" t="s">
        <v>4448</v>
      </c>
      <c r="C518" s="1984" t="s">
        <v>6158</v>
      </c>
      <c r="D518" s="1813" t="s">
        <v>6135</v>
      </c>
      <c r="E518" s="1638">
        <v>160.41999999999999</v>
      </c>
      <c r="F518" s="1639" t="s">
        <v>5713</v>
      </c>
      <c r="G518" s="1648">
        <v>10.32</v>
      </c>
      <c r="H518" s="1636">
        <f t="shared" si="390"/>
        <v>2.78</v>
      </c>
      <c r="I518" s="1636">
        <f t="shared" si="409"/>
        <v>13.1</v>
      </c>
      <c r="J518" s="1723">
        <f t="shared" si="410"/>
        <v>2101.5</v>
      </c>
      <c r="K518" s="2007">
        <f t="shared" si="401"/>
        <v>1655.53</v>
      </c>
      <c r="L518" s="2007">
        <f t="shared" si="402"/>
        <v>445.97</v>
      </c>
      <c r="M518" s="2016"/>
      <c r="N518" s="2016"/>
      <c r="O518" s="2016"/>
      <c r="P518" s="2016"/>
      <c r="Q518" s="2016"/>
      <c r="R518" s="2016"/>
      <c r="S518" s="2016"/>
      <c r="T518" s="2016">
        <f t="shared" si="403"/>
        <v>105.075</v>
      </c>
      <c r="U518" s="2016"/>
      <c r="V518" s="2016">
        <f t="shared" si="404"/>
        <v>210.15</v>
      </c>
      <c r="W518" s="2016">
        <f t="shared" si="405"/>
        <v>315.22499999999997</v>
      </c>
      <c r="X518" s="2016">
        <f t="shared" si="406"/>
        <v>420.3</v>
      </c>
      <c r="Y518" s="2016">
        <f t="shared" si="407"/>
        <v>630.44999999999993</v>
      </c>
      <c r="Z518" s="2016">
        <f t="shared" si="408"/>
        <v>420.3</v>
      </c>
    </row>
    <row r="519" spans="1:26" s="2009" customFormat="1" ht="15" x14ac:dyDescent="0.2">
      <c r="A519" s="1635" t="s">
        <v>7042</v>
      </c>
      <c r="B519" s="1984" t="s">
        <v>4448</v>
      </c>
      <c r="C519" s="1984">
        <v>91873</v>
      </c>
      <c r="D519" s="1813" t="s">
        <v>8947</v>
      </c>
      <c r="E519" s="1638">
        <v>35.700000000000003</v>
      </c>
      <c r="F519" s="1639" t="s">
        <v>5713</v>
      </c>
      <c r="G519" s="1648">
        <v>14.14</v>
      </c>
      <c r="H519" s="1636">
        <f t="shared" ref="H519" si="411">ROUND(G519*$B$13,2)</f>
        <v>3.81</v>
      </c>
      <c r="I519" s="1636">
        <f t="shared" ref="I519" si="412">H519+G519</f>
        <v>17.95</v>
      </c>
      <c r="J519" s="1723">
        <f t="shared" ref="J519" si="413">ROUND(I519*E519,2)</f>
        <v>640.82000000000005</v>
      </c>
      <c r="K519" s="2007">
        <f t="shared" ref="K519" si="414">ROUND(G519*E519,2)</f>
        <v>504.8</v>
      </c>
      <c r="L519" s="2007">
        <f t="shared" ref="L519" si="415">ROUND(H519*E519,2)</f>
        <v>136.02000000000001</v>
      </c>
      <c r="M519" s="2016"/>
      <c r="N519" s="2016"/>
      <c r="O519" s="2016"/>
      <c r="P519" s="2016"/>
      <c r="Q519" s="2016"/>
      <c r="R519" s="2016"/>
      <c r="S519" s="2016"/>
      <c r="T519" s="2016">
        <f t="shared" ref="T519" si="416">0.05*J519</f>
        <v>32.041000000000004</v>
      </c>
      <c r="U519" s="2016"/>
      <c r="V519" s="2016">
        <f t="shared" ref="V519" si="417">0.1*J519</f>
        <v>64.082000000000008</v>
      </c>
      <c r="W519" s="2016">
        <f t="shared" ref="W519" si="418">0.15*J519</f>
        <v>96.123000000000005</v>
      </c>
      <c r="X519" s="2016">
        <f t="shared" ref="X519" si="419">0.2*J519</f>
        <v>128.16400000000002</v>
      </c>
      <c r="Y519" s="2016">
        <f t="shared" ref="Y519" si="420">0.3*J519</f>
        <v>192.24600000000001</v>
      </c>
      <c r="Z519" s="2016">
        <f t="shared" ref="Z519" si="421">0.2*J519</f>
        <v>128.16400000000002</v>
      </c>
    </row>
    <row r="520" spans="1:26" s="2009" customFormat="1" ht="15" x14ac:dyDescent="0.2">
      <c r="A520" s="1635" t="s">
        <v>7043</v>
      </c>
      <c r="B520" s="1984" t="s">
        <v>4448</v>
      </c>
      <c r="C520" s="1984">
        <v>93008</v>
      </c>
      <c r="D520" s="1813" t="s">
        <v>6136</v>
      </c>
      <c r="E520" s="1638">
        <v>84.25</v>
      </c>
      <c r="F520" s="1639" t="s">
        <v>5713</v>
      </c>
      <c r="G520" s="1648">
        <v>11.32</v>
      </c>
      <c r="H520" s="1636">
        <f t="shared" si="390"/>
        <v>3.05</v>
      </c>
      <c r="I520" s="1636">
        <f t="shared" si="409"/>
        <v>14.370000000000001</v>
      </c>
      <c r="J520" s="1723">
        <f t="shared" si="410"/>
        <v>1210.67</v>
      </c>
      <c r="K520" s="2007">
        <f t="shared" si="401"/>
        <v>953.71</v>
      </c>
      <c r="L520" s="2007">
        <f t="shared" si="402"/>
        <v>256.95999999999998</v>
      </c>
      <c r="M520" s="2016"/>
      <c r="N520" s="2016"/>
      <c r="O520" s="2016"/>
      <c r="P520" s="2016"/>
      <c r="Q520" s="2016"/>
      <c r="R520" s="2016"/>
      <c r="S520" s="2016"/>
      <c r="T520" s="2016">
        <f t="shared" si="403"/>
        <v>60.533500000000004</v>
      </c>
      <c r="U520" s="2016"/>
      <c r="V520" s="2016">
        <f t="shared" si="404"/>
        <v>121.06700000000001</v>
      </c>
      <c r="W520" s="2016">
        <f t="shared" si="405"/>
        <v>181.60050000000001</v>
      </c>
      <c r="X520" s="2016">
        <f t="shared" si="406"/>
        <v>242.13400000000001</v>
      </c>
      <c r="Y520" s="2016">
        <f t="shared" si="407"/>
        <v>363.20100000000002</v>
      </c>
      <c r="Z520" s="2016">
        <f t="shared" si="408"/>
        <v>242.13400000000001</v>
      </c>
    </row>
    <row r="521" spans="1:26" s="2009" customFormat="1" ht="15" x14ac:dyDescent="0.2">
      <c r="A521" s="1635" t="s">
        <v>7145</v>
      </c>
      <c r="B521" s="1984" t="s">
        <v>4448</v>
      </c>
      <c r="C521" s="1984">
        <v>93009</v>
      </c>
      <c r="D521" s="1813" t="s">
        <v>8948</v>
      </c>
      <c r="E521" s="1638">
        <v>30.95</v>
      </c>
      <c r="F521" s="1639" t="s">
        <v>5713</v>
      </c>
      <c r="G521" s="1648">
        <v>16.54</v>
      </c>
      <c r="H521" s="1636">
        <f t="shared" ref="H521" si="422">ROUND(G521*$B$13,2)</f>
        <v>4.45</v>
      </c>
      <c r="I521" s="1636">
        <f t="shared" ref="I521" si="423">H521+G521</f>
        <v>20.99</v>
      </c>
      <c r="J521" s="1723">
        <f t="shared" ref="J521" si="424">ROUND(I521*E521,2)</f>
        <v>649.64</v>
      </c>
      <c r="K521" s="2007">
        <f t="shared" ref="K521" si="425">ROUND(G521*E521,2)</f>
        <v>511.91</v>
      </c>
      <c r="L521" s="2007">
        <f t="shared" ref="L521" si="426">ROUND(H521*E521,2)</f>
        <v>137.72999999999999</v>
      </c>
      <c r="M521" s="2016"/>
      <c r="N521" s="2016"/>
      <c r="O521" s="2016"/>
      <c r="P521" s="2016"/>
      <c r="Q521" s="2016"/>
      <c r="R521" s="2016"/>
      <c r="S521" s="2016"/>
      <c r="T521" s="2016">
        <f t="shared" ref="T521" si="427">0.05*J521</f>
        <v>32.481999999999999</v>
      </c>
      <c r="U521" s="2016"/>
      <c r="V521" s="2016">
        <f t="shared" ref="V521" si="428">0.1*J521</f>
        <v>64.963999999999999</v>
      </c>
      <c r="W521" s="2016">
        <f t="shared" ref="W521" si="429">0.15*J521</f>
        <v>97.445999999999998</v>
      </c>
      <c r="X521" s="2016">
        <f t="shared" ref="X521" si="430">0.2*J521</f>
        <v>129.928</v>
      </c>
      <c r="Y521" s="2016">
        <f t="shared" ref="Y521" si="431">0.3*J521</f>
        <v>194.892</v>
      </c>
      <c r="Z521" s="2016">
        <f t="shared" ref="Z521" si="432">0.2*J521</f>
        <v>129.928</v>
      </c>
    </row>
    <row r="522" spans="1:26" s="2009" customFormat="1" ht="15" x14ac:dyDescent="0.2">
      <c r="A522" s="1635" t="s">
        <v>7155</v>
      </c>
      <c r="B522" s="1984" t="s">
        <v>4448</v>
      </c>
      <c r="C522" s="1984">
        <v>93012</v>
      </c>
      <c r="D522" s="1813" t="s">
        <v>6137</v>
      </c>
      <c r="E522" s="1638">
        <v>14.1</v>
      </c>
      <c r="F522" s="1639" t="s">
        <v>5713</v>
      </c>
      <c r="G522" s="1648">
        <v>41.97</v>
      </c>
      <c r="H522" s="1636">
        <f t="shared" si="390"/>
        <v>11.3</v>
      </c>
      <c r="I522" s="1636">
        <f t="shared" si="409"/>
        <v>53.269999999999996</v>
      </c>
      <c r="J522" s="1723">
        <f t="shared" si="410"/>
        <v>751.11</v>
      </c>
      <c r="K522" s="2007">
        <f t="shared" si="401"/>
        <v>591.78</v>
      </c>
      <c r="L522" s="2007">
        <f t="shared" si="402"/>
        <v>159.33000000000001</v>
      </c>
      <c r="M522" s="2016"/>
      <c r="N522" s="2016"/>
      <c r="O522" s="2016"/>
      <c r="P522" s="2016"/>
      <c r="Q522" s="2016"/>
      <c r="R522" s="2016"/>
      <c r="S522" s="2016"/>
      <c r="T522" s="2016">
        <f t="shared" si="403"/>
        <v>37.555500000000002</v>
      </c>
      <c r="U522" s="2016"/>
      <c r="V522" s="2016">
        <f t="shared" si="404"/>
        <v>75.111000000000004</v>
      </c>
      <c r="W522" s="2016">
        <f t="shared" si="405"/>
        <v>112.6665</v>
      </c>
      <c r="X522" s="2016">
        <f t="shared" si="406"/>
        <v>150.22200000000001</v>
      </c>
      <c r="Y522" s="2016">
        <f t="shared" si="407"/>
        <v>225.333</v>
      </c>
      <c r="Z522" s="2016">
        <f t="shared" si="408"/>
        <v>150.22200000000001</v>
      </c>
    </row>
    <row r="523" spans="1:26" s="2009" customFormat="1" ht="60" x14ac:dyDescent="0.2">
      <c r="A523" s="1635" t="s">
        <v>7145</v>
      </c>
      <c r="B523" s="1984" t="s">
        <v>4448</v>
      </c>
      <c r="C523" s="1984">
        <v>95817</v>
      </c>
      <c r="D523" s="1813" t="s">
        <v>8994</v>
      </c>
      <c r="E523" s="1638">
        <v>478</v>
      </c>
      <c r="F523" s="1639" t="s">
        <v>5284</v>
      </c>
      <c r="G523" s="1648">
        <v>24.93</v>
      </c>
      <c r="H523" s="1636">
        <f t="shared" si="390"/>
        <v>6.71</v>
      </c>
      <c r="I523" s="1636">
        <f t="shared" ref="I523:I531" si="433">H523+G523</f>
        <v>31.64</v>
      </c>
      <c r="J523" s="1723">
        <f t="shared" ref="J523:J531" si="434">ROUND(I523*E523,2)</f>
        <v>15123.92</v>
      </c>
      <c r="K523" s="2007">
        <f t="shared" si="401"/>
        <v>11916.54</v>
      </c>
      <c r="L523" s="2007">
        <f t="shared" si="402"/>
        <v>3207.38</v>
      </c>
      <c r="M523" s="2016"/>
      <c r="N523" s="2016"/>
      <c r="O523" s="2016"/>
      <c r="P523" s="2016"/>
      <c r="Q523" s="2016"/>
      <c r="R523" s="2016"/>
      <c r="S523" s="2016"/>
      <c r="T523" s="2016">
        <f t="shared" si="403"/>
        <v>756.19600000000003</v>
      </c>
      <c r="U523" s="2016"/>
      <c r="V523" s="2016">
        <f t="shared" si="404"/>
        <v>1512.3920000000001</v>
      </c>
      <c r="W523" s="2016">
        <f t="shared" si="405"/>
        <v>2268.5879999999997</v>
      </c>
      <c r="X523" s="2016">
        <f t="shared" si="406"/>
        <v>3024.7840000000001</v>
      </c>
      <c r="Y523" s="2016">
        <f t="shared" si="407"/>
        <v>4537.1759999999995</v>
      </c>
      <c r="Z523" s="2016">
        <f t="shared" si="408"/>
        <v>3024.7840000000001</v>
      </c>
    </row>
    <row r="524" spans="1:26" s="2009" customFormat="1" ht="15" x14ac:dyDescent="0.2">
      <c r="A524" s="1635" t="s">
        <v>7155</v>
      </c>
      <c r="B524" s="1984" t="s">
        <v>4448</v>
      </c>
      <c r="C524" s="1984">
        <v>93026</v>
      </c>
      <c r="D524" s="1813" t="s">
        <v>7149</v>
      </c>
      <c r="E524" s="1638">
        <v>8</v>
      </c>
      <c r="F524" s="1639" t="s">
        <v>5284</v>
      </c>
      <c r="G524" s="1648">
        <v>53.3</v>
      </c>
      <c r="H524" s="1636">
        <f t="shared" si="390"/>
        <v>14.35</v>
      </c>
      <c r="I524" s="1636">
        <f t="shared" si="433"/>
        <v>67.649999999999991</v>
      </c>
      <c r="J524" s="1723">
        <f t="shared" si="434"/>
        <v>541.20000000000005</v>
      </c>
      <c r="K524" s="2007">
        <f t="shared" si="401"/>
        <v>426.4</v>
      </c>
      <c r="L524" s="2007">
        <f t="shared" si="402"/>
        <v>114.8</v>
      </c>
      <c r="M524" s="2016"/>
      <c r="N524" s="2016"/>
      <c r="O524" s="2016"/>
      <c r="P524" s="2016"/>
      <c r="Q524" s="2016"/>
      <c r="R524" s="2016"/>
      <c r="S524" s="2016"/>
      <c r="T524" s="2016">
        <f t="shared" si="403"/>
        <v>27.060000000000002</v>
      </c>
      <c r="U524" s="2016"/>
      <c r="V524" s="2016">
        <f t="shared" si="404"/>
        <v>54.120000000000005</v>
      </c>
      <c r="W524" s="2016">
        <f t="shared" si="405"/>
        <v>81.180000000000007</v>
      </c>
      <c r="X524" s="2016">
        <f t="shared" si="406"/>
        <v>108.24000000000001</v>
      </c>
      <c r="Y524" s="2016">
        <f t="shared" si="407"/>
        <v>162.36000000000001</v>
      </c>
      <c r="Z524" s="2016">
        <f t="shared" si="408"/>
        <v>108.24000000000001</v>
      </c>
    </row>
    <row r="525" spans="1:26" s="2009" customFormat="1" ht="30" x14ac:dyDescent="0.2">
      <c r="A525" s="1635" t="s">
        <v>7156</v>
      </c>
      <c r="B525" s="1984" t="s">
        <v>4448</v>
      </c>
      <c r="C525" s="1984">
        <v>93018</v>
      </c>
      <c r="D525" s="1813" t="s">
        <v>7163</v>
      </c>
      <c r="E525" s="1638">
        <v>22</v>
      </c>
      <c r="F525" s="1639" t="s">
        <v>5284</v>
      </c>
      <c r="G525" s="1648">
        <v>15.81</v>
      </c>
      <c r="H525" s="1636">
        <f t="shared" si="390"/>
        <v>4.26</v>
      </c>
      <c r="I525" s="1636">
        <f>H525+G525</f>
        <v>20.07</v>
      </c>
      <c r="J525" s="1723">
        <f t="shared" si="434"/>
        <v>441.54</v>
      </c>
      <c r="K525" s="2007">
        <f t="shared" si="401"/>
        <v>347.82</v>
      </c>
      <c r="L525" s="2007">
        <f t="shared" si="402"/>
        <v>93.72</v>
      </c>
      <c r="M525" s="2016"/>
      <c r="N525" s="2016"/>
      <c r="O525" s="2016"/>
      <c r="P525" s="2016"/>
      <c r="Q525" s="2016"/>
      <c r="R525" s="2016"/>
      <c r="S525" s="2016"/>
      <c r="T525" s="2016">
        <f t="shared" si="403"/>
        <v>22.077000000000002</v>
      </c>
      <c r="U525" s="2016"/>
      <c r="V525" s="2016">
        <f t="shared" si="404"/>
        <v>44.154000000000003</v>
      </c>
      <c r="W525" s="2016">
        <f t="shared" si="405"/>
        <v>66.230999999999995</v>
      </c>
      <c r="X525" s="2016">
        <f t="shared" si="406"/>
        <v>88.308000000000007</v>
      </c>
      <c r="Y525" s="2016">
        <f t="shared" si="407"/>
        <v>132.46199999999999</v>
      </c>
      <c r="Z525" s="2016">
        <f t="shared" si="408"/>
        <v>88.308000000000007</v>
      </c>
    </row>
    <row r="526" spans="1:26" s="2009" customFormat="1" ht="15" x14ac:dyDescent="0.2">
      <c r="A526" s="1635" t="s">
        <v>7157</v>
      </c>
      <c r="B526" s="1984" t="s">
        <v>4448</v>
      </c>
      <c r="C526" s="1984">
        <v>91917</v>
      </c>
      <c r="D526" s="1813" t="s">
        <v>7150</v>
      </c>
      <c r="E526" s="1638">
        <v>18</v>
      </c>
      <c r="F526" s="1639" t="s">
        <v>5284</v>
      </c>
      <c r="G526" s="1648">
        <v>12.56</v>
      </c>
      <c r="H526" s="1636">
        <f t="shared" si="390"/>
        <v>3.38</v>
      </c>
      <c r="I526" s="1636">
        <f t="shared" si="433"/>
        <v>15.940000000000001</v>
      </c>
      <c r="J526" s="1723">
        <f t="shared" si="434"/>
        <v>286.92</v>
      </c>
      <c r="K526" s="2007">
        <f t="shared" si="401"/>
        <v>226.08</v>
      </c>
      <c r="L526" s="2007">
        <f t="shared" si="402"/>
        <v>60.84</v>
      </c>
      <c r="M526" s="2016"/>
      <c r="N526" s="2016"/>
      <c r="O526" s="2016"/>
      <c r="P526" s="2016"/>
      <c r="Q526" s="2016"/>
      <c r="R526" s="2016"/>
      <c r="S526" s="2016"/>
      <c r="T526" s="2016">
        <f t="shared" si="403"/>
        <v>14.346000000000002</v>
      </c>
      <c r="U526" s="2016"/>
      <c r="V526" s="2016">
        <f t="shared" si="404"/>
        <v>28.692000000000004</v>
      </c>
      <c r="W526" s="2016">
        <f t="shared" si="405"/>
        <v>43.038000000000004</v>
      </c>
      <c r="X526" s="2016">
        <f t="shared" si="406"/>
        <v>57.384000000000007</v>
      </c>
      <c r="Y526" s="2016">
        <f t="shared" si="407"/>
        <v>86.076000000000008</v>
      </c>
      <c r="Z526" s="2016">
        <f t="shared" si="408"/>
        <v>57.384000000000007</v>
      </c>
    </row>
    <row r="527" spans="1:26" s="2009" customFormat="1" ht="15" x14ac:dyDescent="0.2">
      <c r="A527" s="1635" t="s">
        <v>7158</v>
      </c>
      <c r="B527" s="1984" t="s">
        <v>4448</v>
      </c>
      <c r="C527" s="1984">
        <v>91914</v>
      </c>
      <c r="D527" s="1813" t="s">
        <v>7151</v>
      </c>
      <c r="E527" s="1638">
        <v>530</v>
      </c>
      <c r="F527" s="1639" t="s">
        <v>5284</v>
      </c>
      <c r="G527" s="1648">
        <v>10.41</v>
      </c>
      <c r="H527" s="1636">
        <f t="shared" si="390"/>
        <v>2.8</v>
      </c>
      <c r="I527" s="1636">
        <f>H527+G527</f>
        <v>13.21</v>
      </c>
      <c r="J527" s="1723">
        <f t="shared" si="434"/>
        <v>7001.3</v>
      </c>
      <c r="K527" s="2007">
        <f t="shared" si="401"/>
        <v>5517.3</v>
      </c>
      <c r="L527" s="2007">
        <f t="shared" si="402"/>
        <v>1484</v>
      </c>
      <c r="M527" s="2016"/>
      <c r="N527" s="2016"/>
      <c r="O527" s="2016"/>
      <c r="P527" s="2016"/>
      <c r="Q527" s="2016"/>
      <c r="R527" s="2016"/>
      <c r="S527" s="2016"/>
      <c r="T527" s="2016">
        <f t="shared" si="403"/>
        <v>350.06500000000005</v>
      </c>
      <c r="U527" s="2016"/>
      <c r="V527" s="2016">
        <f t="shared" si="404"/>
        <v>700.13000000000011</v>
      </c>
      <c r="W527" s="2016">
        <f t="shared" si="405"/>
        <v>1050.1949999999999</v>
      </c>
      <c r="X527" s="2016">
        <f t="shared" si="406"/>
        <v>1400.2600000000002</v>
      </c>
      <c r="Y527" s="2016">
        <f t="shared" si="407"/>
        <v>2100.39</v>
      </c>
      <c r="Z527" s="2016">
        <f t="shared" si="408"/>
        <v>1400.2600000000002</v>
      </c>
    </row>
    <row r="528" spans="1:26" s="2009" customFormat="1" ht="15" x14ac:dyDescent="0.2">
      <c r="A528" s="1635" t="s">
        <v>7159</v>
      </c>
      <c r="B528" s="1984" t="s">
        <v>4448</v>
      </c>
      <c r="C528" s="1984">
        <v>93017</v>
      </c>
      <c r="D528" s="1813" t="s">
        <v>7152</v>
      </c>
      <c r="E528" s="1638">
        <v>33</v>
      </c>
      <c r="F528" s="1639" t="s">
        <v>5284</v>
      </c>
      <c r="G528" s="1648">
        <v>32.58</v>
      </c>
      <c r="H528" s="1636">
        <f t="shared" si="390"/>
        <v>8.77</v>
      </c>
      <c r="I528" s="1636">
        <f>H528+G528</f>
        <v>41.349999999999994</v>
      </c>
      <c r="J528" s="1723">
        <f t="shared" si="434"/>
        <v>1364.55</v>
      </c>
      <c r="K528" s="2007">
        <f t="shared" si="401"/>
        <v>1075.1400000000001</v>
      </c>
      <c r="L528" s="2007">
        <f t="shared" si="402"/>
        <v>289.41000000000003</v>
      </c>
      <c r="M528" s="2016"/>
      <c r="N528" s="2016"/>
      <c r="O528" s="2016"/>
      <c r="P528" s="2016"/>
      <c r="Q528" s="2016"/>
      <c r="R528" s="2016"/>
      <c r="S528" s="2016"/>
      <c r="T528" s="2016">
        <f t="shared" si="403"/>
        <v>68.227500000000006</v>
      </c>
      <c r="U528" s="2016"/>
      <c r="V528" s="2016">
        <f t="shared" si="404"/>
        <v>136.45500000000001</v>
      </c>
      <c r="W528" s="2016">
        <f t="shared" si="405"/>
        <v>204.68249999999998</v>
      </c>
      <c r="X528" s="2016">
        <f t="shared" si="406"/>
        <v>272.91000000000003</v>
      </c>
      <c r="Y528" s="2016">
        <f t="shared" si="407"/>
        <v>409.36499999999995</v>
      </c>
      <c r="Z528" s="2016">
        <f t="shared" si="408"/>
        <v>272.91000000000003</v>
      </c>
    </row>
    <row r="529" spans="1:26" s="2009" customFormat="1" ht="15" x14ac:dyDescent="0.2">
      <c r="A529" s="1635" t="s">
        <v>7160</v>
      </c>
      <c r="B529" s="1984" t="s">
        <v>4448</v>
      </c>
      <c r="C529" s="1984">
        <v>93013</v>
      </c>
      <c r="D529" s="1813" t="s">
        <v>7164</v>
      </c>
      <c r="E529" s="1638">
        <v>86</v>
      </c>
      <c r="F529" s="1639" t="s">
        <v>5284</v>
      </c>
      <c r="G529" s="1648">
        <v>10.38</v>
      </c>
      <c r="H529" s="1636">
        <f t="shared" si="390"/>
        <v>2.8</v>
      </c>
      <c r="I529" s="1636">
        <f>H529+G529</f>
        <v>13.18</v>
      </c>
      <c r="J529" s="1723">
        <f t="shared" si="434"/>
        <v>1133.48</v>
      </c>
      <c r="K529" s="2007">
        <f t="shared" si="401"/>
        <v>892.68</v>
      </c>
      <c r="L529" s="2007">
        <f t="shared" si="402"/>
        <v>240.8</v>
      </c>
      <c r="M529" s="2016"/>
      <c r="N529" s="2016"/>
      <c r="O529" s="2016"/>
      <c r="P529" s="2016"/>
      <c r="Q529" s="2016"/>
      <c r="R529" s="2016"/>
      <c r="S529" s="2016"/>
      <c r="T529" s="2016">
        <f t="shared" si="403"/>
        <v>56.674000000000007</v>
      </c>
      <c r="U529" s="2016"/>
      <c r="V529" s="2016">
        <f t="shared" si="404"/>
        <v>113.34800000000001</v>
      </c>
      <c r="W529" s="2016">
        <f t="shared" si="405"/>
        <v>170.02199999999999</v>
      </c>
      <c r="X529" s="2016">
        <f t="shared" si="406"/>
        <v>226.69600000000003</v>
      </c>
      <c r="Y529" s="2016">
        <f t="shared" si="407"/>
        <v>340.04399999999998</v>
      </c>
      <c r="Z529" s="2016">
        <f t="shared" si="408"/>
        <v>226.69600000000003</v>
      </c>
    </row>
    <row r="530" spans="1:26" s="2009" customFormat="1" ht="15" x14ac:dyDescent="0.2">
      <c r="A530" s="1635" t="s">
        <v>7161</v>
      </c>
      <c r="B530" s="1984" t="s">
        <v>4448</v>
      </c>
      <c r="C530" s="1984">
        <v>91885</v>
      </c>
      <c r="D530" s="1813" t="s">
        <v>7153</v>
      </c>
      <c r="E530" s="1638">
        <v>76</v>
      </c>
      <c r="F530" s="1639" t="s">
        <v>5284</v>
      </c>
      <c r="G530" s="1648">
        <v>7.66</v>
      </c>
      <c r="H530" s="1636">
        <f t="shared" si="390"/>
        <v>2.06</v>
      </c>
      <c r="I530" s="1636">
        <f>H530+G530</f>
        <v>9.7200000000000006</v>
      </c>
      <c r="J530" s="1723">
        <f t="shared" si="434"/>
        <v>738.72</v>
      </c>
      <c r="K530" s="2007">
        <f t="shared" si="401"/>
        <v>582.16</v>
      </c>
      <c r="L530" s="2007">
        <f t="shared" si="402"/>
        <v>156.56</v>
      </c>
      <c r="M530" s="2016"/>
      <c r="N530" s="2016"/>
      <c r="O530" s="2016"/>
      <c r="P530" s="2016"/>
      <c r="Q530" s="2016"/>
      <c r="R530" s="2016"/>
      <c r="S530" s="2016"/>
      <c r="T530" s="2016">
        <f t="shared" si="403"/>
        <v>36.936</v>
      </c>
      <c r="U530" s="2016"/>
      <c r="V530" s="2016">
        <f t="shared" si="404"/>
        <v>73.872</v>
      </c>
      <c r="W530" s="2016">
        <f t="shared" si="405"/>
        <v>110.80800000000001</v>
      </c>
      <c r="X530" s="2016">
        <f t="shared" si="406"/>
        <v>147.744</v>
      </c>
      <c r="Y530" s="2016">
        <f t="shared" si="407"/>
        <v>221.61600000000001</v>
      </c>
      <c r="Z530" s="2016">
        <f t="shared" si="408"/>
        <v>147.744</v>
      </c>
    </row>
    <row r="531" spans="1:26" s="2009" customFormat="1" ht="15" x14ac:dyDescent="0.2">
      <c r="A531" s="1635" t="s">
        <v>7162</v>
      </c>
      <c r="B531" s="1984" t="s">
        <v>4448</v>
      </c>
      <c r="C531" s="1984">
        <v>91884</v>
      </c>
      <c r="D531" s="1813" t="s">
        <v>7154</v>
      </c>
      <c r="E531" s="1638">
        <v>2310</v>
      </c>
      <c r="F531" s="1639" t="s">
        <v>5284</v>
      </c>
      <c r="G531" s="1648">
        <v>6.52</v>
      </c>
      <c r="H531" s="1636">
        <f t="shared" si="390"/>
        <v>1.76</v>
      </c>
      <c r="I531" s="1636">
        <f t="shared" si="433"/>
        <v>8.2799999999999994</v>
      </c>
      <c r="J531" s="1723">
        <f t="shared" si="434"/>
        <v>19126.8</v>
      </c>
      <c r="K531" s="2007">
        <f t="shared" si="401"/>
        <v>15061.2</v>
      </c>
      <c r="L531" s="2007">
        <f t="shared" si="402"/>
        <v>4065.6</v>
      </c>
      <c r="M531" s="2016"/>
      <c r="N531" s="2016"/>
      <c r="O531" s="2016"/>
      <c r="P531" s="2016"/>
      <c r="Q531" s="2016"/>
      <c r="R531" s="2016"/>
      <c r="S531" s="2016"/>
      <c r="T531" s="2016">
        <f t="shared" si="403"/>
        <v>956.34</v>
      </c>
      <c r="U531" s="2016"/>
      <c r="V531" s="2016">
        <f t="shared" si="404"/>
        <v>1912.68</v>
      </c>
      <c r="W531" s="2016">
        <f t="shared" si="405"/>
        <v>2869.02</v>
      </c>
      <c r="X531" s="2016">
        <f t="shared" si="406"/>
        <v>3825.36</v>
      </c>
      <c r="Y531" s="2016">
        <f t="shared" si="407"/>
        <v>5738.04</v>
      </c>
      <c r="Z531" s="2016">
        <f t="shared" si="408"/>
        <v>3825.36</v>
      </c>
    </row>
    <row r="532" spans="1:26" s="2009" customFormat="1" ht="45" x14ac:dyDescent="0.2">
      <c r="A532" s="1635" t="s">
        <v>7044</v>
      </c>
      <c r="B532" s="1984" t="s">
        <v>4448</v>
      </c>
      <c r="C532" s="1984">
        <v>91926</v>
      </c>
      <c r="D532" s="1813" t="s">
        <v>6138</v>
      </c>
      <c r="E532" s="1638">
        <v>19356.28</v>
      </c>
      <c r="F532" s="1639" t="s">
        <v>5713</v>
      </c>
      <c r="G532" s="1648">
        <v>3.03</v>
      </c>
      <c r="H532" s="1636">
        <f t="shared" si="390"/>
        <v>0.82</v>
      </c>
      <c r="I532" s="1636">
        <f t="shared" si="409"/>
        <v>3.8499999999999996</v>
      </c>
      <c r="J532" s="1723">
        <f t="shared" si="410"/>
        <v>74521.679999999993</v>
      </c>
      <c r="K532" s="2007">
        <f t="shared" si="401"/>
        <v>58649.53</v>
      </c>
      <c r="L532" s="2007">
        <f t="shared" si="402"/>
        <v>15872.15</v>
      </c>
      <c r="M532" s="2016"/>
      <c r="N532" s="2016"/>
      <c r="O532" s="2016"/>
      <c r="P532" s="2016"/>
      <c r="Q532" s="2016"/>
      <c r="R532" s="2016"/>
      <c r="S532" s="2016"/>
      <c r="T532" s="2016">
        <f t="shared" si="403"/>
        <v>3726.0839999999998</v>
      </c>
      <c r="U532" s="2016"/>
      <c r="V532" s="2016">
        <f t="shared" si="404"/>
        <v>7452.1679999999997</v>
      </c>
      <c r="W532" s="2016">
        <f t="shared" si="405"/>
        <v>11178.251999999999</v>
      </c>
      <c r="X532" s="2016">
        <f t="shared" si="406"/>
        <v>14904.335999999999</v>
      </c>
      <c r="Y532" s="2016">
        <f t="shared" si="407"/>
        <v>22356.503999999997</v>
      </c>
      <c r="Z532" s="2016">
        <f t="shared" si="408"/>
        <v>14904.335999999999</v>
      </c>
    </row>
    <row r="533" spans="1:26" s="2009" customFormat="1" ht="45" x14ac:dyDescent="0.2">
      <c r="A533" s="1635" t="s">
        <v>7045</v>
      </c>
      <c r="B533" s="1984" t="s">
        <v>4448</v>
      </c>
      <c r="C533" s="1984">
        <v>91928</v>
      </c>
      <c r="D533" s="1813" t="s">
        <v>6139</v>
      </c>
      <c r="E533" s="1638">
        <v>7774.96</v>
      </c>
      <c r="F533" s="1639" t="s">
        <v>5713</v>
      </c>
      <c r="G533" s="1648">
        <v>4.93</v>
      </c>
      <c r="H533" s="1636">
        <f t="shared" si="390"/>
        <v>1.33</v>
      </c>
      <c r="I533" s="1636">
        <f t="shared" si="409"/>
        <v>6.26</v>
      </c>
      <c r="J533" s="1723">
        <f t="shared" si="410"/>
        <v>48671.25</v>
      </c>
      <c r="K533" s="2007">
        <f t="shared" si="401"/>
        <v>38330.550000000003</v>
      </c>
      <c r="L533" s="2007">
        <f t="shared" si="402"/>
        <v>10340.700000000001</v>
      </c>
      <c r="M533" s="2016"/>
      <c r="N533" s="2016"/>
      <c r="O533" s="2016"/>
      <c r="P533" s="2016"/>
      <c r="Q533" s="2016"/>
      <c r="R533" s="2016"/>
      <c r="S533" s="2016"/>
      <c r="T533" s="2016">
        <f t="shared" si="403"/>
        <v>2433.5625</v>
      </c>
      <c r="U533" s="2016"/>
      <c r="V533" s="2016">
        <f t="shared" si="404"/>
        <v>4867.125</v>
      </c>
      <c r="W533" s="2016">
        <f t="shared" si="405"/>
        <v>7300.6875</v>
      </c>
      <c r="X533" s="2016">
        <f t="shared" si="406"/>
        <v>9734.25</v>
      </c>
      <c r="Y533" s="2016">
        <f t="shared" si="407"/>
        <v>14601.375</v>
      </c>
      <c r="Z533" s="2016">
        <f t="shared" si="408"/>
        <v>9734.25</v>
      </c>
    </row>
    <row r="534" spans="1:26" s="2009" customFormat="1" ht="45" x14ac:dyDescent="0.2">
      <c r="A534" s="1635" t="s">
        <v>7046</v>
      </c>
      <c r="B534" s="1984" t="s">
        <v>4448</v>
      </c>
      <c r="C534" s="1984">
        <v>91930</v>
      </c>
      <c r="D534" s="1813" t="s">
        <v>6140</v>
      </c>
      <c r="E534" s="1638">
        <v>974.01</v>
      </c>
      <c r="F534" s="1639" t="s">
        <v>5713</v>
      </c>
      <c r="G534" s="1648">
        <v>6.74</v>
      </c>
      <c r="H534" s="1636">
        <f t="shared" si="390"/>
        <v>1.82</v>
      </c>
      <c r="I534" s="1636">
        <f t="shared" si="409"/>
        <v>8.56</v>
      </c>
      <c r="J534" s="1723">
        <f t="shared" si="410"/>
        <v>8337.5300000000007</v>
      </c>
      <c r="K534" s="2007">
        <f t="shared" si="401"/>
        <v>6564.83</v>
      </c>
      <c r="L534" s="2007">
        <f t="shared" si="402"/>
        <v>1772.7</v>
      </c>
      <c r="M534" s="2016"/>
      <c r="N534" s="2016"/>
      <c r="O534" s="2016"/>
      <c r="P534" s="2016"/>
      <c r="Q534" s="2016"/>
      <c r="R534" s="2016"/>
      <c r="S534" s="2016"/>
      <c r="T534" s="2016">
        <f t="shared" si="403"/>
        <v>416.87650000000008</v>
      </c>
      <c r="U534" s="2016"/>
      <c r="V534" s="2016">
        <f t="shared" si="404"/>
        <v>833.75300000000016</v>
      </c>
      <c r="W534" s="2016">
        <f t="shared" si="405"/>
        <v>1250.6295</v>
      </c>
      <c r="X534" s="2016">
        <f t="shared" si="406"/>
        <v>1667.5060000000003</v>
      </c>
      <c r="Y534" s="2016">
        <f t="shared" si="407"/>
        <v>2501.259</v>
      </c>
      <c r="Z534" s="2016">
        <f t="shared" si="408"/>
        <v>1667.5060000000003</v>
      </c>
    </row>
    <row r="535" spans="1:26" s="2009" customFormat="1" ht="30" x14ac:dyDescent="0.2">
      <c r="A535" s="1635" t="s">
        <v>7047</v>
      </c>
      <c r="B535" s="1984" t="s">
        <v>4448</v>
      </c>
      <c r="C535" s="1984">
        <v>91932</v>
      </c>
      <c r="D535" s="1813" t="s">
        <v>8949</v>
      </c>
      <c r="E535" s="1638">
        <v>1550.25</v>
      </c>
      <c r="F535" s="1639" t="s">
        <v>5713</v>
      </c>
      <c r="G535" s="1648">
        <v>11.07</v>
      </c>
      <c r="H535" s="1636">
        <f t="shared" ref="H535:H537" si="435">ROUND(G535*$B$13,2)</f>
        <v>2.98</v>
      </c>
      <c r="I535" s="1636">
        <f t="shared" ref="I535:I537" si="436">H535+G535</f>
        <v>14.05</v>
      </c>
      <c r="J535" s="1723">
        <f t="shared" ref="J535:J537" si="437">ROUND(I535*E535,2)</f>
        <v>21781.01</v>
      </c>
      <c r="K535" s="2007">
        <f t="shared" ref="K535:K537" si="438">ROUND(G535*E535,2)</f>
        <v>17161.27</v>
      </c>
      <c r="L535" s="2007">
        <f t="shared" ref="L535:L537" si="439">ROUND(H535*E535,2)</f>
        <v>4619.75</v>
      </c>
      <c r="M535" s="2016"/>
      <c r="N535" s="2016"/>
      <c r="O535" s="2016"/>
      <c r="P535" s="2016"/>
      <c r="Q535" s="2016"/>
      <c r="R535" s="2016"/>
      <c r="S535" s="2016"/>
      <c r="T535" s="2016">
        <f t="shared" ref="T535:T537" si="440">0.05*J535</f>
        <v>1089.0505000000001</v>
      </c>
      <c r="U535" s="2016"/>
      <c r="V535" s="2016">
        <f t="shared" ref="V535:V537" si="441">0.1*J535</f>
        <v>2178.1010000000001</v>
      </c>
      <c r="W535" s="2016">
        <f t="shared" ref="W535:W537" si="442">0.15*J535</f>
        <v>3267.1514999999995</v>
      </c>
      <c r="X535" s="2016">
        <f t="shared" ref="X535:X537" si="443">0.2*J535</f>
        <v>4356.2020000000002</v>
      </c>
      <c r="Y535" s="2016">
        <f t="shared" ref="Y535:Y537" si="444">0.3*J535</f>
        <v>6534.302999999999</v>
      </c>
      <c r="Z535" s="2016">
        <f t="shared" ref="Z535:Z537" si="445">0.2*J535</f>
        <v>4356.2020000000002</v>
      </c>
    </row>
    <row r="536" spans="1:26" s="2009" customFormat="1" ht="30" x14ac:dyDescent="0.2">
      <c r="A536" s="1635" t="s">
        <v>7048</v>
      </c>
      <c r="B536" s="1984" t="s">
        <v>4448</v>
      </c>
      <c r="C536" s="1984">
        <v>91934</v>
      </c>
      <c r="D536" s="1813" t="s">
        <v>8950</v>
      </c>
      <c r="E536" s="1638">
        <v>59.7</v>
      </c>
      <c r="F536" s="1639" t="s">
        <v>5713</v>
      </c>
      <c r="G536" s="1648">
        <v>16.93</v>
      </c>
      <c r="H536" s="1636">
        <f t="shared" si="435"/>
        <v>4.5599999999999996</v>
      </c>
      <c r="I536" s="1636">
        <f t="shared" si="436"/>
        <v>21.49</v>
      </c>
      <c r="J536" s="1723">
        <f t="shared" si="437"/>
        <v>1282.95</v>
      </c>
      <c r="K536" s="2007">
        <f t="shared" si="438"/>
        <v>1010.72</v>
      </c>
      <c r="L536" s="2007">
        <f t="shared" si="439"/>
        <v>272.23</v>
      </c>
      <c r="M536" s="2016"/>
      <c r="N536" s="2016"/>
      <c r="O536" s="2016"/>
      <c r="P536" s="2016"/>
      <c r="Q536" s="2016"/>
      <c r="R536" s="2016"/>
      <c r="S536" s="2016"/>
      <c r="T536" s="2016">
        <f t="shared" si="440"/>
        <v>64.147500000000008</v>
      </c>
      <c r="U536" s="2016"/>
      <c r="V536" s="2016">
        <f t="shared" si="441"/>
        <v>128.29500000000002</v>
      </c>
      <c r="W536" s="2016">
        <f t="shared" si="442"/>
        <v>192.4425</v>
      </c>
      <c r="X536" s="2016">
        <f t="shared" si="443"/>
        <v>256.59000000000003</v>
      </c>
      <c r="Y536" s="2016">
        <f t="shared" si="444"/>
        <v>384.88499999999999</v>
      </c>
      <c r="Z536" s="2016">
        <f t="shared" si="445"/>
        <v>256.59000000000003</v>
      </c>
    </row>
    <row r="537" spans="1:26" s="2009" customFormat="1" ht="30" x14ac:dyDescent="0.2">
      <c r="A537" s="1635" t="s">
        <v>7049</v>
      </c>
      <c r="B537" s="1984" t="s">
        <v>4448</v>
      </c>
      <c r="C537" s="1984">
        <v>91983</v>
      </c>
      <c r="D537" s="1813" t="s">
        <v>8951</v>
      </c>
      <c r="E537" s="1638">
        <v>38.799999999999997</v>
      </c>
      <c r="F537" s="1639" t="s">
        <v>5713</v>
      </c>
      <c r="G537" s="1648">
        <v>85.53</v>
      </c>
      <c r="H537" s="1636">
        <f t="shared" si="435"/>
        <v>23.03</v>
      </c>
      <c r="I537" s="1636">
        <f t="shared" si="436"/>
        <v>108.56</v>
      </c>
      <c r="J537" s="1723">
        <f t="shared" si="437"/>
        <v>4212.13</v>
      </c>
      <c r="K537" s="2007">
        <f t="shared" si="438"/>
        <v>3318.56</v>
      </c>
      <c r="L537" s="2007">
        <f t="shared" si="439"/>
        <v>893.56</v>
      </c>
      <c r="M537" s="2016"/>
      <c r="N537" s="2016"/>
      <c r="O537" s="2016"/>
      <c r="P537" s="2016"/>
      <c r="Q537" s="2016"/>
      <c r="R537" s="2016"/>
      <c r="S537" s="2016"/>
      <c r="T537" s="2016">
        <f t="shared" si="440"/>
        <v>210.60650000000001</v>
      </c>
      <c r="U537" s="2016"/>
      <c r="V537" s="2016">
        <f t="shared" si="441"/>
        <v>421.21300000000002</v>
      </c>
      <c r="W537" s="2016">
        <f t="shared" si="442"/>
        <v>631.81949999999995</v>
      </c>
      <c r="X537" s="2016">
        <f t="shared" si="443"/>
        <v>842.42600000000004</v>
      </c>
      <c r="Y537" s="2016">
        <f t="shared" si="444"/>
        <v>1263.6389999999999</v>
      </c>
      <c r="Z537" s="2016">
        <f t="shared" si="445"/>
        <v>842.42600000000004</v>
      </c>
    </row>
    <row r="538" spans="1:26" s="2009" customFormat="1" ht="45" x14ac:dyDescent="0.2">
      <c r="A538" s="1635" t="s">
        <v>7050</v>
      </c>
      <c r="B538" s="1984" t="s">
        <v>5696</v>
      </c>
      <c r="C538" s="1984" t="s">
        <v>8342</v>
      </c>
      <c r="D538" s="1813" t="s">
        <v>8336</v>
      </c>
      <c r="E538" s="1638">
        <v>1895.55</v>
      </c>
      <c r="F538" s="1639" t="s">
        <v>5713</v>
      </c>
      <c r="G538" s="1648">
        <v>3.85</v>
      </c>
      <c r="H538" s="1636">
        <f t="shared" si="390"/>
        <v>1.04</v>
      </c>
      <c r="I538" s="1636">
        <f t="shared" ref="I538" si="446">H538+G538</f>
        <v>4.8900000000000006</v>
      </c>
      <c r="J538" s="1723">
        <f t="shared" ref="J538" si="447">ROUND(I538*E538,2)</f>
        <v>9269.24</v>
      </c>
      <c r="K538" s="2007">
        <f t="shared" si="401"/>
        <v>7297.87</v>
      </c>
      <c r="L538" s="2007">
        <f t="shared" si="402"/>
        <v>1971.37</v>
      </c>
      <c r="M538" s="2016"/>
      <c r="N538" s="2016"/>
      <c r="O538" s="2016"/>
      <c r="P538" s="2016"/>
      <c r="Q538" s="2016"/>
      <c r="R538" s="2016"/>
      <c r="S538" s="2016"/>
      <c r="T538" s="2016">
        <f t="shared" si="403"/>
        <v>463.46199999999999</v>
      </c>
      <c r="U538" s="2016"/>
      <c r="V538" s="2016">
        <f t="shared" si="404"/>
        <v>926.92399999999998</v>
      </c>
      <c r="W538" s="2016">
        <f t="shared" si="405"/>
        <v>1390.386</v>
      </c>
      <c r="X538" s="2016">
        <f t="shared" si="406"/>
        <v>1853.848</v>
      </c>
      <c r="Y538" s="2016">
        <f t="shared" si="407"/>
        <v>2780.7719999999999</v>
      </c>
      <c r="Z538" s="2016">
        <f t="shared" si="408"/>
        <v>1853.848</v>
      </c>
    </row>
    <row r="539" spans="1:26" s="2009" customFormat="1" ht="45" x14ac:dyDescent="0.2">
      <c r="A539" s="1635" t="s">
        <v>7051</v>
      </c>
      <c r="B539" s="1984" t="s">
        <v>5696</v>
      </c>
      <c r="C539" s="1984" t="s">
        <v>8343</v>
      </c>
      <c r="D539" s="1813" t="s">
        <v>8339</v>
      </c>
      <c r="E539" s="1638">
        <v>837.55</v>
      </c>
      <c r="F539" s="1639" t="s">
        <v>5713</v>
      </c>
      <c r="G539" s="1648">
        <v>4.88</v>
      </c>
      <c r="H539" s="1636">
        <f t="shared" si="390"/>
        <v>1.31</v>
      </c>
      <c r="I539" s="1636">
        <f t="shared" si="409"/>
        <v>6.1899999999999995</v>
      </c>
      <c r="J539" s="1723">
        <f t="shared" si="410"/>
        <v>5184.43</v>
      </c>
      <c r="K539" s="2007">
        <f t="shared" si="401"/>
        <v>4087.24</v>
      </c>
      <c r="L539" s="2007">
        <f t="shared" si="402"/>
        <v>1097.19</v>
      </c>
      <c r="M539" s="2016"/>
      <c r="N539" s="2016"/>
      <c r="O539" s="2016"/>
      <c r="P539" s="2016"/>
      <c r="Q539" s="2016"/>
      <c r="R539" s="2016"/>
      <c r="S539" s="2016"/>
      <c r="T539" s="2016">
        <f t="shared" si="403"/>
        <v>259.22150000000005</v>
      </c>
      <c r="U539" s="2016"/>
      <c r="V539" s="2016">
        <f t="shared" si="404"/>
        <v>518.4430000000001</v>
      </c>
      <c r="W539" s="2016">
        <f t="shared" si="405"/>
        <v>777.66449999999998</v>
      </c>
      <c r="X539" s="2016">
        <f t="shared" si="406"/>
        <v>1036.8860000000002</v>
      </c>
      <c r="Y539" s="2016">
        <f t="shared" si="407"/>
        <v>1555.329</v>
      </c>
      <c r="Z539" s="2016">
        <f t="shared" si="408"/>
        <v>1036.8860000000002</v>
      </c>
    </row>
    <row r="540" spans="1:26" s="2009" customFormat="1" ht="45" x14ac:dyDescent="0.2">
      <c r="A540" s="1635" t="s">
        <v>7052</v>
      </c>
      <c r="B540" s="1984" t="s">
        <v>5696</v>
      </c>
      <c r="C540" s="1984" t="s">
        <v>8344</v>
      </c>
      <c r="D540" s="1813" t="s">
        <v>8347</v>
      </c>
      <c r="E540" s="1638">
        <v>286.5</v>
      </c>
      <c r="F540" s="1639" t="s">
        <v>5713</v>
      </c>
      <c r="G540" s="1648">
        <v>6.24</v>
      </c>
      <c r="H540" s="1636">
        <f t="shared" si="390"/>
        <v>1.68</v>
      </c>
      <c r="I540" s="1636">
        <f t="shared" si="409"/>
        <v>7.92</v>
      </c>
      <c r="J540" s="1723">
        <f t="shared" si="410"/>
        <v>2269.08</v>
      </c>
      <c r="K540" s="2007">
        <f t="shared" si="401"/>
        <v>1787.76</v>
      </c>
      <c r="L540" s="2007">
        <f t="shared" si="402"/>
        <v>481.32</v>
      </c>
      <c r="M540" s="2016"/>
      <c r="N540" s="2016"/>
      <c r="O540" s="2016"/>
      <c r="P540" s="2016"/>
      <c r="Q540" s="2016"/>
      <c r="R540" s="2016"/>
      <c r="S540" s="2016"/>
      <c r="T540" s="2016">
        <f t="shared" si="403"/>
        <v>113.45400000000001</v>
      </c>
      <c r="U540" s="2016"/>
      <c r="V540" s="2016">
        <f t="shared" si="404"/>
        <v>226.90800000000002</v>
      </c>
      <c r="W540" s="2016">
        <f t="shared" si="405"/>
        <v>340.36199999999997</v>
      </c>
      <c r="X540" s="2016">
        <f t="shared" si="406"/>
        <v>453.81600000000003</v>
      </c>
      <c r="Y540" s="2016">
        <f t="shared" si="407"/>
        <v>680.72399999999993</v>
      </c>
      <c r="Z540" s="2016">
        <f t="shared" si="408"/>
        <v>453.81600000000003</v>
      </c>
    </row>
    <row r="541" spans="1:26" s="2009" customFormat="1" ht="45" x14ac:dyDescent="0.2">
      <c r="A541" s="1635" t="s">
        <v>7053</v>
      </c>
      <c r="B541" s="1984" t="s">
        <v>5696</v>
      </c>
      <c r="C541" s="1984" t="s">
        <v>8348</v>
      </c>
      <c r="D541" s="1813" t="s">
        <v>8349</v>
      </c>
      <c r="E541" s="1638">
        <v>2110.75</v>
      </c>
      <c r="F541" s="1639" t="s">
        <v>5713</v>
      </c>
      <c r="G541" s="1648">
        <v>8.61</v>
      </c>
      <c r="H541" s="1636">
        <f t="shared" si="390"/>
        <v>2.3199999999999998</v>
      </c>
      <c r="I541" s="1636">
        <f t="shared" si="409"/>
        <v>10.93</v>
      </c>
      <c r="J541" s="1723">
        <f t="shared" si="410"/>
        <v>23070.5</v>
      </c>
      <c r="K541" s="2007">
        <f t="shared" si="401"/>
        <v>18173.560000000001</v>
      </c>
      <c r="L541" s="2007">
        <f t="shared" si="402"/>
        <v>4896.9399999999996</v>
      </c>
      <c r="M541" s="2016"/>
      <c r="N541" s="2016"/>
      <c r="O541" s="2016"/>
      <c r="P541" s="2016"/>
      <c r="Q541" s="2016"/>
      <c r="R541" s="2016"/>
      <c r="S541" s="2016"/>
      <c r="T541" s="2016">
        <f t="shared" si="403"/>
        <v>1153.5250000000001</v>
      </c>
      <c r="U541" s="2016"/>
      <c r="V541" s="2016">
        <f t="shared" si="404"/>
        <v>2307.0500000000002</v>
      </c>
      <c r="W541" s="2016">
        <f t="shared" si="405"/>
        <v>3460.5749999999998</v>
      </c>
      <c r="X541" s="2016">
        <f t="shared" si="406"/>
        <v>4614.1000000000004</v>
      </c>
      <c r="Y541" s="2016">
        <f t="shared" si="407"/>
        <v>6921.15</v>
      </c>
      <c r="Z541" s="2016">
        <f t="shared" si="408"/>
        <v>4614.1000000000004</v>
      </c>
    </row>
    <row r="542" spans="1:26" s="2009" customFormat="1" ht="45" x14ac:dyDescent="0.2">
      <c r="A542" s="1635" t="s">
        <v>7054</v>
      </c>
      <c r="B542" s="1984" t="s">
        <v>5696</v>
      </c>
      <c r="C542" s="1984" t="s">
        <v>8352</v>
      </c>
      <c r="D542" s="1813" t="s">
        <v>8355</v>
      </c>
      <c r="E542" s="1638">
        <v>798.25</v>
      </c>
      <c r="F542" s="1639" t="s">
        <v>5713</v>
      </c>
      <c r="G542" s="1648">
        <v>11.799999999999999</v>
      </c>
      <c r="H542" s="1636">
        <f t="shared" si="390"/>
        <v>3.18</v>
      </c>
      <c r="I542" s="1636">
        <f t="shared" si="409"/>
        <v>14.979999999999999</v>
      </c>
      <c r="J542" s="1723">
        <f t="shared" si="410"/>
        <v>11957.79</v>
      </c>
      <c r="K542" s="2007">
        <f t="shared" si="401"/>
        <v>9419.35</v>
      </c>
      <c r="L542" s="2007">
        <f t="shared" si="402"/>
        <v>2538.44</v>
      </c>
      <c r="M542" s="2016"/>
      <c r="N542" s="2016"/>
      <c r="O542" s="2016"/>
      <c r="P542" s="2016"/>
      <c r="Q542" s="2016"/>
      <c r="R542" s="2016"/>
      <c r="S542" s="2016"/>
      <c r="T542" s="2016">
        <f t="shared" si="403"/>
        <v>597.88950000000011</v>
      </c>
      <c r="U542" s="2016"/>
      <c r="V542" s="2016">
        <f t="shared" si="404"/>
        <v>1195.7790000000002</v>
      </c>
      <c r="W542" s="2016">
        <f t="shared" si="405"/>
        <v>1793.6685</v>
      </c>
      <c r="X542" s="2016">
        <f t="shared" si="406"/>
        <v>2391.5580000000004</v>
      </c>
      <c r="Y542" s="2016">
        <f t="shared" si="407"/>
        <v>3587.337</v>
      </c>
      <c r="Z542" s="2016">
        <f t="shared" si="408"/>
        <v>2391.5580000000004</v>
      </c>
    </row>
    <row r="543" spans="1:26" s="2009" customFormat="1" ht="45" x14ac:dyDescent="0.2">
      <c r="A543" s="1635" t="s">
        <v>7055</v>
      </c>
      <c r="B543" s="1984" t="s">
        <v>5696</v>
      </c>
      <c r="C543" s="1984" t="s">
        <v>8356</v>
      </c>
      <c r="D543" s="1813" t="s">
        <v>8359</v>
      </c>
      <c r="E543" s="1638">
        <v>703.15</v>
      </c>
      <c r="F543" s="1639" t="s">
        <v>5713</v>
      </c>
      <c r="G543" s="1648">
        <v>16.68</v>
      </c>
      <c r="H543" s="1636">
        <f t="shared" si="390"/>
        <v>4.49</v>
      </c>
      <c r="I543" s="1636">
        <f t="shared" si="409"/>
        <v>21.17</v>
      </c>
      <c r="J543" s="1723">
        <f t="shared" si="410"/>
        <v>14885.69</v>
      </c>
      <c r="K543" s="2007">
        <f t="shared" si="401"/>
        <v>11728.54</v>
      </c>
      <c r="L543" s="2007">
        <f t="shared" si="402"/>
        <v>3157.14</v>
      </c>
      <c r="M543" s="2016"/>
      <c r="N543" s="2016"/>
      <c r="O543" s="2016"/>
      <c r="P543" s="2016"/>
      <c r="Q543" s="2016"/>
      <c r="R543" s="2016"/>
      <c r="S543" s="2016"/>
      <c r="T543" s="2016">
        <f t="shared" si="403"/>
        <v>744.28450000000009</v>
      </c>
      <c r="U543" s="2016"/>
      <c r="V543" s="2016">
        <f t="shared" si="404"/>
        <v>1488.5690000000002</v>
      </c>
      <c r="W543" s="2016">
        <f t="shared" si="405"/>
        <v>2232.8535000000002</v>
      </c>
      <c r="X543" s="2016">
        <f t="shared" si="406"/>
        <v>2977.1380000000004</v>
      </c>
      <c r="Y543" s="2016">
        <f t="shared" si="407"/>
        <v>4465.7070000000003</v>
      </c>
      <c r="Z543" s="2016">
        <f t="shared" si="408"/>
        <v>2977.1380000000004</v>
      </c>
    </row>
    <row r="544" spans="1:26" s="2009" customFormat="1" ht="45" x14ac:dyDescent="0.2">
      <c r="A544" s="1635" t="s">
        <v>7056</v>
      </c>
      <c r="B544" s="1984" t="s">
        <v>5696</v>
      </c>
      <c r="C544" s="1984" t="s">
        <v>8360</v>
      </c>
      <c r="D544" s="1813" t="s">
        <v>8361</v>
      </c>
      <c r="E544" s="1638">
        <v>1322.3</v>
      </c>
      <c r="F544" s="1639" t="s">
        <v>5713</v>
      </c>
      <c r="G544" s="1648">
        <v>22.939999999999998</v>
      </c>
      <c r="H544" s="1636">
        <f t="shared" si="390"/>
        <v>6.18</v>
      </c>
      <c r="I544" s="1636">
        <f t="shared" si="409"/>
        <v>29.119999999999997</v>
      </c>
      <c r="J544" s="1723">
        <f t="shared" si="410"/>
        <v>38505.379999999997</v>
      </c>
      <c r="K544" s="2007">
        <f t="shared" si="401"/>
        <v>30333.56</v>
      </c>
      <c r="L544" s="2007">
        <f t="shared" si="402"/>
        <v>8171.81</v>
      </c>
      <c r="M544" s="2016"/>
      <c r="N544" s="2016"/>
      <c r="O544" s="2016"/>
      <c r="P544" s="2016"/>
      <c r="Q544" s="2016"/>
      <c r="R544" s="2016"/>
      <c r="S544" s="2016"/>
      <c r="T544" s="2016">
        <f t="shared" si="403"/>
        <v>1925.269</v>
      </c>
      <c r="U544" s="2016"/>
      <c r="V544" s="2016">
        <f t="shared" si="404"/>
        <v>3850.538</v>
      </c>
      <c r="W544" s="2016">
        <f t="shared" si="405"/>
        <v>5775.8069999999998</v>
      </c>
      <c r="X544" s="2016">
        <f t="shared" si="406"/>
        <v>7701.076</v>
      </c>
      <c r="Y544" s="2016">
        <f t="shared" si="407"/>
        <v>11551.614</v>
      </c>
      <c r="Z544" s="2016">
        <f t="shared" si="408"/>
        <v>7701.076</v>
      </c>
    </row>
    <row r="545" spans="1:26" s="2009" customFormat="1" ht="45" x14ac:dyDescent="0.2">
      <c r="A545" s="1635" t="s">
        <v>8372</v>
      </c>
      <c r="B545" s="1984" t="s">
        <v>5696</v>
      </c>
      <c r="C545" s="1984" t="s">
        <v>8364</v>
      </c>
      <c r="D545" s="1813" t="s">
        <v>8365</v>
      </c>
      <c r="E545" s="1638">
        <v>155.6</v>
      </c>
      <c r="F545" s="1639" t="s">
        <v>5713</v>
      </c>
      <c r="G545" s="1648">
        <v>32.409999999999997</v>
      </c>
      <c r="H545" s="1636">
        <f t="shared" ref="H545:H577" si="448">ROUND(G545*$B$13,2)</f>
        <v>8.73</v>
      </c>
      <c r="I545" s="1636">
        <f t="shared" si="409"/>
        <v>41.14</v>
      </c>
      <c r="J545" s="1723">
        <f t="shared" si="410"/>
        <v>6401.38</v>
      </c>
      <c r="K545" s="2007">
        <f t="shared" si="401"/>
        <v>5043</v>
      </c>
      <c r="L545" s="2007">
        <f t="shared" si="402"/>
        <v>1358.39</v>
      </c>
      <c r="M545" s="2016"/>
      <c r="N545" s="2016"/>
      <c r="O545" s="2016"/>
      <c r="P545" s="2016"/>
      <c r="Q545" s="2016"/>
      <c r="R545" s="2016"/>
      <c r="S545" s="2016"/>
      <c r="T545" s="2016">
        <f t="shared" si="403"/>
        <v>320.06900000000002</v>
      </c>
      <c r="U545" s="2016"/>
      <c r="V545" s="2016">
        <f t="shared" si="404"/>
        <v>640.13800000000003</v>
      </c>
      <c r="W545" s="2016">
        <f t="shared" si="405"/>
        <v>960.20699999999999</v>
      </c>
      <c r="X545" s="2016">
        <f t="shared" si="406"/>
        <v>1280.2760000000001</v>
      </c>
      <c r="Y545" s="2016">
        <f t="shared" si="407"/>
        <v>1920.414</v>
      </c>
      <c r="Z545" s="2016">
        <f t="shared" si="408"/>
        <v>1280.2760000000001</v>
      </c>
    </row>
    <row r="546" spans="1:26" s="2009" customFormat="1" ht="45" x14ac:dyDescent="0.2">
      <c r="A546" s="1635" t="s">
        <v>7598</v>
      </c>
      <c r="B546" s="1984" t="s">
        <v>5696</v>
      </c>
      <c r="C546" s="1984" t="s">
        <v>8368</v>
      </c>
      <c r="D546" s="1813" t="s">
        <v>8369</v>
      </c>
      <c r="E546" s="1638">
        <v>112.2</v>
      </c>
      <c r="F546" s="1639" t="s">
        <v>5713</v>
      </c>
      <c r="G546" s="1648">
        <v>44.949999999999996</v>
      </c>
      <c r="H546" s="1636">
        <f t="shared" si="448"/>
        <v>12.11</v>
      </c>
      <c r="I546" s="1636">
        <f t="shared" si="409"/>
        <v>57.059999999999995</v>
      </c>
      <c r="J546" s="1723">
        <f t="shared" si="410"/>
        <v>6402.13</v>
      </c>
      <c r="K546" s="2007">
        <f t="shared" si="401"/>
        <v>5043.3900000000003</v>
      </c>
      <c r="L546" s="2007">
        <f t="shared" si="402"/>
        <v>1358.74</v>
      </c>
      <c r="M546" s="2016"/>
      <c r="N546" s="2016"/>
      <c r="O546" s="2016"/>
      <c r="P546" s="2016"/>
      <c r="Q546" s="2016"/>
      <c r="R546" s="2016"/>
      <c r="S546" s="2016"/>
      <c r="T546" s="2016">
        <f t="shared" si="403"/>
        <v>320.10650000000004</v>
      </c>
      <c r="U546" s="2016"/>
      <c r="V546" s="2016">
        <f t="shared" si="404"/>
        <v>640.21300000000008</v>
      </c>
      <c r="W546" s="2016">
        <f t="shared" si="405"/>
        <v>960.31949999999995</v>
      </c>
      <c r="X546" s="2016">
        <f t="shared" si="406"/>
        <v>1280.4260000000002</v>
      </c>
      <c r="Y546" s="2016">
        <f t="shared" si="407"/>
        <v>1920.6389999999999</v>
      </c>
      <c r="Z546" s="2016">
        <f t="shared" si="408"/>
        <v>1280.4260000000002</v>
      </c>
    </row>
    <row r="547" spans="1:26" s="2009" customFormat="1" ht="45" x14ac:dyDescent="0.2">
      <c r="A547" s="1635" t="s">
        <v>8952</v>
      </c>
      <c r="B547" s="1984" t="s">
        <v>5696</v>
      </c>
      <c r="C547" s="1984" t="s">
        <v>8329</v>
      </c>
      <c r="D547" s="1813" t="s">
        <v>8328</v>
      </c>
      <c r="E547" s="1638">
        <v>45.55</v>
      </c>
      <c r="F547" s="1639" t="s">
        <v>5713</v>
      </c>
      <c r="G547" s="1648">
        <v>56.5</v>
      </c>
      <c r="H547" s="1636">
        <f t="shared" si="448"/>
        <v>15.22</v>
      </c>
      <c r="I547" s="1636">
        <f t="shared" si="409"/>
        <v>71.72</v>
      </c>
      <c r="J547" s="1723">
        <f t="shared" si="410"/>
        <v>3266.85</v>
      </c>
      <c r="K547" s="2007">
        <f t="shared" si="401"/>
        <v>2573.58</v>
      </c>
      <c r="L547" s="2007">
        <f t="shared" si="402"/>
        <v>693.27</v>
      </c>
      <c r="M547" s="2016"/>
      <c r="N547" s="2016"/>
      <c r="O547" s="2016"/>
      <c r="P547" s="2016"/>
      <c r="Q547" s="2016"/>
      <c r="R547" s="2016"/>
      <c r="S547" s="2016"/>
      <c r="T547" s="2016">
        <f t="shared" si="403"/>
        <v>163.3425</v>
      </c>
      <c r="U547" s="2016"/>
      <c r="V547" s="2016">
        <f t="shared" si="404"/>
        <v>326.685</v>
      </c>
      <c r="W547" s="2016">
        <f t="shared" si="405"/>
        <v>490.02749999999997</v>
      </c>
      <c r="X547" s="2016">
        <f t="shared" si="406"/>
        <v>653.37</v>
      </c>
      <c r="Y547" s="2016">
        <f t="shared" si="407"/>
        <v>980.05499999999995</v>
      </c>
      <c r="Z547" s="2016">
        <f t="shared" si="408"/>
        <v>653.37</v>
      </c>
    </row>
    <row r="548" spans="1:26" s="2009" customFormat="1" ht="45" x14ac:dyDescent="0.2">
      <c r="A548" s="1635" t="s">
        <v>8953</v>
      </c>
      <c r="B548" s="1984" t="s">
        <v>5696</v>
      </c>
      <c r="C548" s="1984" t="s">
        <v>9047</v>
      </c>
      <c r="D548" s="1813" t="s">
        <v>9048</v>
      </c>
      <c r="E548" s="1638">
        <v>421.28</v>
      </c>
      <c r="F548" s="1639" t="s">
        <v>5713</v>
      </c>
      <c r="G548" s="1648">
        <v>71.69</v>
      </c>
      <c r="H548" s="1636">
        <f t="shared" ref="H548" si="449">ROUND(G548*$B$13,2)</f>
        <v>19.309999999999999</v>
      </c>
      <c r="I548" s="1636">
        <f t="shared" ref="I548" si="450">H548+G548</f>
        <v>91</v>
      </c>
      <c r="J548" s="1723">
        <f t="shared" ref="J548" si="451">ROUND(I548*E548,2)</f>
        <v>38336.480000000003</v>
      </c>
      <c r="K548" s="2007">
        <f t="shared" ref="K548" si="452">ROUND(G548*E548,2)</f>
        <v>30201.56</v>
      </c>
      <c r="L548" s="2007">
        <f t="shared" ref="L548" si="453">ROUND(H548*E548,2)</f>
        <v>8134.92</v>
      </c>
      <c r="M548" s="2016"/>
      <c r="N548" s="2016"/>
      <c r="O548" s="2016"/>
      <c r="P548" s="2016"/>
      <c r="Q548" s="2016"/>
      <c r="R548" s="2016"/>
      <c r="S548" s="2016"/>
      <c r="T548" s="2016">
        <f t="shared" ref="T548" si="454">0.05*J548</f>
        <v>1916.8240000000003</v>
      </c>
      <c r="U548" s="2016"/>
      <c r="V548" s="2016">
        <f t="shared" ref="V548" si="455">0.1*J548</f>
        <v>3833.6480000000006</v>
      </c>
      <c r="W548" s="2016">
        <f t="shared" ref="W548" si="456">0.15*J548</f>
        <v>5750.4720000000007</v>
      </c>
      <c r="X548" s="2016">
        <f t="shared" ref="X548" si="457">0.2*J548</f>
        <v>7667.2960000000012</v>
      </c>
      <c r="Y548" s="2016">
        <f t="shared" ref="Y548" si="458">0.3*J548</f>
        <v>11500.944000000001</v>
      </c>
      <c r="Z548" s="2016">
        <f t="shared" ref="Z548" si="459">0.2*J548</f>
        <v>7667.2960000000012</v>
      </c>
    </row>
    <row r="549" spans="1:26" s="2009" customFormat="1" ht="45" x14ac:dyDescent="0.2">
      <c r="A549" s="1635" t="s">
        <v>9046</v>
      </c>
      <c r="B549" s="1984" t="s">
        <v>5696</v>
      </c>
      <c r="C549" s="1984" t="s">
        <v>8333</v>
      </c>
      <c r="D549" s="1813" t="s">
        <v>8332</v>
      </c>
      <c r="E549" s="1638">
        <v>182.2</v>
      </c>
      <c r="F549" s="1639" t="s">
        <v>5713</v>
      </c>
      <c r="G549" s="1648">
        <v>103.43</v>
      </c>
      <c r="H549" s="1636">
        <f t="shared" si="448"/>
        <v>27.85</v>
      </c>
      <c r="I549" s="1636">
        <f t="shared" si="409"/>
        <v>131.28</v>
      </c>
      <c r="J549" s="1723">
        <f t="shared" si="410"/>
        <v>23919.22</v>
      </c>
      <c r="K549" s="2007">
        <f t="shared" si="401"/>
        <v>18844.95</v>
      </c>
      <c r="L549" s="2007">
        <f t="shared" si="402"/>
        <v>5074.2700000000004</v>
      </c>
      <c r="M549" s="2016"/>
      <c r="N549" s="2016"/>
      <c r="O549" s="2016"/>
      <c r="P549" s="2016"/>
      <c r="Q549" s="2016"/>
      <c r="R549" s="2016"/>
      <c r="S549" s="2016"/>
      <c r="T549" s="2016">
        <f t="shared" si="403"/>
        <v>1195.961</v>
      </c>
      <c r="U549" s="2016"/>
      <c r="V549" s="2016">
        <f t="shared" si="404"/>
        <v>2391.922</v>
      </c>
      <c r="W549" s="2016">
        <f t="shared" si="405"/>
        <v>3587.8830000000003</v>
      </c>
      <c r="X549" s="2016">
        <f t="shared" si="406"/>
        <v>4783.8440000000001</v>
      </c>
      <c r="Y549" s="2016">
        <f t="shared" si="407"/>
        <v>7175.7660000000005</v>
      </c>
      <c r="Z549" s="2016">
        <f t="shared" si="408"/>
        <v>4783.8440000000001</v>
      </c>
    </row>
    <row r="550" spans="1:26" s="2009" customFormat="1" ht="45" x14ac:dyDescent="0.2">
      <c r="A550" s="1635" t="s">
        <v>9053</v>
      </c>
      <c r="B550" s="1984" t="s">
        <v>4448</v>
      </c>
      <c r="C550" s="1984">
        <v>96975</v>
      </c>
      <c r="D550" s="1813" t="s">
        <v>9052</v>
      </c>
      <c r="E550" s="1638">
        <v>105.32</v>
      </c>
      <c r="F550" s="1639" t="s">
        <v>5713</v>
      </c>
      <c r="G550" s="1648">
        <v>61.37</v>
      </c>
      <c r="H550" s="1636">
        <f t="shared" ref="H550" si="460">ROUND(G550*$B$13,2)</f>
        <v>16.53</v>
      </c>
      <c r="I550" s="1636">
        <f t="shared" ref="I550" si="461">H550+G550</f>
        <v>77.900000000000006</v>
      </c>
      <c r="J550" s="1723">
        <f t="shared" ref="J550" si="462">ROUND(I550*E550,2)</f>
        <v>8204.43</v>
      </c>
      <c r="K550" s="2007">
        <f t="shared" ref="K550" si="463">ROUND(G550*E550,2)</f>
        <v>6463.49</v>
      </c>
      <c r="L550" s="2007">
        <f t="shared" ref="L550" si="464">ROUND(H550*E550,2)</f>
        <v>1740.94</v>
      </c>
      <c r="M550" s="2016"/>
      <c r="N550" s="2016"/>
      <c r="O550" s="2016"/>
      <c r="P550" s="2016"/>
      <c r="Q550" s="2016"/>
      <c r="R550" s="2016"/>
      <c r="S550" s="2016"/>
      <c r="T550" s="2016">
        <f t="shared" ref="T550" si="465">0.05*J550</f>
        <v>410.22150000000005</v>
      </c>
      <c r="U550" s="2016"/>
      <c r="V550" s="2016">
        <f t="shared" ref="V550" si="466">0.1*J550</f>
        <v>820.4430000000001</v>
      </c>
      <c r="W550" s="2016">
        <f t="shared" ref="W550" si="467">0.15*J550</f>
        <v>1230.6645000000001</v>
      </c>
      <c r="X550" s="2016">
        <f t="shared" ref="X550" si="468">0.2*J550</f>
        <v>1640.8860000000002</v>
      </c>
      <c r="Y550" s="2016">
        <f t="shared" ref="Y550" si="469">0.3*J550</f>
        <v>2461.3290000000002</v>
      </c>
      <c r="Z550" s="2016">
        <f t="shared" ref="Z550" si="470">0.2*J550</f>
        <v>1640.8860000000002</v>
      </c>
    </row>
    <row r="551" spans="1:26" s="2009" customFormat="1" ht="30" x14ac:dyDescent="0.2">
      <c r="A551" s="1635" t="s">
        <v>7057</v>
      </c>
      <c r="B551" s="1984" t="s">
        <v>4448</v>
      </c>
      <c r="C551" s="1984">
        <v>92872</v>
      </c>
      <c r="D551" s="1813" t="s">
        <v>6141</v>
      </c>
      <c r="E551" s="1638">
        <v>97</v>
      </c>
      <c r="F551" s="1639" t="s">
        <v>5284</v>
      </c>
      <c r="G551" s="1648">
        <v>8.44</v>
      </c>
      <c r="H551" s="1636">
        <f t="shared" si="448"/>
        <v>2.27</v>
      </c>
      <c r="I551" s="1636">
        <f t="shared" ref="I551:I557" si="471">H551+G551</f>
        <v>10.709999999999999</v>
      </c>
      <c r="J551" s="1723">
        <f t="shared" ref="J551:J557" si="472">ROUND(I551*E551,2)</f>
        <v>1038.8699999999999</v>
      </c>
      <c r="K551" s="2007">
        <f t="shared" si="401"/>
        <v>818.68</v>
      </c>
      <c r="L551" s="2007">
        <f t="shared" si="402"/>
        <v>220.19</v>
      </c>
      <c r="M551" s="2016"/>
      <c r="N551" s="2016"/>
      <c r="O551" s="2016"/>
      <c r="P551" s="2016"/>
      <c r="Q551" s="2016"/>
      <c r="R551" s="2016"/>
      <c r="S551" s="2016"/>
      <c r="T551" s="2016">
        <f t="shared" si="403"/>
        <v>51.9435</v>
      </c>
      <c r="U551" s="2016"/>
      <c r="V551" s="2016">
        <f t="shared" si="404"/>
        <v>103.887</v>
      </c>
      <c r="W551" s="2016">
        <f t="shared" si="405"/>
        <v>155.83049999999997</v>
      </c>
      <c r="X551" s="2016">
        <f t="shared" si="406"/>
        <v>207.774</v>
      </c>
      <c r="Y551" s="2016">
        <f t="shared" si="407"/>
        <v>311.66099999999994</v>
      </c>
      <c r="Z551" s="2016">
        <f t="shared" si="408"/>
        <v>207.774</v>
      </c>
    </row>
    <row r="552" spans="1:26" s="2009" customFormat="1" ht="15" x14ac:dyDescent="0.2">
      <c r="A552" s="1635" t="s">
        <v>7058</v>
      </c>
      <c r="B552" s="1984" t="s">
        <v>4448</v>
      </c>
      <c r="C552" s="1984">
        <v>92866</v>
      </c>
      <c r="D552" s="1813" t="s">
        <v>14976</v>
      </c>
      <c r="E552" s="1638">
        <v>30</v>
      </c>
      <c r="F552" s="1639" t="s">
        <v>5284</v>
      </c>
      <c r="G552" s="1648">
        <v>6.07</v>
      </c>
      <c r="H552" s="1636">
        <f t="shared" si="448"/>
        <v>1.63</v>
      </c>
      <c r="I552" s="1636">
        <f t="shared" si="471"/>
        <v>7.7</v>
      </c>
      <c r="J552" s="1723">
        <f t="shared" si="472"/>
        <v>231</v>
      </c>
      <c r="K552" s="2007">
        <f t="shared" si="401"/>
        <v>182.1</v>
      </c>
      <c r="L552" s="2007">
        <f t="shared" si="402"/>
        <v>48.9</v>
      </c>
      <c r="M552" s="2016"/>
      <c r="N552" s="2016"/>
      <c r="O552" s="2016"/>
      <c r="P552" s="2016"/>
      <c r="Q552" s="2016"/>
      <c r="R552" s="2016"/>
      <c r="S552" s="2016"/>
      <c r="T552" s="2016">
        <f t="shared" si="403"/>
        <v>11.55</v>
      </c>
      <c r="U552" s="2016"/>
      <c r="V552" s="2016">
        <f t="shared" si="404"/>
        <v>23.1</v>
      </c>
      <c r="W552" s="2016">
        <f t="shared" si="405"/>
        <v>34.65</v>
      </c>
      <c r="X552" s="2016">
        <f t="shared" si="406"/>
        <v>46.2</v>
      </c>
      <c r="Y552" s="2016">
        <f t="shared" si="407"/>
        <v>69.3</v>
      </c>
      <c r="Z552" s="2016">
        <f t="shared" si="408"/>
        <v>46.2</v>
      </c>
    </row>
    <row r="553" spans="1:26" s="2009" customFormat="1" ht="15" x14ac:dyDescent="0.2">
      <c r="A553" s="1635" t="s">
        <v>7059</v>
      </c>
      <c r="B553" s="1984" t="s">
        <v>4448</v>
      </c>
      <c r="C553" s="1984">
        <v>92865</v>
      </c>
      <c r="D553" s="1813" t="s">
        <v>14977</v>
      </c>
      <c r="E553" s="1638">
        <v>380</v>
      </c>
      <c r="F553" s="1639" t="s">
        <v>5284</v>
      </c>
      <c r="G553" s="1648">
        <v>7.11</v>
      </c>
      <c r="H553" s="1636">
        <f t="shared" si="448"/>
        <v>1.91</v>
      </c>
      <c r="I553" s="1636">
        <f t="shared" si="471"/>
        <v>9.02</v>
      </c>
      <c r="J553" s="1723">
        <f t="shared" si="472"/>
        <v>3427.6</v>
      </c>
      <c r="K553" s="2007">
        <f t="shared" si="401"/>
        <v>2701.8</v>
      </c>
      <c r="L553" s="2007">
        <f t="shared" si="402"/>
        <v>725.8</v>
      </c>
      <c r="M553" s="2016"/>
      <c r="N553" s="2016"/>
      <c r="O553" s="2016"/>
      <c r="P553" s="2016"/>
      <c r="Q553" s="2016"/>
      <c r="R553" s="2016"/>
      <c r="S553" s="2016"/>
      <c r="T553" s="2016">
        <f t="shared" si="403"/>
        <v>171.38</v>
      </c>
      <c r="U553" s="2016"/>
      <c r="V553" s="2016">
        <f t="shared" si="404"/>
        <v>342.76</v>
      </c>
      <c r="W553" s="2016">
        <f t="shared" si="405"/>
        <v>514.14</v>
      </c>
      <c r="X553" s="2016">
        <f t="shared" si="406"/>
        <v>685.52</v>
      </c>
      <c r="Y553" s="2016">
        <f t="shared" si="407"/>
        <v>1028.28</v>
      </c>
      <c r="Z553" s="2016">
        <f t="shared" si="408"/>
        <v>685.52</v>
      </c>
    </row>
    <row r="554" spans="1:26" s="2009" customFormat="1" ht="15" x14ac:dyDescent="0.2">
      <c r="A554" s="1635" t="s">
        <v>7060</v>
      </c>
      <c r="B554" s="1984" t="s">
        <v>4448</v>
      </c>
      <c r="C554" s="1984">
        <v>91936</v>
      </c>
      <c r="D554" s="1813" t="s">
        <v>14978</v>
      </c>
      <c r="E554" s="1638">
        <v>20</v>
      </c>
      <c r="F554" s="1639" t="s">
        <v>5284</v>
      </c>
      <c r="G554" s="1648">
        <v>9.07</v>
      </c>
      <c r="H554" s="1636">
        <f t="shared" si="448"/>
        <v>2.44</v>
      </c>
      <c r="I554" s="1636">
        <f t="shared" si="471"/>
        <v>11.51</v>
      </c>
      <c r="J554" s="1723">
        <f t="shared" si="472"/>
        <v>230.2</v>
      </c>
      <c r="K554" s="2007">
        <f t="shared" si="401"/>
        <v>181.4</v>
      </c>
      <c r="L554" s="2007">
        <f t="shared" si="402"/>
        <v>48.8</v>
      </c>
      <c r="M554" s="2016"/>
      <c r="N554" s="2016"/>
      <c r="O554" s="2016"/>
      <c r="P554" s="2016"/>
      <c r="Q554" s="2016"/>
      <c r="R554" s="2016"/>
      <c r="S554" s="2016"/>
      <c r="T554" s="2016">
        <f t="shared" si="403"/>
        <v>11.51</v>
      </c>
      <c r="U554" s="2016"/>
      <c r="V554" s="2016">
        <f t="shared" si="404"/>
        <v>23.02</v>
      </c>
      <c r="W554" s="2016">
        <f t="shared" si="405"/>
        <v>34.529999999999994</v>
      </c>
      <c r="X554" s="2016">
        <f t="shared" si="406"/>
        <v>46.04</v>
      </c>
      <c r="Y554" s="2016">
        <f t="shared" si="407"/>
        <v>69.059999999999988</v>
      </c>
      <c r="Z554" s="2016">
        <f t="shared" si="408"/>
        <v>46.04</v>
      </c>
    </row>
    <row r="555" spans="1:26" s="2009" customFormat="1" ht="15" x14ac:dyDescent="0.2">
      <c r="A555" s="1635" t="s">
        <v>7061</v>
      </c>
      <c r="B555" s="1984" t="s">
        <v>4448</v>
      </c>
      <c r="C555" s="1984">
        <v>91940</v>
      </c>
      <c r="D555" s="1813" t="s">
        <v>8999</v>
      </c>
      <c r="E555" s="1638">
        <v>382</v>
      </c>
      <c r="F555" s="1639" t="s">
        <v>5284</v>
      </c>
      <c r="G555" s="1648">
        <v>10.85</v>
      </c>
      <c r="H555" s="1636">
        <f t="shared" ref="H555" si="473">ROUND(G555*$B$13,2)</f>
        <v>2.92</v>
      </c>
      <c r="I555" s="1636">
        <f t="shared" si="471"/>
        <v>13.77</v>
      </c>
      <c r="J555" s="1723">
        <f t="shared" si="472"/>
        <v>5260.14</v>
      </c>
      <c r="K555" s="2007">
        <f t="shared" ref="K555" si="474">ROUND(G555*E555,2)</f>
        <v>4144.7</v>
      </c>
      <c r="L555" s="2007">
        <f t="shared" ref="L555" si="475">ROUND(H555*E555,2)</f>
        <v>1115.44</v>
      </c>
      <c r="M555" s="2016"/>
      <c r="N555" s="2016"/>
      <c r="O555" s="2016"/>
      <c r="P555" s="2016"/>
      <c r="Q555" s="2016"/>
      <c r="R555" s="2016"/>
      <c r="S555" s="2016"/>
      <c r="T555" s="2016">
        <f t="shared" ref="T555" si="476">0.05*J555</f>
        <v>263.00700000000001</v>
      </c>
      <c r="U555" s="2016"/>
      <c r="V555" s="2016">
        <f t="shared" ref="V555" si="477">0.1*J555</f>
        <v>526.01400000000001</v>
      </c>
      <c r="W555" s="2016">
        <f t="shared" ref="W555" si="478">0.15*J555</f>
        <v>789.02100000000007</v>
      </c>
      <c r="X555" s="2016">
        <f t="shared" ref="X555" si="479">0.2*J555</f>
        <v>1052.028</v>
      </c>
      <c r="Y555" s="2016">
        <f t="shared" ref="Y555" si="480">0.3*J555</f>
        <v>1578.0420000000001</v>
      </c>
      <c r="Z555" s="2016">
        <f t="shared" ref="Z555" si="481">0.2*J555</f>
        <v>1052.028</v>
      </c>
    </row>
    <row r="556" spans="1:26" s="2009" customFormat="1" ht="15" x14ac:dyDescent="0.2">
      <c r="A556" s="1635" t="s">
        <v>7062</v>
      </c>
      <c r="B556" s="1984" t="s">
        <v>4448</v>
      </c>
      <c r="C556" s="1984">
        <v>97888</v>
      </c>
      <c r="D556" s="1813" t="s">
        <v>14979</v>
      </c>
      <c r="E556" s="1638">
        <v>2</v>
      </c>
      <c r="F556" s="1639" t="s">
        <v>5284</v>
      </c>
      <c r="G556" s="1648">
        <v>373.87</v>
      </c>
      <c r="H556" s="1636">
        <f t="shared" si="448"/>
        <v>100.68</v>
      </c>
      <c r="I556" s="1636">
        <f t="shared" si="471"/>
        <v>474.55</v>
      </c>
      <c r="J556" s="1723">
        <f t="shared" si="472"/>
        <v>949.1</v>
      </c>
      <c r="K556" s="2007">
        <f t="shared" si="401"/>
        <v>747.74</v>
      </c>
      <c r="L556" s="2007">
        <f t="shared" si="402"/>
        <v>201.36</v>
      </c>
      <c r="M556" s="2016"/>
      <c r="N556" s="2016"/>
      <c r="O556" s="2016"/>
      <c r="P556" s="2016"/>
      <c r="Q556" s="2016"/>
      <c r="R556" s="2016"/>
      <c r="S556" s="2016"/>
      <c r="T556" s="2016">
        <f t="shared" si="403"/>
        <v>47.455000000000005</v>
      </c>
      <c r="U556" s="2016"/>
      <c r="V556" s="2016">
        <f t="shared" si="404"/>
        <v>94.910000000000011</v>
      </c>
      <c r="W556" s="2016">
        <f t="shared" si="405"/>
        <v>142.36500000000001</v>
      </c>
      <c r="X556" s="2016">
        <f t="shared" si="406"/>
        <v>189.82000000000002</v>
      </c>
      <c r="Y556" s="2016">
        <f t="shared" si="407"/>
        <v>284.73</v>
      </c>
      <c r="Z556" s="2016">
        <f t="shared" si="408"/>
        <v>189.82000000000002</v>
      </c>
    </row>
    <row r="557" spans="1:26" s="2009" customFormat="1" ht="30" x14ac:dyDescent="0.2">
      <c r="A557" s="1635" t="s">
        <v>7063</v>
      </c>
      <c r="B557" s="1984" t="s">
        <v>4448</v>
      </c>
      <c r="C557" s="1984">
        <v>84798</v>
      </c>
      <c r="D557" s="1813" t="s">
        <v>8995</v>
      </c>
      <c r="E557" s="1638">
        <v>2</v>
      </c>
      <c r="F557" s="1639" t="s">
        <v>5284</v>
      </c>
      <c r="G557" s="1648">
        <v>215.64</v>
      </c>
      <c r="H557" s="1636">
        <f t="shared" ref="H557" si="482">ROUND(G557*$B$13,2)</f>
        <v>58.07</v>
      </c>
      <c r="I557" s="1636">
        <f t="shared" si="471"/>
        <v>273.70999999999998</v>
      </c>
      <c r="J557" s="1723">
        <f t="shared" si="472"/>
        <v>547.41999999999996</v>
      </c>
      <c r="K557" s="2007">
        <f t="shared" ref="K557" si="483">ROUND(G557*E557,2)</f>
        <v>431.28</v>
      </c>
      <c r="L557" s="2007">
        <f t="shared" ref="L557" si="484">ROUND(H557*E557,2)</f>
        <v>116.14</v>
      </c>
      <c r="M557" s="2016"/>
      <c r="N557" s="2016"/>
      <c r="O557" s="2016"/>
      <c r="P557" s="2016"/>
      <c r="Q557" s="2016"/>
      <c r="R557" s="2016"/>
      <c r="S557" s="2016"/>
      <c r="T557" s="2016">
        <f t="shared" ref="T557" si="485">0.05*J557</f>
        <v>27.370999999999999</v>
      </c>
      <c r="U557" s="2016"/>
      <c r="V557" s="2016">
        <f t="shared" ref="V557" si="486">0.1*J557</f>
        <v>54.741999999999997</v>
      </c>
      <c r="W557" s="2016">
        <f t="shared" ref="W557" si="487">0.15*J557</f>
        <v>82.112999999999985</v>
      </c>
      <c r="X557" s="2016">
        <f t="shared" ref="X557" si="488">0.2*J557</f>
        <v>109.48399999999999</v>
      </c>
      <c r="Y557" s="2016">
        <f t="shared" ref="Y557" si="489">0.3*J557</f>
        <v>164.22599999999997</v>
      </c>
      <c r="Z557" s="2016">
        <f t="shared" ref="Z557" si="490">0.2*J557</f>
        <v>109.48399999999999</v>
      </c>
    </row>
    <row r="558" spans="1:26" s="2009" customFormat="1" ht="30" x14ac:dyDescent="0.2">
      <c r="A558" s="1635" t="s">
        <v>7064</v>
      </c>
      <c r="B558" s="1984" t="s">
        <v>4448</v>
      </c>
      <c r="C558" s="1984">
        <v>100560</v>
      </c>
      <c r="D558" s="1813" t="s">
        <v>14983</v>
      </c>
      <c r="E558" s="1638">
        <v>1</v>
      </c>
      <c r="F558" s="1639" t="s">
        <v>5284</v>
      </c>
      <c r="G558" s="1648">
        <v>69.260000000000005</v>
      </c>
      <c r="H558" s="1636">
        <f t="shared" ref="H558:H559" si="491">ROUND(G558*$B$13,2)</f>
        <v>18.649999999999999</v>
      </c>
      <c r="I558" s="1636">
        <f t="shared" ref="I558:I559" si="492">H558+G558</f>
        <v>87.91</v>
      </c>
      <c r="J558" s="1723">
        <f t="shared" ref="J558:J559" si="493">ROUND(I558*E558,2)</f>
        <v>87.91</v>
      </c>
      <c r="K558" s="2007">
        <f t="shared" ref="K558:K559" si="494">ROUND(G558*E558,2)</f>
        <v>69.260000000000005</v>
      </c>
      <c r="L558" s="2007">
        <f t="shared" ref="L558:L559" si="495">ROUND(H558*E558,2)</f>
        <v>18.649999999999999</v>
      </c>
      <c r="M558" s="2016"/>
      <c r="N558" s="2016"/>
      <c r="O558" s="2016"/>
      <c r="P558" s="2016"/>
      <c r="Q558" s="2016"/>
      <c r="R558" s="2016"/>
      <c r="S558" s="2016"/>
      <c r="T558" s="2016">
        <f t="shared" ref="T558:T559" si="496">0.05*J558</f>
        <v>4.3955000000000002</v>
      </c>
      <c r="U558" s="2016"/>
      <c r="V558" s="2016">
        <f t="shared" ref="V558:V559" si="497">0.1*J558</f>
        <v>8.7910000000000004</v>
      </c>
      <c r="W558" s="2016">
        <f t="shared" ref="W558:W559" si="498">0.15*J558</f>
        <v>13.186499999999999</v>
      </c>
      <c r="X558" s="2016">
        <f t="shared" ref="X558:X559" si="499">0.2*J558</f>
        <v>17.582000000000001</v>
      </c>
      <c r="Y558" s="2016">
        <f t="shared" ref="Y558:Y559" si="500">0.3*J558</f>
        <v>26.372999999999998</v>
      </c>
      <c r="Z558" s="2016">
        <f t="shared" ref="Z558:Z559" si="501">0.2*J558</f>
        <v>17.582000000000001</v>
      </c>
    </row>
    <row r="559" spans="1:26" s="2009" customFormat="1" ht="30" x14ac:dyDescent="0.2">
      <c r="A559" s="1635" t="s">
        <v>14985</v>
      </c>
      <c r="B559" s="1984" t="s">
        <v>4448</v>
      </c>
      <c r="C559" s="1984">
        <v>100563</v>
      </c>
      <c r="D559" s="1813" t="s">
        <v>14984</v>
      </c>
      <c r="E559" s="1638">
        <v>1</v>
      </c>
      <c r="F559" s="1639" t="s">
        <v>5284</v>
      </c>
      <c r="G559" s="1648">
        <v>257.37</v>
      </c>
      <c r="H559" s="1636">
        <f t="shared" si="491"/>
        <v>69.31</v>
      </c>
      <c r="I559" s="1636">
        <f t="shared" si="492"/>
        <v>326.68</v>
      </c>
      <c r="J559" s="1723">
        <f t="shared" si="493"/>
        <v>326.68</v>
      </c>
      <c r="K559" s="2007">
        <f t="shared" si="494"/>
        <v>257.37</v>
      </c>
      <c r="L559" s="2007">
        <f t="shared" si="495"/>
        <v>69.31</v>
      </c>
      <c r="M559" s="2016"/>
      <c r="N559" s="2016"/>
      <c r="O559" s="2016"/>
      <c r="P559" s="2016"/>
      <c r="Q559" s="2016"/>
      <c r="R559" s="2016"/>
      <c r="S559" s="2016"/>
      <c r="T559" s="2016">
        <f t="shared" si="496"/>
        <v>16.334</v>
      </c>
      <c r="U559" s="2016"/>
      <c r="V559" s="2016">
        <f t="shared" si="497"/>
        <v>32.667999999999999</v>
      </c>
      <c r="W559" s="2016">
        <f t="shared" si="498"/>
        <v>49.002000000000002</v>
      </c>
      <c r="X559" s="2016">
        <f t="shared" si="499"/>
        <v>65.335999999999999</v>
      </c>
      <c r="Y559" s="2016">
        <f t="shared" si="500"/>
        <v>98.004000000000005</v>
      </c>
      <c r="Z559" s="2016">
        <f t="shared" si="501"/>
        <v>65.335999999999999</v>
      </c>
    </row>
    <row r="560" spans="1:26" s="2009" customFormat="1" ht="30" x14ac:dyDescent="0.2">
      <c r="A560" s="1635" t="s">
        <v>7065</v>
      </c>
      <c r="B560" s="1984" t="s">
        <v>4448</v>
      </c>
      <c r="C560" s="1984">
        <v>93654</v>
      </c>
      <c r="D560" s="1813" t="s">
        <v>6142</v>
      </c>
      <c r="E560" s="1638">
        <v>221</v>
      </c>
      <c r="F560" s="1639" t="s">
        <v>5284</v>
      </c>
      <c r="G560" s="1648">
        <v>10.45</v>
      </c>
      <c r="H560" s="1636">
        <f t="shared" si="448"/>
        <v>2.81</v>
      </c>
      <c r="I560" s="1636">
        <f t="shared" ref="I560:I587" si="502">H560+G560</f>
        <v>13.26</v>
      </c>
      <c r="J560" s="1723">
        <f t="shared" ref="J560:J587" si="503">ROUND(I560*E560,2)</f>
        <v>2930.46</v>
      </c>
      <c r="K560" s="2007">
        <f t="shared" si="401"/>
        <v>2309.4499999999998</v>
      </c>
      <c r="L560" s="2007">
        <f t="shared" si="402"/>
        <v>621.01</v>
      </c>
      <c r="M560" s="2016"/>
      <c r="N560" s="2016"/>
      <c r="O560" s="2016"/>
      <c r="P560" s="2016"/>
      <c r="Q560" s="2016"/>
      <c r="R560" s="2016"/>
      <c r="S560" s="2016"/>
      <c r="T560" s="2016">
        <f t="shared" si="403"/>
        <v>146.523</v>
      </c>
      <c r="U560" s="2016"/>
      <c r="V560" s="2016">
        <f t="shared" si="404"/>
        <v>293.04599999999999</v>
      </c>
      <c r="W560" s="2016">
        <f t="shared" si="405"/>
        <v>439.56900000000002</v>
      </c>
      <c r="X560" s="2016">
        <f t="shared" si="406"/>
        <v>586.09199999999998</v>
      </c>
      <c r="Y560" s="2016">
        <f t="shared" si="407"/>
        <v>879.13800000000003</v>
      </c>
      <c r="Z560" s="2016">
        <f t="shared" si="408"/>
        <v>586.09199999999998</v>
      </c>
    </row>
    <row r="561" spans="1:26" s="2009" customFormat="1" ht="30" x14ac:dyDescent="0.2">
      <c r="A561" s="1635" t="s">
        <v>7066</v>
      </c>
      <c r="B561" s="1984" t="s">
        <v>4448</v>
      </c>
      <c r="C561" s="1984">
        <v>93655</v>
      </c>
      <c r="D561" s="1813" t="s">
        <v>6143</v>
      </c>
      <c r="E561" s="1638">
        <v>119</v>
      </c>
      <c r="F561" s="1639" t="s">
        <v>5284</v>
      </c>
      <c r="G561" s="1648">
        <v>11.3</v>
      </c>
      <c r="H561" s="1636">
        <f t="shared" si="448"/>
        <v>3.04</v>
      </c>
      <c r="I561" s="1636">
        <f t="shared" si="502"/>
        <v>14.34</v>
      </c>
      <c r="J561" s="1723">
        <f t="shared" si="503"/>
        <v>1706.46</v>
      </c>
      <c r="K561" s="2007">
        <f t="shared" si="401"/>
        <v>1344.7</v>
      </c>
      <c r="L561" s="2007">
        <f t="shared" si="402"/>
        <v>361.76</v>
      </c>
      <c r="M561" s="2016"/>
      <c r="N561" s="2016"/>
      <c r="O561" s="2016"/>
      <c r="P561" s="2016"/>
      <c r="Q561" s="2016"/>
      <c r="R561" s="2016"/>
      <c r="S561" s="2016"/>
      <c r="T561" s="2016">
        <f t="shared" si="403"/>
        <v>85.323000000000008</v>
      </c>
      <c r="U561" s="2016"/>
      <c r="V561" s="2016">
        <f t="shared" si="404"/>
        <v>170.64600000000002</v>
      </c>
      <c r="W561" s="2016">
        <f t="shared" si="405"/>
        <v>255.96899999999999</v>
      </c>
      <c r="X561" s="2016">
        <f t="shared" si="406"/>
        <v>341.29200000000003</v>
      </c>
      <c r="Y561" s="2016">
        <f t="shared" si="407"/>
        <v>511.93799999999999</v>
      </c>
      <c r="Z561" s="2016">
        <f t="shared" si="408"/>
        <v>341.29200000000003</v>
      </c>
    </row>
    <row r="562" spans="1:26" s="2009" customFormat="1" ht="30" x14ac:dyDescent="0.2">
      <c r="A562" s="1635" t="s">
        <v>7067</v>
      </c>
      <c r="B562" s="1984" t="s">
        <v>4448</v>
      </c>
      <c r="C562" s="1984">
        <v>93657</v>
      </c>
      <c r="D562" s="1813" t="s">
        <v>6144</v>
      </c>
      <c r="E562" s="1638">
        <v>20</v>
      </c>
      <c r="F562" s="1639" t="s">
        <v>5284</v>
      </c>
      <c r="G562" s="1648">
        <v>12.36</v>
      </c>
      <c r="H562" s="1636">
        <f t="shared" si="448"/>
        <v>3.33</v>
      </c>
      <c r="I562" s="1636">
        <f t="shared" si="502"/>
        <v>15.69</v>
      </c>
      <c r="J562" s="1723">
        <f t="shared" si="503"/>
        <v>313.8</v>
      </c>
      <c r="K562" s="2007">
        <f t="shared" si="401"/>
        <v>247.2</v>
      </c>
      <c r="L562" s="2007">
        <f t="shared" si="402"/>
        <v>66.599999999999994</v>
      </c>
      <c r="M562" s="2016"/>
      <c r="N562" s="2016"/>
      <c r="O562" s="2016"/>
      <c r="P562" s="2016"/>
      <c r="Q562" s="2016"/>
      <c r="R562" s="2016"/>
      <c r="S562" s="2016"/>
      <c r="T562" s="2016">
        <f t="shared" si="403"/>
        <v>15.690000000000001</v>
      </c>
      <c r="U562" s="2016"/>
      <c r="V562" s="2016">
        <f t="shared" si="404"/>
        <v>31.380000000000003</v>
      </c>
      <c r="W562" s="2016">
        <f t="shared" si="405"/>
        <v>47.07</v>
      </c>
      <c r="X562" s="2016">
        <f t="shared" si="406"/>
        <v>62.760000000000005</v>
      </c>
      <c r="Y562" s="2016">
        <f t="shared" si="407"/>
        <v>94.14</v>
      </c>
      <c r="Z562" s="2016">
        <f t="shared" si="408"/>
        <v>62.760000000000005</v>
      </c>
    </row>
    <row r="563" spans="1:26" s="2009" customFormat="1" ht="30" x14ac:dyDescent="0.2">
      <c r="A563" s="1635" t="s">
        <v>7068</v>
      </c>
      <c r="B563" s="1984" t="s">
        <v>4448</v>
      </c>
      <c r="C563" s="1984">
        <v>93658</v>
      </c>
      <c r="D563" s="1813" t="s">
        <v>6145</v>
      </c>
      <c r="E563" s="1638">
        <v>14</v>
      </c>
      <c r="F563" s="1639" t="s">
        <v>5284</v>
      </c>
      <c r="G563" s="1648">
        <v>17.96</v>
      </c>
      <c r="H563" s="1636">
        <f t="shared" si="448"/>
        <v>4.84</v>
      </c>
      <c r="I563" s="1636">
        <f t="shared" si="502"/>
        <v>22.8</v>
      </c>
      <c r="J563" s="1723">
        <f t="shared" si="503"/>
        <v>319.2</v>
      </c>
      <c r="K563" s="2007">
        <f t="shared" si="401"/>
        <v>251.44</v>
      </c>
      <c r="L563" s="2007">
        <f t="shared" si="402"/>
        <v>67.760000000000005</v>
      </c>
      <c r="M563" s="2016"/>
      <c r="N563" s="2016"/>
      <c r="O563" s="2016"/>
      <c r="P563" s="2016"/>
      <c r="Q563" s="2016"/>
      <c r="R563" s="2016"/>
      <c r="S563" s="2016"/>
      <c r="T563" s="2016">
        <f t="shared" si="403"/>
        <v>15.96</v>
      </c>
      <c r="U563" s="2016"/>
      <c r="V563" s="2016">
        <f t="shared" si="404"/>
        <v>31.92</v>
      </c>
      <c r="W563" s="2016">
        <f t="shared" si="405"/>
        <v>47.879999999999995</v>
      </c>
      <c r="X563" s="2016">
        <f t="shared" si="406"/>
        <v>63.84</v>
      </c>
      <c r="Y563" s="2016">
        <f t="shared" si="407"/>
        <v>95.759999999999991</v>
      </c>
      <c r="Z563" s="2016">
        <f t="shared" si="408"/>
        <v>63.84</v>
      </c>
    </row>
    <row r="564" spans="1:26" s="2009" customFormat="1" ht="30" x14ac:dyDescent="0.2">
      <c r="A564" s="1635" t="s">
        <v>7069</v>
      </c>
      <c r="B564" s="1984" t="s">
        <v>4448</v>
      </c>
      <c r="C564" s="1984">
        <v>93659</v>
      </c>
      <c r="D564" s="1813" t="s">
        <v>6146</v>
      </c>
      <c r="E564" s="1638">
        <v>2</v>
      </c>
      <c r="F564" s="1639" t="s">
        <v>5284</v>
      </c>
      <c r="G564" s="1648">
        <v>20.11</v>
      </c>
      <c r="H564" s="1636">
        <f t="shared" si="448"/>
        <v>5.42</v>
      </c>
      <c r="I564" s="1636">
        <f t="shared" si="502"/>
        <v>25.53</v>
      </c>
      <c r="J564" s="1723">
        <f t="shared" si="503"/>
        <v>51.06</v>
      </c>
      <c r="K564" s="2007">
        <f t="shared" si="401"/>
        <v>40.22</v>
      </c>
      <c r="L564" s="2007">
        <f t="shared" si="402"/>
        <v>10.84</v>
      </c>
      <c r="M564" s="2016"/>
      <c r="N564" s="2016"/>
      <c r="O564" s="2016"/>
      <c r="P564" s="2016"/>
      <c r="Q564" s="2016"/>
      <c r="R564" s="2016"/>
      <c r="S564" s="2016"/>
      <c r="T564" s="2016">
        <f t="shared" si="403"/>
        <v>2.5530000000000004</v>
      </c>
      <c r="U564" s="2016"/>
      <c r="V564" s="2016">
        <f t="shared" si="404"/>
        <v>5.1060000000000008</v>
      </c>
      <c r="W564" s="2016">
        <f t="shared" si="405"/>
        <v>7.6589999999999998</v>
      </c>
      <c r="X564" s="2016">
        <f t="shared" si="406"/>
        <v>10.212000000000002</v>
      </c>
      <c r="Y564" s="2016">
        <f t="shared" si="407"/>
        <v>15.318</v>
      </c>
      <c r="Z564" s="2016">
        <f t="shared" si="408"/>
        <v>10.212000000000002</v>
      </c>
    </row>
    <row r="565" spans="1:26" s="2009" customFormat="1" ht="30" x14ac:dyDescent="0.2">
      <c r="A565" s="1635" t="s">
        <v>7070</v>
      </c>
      <c r="B565" s="1984" t="s">
        <v>4448</v>
      </c>
      <c r="C565" s="1984">
        <v>93669</v>
      </c>
      <c r="D565" s="1813" t="s">
        <v>7092</v>
      </c>
      <c r="E565" s="1638">
        <v>4</v>
      </c>
      <c r="F565" s="1639" t="s">
        <v>5284</v>
      </c>
      <c r="G565" s="1648">
        <v>66.61</v>
      </c>
      <c r="H565" s="1636">
        <f t="shared" si="448"/>
        <v>17.940000000000001</v>
      </c>
      <c r="I565" s="1636">
        <f t="shared" si="502"/>
        <v>84.55</v>
      </c>
      <c r="J565" s="1723">
        <f t="shared" si="503"/>
        <v>338.2</v>
      </c>
      <c r="K565" s="2007">
        <f t="shared" si="401"/>
        <v>266.44</v>
      </c>
      <c r="L565" s="2007">
        <f t="shared" si="402"/>
        <v>71.760000000000005</v>
      </c>
      <c r="M565" s="2016"/>
      <c r="N565" s="2016"/>
      <c r="O565" s="2016"/>
      <c r="P565" s="2016"/>
      <c r="Q565" s="2016"/>
      <c r="R565" s="2016"/>
      <c r="S565" s="2016"/>
      <c r="T565" s="2016">
        <f t="shared" si="403"/>
        <v>16.91</v>
      </c>
      <c r="U565" s="2016"/>
      <c r="V565" s="2016">
        <f t="shared" si="404"/>
        <v>33.82</v>
      </c>
      <c r="W565" s="2016">
        <f t="shared" si="405"/>
        <v>50.73</v>
      </c>
      <c r="X565" s="2016">
        <f t="shared" si="406"/>
        <v>67.64</v>
      </c>
      <c r="Y565" s="2016">
        <f t="shared" si="407"/>
        <v>101.46</v>
      </c>
      <c r="Z565" s="2016">
        <f t="shared" si="408"/>
        <v>67.64</v>
      </c>
    </row>
    <row r="566" spans="1:26" s="2009" customFormat="1" ht="30" x14ac:dyDescent="0.2">
      <c r="A566" s="1635" t="s">
        <v>7071</v>
      </c>
      <c r="B566" s="1984" t="s">
        <v>4448</v>
      </c>
      <c r="C566" s="1984">
        <v>93669</v>
      </c>
      <c r="D566" s="1813" t="s">
        <v>7096</v>
      </c>
      <c r="E566" s="1638">
        <v>4</v>
      </c>
      <c r="F566" s="1639" t="s">
        <v>5284</v>
      </c>
      <c r="G566" s="1648">
        <v>66.61</v>
      </c>
      <c r="H566" s="1636">
        <f t="shared" si="448"/>
        <v>17.940000000000001</v>
      </c>
      <c r="I566" s="1636">
        <f>H566+G566</f>
        <v>84.55</v>
      </c>
      <c r="J566" s="1723">
        <f>ROUND(I566*E566,2)</f>
        <v>338.2</v>
      </c>
      <c r="K566" s="2007">
        <f t="shared" si="401"/>
        <v>266.44</v>
      </c>
      <c r="L566" s="2007">
        <f t="shared" si="402"/>
        <v>71.760000000000005</v>
      </c>
      <c r="M566" s="2016"/>
      <c r="N566" s="2016"/>
      <c r="O566" s="2016"/>
      <c r="P566" s="2016"/>
      <c r="Q566" s="2016"/>
      <c r="R566" s="2016"/>
      <c r="S566" s="2016"/>
      <c r="T566" s="2016">
        <f t="shared" si="403"/>
        <v>16.91</v>
      </c>
      <c r="U566" s="2016"/>
      <c r="V566" s="2016">
        <f t="shared" si="404"/>
        <v>33.82</v>
      </c>
      <c r="W566" s="2016">
        <f t="shared" si="405"/>
        <v>50.73</v>
      </c>
      <c r="X566" s="2016">
        <f t="shared" si="406"/>
        <v>67.64</v>
      </c>
      <c r="Y566" s="2016">
        <f t="shared" si="407"/>
        <v>101.46</v>
      </c>
      <c r="Z566" s="2016">
        <f t="shared" si="408"/>
        <v>67.64</v>
      </c>
    </row>
    <row r="567" spans="1:26" s="2009" customFormat="1" ht="30" x14ac:dyDescent="0.2">
      <c r="A567" s="1635" t="s">
        <v>7072</v>
      </c>
      <c r="B567" s="1984" t="s">
        <v>4448</v>
      </c>
      <c r="C567" s="1984">
        <v>93671</v>
      </c>
      <c r="D567" s="1813" t="s">
        <v>7093</v>
      </c>
      <c r="E567" s="1638">
        <v>19</v>
      </c>
      <c r="F567" s="1639" t="s">
        <v>5284</v>
      </c>
      <c r="G567" s="1648">
        <v>69.760000000000005</v>
      </c>
      <c r="H567" s="1636">
        <f t="shared" si="448"/>
        <v>18.79</v>
      </c>
      <c r="I567" s="1636">
        <f t="shared" si="502"/>
        <v>88.550000000000011</v>
      </c>
      <c r="J567" s="1723">
        <f t="shared" si="503"/>
        <v>1682.45</v>
      </c>
      <c r="K567" s="2007">
        <f t="shared" si="401"/>
        <v>1325.44</v>
      </c>
      <c r="L567" s="2007">
        <f t="shared" si="402"/>
        <v>357.01</v>
      </c>
      <c r="M567" s="2016"/>
      <c r="N567" s="2016"/>
      <c r="O567" s="2016"/>
      <c r="P567" s="2016"/>
      <c r="Q567" s="2016"/>
      <c r="R567" s="2016"/>
      <c r="S567" s="2016"/>
      <c r="T567" s="2016">
        <f t="shared" si="403"/>
        <v>84.122500000000002</v>
      </c>
      <c r="U567" s="2016"/>
      <c r="V567" s="2016">
        <f t="shared" si="404"/>
        <v>168.245</v>
      </c>
      <c r="W567" s="2016">
        <f t="shared" si="405"/>
        <v>252.36750000000001</v>
      </c>
      <c r="X567" s="2016">
        <f t="shared" si="406"/>
        <v>336.49</v>
      </c>
      <c r="Y567" s="2016">
        <f t="shared" si="407"/>
        <v>504.73500000000001</v>
      </c>
      <c r="Z567" s="2016">
        <f t="shared" si="408"/>
        <v>336.49</v>
      </c>
    </row>
    <row r="568" spans="1:26" s="2009" customFormat="1" ht="30" x14ac:dyDescent="0.2">
      <c r="A568" s="1635" t="s">
        <v>7073</v>
      </c>
      <c r="B568" s="1984" t="s">
        <v>4448</v>
      </c>
      <c r="C568" s="1984">
        <v>93671</v>
      </c>
      <c r="D568" s="1813" t="s">
        <v>7097</v>
      </c>
      <c r="E568" s="1638">
        <v>5</v>
      </c>
      <c r="F568" s="1639" t="s">
        <v>5284</v>
      </c>
      <c r="G568" s="1648">
        <v>69.760000000000005</v>
      </c>
      <c r="H568" s="1636">
        <f t="shared" si="448"/>
        <v>18.79</v>
      </c>
      <c r="I568" s="1636">
        <f>H568+G568</f>
        <v>88.550000000000011</v>
      </c>
      <c r="J568" s="1723">
        <f>ROUND(I568*E568,2)</f>
        <v>442.75</v>
      </c>
      <c r="K568" s="2007">
        <f t="shared" si="401"/>
        <v>348.8</v>
      </c>
      <c r="L568" s="2007">
        <f t="shared" si="402"/>
        <v>93.95</v>
      </c>
      <c r="M568" s="2016"/>
      <c r="N568" s="2016"/>
      <c r="O568" s="2016"/>
      <c r="P568" s="2016"/>
      <c r="Q568" s="2016"/>
      <c r="R568" s="2016"/>
      <c r="S568" s="2016"/>
      <c r="T568" s="2016">
        <f t="shared" si="403"/>
        <v>22.137500000000003</v>
      </c>
      <c r="U568" s="2016"/>
      <c r="V568" s="2016">
        <f t="shared" si="404"/>
        <v>44.275000000000006</v>
      </c>
      <c r="W568" s="2016">
        <f t="shared" si="405"/>
        <v>66.412499999999994</v>
      </c>
      <c r="X568" s="2016">
        <f t="shared" si="406"/>
        <v>88.550000000000011</v>
      </c>
      <c r="Y568" s="2016">
        <f t="shared" si="407"/>
        <v>132.82499999999999</v>
      </c>
      <c r="Z568" s="2016">
        <f t="shared" si="408"/>
        <v>88.550000000000011</v>
      </c>
    </row>
    <row r="569" spans="1:26" s="2009" customFormat="1" ht="30" x14ac:dyDescent="0.2">
      <c r="A569" s="1635" t="s">
        <v>7074</v>
      </c>
      <c r="B569" s="1984" t="s">
        <v>4448</v>
      </c>
      <c r="C569" s="1984">
        <v>93672</v>
      </c>
      <c r="D569" s="1813" t="s">
        <v>7094</v>
      </c>
      <c r="E569" s="1638">
        <v>6</v>
      </c>
      <c r="F569" s="1639" t="s">
        <v>5284</v>
      </c>
      <c r="G569" s="1648">
        <v>74.83</v>
      </c>
      <c r="H569" s="1636">
        <f t="shared" si="448"/>
        <v>20.149999999999999</v>
      </c>
      <c r="I569" s="1636">
        <f t="shared" si="502"/>
        <v>94.97999999999999</v>
      </c>
      <c r="J569" s="1723">
        <f t="shared" si="503"/>
        <v>569.88</v>
      </c>
      <c r="K569" s="2007">
        <f t="shared" si="401"/>
        <v>448.98</v>
      </c>
      <c r="L569" s="2007">
        <f t="shared" si="402"/>
        <v>120.9</v>
      </c>
      <c r="M569" s="2016"/>
      <c r="N569" s="2016"/>
      <c r="O569" s="2016"/>
      <c r="P569" s="2016"/>
      <c r="Q569" s="2016"/>
      <c r="R569" s="2016"/>
      <c r="S569" s="2016"/>
      <c r="T569" s="2016">
        <f t="shared" si="403"/>
        <v>28.494</v>
      </c>
      <c r="U569" s="2016"/>
      <c r="V569" s="2016">
        <f t="shared" si="404"/>
        <v>56.988</v>
      </c>
      <c r="W569" s="2016">
        <f t="shared" si="405"/>
        <v>85.481999999999999</v>
      </c>
      <c r="X569" s="2016">
        <f t="shared" si="406"/>
        <v>113.976</v>
      </c>
      <c r="Y569" s="2016">
        <f t="shared" si="407"/>
        <v>170.964</v>
      </c>
      <c r="Z569" s="2016">
        <f t="shared" si="408"/>
        <v>113.976</v>
      </c>
    </row>
    <row r="570" spans="1:26" s="2009" customFormat="1" ht="30" x14ac:dyDescent="0.2">
      <c r="A570" s="1635" t="s">
        <v>7075</v>
      </c>
      <c r="B570" s="1984" t="s">
        <v>4448</v>
      </c>
      <c r="C570" s="1984">
        <v>93672</v>
      </c>
      <c r="D570" s="1813" t="s">
        <v>7098</v>
      </c>
      <c r="E570" s="1638">
        <v>3</v>
      </c>
      <c r="F570" s="1639" t="s">
        <v>5284</v>
      </c>
      <c r="G570" s="1648">
        <v>74.83</v>
      </c>
      <c r="H570" s="1636">
        <f t="shared" si="448"/>
        <v>20.149999999999999</v>
      </c>
      <c r="I570" s="1636">
        <f>H570+G570</f>
        <v>94.97999999999999</v>
      </c>
      <c r="J570" s="1723">
        <f>ROUND(I570*E570,2)</f>
        <v>284.94</v>
      </c>
      <c r="K570" s="2007">
        <f t="shared" si="401"/>
        <v>224.49</v>
      </c>
      <c r="L570" s="2007">
        <f t="shared" si="402"/>
        <v>60.45</v>
      </c>
      <c r="M570" s="2016"/>
      <c r="N570" s="2016"/>
      <c r="O570" s="2016"/>
      <c r="P570" s="2016"/>
      <c r="Q570" s="2016"/>
      <c r="R570" s="2016"/>
      <c r="S570" s="2016"/>
      <c r="T570" s="2016">
        <f t="shared" si="403"/>
        <v>14.247</v>
      </c>
      <c r="U570" s="2016"/>
      <c r="V570" s="2016">
        <f t="shared" si="404"/>
        <v>28.494</v>
      </c>
      <c r="W570" s="2016">
        <f t="shared" si="405"/>
        <v>42.741</v>
      </c>
      <c r="X570" s="2016">
        <f t="shared" si="406"/>
        <v>56.988</v>
      </c>
      <c r="Y570" s="2016">
        <f t="shared" si="407"/>
        <v>85.481999999999999</v>
      </c>
      <c r="Z570" s="2016">
        <f t="shared" si="408"/>
        <v>56.988</v>
      </c>
    </row>
    <row r="571" spans="1:26" s="2009" customFormat="1" ht="30" x14ac:dyDescent="0.2">
      <c r="A571" s="1635" t="s">
        <v>7076</v>
      </c>
      <c r="B571" s="1984" t="s">
        <v>5281</v>
      </c>
      <c r="C571" s="1984">
        <v>452</v>
      </c>
      <c r="D571" s="1813" t="s">
        <v>7095</v>
      </c>
      <c r="E571" s="1638">
        <v>5</v>
      </c>
      <c r="F571" s="1639" t="s">
        <v>5284</v>
      </c>
      <c r="G571" s="1648">
        <v>106.64999999999999</v>
      </c>
      <c r="H571" s="1636">
        <f t="shared" si="448"/>
        <v>28.72</v>
      </c>
      <c r="I571" s="1636">
        <f t="shared" si="502"/>
        <v>135.37</v>
      </c>
      <c r="J571" s="1723">
        <f t="shared" si="503"/>
        <v>676.85</v>
      </c>
      <c r="K571" s="2007">
        <f t="shared" si="401"/>
        <v>533.25</v>
      </c>
      <c r="L571" s="2007">
        <f t="shared" si="402"/>
        <v>143.6</v>
      </c>
      <c r="M571" s="2016"/>
      <c r="N571" s="2016"/>
      <c r="O571" s="2016"/>
      <c r="P571" s="2016"/>
      <c r="Q571" s="2016"/>
      <c r="R571" s="2016"/>
      <c r="S571" s="2016"/>
      <c r="T571" s="2016">
        <f t="shared" si="403"/>
        <v>33.842500000000001</v>
      </c>
      <c r="U571" s="2016"/>
      <c r="V571" s="2016">
        <f t="shared" si="404"/>
        <v>67.685000000000002</v>
      </c>
      <c r="W571" s="2016">
        <f t="shared" si="405"/>
        <v>101.5275</v>
      </c>
      <c r="X571" s="2016">
        <f t="shared" si="406"/>
        <v>135.37</v>
      </c>
      <c r="Y571" s="2016">
        <f t="shared" si="407"/>
        <v>203.05500000000001</v>
      </c>
      <c r="Z571" s="2016">
        <f t="shared" si="408"/>
        <v>135.37</v>
      </c>
    </row>
    <row r="572" spans="1:26" s="2009" customFormat="1" ht="30" x14ac:dyDescent="0.2">
      <c r="A572" s="1635" t="s">
        <v>7077</v>
      </c>
      <c r="B572" s="1984" t="s">
        <v>5281</v>
      </c>
      <c r="C572" s="1984">
        <v>452</v>
      </c>
      <c r="D572" s="1813" t="s">
        <v>7099</v>
      </c>
      <c r="E572" s="1638">
        <v>1</v>
      </c>
      <c r="F572" s="1639" t="s">
        <v>5284</v>
      </c>
      <c r="G572" s="1648">
        <v>106.64999999999999</v>
      </c>
      <c r="H572" s="1636">
        <f t="shared" si="448"/>
        <v>28.72</v>
      </c>
      <c r="I572" s="1636">
        <f>H572+G572</f>
        <v>135.37</v>
      </c>
      <c r="J572" s="1723">
        <f>ROUND(I572*E572,2)</f>
        <v>135.37</v>
      </c>
      <c r="K572" s="2007">
        <f t="shared" si="401"/>
        <v>106.65</v>
      </c>
      <c r="L572" s="2007">
        <f t="shared" si="402"/>
        <v>28.72</v>
      </c>
      <c r="M572" s="2016"/>
      <c r="N572" s="2016"/>
      <c r="O572" s="2016"/>
      <c r="P572" s="2016"/>
      <c r="Q572" s="2016"/>
      <c r="R572" s="2016"/>
      <c r="S572" s="2016"/>
      <c r="T572" s="2016">
        <f t="shared" si="403"/>
        <v>6.7685000000000004</v>
      </c>
      <c r="U572" s="2016"/>
      <c r="V572" s="2016">
        <f t="shared" si="404"/>
        <v>13.537000000000001</v>
      </c>
      <c r="W572" s="2016">
        <f t="shared" si="405"/>
        <v>20.305499999999999</v>
      </c>
      <c r="X572" s="2016">
        <f t="shared" si="406"/>
        <v>27.074000000000002</v>
      </c>
      <c r="Y572" s="2016">
        <f t="shared" si="407"/>
        <v>40.610999999999997</v>
      </c>
      <c r="Z572" s="2016">
        <f t="shared" si="408"/>
        <v>27.074000000000002</v>
      </c>
    </row>
    <row r="573" spans="1:26" s="2009" customFormat="1" ht="30" x14ac:dyDescent="0.2">
      <c r="A573" s="1635" t="s">
        <v>7078</v>
      </c>
      <c r="B573" s="1984" t="s">
        <v>5281</v>
      </c>
      <c r="C573" s="1984">
        <v>8003</v>
      </c>
      <c r="D573" s="1813" t="s">
        <v>7091</v>
      </c>
      <c r="E573" s="1638">
        <v>5</v>
      </c>
      <c r="F573" s="1639" t="s">
        <v>5284</v>
      </c>
      <c r="G573" s="1648">
        <v>121.71</v>
      </c>
      <c r="H573" s="1636">
        <f t="shared" si="448"/>
        <v>32.78</v>
      </c>
      <c r="I573" s="1636">
        <f t="shared" si="502"/>
        <v>154.49</v>
      </c>
      <c r="J573" s="1723">
        <f t="shared" si="503"/>
        <v>772.45</v>
      </c>
      <c r="K573" s="2007">
        <f t="shared" si="401"/>
        <v>608.54999999999995</v>
      </c>
      <c r="L573" s="2007">
        <f t="shared" si="402"/>
        <v>163.9</v>
      </c>
      <c r="M573" s="2016"/>
      <c r="N573" s="2016"/>
      <c r="O573" s="2016"/>
      <c r="P573" s="2016"/>
      <c r="Q573" s="2016"/>
      <c r="R573" s="2016"/>
      <c r="S573" s="2016"/>
      <c r="T573" s="2016">
        <f t="shared" si="403"/>
        <v>38.622500000000002</v>
      </c>
      <c r="U573" s="2016"/>
      <c r="V573" s="2016">
        <f t="shared" si="404"/>
        <v>77.245000000000005</v>
      </c>
      <c r="W573" s="2016">
        <f t="shared" si="405"/>
        <v>115.86750000000001</v>
      </c>
      <c r="X573" s="2016">
        <f t="shared" si="406"/>
        <v>154.49</v>
      </c>
      <c r="Y573" s="2016">
        <f t="shared" si="407"/>
        <v>231.73500000000001</v>
      </c>
      <c r="Z573" s="2016">
        <f t="shared" si="408"/>
        <v>154.49</v>
      </c>
    </row>
    <row r="574" spans="1:26" s="2009" customFormat="1" ht="30" x14ac:dyDescent="0.2">
      <c r="A574" s="1635" t="s">
        <v>7079</v>
      </c>
      <c r="B574" s="1984" t="s">
        <v>5281</v>
      </c>
      <c r="C574" s="1984">
        <v>8003</v>
      </c>
      <c r="D574" s="1813" t="s">
        <v>7090</v>
      </c>
      <c r="E574" s="1638">
        <v>2</v>
      </c>
      <c r="F574" s="1639" t="s">
        <v>5284</v>
      </c>
      <c r="G574" s="1648">
        <v>121.71</v>
      </c>
      <c r="H574" s="1636">
        <f t="shared" si="448"/>
        <v>32.78</v>
      </c>
      <c r="I574" s="1636">
        <f>H574+G574</f>
        <v>154.49</v>
      </c>
      <c r="J574" s="1723">
        <f>ROUND(I574*E574,2)</f>
        <v>308.98</v>
      </c>
      <c r="K574" s="2007">
        <f t="shared" si="401"/>
        <v>243.42</v>
      </c>
      <c r="L574" s="2007">
        <f t="shared" si="402"/>
        <v>65.56</v>
      </c>
      <c r="M574" s="2016"/>
      <c r="N574" s="2016"/>
      <c r="O574" s="2016"/>
      <c r="P574" s="2016"/>
      <c r="Q574" s="2016"/>
      <c r="R574" s="2016"/>
      <c r="S574" s="2016"/>
      <c r="T574" s="2016">
        <f t="shared" si="403"/>
        <v>15.449000000000002</v>
      </c>
      <c r="U574" s="2016"/>
      <c r="V574" s="2016">
        <f t="shared" si="404"/>
        <v>30.898000000000003</v>
      </c>
      <c r="W574" s="2016">
        <f t="shared" si="405"/>
        <v>46.347000000000001</v>
      </c>
      <c r="X574" s="2016">
        <f t="shared" si="406"/>
        <v>61.796000000000006</v>
      </c>
      <c r="Y574" s="2016">
        <f t="shared" si="407"/>
        <v>92.694000000000003</v>
      </c>
      <c r="Z574" s="2016">
        <f t="shared" si="408"/>
        <v>61.796000000000006</v>
      </c>
    </row>
    <row r="575" spans="1:26" s="2009" customFormat="1" ht="30" x14ac:dyDescent="0.2">
      <c r="A575" s="1635" t="s">
        <v>7110</v>
      </c>
      <c r="B575" s="1984" t="s">
        <v>5281</v>
      </c>
      <c r="C575" s="1984">
        <v>8490</v>
      </c>
      <c r="D575" s="1813" t="s">
        <v>7103</v>
      </c>
      <c r="E575" s="1638">
        <v>5</v>
      </c>
      <c r="F575" s="1639" t="s">
        <v>5284</v>
      </c>
      <c r="G575" s="1648">
        <v>385.82</v>
      </c>
      <c r="H575" s="1636">
        <f t="shared" si="448"/>
        <v>103.9</v>
      </c>
      <c r="I575" s="1636">
        <f t="shared" si="502"/>
        <v>489.72</v>
      </c>
      <c r="J575" s="1723">
        <f t="shared" si="503"/>
        <v>2448.6</v>
      </c>
      <c r="K575" s="2007">
        <f t="shared" si="401"/>
        <v>1929.1</v>
      </c>
      <c r="L575" s="2007">
        <f t="shared" si="402"/>
        <v>519.5</v>
      </c>
      <c r="M575" s="2016"/>
      <c r="N575" s="2016"/>
      <c r="O575" s="2016"/>
      <c r="P575" s="2016"/>
      <c r="Q575" s="2016"/>
      <c r="R575" s="2016"/>
      <c r="S575" s="2016"/>
      <c r="T575" s="2016">
        <f t="shared" si="403"/>
        <v>122.43</v>
      </c>
      <c r="U575" s="2016"/>
      <c r="V575" s="2016">
        <f t="shared" si="404"/>
        <v>244.86</v>
      </c>
      <c r="W575" s="2016">
        <f t="shared" si="405"/>
        <v>367.28999999999996</v>
      </c>
      <c r="X575" s="2016">
        <f t="shared" si="406"/>
        <v>489.72</v>
      </c>
      <c r="Y575" s="2016">
        <f t="shared" si="407"/>
        <v>734.57999999999993</v>
      </c>
      <c r="Z575" s="2016">
        <f t="shared" si="408"/>
        <v>489.72</v>
      </c>
    </row>
    <row r="576" spans="1:26" s="2009" customFormat="1" ht="30" x14ac:dyDescent="0.2">
      <c r="A576" s="1635" t="s">
        <v>7111</v>
      </c>
      <c r="B576" s="1984" t="s">
        <v>5281</v>
      </c>
      <c r="C576" s="1984">
        <v>8490</v>
      </c>
      <c r="D576" s="1813" t="s">
        <v>7104</v>
      </c>
      <c r="E576" s="1638">
        <v>6</v>
      </c>
      <c r="F576" s="1639" t="s">
        <v>5284</v>
      </c>
      <c r="G576" s="1648">
        <v>385.82</v>
      </c>
      <c r="H576" s="1636">
        <f t="shared" si="448"/>
        <v>103.9</v>
      </c>
      <c r="I576" s="1636">
        <f t="shared" si="502"/>
        <v>489.72</v>
      </c>
      <c r="J576" s="1723">
        <f t="shared" si="503"/>
        <v>2938.32</v>
      </c>
      <c r="K576" s="2007">
        <f t="shared" si="401"/>
        <v>2314.92</v>
      </c>
      <c r="L576" s="2007">
        <f t="shared" si="402"/>
        <v>623.4</v>
      </c>
      <c r="M576" s="2016"/>
      <c r="N576" s="2016"/>
      <c r="O576" s="2016"/>
      <c r="P576" s="2016"/>
      <c r="Q576" s="2016"/>
      <c r="R576" s="2016"/>
      <c r="S576" s="2016"/>
      <c r="T576" s="2016">
        <f t="shared" si="403"/>
        <v>146.91600000000003</v>
      </c>
      <c r="U576" s="2016"/>
      <c r="V576" s="2016">
        <f t="shared" si="404"/>
        <v>293.83200000000005</v>
      </c>
      <c r="W576" s="2016">
        <f t="shared" si="405"/>
        <v>440.74799999999999</v>
      </c>
      <c r="X576" s="2016">
        <f t="shared" si="406"/>
        <v>587.6640000000001</v>
      </c>
      <c r="Y576" s="2016">
        <f t="shared" si="407"/>
        <v>881.49599999999998</v>
      </c>
      <c r="Z576" s="2016">
        <f t="shared" si="408"/>
        <v>587.6640000000001</v>
      </c>
    </row>
    <row r="577" spans="1:26" s="2009" customFormat="1" ht="30" x14ac:dyDescent="0.2">
      <c r="A577" s="1635" t="s">
        <v>7112</v>
      </c>
      <c r="B577" s="1984" t="s">
        <v>5281</v>
      </c>
      <c r="C577" s="1984">
        <v>8078</v>
      </c>
      <c r="D577" s="1813" t="s">
        <v>8954</v>
      </c>
      <c r="E577" s="1638">
        <v>2</v>
      </c>
      <c r="F577" s="1639" t="s">
        <v>5284</v>
      </c>
      <c r="G577" s="1648">
        <v>396.17</v>
      </c>
      <c r="H577" s="1636">
        <f t="shared" si="448"/>
        <v>106.69</v>
      </c>
      <c r="I577" s="1636">
        <f>H577+G577</f>
        <v>502.86</v>
      </c>
      <c r="J577" s="1723">
        <f>ROUND(I577*E577,2)</f>
        <v>1005.72</v>
      </c>
      <c r="K577" s="2007">
        <f t="shared" si="401"/>
        <v>792.34</v>
      </c>
      <c r="L577" s="2007">
        <f t="shared" si="402"/>
        <v>213.38</v>
      </c>
      <c r="M577" s="2016"/>
      <c r="N577" s="2016"/>
      <c r="O577" s="2016"/>
      <c r="P577" s="2016"/>
      <c r="Q577" s="2016"/>
      <c r="R577" s="2016"/>
      <c r="S577" s="2016"/>
      <c r="T577" s="2016">
        <f t="shared" si="403"/>
        <v>50.286000000000001</v>
      </c>
      <c r="U577" s="2016"/>
      <c r="V577" s="2016">
        <f t="shared" si="404"/>
        <v>100.572</v>
      </c>
      <c r="W577" s="2016">
        <f t="shared" si="405"/>
        <v>150.858</v>
      </c>
      <c r="X577" s="2016">
        <f t="shared" si="406"/>
        <v>201.14400000000001</v>
      </c>
      <c r="Y577" s="2016">
        <f t="shared" si="407"/>
        <v>301.71600000000001</v>
      </c>
      <c r="Z577" s="2016">
        <f t="shared" si="408"/>
        <v>201.14400000000001</v>
      </c>
    </row>
    <row r="578" spans="1:26" s="2009" customFormat="1" ht="45" x14ac:dyDescent="0.2">
      <c r="A578" s="1635" t="s">
        <v>7113</v>
      </c>
      <c r="B578" s="1984" t="s">
        <v>5281</v>
      </c>
      <c r="C578" s="1984">
        <v>11561</v>
      </c>
      <c r="D578" s="1813" t="s">
        <v>8955</v>
      </c>
      <c r="E578" s="1638">
        <v>2</v>
      </c>
      <c r="F578" s="1639" t="s">
        <v>5284</v>
      </c>
      <c r="G578" s="1648">
        <v>450.82</v>
      </c>
      <c r="H578" s="1636">
        <f t="shared" ref="H578:H601" si="504">ROUND(G578*$B$13,2)</f>
        <v>121.41</v>
      </c>
      <c r="I578" s="1636">
        <f>H578+G578</f>
        <v>572.23</v>
      </c>
      <c r="J578" s="1723">
        <f>ROUND(I578*E578,2)</f>
        <v>1144.46</v>
      </c>
      <c r="K578" s="2007">
        <f t="shared" si="401"/>
        <v>901.64</v>
      </c>
      <c r="L578" s="2007">
        <f t="shared" si="402"/>
        <v>242.82</v>
      </c>
      <c r="M578" s="2016"/>
      <c r="N578" s="2016"/>
      <c r="O578" s="2016"/>
      <c r="P578" s="2016"/>
      <c r="Q578" s="2016"/>
      <c r="R578" s="2016"/>
      <c r="S578" s="2016"/>
      <c r="T578" s="2016">
        <f t="shared" si="403"/>
        <v>57.223000000000006</v>
      </c>
      <c r="U578" s="2016"/>
      <c r="V578" s="2016">
        <f t="shared" si="404"/>
        <v>114.44600000000001</v>
      </c>
      <c r="W578" s="2016">
        <f t="shared" si="405"/>
        <v>171.66900000000001</v>
      </c>
      <c r="X578" s="2016">
        <f t="shared" si="406"/>
        <v>228.89200000000002</v>
      </c>
      <c r="Y578" s="2016">
        <f t="shared" si="407"/>
        <v>343.33800000000002</v>
      </c>
      <c r="Z578" s="2016">
        <f t="shared" si="408"/>
        <v>228.89200000000002</v>
      </c>
    </row>
    <row r="579" spans="1:26" s="2009" customFormat="1" ht="30" x14ac:dyDescent="0.2">
      <c r="A579" s="1635" t="s">
        <v>7114</v>
      </c>
      <c r="B579" s="1984" t="s">
        <v>5281</v>
      </c>
      <c r="C579" s="1984" t="s">
        <v>9567</v>
      </c>
      <c r="D579" s="1813" t="s">
        <v>8957</v>
      </c>
      <c r="E579" s="1638">
        <v>1</v>
      </c>
      <c r="F579" s="1639" t="s">
        <v>5284</v>
      </c>
      <c r="G579" s="1648">
        <v>253.7</v>
      </c>
      <c r="H579" s="1636">
        <f t="shared" ref="H579" si="505">ROUND(G579*$B$13,2)</f>
        <v>68.319999999999993</v>
      </c>
      <c r="I579" s="1636">
        <f t="shared" ref="I579" si="506">H579+G579</f>
        <v>322.02</v>
      </c>
      <c r="J579" s="1723">
        <f t="shared" ref="J579" si="507">ROUND(I579*E579,2)</f>
        <v>322.02</v>
      </c>
      <c r="K579" s="2007">
        <f t="shared" ref="K579" si="508">ROUND(G579*E579,2)</f>
        <v>253.7</v>
      </c>
      <c r="L579" s="2007">
        <f t="shared" ref="L579" si="509">ROUND(H579*E579,2)</f>
        <v>68.319999999999993</v>
      </c>
      <c r="M579" s="2016"/>
      <c r="N579" s="2016"/>
      <c r="O579" s="2016"/>
      <c r="P579" s="2016"/>
      <c r="Q579" s="2016"/>
      <c r="R579" s="2016"/>
      <c r="S579" s="2016"/>
      <c r="T579" s="2016">
        <f t="shared" ref="T579" si="510">0.05*J579</f>
        <v>16.100999999999999</v>
      </c>
      <c r="U579" s="2016"/>
      <c r="V579" s="2016">
        <f t="shared" ref="V579" si="511">0.1*J579</f>
        <v>32.201999999999998</v>
      </c>
      <c r="W579" s="2016">
        <f t="shared" ref="W579" si="512">0.15*J579</f>
        <v>48.302999999999997</v>
      </c>
      <c r="X579" s="2016">
        <f t="shared" ref="X579" si="513">0.2*J579</f>
        <v>64.403999999999996</v>
      </c>
      <c r="Y579" s="2016">
        <f t="shared" ref="Y579" si="514">0.3*J579</f>
        <v>96.605999999999995</v>
      </c>
      <c r="Z579" s="2016">
        <f t="shared" ref="Z579" si="515">0.2*J579</f>
        <v>64.403999999999996</v>
      </c>
    </row>
    <row r="580" spans="1:26" s="2009" customFormat="1" ht="30" x14ac:dyDescent="0.2">
      <c r="A580" s="1635" t="s">
        <v>7115</v>
      </c>
      <c r="B580" s="1984" t="s">
        <v>5281</v>
      </c>
      <c r="C580" s="1984" t="s">
        <v>9566</v>
      </c>
      <c r="D580" s="1813" t="s">
        <v>7107</v>
      </c>
      <c r="E580" s="1638">
        <v>1</v>
      </c>
      <c r="F580" s="1639" t="s">
        <v>5284</v>
      </c>
      <c r="G580" s="1648">
        <v>472.55</v>
      </c>
      <c r="H580" s="1636">
        <f t="shared" si="504"/>
        <v>127.26</v>
      </c>
      <c r="I580" s="1636">
        <f t="shared" si="502"/>
        <v>599.81000000000006</v>
      </c>
      <c r="J580" s="1723">
        <f t="shared" si="503"/>
        <v>599.80999999999995</v>
      </c>
      <c r="K580" s="2007">
        <f t="shared" ref="K580:K638" si="516">ROUND(G580*E580,2)</f>
        <v>472.55</v>
      </c>
      <c r="L580" s="2007">
        <f t="shared" ref="L580:L638" si="517">ROUND(H580*E580,2)</f>
        <v>127.26</v>
      </c>
      <c r="M580" s="2016"/>
      <c r="N580" s="2016"/>
      <c r="O580" s="2016"/>
      <c r="P580" s="2016"/>
      <c r="Q580" s="2016"/>
      <c r="R580" s="2016"/>
      <c r="S580" s="2016"/>
      <c r="T580" s="2016">
        <f t="shared" ref="T580:T613" si="518">0.05*J580</f>
        <v>29.990499999999997</v>
      </c>
      <c r="U580" s="2016"/>
      <c r="V580" s="2016">
        <f t="shared" ref="V580:V613" si="519">0.1*J580</f>
        <v>59.980999999999995</v>
      </c>
      <c r="W580" s="2016">
        <f t="shared" ref="W580:W613" si="520">0.15*J580</f>
        <v>89.971499999999992</v>
      </c>
      <c r="X580" s="2016">
        <f t="shared" ref="X580:X613" si="521">0.2*J580</f>
        <v>119.96199999999999</v>
      </c>
      <c r="Y580" s="2016">
        <f t="shared" ref="Y580:Y613" si="522">0.3*J580</f>
        <v>179.94299999999998</v>
      </c>
      <c r="Z580" s="2016">
        <f t="shared" ref="Z580:Z613" si="523">0.2*J580</f>
        <v>119.96199999999999</v>
      </c>
    </row>
    <row r="581" spans="1:26" s="2009" customFormat="1" ht="45" x14ac:dyDescent="0.2">
      <c r="A581" s="1635" t="s">
        <v>7116</v>
      </c>
      <c r="B581" s="1984" t="s">
        <v>5281</v>
      </c>
      <c r="C581" s="1984">
        <v>9689</v>
      </c>
      <c r="D581" s="1813" t="s">
        <v>8959</v>
      </c>
      <c r="E581" s="1638">
        <v>1</v>
      </c>
      <c r="F581" s="1639" t="s">
        <v>5284</v>
      </c>
      <c r="G581" s="1648">
        <v>851.43000000000006</v>
      </c>
      <c r="H581" s="1636">
        <f t="shared" si="504"/>
        <v>229.29</v>
      </c>
      <c r="I581" s="1636">
        <f t="shared" si="502"/>
        <v>1080.72</v>
      </c>
      <c r="J581" s="1723">
        <f t="shared" si="503"/>
        <v>1080.72</v>
      </c>
      <c r="K581" s="2007">
        <f t="shared" si="516"/>
        <v>851.43</v>
      </c>
      <c r="L581" s="2007">
        <f t="shared" si="517"/>
        <v>229.29</v>
      </c>
      <c r="M581" s="2016"/>
      <c r="N581" s="2016"/>
      <c r="O581" s="2016"/>
      <c r="P581" s="2016"/>
      <c r="Q581" s="2016"/>
      <c r="R581" s="2016"/>
      <c r="S581" s="2016"/>
      <c r="T581" s="2016">
        <f t="shared" si="518"/>
        <v>54.036000000000001</v>
      </c>
      <c r="U581" s="2016"/>
      <c r="V581" s="2016">
        <f t="shared" si="519"/>
        <v>108.072</v>
      </c>
      <c r="W581" s="2016">
        <f t="shared" si="520"/>
        <v>162.108</v>
      </c>
      <c r="X581" s="2016">
        <f t="shared" si="521"/>
        <v>216.14400000000001</v>
      </c>
      <c r="Y581" s="2016">
        <f t="shared" si="522"/>
        <v>324.21600000000001</v>
      </c>
      <c r="Z581" s="2016">
        <f t="shared" si="523"/>
        <v>216.14400000000001</v>
      </c>
    </row>
    <row r="582" spans="1:26" s="2009" customFormat="1" ht="45" x14ac:dyDescent="0.2">
      <c r="A582" s="1635" t="s">
        <v>7117</v>
      </c>
      <c r="B582" s="1984" t="s">
        <v>5281</v>
      </c>
      <c r="C582" s="1984">
        <v>9685</v>
      </c>
      <c r="D582" s="1813" t="s">
        <v>8961</v>
      </c>
      <c r="E582" s="1638">
        <v>1</v>
      </c>
      <c r="F582" s="1639" t="s">
        <v>5284</v>
      </c>
      <c r="G582" s="1648">
        <v>989.93000000000006</v>
      </c>
      <c r="H582" s="1636">
        <f t="shared" ref="H582" si="524">ROUND(G582*$B$13,2)</f>
        <v>266.58999999999997</v>
      </c>
      <c r="I582" s="1636">
        <f t="shared" ref="I582" si="525">H582+G582</f>
        <v>1256.52</v>
      </c>
      <c r="J582" s="1723">
        <f t="shared" ref="J582" si="526">ROUND(I582*E582,2)</f>
        <v>1256.52</v>
      </c>
      <c r="K582" s="2007">
        <f t="shared" ref="K582" si="527">ROUND(G582*E582,2)</f>
        <v>989.93</v>
      </c>
      <c r="L582" s="2007">
        <f t="shared" ref="L582" si="528">ROUND(H582*E582,2)</f>
        <v>266.58999999999997</v>
      </c>
      <c r="M582" s="2016"/>
      <c r="N582" s="2016"/>
      <c r="O582" s="2016"/>
      <c r="P582" s="2016"/>
      <c r="Q582" s="2016"/>
      <c r="R582" s="2016"/>
      <c r="S582" s="2016"/>
      <c r="T582" s="2016">
        <f t="shared" ref="T582" si="529">0.05*J582</f>
        <v>62.826000000000001</v>
      </c>
      <c r="U582" s="2016"/>
      <c r="V582" s="2016">
        <f t="shared" ref="V582" si="530">0.1*J582</f>
        <v>125.652</v>
      </c>
      <c r="W582" s="2016">
        <f t="shared" ref="W582" si="531">0.15*J582</f>
        <v>188.47799999999998</v>
      </c>
      <c r="X582" s="2016">
        <f t="shared" ref="X582" si="532">0.2*J582</f>
        <v>251.304</v>
      </c>
      <c r="Y582" s="2016">
        <f t="shared" ref="Y582" si="533">0.3*J582</f>
        <v>376.95599999999996</v>
      </c>
      <c r="Z582" s="2016">
        <f t="shared" ref="Z582" si="534">0.2*J582</f>
        <v>251.304</v>
      </c>
    </row>
    <row r="583" spans="1:26" s="2009" customFormat="1" ht="45" x14ac:dyDescent="0.2">
      <c r="A583" s="1635" t="s">
        <v>7118</v>
      </c>
      <c r="B583" s="1984" t="s">
        <v>5281</v>
      </c>
      <c r="C583" s="1984">
        <v>8902</v>
      </c>
      <c r="D583" s="1813" t="s">
        <v>7109</v>
      </c>
      <c r="E583" s="1638">
        <v>2</v>
      </c>
      <c r="F583" s="1639" t="s">
        <v>5284</v>
      </c>
      <c r="G583" s="1648">
        <v>1569.63</v>
      </c>
      <c r="H583" s="1636">
        <f t="shared" si="504"/>
        <v>422.7</v>
      </c>
      <c r="I583" s="1636">
        <f t="shared" si="502"/>
        <v>1992.3300000000002</v>
      </c>
      <c r="J583" s="1723">
        <f t="shared" si="503"/>
        <v>3984.66</v>
      </c>
      <c r="K583" s="2007">
        <f t="shared" si="516"/>
        <v>3139.26</v>
      </c>
      <c r="L583" s="2007">
        <f t="shared" si="517"/>
        <v>845.4</v>
      </c>
      <c r="M583" s="2016"/>
      <c r="N583" s="2016"/>
      <c r="O583" s="2016"/>
      <c r="P583" s="2016"/>
      <c r="Q583" s="2016"/>
      <c r="R583" s="2016"/>
      <c r="S583" s="2016"/>
      <c r="T583" s="2016">
        <f t="shared" si="518"/>
        <v>199.233</v>
      </c>
      <c r="U583" s="2016"/>
      <c r="V583" s="2016">
        <f t="shared" si="519"/>
        <v>398.46600000000001</v>
      </c>
      <c r="W583" s="2016">
        <f t="shared" si="520"/>
        <v>597.69899999999996</v>
      </c>
      <c r="X583" s="2016">
        <f t="shared" si="521"/>
        <v>796.93200000000002</v>
      </c>
      <c r="Y583" s="2016">
        <f t="shared" si="522"/>
        <v>1195.3979999999999</v>
      </c>
      <c r="Z583" s="2016">
        <f t="shared" si="523"/>
        <v>796.93200000000002</v>
      </c>
    </row>
    <row r="584" spans="1:26" s="2009" customFormat="1" ht="45" x14ac:dyDescent="0.2">
      <c r="A584" s="1635" t="s">
        <v>7119</v>
      </c>
      <c r="B584" s="1984" t="s">
        <v>4448</v>
      </c>
      <c r="C584" s="1984">
        <v>72319</v>
      </c>
      <c r="D584" s="1813" t="s">
        <v>9057</v>
      </c>
      <c r="E584" s="1638">
        <v>1</v>
      </c>
      <c r="F584" s="1639" t="s">
        <v>5284</v>
      </c>
      <c r="G584" s="1648">
        <v>4407.87</v>
      </c>
      <c r="H584" s="1636">
        <f t="shared" si="504"/>
        <v>1187.04</v>
      </c>
      <c r="I584" s="1636">
        <f t="shared" ref="I584" si="535">H584+G584</f>
        <v>5594.91</v>
      </c>
      <c r="J584" s="1723">
        <f t="shared" ref="J584" si="536">ROUND(I584*E584,2)</f>
        <v>5594.91</v>
      </c>
      <c r="K584" s="2007">
        <f t="shared" ref="K584" si="537">ROUND(G584*E584,2)</f>
        <v>4407.87</v>
      </c>
      <c r="L584" s="2007">
        <f t="shared" ref="L584" si="538">ROUND(H584*E584,2)</f>
        <v>1187.04</v>
      </c>
      <c r="M584" s="2016"/>
      <c r="N584" s="2016"/>
      <c r="O584" s="2016"/>
      <c r="P584" s="2016"/>
      <c r="Q584" s="2016"/>
      <c r="R584" s="2016"/>
      <c r="S584" s="2016"/>
      <c r="T584" s="2016">
        <f t="shared" si="518"/>
        <v>279.74549999999999</v>
      </c>
      <c r="U584" s="2016"/>
      <c r="V584" s="2016">
        <f t="shared" si="519"/>
        <v>559.49099999999999</v>
      </c>
      <c r="W584" s="2016">
        <f t="shared" si="520"/>
        <v>839.23649999999998</v>
      </c>
      <c r="X584" s="2016">
        <f t="shared" si="521"/>
        <v>1118.982</v>
      </c>
      <c r="Y584" s="2016">
        <f t="shared" si="522"/>
        <v>1678.473</v>
      </c>
      <c r="Z584" s="2016">
        <f t="shared" si="523"/>
        <v>1118.982</v>
      </c>
    </row>
    <row r="585" spans="1:26" s="2009" customFormat="1" ht="30" x14ac:dyDescent="0.2">
      <c r="A585" s="1635" t="s">
        <v>15091</v>
      </c>
      <c r="B585" s="1984" t="s">
        <v>5281</v>
      </c>
      <c r="C585" s="1984">
        <v>764</v>
      </c>
      <c r="D585" s="1813" t="s">
        <v>7187</v>
      </c>
      <c r="E585" s="1638">
        <v>33.58</v>
      </c>
      <c r="F585" s="1639" t="s">
        <v>5713</v>
      </c>
      <c r="G585" s="1648">
        <v>55.83</v>
      </c>
      <c r="H585" s="1636">
        <f t="shared" si="504"/>
        <v>15.04</v>
      </c>
      <c r="I585" s="1636">
        <f t="shared" si="502"/>
        <v>70.87</v>
      </c>
      <c r="J585" s="1723">
        <f t="shared" si="503"/>
        <v>2379.81</v>
      </c>
      <c r="K585" s="2007">
        <f t="shared" si="516"/>
        <v>1874.77</v>
      </c>
      <c r="L585" s="2007">
        <f t="shared" si="517"/>
        <v>505.04</v>
      </c>
      <c r="M585" s="2016"/>
      <c r="N585" s="2016"/>
      <c r="O585" s="2016"/>
      <c r="P585" s="2016"/>
      <c r="Q585" s="2016"/>
      <c r="R585" s="2016"/>
      <c r="S585" s="2016"/>
      <c r="T585" s="2016">
        <f t="shared" si="518"/>
        <v>118.9905</v>
      </c>
      <c r="U585" s="2016"/>
      <c r="V585" s="2016">
        <f t="shared" si="519"/>
        <v>237.98099999999999</v>
      </c>
      <c r="W585" s="2016">
        <f t="shared" si="520"/>
        <v>356.97149999999999</v>
      </c>
      <c r="X585" s="2016">
        <f t="shared" si="521"/>
        <v>475.96199999999999</v>
      </c>
      <c r="Y585" s="2016">
        <f t="shared" si="522"/>
        <v>713.94299999999998</v>
      </c>
      <c r="Z585" s="2016">
        <f t="shared" si="523"/>
        <v>475.96199999999999</v>
      </c>
    </row>
    <row r="586" spans="1:26" s="2009" customFormat="1" ht="30" x14ac:dyDescent="0.2">
      <c r="A586" s="1635" t="s">
        <v>7080</v>
      </c>
      <c r="B586" s="1984" t="s">
        <v>5281</v>
      </c>
      <c r="C586" s="1984">
        <v>763</v>
      </c>
      <c r="D586" s="1813" t="s">
        <v>7188</v>
      </c>
      <c r="E586" s="1638">
        <v>127.61</v>
      </c>
      <c r="F586" s="1639" t="s">
        <v>5713</v>
      </c>
      <c r="G586" s="1648">
        <v>41.19</v>
      </c>
      <c r="H586" s="1636">
        <f t="shared" si="504"/>
        <v>11.09</v>
      </c>
      <c r="I586" s="1636">
        <f t="shared" si="502"/>
        <v>52.28</v>
      </c>
      <c r="J586" s="1723">
        <f t="shared" si="503"/>
        <v>6671.45</v>
      </c>
      <c r="K586" s="2007">
        <f t="shared" si="516"/>
        <v>5256.26</v>
      </c>
      <c r="L586" s="2007">
        <f t="shared" si="517"/>
        <v>1415.19</v>
      </c>
      <c r="M586" s="2016"/>
      <c r="N586" s="2016"/>
      <c r="O586" s="2016"/>
      <c r="P586" s="2016"/>
      <c r="Q586" s="2016"/>
      <c r="R586" s="2016"/>
      <c r="S586" s="2016"/>
      <c r="T586" s="2016">
        <f t="shared" si="518"/>
        <v>333.57249999999999</v>
      </c>
      <c r="U586" s="2016"/>
      <c r="V586" s="2016">
        <f t="shared" si="519"/>
        <v>667.14499999999998</v>
      </c>
      <c r="W586" s="2016">
        <f t="shared" si="520"/>
        <v>1000.7175</v>
      </c>
      <c r="X586" s="2016">
        <f t="shared" si="521"/>
        <v>1334.29</v>
      </c>
      <c r="Y586" s="2016">
        <f t="shared" si="522"/>
        <v>2001.4349999999999</v>
      </c>
      <c r="Z586" s="2016">
        <f t="shared" si="523"/>
        <v>1334.29</v>
      </c>
    </row>
    <row r="587" spans="1:26" s="2009" customFormat="1" ht="30" x14ac:dyDescent="0.2">
      <c r="A587" s="1635" t="s">
        <v>7081</v>
      </c>
      <c r="B587" s="1984" t="s">
        <v>5281</v>
      </c>
      <c r="C587" s="1984">
        <v>8684</v>
      </c>
      <c r="D587" s="1813" t="s">
        <v>7189</v>
      </c>
      <c r="E587" s="1638">
        <v>760.41</v>
      </c>
      <c r="F587" s="1639" t="s">
        <v>5713</v>
      </c>
      <c r="G587" s="1648">
        <v>31.72</v>
      </c>
      <c r="H587" s="1636">
        <f t="shared" si="504"/>
        <v>8.5399999999999991</v>
      </c>
      <c r="I587" s="1636">
        <f t="shared" si="502"/>
        <v>40.26</v>
      </c>
      <c r="J587" s="1723">
        <f t="shared" si="503"/>
        <v>30614.11</v>
      </c>
      <c r="K587" s="2007">
        <f t="shared" si="516"/>
        <v>24120.21</v>
      </c>
      <c r="L587" s="2007">
        <f t="shared" si="517"/>
        <v>6493.9</v>
      </c>
      <c r="M587" s="2016"/>
      <c r="N587" s="2016"/>
      <c r="O587" s="2016"/>
      <c r="P587" s="2016"/>
      <c r="Q587" s="2016"/>
      <c r="R587" s="2016"/>
      <c r="S587" s="2016"/>
      <c r="T587" s="2016">
        <f t="shared" si="518"/>
        <v>1530.7055</v>
      </c>
      <c r="U587" s="2016"/>
      <c r="V587" s="2016">
        <f t="shared" si="519"/>
        <v>3061.4110000000001</v>
      </c>
      <c r="W587" s="2016">
        <f t="shared" si="520"/>
        <v>4592.1165000000001</v>
      </c>
      <c r="X587" s="2016">
        <f t="shared" si="521"/>
        <v>6122.8220000000001</v>
      </c>
      <c r="Y587" s="2016">
        <f t="shared" si="522"/>
        <v>9184.2330000000002</v>
      </c>
      <c r="Z587" s="2016">
        <f t="shared" si="523"/>
        <v>6122.8220000000001</v>
      </c>
    </row>
    <row r="588" spans="1:26" s="2009" customFormat="1" ht="30" x14ac:dyDescent="0.2">
      <c r="A588" s="1635" t="s">
        <v>7082</v>
      </c>
      <c r="B588" s="1984" t="s">
        <v>5281</v>
      </c>
      <c r="C588" s="1984">
        <v>9520</v>
      </c>
      <c r="D588" s="1813" t="s">
        <v>7165</v>
      </c>
      <c r="E588" s="1638">
        <v>3</v>
      </c>
      <c r="F588" s="1639" t="s">
        <v>5284</v>
      </c>
      <c r="G588" s="1648">
        <v>47.06</v>
      </c>
      <c r="H588" s="1636">
        <f t="shared" si="504"/>
        <v>12.67</v>
      </c>
      <c r="I588" s="1636">
        <f t="shared" ref="I588:I593" si="539">H588+G588</f>
        <v>59.730000000000004</v>
      </c>
      <c r="J588" s="1723">
        <f t="shared" ref="J588:J593" si="540">ROUND(I588*E588,2)</f>
        <v>179.19</v>
      </c>
      <c r="K588" s="2007">
        <f t="shared" si="516"/>
        <v>141.18</v>
      </c>
      <c r="L588" s="2007">
        <f t="shared" si="517"/>
        <v>38.01</v>
      </c>
      <c r="M588" s="2016"/>
      <c r="N588" s="2016"/>
      <c r="O588" s="2016"/>
      <c r="P588" s="2016"/>
      <c r="Q588" s="2016"/>
      <c r="R588" s="2016"/>
      <c r="S588" s="2016"/>
      <c r="T588" s="2016">
        <f t="shared" si="518"/>
        <v>8.9595000000000002</v>
      </c>
      <c r="U588" s="2016"/>
      <c r="V588" s="2016">
        <f t="shared" si="519"/>
        <v>17.919</v>
      </c>
      <c r="W588" s="2016">
        <f t="shared" si="520"/>
        <v>26.878499999999999</v>
      </c>
      <c r="X588" s="2016">
        <f t="shared" si="521"/>
        <v>35.838000000000001</v>
      </c>
      <c r="Y588" s="2016">
        <f t="shared" si="522"/>
        <v>53.756999999999998</v>
      </c>
      <c r="Z588" s="2016">
        <f t="shared" si="523"/>
        <v>35.838000000000001</v>
      </c>
    </row>
    <row r="589" spans="1:26" s="2009" customFormat="1" ht="30" x14ac:dyDescent="0.2">
      <c r="A589" s="1635" t="s">
        <v>15092</v>
      </c>
      <c r="B589" s="1984" t="s">
        <v>5281</v>
      </c>
      <c r="C589" s="1984">
        <v>11290</v>
      </c>
      <c r="D589" s="1813" t="s">
        <v>7166</v>
      </c>
      <c r="E589" s="1638">
        <v>13</v>
      </c>
      <c r="F589" s="1639" t="s">
        <v>5284</v>
      </c>
      <c r="G589" s="1648">
        <v>48.27</v>
      </c>
      <c r="H589" s="1636">
        <f t="shared" si="504"/>
        <v>13</v>
      </c>
      <c r="I589" s="1636">
        <f t="shared" si="539"/>
        <v>61.27</v>
      </c>
      <c r="J589" s="1723">
        <f t="shared" si="540"/>
        <v>796.51</v>
      </c>
      <c r="K589" s="2007">
        <f t="shared" si="516"/>
        <v>627.51</v>
      </c>
      <c r="L589" s="2007">
        <f t="shared" si="517"/>
        <v>169</v>
      </c>
      <c r="M589" s="2016"/>
      <c r="N589" s="2016"/>
      <c r="O589" s="2016"/>
      <c r="P589" s="2016"/>
      <c r="Q589" s="2016"/>
      <c r="R589" s="2016"/>
      <c r="S589" s="2016"/>
      <c r="T589" s="2016">
        <f t="shared" si="518"/>
        <v>39.825500000000005</v>
      </c>
      <c r="U589" s="2016"/>
      <c r="V589" s="2016">
        <f t="shared" si="519"/>
        <v>79.65100000000001</v>
      </c>
      <c r="W589" s="2016">
        <f t="shared" si="520"/>
        <v>119.47649999999999</v>
      </c>
      <c r="X589" s="2016">
        <f t="shared" si="521"/>
        <v>159.30200000000002</v>
      </c>
      <c r="Y589" s="2016">
        <f t="shared" si="522"/>
        <v>238.95299999999997</v>
      </c>
      <c r="Z589" s="2016">
        <f t="shared" si="523"/>
        <v>159.30200000000002</v>
      </c>
    </row>
    <row r="590" spans="1:26" s="2009" customFormat="1" ht="30" x14ac:dyDescent="0.2">
      <c r="A590" s="1635" t="s">
        <v>7175</v>
      </c>
      <c r="B590" s="1984" t="s">
        <v>5281</v>
      </c>
      <c r="C590" s="1984">
        <v>8701</v>
      </c>
      <c r="D590" s="1813" t="s">
        <v>7167</v>
      </c>
      <c r="E590" s="1638">
        <v>24</v>
      </c>
      <c r="F590" s="1639" t="s">
        <v>5284</v>
      </c>
      <c r="G590" s="1648">
        <v>34.590000000000003</v>
      </c>
      <c r="H590" s="1636">
        <f t="shared" si="504"/>
        <v>9.32</v>
      </c>
      <c r="I590" s="1636">
        <f t="shared" si="539"/>
        <v>43.910000000000004</v>
      </c>
      <c r="J590" s="1723">
        <f t="shared" si="540"/>
        <v>1053.8399999999999</v>
      </c>
      <c r="K590" s="2007">
        <f t="shared" si="516"/>
        <v>830.16</v>
      </c>
      <c r="L590" s="2007">
        <f t="shared" si="517"/>
        <v>223.68</v>
      </c>
      <c r="M590" s="2016"/>
      <c r="N590" s="2016"/>
      <c r="O590" s="2016"/>
      <c r="P590" s="2016"/>
      <c r="Q590" s="2016"/>
      <c r="R590" s="2016"/>
      <c r="S590" s="2016"/>
      <c r="T590" s="2016">
        <f t="shared" si="518"/>
        <v>52.692</v>
      </c>
      <c r="U590" s="2016"/>
      <c r="V590" s="2016">
        <f t="shared" si="519"/>
        <v>105.384</v>
      </c>
      <c r="W590" s="2016">
        <f t="shared" si="520"/>
        <v>158.07599999999999</v>
      </c>
      <c r="X590" s="2016">
        <f t="shared" si="521"/>
        <v>210.768</v>
      </c>
      <c r="Y590" s="2016">
        <f t="shared" si="522"/>
        <v>316.15199999999999</v>
      </c>
      <c r="Z590" s="2016">
        <f t="shared" si="523"/>
        <v>210.768</v>
      </c>
    </row>
    <row r="591" spans="1:26" s="2009" customFormat="1" ht="30" x14ac:dyDescent="0.2">
      <c r="A591" s="1635" t="s">
        <v>7176</v>
      </c>
      <c r="B591" s="1984" t="s">
        <v>5281</v>
      </c>
      <c r="C591" s="1984">
        <v>9521</v>
      </c>
      <c r="D591" s="1813" t="s">
        <v>7168</v>
      </c>
      <c r="E591" s="1638">
        <v>3</v>
      </c>
      <c r="F591" s="1639" t="s">
        <v>5284</v>
      </c>
      <c r="G591" s="1648">
        <v>40.97</v>
      </c>
      <c r="H591" s="1636">
        <f t="shared" si="504"/>
        <v>11.03</v>
      </c>
      <c r="I591" s="1636">
        <f t="shared" si="539"/>
        <v>52</v>
      </c>
      <c r="J591" s="1723">
        <f t="shared" si="540"/>
        <v>156</v>
      </c>
      <c r="K591" s="2007">
        <f t="shared" si="516"/>
        <v>122.91</v>
      </c>
      <c r="L591" s="2007">
        <f t="shared" si="517"/>
        <v>33.090000000000003</v>
      </c>
      <c r="M591" s="2016"/>
      <c r="N591" s="2016"/>
      <c r="O591" s="2016"/>
      <c r="P591" s="2016"/>
      <c r="Q591" s="2016"/>
      <c r="R591" s="2016"/>
      <c r="S591" s="2016"/>
      <c r="T591" s="2016">
        <f t="shared" si="518"/>
        <v>7.8000000000000007</v>
      </c>
      <c r="U591" s="2016"/>
      <c r="V591" s="2016">
        <f t="shared" si="519"/>
        <v>15.600000000000001</v>
      </c>
      <c r="W591" s="2016">
        <f t="shared" si="520"/>
        <v>23.4</v>
      </c>
      <c r="X591" s="2016">
        <f t="shared" si="521"/>
        <v>31.200000000000003</v>
      </c>
      <c r="Y591" s="2016">
        <f t="shared" si="522"/>
        <v>46.8</v>
      </c>
      <c r="Z591" s="2016">
        <f t="shared" si="523"/>
        <v>31.200000000000003</v>
      </c>
    </row>
    <row r="592" spans="1:26" s="2009" customFormat="1" ht="30" x14ac:dyDescent="0.2">
      <c r="A592" s="1635" t="s">
        <v>7177</v>
      </c>
      <c r="B592" s="1984" t="s">
        <v>5281</v>
      </c>
      <c r="C592" s="1984">
        <v>8356</v>
      </c>
      <c r="D592" s="1813" t="s">
        <v>7169</v>
      </c>
      <c r="E592" s="1638">
        <v>6</v>
      </c>
      <c r="F592" s="1639" t="s">
        <v>5284</v>
      </c>
      <c r="G592" s="1648">
        <v>31.27</v>
      </c>
      <c r="H592" s="1636">
        <f t="shared" si="504"/>
        <v>8.42</v>
      </c>
      <c r="I592" s="1636">
        <f t="shared" si="539"/>
        <v>39.69</v>
      </c>
      <c r="J592" s="1723">
        <f t="shared" si="540"/>
        <v>238.14</v>
      </c>
      <c r="K592" s="2007">
        <f t="shared" si="516"/>
        <v>187.62</v>
      </c>
      <c r="L592" s="2007">
        <f t="shared" si="517"/>
        <v>50.52</v>
      </c>
      <c r="M592" s="2016"/>
      <c r="N592" s="2016"/>
      <c r="O592" s="2016"/>
      <c r="P592" s="2016"/>
      <c r="Q592" s="2016"/>
      <c r="R592" s="2016"/>
      <c r="S592" s="2016"/>
      <c r="T592" s="2016">
        <f t="shared" si="518"/>
        <v>11.907</v>
      </c>
      <c r="U592" s="2016"/>
      <c r="V592" s="2016">
        <f t="shared" si="519"/>
        <v>23.814</v>
      </c>
      <c r="W592" s="2016">
        <f t="shared" si="520"/>
        <v>35.720999999999997</v>
      </c>
      <c r="X592" s="2016">
        <f t="shared" si="521"/>
        <v>47.628</v>
      </c>
      <c r="Y592" s="2016">
        <f t="shared" si="522"/>
        <v>71.441999999999993</v>
      </c>
      <c r="Z592" s="2016">
        <f t="shared" si="523"/>
        <v>47.628</v>
      </c>
    </row>
    <row r="593" spans="1:26" s="2009" customFormat="1" ht="30" x14ac:dyDescent="0.2">
      <c r="A593" s="1635" t="s">
        <v>15093</v>
      </c>
      <c r="B593" s="1984" t="s">
        <v>5281</v>
      </c>
      <c r="C593" s="1984">
        <v>8688</v>
      </c>
      <c r="D593" s="1813" t="s">
        <v>7170</v>
      </c>
      <c r="E593" s="1638">
        <v>23</v>
      </c>
      <c r="F593" s="1639" t="s">
        <v>5284</v>
      </c>
      <c r="G593" s="1648">
        <v>19.669999999999998</v>
      </c>
      <c r="H593" s="1636">
        <f t="shared" si="504"/>
        <v>5.3</v>
      </c>
      <c r="I593" s="1636">
        <f t="shared" si="539"/>
        <v>24.97</v>
      </c>
      <c r="J593" s="1723">
        <f t="shared" si="540"/>
        <v>574.30999999999995</v>
      </c>
      <c r="K593" s="2007">
        <f t="shared" si="516"/>
        <v>452.41</v>
      </c>
      <c r="L593" s="2007">
        <f t="shared" si="517"/>
        <v>121.9</v>
      </c>
      <c r="M593" s="2016"/>
      <c r="N593" s="2016"/>
      <c r="O593" s="2016"/>
      <c r="P593" s="2016"/>
      <c r="Q593" s="2016"/>
      <c r="R593" s="2016"/>
      <c r="S593" s="2016"/>
      <c r="T593" s="2016">
        <f t="shared" si="518"/>
        <v>28.715499999999999</v>
      </c>
      <c r="U593" s="2016"/>
      <c r="V593" s="2016">
        <f t="shared" si="519"/>
        <v>57.430999999999997</v>
      </c>
      <c r="W593" s="2016">
        <f t="shared" si="520"/>
        <v>86.146499999999989</v>
      </c>
      <c r="X593" s="2016">
        <f t="shared" si="521"/>
        <v>114.86199999999999</v>
      </c>
      <c r="Y593" s="2016">
        <f t="shared" si="522"/>
        <v>172.29299999999998</v>
      </c>
      <c r="Z593" s="2016">
        <f t="shared" si="523"/>
        <v>114.86199999999999</v>
      </c>
    </row>
    <row r="594" spans="1:26" s="2009" customFormat="1" ht="30" x14ac:dyDescent="0.2">
      <c r="A594" s="1635" t="s">
        <v>7178</v>
      </c>
      <c r="B594" s="1984" t="s">
        <v>5281</v>
      </c>
      <c r="C594" s="1984">
        <v>8782</v>
      </c>
      <c r="D594" s="1813" t="s">
        <v>8972</v>
      </c>
      <c r="E594" s="1638">
        <v>6</v>
      </c>
      <c r="F594" s="1639" t="s">
        <v>5284</v>
      </c>
      <c r="G594" s="1648">
        <v>80.569999999999993</v>
      </c>
      <c r="H594" s="1636">
        <f t="shared" si="504"/>
        <v>21.7</v>
      </c>
      <c r="I594" s="1636">
        <f t="shared" ref="I594:I596" si="541">H594+G594</f>
        <v>102.27</v>
      </c>
      <c r="J594" s="1723">
        <f t="shared" ref="J594:J596" si="542">ROUND(I594*E594,2)</f>
        <v>613.62</v>
      </c>
      <c r="K594" s="2007">
        <f t="shared" si="516"/>
        <v>483.42</v>
      </c>
      <c r="L594" s="2007">
        <f t="shared" si="517"/>
        <v>130.19999999999999</v>
      </c>
      <c r="M594" s="2016"/>
      <c r="N594" s="2016"/>
      <c r="O594" s="2016"/>
      <c r="P594" s="2016"/>
      <c r="Q594" s="2016"/>
      <c r="R594" s="2016"/>
      <c r="S594" s="2016"/>
      <c r="T594" s="2016">
        <f t="shared" si="518"/>
        <v>30.681000000000001</v>
      </c>
      <c r="U594" s="2016"/>
      <c r="V594" s="2016">
        <f t="shared" si="519"/>
        <v>61.362000000000002</v>
      </c>
      <c r="W594" s="2016">
        <f t="shared" si="520"/>
        <v>92.042999999999992</v>
      </c>
      <c r="X594" s="2016">
        <f t="shared" si="521"/>
        <v>122.724</v>
      </c>
      <c r="Y594" s="2016">
        <f t="shared" si="522"/>
        <v>184.08599999999998</v>
      </c>
      <c r="Z594" s="2016">
        <f t="shared" si="523"/>
        <v>122.724</v>
      </c>
    </row>
    <row r="595" spans="1:26" s="2009" customFormat="1" ht="30" x14ac:dyDescent="0.2">
      <c r="A595" s="1635" t="s">
        <v>7179</v>
      </c>
      <c r="B595" s="1984" t="s">
        <v>5281</v>
      </c>
      <c r="C595" s="1984">
        <v>11292</v>
      </c>
      <c r="D595" s="1813" t="s">
        <v>7171</v>
      </c>
      <c r="E595" s="1638">
        <v>5</v>
      </c>
      <c r="F595" s="1639" t="s">
        <v>5284</v>
      </c>
      <c r="G595" s="1648">
        <v>55.28</v>
      </c>
      <c r="H595" s="1636">
        <f t="shared" si="504"/>
        <v>14.89</v>
      </c>
      <c r="I595" s="1636">
        <f t="shared" si="541"/>
        <v>70.17</v>
      </c>
      <c r="J595" s="1723">
        <f t="shared" si="542"/>
        <v>350.85</v>
      </c>
      <c r="K595" s="2007">
        <f t="shared" si="516"/>
        <v>276.39999999999998</v>
      </c>
      <c r="L595" s="2007">
        <f t="shared" si="517"/>
        <v>74.45</v>
      </c>
      <c r="M595" s="2016"/>
      <c r="N595" s="2016"/>
      <c r="O595" s="2016"/>
      <c r="P595" s="2016"/>
      <c r="Q595" s="2016"/>
      <c r="R595" s="2016"/>
      <c r="S595" s="2016"/>
      <c r="T595" s="2016">
        <f t="shared" si="518"/>
        <v>17.5425</v>
      </c>
      <c r="U595" s="2016"/>
      <c r="V595" s="2016">
        <f t="shared" si="519"/>
        <v>35.085000000000001</v>
      </c>
      <c r="W595" s="2016">
        <f t="shared" si="520"/>
        <v>52.627500000000005</v>
      </c>
      <c r="X595" s="2016">
        <f t="shared" si="521"/>
        <v>70.17</v>
      </c>
      <c r="Y595" s="2016">
        <f t="shared" si="522"/>
        <v>105.25500000000001</v>
      </c>
      <c r="Z595" s="2016">
        <f t="shared" si="523"/>
        <v>70.17</v>
      </c>
    </row>
    <row r="596" spans="1:26" s="2009" customFormat="1" ht="30" x14ac:dyDescent="0.2">
      <c r="A596" s="1635" t="s">
        <v>7180</v>
      </c>
      <c r="B596" s="1984" t="s">
        <v>5281</v>
      </c>
      <c r="C596" s="1984">
        <v>8687</v>
      </c>
      <c r="D596" s="1813" t="s">
        <v>7172</v>
      </c>
      <c r="E596" s="1638">
        <v>33</v>
      </c>
      <c r="F596" s="1639" t="s">
        <v>5284</v>
      </c>
      <c r="G596" s="1648">
        <v>29.32</v>
      </c>
      <c r="H596" s="1636">
        <f t="shared" si="504"/>
        <v>7.9</v>
      </c>
      <c r="I596" s="1636">
        <f t="shared" si="541"/>
        <v>37.22</v>
      </c>
      <c r="J596" s="1723">
        <f t="shared" si="542"/>
        <v>1228.26</v>
      </c>
      <c r="K596" s="2007">
        <f t="shared" si="516"/>
        <v>967.56</v>
      </c>
      <c r="L596" s="2007">
        <f t="shared" si="517"/>
        <v>260.7</v>
      </c>
      <c r="M596" s="2016"/>
      <c r="N596" s="2016"/>
      <c r="O596" s="2016"/>
      <c r="P596" s="2016"/>
      <c r="Q596" s="2016"/>
      <c r="R596" s="2016"/>
      <c r="S596" s="2016"/>
      <c r="T596" s="2016">
        <f t="shared" si="518"/>
        <v>61.413000000000004</v>
      </c>
      <c r="U596" s="2016"/>
      <c r="V596" s="2016">
        <f t="shared" si="519"/>
        <v>122.82600000000001</v>
      </c>
      <c r="W596" s="2016">
        <f t="shared" si="520"/>
        <v>184.239</v>
      </c>
      <c r="X596" s="2016">
        <f t="shared" si="521"/>
        <v>245.65200000000002</v>
      </c>
      <c r="Y596" s="2016">
        <f t="shared" si="522"/>
        <v>368.47800000000001</v>
      </c>
      <c r="Z596" s="2016">
        <f t="shared" si="523"/>
        <v>245.65200000000002</v>
      </c>
    </row>
    <row r="597" spans="1:26" s="2009" customFormat="1" ht="30" x14ac:dyDescent="0.2">
      <c r="A597" s="1635" t="s">
        <v>7181</v>
      </c>
      <c r="B597" s="1984" t="s">
        <v>5281</v>
      </c>
      <c r="C597" s="1984">
        <v>12804</v>
      </c>
      <c r="D597" s="1813" t="s">
        <v>7173</v>
      </c>
      <c r="E597" s="1638">
        <v>2</v>
      </c>
      <c r="F597" s="1639" t="s">
        <v>5284</v>
      </c>
      <c r="G597" s="1648">
        <v>67.06</v>
      </c>
      <c r="H597" s="1636">
        <f t="shared" si="504"/>
        <v>18.059999999999999</v>
      </c>
      <c r="I597" s="1636">
        <f t="shared" ref="I597:I604" si="543">H597+G597</f>
        <v>85.12</v>
      </c>
      <c r="J597" s="1723">
        <f t="shared" ref="J597:J604" si="544">ROUND(I597*E597,2)</f>
        <v>170.24</v>
      </c>
      <c r="K597" s="2007">
        <f t="shared" si="516"/>
        <v>134.12</v>
      </c>
      <c r="L597" s="2007">
        <f t="shared" si="517"/>
        <v>36.119999999999997</v>
      </c>
      <c r="M597" s="2016"/>
      <c r="N597" s="2016"/>
      <c r="O597" s="2016"/>
      <c r="P597" s="2016"/>
      <c r="Q597" s="2016"/>
      <c r="R597" s="2016"/>
      <c r="S597" s="2016"/>
      <c r="T597" s="2016">
        <f t="shared" si="518"/>
        <v>8.5120000000000005</v>
      </c>
      <c r="U597" s="2016"/>
      <c r="V597" s="2016">
        <f t="shared" si="519"/>
        <v>17.024000000000001</v>
      </c>
      <c r="W597" s="2016">
        <f t="shared" si="520"/>
        <v>25.536000000000001</v>
      </c>
      <c r="X597" s="2016">
        <f t="shared" si="521"/>
        <v>34.048000000000002</v>
      </c>
      <c r="Y597" s="2016">
        <f t="shared" si="522"/>
        <v>51.072000000000003</v>
      </c>
      <c r="Z597" s="2016">
        <f t="shared" si="523"/>
        <v>34.048000000000002</v>
      </c>
    </row>
    <row r="598" spans="1:26" s="2009" customFormat="1" ht="30" x14ac:dyDescent="0.2">
      <c r="A598" s="1635" t="s">
        <v>7182</v>
      </c>
      <c r="B598" s="1984" t="s">
        <v>5281</v>
      </c>
      <c r="C598" s="1984" t="s">
        <v>8997</v>
      </c>
      <c r="D598" s="1813" t="s">
        <v>8996</v>
      </c>
      <c r="E598" s="1638">
        <v>6.5</v>
      </c>
      <c r="F598" s="1639" t="s">
        <v>5284</v>
      </c>
      <c r="G598" s="1648">
        <v>63.08</v>
      </c>
      <c r="H598" s="1636">
        <f t="shared" ref="H598" si="545">ROUND(G598*$B$13,2)</f>
        <v>16.989999999999998</v>
      </c>
      <c r="I598" s="1636">
        <f t="shared" ref="I598" si="546">H598+G598</f>
        <v>80.069999999999993</v>
      </c>
      <c r="J598" s="1723">
        <f t="shared" ref="J598" si="547">ROUND(I598*E598,2)</f>
        <v>520.46</v>
      </c>
      <c r="K598" s="2007">
        <f t="shared" ref="K598" si="548">ROUND(G598*E598,2)</f>
        <v>410.02</v>
      </c>
      <c r="L598" s="2007">
        <f t="shared" ref="L598" si="549">ROUND(H598*E598,2)</f>
        <v>110.44</v>
      </c>
      <c r="M598" s="2016"/>
      <c r="N598" s="2016"/>
      <c r="O598" s="2016"/>
      <c r="P598" s="2016"/>
      <c r="Q598" s="2016"/>
      <c r="R598" s="2016"/>
      <c r="S598" s="2016"/>
      <c r="T598" s="2016">
        <f t="shared" ref="T598" si="550">0.05*J598</f>
        <v>26.023000000000003</v>
      </c>
      <c r="U598" s="2016"/>
      <c r="V598" s="2016">
        <f t="shared" ref="V598" si="551">0.1*J598</f>
        <v>52.046000000000006</v>
      </c>
      <c r="W598" s="2016">
        <f t="shared" ref="W598" si="552">0.15*J598</f>
        <v>78.069000000000003</v>
      </c>
      <c r="X598" s="2016">
        <f t="shared" ref="X598" si="553">0.2*J598</f>
        <v>104.09200000000001</v>
      </c>
      <c r="Y598" s="2016">
        <f t="shared" ref="Y598" si="554">0.3*J598</f>
        <v>156.13800000000001</v>
      </c>
      <c r="Z598" s="2016">
        <f t="shared" ref="Z598" si="555">0.2*J598</f>
        <v>104.09200000000001</v>
      </c>
    </row>
    <row r="599" spans="1:26" s="2009" customFormat="1" ht="30" x14ac:dyDescent="0.2">
      <c r="A599" s="1635" t="s">
        <v>7183</v>
      </c>
      <c r="B599" s="1984" t="s">
        <v>5281</v>
      </c>
      <c r="C599" s="1984">
        <v>12523</v>
      </c>
      <c r="D599" s="1813" t="s">
        <v>7174</v>
      </c>
      <c r="E599" s="1638">
        <v>12</v>
      </c>
      <c r="F599" s="1639" t="s">
        <v>5284</v>
      </c>
      <c r="G599" s="1648">
        <v>57.15</v>
      </c>
      <c r="H599" s="1636">
        <f t="shared" ref="H599" si="556">ROUND(G599*$B$13,2)</f>
        <v>15.39</v>
      </c>
      <c r="I599" s="1636">
        <f t="shared" ref="I599" si="557">H599+G599</f>
        <v>72.539999999999992</v>
      </c>
      <c r="J599" s="1723">
        <f t="shared" ref="J599" si="558">ROUND(I599*E599,2)</f>
        <v>870.48</v>
      </c>
      <c r="K599" s="2007">
        <f t="shared" ref="K599" si="559">ROUND(G599*E599,2)</f>
        <v>685.8</v>
      </c>
      <c r="L599" s="2007">
        <f t="shared" ref="L599" si="560">ROUND(H599*E599,2)</f>
        <v>184.68</v>
      </c>
      <c r="M599" s="2016"/>
      <c r="N599" s="2016"/>
      <c r="O599" s="2016"/>
      <c r="P599" s="2016"/>
      <c r="Q599" s="2016"/>
      <c r="R599" s="2016"/>
      <c r="S599" s="2016"/>
      <c r="T599" s="2016">
        <f t="shared" ref="T599" si="561">0.05*J599</f>
        <v>43.524000000000001</v>
      </c>
      <c r="U599" s="2016"/>
      <c r="V599" s="2016">
        <f t="shared" ref="V599" si="562">0.1*J599</f>
        <v>87.048000000000002</v>
      </c>
      <c r="W599" s="2016">
        <f t="shared" ref="W599" si="563">0.15*J599</f>
        <v>130.572</v>
      </c>
      <c r="X599" s="2016">
        <f t="shared" ref="X599" si="564">0.2*J599</f>
        <v>174.096</v>
      </c>
      <c r="Y599" s="2016">
        <f t="shared" ref="Y599" si="565">0.3*J599</f>
        <v>261.14400000000001</v>
      </c>
      <c r="Z599" s="2016">
        <f t="shared" ref="Z599" si="566">0.2*J599</f>
        <v>174.096</v>
      </c>
    </row>
    <row r="600" spans="1:26" s="2009" customFormat="1" ht="30" x14ac:dyDescent="0.2">
      <c r="A600" s="1635" t="s">
        <v>15094</v>
      </c>
      <c r="B600" s="1984" t="s">
        <v>5281</v>
      </c>
      <c r="C600" s="1984" t="s">
        <v>8991</v>
      </c>
      <c r="D600" s="1813" t="s">
        <v>8990</v>
      </c>
      <c r="E600" s="1638">
        <v>37.299999999999997</v>
      </c>
      <c r="F600" s="1639" t="s">
        <v>5713</v>
      </c>
      <c r="G600" s="1648">
        <v>75.040000000000006</v>
      </c>
      <c r="H600" s="1636">
        <f t="shared" ref="H600" si="567">ROUND(G600*$B$13,2)</f>
        <v>20.21</v>
      </c>
      <c r="I600" s="1636">
        <f t="shared" ref="I600" si="568">H600+G600</f>
        <v>95.25</v>
      </c>
      <c r="J600" s="1723">
        <f t="shared" ref="J600" si="569">ROUND(I600*E600,2)</f>
        <v>3552.83</v>
      </c>
      <c r="K600" s="2007">
        <f t="shared" ref="K600" si="570">ROUND(G600*E600,2)</f>
        <v>2798.99</v>
      </c>
      <c r="L600" s="2007">
        <f t="shared" ref="L600" si="571">ROUND(H600*E600,2)</f>
        <v>753.83</v>
      </c>
      <c r="M600" s="2016"/>
      <c r="N600" s="2016"/>
      <c r="O600" s="2016"/>
      <c r="P600" s="2016"/>
      <c r="Q600" s="2016"/>
      <c r="R600" s="2016"/>
      <c r="S600" s="2016"/>
      <c r="T600" s="2016">
        <f t="shared" ref="T600" si="572">0.05*J600</f>
        <v>177.64150000000001</v>
      </c>
      <c r="U600" s="2016"/>
      <c r="V600" s="2016">
        <f t="shared" ref="V600" si="573">0.1*J600</f>
        <v>355.28300000000002</v>
      </c>
      <c r="W600" s="2016">
        <f t="shared" ref="W600" si="574">0.15*J600</f>
        <v>532.92449999999997</v>
      </c>
      <c r="X600" s="2016">
        <f t="shared" ref="X600" si="575">0.2*J600</f>
        <v>710.56600000000003</v>
      </c>
      <c r="Y600" s="2016">
        <f t="shared" ref="Y600" si="576">0.3*J600</f>
        <v>1065.8489999999999</v>
      </c>
      <c r="Z600" s="2016">
        <f t="shared" ref="Z600" si="577">0.2*J600</f>
        <v>710.56600000000003</v>
      </c>
    </row>
    <row r="601" spans="1:26" s="2009" customFormat="1" ht="30" x14ac:dyDescent="0.2">
      <c r="A601" s="1635" t="s">
        <v>7083</v>
      </c>
      <c r="B601" s="1984" t="s">
        <v>5281</v>
      </c>
      <c r="C601" s="1984" t="s">
        <v>6162</v>
      </c>
      <c r="D601" s="1813" t="s">
        <v>6147</v>
      </c>
      <c r="E601" s="1638">
        <v>108</v>
      </c>
      <c r="F601" s="1639" t="s">
        <v>5284</v>
      </c>
      <c r="G601" s="1648">
        <v>73.88</v>
      </c>
      <c r="H601" s="1636">
        <f t="shared" si="504"/>
        <v>19.899999999999999</v>
      </c>
      <c r="I601" s="1636">
        <f t="shared" si="543"/>
        <v>93.78</v>
      </c>
      <c r="J601" s="1723">
        <f t="shared" si="544"/>
        <v>10128.24</v>
      </c>
      <c r="K601" s="2007">
        <f t="shared" si="516"/>
        <v>7979.04</v>
      </c>
      <c r="L601" s="2007">
        <f t="shared" si="517"/>
        <v>2149.1999999999998</v>
      </c>
      <c r="M601" s="2016"/>
      <c r="N601" s="2016"/>
      <c r="O601" s="2016"/>
      <c r="P601" s="2016"/>
      <c r="Q601" s="2016"/>
      <c r="R601" s="2016"/>
      <c r="S601" s="2016"/>
      <c r="T601" s="2016">
        <f t="shared" si="518"/>
        <v>506.41200000000003</v>
      </c>
      <c r="U601" s="2016"/>
      <c r="V601" s="2016">
        <f t="shared" si="519"/>
        <v>1012.8240000000001</v>
      </c>
      <c r="W601" s="2016">
        <f t="shared" si="520"/>
        <v>1519.2359999999999</v>
      </c>
      <c r="X601" s="2016">
        <f t="shared" si="521"/>
        <v>2025.6480000000001</v>
      </c>
      <c r="Y601" s="2016">
        <f t="shared" si="522"/>
        <v>3038.4719999999998</v>
      </c>
      <c r="Z601" s="2016">
        <f t="shared" si="523"/>
        <v>2025.6480000000001</v>
      </c>
    </row>
    <row r="602" spans="1:26" s="2009" customFormat="1" ht="30" x14ac:dyDescent="0.2">
      <c r="A602" s="1635" t="s">
        <v>7084</v>
      </c>
      <c r="B602" s="1984" t="s">
        <v>5281</v>
      </c>
      <c r="C602" s="1984" t="s">
        <v>6163</v>
      </c>
      <c r="D602" s="1813" t="s">
        <v>6148</v>
      </c>
      <c r="E602" s="1638">
        <v>4</v>
      </c>
      <c r="F602" s="1639" t="s">
        <v>5284</v>
      </c>
      <c r="G602" s="1648">
        <v>104.03</v>
      </c>
      <c r="H602" s="1636">
        <f t="shared" ref="H602:H608" si="578">ROUND(G602*$B$13,2)</f>
        <v>28.02</v>
      </c>
      <c r="I602" s="1636">
        <f t="shared" si="543"/>
        <v>132.05000000000001</v>
      </c>
      <c r="J602" s="1723">
        <f t="shared" si="544"/>
        <v>528.20000000000005</v>
      </c>
      <c r="K602" s="2007">
        <f t="shared" si="516"/>
        <v>416.12</v>
      </c>
      <c r="L602" s="2007">
        <f t="shared" si="517"/>
        <v>112.08</v>
      </c>
      <c r="M602" s="2016"/>
      <c r="N602" s="2016"/>
      <c r="O602" s="2016"/>
      <c r="P602" s="2016"/>
      <c r="Q602" s="2016"/>
      <c r="R602" s="2016"/>
      <c r="S602" s="2016"/>
      <c r="T602" s="2016">
        <f t="shared" si="518"/>
        <v>26.410000000000004</v>
      </c>
      <c r="U602" s="2016"/>
      <c r="V602" s="2016">
        <f t="shared" si="519"/>
        <v>52.820000000000007</v>
      </c>
      <c r="W602" s="2016">
        <f t="shared" si="520"/>
        <v>79.23</v>
      </c>
      <c r="X602" s="2016">
        <f t="shared" si="521"/>
        <v>105.64000000000001</v>
      </c>
      <c r="Y602" s="2016">
        <f t="shared" si="522"/>
        <v>158.46</v>
      </c>
      <c r="Z602" s="2016">
        <f t="shared" si="523"/>
        <v>105.64000000000001</v>
      </c>
    </row>
    <row r="603" spans="1:26" s="2009" customFormat="1" ht="30" x14ac:dyDescent="0.2">
      <c r="A603" s="1635" t="s">
        <v>7085</v>
      </c>
      <c r="B603" s="1984" t="s">
        <v>5281</v>
      </c>
      <c r="C603" s="1984" t="s">
        <v>7120</v>
      </c>
      <c r="D603" s="1813" t="s">
        <v>8970</v>
      </c>
      <c r="E603" s="1638">
        <v>2</v>
      </c>
      <c r="F603" s="1639" t="s">
        <v>5284</v>
      </c>
      <c r="G603" s="1648">
        <v>162.70999999999998</v>
      </c>
      <c r="H603" s="1636">
        <f t="shared" ref="H603" si="579">ROUND(G603*$B$13,2)</f>
        <v>43.82</v>
      </c>
      <c r="I603" s="1636">
        <f t="shared" ref="I603" si="580">H603+G603</f>
        <v>206.52999999999997</v>
      </c>
      <c r="J603" s="1723">
        <f t="shared" ref="J603" si="581">ROUND(I603*E603,2)</f>
        <v>413.06</v>
      </c>
      <c r="K603" s="2007">
        <f t="shared" ref="K603" si="582">ROUND(G603*E603,2)</f>
        <v>325.42</v>
      </c>
      <c r="L603" s="2007">
        <f t="shared" ref="L603" si="583">ROUND(H603*E603,2)</f>
        <v>87.64</v>
      </c>
      <c r="M603" s="2016"/>
      <c r="N603" s="2016"/>
      <c r="O603" s="2016"/>
      <c r="P603" s="2016"/>
      <c r="Q603" s="2016"/>
      <c r="R603" s="2016"/>
      <c r="S603" s="2016"/>
      <c r="T603" s="2016">
        <f t="shared" ref="T603" si="584">0.05*J603</f>
        <v>20.653000000000002</v>
      </c>
      <c r="U603" s="2016"/>
      <c r="V603" s="2016">
        <f t="shared" ref="V603" si="585">0.1*J603</f>
        <v>41.306000000000004</v>
      </c>
      <c r="W603" s="2016">
        <f t="shared" ref="W603" si="586">0.15*J603</f>
        <v>61.958999999999996</v>
      </c>
      <c r="X603" s="2016">
        <f t="shared" ref="X603" si="587">0.2*J603</f>
        <v>82.612000000000009</v>
      </c>
      <c r="Y603" s="2016">
        <f t="shared" ref="Y603" si="588">0.3*J603</f>
        <v>123.91799999999999</v>
      </c>
      <c r="Z603" s="2016">
        <f t="shared" ref="Z603" si="589">0.2*J603</f>
        <v>82.612000000000009</v>
      </c>
    </row>
    <row r="604" spans="1:26" s="2009" customFormat="1" ht="45" x14ac:dyDescent="0.2">
      <c r="A604" s="1635" t="s">
        <v>7086</v>
      </c>
      <c r="B604" s="1984" t="s">
        <v>5281</v>
      </c>
      <c r="C604" s="1984" t="s">
        <v>7121</v>
      </c>
      <c r="D604" s="1813" t="s">
        <v>8964</v>
      </c>
      <c r="E604" s="1638">
        <v>3</v>
      </c>
      <c r="F604" s="1639" t="s">
        <v>5284</v>
      </c>
      <c r="G604" s="1648">
        <v>163.59</v>
      </c>
      <c r="H604" s="1636">
        <f t="shared" si="578"/>
        <v>44.05</v>
      </c>
      <c r="I604" s="1636">
        <f t="shared" si="543"/>
        <v>207.64</v>
      </c>
      <c r="J604" s="1723">
        <f t="shared" si="544"/>
        <v>622.91999999999996</v>
      </c>
      <c r="K604" s="2007">
        <f t="shared" si="516"/>
        <v>490.77</v>
      </c>
      <c r="L604" s="2007">
        <f t="shared" si="517"/>
        <v>132.15</v>
      </c>
      <c r="M604" s="2016"/>
      <c r="N604" s="2016"/>
      <c r="O604" s="2016"/>
      <c r="P604" s="2016"/>
      <c r="Q604" s="2016"/>
      <c r="R604" s="2016"/>
      <c r="S604" s="2016"/>
      <c r="T604" s="2016">
        <f t="shared" si="518"/>
        <v>31.146000000000001</v>
      </c>
      <c r="U604" s="2016"/>
      <c r="V604" s="2016">
        <f t="shared" si="519"/>
        <v>62.292000000000002</v>
      </c>
      <c r="W604" s="2016">
        <f t="shared" si="520"/>
        <v>93.437999999999988</v>
      </c>
      <c r="X604" s="2016">
        <f t="shared" si="521"/>
        <v>124.584</v>
      </c>
      <c r="Y604" s="2016">
        <f t="shared" si="522"/>
        <v>186.87599999999998</v>
      </c>
      <c r="Z604" s="2016">
        <f t="shared" si="523"/>
        <v>124.584</v>
      </c>
    </row>
    <row r="605" spans="1:26" s="2009" customFormat="1" ht="45" x14ac:dyDescent="0.2">
      <c r="A605" s="1635" t="s">
        <v>7087</v>
      </c>
      <c r="B605" s="1984" t="s">
        <v>5281</v>
      </c>
      <c r="C605" s="1984" t="s">
        <v>7122</v>
      </c>
      <c r="D605" s="1813" t="s">
        <v>8965</v>
      </c>
      <c r="E605" s="1638">
        <v>9</v>
      </c>
      <c r="F605" s="1639" t="s">
        <v>5284</v>
      </c>
      <c r="G605" s="1648">
        <v>163.69</v>
      </c>
      <c r="H605" s="1636">
        <f t="shared" si="578"/>
        <v>44.08</v>
      </c>
      <c r="I605" s="1636">
        <f>H605+G605</f>
        <v>207.76999999999998</v>
      </c>
      <c r="J605" s="1723">
        <f>ROUND(I605*E605,2)</f>
        <v>1869.93</v>
      </c>
      <c r="K605" s="2007">
        <f t="shared" si="516"/>
        <v>1473.21</v>
      </c>
      <c r="L605" s="2007">
        <f t="shared" si="517"/>
        <v>396.72</v>
      </c>
      <c r="M605" s="2016"/>
      <c r="N605" s="2016"/>
      <c r="O605" s="2016"/>
      <c r="P605" s="2016"/>
      <c r="Q605" s="2016"/>
      <c r="R605" s="2016"/>
      <c r="S605" s="2016"/>
      <c r="T605" s="2016">
        <f t="shared" si="518"/>
        <v>93.496500000000012</v>
      </c>
      <c r="U605" s="2016"/>
      <c r="V605" s="2016">
        <f t="shared" si="519"/>
        <v>186.99300000000002</v>
      </c>
      <c r="W605" s="2016">
        <f t="shared" si="520"/>
        <v>280.48950000000002</v>
      </c>
      <c r="X605" s="2016">
        <f t="shared" si="521"/>
        <v>373.98600000000005</v>
      </c>
      <c r="Y605" s="2016">
        <f t="shared" si="522"/>
        <v>560.97900000000004</v>
      </c>
      <c r="Z605" s="2016">
        <f t="shared" si="523"/>
        <v>373.98600000000005</v>
      </c>
    </row>
    <row r="606" spans="1:26" s="2009" customFormat="1" ht="45" x14ac:dyDescent="0.2">
      <c r="A606" s="1635" t="s">
        <v>7088</v>
      </c>
      <c r="B606" s="1984" t="s">
        <v>5281</v>
      </c>
      <c r="C606" s="1984" t="s">
        <v>7123</v>
      </c>
      <c r="D606" s="1813" t="s">
        <v>8966</v>
      </c>
      <c r="E606" s="1638">
        <v>4</v>
      </c>
      <c r="F606" s="1639" t="s">
        <v>5284</v>
      </c>
      <c r="G606" s="1648">
        <v>176.54</v>
      </c>
      <c r="H606" s="1636">
        <f t="shared" si="578"/>
        <v>47.54</v>
      </c>
      <c r="I606" s="1636">
        <f>H606+G606</f>
        <v>224.07999999999998</v>
      </c>
      <c r="J606" s="1723">
        <f>ROUND(I606*E606,2)</f>
        <v>896.32</v>
      </c>
      <c r="K606" s="2007">
        <f t="shared" si="516"/>
        <v>706.16</v>
      </c>
      <c r="L606" s="2007">
        <f t="shared" si="517"/>
        <v>190.16</v>
      </c>
      <c r="M606" s="2016"/>
      <c r="N606" s="2016"/>
      <c r="O606" s="2016"/>
      <c r="P606" s="2016"/>
      <c r="Q606" s="2016"/>
      <c r="R606" s="2016"/>
      <c r="S606" s="2016"/>
      <c r="T606" s="2016">
        <f t="shared" si="518"/>
        <v>44.816000000000003</v>
      </c>
      <c r="U606" s="2016"/>
      <c r="V606" s="2016">
        <f t="shared" si="519"/>
        <v>89.632000000000005</v>
      </c>
      <c r="W606" s="2016">
        <f t="shared" si="520"/>
        <v>134.44800000000001</v>
      </c>
      <c r="X606" s="2016">
        <f t="shared" si="521"/>
        <v>179.26400000000001</v>
      </c>
      <c r="Y606" s="2016">
        <f t="shared" si="522"/>
        <v>268.89600000000002</v>
      </c>
      <c r="Z606" s="2016">
        <f t="shared" si="523"/>
        <v>179.26400000000001</v>
      </c>
    </row>
    <row r="607" spans="1:26" s="2009" customFormat="1" ht="45" x14ac:dyDescent="0.2">
      <c r="A607" s="1635" t="s">
        <v>7089</v>
      </c>
      <c r="B607" s="1984" t="s">
        <v>5281</v>
      </c>
      <c r="C607" s="1984" t="s">
        <v>7124</v>
      </c>
      <c r="D607" s="1813" t="s">
        <v>8967</v>
      </c>
      <c r="E607" s="1638">
        <v>4</v>
      </c>
      <c r="F607" s="1639" t="s">
        <v>5284</v>
      </c>
      <c r="G607" s="1648">
        <v>311.05</v>
      </c>
      <c r="H607" s="1636">
        <f t="shared" si="578"/>
        <v>83.77</v>
      </c>
      <c r="I607" s="1636">
        <f>H607+G607</f>
        <v>394.82</v>
      </c>
      <c r="J607" s="1723">
        <f>ROUND(I607*E607,2)</f>
        <v>1579.28</v>
      </c>
      <c r="K607" s="2007">
        <f t="shared" si="516"/>
        <v>1244.2</v>
      </c>
      <c r="L607" s="2007">
        <f t="shared" si="517"/>
        <v>335.08</v>
      </c>
      <c r="M607" s="2016"/>
      <c r="N607" s="2016"/>
      <c r="O607" s="2016"/>
      <c r="P607" s="2016"/>
      <c r="Q607" s="2016"/>
      <c r="R607" s="2016"/>
      <c r="S607" s="2016"/>
      <c r="T607" s="2016">
        <f t="shared" si="518"/>
        <v>78.963999999999999</v>
      </c>
      <c r="U607" s="2016"/>
      <c r="V607" s="2016">
        <f t="shared" si="519"/>
        <v>157.928</v>
      </c>
      <c r="W607" s="2016">
        <f t="shared" si="520"/>
        <v>236.892</v>
      </c>
      <c r="X607" s="2016">
        <f t="shared" si="521"/>
        <v>315.85599999999999</v>
      </c>
      <c r="Y607" s="2016">
        <f t="shared" si="522"/>
        <v>473.78399999999999</v>
      </c>
      <c r="Z607" s="2016">
        <f t="shared" si="523"/>
        <v>315.85599999999999</v>
      </c>
    </row>
    <row r="608" spans="1:26" s="2009" customFormat="1" ht="45" x14ac:dyDescent="0.2">
      <c r="A608" s="1635" t="s">
        <v>8969</v>
      </c>
      <c r="B608" s="1984" t="s">
        <v>5281</v>
      </c>
      <c r="C608" s="1984" t="s">
        <v>8971</v>
      </c>
      <c r="D608" s="1813" t="s">
        <v>8968</v>
      </c>
      <c r="E608" s="1638">
        <v>3</v>
      </c>
      <c r="F608" s="1639" t="s">
        <v>5284</v>
      </c>
      <c r="G608" s="1648">
        <v>323.11</v>
      </c>
      <c r="H608" s="1636">
        <f t="shared" si="578"/>
        <v>87.01</v>
      </c>
      <c r="I608" s="1636">
        <f t="shared" ref="I608:I628" si="590">H608+G608</f>
        <v>410.12</v>
      </c>
      <c r="J608" s="1723">
        <f t="shared" ref="J608:J628" si="591">ROUND(I608*E608,2)</f>
        <v>1230.3599999999999</v>
      </c>
      <c r="K608" s="2007">
        <f t="shared" si="516"/>
        <v>969.33</v>
      </c>
      <c r="L608" s="2007">
        <f t="shared" si="517"/>
        <v>261.02999999999997</v>
      </c>
      <c r="M608" s="2016"/>
      <c r="N608" s="2016"/>
      <c r="O608" s="2016"/>
      <c r="P608" s="2016"/>
      <c r="Q608" s="2016"/>
      <c r="R608" s="2016"/>
      <c r="S608" s="2016"/>
      <c r="T608" s="2016">
        <f t="shared" si="518"/>
        <v>61.518000000000001</v>
      </c>
      <c r="U608" s="2016"/>
      <c r="V608" s="2016">
        <f t="shared" si="519"/>
        <v>123.036</v>
      </c>
      <c r="W608" s="2016">
        <f t="shared" si="520"/>
        <v>184.55399999999997</v>
      </c>
      <c r="X608" s="2016">
        <f t="shared" si="521"/>
        <v>246.072</v>
      </c>
      <c r="Y608" s="2016">
        <f t="shared" si="522"/>
        <v>369.10799999999995</v>
      </c>
      <c r="Z608" s="2016">
        <f t="shared" si="523"/>
        <v>246.072</v>
      </c>
    </row>
    <row r="609" spans="1:26" s="2009" customFormat="1" ht="45" x14ac:dyDescent="0.2">
      <c r="A609" s="1635" t="s">
        <v>7781</v>
      </c>
      <c r="B609" s="2140" t="s">
        <v>7765</v>
      </c>
      <c r="C609" s="2140"/>
      <c r="D609" s="1813" t="s">
        <v>7783</v>
      </c>
      <c r="E609" s="1638">
        <v>1</v>
      </c>
      <c r="F609" s="1639" t="s">
        <v>5284</v>
      </c>
      <c r="G609" s="1648">
        <v>41000</v>
      </c>
      <c r="H609" s="1636">
        <f>ROUND(G609*$B$14,2)</f>
        <v>8581.2999999999993</v>
      </c>
      <c r="I609" s="1636">
        <f t="shared" ref="I609" si="592">H609+G609</f>
        <v>49581.3</v>
      </c>
      <c r="J609" s="1723">
        <f t="shared" ref="J609" si="593">ROUND(I609*E609,2)</f>
        <v>49581.3</v>
      </c>
      <c r="K609" s="2007">
        <f t="shared" si="516"/>
        <v>41000</v>
      </c>
      <c r="L609" s="2007">
        <f t="shared" si="517"/>
        <v>8581.2999999999993</v>
      </c>
      <c r="M609" s="2016"/>
      <c r="N609" s="2016"/>
      <c r="O609" s="2016"/>
      <c r="P609" s="2016"/>
      <c r="Q609" s="2016"/>
      <c r="R609" s="2016"/>
      <c r="S609" s="2016"/>
      <c r="T609" s="2016">
        <f t="shared" si="518"/>
        <v>2479.0650000000005</v>
      </c>
      <c r="U609" s="2016"/>
      <c r="V609" s="2016">
        <f t="shared" si="519"/>
        <v>4958.130000000001</v>
      </c>
      <c r="W609" s="2016">
        <f t="shared" si="520"/>
        <v>7437.1949999999997</v>
      </c>
      <c r="X609" s="2016">
        <f t="shared" si="521"/>
        <v>9916.260000000002</v>
      </c>
      <c r="Y609" s="2016">
        <f t="shared" si="522"/>
        <v>14874.39</v>
      </c>
      <c r="Z609" s="2016">
        <f t="shared" si="523"/>
        <v>9916.260000000002</v>
      </c>
    </row>
    <row r="610" spans="1:26" s="2009" customFormat="1" ht="45" x14ac:dyDescent="0.2">
      <c r="A610" s="1635" t="s">
        <v>7782</v>
      </c>
      <c r="B610" s="1984" t="s">
        <v>5696</v>
      </c>
      <c r="C610" s="1984" t="s">
        <v>7564</v>
      </c>
      <c r="D610" s="1813" t="s">
        <v>7784</v>
      </c>
      <c r="E610" s="1638">
        <v>1</v>
      </c>
      <c r="F610" s="1639" t="s">
        <v>5284</v>
      </c>
      <c r="G610" s="1648">
        <v>53.11</v>
      </c>
      <c r="H610" s="1636">
        <f>ROUND(G610*$B$13,2)</f>
        <v>14.3</v>
      </c>
      <c r="I610" s="1636">
        <f t="shared" ref="I610" si="594">H610+G610</f>
        <v>67.41</v>
      </c>
      <c r="J610" s="1723">
        <f t="shared" ref="J610" si="595">ROUND(I610*E610,2)</f>
        <v>67.41</v>
      </c>
      <c r="K610" s="2007">
        <f t="shared" ref="K610" si="596">ROUND(G610*E610,2)</f>
        <v>53.11</v>
      </c>
      <c r="L610" s="2007">
        <f t="shared" ref="L610" si="597">ROUND(H610*E610,2)</f>
        <v>14.3</v>
      </c>
      <c r="M610" s="2016"/>
      <c r="N610" s="2016"/>
      <c r="O610" s="2016"/>
      <c r="P610" s="2016"/>
      <c r="Q610" s="2016"/>
      <c r="R610" s="2016"/>
      <c r="S610" s="2016"/>
      <c r="T610" s="2016">
        <f t="shared" si="518"/>
        <v>3.3704999999999998</v>
      </c>
      <c r="U610" s="2016"/>
      <c r="V610" s="2016">
        <f t="shared" si="519"/>
        <v>6.7409999999999997</v>
      </c>
      <c r="W610" s="2016">
        <f t="shared" si="520"/>
        <v>10.111499999999999</v>
      </c>
      <c r="X610" s="2016">
        <f t="shared" si="521"/>
        <v>13.481999999999999</v>
      </c>
      <c r="Y610" s="2016">
        <f t="shared" si="522"/>
        <v>20.222999999999999</v>
      </c>
      <c r="Z610" s="2016">
        <f t="shared" si="523"/>
        <v>13.481999999999999</v>
      </c>
    </row>
    <row r="611" spans="1:26" s="2036" customFormat="1" ht="60" x14ac:dyDescent="0.2">
      <c r="A611" s="1635" t="s">
        <v>7777</v>
      </c>
      <c r="B611" s="2140" t="s">
        <v>7765</v>
      </c>
      <c r="C611" s="2140"/>
      <c r="D611" s="1813" t="s">
        <v>7779</v>
      </c>
      <c r="E611" s="1638">
        <v>1</v>
      </c>
      <c r="F611" s="1639" t="s">
        <v>5284</v>
      </c>
      <c r="G611" s="1648">
        <v>103000</v>
      </c>
      <c r="H611" s="1636">
        <f>ROUND(G611*$B$14,2)</f>
        <v>21557.9</v>
      </c>
      <c r="I611" s="1636">
        <f t="shared" ref="I611" si="598">H611+G611</f>
        <v>124557.9</v>
      </c>
      <c r="J611" s="1723">
        <f t="shared" ref="J611" si="599">ROUND(I611*E611,2)</f>
        <v>124557.9</v>
      </c>
      <c r="K611" s="2034">
        <f t="shared" si="516"/>
        <v>103000</v>
      </c>
      <c r="L611" s="2034">
        <f t="shared" si="517"/>
        <v>21557.9</v>
      </c>
      <c r="M611" s="2035"/>
      <c r="N611" s="2035"/>
      <c r="O611" s="2035"/>
      <c r="P611" s="2035"/>
      <c r="Q611" s="2035"/>
      <c r="R611" s="2035"/>
      <c r="S611" s="2035"/>
      <c r="T611" s="2035">
        <f t="shared" si="518"/>
        <v>6227.8950000000004</v>
      </c>
      <c r="U611" s="2035"/>
      <c r="V611" s="2035">
        <f t="shared" si="519"/>
        <v>12455.79</v>
      </c>
      <c r="W611" s="2035">
        <f t="shared" si="520"/>
        <v>18683.684999999998</v>
      </c>
      <c r="X611" s="2035">
        <f t="shared" si="521"/>
        <v>24911.58</v>
      </c>
      <c r="Y611" s="2035">
        <f t="shared" si="522"/>
        <v>37367.369999999995</v>
      </c>
      <c r="Z611" s="2035">
        <f t="shared" si="523"/>
        <v>24911.58</v>
      </c>
    </row>
    <row r="612" spans="1:26" s="2009" customFormat="1" ht="60" x14ac:dyDescent="0.2">
      <c r="A612" s="1635" t="s">
        <v>7778</v>
      </c>
      <c r="B612" s="1984" t="s">
        <v>5696</v>
      </c>
      <c r="C612" s="1984" t="s">
        <v>7672</v>
      </c>
      <c r="D612" s="1813" t="s">
        <v>7780</v>
      </c>
      <c r="E612" s="1638">
        <v>1</v>
      </c>
      <c r="F612" s="1639" t="s">
        <v>5284</v>
      </c>
      <c r="G612" s="1648">
        <v>100.97999999999999</v>
      </c>
      <c r="H612" s="1636">
        <f>ROUND(G612*$B$13,2)</f>
        <v>27.19</v>
      </c>
      <c r="I612" s="1636">
        <f t="shared" ref="I612" si="600">H612+G612</f>
        <v>128.16999999999999</v>
      </c>
      <c r="J612" s="1723">
        <f t="shared" ref="J612" si="601">ROUND(I612*E612,2)</f>
        <v>128.16999999999999</v>
      </c>
      <c r="K612" s="2007">
        <f t="shared" ref="K612" si="602">ROUND(G612*E612,2)</f>
        <v>100.98</v>
      </c>
      <c r="L612" s="2007">
        <f t="shared" ref="L612" si="603">ROUND(H612*E612,2)</f>
        <v>27.19</v>
      </c>
      <c r="M612" s="2016"/>
      <c r="N612" s="2016"/>
      <c r="O612" s="2016"/>
      <c r="P612" s="2016"/>
      <c r="Q612" s="2016"/>
      <c r="R612" s="2016"/>
      <c r="S612" s="2016"/>
      <c r="T612" s="2016">
        <f t="shared" si="518"/>
        <v>6.4085000000000001</v>
      </c>
      <c r="U612" s="2016"/>
      <c r="V612" s="2016">
        <f t="shared" si="519"/>
        <v>12.817</v>
      </c>
      <c r="W612" s="2016">
        <f t="shared" si="520"/>
        <v>19.225499999999997</v>
      </c>
      <c r="X612" s="2016">
        <f t="shared" si="521"/>
        <v>25.634</v>
      </c>
      <c r="Y612" s="2016">
        <f t="shared" si="522"/>
        <v>38.450999999999993</v>
      </c>
      <c r="Z612" s="2016">
        <f t="shared" si="523"/>
        <v>25.634</v>
      </c>
    </row>
    <row r="613" spans="1:26" s="2009" customFormat="1" ht="30" x14ac:dyDescent="0.2">
      <c r="A613" s="1635" t="s">
        <v>7835</v>
      </c>
      <c r="B613" s="1984" t="s">
        <v>5281</v>
      </c>
      <c r="C613" s="1984">
        <v>11961</v>
      </c>
      <c r="D613" s="1813" t="s">
        <v>7836</v>
      </c>
      <c r="E613" s="1638">
        <v>4</v>
      </c>
      <c r="F613" s="1639" t="s">
        <v>5284</v>
      </c>
      <c r="G613" s="1648">
        <v>506.34</v>
      </c>
      <c r="H613" s="1636">
        <f>ROUND(G613*$B$13,2)</f>
        <v>136.36000000000001</v>
      </c>
      <c r="I613" s="1636">
        <f t="shared" ref="I613" si="604">H613+G613</f>
        <v>642.70000000000005</v>
      </c>
      <c r="J613" s="1723">
        <f t="shared" ref="J613" si="605">ROUND(I613*E613,2)</f>
        <v>2570.8000000000002</v>
      </c>
      <c r="K613" s="2007">
        <f t="shared" ref="K613" si="606">ROUND(G613*E613,2)</f>
        <v>2025.36</v>
      </c>
      <c r="L613" s="2007">
        <f t="shared" ref="L613" si="607">ROUND(H613*E613,2)</f>
        <v>545.44000000000005</v>
      </c>
      <c r="M613" s="2016"/>
      <c r="N613" s="2016"/>
      <c r="O613" s="2016"/>
      <c r="P613" s="2016"/>
      <c r="Q613" s="2016"/>
      <c r="R613" s="2016"/>
      <c r="S613" s="2016"/>
      <c r="T613" s="2016">
        <f t="shared" si="518"/>
        <v>128.54000000000002</v>
      </c>
      <c r="U613" s="2016"/>
      <c r="V613" s="2016">
        <f t="shared" si="519"/>
        <v>257.08000000000004</v>
      </c>
      <c r="W613" s="2016">
        <f t="shared" si="520"/>
        <v>385.62</v>
      </c>
      <c r="X613" s="2016">
        <f t="shared" si="521"/>
        <v>514.16000000000008</v>
      </c>
      <c r="Y613" s="2016">
        <f t="shared" si="522"/>
        <v>771.24</v>
      </c>
      <c r="Z613" s="2016">
        <f t="shared" si="523"/>
        <v>514.16000000000008</v>
      </c>
    </row>
    <row r="614" spans="1:26" s="2009" customFormat="1" ht="15" x14ac:dyDescent="0.2">
      <c r="A614" s="1634" t="s">
        <v>6164</v>
      </c>
      <c r="B614" s="2136" t="s">
        <v>6165</v>
      </c>
      <c r="C614" s="2136"/>
      <c r="D614" s="2136"/>
      <c r="E614" s="2136"/>
      <c r="F614" s="2136"/>
      <c r="G614" s="2136"/>
      <c r="H614" s="2136"/>
      <c r="I614" s="2136"/>
      <c r="J614" s="2136"/>
      <c r="K614" s="2007">
        <f t="shared" si="516"/>
        <v>0</v>
      </c>
      <c r="L614" s="2007">
        <f t="shared" si="517"/>
        <v>0</v>
      </c>
      <c r="M614" s="2016"/>
      <c r="N614" s="2016"/>
      <c r="O614" s="2016"/>
      <c r="P614" s="2016"/>
      <c r="Q614" s="2016"/>
      <c r="R614" s="2016"/>
      <c r="S614" s="2016"/>
      <c r="T614" s="2016"/>
      <c r="U614" s="2016"/>
      <c r="V614" s="2016"/>
      <c r="W614" s="2016"/>
      <c r="X614" s="2016"/>
      <c r="Y614" s="2016"/>
      <c r="Z614" s="2016"/>
    </row>
    <row r="615" spans="1:26" s="2009" customFormat="1" ht="105" x14ac:dyDescent="0.2">
      <c r="A615" s="1635" t="s">
        <v>7125</v>
      </c>
      <c r="B615" s="1984" t="s">
        <v>5696</v>
      </c>
      <c r="C615" s="1984" t="s">
        <v>6180</v>
      </c>
      <c r="D615" s="1813" t="s">
        <v>6166</v>
      </c>
      <c r="E615" s="1638">
        <v>2</v>
      </c>
      <c r="F615" s="1639" t="s">
        <v>5284</v>
      </c>
      <c r="G615" s="1648">
        <v>195.37</v>
      </c>
      <c r="H615" s="1636">
        <f t="shared" ref="H615:H633" si="608">ROUND(G615*$B$13,2)</f>
        <v>52.61</v>
      </c>
      <c r="I615" s="1636">
        <f t="shared" si="590"/>
        <v>247.98000000000002</v>
      </c>
      <c r="J615" s="1723">
        <f t="shared" si="591"/>
        <v>495.96</v>
      </c>
      <c r="K615" s="2007">
        <f t="shared" si="516"/>
        <v>390.74</v>
      </c>
      <c r="L615" s="2007">
        <f t="shared" si="517"/>
        <v>105.22</v>
      </c>
      <c r="M615" s="2016"/>
      <c r="N615" s="2016"/>
      <c r="O615" s="2016"/>
      <c r="P615" s="2016"/>
      <c r="Q615" s="2016"/>
      <c r="R615" s="2016"/>
      <c r="S615" s="2016"/>
      <c r="T615" s="2016">
        <f t="shared" ref="T615" si="609">0.05*J615</f>
        <v>24.798000000000002</v>
      </c>
      <c r="U615" s="2016"/>
      <c r="V615" s="2016">
        <f t="shared" ref="V615" si="610">0.1*J615</f>
        <v>49.596000000000004</v>
      </c>
      <c r="W615" s="2016">
        <f t="shared" ref="W615" si="611">0.15*J615</f>
        <v>74.393999999999991</v>
      </c>
      <c r="X615" s="2016">
        <f t="shared" ref="X615" si="612">0.2*J615</f>
        <v>99.192000000000007</v>
      </c>
      <c r="Y615" s="2016">
        <f t="shared" ref="Y615" si="613">0.3*J615</f>
        <v>148.78799999999998</v>
      </c>
      <c r="Z615" s="2016">
        <f t="shared" ref="Z615" si="614">0.2*J615</f>
        <v>99.192000000000007</v>
      </c>
    </row>
    <row r="616" spans="1:26" s="2009" customFormat="1" ht="135" x14ac:dyDescent="0.2">
      <c r="A616" s="1635" t="s">
        <v>7126</v>
      </c>
      <c r="B616" s="1984" t="s">
        <v>5696</v>
      </c>
      <c r="C616" s="1984" t="s">
        <v>6185</v>
      </c>
      <c r="D616" s="1813" t="s">
        <v>6167</v>
      </c>
      <c r="E616" s="1638">
        <v>199</v>
      </c>
      <c r="F616" s="1639" t="s">
        <v>5284</v>
      </c>
      <c r="G616" s="1648">
        <v>288.37</v>
      </c>
      <c r="H616" s="1636">
        <f t="shared" si="608"/>
        <v>77.66</v>
      </c>
      <c r="I616" s="1636">
        <f t="shared" si="590"/>
        <v>366.03</v>
      </c>
      <c r="J616" s="1723">
        <f t="shared" si="591"/>
        <v>72839.97</v>
      </c>
      <c r="K616" s="2007">
        <f t="shared" si="516"/>
        <v>57385.63</v>
      </c>
      <c r="L616" s="2007">
        <f t="shared" si="517"/>
        <v>15454.34</v>
      </c>
      <c r="M616" s="2016"/>
      <c r="N616" s="2016"/>
      <c r="O616" s="2016"/>
      <c r="P616" s="2016"/>
      <c r="Q616" s="2016"/>
      <c r="R616" s="2016"/>
      <c r="S616" s="2016"/>
      <c r="T616" s="2016">
        <f t="shared" ref="T616:T634" si="615">0.05*J616</f>
        <v>3641.9985000000001</v>
      </c>
      <c r="U616" s="2016"/>
      <c r="V616" s="2016">
        <f t="shared" ref="V616:V634" si="616">0.1*J616</f>
        <v>7283.9970000000003</v>
      </c>
      <c r="W616" s="2016">
        <f t="shared" ref="W616:W634" si="617">0.15*J616</f>
        <v>10925.995499999999</v>
      </c>
      <c r="X616" s="2016">
        <f t="shared" ref="X616:X634" si="618">0.2*J616</f>
        <v>14567.994000000001</v>
      </c>
      <c r="Y616" s="2016">
        <f t="shared" ref="Y616:Y634" si="619">0.3*J616</f>
        <v>21851.990999999998</v>
      </c>
      <c r="Z616" s="2016">
        <f t="shared" ref="Z616:Z634" si="620">0.2*J616</f>
        <v>14567.994000000001</v>
      </c>
    </row>
    <row r="617" spans="1:26" s="2009" customFormat="1" ht="135" x14ac:dyDescent="0.2">
      <c r="A617" s="1635" t="s">
        <v>7127</v>
      </c>
      <c r="B617" s="1984" t="s">
        <v>5696</v>
      </c>
      <c r="C617" s="1984" t="s">
        <v>6188</v>
      </c>
      <c r="D617" s="1813" t="s">
        <v>6168</v>
      </c>
      <c r="E617" s="1638">
        <v>83</v>
      </c>
      <c r="F617" s="1639" t="s">
        <v>5284</v>
      </c>
      <c r="G617" s="1648">
        <v>287.64</v>
      </c>
      <c r="H617" s="1636">
        <f t="shared" si="608"/>
        <v>77.459999999999994</v>
      </c>
      <c r="I617" s="1636">
        <f t="shared" si="590"/>
        <v>365.09999999999997</v>
      </c>
      <c r="J617" s="1723">
        <f t="shared" si="591"/>
        <v>30303.3</v>
      </c>
      <c r="K617" s="2007">
        <f t="shared" si="516"/>
        <v>23874.12</v>
      </c>
      <c r="L617" s="2007">
        <f t="shared" si="517"/>
        <v>6429.18</v>
      </c>
      <c r="M617" s="2016"/>
      <c r="N617" s="2016"/>
      <c r="O617" s="2016"/>
      <c r="P617" s="2016"/>
      <c r="Q617" s="2016"/>
      <c r="R617" s="2016"/>
      <c r="S617" s="2016"/>
      <c r="T617" s="2016">
        <f t="shared" si="615"/>
        <v>1515.165</v>
      </c>
      <c r="U617" s="2016"/>
      <c r="V617" s="2016">
        <f t="shared" si="616"/>
        <v>3030.33</v>
      </c>
      <c r="W617" s="2016">
        <f t="shared" si="617"/>
        <v>4545.4949999999999</v>
      </c>
      <c r="X617" s="2016">
        <f t="shared" si="618"/>
        <v>6060.66</v>
      </c>
      <c r="Y617" s="2016">
        <f t="shared" si="619"/>
        <v>9090.99</v>
      </c>
      <c r="Z617" s="2016">
        <f t="shared" si="620"/>
        <v>6060.66</v>
      </c>
    </row>
    <row r="618" spans="1:26" s="2009" customFormat="1" ht="105" x14ac:dyDescent="0.2">
      <c r="A618" s="1635" t="s">
        <v>7128</v>
      </c>
      <c r="B618" s="1984" t="s">
        <v>5696</v>
      </c>
      <c r="C618" s="1984" t="s">
        <v>6189</v>
      </c>
      <c r="D618" s="1813" t="s">
        <v>6169</v>
      </c>
      <c r="E618" s="1638">
        <v>38</v>
      </c>
      <c r="F618" s="1639" t="s">
        <v>5284</v>
      </c>
      <c r="G618" s="1648">
        <v>117.34</v>
      </c>
      <c r="H618" s="1636">
        <f t="shared" si="608"/>
        <v>31.6</v>
      </c>
      <c r="I618" s="1636">
        <f t="shared" si="590"/>
        <v>148.94</v>
      </c>
      <c r="J618" s="1723">
        <f t="shared" si="591"/>
        <v>5659.72</v>
      </c>
      <c r="K618" s="2007">
        <f t="shared" si="516"/>
        <v>4458.92</v>
      </c>
      <c r="L618" s="2007">
        <f t="shared" si="517"/>
        <v>1200.8</v>
      </c>
      <c r="M618" s="2016"/>
      <c r="N618" s="2016"/>
      <c r="O618" s="2016"/>
      <c r="P618" s="2016"/>
      <c r="Q618" s="2016"/>
      <c r="R618" s="2016"/>
      <c r="S618" s="2016"/>
      <c r="T618" s="2016">
        <f t="shared" si="615"/>
        <v>282.98600000000005</v>
      </c>
      <c r="U618" s="2016"/>
      <c r="V618" s="2016">
        <f t="shared" si="616"/>
        <v>565.97200000000009</v>
      </c>
      <c r="W618" s="2016">
        <f t="shared" si="617"/>
        <v>848.95799999999997</v>
      </c>
      <c r="X618" s="2016">
        <f t="shared" si="618"/>
        <v>1131.9440000000002</v>
      </c>
      <c r="Y618" s="2016">
        <f t="shared" si="619"/>
        <v>1697.9159999999999</v>
      </c>
      <c r="Z618" s="2016">
        <f t="shared" si="620"/>
        <v>1131.9440000000002</v>
      </c>
    </row>
    <row r="619" spans="1:26" s="2009" customFormat="1" ht="150" x14ac:dyDescent="0.2">
      <c r="A619" s="1635" t="s">
        <v>7129</v>
      </c>
      <c r="B619" s="1984" t="s">
        <v>5281</v>
      </c>
      <c r="C619" s="1984">
        <v>7715</v>
      </c>
      <c r="D619" s="1813" t="s">
        <v>6170</v>
      </c>
      <c r="E619" s="1638">
        <v>35</v>
      </c>
      <c r="F619" s="1639" t="s">
        <v>5284</v>
      </c>
      <c r="G619" s="1648">
        <v>244.10000000000002</v>
      </c>
      <c r="H619" s="1636">
        <f t="shared" si="608"/>
        <v>65.739999999999995</v>
      </c>
      <c r="I619" s="1636">
        <f t="shared" si="590"/>
        <v>309.84000000000003</v>
      </c>
      <c r="J619" s="1723">
        <f t="shared" si="591"/>
        <v>10844.4</v>
      </c>
      <c r="K619" s="2007">
        <f t="shared" si="516"/>
        <v>8543.5</v>
      </c>
      <c r="L619" s="2007">
        <f t="shared" si="517"/>
        <v>2300.9</v>
      </c>
      <c r="M619" s="2016"/>
      <c r="N619" s="2016"/>
      <c r="O619" s="2016"/>
      <c r="P619" s="2016"/>
      <c r="Q619" s="2016"/>
      <c r="R619" s="2016"/>
      <c r="S619" s="2016"/>
      <c r="T619" s="2016">
        <f t="shared" si="615"/>
        <v>542.22</v>
      </c>
      <c r="U619" s="2016"/>
      <c r="V619" s="2016">
        <f t="shared" si="616"/>
        <v>1084.44</v>
      </c>
      <c r="W619" s="2016">
        <f t="shared" si="617"/>
        <v>1626.6599999999999</v>
      </c>
      <c r="X619" s="2016">
        <f t="shared" si="618"/>
        <v>2168.88</v>
      </c>
      <c r="Y619" s="2016">
        <f t="shared" si="619"/>
        <v>3253.3199999999997</v>
      </c>
      <c r="Z619" s="2016">
        <f t="shared" si="620"/>
        <v>2168.88</v>
      </c>
    </row>
    <row r="620" spans="1:26" s="2009" customFormat="1" ht="120" x14ac:dyDescent="0.2">
      <c r="A620" s="1635" t="s">
        <v>7130</v>
      </c>
      <c r="B620" s="1984" t="s">
        <v>4448</v>
      </c>
      <c r="C620" s="1984" t="s">
        <v>6205</v>
      </c>
      <c r="D620" s="1813" t="s">
        <v>6171</v>
      </c>
      <c r="E620" s="1638">
        <v>4</v>
      </c>
      <c r="F620" s="1639" t="s">
        <v>5284</v>
      </c>
      <c r="G620" s="1648">
        <v>65.319999999999993</v>
      </c>
      <c r="H620" s="1636">
        <f t="shared" si="608"/>
        <v>17.59</v>
      </c>
      <c r="I620" s="1636">
        <f t="shared" si="590"/>
        <v>82.91</v>
      </c>
      <c r="J620" s="1723">
        <f t="shared" si="591"/>
        <v>331.64</v>
      </c>
      <c r="K620" s="2007">
        <f t="shared" si="516"/>
        <v>261.27999999999997</v>
      </c>
      <c r="L620" s="2007">
        <f t="shared" si="517"/>
        <v>70.36</v>
      </c>
      <c r="M620" s="2016"/>
      <c r="N620" s="2016"/>
      <c r="O620" s="2016"/>
      <c r="P620" s="2016"/>
      <c r="Q620" s="2016"/>
      <c r="R620" s="2016"/>
      <c r="S620" s="2016"/>
      <c r="T620" s="2016">
        <f t="shared" si="615"/>
        <v>16.582000000000001</v>
      </c>
      <c r="U620" s="2016"/>
      <c r="V620" s="2016">
        <f t="shared" si="616"/>
        <v>33.164000000000001</v>
      </c>
      <c r="W620" s="2016">
        <f t="shared" si="617"/>
        <v>49.745999999999995</v>
      </c>
      <c r="X620" s="2016">
        <f t="shared" si="618"/>
        <v>66.328000000000003</v>
      </c>
      <c r="Y620" s="2016">
        <f t="shared" si="619"/>
        <v>99.49199999999999</v>
      </c>
      <c r="Z620" s="2016">
        <f t="shared" si="620"/>
        <v>66.328000000000003</v>
      </c>
    </row>
    <row r="621" spans="1:26" s="2009" customFormat="1" ht="105" x14ac:dyDescent="0.2">
      <c r="A621" s="1635" t="s">
        <v>7131</v>
      </c>
      <c r="B621" s="1984" t="s">
        <v>5696</v>
      </c>
      <c r="C621" s="1984" t="s">
        <v>6189</v>
      </c>
      <c r="D621" s="1813" t="s">
        <v>6172</v>
      </c>
      <c r="E621" s="1638">
        <v>6</v>
      </c>
      <c r="F621" s="1639" t="s">
        <v>5284</v>
      </c>
      <c r="G621" s="1648">
        <v>87.79</v>
      </c>
      <c r="H621" s="1636">
        <f t="shared" si="608"/>
        <v>23.64</v>
      </c>
      <c r="I621" s="1636">
        <f t="shared" si="590"/>
        <v>111.43</v>
      </c>
      <c r="J621" s="1723">
        <f t="shared" si="591"/>
        <v>668.58</v>
      </c>
      <c r="K621" s="2007">
        <f t="shared" si="516"/>
        <v>526.74</v>
      </c>
      <c r="L621" s="2007">
        <f t="shared" si="517"/>
        <v>141.84</v>
      </c>
      <c r="M621" s="2016"/>
      <c r="N621" s="2016"/>
      <c r="O621" s="2016"/>
      <c r="P621" s="2016"/>
      <c r="Q621" s="2016"/>
      <c r="R621" s="2016"/>
      <c r="S621" s="2016"/>
      <c r="T621" s="2016">
        <f t="shared" si="615"/>
        <v>33.429000000000002</v>
      </c>
      <c r="U621" s="2016"/>
      <c r="V621" s="2016">
        <f t="shared" si="616"/>
        <v>66.858000000000004</v>
      </c>
      <c r="W621" s="2016">
        <f t="shared" si="617"/>
        <v>100.28700000000001</v>
      </c>
      <c r="X621" s="2016">
        <f t="shared" si="618"/>
        <v>133.71600000000001</v>
      </c>
      <c r="Y621" s="2016">
        <f t="shared" si="619"/>
        <v>200.57400000000001</v>
      </c>
      <c r="Z621" s="2016">
        <f t="shared" si="620"/>
        <v>133.71600000000001</v>
      </c>
    </row>
    <row r="622" spans="1:26" s="2009" customFormat="1" ht="75" x14ac:dyDescent="0.2">
      <c r="A622" s="1635" t="s">
        <v>7132</v>
      </c>
      <c r="B622" s="1984" t="s">
        <v>5696</v>
      </c>
      <c r="C622" s="1984" t="s">
        <v>6190</v>
      </c>
      <c r="D622" s="1813" t="s">
        <v>6173</v>
      </c>
      <c r="E622" s="1638">
        <v>10</v>
      </c>
      <c r="F622" s="1639" t="s">
        <v>5284</v>
      </c>
      <c r="G622" s="1648">
        <v>206.19</v>
      </c>
      <c r="H622" s="1636">
        <f t="shared" si="608"/>
        <v>55.53</v>
      </c>
      <c r="I622" s="1636">
        <f t="shared" si="590"/>
        <v>261.72000000000003</v>
      </c>
      <c r="J622" s="1723">
        <f t="shared" si="591"/>
        <v>2617.1999999999998</v>
      </c>
      <c r="K622" s="2007">
        <f t="shared" si="516"/>
        <v>2061.9</v>
      </c>
      <c r="L622" s="2007">
        <f t="shared" si="517"/>
        <v>555.29999999999995</v>
      </c>
      <c r="M622" s="2016"/>
      <c r="N622" s="2016"/>
      <c r="O622" s="2016"/>
      <c r="P622" s="2016"/>
      <c r="Q622" s="2016"/>
      <c r="R622" s="2016"/>
      <c r="S622" s="2016"/>
      <c r="T622" s="2016">
        <f t="shared" si="615"/>
        <v>130.85999999999999</v>
      </c>
      <c r="U622" s="2016"/>
      <c r="V622" s="2016">
        <f t="shared" si="616"/>
        <v>261.71999999999997</v>
      </c>
      <c r="W622" s="2016">
        <f t="shared" si="617"/>
        <v>392.58</v>
      </c>
      <c r="X622" s="2016">
        <f t="shared" si="618"/>
        <v>523.43999999999994</v>
      </c>
      <c r="Y622" s="2016">
        <f t="shared" si="619"/>
        <v>785.16</v>
      </c>
      <c r="Z622" s="2016">
        <f t="shared" si="620"/>
        <v>523.43999999999994</v>
      </c>
    </row>
    <row r="623" spans="1:26" s="2009" customFormat="1" ht="90" x14ac:dyDescent="0.2">
      <c r="A623" s="1635" t="s">
        <v>7133</v>
      </c>
      <c r="B623" s="1984" t="s">
        <v>5696</v>
      </c>
      <c r="C623" s="1984" t="s">
        <v>6190</v>
      </c>
      <c r="D623" s="1813" t="s">
        <v>6174</v>
      </c>
      <c r="E623" s="1638">
        <v>1</v>
      </c>
      <c r="F623" s="1639" t="s">
        <v>5284</v>
      </c>
      <c r="G623" s="1648">
        <v>206.19</v>
      </c>
      <c r="H623" s="1636">
        <f t="shared" si="608"/>
        <v>55.53</v>
      </c>
      <c r="I623" s="1636">
        <f t="shared" si="590"/>
        <v>261.72000000000003</v>
      </c>
      <c r="J623" s="1723">
        <f t="shared" si="591"/>
        <v>261.72000000000003</v>
      </c>
      <c r="K623" s="2007">
        <f t="shared" si="516"/>
        <v>206.19</v>
      </c>
      <c r="L623" s="2007">
        <f t="shared" si="517"/>
        <v>55.53</v>
      </c>
      <c r="M623" s="2016"/>
      <c r="N623" s="2016"/>
      <c r="O623" s="2016"/>
      <c r="P623" s="2016"/>
      <c r="Q623" s="2016"/>
      <c r="R623" s="2016"/>
      <c r="S623" s="2016"/>
      <c r="T623" s="2016">
        <f t="shared" si="615"/>
        <v>13.086000000000002</v>
      </c>
      <c r="U623" s="2016"/>
      <c r="V623" s="2016">
        <f t="shared" si="616"/>
        <v>26.172000000000004</v>
      </c>
      <c r="W623" s="2016">
        <f t="shared" si="617"/>
        <v>39.258000000000003</v>
      </c>
      <c r="X623" s="2016">
        <f t="shared" si="618"/>
        <v>52.344000000000008</v>
      </c>
      <c r="Y623" s="2016">
        <f t="shared" si="619"/>
        <v>78.516000000000005</v>
      </c>
      <c r="Z623" s="2016">
        <f t="shared" si="620"/>
        <v>52.344000000000008</v>
      </c>
    </row>
    <row r="624" spans="1:26" s="2009" customFormat="1" ht="150" x14ac:dyDescent="0.2">
      <c r="A624" s="1635" t="s">
        <v>7134</v>
      </c>
      <c r="B624" s="1984" t="s">
        <v>5696</v>
      </c>
      <c r="C624" s="1984" t="s">
        <v>6191</v>
      </c>
      <c r="D624" s="1813" t="s">
        <v>8993</v>
      </c>
      <c r="E624" s="1638">
        <v>2</v>
      </c>
      <c r="F624" s="1639" t="s">
        <v>5284</v>
      </c>
      <c r="G624" s="1648">
        <v>169.09</v>
      </c>
      <c r="H624" s="1636">
        <f t="shared" si="608"/>
        <v>45.54</v>
      </c>
      <c r="I624" s="1636">
        <f t="shared" si="590"/>
        <v>214.63</v>
      </c>
      <c r="J624" s="1723">
        <f t="shared" si="591"/>
        <v>429.26</v>
      </c>
      <c r="K624" s="2007">
        <f t="shared" si="516"/>
        <v>338.18</v>
      </c>
      <c r="L624" s="2007">
        <f t="shared" si="517"/>
        <v>91.08</v>
      </c>
      <c r="M624" s="2016"/>
      <c r="N624" s="2016"/>
      <c r="O624" s="2016"/>
      <c r="P624" s="2016"/>
      <c r="Q624" s="2016"/>
      <c r="R624" s="2016"/>
      <c r="S624" s="2016"/>
      <c r="T624" s="2016">
        <f t="shared" si="615"/>
        <v>21.463000000000001</v>
      </c>
      <c r="U624" s="2016"/>
      <c r="V624" s="2016">
        <f t="shared" si="616"/>
        <v>42.926000000000002</v>
      </c>
      <c r="W624" s="2016">
        <f t="shared" si="617"/>
        <v>64.388999999999996</v>
      </c>
      <c r="X624" s="2016">
        <f t="shared" si="618"/>
        <v>85.852000000000004</v>
      </c>
      <c r="Y624" s="2016">
        <f t="shared" si="619"/>
        <v>128.77799999999999</v>
      </c>
      <c r="Z624" s="2016">
        <f t="shared" si="620"/>
        <v>85.852000000000004</v>
      </c>
    </row>
    <row r="625" spans="1:26" s="2009" customFormat="1" ht="75" x14ac:dyDescent="0.2">
      <c r="A625" s="1635" t="s">
        <v>7135</v>
      </c>
      <c r="B625" s="1984" t="s">
        <v>5696</v>
      </c>
      <c r="C625" s="1984" t="s">
        <v>6192</v>
      </c>
      <c r="D625" s="1813" t="s">
        <v>6175</v>
      </c>
      <c r="E625" s="1638">
        <v>2</v>
      </c>
      <c r="F625" s="1639" t="s">
        <v>5284</v>
      </c>
      <c r="G625" s="1648">
        <v>134.94999999999999</v>
      </c>
      <c r="H625" s="1636">
        <f t="shared" si="608"/>
        <v>36.340000000000003</v>
      </c>
      <c r="I625" s="1636">
        <f t="shared" si="590"/>
        <v>171.29</v>
      </c>
      <c r="J625" s="1723">
        <f t="shared" si="591"/>
        <v>342.58</v>
      </c>
      <c r="K625" s="2007">
        <f t="shared" si="516"/>
        <v>269.89999999999998</v>
      </c>
      <c r="L625" s="2007">
        <f t="shared" si="517"/>
        <v>72.680000000000007</v>
      </c>
      <c r="M625" s="2016"/>
      <c r="N625" s="2016"/>
      <c r="O625" s="2016"/>
      <c r="P625" s="2016"/>
      <c r="Q625" s="2016"/>
      <c r="R625" s="2016"/>
      <c r="S625" s="2016"/>
      <c r="T625" s="2016">
        <f t="shared" si="615"/>
        <v>17.129000000000001</v>
      </c>
      <c r="U625" s="2016"/>
      <c r="V625" s="2016">
        <f t="shared" si="616"/>
        <v>34.258000000000003</v>
      </c>
      <c r="W625" s="2016">
        <f t="shared" si="617"/>
        <v>51.386999999999993</v>
      </c>
      <c r="X625" s="2016">
        <f t="shared" si="618"/>
        <v>68.516000000000005</v>
      </c>
      <c r="Y625" s="2016">
        <f t="shared" si="619"/>
        <v>102.77399999999999</v>
      </c>
      <c r="Z625" s="2016">
        <f t="shared" si="620"/>
        <v>68.516000000000005</v>
      </c>
    </row>
    <row r="626" spans="1:26" s="2009" customFormat="1" ht="75" x14ac:dyDescent="0.2">
      <c r="A626" s="1635" t="s">
        <v>7136</v>
      </c>
      <c r="B626" s="1984" t="s">
        <v>4448</v>
      </c>
      <c r="C626" s="1984" t="s">
        <v>6205</v>
      </c>
      <c r="D626" s="1813" t="s">
        <v>6176</v>
      </c>
      <c r="E626" s="1638">
        <v>25</v>
      </c>
      <c r="F626" s="1639" t="s">
        <v>5284</v>
      </c>
      <c r="G626" s="1648">
        <v>65.319999999999993</v>
      </c>
      <c r="H626" s="1636">
        <f t="shared" si="608"/>
        <v>17.59</v>
      </c>
      <c r="I626" s="1636">
        <f t="shared" si="590"/>
        <v>82.91</v>
      </c>
      <c r="J626" s="1723">
        <f t="shared" si="591"/>
        <v>2072.75</v>
      </c>
      <c r="K626" s="2007">
        <f t="shared" si="516"/>
        <v>1633</v>
      </c>
      <c r="L626" s="2007">
        <f t="shared" si="517"/>
        <v>439.75</v>
      </c>
      <c r="M626" s="2016"/>
      <c r="N626" s="2016"/>
      <c r="O626" s="2016"/>
      <c r="P626" s="2016"/>
      <c r="Q626" s="2016"/>
      <c r="R626" s="2016"/>
      <c r="S626" s="2016"/>
      <c r="T626" s="2016">
        <f t="shared" si="615"/>
        <v>103.6375</v>
      </c>
      <c r="U626" s="2016"/>
      <c r="V626" s="2016">
        <f t="shared" si="616"/>
        <v>207.27500000000001</v>
      </c>
      <c r="W626" s="2016">
        <f t="shared" si="617"/>
        <v>310.91249999999997</v>
      </c>
      <c r="X626" s="2016">
        <f t="shared" si="618"/>
        <v>414.55</v>
      </c>
      <c r="Y626" s="2016">
        <f t="shared" si="619"/>
        <v>621.82499999999993</v>
      </c>
      <c r="Z626" s="2016">
        <f t="shared" si="620"/>
        <v>414.55</v>
      </c>
    </row>
    <row r="627" spans="1:26" s="2009" customFormat="1" ht="120" x14ac:dyDescent="0.2">
      <c r="A627" s="1635" t="s">
        <v>7137</v>
      </c>
      <c r="B627" s="1984" t="s">
        <v>5696</v>
      </c>
      <c r="C627" s="1984" t="s">
        <v>6193</v>
      </c>
      <c r="D627" s="1813" t="s">
        <v>6177</v>
      </c>
      <c r="E627" s="1638">
        <v>15</v>
      </c>
      <c r="F627" s="1639" t="s">
        <v>5284</v>
      </c>
      <c r="G627" s="1648">
        <v>913.83999999999992</v>
      </c>
      <c r="H627" s="1636">
        <f t="shared" si="608"/>
        <v>246.1</v>
      </c>
      <c r="I627" s="1636">
        <f t="shared" si="590"/>
        <v>1159.9399999999998</v>
      </c>
      <c r="J627" s="1723">
        <f t="shared" si="591"/>
        <v>17399.099999999999</v>
      </c>
      <c r="K627" s="2007">
        <f t="shared" si="516"/>
        <v>13707.6</v>
      </c>
      <c r="L627" s="2007">
        <f t="shared" si="517"/>
        <v>3691.5</v>
      </c>
      <c r="M627" s="2016"/>
      <c r="N627" s="2016"/>
      <c r="O627" s="2016"/>
      <c r="P627" s="2016"/>
      <c r="Q627" s="2016"/>
      <c r="R627" s="2016"/>
      <c r="S627" s="2016"/>
      <c r="T627" s="2016">
        <f t="shared" si="615"/>
        <v>869.95499999999993</v>
      </c>
      <c r="U627" s="2016"/>
      <c r="V627" s="2016">
        <f t="shared" si="616"/>
        <v>1739.9099999999999</v>
      </c>
      <c r="W627" s="2016">
        <f t="shared" si="617"/>
        <v>2609.8649999999998</v>
      </c>
      <c r="X627" s="2016">
        <f t="shared" si="618"/>
        <v>3479.8199999999997</v>
      </c>
      <c r="Y627" s="2016">
        <f t="shared" si="619"/>
        <v>5219.7299999999996</v>
      </c>
      <c r="Z627" s="2016">
        <f t="shared" si="620"/>
        <v>3479.8199999999997</v>
      </c>
    </row>
    <row r="628" spans="1:26" s="2009" customFormat="1" ht="60" x14ac:dyDescent="0.2">
      <c r="A628" s="1635" t="s">
        <v>7138</v>
      </c>
      <c r="B628" s="1984" t="s">
        <v>4448</v>
      </c>
      <c r="C628" s="1984">
        <v>97599</v>
      </c>
      <c r="D628" s="1813" t="s">
        <v>6178</v>
      </c>
      <c r="E628" s="1638">
        <v>23</v>
      </c>
      <c r="F628" s="1639" t="s">
        <v>5284</v>
      </c>
      <c r="G628" s="1648">
        <v>29.9</v>
      </c>
      <c r="H628" s="1636">
        <f t="shared" si="608"/>
        <v>8.0500000000000007</v>
      </c>
      <c r="I628" s="1636">
        <f t="shared" si="590"/>
        <v>37.950000000000003</v>
      </c>
      <c r="J628" s="1723">
        <f t="shared" si="591"/>
        <v>872.85</v>
      </c>
      <c r="K628" s="2007">
        <f t="shared" si="516"/>
        <v>687.7</v>
      </c>
      <c r="L628" s="2007">
        <f t="shared" si="517"/>
        <v>185.15</v>
      </c>
      <c r="M628" s="2016"/>
      <c r="N628" s="2016"/>
      <c r="O628" s="2016"/>
      <c r="P628" s="2016"/>
      <c r="Q628" s="2016"/>
      <c r="R628" s="2016"/>
      <c r="S628" s="2016"/>
      <c r="T628" s="2016">
        <f t="shared" si="615"/>
        <v>43.642500000000005</v>
      </c>
      <c r="U628" s="2016"/>
      <c r="V628" s="2016">
        <f t="shared" si="616"/>
        <v>87.285000000000011</v>
      </c>
      <c r="W628" s="2016">
        <f t="shared" si="617"/>
        <v>130.92750000000001</v>
      </c>
      <c r="X628" s="2016">
        <f t="shared" si="618"/>
        <v>174.57000000000002</v>
      </c>
      <c r="Y628" s="2016">
        <f t="shared" si="619"/>
        <v>261.85500000000002</v>
      </c>
      <c r="Z628" s="2016">
        <f t="shared" si="620"/>
        <v>174.57000000000002</v>
      </c>
    </row>
    <row r="629" spans="1:26" s="2009" customFormat="1" ht="45" x14ac:dyDescent="0.2">
      <c r="A629" s="1635" t="s">
        <v>7139</v>
      </c>
      <c r="B629" s="1984" t="s">
        <v>4448</v>
      </c>
      <c r="C629" s="1984" t="s">
        <v>7212</v>
      </c>
      <c r="D629" s="1813" t="s">
        <v>7211</v>
      </c>
      <c r="E629" s="1638">
        <f>52+30+30</f>
        <v>112</v>
      </c>
      <c r="F629" s="1639" t="s">
        <v>5284</v>
      </c>
      <c r="G629" s="1648">
        <v>6.35</v>
      </c>
      <c r="H629" s="1636">
        <f t="shared" si="608"/>
        <v>1.71</v>
      </c>
      <c r="I629" s="1636">
        <f>H629+G629</f>
        <v>8.0599999999999987</v>
      </c>
      <c r="J629" s="1723">
        <f>ROUND(I629*E629,2)</f>
        <v>902.72</v>
      </c>
      <c r="K629" s="2007">
        <f t="shared" si="516"/>
        <v>711.2</v>
      </c>
      <c r="L629" s="2007">
        <f t="shared" si="517"/>
        <v>191.52</v>
      </c>
      <c r="M629" s="2016"/>
      <c r="N629" s="2016"/>
      <c r="O629" s="2016"/>
      <c r="P629" s="2016"/>
      <c r="Q629" s="2016"/>
      <c r="R629" s="2016"/>
      <c r="S629" s="2016"/>
      <c r="T629" s="2016">
        <f t="shared" si="615"/>
        <v>45.136000000000003</v>
      </c>
      <c r="U629" s="2016"/>
      <c r="V629" s="2016">
        <f t="shared" si="616"/>
        <v>90.272000000000006</v>
      </c>
      <c r="W629" s="2016">
        <f t="shared" si="617"/>
        <v>135.40799999999999</v>
      </c>
      <c r="X629" s="2016">
        <f t="shared" si="618"/>
        <v>180.54400000000001</v>
      </c>
      <c r="Y629" s="2016">
        <f t="shared" si="619"/>
        <v>270.81599999999997</v>
      </c>
      <c r="Z629" s="2016">
        <f t="shared" si="620"/>
        <v>180.54400000000001</v>
      </c>
    </row>
    <row r="630" spans="1:26" s="2009" customFormat="1" ht="45" x14ac:dyDescent="0.2">
      <c r="A630" s="1635" t="s">
        <v>9568</v>
      </c>
      <c r="B630" s="1984" t="s">
        <v>4448</v>
      </c>
      <c r="C630" s="1984" t="s">
        <v>7214</v>
      </c>
      <c r="D630" s="1813" t="s">
        <v>7213</v>
      </c>
      <c r="E630" s="1638">
        <f>2+6+6</f>
        <v>14</v>
      </c>
      <c r="F630" s="1639" t="s">
        <v>5284</v>
      </c>
      <c r="G630" s="1648">
        <v>8.2799999999999994</v>
      </c>
      <c r="H630" s="1636">
        <f t="shared" si="608"/>
        <v>2.23</v>
      </c>
      <c r="I630" s="1636">
        <f>H630+G630</f>
        <v>10.51</v>
      </c>
      <c r="J630" s="1723">
        <f>ROUND(I630*E630,2)</f>
        <v>147.13999999999999</v>
      </c>
      <c r="K630" s="2007">
        <f t="shared" si="516"/>
        <v>115.92</v>
      </c>
      <c r="L630" s="2007">
        <f t="shared" si="517"/>
        <v>31.22</v>
      </c>
      <c r="M630" s="2016"/>
      <c r="N630" s="2016"/>
      <c r="O630" s="2016"/>
      <c r="P630" s="2016"/>
      <c r="Q630" s="2016"/>
      <c r="R630" s="2016"/>
      <c r="S630" s="2016"/>
      <c r="T630" s="2016">
        <f t="shared" si="615"/>
        <v>7.3569999999999993</v>
      </c>
      <c r="U630" s="2016"/>
      <c r="V630" s="2016">
        <f t="shared" si="616"/>
        <v>14.713999999999999</v>
      </c>
      <c r="W630" s="2016">
        <f t="shared" si="617"/>
        <v>22.070999999999998</v>
      </c>
      <c r="X630" s="2016">
        <f t="shared" si="618"/>
        <v>29.427999999999997</v>
      </c>
      <c r="Y630" s="2016">
        <f t="shared" si="619"/>
        <v>44.141999999999996</v>
      </c>
      <c r="Z630" s="2016">
        <f t="shared" si="620"/>
        <v>29.427999999999997</v>
      </c>
    </row>
    <row r="631" spans="1:26" s="2009" customFormat="1" ht="15" x14ac:dyDescent="0.2">
      <c r="A631" s="1635" t="s">
        <v>7140</v>
      </c>
      <c r="B631" s="1984" t="s">
        <v>4448</v>
      </c>
      <c r="C631" s="1984">
        <v>97595</v>
      </c>
      <c r="D631" s="1813" t="s">
        <v>6179</v>
      </c>
      <c r="E631" s="1638">
        <v>3</v>
      </c>
      <c r="F631" s="1639" t="s">
        <v>5284</v>
      </c>
      <c r="G631" s="1648">
        <v>53.16</v>
      </c>
      <c r="H631" s="1636">
        <f t="shared" si="608"/>
        <v>14.32</v>
      </c>
      <c r="I631" s="1636">
        <f>H631+G631</f>
        <v>67.47999999999999</v>
      </c>
      <c r="J631" s="1723">
        <f>ROUND(I631*E631,2)</f>
        <v>202.44</v>
      </c>
      <c r="K631" s="2007">
        <f t="shared" si="516"/>
        <v>159.47999999999999</v>
      </c>
      <c r="L631" s="2007">
        <f t="shared" si="517"/>
        <v>42.96</v>
      </c>
      <c r="M631" s="2016"/>
      <c r="N631" s="2016"/>
      <c r="O631" s="2016"/>
      <c r="P631" s="2016"/>
      <c r="Q631" s="2016"/>
      <c r="R631" s="2016"/>
      <c r="S631" s="2016"/>
      <c r="T631" s="2016">
        <f t="shared" si="615"/>
        <v>10.122</v>
      </c>
      <c r="U631" s="2016"/>
      <c r="V631" s="2016">
        <f t="shared" si="616"/>
        <v>20.244</v>
      </c>
      <c r="W631" s="2016">
        <f t="shared" si="617"/>
        <v>30.366</v>
      </c>
      <c r="X631" s="2016">
        <f t="shared" si="618"/>
        <v>40.488</v>
      </c>
      <c r="Y631" s="2016">
        <f t="shared" si="619"/>
        <v>60.731999999999999</v>
      </c>
      <c r="Z631" s="2016">
        <f t="shared" si="620"/>
        <v>40.488</v>
      </c>
    </row>
    <row r="632" spans="1:26" s="2009" customFormat="1" ht="45" x14ac:dyDescent="0.2">
      <c r="A632" s="1635" t="s">
        <v>7141</v>
      </c>
      <c r="B632" s="1984" t="s">
        <v>4448</v>
      </c>
      <c r="C632" s="1984" t="s">
        <v>7144</v>
      </c>
      <c r="D632" s="1813" t="s">
        <v>7143</v>
      </c>
      <c r="E632" s="1638">
        <v>716</v>
      </c>
      <c r="F632" s="1639" t="s">
        <v>5284</v>
      </c>
      <c r="G632" s="1648">
        <v>9.25</v>
      </c>
      <c r="H632" s="1636">
        <f t="shared" si="608"/>
        <v>2.4900000000000002</v>
      </c>
      <c r="I632" s="1636">
        <f>H632+G632</f>
        <v>11.74</v>
      </c>
      <c r="J632" s="1723">
        <f>ROUND(I632*E632,2)</f>
        <v>8405.84</v>
      </c>
      <c r="K632" s="2007">
        <f t="shared" si="516"/>
        <v>6623</v>
      </c>
      <c r="L632" s="2007">
        <f t="shared" si="517"/>
        <v>1782.84</v>
      </c>
      <c r="M632" s="2016"/>
      <c r="N632" s="2016"/>
      <c r="O632" s="2016"/>
      <c r="P632" s="2016"/>
      <c r="Q632" s="2016"/>
      <c r="R632" s="2016"/>
      <c r="S632" s="2016"/>
      <c r="T632" s="2016">
        <f t="shared" si="615"/>
        <v>420.29200000000003</v>
      </c>
      <c r="U632" s="2016"/>
      <c r="V632" s="2016">
        <f t="shared" si="616"/>
        <v>840.58400000000006</v>
      </c>
      <c r="W632" s="2016">
        <f t="shared" si="617"/>
        <v>1260.876</v>
      </c>
      <c r="X632" s="2016">
        <f t="shared" si="618"/>
        <v>1681.1680000000001</v>
      </c>
      <c r="Y632" s="2016">
        <f t="shared" si="619"/>
        <v>2521.752</v>
      </c>
      <c r="Z632" s="2016">
        <f t="shared" si="620"/>
        <v>1681.1680000000001</v>
      </c>
    </row>
    <row r="633" spans="1:26" s="2009" customFormat="1" ht="30" x14ac:dyDescent="0.2">
      <c r="A633" s="1635" t="s">
        <v>7142</v>
      </c>
      <c r="B633" s="1984" t="s">
        <v>5696</v>
      </c>
      <c r="C633" s="1984" t="s">
        <v>7146</v>
      </c>
      <c r="D633" s="1813" t="s">
        <v>7147</v>
      </c>
      <c r="E633" s="1638">
        <v>40</v>
      </c>
      <c r="F633" s="1639" t="s">
        <v>5284</v>
      </c>
      <c r="G633" s="1648">
        <v>187.5</v>
      </c>
      <c r="H633" s="1636">
        <f t="shared" si="608"/>
        <v>50.49</v>
      </c>
      <c r="I633" s="1636">
        <f t="shared" ref="I633:I654" si="621">H633+G633</f>
        <v>237.99</v>
      </c>
      <c r="J633" s="1723">
        <f t="shared" ref="J633:J654" si="622">ROUND(I633*E633,2)</f>
        <v>9519.6</v>
      </c>
      <c r="K633" s="2007">
        <f t="shared" si="516"/>
        <v>7500</v>
      </c>
      <c r="L633" s="2007">
        <f t="shared" si="517"/>
        <v>2019.6</v>
      </c>
      <c r="M633" s="2016"/>
      <c r="N633" s="2016"/>
      <c r="O633" s="2016"/>
      <c r="P633" s="2016"/>
      <c r="Q633" s="2016"/>
      <c r="R633" s="2016"/>
      <c r="S633" s="2016"/>
      <c r="T633" s="2016">
        <f t="shared" si="615"/>
        <v>475.98</v>
      </c>
      <c r="U633" s="2016"/>
      <c r="V633" s="2016">
        <f t="shared" si="616"/>
        <v>951.96</v>
      </c>
      <c r="W633" s="2016">
        <f t="shared" si="617"/>
        <v>1427.94</v>
      </c>
      <c r="X633" s="2016">
        <f t="shared" si="618"/>
        <v>1903.92</v>
      </c>
      <c r="Y633" s="2016">
        <f t="shared" si="619"/>
        <v>2855.88</v>
      </c>
      <c r="Z633" s="2016">
        <f t="shared" si="620"/>
        <v>1903.92</v>
      </c>
    </row>
    <row r="634" spans="1:26" s="2009" customFormat="1" ht="90" x14ac:dyDescent="0.2">
      <c r="A634" s="1635" t="s">
        <v>15141</v>
      </c>
      <c r="B634" s="1984" t="s">
        <v>6907</v>
      </c>
      <c r="C634" s="1984">
        <v>10605</v>
      </c>
      <c r="D634" s="1813" t="s">
        <v>15143</v>
      </c>
      <c r="E634" s="1638">
        <v>24</v>
      </c>
      <c r="F634" s="1639" t="s">
        <v>5284</v>
      </c>
      <c r="G634" s="1648">
        <v>6494.92</v>
      </c>
      <c r="H634" s="1636">
        <f>ROUND(G634*$B$14,2)</f>
        <v>1359.39</v>
      </c>
      <c r="I634" s="1636">
        <f t="shared" si="621"/>
        <v>7854.31</v>
      </c>
      <c r="J634" s="1723">
        <f t="shared" si="622"/>
        <v>188503.44</v>
      </c>
      <c r="K634" s="2007">
        <f t="shared" si="516"/>
        <v>155878.07999999999</v>
      </c>
      <c r="L634" s="2007">
        <f t="shared" si="517"/>
        <v>32625.360000000001</v>
      </c>
      <c r="M634" s="2016"/>
      <c r="N634" s="2016"/>
      <c r="O634" s="2016"/>
      <c r="P634" s="2016"/>
      <c r="Q634" s="2016"/>
      <c r="R634" s="2016"/>
      <c r="S634" s="2016"/>
      <c r="T634" s="2016">
        <f t="shared" si="615"/>
        <v>9425.1720000000005</v>
      </c>
      <c r="U634" s="2016"/>
      <c r="V634" s="2016">
        <f t="shared" si="616"/>
        <v>18850.344000000001</v>
      </c>
      <c r="W634" s="2016">
        <f t="shared" si="617"/>
        <v>28275.516</v>
      </c>
      <c r="X634" s="2016">
        <f t="shared" si="618"/>
        <v>37700.688000000002</v>
      </c>
      <c r="Y634" s="2016">
        <f t="shared" si="619"/>
        <v>56551.031999999999</v>
      </c>
      <c r="Z634" s="2016">
        <f t="shared" si="620"/>
        <v>37700.688000000002</v>
      </c>
    </row>
    <row r="635" spans="1:26" s="2009" customFormat="1" ht="90" x14ac:dyDescent="0.2">
      <c r="A635" s="1635" t="s">
        <v>15142</v>
      </c>
      <c r="B635" s="1984" t="s">
        <v>5714</v>
      </c>
      <c r="C635" s="1984">
        <v>13</v>
      </c>
      <c r="D635" s="1813" t="s">
        <v>15144</v>
      </c>
      <c r="E635" s="1638">
        <v>24</v>
      </c>
      <c r="F635" s="1639" t="s">
        <v>5284</v>
      </c>
      <c r="G635" s="1648">
        <v>159.28000000000003</v>
      </c>
      <c r="H635" s="1636">
        <f t="shared" ref="H635" si="623">ROUND(G635*$B$13,2)</f>
        <v>42.89</v>
      </c>
      <c r="I635" s="1636">
        <f t="shared" ref="I635" si="624">H635+G635</f>
        <v>202.17000000000002</v>
      </c>
      <c r="J635" s="1723">
        <f t="shared" ref="J635" si="625">ROUND(I635*E635,2)</f>
        <v>4852.08</v>
      </c>
      <c r="K635" s="2007">
        <f t="shared" ref="K635" si="626">ROUND(G635*E635,2)</f>
        <v>3822.72</v>
      </c>
      <c r="L635" s="2007">
        <f t="shared" ref="L635" si="627">ROUND(H635*E635,2)</f>
        <v>1029.3599999999999</v>
      </c>
      <c r="M635" s="2016"/>
      <c r="N635" s="2016"/>
      <c r="O635" s="2016"/>
      <c r="P635" s="2016"/>
      <c r="Q635" s="2016"/>
      <c r="R635" s="2016"/>
      <c r="S635" s="2016"/>
      <c r="T635" s="2016">
        <f t="shared" ref="T635" si="628">0.05*J635</f>
        <v>242.60400000000001</v>
      </c>
      <c r="U635" s="2016"/>
      <c r="V635" s="2016">
        <f t="shared" ref="V635" si="629">0.1*J635</f>
        <v>485.20800000000003</v>
      </c>
      <c r="W635" s="2016">
        <f t="shared" ref="W635" si="630">0.15*J635</f>
        <v>727.81200000000001</v>
      </c>
      <c r="X635" s="2016">
        <f t="shared" ref="X635" si="631">0.2*J635</f>
        <v>970.41600000000005</v>
      </c>
      <c r="Y635" s="2016">
        <f t="shared" ref="Y635" si="632">0.3*J635</f>
        <v>1455.624</v>
      </c>
      <c r="Z635" s="2016">
        <f t="shared" ref="Z635" si="633">0.2*J635</f>
        <v>970.41600000000005</v>
      </c>
    </row>
    <row r="636" spans="1:26" s="2009" customFormat="1" ht="15" x14ac:dyDescent="0.2">
      <c r="A636" s="1634" t="s">
        <v>7197</v>
      </c>
      <c r="B636" s="2136" t="s">
        <v>6124</v>
      </c>
      <c r="C636" s="2136"/>
      <c r="D636" s="2136"/>
      <c r="E636" s="2136"/>
      <c r="F636" s="2136"/>
      <c r="G636" s="2136"/>
      <c r="H636" s="2136"/>
      <c r="I636" s="2136"/>
      <c r="J636" s="2136"/>
      <c r="K636" s="2007">
        <f t="shared" si="516"/>
        <v>0</v>
      </c>
      <c r="L636" s="2007">
        <f t="shared" si="517"/>
        <v>0</v>
      </c>
      <c r="M636" s="2016"/>
      <c r="N636" s="2016"/>
      <c r="O636" s="2016"/>
      <c r="P636" s="2016"/>
      <c r="Q636" s="2016"/>
      <c r="R636" s="2016"/>
      <c r="S636" s="2016"/>
      <c r="T636" s="2016"/>
      <c r="U636" s="2016"/>
      <c r="V636" s="2016"/>
      <c r="W636" s="2016"/>
      <c r="X636" s="2016"/>
      <c r="Y636" s="2016"/>
      <c r="Z636" s="2016"/>
    </row>
    <row r="637" spans="1:26" s="2009" customFormat="1" ht="30" x14ac:dyDescent="0.2">
      <c r="A637" s="1635" t="s">
        <v>9515</v>
      </c>
      <c r="B637" s="1984" t="s">
        <v>4448</v>
      </c>
      <c r="C637" s="1984" t="s">
        <v>9516</v>
      </c>
      <c r="D637" s="1813" t="s">
        <v>9517</v>
      </c>
      <c r="E637" s="1638">
        <v>81</v>
      </c>
      <c r="F637" s="1639" t="s">
        <v>5284</v>
      </c>
      <c r="G637" s="1648">
        <v>267.59999999999997</v>
      </c>
      <c r="H637" s="1636">
        <f t="shared" ref="H637" si="634">ROUND(G637*$B$13,2)</f>
        <v>72.06</v>
      </c>
      <c r="I637" s="1636">
        <f t="shared" ref="I637" si="635">H637+G637</f>
        <v>339.65999999999997</v>
      </c>
      <c r="J637" s="1723">
        <f t="shared" ref="J637" si="636">ROUND(I637*E637,2)</f>
        <v>27512.46</v>
      </c>
      <c r="K637" s="2007">
        <f t="shared" ref="K637" si="637">ROUND(G637*E637,2)</f>
        <v>21675.599999999999</v>
      </c>
      <c r="L637" s="2007">
        <f t="shared" ref="L637" si="638">ROUND(H637*E637,2)</f>
        <v>5836.86</v>
      </c>
      <c r="M637" s="2016"/>
      <c r="N637" s="2016"/>
      <c r="O637" s="2016"/>
      <c r="P637" s="2016"/>
      <c r="Q637" s="2016"/>
      <c r="R637" s="2016"/>
      <c r="S637" s="2016"/>
      <c r="T637" s="2016">
        <f t="shared" ref="T637" si="639">0.05*J637</f>
        <v>1375.623</v>
      </c>
      <c r="U637" s="2016"/>
      <c r="V637" s="2016">
        <f t="shared" ref="V637" si="640">0.1*J637</f>
        <v>2751.2460000000001</v>
      </c>
      <c r="W637" s="2016">
        <f t="shared" ref="W637" si="641">0.15*J637</f>
        <v>4126.8689999999997</v>
      </c>
      <c r="X637" s="2016">
        <f t="shared" ref="X637" si="642">0.2*J637</f>
        <v>5502.4920000000002</v>
      </c>
      <c r="Y637" s="2016">
        <f t="shared" ref="Y637" si="643">0.3*J637</f>
        <v>8253.7379999999994</v>
      </c>
      <c r="Z637" s="2016">
        <f t="shared" ref="Z637" si="644">0.2*J637</f>
        <v>5502.4920000000002</v>
      </c>
    </row>
    <row r="638" spans="1:26" s="2009" customFormat="1" ht="30" x14ac:dyDescent="0.2">
      <c r="A638" s="1635" t="s">
        <v>8974</v>
      </c>
      <c r="B638" s="1984" t="s">
        <v>5281</v>
      </c>
      <c r="C638" s="1984">
        <v>723</v>
      </c>
      <c r="D638" s="1813" t="s">
        <v>7199</v>
      </c>
      <c r="E638" s="1638">
        <v>382</v>
      </c>
      <c r="F638" s="1639" t="s">
        <v>5284</v>
      </c>
      <c r="G638" s="1648">
        <v>4.01</v>
      </c>
      <c r="H638" s="1636">
        <f t="shared" ref="H638:H643" si="645">ROUND(G638*$B$13,2)</f>
        <v>1.08</v>
      </c>
      <c r="I638" s="1636">
        <f t="shared" ref="I638:I643" si="646">H638+G638</f>
        <v>5.09</v>
      </c>
      <c r="J638" s="1723">
        <f t="shared" ref="J638:J643" si="647">ROUND(I638*E638,2)</f>
        <v>1944.38</v>
      </c>
      <c r="K638" s="2007">
        <f t="shared" si="516"/>
        <v>1531.82</v>
      </c>
      <c r="L638" s="2007">
        <f t="shared" si="517"/>
        <v>412.56</v>
      </c>
      <c r="M638" s="2016"/>
      <c r="N638" s="2016"/>
      <c r="O638" s="2016"/>
      <c r="P638" s="2016"/>
      <c r="Q638" s="2016"/>
      <c r="R638" s="2016"/>
      <c r="S638" s="2016"/>
      <c r="T638" s="2016">
        <f t="shared" ref="T638" si="648">0.05*J638</f>
        <v>97.219000000000008</v>
      </c>
      <c r="U638" s="2016"/>
      <c r="V638" s="2016">
        <f t="shared" ref="V638" si="649">0.1*J638</f>
        <v>194.43800000000002</v>
      </c>
      <c r="W638" s="2016">
        <f t="shared" ref="W638" si="650">0.15*J638</f>
        <v>291.65699999999998</v>
      </c>
      <c r="X638" s="2016">
        <f t="shared" ref="X638" si="651">0.2*J638</f>
        <v>388.87600000000003</v>
      </c>
      <c r="Y638" s="2016">
        <f t="shared" ref="Y638" si="652">0.3*J638</f>
        <v>583.31399999999996</v>
      </c>
      <c r="Z638" s="2016">
        <f t="shared" ref="Z638" si="653">0.2*J638</f>
        <v>388.87600000000003</v>
      </c>
    </row>
    <row r="639" spans="1:26" s="2009" customFormat="1" ht="30" x14ac:dyDescent="0.2">
      <c r="A639" s="1635" t="s">
        <v>8975</v>
      </c>
      <c r="B639" s="1984" t="s">
        <v>5281</v>
      </c>
      <c r="C639" s="1984">
        <v>724</v>
      </c>
      <c r="D639" s="1813" t="s">
        <v>8976</v>
      </c>
      <c r="E639" s="1638">
        <v>23</v>
      </c>
      <c r="F639" s="1639" t="s">
        <v>5284</v>
      </c>
      <c r="G639" s="1648">
        <v>5.9300000000000006</v>
      </c>
      <c r="H639" s="1636">
        <f t="shared" si="645"/>
        <v>1.6</v>
      </c>
      <c r="I639" s="1636">
        <f t="shared" si="646"/>
        <v>7.5300000000000011</v>
      </c>
      <c r="J639" s="1723">
        <f t="shared" si="647"/>
        <v>173.19</v>
      </c>
      <c r="K639" s="2007">
        <f t="shared" ref="K639" si="654">ROUND(G639*E639,2)</f>
        <v>136.38999999999999</v>
      </c>
      <c r="L639" s="2007">
        <f t="shared" ref="L639" si="655">ROUND(H639*E639,2)</f>
        <v>36.799999999999997</v>
      </c>
      <c r="M639" s="2016"/>
      <c r="N639" s="2016"/>
      <c r="O639" s="2016"/>
      <c r="P639" s="2016"/>
      <c r="Q639" s="2016"/>
      <c r="R639" s="2016"/>
      <c r="S639" s="2016"/>
      <c r="T639" s="2016">
        <f t="shared" ref="T639" si="656">0.05*J639</f>
        <v>8.6594999999999995</v>
      </c>
      <c r="U639" s="2016"/>
      <c r="V639" s="2016">
        <f t="shared" ref="V639" si="657">0.1*J639</f>
        <v>17.318999999999999</v>
      </c>
      <c r="W639" s="2016">
        <f t="shared" ref="W639" si="658">0.15*J639</f>
        <v>25.9785</v>
      </c>
      <c r="X639" s="2016">
        <f t="shared" ref="X639" si="659">0.2*J639</f>
        <v>34.637999999999998</v>
      </c>
      <c r="Y639" s="2016">
        <f t="shared" ref="Y639" si="660">0.3*J639</f>
        <v>51.957000000000001</v>
      </c>
      <c r="Z639" s="2016">
        <f t="shared" ref="Z639" si="661">0.2*J639</f>
        <v>34.637999999999998</v>
      </c>
    </row>
    <row r="640" spans="1:26" s="2009" customFormat="1" ht="30" x14ac:dyDescent="0.2">
      <c r="A640" s="1635" t="s">
        <v>8981</v>
      </c>
      <c r="B640" s="1984" t="s">
        <v>5281</v>
      </c>
      <c r="C640" s="1984">
        <v>725</v>
      </c>
      <c r="D640" s="1813" t="s">
        <v>8977</v>
      </c>
      <c r="E640" s="1638">
        <v>4</v>
      </c>
      <c r="F640" s="1639" t="s">
        <v>5284</v>
      </c>
      <c r="G640" s="1648">
        <v>6.33</v>
      </c>
      <c r="H640" s="1636">
        <f t="shared" si="645"/>
        <v>1.7</v>
      </c>
      <c r="I640" s="1636">
        <f t="shared" si="646"/>
        <v>8.0299999999999994</v>
      </c>
      <c r="J640" s="1723">
        <f t="shared" si="647"/>
        <v>32.119999999999997</v>
      </c>
      <c r="K640" s="2007">
        <f t="shared" ref="K640" si="662">ROUND(G640*E640,2)</f>
        <v>25.32</v>
      </c>
      <c r="L640" s="2007">
        <f t="shared" ref="L640" si="663">ROUND(H640*E640,2)</f>
        <v>6.8</v>
      </c>
      <c r="M640" s="2016"/>
      <c r="N640" s="2016"/>
      <c r="O640" s="2016"/>
      <c r="P640" s="2016"/>
      <c r="Q640" s="2016"/>
      <c r="R640" s="2016"/>
      <c r="S640" s="2016"/>
      <c r="T640" s="2016">
        <f t="shared" ref="T640" si="664">0.05*J640</f>
        <v>1.6059999999999999</v>
      </c>
      <c r="U640" s="2016"/>
      <c r="V640" s="2016">
        <f t="shared" ref="V640" si="665">0.1*J640</f>
        <v>3.2119999999999997</v>
      </c>
      <c r="W640" s="2016">
        <f t="shared" ref="W640" si="666">0.15*J640</f>
        <v>4.8179999999999996</v>
      </c>
      <c r="X640" s="2016">
        <f t="shared" ref="X640" si="667">0.2*J640</f>
        <v>6.4239999999999995</v>
      </c>
      <c r="Y640" s="2016">
        <f t="shared" ref="Y640" si="668">0.3*J640</f>
        <v>9.6359999999999992</v>
      </c>
      <c r="Z640" s="2016">
        <f t="shared" ref="Z640" si="669">0.2*J640</f>
        <v>6.4239999999999995</v>
      </c>
    </row>
    <row r="641" spans="1:26" s="2009" customFormat="1" ht="30" x14ac:dyDescent="0.2">
      <c r="A641" s="1635" t="s">
        <v>8982</v>
      </c>
      <c r="B641" s="1984" t="s">
        <v>5281</v>
      </c>
      <c r="C641" s="1984">
        <v>725</v>
      </c>
      <c r="D641" s="1813" t="s">
        <v>8978</v>
      </c>
      <c r="E641" s="1638">
        <v>18</v>
      </c>
      <c r="F641" s="1639" t="s">
        <v>5284</v>
      </c>
      <c r="G641" s="1648">
        <v>6.33</v>
      </c>
      <c r="H641" s="1636">
        <f t="shared" si="645"/>
        <v>1.7</v>
      </c>
      <c r="I641" s="1636">
        <f t="shared" si="646"/>
        <v>8.0299999999999994</v>
      </c>
      <c r="J641" s="1723">
        <f t="shared" si="647"/>
        <v>144.54</v>
      </c>
      <c r="K641" s="2007">
        <f t="shared" ref="K641" si="670">ROUND(G641*E641,2)</f>
        <v>113.94</v>
      </c>
      <c r="L641" s="2007">
        <f t="shared" ref="L641" si="671">ROUND(H641*E641,2)</f>
        <v>30.6</v>
      </c>
      <c r="M641" s="2016"/>
      <c r="N641" s="2016"/>
      <c r="O641" s="2016"/>
      <c r="P641" s="2016"/>
      <c r="Q641" s="2016"/>
      <c r="R641" s="2016"/>
      <c r="S641" s="2016"/>
      <c r="T641" s="2016">
        <f t="shared" ref="T641" si="672">0.05*J641</f>
        <v>7.2270000000000003</v>
      </c>
      <c r="U641" s="2016"/>
      <c r="V641" s="2016">
        <f t="shared" ref="V641" si="673">0.1*J641</f>
        <v>14.454000000000001</v>
      </c>
      <c r="W641" s="2016">
        <f t="shared" ref="W641" si="674">0.15*J641</f>
        <v>21.680999999999997</v>
      </c>
      <c r="X641" s="2016">
        <f t="shared" ref="X641" si="675">0.2*J641</f>
        <v>28.908000000000001</v>
      </c>
      <c r="Y641" s="2016">
        <f t="shared" ref="Y641" si="676">0.3*J641</f>
        <v>43.361999999999995</v>
      </c>
      <c r="Z641" s="2016">
        <f t="shared" ref="Z641" si="677">0.2*J641</f>
        <v>28.908000000000001</v>
      </c>
    </row>
    <row r="642" spans="1:26" s="2009" customFormat="1" ht="30" x14ac:dyDescent="0.2">
      <c r="A642" s="1635" t="s">
        <v>8983</v>
      </c>
      <c r="B642" s="1984" t="s">
        <v>5281</v>
      </c>
      <c r="C642" s="1984">
        <v>760</v>
      </c>
      <c r="D642" s="1813" t="s">
        <v>8979</v>
      </c>
      <c r="E642" s="1638">
        <v>7</v>
      </c>
      <c r="F642" s="1639" t="s">
        <v>5284</v>
      </c>
      <c r="G642" s="1648">
        <v>9.1999999999999993</v>
      </c>
      <c r="H642" s="1636">
        <f t="shared" si="645"/>
        <v>2.48</v>
      </c>
      <c r="I642" s="1636">
        <f t="shared" si="646"/>
        <v>11.68</v>
      </c>
      <c r="J642" s="1723">
        <f t="shared" si="647"/>
        <v>81.760000000000005</v>
      </c>
      <c r="K642" s="2007">
        <f t="shared" ref="K642" si="678">ROUND(G642*E642,2)</f>
        <v>64.400000000000006</v>
      </c>
      <c r="L642" s="2007">
        <f t="shared" ref="L642" si="679">ROUND(H642*E642,2)</f>
        <v>17.36</v>
      </c>
      <c r="M642" s="2016"/>
      <c r="N642" s="2016"/>
      <c r="O642" s="2016"/>
      <c r="P642" s="2016"/>
      <c r="Q642" s="2016"/>
      <c r="R642" s="2016"/>
      <c r="S642" s="2016"/>
      <c r="T642" s="2016">
        <f t="shared" ref="T642" si="680">0.05*J642</f>
        <v>4.0880000000000001</v>
      </c>
      <c r="U642" s="2016"/>
      <c r="V642" s="2016">
        <f t="shared" ref="V642" si="681">0.1*J642</f>
        <v>8.1760000000000002</v>
      </c>
      <c r="W642" s="2016">
        <f t="shared" ref="W642" si="682">0.15*J642</f>
        <v>12.264000000000001</v>
      </c>
      <c r="X642" s="2016">
        <f t="shared" ref="X642" si="683">0.2*J642</f>
        <v>16.352</v>
      </c>
      <c r="Y642" s="2016">
        <f t="shared" ref="Y642" si="684">0.3*J642</f>
        <v>24.528000000000002</v>
      </c>
      <c r="Z642" s="2016">
        <f t="shared" ref="Z642" si="685">0.2*J642</f>
        <v>16.352</v>
      </c>
    </row>
    <row r="643" spans="1:26" s="2009" customFormat="1" ht="30" x14ac:dyDescent="0.2">
      <c r="A643" s="1635" t="s">
        <v>8984</v>
      </c>
      <c r="B643" s="1984" t="s">
        <v>5281</v>
      </c>
      <c r="C643" s="1984">
        <v>12489</v>
      </c>
      <c r="D643" s="1813" t="s">
        <v>8980</v>
      </c>
      <c r="E643" s="1638">
        <v>1</v>
      </c>
      <c r="F643" s="1639" t="s">
        <v>5284</v>
      </c>
      <c r="G643" s="1648">
        <v>21.14</v>
      </c>
      <c r="H643" s="1636">
        <f t="shared" si="645"/>
        <v>5.69</v>
      </c>
      <c r="I643" s="1636">
        <f t="shared" si="646"/>
        <v>26.830000000000002</v>
      </c>
      <c r="J643" s="1723">
        <f t="shared" si="647"/>
        <v>26.83</v>
      </c>
      <c r="K643" s="2007">
        <f t="shared" ref="K643" si="686">ROUND(G643*E643,2)</f>
        <v>21.14</v>
      </c>
      <c r="L643" s="2007">
        <f t="shared" ref="L643" si="687">ROUND(H643*E643,2)</f>
        <v>5.69</v>
      </c>
      <c r="M643" s="2016"/>
      <c r="N643" s="2016"/>
      <c r="O643" s="2016"/>
      <c r="P643" s="2016"/>
      <c r="Q643" s="2016"/>
      <c r="R643" s="2016"/>
      <c r="S643" s="2016"/>
      <c r="T643" s="2016">
        <f t="shared" ref="T643" si="688">0.05*J643</f>
        <v>1.3414999999999999</v>
      </c>
      <c r="U643" s="2016"/>
      <c r="V643" s="2016">
        <f t="shared" ref="V643" si="689">0.1*J643</f>
        <v>2.6829999999999998</v>
      </c>
      <c r="W643" s="2016">
        <f t="shared" ref="W643" si="690">0.15*J643</f>
        <v>4.0244999999999997</v>
      </c>
      <c r="X643" s="2016">
        <f t="shared" ref="X643" si="691">0.2*J643</f>
        <v>5.3659999999999997</v>
      </c>
      <c r="Y643" s="2016">
        <f t="shared" ref="Y643" si="692">0.3*J643</f>
        <v>8.0489999999999995</v>
      </c>
      <c r="Z643" s="2016">
        <f t="shared" ref="Z643" si="693">0.2*J643</f>
        <v>5.3659999999999997</v>
      </c>
    </row>
    <row r="644" spans="1:26" s="2009" customFormat="1" ht="30" x14ac:dyDescent="0.2">
      <c r="A644" s="1635" t="s">
        <v>14982</v>
      </c>
      <c r="B644" s="1984" t="s">
        <v>5281</v>
      </c>
      <c r="C644" s="1984" t="s">
        <v>8564</v>
      </c>
      <c r="D644" s="1813" t="s">
        <v>8565</v>
      </c>
      <c r="E644" s="1638">
        <v>2</v>
      </c>
      <c r="F644" s="1639" t="s">
        <v>5284</v>
      </c>
      <c r="G644" s="1648">
        <v>119.63</v>
      </c>
      <c r="H644" s="1636">
        <f>ROUND(G644*$B$13,2)</f>
        <v>32.22</v>
      </c>
      <c r="I644" s="1636">
        <f>H644+G644</f>
        <v>151.85</v>
      </c>
      <c r="J644" s="1723">
        <f>ROUND(I644*E644,2)</f>
        <v>303.7</v>
      </c>
      <c r="K644" s="2007">
        <f>ROUND(G644*E644,2)</f>
        <v>239.26</v>
      </c>
      <c r="L644" s="2007">
        <f>ROUND(H644*E644,2)</f>
        <v>64.44</v>
      </c>
      <c r="M644" s="2016"/>
      <c r="N644" s="2016"/>
      <c r="O644" s="2016"/>
      <c r="P644" s="2016"/>
      <c r="Q644" s="2016"/>
      <c r="R644" s="2016"/>
      <c r="S644" s="2016"/>
      <c r="T644" s="2016">
        <f>0.05*J644</f>
        <v>15.185</v>
      </c>
      <c r="U644" s="2016"/>
      <c r="V644" s="2016">
        <f>0.1*J644</f>
        <v>30.37</v>
      </c>
      <c r="W644" s="2016">
        <f>0.15*J644</f>
        <v>45.555</v>
      </c>
      <c r="X644" s="2016">
        <f>0.2*J644</f>
        <v>60.74</v>
      </c>
      <c r="Y644" s="2016">
        <f>0.3*J644</f>
        <v>91.11</v>
      </c>
      <c r="Z644" s="2016">
        <f>0.2*J644</f>
        <v>60.74</v>
      </c>
    </row>
    <row r="645" spans="1:26" s="2009" customFormat="1" ht="15" x14ac:dyDescent="0.2">
      <c r="A645" s="1634" t="s">
        <v>6208</v>
      </c>
      <c r="B645" s="2136" t="s">
        <v>6209</v>
      </c>
      <c r="C645" s="2136"/>
      <c r="D645" s="2136"/>
      <c r="E645" s="2136"/>
      <c r="F645" s="2136"/>
      <c r="G645" s="2136"/>
      <c r="H645" s="2136"/>
      <c r="I645" s="2136"/>
      <c r="J645" s="2136"/>
      <c r="K645" s="2007">
        <f t="shared" ref="K645:K654" si="694">ROUND(G645*E645,2)</f>
        <v>0</v>
      </c>
      <c r="L645" s="2007">
        <f t="shared" ref="L645:L654" si="695">ROUND(H645*E645,2)</f>
        <v>0</v>
      </c>
      <c r="M645" s="2016"/>
      <c r="N645" s="2016"/>
      <c r="O645" s="2016"/>
      <c r="P645" s="2016"/>
      <c r="Q645" s="2016"/>
      <c r="R645" s="2016"/>
      <c r="S645" s="2016"/>
      <c r="T645" s="2016"/>
      <c r="U645" s="2016"/>
      <c r="V645" s="2016"/>
      <c r="W645" s="2016"/>
      <c r="X645" s="2016"/>
      <c r="Y645" s="2016"/>
      <c r="Z645" s="2016"/>
    </row>
    <row r="646" spans="1:26" s="2009" customFormat="1" ht="30" x14ac:dyDescent="0.2">
      <c r="A646" s="1635" t="s">
        <v>7258</v>
      </c>
      <c r="B646" s="1984" t="s">
        <v>4448</v>
      </c>
      <c r="C646" s="1984">
        <v>96989</v>
      </c>
      <c r="D646" s="1813" t="s">
        <v>6210</v>
      </c>
      <c r="E646" s="1638">
        <v>1</v>
      </c>
      <c r="F646" s="1639" t="s">
        <v>5284</v>
      </c>
      <c r="G646" s="1648">
        <v>118.31</v>
      </c>
      <c r="H646" s="1636">
        <f t="shared" ref="H646:H654" si="696">ROUND(G646*$B$13,2)</f>
        <v>31.86</v>
      </c>
      <c r="I646" s="1636">
        <f t="shared" si="621"/>
        <v>150.17000000000002</v>
      </c>
      <c r="J646" s="1723">
        <f t="shared" si="622"/>
        <v>150.16999999999999</v>
      </c>
      <c r="K646" s="2007">
        <f t="shared" si="694"/>
        <v>118.31</v>
      </c>
      <c r="L646" s="2007">
        <f t="shared" si="695"/>
        <v>31.86</v>
      </c>
      <c r="M646" s="2016"/>
      <c r="N646" s="2016"/>
      <c r="O646" s="2016"/>
      <c r="P646" s="2016"/>
      <c r="Q646" s="2016"/>
      <c r="R646" s="2016"/>
      <c r="S646" s="2016"/>
      <c r="T646" s="2016"/>
      <c r="U646" s="2016">
        <f>0.5*J646</f>
        <v>75.084999999999994</v>
      </c>
      <c r="V646" s="2016">
        <f>0.5*J646</f>
        <v>75.084999999999994</v>
      </c>
      <c r="W646" s="2016"/>
      <c r="X646" s="2016"/>
      <c r="Y646" s="2016"/>
      <c r="Z646" s="2016"/>
    </row>
    <row r="647" spans="1:26" s="2009" customFormat="1" ht="30" x14ac:dyDescent="0.2">
      <c r="A647" s="1635" t="s">
        <v>7259</v>
      </c>
      <c r="B647" s="1984" t="s">
        <v>4448</v>
      </c>
      <c r="C647" s="1984">
        <v>96987</v>
      </c>
      <c r="D647" s="1813" t="s">
        <v>6211</v>
      </c>
      <c r="E647" s="1638">
        <v>1</v>
      </c>
      <c r="F647" s="1639" t="s">
        <v>5284</v>
      </c>
      <c r="G647" s="1648">
        <v>117.18</v>
      </c>
      <c r="H647" s="1636">
        <f t="shared" si="696"/>
        <v>31.56</v>
      </c>
      <c r="I647" s="1636">
        <f t="shared" si="621"/>
        <v>148.74</v>
      </c>
      <c r="J647" s="1723">
        <f t="shared" si="622"/>
        <v>148.74</v>
      </c>
      <c r="K647" s="2007">
        <f t="shared" si="694"/>
        <v>117.18</v>
      </c>
      <c r="L647" s="2007">
        <f t="shared" si="695"/>
        <v>31.56</v>
      </c>
      <c r="M647" s="2016"/>
      <c r="N647" s="2016"/>
      <c r="O647" s="2016"/>
      <c r="P647" s="2016"/>
      <c r="Q647" s="2016"/>
      <c r="R647" s="2016"/>
      <c r="S647" s="2016"/>
      <c r="T647" s="2016"/>
      <c r="U647" s="2016">
        <f t="shared" ref="U647:U654" si="697">0.5*J647</f>
        <v>74.37</v>
      </c>
      <c r="V647" s="2016">
        <f t="shared" ref="V647:V654" si="698">0.5*J647</f>
        <v>74.37</v>
      </c>
      <c r="W647" s="2016"/>
      <c r="X647" s="2016"/>
      <c r="Y647" s="2016"/>
      <c r="Z647" s="2016"/>
    </row>
    <row r="648" spans="1:26" s="2009" customFormat="1" ht="30" x14ac:dyDescent="0.2">
      <c r="A648" s="1635" t="s">
        <v>7260</v>
      </c>
      <c r="B648" s="1984" t="s">
        <v>4448</v>
      </c>
      <c r="C648" s="1984">
        <v>96988</v>
      </c>
      <c r="D648" s="1813" t="s">
        <v>6212</v>
      </c>
      <c r="E648" s="1638">
        <v>1</v>
      </c>
      <c r="F648" s="1639" t="s">
        <v>5284</v>
      </c>
      <c r="G648" s="1648">
        <v>179.97</v>
      </c>
      <c r="H648" s="1636">
        <f t="shared" si="696"/>
        <v>48.47</v>
      </c>
      <c r="I648" s="1636">
        <f t="shared" si="621"/>
        <v>228.44</v>
      </c>
      <c r="J648" s="1723">
        <f t="shared" si="622"/>
        <v>228.44</v>
      </c>
      <c r="K648" s="2007">
        <f t="shared" si="694"/>
        <v>179.97</v>
      </c>
      <c r="L648" s="2007">
        <f t="shared" si="695"/>
        <v>48.47</v>
      </c>
      <c r="M648" s="2016"/>
      <c r="N648" s="2016"/>
      <c r="O648" s="2016"/>
      <c r="P648" s="2016"/>
      <c r="Q648" s="2016"/>
      <c r="R648" s="2016"/>
      <c r="S648" s="2016"/>
      <c r="T648" s="2016"/>
      <c r="U648" s="2016">
        <f t="shared" si="697"/>
        <v>114.22</v>
      </c>
      <c r="V648" s="2016">
        <f t="shared" si="698"/>
        <v>114.22</v>
      </c>
      <c r="W648" s="2016"/>
      <c r="X648" s="2016"/>
      <c r="Y648" s="2016"/>
      <c r="Z648" s="2016"/>
    </row>
    <row r="649" spans="1:26" s="2009" customFormat="1" ht="30" x14ac:dyDescent="0.2">
      <c r="A649" s="1635" t="s">
        <v>7261</v>
      </c>
      <c r="B649" s="1984" t="s">
        <v>5281</v>
      </c>
      <c r="C649" s="1984">
        <v>11814</v>
      </c>
      <c r="D649" s="1813" t="s">
        <v>6213</v>
      </c>
      <c r="E649" s="1638">
        <v>175</v>
      </c>
      <c r="F649" s="1639" t="s">
        <v>5713</v>
      </c>
      <c r="G649" s="1648">
        <v>16.88</v>
      </c>
      <c r="H649" s="1636">
        <f t="shared" si="696"/>
        <v>4.55</v>
      </c>
      <c r="I649" s="1636">
        <f t="shared" si="621"/>
        <v>21.43</v>
      </c>
      <c r="J649" s="1723">
        <f t="shared" si="622"/>
        <v>3750.25</v>
      </c>
      <c r="K649" s="2007">
        <f t="shared" si="694"/>
        <v>2954</v>
      </c>
      <c r="L649" s="2007">
        <f t="shared" si="695"/>
        <v>796.25</v>
      </c>
      <c r="M649" s="2016"/>
      <c r="N649" s="2016"/>
      <c r="O649" s="2016"/>
      <c r="P649" s="2016"/>
      <c r="Q649" s="2016"/>
      <c r="R649" s="2016"/>
      <c r="S649" s="2016"/>
      <c r="T649" s="2016"/>
      <c r="U649" s="2016">
        <f t="shared" si="697"/>
        <v>1875.125</v>
      </c>
      <c r="V649" s="2016">
        <f t="shared" si="698"/>
        <v>1875.125</v>
      </c>
      <c r="W649" s="2016"/>
      <c r="X649" s="2016"/>
      <c r="Y649" s="2016"/>
      <c r="Z649" s="2016"/>
    </row>
    <row r="650" spans="1:26" s="2009" customFormat="1" ht="45" x14ac:dyDescent="0.2">
      <c r="A650" s="1635" t="s">
        <v>7262</v>
      </c>
      <c r="B650" s="1984" t="s">
        <v>4448</v>
      </c>
      <c r="C650" s="1984">
        <v>96973</v>
      </c>
      <c r="D650" s="1813" t="s">
        <v>6796</v>
      </c>
      <c r="E650" s="1638">
        <v>370.83</v>
      </c>
      <c r="F650" s="1639" t="s">
        <v>5713</v>
      </c>
      <c r="G650" s="1648">
        <v>38.51</v>
      </c>
      <c r="H650" s="1636">
        <f t="shared" si="696"/>
        <v>10.37</v>
      </c>
      <c r="I650" s="1636">
        <f t="shared" si="621"/>
        <v>48.879999999999995</v>
      </c>
      <c r="J650" s="1723">
        <f t="shared" si="622"/>
        <v>18126.169999999998</v>
      </c>
      <c r="K650" s="2007">
        <f t="shared" si="694"/>
        <v>14280.66</v>
      </c>
      <c r="L650" s="2007">
        <f t="shared" si="695"/>
        <v>3845.51</v>
      </c>
      <c r="M650" s="2016"/>
      <c r="N650" s="2016"/>
      <c r="O650" s="2016"/>
      <c r="P650" s="2016"/>
      <c r="Q650" s="2016"/>
      <c r="R650" s="2016"/>
      <c r="S650" s="2016"/>
      <c r="T650" s="2016"/>
      <c r="U650" s="2016">
        <f t="shared" si="697"/>
        <v>9063.0849999999991</v>
      </c>
      <c r="V650" s="2016">
        <f t="shared" si="698"/>
        <v>9063.0849999999991</v>
      </c>
      <c r="W650" s="2016"/>
      <c r="X650" s="2016"/>
      <c r="Y650" s="2016"/>
      <c r="Z650" s="2016"/>
    </row>
    <row r="651" spans="1:26" s="2009" customFormat="1" ht="45" x14ac:dyDescent="0.2">
      <c r="A651" s="1635" t="s">
        <v>7263</v>
      </c>
      <c r="B651" s="1984" t="s">
        <v>4448</v>
      </c>
      <c r="C651" s="1984">
        <v>96974</v>
      </c>
      <c r="D651" s="1813" t="s">
        <v>6797</v>
      </c>
      <c r="E651" s="1638">
        <v>257.36</v>
      </c>
      <c r="F651" s="1639" t="s">
        <v>5713</v>
      </c>
      <c r="G651" s="1648">
        <v>48.37</v>
      </c>
      <c r="H651" s="1636">
        <f t="shared" si="696"/>
        <v>13.03</v>
      </c>
      <c r="I651" s="1636">
        <f t="shared" si="621"/>
        <v>61.4</v>
      </c>
      <c r="J651" s="1723">
        <f t="shared" si="622"/>
        <v>15801.9</v>
      </c>
      <c r="K651" s="2007">
        <f t="shared" si="694"/>
        <v>12448.5</v>
      </c>
      <c r="L651" s="2007">
        <f t="shared" si="695"/>
        <v>3353.4</v>
      </c>
      <c r="M651" s="2016"/>
      <c r="N651" s="2016"/>
      <c r="O651" s="2016"/>
      <c r="P651" s="2016"/>
      <c r="Q651" s="2016"/>
      <c r="R651" s="2016"/>
      <c r="S651" s="2016"/>
      <c r="T651" s="2016"/>
      <c r="U651" s="2016">
        <f t="shared" si="697"/>
        <v>7900.95</v>
      </c>
      <c r="V651" s="2016">
        <f t="shared" si="698"/>
        <v>7900.95</v>
      </c>
      <c r="W651" s="2016"/>
      <c r="X651" s="2016"/>
      <c r="Y651" s="2016"/>
      <c r="Z651" s="2016"/>
    </row>
    <row r="652" spans="1:26" s="2009" customFormat="1" ht="30" x14ac:dyDescent="0.2">
      <c r="A652" s="1635" t="s">
        <v>7264</v>
      </c>
      <c r="B652" s="1984" t="s">
        <v>5737</v>
      </c>
      <c r="C652" s="1984">
        <v>78051</v>
      </c>
      <c r="D652" s="1813" t="s">
        <v>6214</v>
      </c>
      <c r="E652" s="1638">
        <v>120</v>
      </c>
      <c r="F652" s="1639" t="s">
        <v>5284</v>
      </c>
      <c r="G652" s="1648">
        <v>41.2</v>
      </c>
      <c r="H652" s="1636">
        <f t="shared" si="696"/>
        <v>11.1</v>
      </c>
      <c r="I652" s="1636">
        <f t="shared" si="621"/>
        <v>52.300000000000004</v>
      </c>
      <c r="J652" s="1723">
        <f t="shared" si="622"/>
        <v>6276</v>
      </c>
      <c r="K652" s="2007">
        <f t="shared" si="694"/>
        <v>4944</v>
      </c>
      <c r="L652" s="2007">
        <f t="shared" si="695"/>
        <v>1332</v>
      </c>
      <c r="M652" s="2016"/>
      <c r="N652" s="2016"/>
      <c r="O652" s="2016"/>
      <c r="P652" s="2016"/>
      <c r="Q652" s="2016"/>
      <c r="R652" s="2016"/>
      <c r="S652" s="2016"/>
      <c r="T652" s="2016"/>
      <c r="U652" s="2016">
        <f t="shared" si="697"/>
        <v>3138</v>
      </c>
      <c r="V652" s="2016">
        <f t="shared" si="698"/>
        <v>3138</v>
      </c>
      <c r="W652" s="2016"/>
      <c r="X652" s="2016"/>
      <c r="Y652" s="2016"/>
      <c r="Z652" s="2016"/>
    </row>
    <row r="653" spans="1:26" s="2009" customFormat="1" ht="30" x14ac:dyDescent="0.2">
      <c r="A653" s="1635" t="s">
        <v>6217</v>
      </c>
      <c r="B653" s="1984" t="s">
        <v>4448</v>
      </c>
      <c r="C653" s="1984">
        <v>96985</v>
      </c>
      <c r="D653" s="1813" t="s">
        <v>8566</v>
      </c>
      <c r="E653" s="1638">
        <v>20</v>
      </c>
      <c r="F653" s="1639" t="s">
        <v>5284</v>
      </c>
      <c r="G653" s="1648">
        <v>56.92</v>
      </c>
      <c r="H653" s="1636">
        <f t="shared" si="696"/>
        <v>15.33</v>
      </c>
      <c r="I653" s="1636">
        <f t="shared" si="621"/>
        <v>72.25</v>
      </c>
      <c r="J653" s="1723">
        <f t="shared" si="622"/>
        <v>1445</v>
      </c>
      <c r="K653" s="2007">
        <f t="shared" si="694"/>
        <v>1138.4000000000001</v>
      </c>
      <c r="L653" s="2007">
        <f t="shared" si="695"/>
        <v>306.60000000000002</v>
      </c>
      <c r="M653" s="2016"/>
      <c r="N653" s="2016"/>
      <c r="O653" s="2016"/>
      <c r="P653" s="2016"/>
      <c r="Q653" s="2016"/>
      <c r="R653" s="2016"/>
      <c r="S653" s="2016"/>
      <c r="T653" s="2016"/>
      <c r="U653" s="2016">
        <f t="shared" si="697"/>
        <v>722.5</v>
      </c>
      <c r="V653" s="2016">
        <f t="shared" si="698"/>
        <v>722.5</v>
      </c>
      <c r="W653" s="2016"/>
      <c r="X653" s="2016"/>
      <c r="Y653" s="2016"/>
      <c r="Z653" s="2016"/>
    </row>
    <row r="654" spans="1:26" s="2009" customFormat="1" ht="30" x14ac:dyDescent="0.2">
      <c r="A654" s="1635" t="s">
        <v>6218</v>
      </c>
      <c r="B654" s="1984" t="s">
        <v>5737</v>
      </c>
      <c r="C654" s="1984">
        <v>78850</v>
      </c>
      <c r="D654" s="1813" t="s">
        <v>6216</v>
      </c>
      <c r="E654" s="1638">
        <v>1</v>
      </c>
      <c r="F654" s="1639" t="s">
        <v>5284</v>
      </c>
      <c r="G654" s="1648">
        <v>810.41</v>
      </c>
      <c r="H654" s="1636">
        <f t="shared" si="696"/>
        <v>218.24</v>
      </c>
      <c r="I654" s="1636">
        <f t="shared" si="621"/>
        <v>1028.6500000000001</v>
      </c>
      <c r="J654" s="1723">
        <f t="shared" si="622"/>
        <v>1028.6500000000001</v>
      </c>
      <c r="K654" s="2007">
        <f t="shared" si="694"/>
        <v>810.41</v>
      </c>
      <c r="L654" s="2007">
        <f t="shared" si="695"/>
        <v>218.24</v>
      </c>
      <c r="M654" s="2016"/>
      <c r="N654" s="2016"/>
      <c r="O654" s="2016"/>
      <c r="P654" s="2016"/>
      <c r="Q654" s="2016"/>
      <c r="R654" s="2016"/>
      <c r="S654" s="2016"/>
      <c r="T654" s="2016"/>
      <c r="U654" s="2016">
        <f t="shared" si="697"/>
        <v>514.32500000000005</v>
      </c>
      <c r="V654" s="2016">
        <f t="shared" si="698"/>
        <v>514.32500000000005</v>
      </c>
      <c r="W654" s="2016"/>
      <c r="X654" s="2016"/>
      <c r="Y654" s="2016"/>
      <c r="Z654" s="2016"/>
    </row>
    <row r="655" spans="1:26" s="2006" customFormat="1" ht="15" x14ac:dyDescent="0.2">
      <c r="A655" s="2133" t="s">
        <v>6223</v>
      </c>
      <c r="B655" s="2133"/>
      <c r="C655" s="2133"/>
      <c r="D655" s="2133"/>
      <c r="E655" s="2133"/>
      <c r="F655" s="2133"/>
      <c r="G655" s="2133"/>
      <c r="H655" s="2133"/>
      <c r="I655" s="2133"/>
      <c r="J655" s="1724">
        <f>SUM(J434:J654)</f>
        <v>1441197.8999999992</v>
      </c>
      <c r="K655" s="2007"/>
      <c r="L655" s="2007"/>
      <c r="M655" s="1724">
        <f t="shared" ref="M655:Z655" si="699">SUM(M433:M654)</f>
        <v>0</v>
      </c>
      <c r="N655" s="1724">
        <f t="shared" si="699"/>
        <v>0</v>
      </c>
      <c r="O655" s="1724">
        <f t="shared" si="699"/>
        <v>0</v>
      </c>
      <c r="P655" s="1724">
        <f t="shared" si="699"/>
        <v>0</v>
      </c>
      <c r="Q655" s="1724">
        <f t="shared" si="699"/>
        <v>0</v>
      </c>
      <c r="R655" s="1724">
        <f t="shared" si="699"/>
        <v>0</v>
      </c>
      <c r="S655" s="1724">
        <f t="shared" si="699"/>
        <v>0</v>
      </c>
      <c r="T655" s="1724">
        <f t="shared" si="699"/>
        <v>69712.12900000003</v>
      </c>
      <c r="U655" s="1724">
        <f t="shared" si="699"/>
        <v>23477.66</v>
      </c>
      <c r="V655" s="1724">
        <f t="shared" si="699"/>
        <v>162901.91800000006</v>
      </c>
      <c r="W655" s="1724">
        <f t="shared" si="699"/>
        <v>209136.38699999987</v>
      </c>
      <c r="X655" s="1724">
        <f t="shared" si="699"/>
        <v>278848.51600000012</v>
      </c>
      <c r="Y655" s="1724">
        <f t="shared" si="699"/>
        <v>418272.77399999974</v>
      </c>
      <c r="Z655" s="1724">
        <f t="shared" si="699"/>
        <v>278848.51600000012</v>
      </c>
    </row>
    <row r="656" spans="1:26" s="2006" customFormat="1" ht="15" x14ac:dyDescent="0.2">
      <c r="A656" s="52"/>
      <c r="B656" s="52"/>
      <c r="C656" s="52"/>
      <c r="D656" s="52"/>
      <c r="E656" s="1506"/>
      <c r="F656" s="52"/>
      <c r="G656" s="1649"/>
      <c r="H656" s="51"/>
      <c r="I656" s="51"/>
      <c r="J656" s="1725"/>
      <c r="K656" s="51"/>
      <c r="L656" s="2015"/>
      <c r="M656" s="2005"/>
      <c r="N656" s="2005"/>
      <c r="O656" s="2005"/>
      <c r="P656" s="2005"/>
      <c r="Q656" s="2005"/>
      <c r="R656" s="2005"/>
      <c r="S656" s="2005"/>
      <c r="T656" s="2005"/>
      <c r="U656" s="2005"/>
      <c r="V656" s="2005"/>
      <c r="W656" s="2005"/>
      <c r="X656" s="2005"/>
      <c r="Y656" s="2005"/>
      <c r="Z656" s="2005"/>
    </row>
    <row r="657" spans="1:26" s="2006" customFormat="1" ht="15" x14ac:dyDescent="0.2">
      <c r="A657" s="1513" t="s">
        <v>5004</v>
      </c>
      <c r="B657" s="2130" t="s">
        <v>5006</v>
      </c>
      <c r="C657" s="2130"/>
      <c r="D657" s="2130"/>
      <c r="E657" s="2130"/>
      <c r="F657" s="2130"/>
      <c r="G657" s="2130"/>
      <c r="H657" s="2130"/>
      <c r="I657" s="2130"/>
      <c r="J657" s="2130"/>
      <c r="K657" s="1980"/>
      <c r="L657" s="2015"/>
      <c r="M657" s="2005"/>
      <c r="N657" s="2005"/>
      <c r="O657" s="2005"/>
      <c r="P657" s="2005"/>
      <c r="Q657" s="2005"/>
      <c r="R657" s="2005"/>
      <c r="S657" s="2005"/>
      <c r="T657" s="2005"/>
      <c r="U657" s="2005"/>
      <c r="V657" s="2005"/>
      <c r="W657" s="2005"/>
      <c r="X657" s="2005"/>
      <c r="Y657" s="2005"/>
      <c r="Z657" s="2005"/>
    </row>
    <row r="658" spans="1:26" s="2006" customFormat="1" ht="15" x14ac:dyDescent="0.2">
      <c r="A658" s="1634" t="s">
        <v>6225</v>
      </c>
      <c r="B658" s="2136" t="s">
        <v>6226</v>
      </c>
      <c r="C658" s="2136"/>
      <c r="D658" s="2136"/>
      <c r="E658" s="2136"/>
      <c r="F658" s="2136"/>
      <c r="G658" s="2136"/>
      <c r="H658" s="2136"/>
      <c r="I658" s="2136"/>
      <c r="J658" s="2136"/>
      <c r="K658" s="1983"/>
      <c r="L658" s="2015"/>
      <c r="M658" s="2005"/>
      <c r="N658" s="2005"/>
      <c r="O658" s="2005"/>
      <c r="P658" s="2005"/>
      <c r="Q658" s="2005"/>
      <c r="R658" s="2005"/>
      <c r="S658" s="2005"/>
      <c r="T658" s="2005"/>
      <c r="U658" s="2005"/>
      <c r="V658" s="2005"/>
      <c r="W658" s="2005"/>
      <c r="X658" s="2005"/>
      <c r="Y658" s="2005"/>
      <c r="Z658" s="2005"/>
    </row>
    <row r="659" spans="1:26" s="2009" customFormat="1" ht="45" x14ac:dyDescent="0.2">
      <c r="A659" s="1635" t="s">
        <v>6232</v>
      </c>
      <c r="B659" s="1984" t="s">
        <v>5281</v>
      </c>
      <c r="C659" s="1984">
        <v>8058</v>
      </c>
      <c r="D659" s="1813" t="s">
        <v>6227</v>
      </c>
      <c r="E659" s="1638">
        <v>2</v>
      </c>
      <c r="F659" s="1639" t="s">
        <v>5284</v>
      </c>
      <c r="G659" s="1648">
        <v>325.41000000000003</v>
      </c>
      <c r="H659" s="1636">
        <f>ROUND(G659*$B$13,2)</f>
        <v>87.63</v>
      </c>
      <c r="I659" s="1636">
        <f>H659+G659</f>
        <v>413.04</v>
      </c>
      <c r="J659" s="1723">
        <f>ROUND(I659*E659,2)</f>
        <v>826.08</v>
      </c>
      <c r="K659" s="2007">
        <f t="shared" ref="K659" si="700">ROUND(G659*E659,2)</f>
        <v>650.82000000000005</v>
      </c>
      <c r="L659" s="2007">
        <f t="shared" ref="L659" si="701">ROUND(H659*E659,2)</f>
        <v>175.26</v>
      </c>
      <c r="M659" s="2016"/>
      <c r="N659" s="2016"/>
      <c r="O659" s="2016"/>
      <c r="P659" s="2016"/>
      <c r="Q659" s="2016"/>
      <c r="R659" s="2016"/>
      <c r="S659" s="2016"/>
      <c r="T659" s="2016"/>
      <c r="U659" s="2016"/>
      <c r="V659" s="2016"/>
      <c r="W659" s="2016">
        <f>0.5*J659</f>
        <v>413.04</v>
      </c>
      <c r="X659" s="2016">
        <f>0.5*J659</f>
        <v>413.04</v>
      </c>
      <c r="Y659" s="2016"/>
      <c r="Z659" s="2016"/>
    </row>
    <row r="660" spans="1:26" s="2009" customFormat="1" ht="30" x14ac:dyDescent="0.2">
      <c r="A660" s="1635" t="s">
        <v>6233</v>
      </c>
      <c r="B660" s="1984" t="s">
        <v>5281</v>
      </c>
      <c r="C660" s="1984">
        <v>7861</v>
      </c>
      <c r="D660" s="1813" t="s">
        <v>6228</v>
      </c>
      <c r="E660" s="1638">
        <f>2+2</f>
        <v>4</v>
      </c>
      <c r="F660" s="1639" t="s">
        <v>5284</v>
      </c>
      <c r="G660" s="1648">
        <v>109.79</v>
      </c>
      <c r="H660" s="1636">
        <f>ROUND(G660*$B$13,2)</f>
        <v>29.57</v>
      </c>
      <c r="I660" s="1636">
        <f>H660+G660</f>
        <v>139.36000000000001</v>
      </c>
      <c r="J660" s="1723">
        <f>ROUND(I660*E660,2)</f>
        <v>557.44000000000005</v>
      </c>
      <c r="K660" s="2007">
        <f t="shared" ref="K660:K668" si="702">ROUND(G660*E660,2)</f>
        <v>439.16</v>
      </c>
      <c r="L660" s="2007">
        <f t="shared" ref="L660:L668" si="703">ROUND(H660*E660,2)</f>
        <v>118.28</v>
      </c>
      <c r="M660" s="2016"/>
      <c r="N660" s="2016"/>
      <c r="O660" s="2016"/>
      <c r="P660" s="2016"/>
      <c r="Q660" s="2016"/>
      <c r="R660" s="2016"/>
      <c r="S660" s="2016"/>
      <c r="T660" s="2016"/>
      <c r="U660" s="2016"/>
      <c r="V660" s="2016"/>
      <c r="W660" s="2016">
        <f t="shared" ref="W660:W663" si="704">0.5*J660</f>
        <v>278.72000000000003</v>
      </c>
      <c r="X660" s="2016">
        <f t="shared" ref="X660:X663" si="705">0.5*J660</f>
        <v>278.72000000000003</v>
      </c>
      <c r="Y660" s="2016"/>
      <c r="Z660" s="2016"/>
    </row>
    <row r="661" spans="1:26" s="2009" customFormat="1" ht="30" x14ac:dyDescent="0.2">
      <c r="A661" s="1635" t="s">
        <v>6234</v>
      </c>
      <c r="B661" s="1984" t="s">
        <v>5281</v>
      </c>
      <c r="C661" s="1984">
        <v>11824</v>
      </c>
      <c r="D661" s="1813" t="s">
        <v>6229</v>
      </c>
      <c r="E661" s="1638">
        <f>3+3</f>
        <v>6</v>
      </c>
      <c r="F661" s="1639" t="s">
        <v>5284</v>
      </c>
      <c r="G661" s="1648">
        <v>164.25</v>
      </c>
      <c r="H661" s="1636">
        <f>ROUND(G661*$B$13,2)</f>
        <v>44.23</v>
      </c>
      <c r="I661" s="1636">
        <f>H661+G661</f>
        <v>208.48</v>
      </c>
      <c r="J661" s="1723">
        <f>ROUND(I661*E661,2)</f>
        <v>1250.8800000000001</v>
      </c>
      <c r="K661" s="2007">
        <f t="shared" si="702"/>
        <v>985.5</v>
      </c>
      <c r="L661" s="2007">
        <f t="shared" si="703"/>
        <v>265.38</v>
      </c>
      <c r="M661" s="2016"/>
      <c r="N661" s="2016"/>
      <c r="O661" s="2016"/>
      <c r="P661" s="2016"/>
      <c r="Q661" s="2016"/>
      <c r="R661" s="2016"/>
      <c r="S661" s="2016"/>
      <c r="T661" s="2016"/>
      <c r="U661" s="2016"/>
      <c r="V661" s="2016"/>
      <c r="W661" s="2016">
        <f t="shared" si="704"/>
        <v>625.44000000000005</v>
      </c>
      <c r="X661" s="2016">
        <f t="shared" si="705"/>
        <v>625.44000000000005</v>
      </c>
      <c r="Y661" s="2016"/>
      <c r="Z661" s="2016"/>
    </row>
    <row r="662" spans="1:26" s="2009" customFormat="1" ht="15" x14ac:dyDescent="0.2">
      <c r="A662" s="1635" t="s">
        <v>7603</v>
      </c>
      <c r="B662" s="1984" t="s">
        <v>5281</v>
      </c>
      <c r="C662" s="1984">
        <v>12018</v>
      </c>
      <c r="D662" s="1813" t="s">
        <v>6230</v>
      </c>
      <c r="E662" s="1638">
        <f>5+4</f>
        <v>9</v>
      </c>
      <c r="F662" s="1639" t="s">
        <v>5284</v>
      </c>
      <c r="G662" s="1648">
        <v>188.72</v>
      </c>
      <c r="H662" s="1636">
        <f>ROUND(G662*$B$13,2)</f>
        <v>50.82</v>
      </c>
      <c r="I662" s="1636">
        <f>H662+G662</f>
        <v>239.54</v>
      </c>
      <c r="J662" s="1723">
        <f>ROUND(I662*E662,2)</f>
        <v>2155.86</v>
      </c>
      <c r="K662" s="2007">
        <f t="shared" si="702"/>
        <v>1698.48</v>
      </c>
      <c r="L662" s="2007">
        <f t="shared" si="703"/>
        <v>457.38</v>
      </c>
      <c r="M662" s="2016"/>
      <c r="N662" s="2016"/>
      <c r="O662" s="2016"/>
      <c r="P662" s="2016"/>
      <c r="Q662" s="2016"/>
      <c r="R662" s="2016"/>
      <c r="S662" s="2016"/>
      <c r="T662" s="2016"/>
      <c r="U662" s="2016"/>
      <c r="V662" s="2016"/>
      <c r="W662" s="2016">
        <f t="shared" si="704"/>
        <v>1077.93</v>
      </c>
      <c r="X662" s="2016">
        <f t="shared" si="705"/>
        <v>1077.93</v>
      </c>
      <c r="Y662" s="2016"/>
      <c r="Z662" s="2016"/>
    </row>
    <row r="663" spans="1:26" s="2009" customFormat="1" ht="30" x14ac:dyDescent="0.2">
      <c r="A663" s="1635" t="s">
        <v>7604</v>
      </c>
      <c r="B663" s="1984" t="s">
        <v>5281</v>
      </c>
      <c r="C663" s="1984">
        <v>12017</v>
      </c>
      <c r="D663" s="1813" t="s">
        <v>6231</v>
      </c>
      <c r="E663" s="1638">
        <f>26+27</f>
        <v>53</v>
      </c>
      <c r="F663" s="1639" t="s">
        <v>5284</v>
      </c>
      <c r="G663" s="1648">
        <v>188.72</v>
      </c>
      <c r="H663" s="1636">
        <f>ROUND(G663*$B$13,2)</f>
        <v>50.82</v>
      </c>
      <c r="I663" s="1636">
        <f>H663+G663</f>
        <v>239.54</v>
      </c>
      <c r="J663" s="1723">
        <f>ROUND(I663*E663,2)</f>
        <v>12695.62</v>
      </c>
      <c r="K663" s="2007">
        <f t="shared" si="702"/>
        <v>10002.16</v>
      </c>
      <c r="L663" s="2007">
        <f t="shared" si="703"/>
        <v>2693.46</v>
      </c>
      <c r="M663" s="2016"/>
      <c r="N663" s="2016"/>
      <c r="O663" s="2016"/>
      <c r="P663" s="2016"/>
      <c r="Q663" s="2016"/>
      <c r="R663" s="2016"/>
      <c r="S663" s="2016"/>
      <c r="T663" s="2016"/>
      <c r="U663" s="2016"/>
      <c r="V663" s="2016"/>
      <c r="W663" s="2016">
        <f t="shared" si="704"/>
        <v>6347.81</v>
      </c>
      <c r="X663" s="2016">
        <f t="shared" si="705"/>
        <v>6347.81</v>
      </c>
      <c r="Y663" s="2016"/>
      <c r="Z663" s="2016"/>
    </row>
    <row r="664" spans="1:26" s="2009" customFormat="1" ht="15" x14ac:dyDescent="0.2">
      <c r="A664" s="1634" t="s">
        <v>6240</v>
      </c>
      <c r="B664" s="2136" t="s">
        <v>6241</v>
      </c>
      <c r="C664" s="2136"/>
      <c r="D664" s="2136"/>
      <c r="E664" s="2136"/>
      <c r="F664" s="2136"/>
      <c r="G664" s="2136"/>
      <c r="H664" s="2136"/>
      <c r="I664" s="2136"/>
      <c r="J664" s="2136"/>
      <c r="K664" s="2007"/>
      <c r="L664" s="2007"/>
      <c r="M664" s="2016"/>
      <c r="N664" s="2016"/>
      <c r="O664" s="2016"/>
      <c r="P664" s="2016"/>
      <c r="Q664" s="2016"/>
      <c r="R664" s="2016"/>
      <c r="S664" s="2016"/>
      <c r="T664" s="2016"/>
      <c r="U664" s="2016"/>
      <c r="V664" s="2016"/>
      <c r="W664" s="2016"/>
      <c r="X664" s="2016"/>
      <c r="Y664" s="2016"/>
      <c r="Z664" s="2016"/>
    </row>
    <row r="665" spans="1:26" s="2009" customFormat="1" ht="15" x14ac:dyDescent="0.2">
      <c r="A665" s="1635" t="s">
        <v>6242</v>
      </c>
      <c r="B665" s="1984" t="s">
        <v>4448</v>
      </c>
      <c r="C665" s="1984">
        <v>95745</v>
      </c>
      <c r="D665" s="1813" t="s">
        <v>7377</v>
      </c>
      <c r="E665" s="1638">
        <f>70+72</f>
        <v>142</v>
      </c>
      <c r="F665" s="1639" t="s">
        <v>5713</v>
      </c>
      <c r="G665" s="1648">
        <v>16.75</v>
      </c>
      <c r="H665" s="1636">
        <f>ROUND(G665*$B$13,2)</f>
        <v>4.51</v>
      </c>
      <c r="I665" s="1636">
        <f>H665+G665</f>
        <v>21.259999999999998</v>
      </c>
      <c r="J665" s="1723">
        <f>ROUND(I665*E665,2)</f>
        <v>3018.92</v>
      </c>
      <c r="K665" s="2007">
        <f t="shared" si="702"/>
        <v>2378.5</v>
      </c>
      <c r="L665" s="2007">
        <f t="shared" si="703"/>
        <v>640.41999999999996</v>
      </c>
      <c r="M665" s="2016"/>
      <c r="N665" s="2016"/>
      <c r="O665" s="2016"/>
      <c r="P665" s="2016"/>
      <c r="Q665" s="2016"/>
      <c r="R665" s="2016"/>
      <c r="S665" s="2016"/>
      <c r="T665" s="2016"/>
      <c r="U665" s="2016"/>
      <c r="V665" s="2016"/>
      <c r="W665" s="2016">
        <f t="shared" ref="W665:W666" si="706">0.5*J665</f>
        <v>1509.46</v>
      </c>
      <c r="X665" s="2016">
        <f t="shared" ref="X665:X666" si="707">0.5*J665</f>
        <v>1509.46</v>
      </c>
      <c r="Y665" s="2016"/>
      <c r="Z665" s="2016"/>
    </row>
    <row r="666" spans="1:26" s="2009" customFormat="1" ht="30" x14ac:dyDescent="0.2">
      <c r="A666" s="1635" t="s">
        <v>7379</v>
      </c>
      <c r="B666" s="1984" t="s">
        <v>4448</v>
      </c>
      <c r="C666" s="1984">
        <v>95801</v>
      </c>
      <c r="D666" s="1813" t="s">
        <v>7378</v>
      </c>
      <c r="E666" s="1638">
        <f>31+7+7+17+7+7</f>
        <v>76</v>
      </c>
      <c r="F666" s="1639" t="s">
        <v>5284</v>
      </c>
      <c r="G666" s="1648">
        <v>28.19</v>
      </c>
      <c r="H666" s="1636">
        <f>ROUND(G666*$B$13,2)</f>
        <v>7.59</v>
      </c>
      <c r="I666" s="1636">
        <f>H666+G666</f>
        <v>35.78</v>
      </c>
      <c r="J666" s="1723">
        <f>ROUND(I666*E666,2)</f>
        <v>2719.28</v>
      </c>
      <c r="K666" s="2007">
        <f t="shared" si="702"/>
        <v>2142.44</v>
      </c>
      <c r="L666" s="2007">
        <f t="shared" si="703"/>
        <v>576.84</v>
      </c>
      <c r="M666" s="2016"/>
      <c r="N666" s="2016"/>
      <c r="O666" s="2016"/>
      <c r="P666" s="2016"/>
      <c r="Q666" s="2016"/>
      <c r="R666" s="2016"/>
      <c r="S666" s="2016"/>
      <c r="T666" s="2016"/>
      <c r="U666" s="2016"/>
      <c r="V666" s="2016"/>
      <c r="W666" s="2016">
        <f t="shared" si="706"/>
        <v>1359.64</v>
      </c>
      <c r="X666" s="2016">
        <f t="shared" si="707"/>
        <v>1359.64</v>
      </c>
      <c r="Y666" s="2016"/>
      <c r="Z666" s="2016"/>
    </row>
    <row r="667" spans="1:26" s="2009" customFormat="1" ht="15" x14ac:dyDescent="0.2">
      <c r="A667" s="1634" t="s">
        <v>6244</v>
      </c>
      <c r="B667" s="2136" t="s">
        <v>6245</v>
      </c>
      <c r="C667" s="2136"/>
      <c r="D667" s="2136"/>
      <c r="E667" s="2136"/>
      <c r="F667" s="2136"/>
      <c r="G667" s="2136"/>
      <c r="H667" s="2136"/>
      <c r="I667" s="2136"/>
      <c r="J667" s="2136"/>
      <c r="K667" s="2007"/>
      <c r="L667" s="2007"/>
      <c r="M667" s="2016"/>
      <c r="N667" s="2016"/>
      <c r="O667" s="2016"/>
      <c r="P667" s="2016"/>
      <c r="Q667" s="2016"/>
      <c r="R667" s="2016"/>
      <c r="S667" s="2016"/>
      <c r="T667" s="2016"/>
      <c r="U667" s="2016"/>
      <c r="V667" s="2016"/>
      <c r="W667" s="2016"/>
      <c r="X667" s="2016"/>
      <c r="Y667" s="2016"/>
      <c r="Z667" s="2016"/>
    </row>
    <row r="668" spans="1:26" s="2009" customFormat="1" ht="30" x14ac:dyDescent="0.2">
      <c r="A668" s="1635" t="s">
        <v>6246</v>
      </c>
      <c r="B668" s="1984" t="s">
        <v>5281</v>
      </c>
      <c r="C668" s="1984">
        <v>8749</v>
      </c>
      <c r="D668" s="1813" t="s">
        <v>6243</v>
      </c>
      <c r="E668" s="1638">
        <f>210+219</f>
        <v>429</v>
      </c>
      <c r="F668" s="1639" t="s">
        <v>5713</v>
      </c>
      <c r="G668" s="1648">
        <v>8.64</v>
      </c>
      <c r="H668" s="1636">
        <f>ROUND(G668*$B$13,2)</f>
        <v>2.33</v>
      </c>
      <c r="I668" s="1636">
        <f>H668+G668</f>
        <v>10.97</v>
      </c>
      <c r="J668" s="1723">
        <f>ROUND(I668*E668,2)</f>
        <v>4706.13</v>
      </c>
      <c r="K668" s="2007">
        <f t="shared" si="702"/>
        <v>3706.56</v>
      </c>
      <c r="L668" s="2007">
        <f t="shared" si="703"/>
        <v>999.57</v>
      </c>
      <c r="M668" s="2016"/>
      <c r="N668" s="2016"/>
      <c r="O668" s="2016"/>
      <c r="P668" s="2016"/>
      <c r="Q668" s="2016"/>
      <c r="R668" s="2016"/>
      <c r="S668" s="2016"/>
      <c r="T668" s="2016"/>
      <c r="U668" s="2016"/>
      <c r="V668" s="2016"/>
      <c r="W668" s="2016">
        <f t="shared" ref="W668" si="708">0.5*J668</f>
        <v>2353.0650000000001</v>
      </c>
      <c r="X668" s="2016">
        <f t="shared" ref="X668" si="709">0.5*J668</f>
        <v>2353.0650000000001</v>
      </c>
      <c r="Y668" s="2016"/>
      <c r="Z668" s="2016"/>
    </row>
    <row r="669" spans="1:26" s="2006" customFormat="1" ht="15" x14ac:dyDescent="0.2">
      <c r="A669" s="2133" t="s">
        <v>6224</v>
      </c>
      <c r="B669" s="2133"/>
      <c r="C669" s="2133"/>
      <c r="D669" s="2133"/>
      <c r="E669" s="2133"/>
      <c r="F669" s="2133"/>
      <c r="G669" s="2133"/>
      <c r="H669" s="2133"/>
      <c r="I669" s="2133"/>
      <c r="J669" s="1724">
        <f>SUM(J658:J668)</f>
        <v>27930.210000000003</v>
      </c>
      <c r="K669" s="2010"/>
      <c r="L669" s="2015"/>
      <c r="M669" s="1724">
        <f>SUM(M658:M668)</f>
        <v>0</v>
      </c>
      <c r="N669" s="1724">
        <f t="shared" ref="N669:Z669" si="710">SUM(N658:N668)</f>
        <v>0</v>
      </c>
      <c r="O669" s="1724">
        <f t="shared" si="710"/>
        <v>0</v>
      </c>
      <c r="P669" s="1724">
        <f t="shared" si="710"/>
        <v>0</v>
      </c>
      <c r="Q669" s="1724">
        <f t="shared" si="710"/>
        <v>0</v>
      </c>
      <c r="R669" s="1724">
        <f t="shared" si="710"/>
        <v>0</v>
      </c>
      <c r="S669" s="1724">
        <f t="shared" si="710"/>
        <v>0</v>
      </c>
      <c r="T669" s="1724">
        <f t="shared" si="710"/>
        <v>0</v>
      </c>
      <c r="U669" s="1724">
        <f t="shared" si="710"/>
        <v>0</v>
      </c>
      <c r="V669" s="1724">
        <f t="shared" si="710"/>
        <v>0</v>
      </c>
      <c r="W669" s="1724">
        <f t="shared" si="710"/>
        <v>13965.105000000001</v>
      </c>
      <c r="X669" s="1724">
        <f t="shared" si="710"/>
        <v>13965.105000000001</v>
      </c>
      <c r="Y669" s="1724">
        <f t="shared" si="710"/>
        <v>0</v>
      </c>
      <c r="Z669" s="1724">
        <f t="shared" si="710"/>
        <v>0</v>
      </c>
    </row>
    <row r="670" spans="1:26" s="2006" customFormat="1" ht="15" x14ac:dyDescent="0.2">
      <c r="A670" s="52"/>
      <c r="B670" s="52"/>
      <c r="C670" s="52"/>
      <c r="D670" s="52"/>
      <c r="E670" s="1506"/>
      <c r="F670" s="52"/>
      <c r="G670" s="1649"/>
      <c r="H670" s="51"/>
      <c r="I670" s="51"/>
      <c r="J670" s="1725"/>
      <c r="K670" s="51"/>
      <c r="L670" s="2015"/>
      <c r="M670" s="2005"/>
      <c r="N670" s="2005"/>
      <c r="O670" s="2005"/>
      <c r="P670" s="2005"/>
      <c r="Q670" s="2005"/>
      <c r="R670" s="2005"/>
      <c r="S670" s="2005"/>
      <c r="T670" s="2005"/>
      <c r="U670" s="2005"/>
      <c r="V670" s="2005"/>
      <c r="W670" s="2005"/>
      <c r="X670" s="2005"/>
      <c r="Y670" s="2005"/>
      <c r="Z670" s="2005"/>
    </row>
    <row r="671" spans="1:26" s="2006" customFormat="1" ht="15" x14ac:dyDescent="0.2">
      <c r="A671" s="1513" t="s">
        <v>5007</v>
      </c>
      <c r="B671" s="2130" t="s">
        <v>5008</v>
      </c>
      <c r="C671" s="2130"/>
      <c r="D671" s="2130"/>
      <c r="E671" s="2130"/>
      <c r="F671" s="2130"/>
      <c r="G671" s="2130"/>
      <c r="H671" s="2130"/>
      <c r="I671" s="2130"/>
      <c r="J671" s="2130"/>
      <c r="K671" s="1980"/>
      <c r="L671" s="2015"/>
      <c r="M671" s="2005"/>
      <c r="N671" s="2005"/>
      <c r="O671" s="2005"/>
      <c r="P671" s="2005"/>
      <c r="Q671" s="2005"/>
      <c r="R671" s="2005"/>
      <c r="S671" s="2005"/>
      <c r="T671" s="2005"/>
      <c r="U671" s="2005"/>
      <c r="V671" s="2005"/>
      <c r="W671" s="2005"/>
      <c r="X671" s="2005"/>
      <c r="Y671" s="2005"/>
      <c r="Z671" s="2005"/>
    </row>
    <row r="672" spans="1:26" s="2006" customFormat="1" ht="15" x14ac:dyDescent="0.2">
      <c r="A672" s="1634" t="s">
        <v>5009</v>
      </c>
      <c r="B672" s="2136" t="s">
        <v>6248</v>
      </c>
      <c r="C672" s="2136"/>
      <c r="D672" s="2136"/>
      <c r="E672" s="2136"/>
      <c r="F672" s="2136"/>
      <c r="G672" s="2136"/>
      <c r="H672" s="2136"/>
      <c r="I672" s="2136"/>
      <c r="J672" s="2136"/>
      <c r="K672" s="1983"/>
      <c r="L672" s="2015"/>
      <c r="M672" s="2005"/>
      <c r="N672" s="2005"/>
      <c r="O672" s="2005"/>
      <c r="P672" s="2005"/>
      <c r="Q672" s="2005"/>
      <c r="R672" s="2005"/>
      <c r="S672" s="2005"/>
      <c r="T672" s="2005"/>
      <c r="U672" s="2005"/>
      <c r="V672" s="2005"/>
      <c r="W672" s="2005"/>
      <c r="X672" s="2005"/>
      <c r="Y672" s="2005"/>
      <c r="Z672" s="2005"/>
    </row>
    <row r="673" spans="1:26" s="2009" customFormat="1" ht="45" x14ac:dyDescent="0.2">
      <c r="A673" s="1635" t="s">
        <v>7785</v>
      </c>
      <c r="B673" s="1984" t="s">
        <v>5696</v>
      </c>
      <c r="C673" s="1984" t="s">
        <v>8288</v>
      </c>
      <c r="D673" s="1813" t="s">
        <v>8290</v>
      </c>
      <c r="E673" s="1638">
        <v>2</v>
      </c>
      <c r="F673" s="1639" t="s">
        <v>5284</v>
      </c>
      <c r="G673" s="1648">
        <v>2937.5</v>
      </c>
      <c r="H673" s="1636">
        <f>ROUND(G673*$B$13,2)</f>
        <v>791.07</v>
      </c>
      <c r="I673" s="1636">
        <f>H673+G673</f>
        <v>3728.57</v>
      </c>
      <c r="J673" s="1723">
        <f>ROUND(I673*E673,2)</f>
        <v>7457.14</v>
      </c>
      <c r="K673" s="2007">
        <f t="shared" ref="K673" si="711">ROUND(G673*E673,2)</f>
        <v>5875</v>
      </c>
      <c r="L673" s="2007">
        <f t="shared" ref="L673" si="712">ROUND(H673*E673,2)</f>
        <v>1582.14</v>
      </c>
      <c r="M673" s="2016"/>
      <c r="N673" s="2016"/>
      <c r="O673" s="2016"/>
      <c r="P673" s="2016"/>
      <c r="Q673" s="2016"/>
      <c r="R673" s="2016"/>
      <c r="S673" s="2016"/>
      <c r="T673" s="2016"/>
      <c r="U673" s="2016"/>
      <c r="V673" s="2016"/>
      <c r="W673" s="2016"/>
      <c r="X673" s="2016">
        <f>0.3*J673</f>
        <v>2237.1419999999998</v>
      </c>
      <c r="Y673" s="2016">
        <f>0.7*J673</f>
        <v>5219.9979999999996</v>
      </c>
      <c r="Z673" s="2016"/>
    </row>
    <row r="674" spans="1:26" s="2009" customFormat="1" ht="30" x14ac:dyDescent="0.2">
      <c r="A674" s="1635" t="s">
        <v>6254</v>
      </c>
      <c r="B674" s="1984" t="s">
        <v>5281</v>
      </c>
      <c r="C674" s="1984">
        <v>520</v>
      </c>
      <c r="D674" s="1813" t="s">
        <v>6250</v>
      </c>
      <c r="E674" s="1638">
        <v>8</v>
      </c>
      <c r="F674" s="1639" t="s">
        <v>5284</v>
      </c>
      <c r="G674" s="1648">
        <v>16.059999999999999</v>
      </c>
      <c r="H674" s="1636">
        <f>ROUND(G674*$B$13,2)</f>
        <v>4.32</v>
      </c>
      <c r="I674" s="1636">
        <f>H674+G674</f>
        <v>20.38</v>
      </c>
      <c r="J674" s="1723">
        <f>ROUND(I674*E674,2)</f>
        <v>163.04</v>
      </c>
      <c r="K674" s="2007">
        <f t="shared" ref="K674:K687" si="713">ROUND(G674*E674,2)</f>
        <v>128.47999999999999</v>
      </c>
      <c r="L674" s="2007">
        <f t="shared" ref="L674:L687" si="714">ROUND(H674*E674,2)</f>
        <v>34.56</v>
      </c>
      <c r="M674" s="2016"/>
      <c r="N674" s="2016"/>
      <c r="O674" s="2016"/>
      <c r="P674" s="2016"/>
      <c r="Q674" s="2016"/>
      <c r="R674" s="2016"/>
      <c r="S674" s="2016"/>
      <c r="T674" s="2016"/>
      <c r="U674" s="2016"/>
      <c r="V674" s="2016"/>
      <c r="W674" s="2016"/>
      <c r="X674" s="2016">
        <f>0.3*J674</f>
        <v>48.911999999999999</v>
      </c>
      <c r="Y674" s="2016">
        <f>0.7*J674</f>
        <v>114.12799999999999</v>
      </c>
      <c r="Z674" s="2016"/>
    </row>
    <row r="675" spans="1:26" s="2009" customFormat="1" ht="30" x14ac:dyDescent="0.2">
      <c r="A675" s="1635" t="s">
        <v>6255</v>
      </c>
      <c r="B675" s="1984" t="s">
        <v>5281</v>
      </c>
      <c r="C675" s="1984">
        <v>11307</v>
      </c>
      <c r="D675" s="1813" t="s">
        <v>6251</v>
      </c>
      <c r="E675" s="1638">
        <v>2</v>
      </c>
      <c r="F675" s="1639" t="s">
        <v>5284</v>
      </c>
      <c r="G675" s="1648">
        <v>861.23</v>
      </c>
      <c r="H675" s="1636">
        <f>ROUND(G675*$B$13,2)</f>
        <v>231.93</v>
      </c>
      <c r="I675" s="1636">
        <f>H675+G675</f>
        <v>1093.1600000000001</v>
      </c>
      <c r="J675" s="1723">
        <f>ROUND(I675*E675,2)</f>
        <v>2186.3200000000002</v>
      </c>
      <c r="K675" s="2007">
        <f t="shared" si="713"/>
        <v>1722.46</v>
      </c>
      <c r="L675" s="2007">
        <f t="shared" si="714"/>
        <v>463.86</v>
      </c>
      <c r="M675" s="2016"/>
      <c r="N675" s="2016"/>
      <c r="O675" s="2016"/>
      <c r="P675" s="2016"/>
      <c r="Q675" s="2016"/>
      <c r="R675" s="2016"/>
      <c r="S675" s="2016"/>
      <c r="T675" s="2016"/>
      <c r="U675" s="2016"/>
      <c r="V675" s="2016"/>
      <c r="W675" s="2016"/>
      <c r="X675" s="2016">
        <f>0.3*J675</f>
        <v>655.89600000000007</v>
      </c>
      <c r="Y675" s="2016">
        <f>0.7*J675</f>
        <v>1530.424</v>
      </c>
      <c r="Z675" s="2016"/>
    </row>
    <row r="676" spans="1:26" s="2009" customFormat="1" ht="60" x14ac:dyDescent="0.2">
      <c r="A676" s="1635" t="s">
        <v>6256</v>
      </c>
      <c r="B676" s="1984" t="s">
        <v>5696</v>
      </c>
      <c r="C676" s="1984" t="s">
        <v>6253</v>
      </c>
      <c r="D676" s="1813" t="s">
        <v>6252</v>
      </c>
      <c r="E676" s="1638">
        <v>2</v>
      </c>
      <c r="F676" s="1639" t="s">
        <v>5284</v>
      </c>
      <c r="G676" s="1648">
        <v>1559.75</v>
      </c>
      <c r="H676" s="1636">
        <f>ROUND(G676*$B$13,2)</f>
        <v>420.04</v>
      </c>
      <c r="I676" s="1636">
        <f>H676+G676</f>
        <v>1979.79</v>
      </c>
      <c r="J676" s="1723">
        <f>ROUND(I676*E676,2)</f>
        <v>3959.58</v>
      </c>
      <c r="K676" s="2007">
        <f t="shared" si="713"/>
        <v>3119.5</v>
      </c>
      <c r="L676" s="2007">
        <f t="shared" si="714"/>
        <v>840.08</v>
      </c>
      <c r="M676" s="2016"/>
      <c r="N676" s="2016"/>
      <c r="O676" s="2016"/>
      <c r="P676" s="2016"/>
      <c r="Q676" s="2016"/>
      <c r="R676" s="2016"/>
      <c r="S676" s="2016"/>
      <c r="T676" s="2016"/>
      <c r="U676" s="2016"/>
      <c r="V676" s="2016"/>
      <c r="W676" s="2016"/>
      <c r="X676" s="2016">
        <f>0.3*J676</f>
        <v>1187.874</v>
      </c>
      <c r="Y676" s="2016">
        <f>0.7*J676</f>
        <v>2771.7059999999997</v>
      </c>
      <c r="Z676" s="2016"/>
    </row>
    <row r="677" spans="1:26" s="2009" customFormat="1" ht="15" x14ac:dyDescent="0.2">
      <c r="A677" s="1634" t="s">
        <v>6262</v>
      </c>
      <c r="B677" s="2136" t="s">
        <v>6263</v>
      </c>
      <c r="C677" s="2136"/>
      <c r="D677" s="2136"/>
      <c r="E677" s="2136"/>
      <c r="F677" s="2136"/>
      <c r="G677" s="2136"/>
      <c r="H677" s="2136"/>
      <c r="I677" s="2136"/>
      <c r="J677" s="2136"/>
      <c r="K677" s="2007"/>
      <c r="L677" s="2007"/>
      <c r="M677" s="2016"/>
      <c r="N677" s="2016"/>
      <c r="O677" s="2016"/>
      <c r="P677" s="2016"/>
      <c r="Q677" s="2016"/>
      <c r="R677" s="2016"/>
      <c r="S677" s="2016"/>
      <c r="T677" s="2016"/>
      <c r="U677" s="2016"/>
      <c r="V677" s="2016"/>
      <c r="W677" s="2016"/>
      <c r="X677" s="2016"/>
      <c r="Y677" s="2016"/>
      <c r="Z677" s="2016"/>
    </row>
    <row r="678" spans="1:26" s="2009" customFormat="1" ht="45" x14ac:dyDescent="0.2">
      <c r="A678" s="1635" t="s">
        <v>6265</v>
      </c>
      <c r="B678" s="1984" t="s">
        <v>5281</v>
      </c>
      <c r="C678" s="1984">
        <v>8680</v>
      </c>
      <c r="D678" s="1813" t="s">
        <v>6264</v>
      </c>
      <c r="E678" s="1638">
        <v>23</v>
      </c>
      <c r="F678" s="1639" t="s">
        <v>5284</v>
      </c>
      <c r="G678" s="1648">
        <v>866.96</v>
      </c>
      <c r="H678" s="1636">
        <f>ROUND(G678*$B$13,2)</f>
        <v>233.47</v>
      </c>
      <c r="I678" s="1636">
        <f t="shared" ref="I678:I687" si="715">H678+G678</f>
        <v>1100.43</v>
      </c>
      <c r="J678" s="1723">
        <f t="shared" ref="J678:J687" si="716">ROUND(I678*E678,2)</f>
        <v>25309.89</v>
      </c>
      <c r="K678" s="2007">
        <f t="shared" si="713"/>
        <v>19940.080000000002</v>
      </c>
      <c r="L678" s="2007">
        <f t="shared" si="714"/>
        <v>5369.81</v>
      </c>
      <c r="M678" s="2016"/>
      <c r="N678" s="2016"/>
      <c r="O678" s="2016"/>
      <c r="P678" s="2016"/>
      <c r="Q678" s="2016"/>
      <c r="R678" s="2016"/>
      <c r="S678" s="2016"/>
      <c r="T678" s="2016"/>
      <c r="U678" s="2016"/>
      <c r="V678" s="2016"/>
      <c r="W678" s="2016"/>
      <c r="X678" s="2016">
        <f>0.3*J678</f>
        <v>7592.9669999999996</v>
      </c>
      <c r="Y678" s="2016">
        <f>0.7*J678</f>
        <v>17716.922999999999</v>
      </c>
      <c r="Z678" s="2016"/>
    </row>
    <row r="679" spans="1:26" s="2009" customFormat="1" ht="15" x14ac:dyDescent="0.2">
      <c r="A679" s="1634" t="s">
        <v>6266</v>
      </c>
      <c r="B679" s="2136" t="s">
        <v>6267</v>
      </c>
      <c r="C679" s="2136"/>
      <c r="D679" s="2136"/>
      <c r="E679" s="2136"/>
      <c r="F679" s="2136"/>
      <c r="G679" s="2136"/>
      <c r="H679" s="2136"/>
      <c r="I679" s="2136"/>
      <c r="J679" s="2136"/>
      <c r="K679" s="2007">
        <f t="shared" si="713"/>
        <v>0</v>
      </c>
      <c r="L679" s="2007">
        <f t="shared" si="714"/>
        <v>0</v>
      </c>
      <c r="M679" s="2016"/>
      <c r="N679" s="2016"/>
      <c r="O679" s="2016"/>
      <c r="P679" s="2016"/>
      <c r="Q679" s="2016"/>
      <c r="R679" s="2016"/>
      <c r="S679" s="2016"/>
      <c r="T679" s="2016"/>
      <c r="U679" s="2016"/>
      <c r="V679" s="2016"/>
      <c r="W679" s="2016"/>
      <c r="X679" s="2016"/>
      <c r="Y679" s="2016"/>
      <c r="Z679" s="2016"/>
    </row>
    <row r="680" spans="1:26" s="2009" customFormat="1" ht="30" x14ac:dyDescent="0.2">
      <c r="A680" s="1635" t="s">
        <v>7267</v>
      </c>
      <c r="B680" s="1984" t="s">
        <v>4448</v>
      </c>
      <c r="C680" s="1984" t="s">
        <v>6157</v>
      </c>
      <c r="D680" s="1813" t="s">
        <v>6134</v>
      </c>
      <c r="E680" s="1638">
        <v>80</v>
      </c>
      <c r="F680" s="1639" t="s">
        <v>5713</v>
      </c>
      <c r="G680" s="1648">
        <v>8.19</v>
      </c>
      <c r="H680" s="1636">
        <f>ROUND(G680*$B$13,2)</f>
        <v>2.21</v>
      </c>
      <c r="I680" s="1636">
        <f t="shared" si="715"/>
        <v>10.399999999999999</v>
      </c>
      <c r="J680" s="1723">
        <f t="shared" si="716"/>
        <v>832</v>
      </c>
      <c r="K680" s="2007">
        <f t="shared" si="713"/>
        <v>655.20000000000005</v>
      </c>
      <c r="L680" s="2007">
        <f t="shared" si="714"/>
        <v>176.8</v>
      </c>
      <c r="M680" s="2016"/>
      <c r="N680" s="2016"/>
      <c r="O680" s="2016"/>
      <c r="P680" s="2016"/>
      <c r="Q680" s="2016"/>
      <c r="R680" s="2016"/>
      <c r="S680" s="2016"/>
      <c r="T680" s="2016"/>
      <c r="U680" s="2016"/>
      <c r="V680" s="2016"/>
      <c r="W680" s="2016"/>
      <c r="X680" s="2016">
        <f>0.3*J680</f>
        <v>249.6</v>
      </c>
      <c r="Y680" s="2016">
        <f>0.7*J680</f>
        <v>582.4</v>
      </c>
      <c r="Z680" s="2016"/>
    </row>
    <row r="681" spans="1:26" s="2009" customFormat="1" ht="45" x14ac:dyDescent="0.2">
      <c r="A681" s="1635" t="s">
        <v>7268</v>
      </c>
      <c r="B681" s="1984" t="s">
        <v>4448</v>
      </c>
      <c r="C681" s="1984">
        <v>95802</v>
      </c>
      <c r="D681" s="1813" t="s">
        <v>7210</v>
      </c>
      <c r="E681" s="1638">
        <v>30</v>
      </c>
      <c r="F681" s="1639" t="s">
        <v>5284</v>
      </c>
      <c r="G681" s="1648">
        <v>31.34</v>
      </c>
      <c r="H681" s="1636">
        <f>ROUND(G681*$B$13,2)</f>
        <v>8.44</v>
      </c>
      <c r="I681" s="1636">
        <f t="shared" si="715"/>
        <v>39.78</v>
      </c>
      <c r="J681" s="1723">
        <f t="shared" si="716"/>
        <v>1193.4000000000001</v>
      </c>
      <c r="K681" s="2007">
        <f t="shared" si="713"/>
        <v>940.2</v>
      </c>
      <c r="L681" s="2007">
        <f t="shared" si="714"/>
        <v>253.2</v>
      </c>
      <c r="M681" s="2016"/>
      <c r="N681" s="2016"/>
      <c r="O681" s="2016"/>
      <c r="P681" s="2016"/>
      <c r="Q681" s="2016"/>
      <c r="R681" s="2016"/>
      <c r="S681" s="2016"/>
      <c r="T681" s="2016"/>
      <c r="U681" s="2016"/>
      <c r="V681" s="2016"/>
      <c r="W681" s="2016"/>
      <c r="X681" s="2016">
        <f>0.3*J681</f>
        <v>358.02000000000004</v>
      </c>
      <c r="Y681" s="2016">
        <f>0.7*J681</f>
        <v>835.38</v>
      </c>
      <c r="Z681" s="2016"/>
    </row>
    <row r="682" spans="1:26" s="2009" customFormat="1" ht="30" x14ac:dyDescent="0.2">
      <c r="A682" s="1635" t="s">
        <v>7269</v>
      </c>
      <c r="B682" s="1984" t="s">
        <v>4448</v>
      </c>
      <c r="C682" s="1984" t="s">
        <v>7227</v>
      </c>
      <c r="D682" s="1813" t="s">
        <v>7226</v>
      </c>
      <c r="E682" s="1638">
        <v>23</v>
      </c>
      <c r="F682" s="1639" t="s">
        <v>5284</v>
      </c>
      <c r="G682" s="1648">
        <v>29.78</v>
      </c>
      <c r="H682" s="1636">
        <f>ROUND(G682*$B$13,2)</f>
        <v>8.02</v>
      </c>
      <c r="I682" s="1636">
        <f t="shared" si="715"/>
        <v>37.799999999999997</v>
      </c>
      <c r="J682" s="1723">
        <f t="shared" si="716"/>
        <v>869.4</v>
      </c>
      <c r="K682" s="2007">
        <f t="shared" si="713"/>
        <v>684.94</v>
      </c>
      <c r="L682" s="2007">
        <f t="shared" si="714"/>
        <v>184.46</v>
      </c>
      <c r="M682" s="2016"/>
      <c r="N682" s="2016"/>
      <c r="O682" s="2016"/>
      <c r="P682" s="2016"/>
      <c r="Q682" s="2016"/>
      <c r="R682" s="2016"/>
      <c r="S682" s="2016"/>
      <c r="T682" s="2016"/>
      <c r="U682" s="2016"/>
      <c r="V682" s="2016"/>
      <c r="W682" s="2016"/>
      <c r="X682" s="2016">
        <f>0.3*J682</f>
        <v>260.82</v>
      </c>
      <c r="Y682" s="2016">
        <f>0.7*J682</f>
        <v>608.57999999999993</v>
      </c>
      <c r="Z682" s="2016"/>
    </row>
    <row r="683" spans="1:26" s="2009" customFormat="1" ht="15" x14ac:dyDescent="0.2">
      <c r="A683" s="1634" t="s">
        <v>6268</v>
      </c>
      <c r="B683" s="2136" t="s">
        <v>6245</v>
      </c>
      <c r="C683" s="2136"/>
      <c r="D683" s="2136"/>
      <c r="E683" s="2136"/>
      <c r="F683" s="2136"/>
      <c r="G683" s="2136"/>
      <c r="H683" s="2136"/>
      <c r="I683" s="2136"/>
      <c r="J683" s="2136"/>
      <c r="K683" s="2007">
        <f t="shared" si="713"/>
        <v>0</v>
      </c>
      <c r="L683" s="2007">
        <f t="shared" si="714"/>
        <v>0</v>
      </c>
      <c r="M683" s="2016"/>
      <c r="N683" s="2016"/>
      <c r="O683" s="2016"/>
      <c r="P683" s="2016"/>
      <c r="Q683" s="2016"/>
      <c r="R683" s="2016"/>
      <c r="S683" s="2016"/>
      <c r="T683" s="2016"/>
      <c r="U683" s="2016"/>
      <c r="V683" s="2016"/>
      <c r="W683" s="2016"/>
      <c r="X683" s="2016"/>
      <c r="Y683" s="2016"/>
      <c r="Z683" s="2016"/>
    </row>
    <row r="684" spans="1:26" s="2009" customFormat="1" ht="30" x14ac:dyDescent="0.2">
      <c r="A684" s="1635" t="s">
        <v>6271</v>
      </c>
      <c r="B684" s="1984" t="s">
        <v>4448</v>
      </c>
      <c r="C684" s="1984">
        <v>98297</v>
      </c>
      <c r="D684" s="1813" t="s">
        <v>6269</v>
      </c>
      <c r="E684" s="1638">
        <v>490</v>
      </c>
      <c r="F684" s="1639" t="s">
        <v>5713</v>
      </c>
      <c r="G684" s="1648">
        <v>2.0299999999999998</v>
      </c>
      <c r="H684" s="1636">
        <f>ROUND(G684*$B$13,2)</f>
        <v>0.55000000000000004</v>
      </c>
      <c r="I684" s="1636">
        <f t="shared" si="715"/>
        <v>2.58</v>
      </c>
      <c r="J684" s="1723">
        <f t="shared" si="716"/>
        <v>1264.2</v>
      </c>
      <c r="K684" s="2007">
        <f t="shared" si="713"/>
        <v>994.7</v>
      </c>
      <c r="L684" s="2007">
        <f t="shared" si="714"/>
        <v>269.5</v>
      </c>
      <c r="M684" s="2016"/>
      <c r="N684" s="2016"/>
      <c r="O684" s="2016"/>
      <c r="P684" s="2016"/>
      <c r="Q684" s="2016"/>
      <c r="R684" s="2016"/>
      <c r="S684" s="2016"/>
      <c r="T684" s="2016"/>
      <c r="U684" s="2016"/>
      <c r="V684" s="2016"/>
      <c r="W684" s="2016"/>
      <c r="X684" s="2016">
        <f>0.3*J684</f>
        <v>379.26</v>
      </c>
      <c r="Y684" s="2016">
        <f>0.7*J684</f>
        <v>884.93999999999994</v>
      </c>
      <c r="Z684" s="2016"/>
    </row>
    <row r="685" spans="1:26" s="2009" customFormat="1" ht="30" x14ac:dyDescent="0.2">
      <c r="A685" s="1635" t="s">
        <v>6272</v>
      </c>
      <c r="B685" s="1984" t="s">
        <v>5281</v>
      </c>
      <c r="C685" s="1984">
        <v>8690</v>
      </c>
      <c r="D685" s="1813" t="s">
        <v>6270</v>
      </c>
      <c r="E685" s="1638">
        <v>50</v>
      </c>
      <c r="F685" s="1639" t="s">
        <v>5713</v>
      </c>
      <c r="G685" s="1648">
        <v>12.85</v>
      </c>
      <c r="H685" s="1636">
        <f>ROUND(G685*$B$13,2)</f>
        <v>3.46</v>
      </c>
      <c r="I685" s="1636">
        <f t="shared" si="715"/>
        <v>16.309999999999999</v>
      </c>
      <c r="J685" s="1723">
        <f t="shared" si="716"/>
        <v>815.5</v>
      </c>
      <c r="K685" s="2007">
        <f t="shared" si="713"/>
        <v>642.5</v>
      </c>
      <c r="L685" s="2007">
        <f t="shared" si="714"/>
        <v>173</v>
      </c>
      <c r="M685" s="2016"/>
      <c r="N685" s="2016"/>
      <c r="O685" s="2016"/>
      <c r="P685" s="2016"/>
      <c r="Q685" s="2016"/>
      <c r="R685" s="2016"/>
      <c r="S685" s="2016"/>
      <c r="T685" s="2016"/>
      <c r="U685" s="2016"/>
      <c r="V685" s="2016"/>
      <c r="W685" s="2016"/>
      <c r="X685" s="2016">
        <f>0.3*J685</f>
        <v>244.64999999999998</v>
      </c>
      <c r="Y685" s="2016">
        <f>0.7*J685</f>
        <v>570.84999999999991</v>
      </c>
      <c r="Z685" s="2016"/>
    </row>
    <row r="686" spans="1:26" s="2009" customFormat="1" ht="15" x14ac:dyDescent="0.2">
      <c r="A686" s="1634" t="s">
        <v>6274</v>
      </c>
      <c r="B686" s="2136" t="s">
        <v>6275</v>
      </c>
      <c r="C686" s="2136"/>
      <c r="D686" s="2136"/>
      <c r="E686" s="2136"/>
      <c r="F686" s="2136"/>
      <c r="G686" s="2136"/>
      <c r="H686" s="2136"/>
      <c r="I686" s="2136"/>
      <c r="J686" s="2136"/>
      <c r="K686" s="2007">
        <f t="shared" si="713"/>
        <v>0</v>
      </c>
      <c r="L686" s="2007">
        <f t="shared" si="714"/>
        <v>0</v>
      </c>
      <c r="M686" s="2016"/>
      <c r="N686" s="2016"/>
      <c r="O686" s="2016"/>
      <c r="P686" s="2016"/>
      <c r="Q686" s="2016"/>
      <c r="R686" s="2016"/>
      <c r="S686" s="2016"/>
      <c r="T686" s="2016"/>
      <c r="U686" s="2016"/>
      <c r="V686" s="2016"/>
      <c r="W686" s="2016"/>
      <c r="X686" s="2016"/>
      <c r="Y686" s="2016"/>
      <c r="Z686" s="2016"/>
    </row>
    <row r="687" spans="1:26" s="2009" customFormat="1" ht="15" x14ac:dyDescent="0.2">
      <c r="A687" s="1635" t="s">
        <v>6278</v>
      </c>
      <c r="B687" s="1984" t="s">
        <v>5281</v>
      </c>
      <c r="C687" s="1984">
        <v>10332</v>
      </c>
      <c r="D687" s="1813" t="s">
        <v>6277</v>
      </c>
      <c r="E687" s="1638">
        <v>23</v>
      </c>
      <c r="F687" s="1639" t="s">
        <v>5284</v>
      </c>
      <c r="G687" s="1648">
        <v>23.68</v>
      </c>
      <c r="H687" s="1636">
        <f>ROUND(G687*$B$13,2)</f>
        <v>6.38</v>
      </c>
      <c r="I687" s="1636">
        <f t="shared" si="715"/>
        <v>30.06</v>
      </c>
      <c r="J687" s="1723">
        <f t="shared" si="716"/>
        <v>691.38</v>
      </c>
      <c r="K687" s="2007">
        <f t="shared" si="713"/>
        <v>544.64</v>
      </c>
      <c r="L687" s="2007">
        <f t="shared" si="714"/>
        <v>146.74</v>
      </c>
      <c r="M687" s="2016"/>
      <c r="N687" s="2016"/>
      <c r="O687" s="2016"/>
      <c r="P687" s="2016"/>
      <c r="Q687" s="2016"/>
      <c r="R687" s="2016"/>
      <c r="S687" s="2016"/>
      <c r="T687" s="2016"/>
      <c r="U687" s="2016"/>
      <c r="V687" s="2016"/>
      <c r="W687" s="2016"/>
      <c r="X687" s="2016">
        <f>0.3*J687</f>
        <v>207.41399999999999</v>
      </c>
      <c r="Y687" s="2016">
        <f>0.7*J687</f>
        <v>483.96599999999995</v>
      </c>
      <c r="Z687" s="2016"/>
    </row>
    <row r="688" spans="1:26" s="2006" customFormat="1" ht="15" x14ac:dyDescent="0.2">
      <c r="A688" s="2133" t="s">
        <v>6249</v>
      </c>
      <c r="B688" s="2133"/>
      <c r="C688" s="2133"/>
      <c r="D688" s="2133"/>
      <c r="E688" s="2133"/>
      <c r="F688" s="2133"/>
      <c r="G688" s="2133"/>
      <c r="H688" s="2133"/>
      <c r="I688" s="2133"/>
      <c r="J688" s="1724">
        <f>SUM(J671:J687)</f>
        <v>44741.85</v>
      </c>
      <c r="K688" s="2010"/>
      <c r="L688" s="2015"/>
      <c r="M688" s="1724">
        <f>SUM(M671:M687)</f>
        <v>0</v>
      </c>
      <c r="N688" s="1724">
        <f t="shared" ref="N688:Z688" si="717">SUM(N671:N687)</f>
        <v>0</v>
      </c>
      <c r="O688" s="1724">
        <f t="shared" si="717"/>
        <v>0</v>
      </c>
      <c r="P688" s="1724">
        <f t="shared" si="717"/>
        <v>0</v>
      </c>
      <c r="Q688" s="1724">
        <f t="shared" si="717"/>
        <v>0</v>
      </c>
      <c r="R688" s="1724">
        <f t="shared" si="717"/>
        <v>0</v>
      </c>
      <c r="S688" s="1724">
        <f t="shared" si="717"/>
        <v>0</v>
      </c>
      <c r="T688" s="1724">
        <f t="shared" si="717"/>
        <v>0</v>
      </c>
      <c r="U688" s="1724">
        <f t="shared" si="717"/>
        <v>0</v>
      </c>
      <c r="V688" s="1724">
        <f t="shared" si="717"/>
        <v>0</v>
      </c>
      <c r="W688" s="1724">
        <f t="shared" si="717"/>
        <v>0</v>
      </c>
      <c r="X688" s="1724">
        <f t="shared" si="717"/>
        <v>13422.555</v>
      </c>
      <c r="Y688" s="1724">
        <f t="shared" si="717"/>
        <v>31319.294999999995</v>
      </c>
      <c r="Z688" s="1724">
        <f t="shared" si="717"/>
        <v>0</v>
      </c>
    </row>
    <row r="689" spans="1:26" s="2006" customFormat="1" ht="15" x14ac:dyDescent="0.2">
      <c r="A689" s="52"/>
      <c r="B689" s="52"/>
      <c r="C689" s="52"/>
      <c r="D689" s="52"/>
      <c r="E689" s="1506"/>
      <c r="F689" s="52"/>
      <c r="G689" s="1649"/>
      <c r="H689" s="51"/>
      <c r="I689" s="51"/>
      <c r="J689" s="1725"/>
      <c r="K689" s="51"/>
      <c r="L689" s="2015"/>
      <c r="M689" s="2005"/>
      <c r="N689" s="2005"/>
      <c r="O689" s="2005"/>
      <c r="P689" s="2005"/>
      <c r="Q689" s="2005"/>
      <c r="R689" s="2005"/>
      <c r="S689" s="2005"/>
      <c r="T689" s="2005"/>
      <c r="U689" s="2005"/>
      <c r="V689" s="2005"/>
      <c r="W689" s="2005"/>
      <c r="X689" s="2005"/>
      <c r="Y689" s="2005"/>
      <c r="Z689" s="2005"/>
    </row>
    <row r="690" spans="1:26" s="2006" customFormat="1" ht="15" x14ac:dyDescent="0.2">
      <c r="A690" s="1513" t="s">
        <v>4866</v>
      </c>
      <c r="B690" s="2130" t="s">
        <v>4867</v>
      </c>
      <c r="C690" s="2130"/>
      <c r="D690" s="2130"/>
      <c r="E690" s="2130"/>
      <c r="F690" s="2130"/>
      <c r="G690" s="2130"/>
      <c r="H690" s="2130"/>
      <c r="I690" s="2130"/>
      <c r="J690" s="2130"/>
      <c r="K690" s="1980"/>
      <c r="L690" s="2015"/>
      <c r="M690" s="2005"/>
      <c r="N690" s="2005"/>
      <c r="O690" s="2005"/>
      <c r="P690" s="2005"/>
      <c r="Q690" s="2005"/>
      <c r="R690" s="2005"/>
      <c r="S690" s="2005"/>
      <c r="T690" s="2005"/>
      <c r="U690" s="2005"/>
      <c r="V690" s="2005"/>
      <c r="W690" s="2005"/>
      <c r="X690" s="2005"/>
      <c r="Y690" s="2005"/>
      <c r="Z690" s="2005"/>
    </row>
    <row r="691" spans="1:26" s="2009" customFormat="1" ht="45" x14ac:dyDescent="0.2">
      <c r="A691" s="1635" t="s">
        <v>15095</v>
      </c>
      <c r="B691" s="1984" t="s">
        <v>5696</v>
      </c>
      <c r="C691" s="1984" t="s">
        <v>8288</v>
      </c>
      <c r="D691" s="1813" t="s">
        <v>8290</v>
      </c>
      <c r="E691" s="1638">
        <v>4</v>
      </c>
      <c r="F691" s="1639" t="s">
        <v>5284</v>
      </c>
      <c r="G691" s="1648">
        <v>2937.5</v>
      </c>
      <c r="H691" s="1636">
        <f t="shared" ref="H691:H724" si="718">ROUND(G691*$B$13,2)</f>
        <v>791.07</v>
      </c>
      <c r="I691" s="1636">
        <f>H691+G691</f>
        <v>3728.57</v>
      </c>
      <c r="J691" s="1723">
        <f>ROUND(I691*E691,2)</f>
        <v>14914.28</v>
      </c>
      <c r="K691" s="2007">
        <f t="shared" ref="K691" si="719">ROUND(G691*E691,2)</f>
        <v>11750</v>
      </c>
      <c r="L691" s="2007">
        <f t="shared" ref="L691" si="720">ROUND(H691*E691,2)</f>
        <v>3164.28</v>
      </c>
      <c r="M691" s="2016"/>
      <c r="N691" s="2016"/>
      <c r="O691" s="2016"/>
      <c r="P691" s="2016"/>
      <c r="Q691" s="2016"/>
      <c r="R691" s="2016"/>
      <c r="S691" s="2016"/>
      <c r="T691" s="2016"/>
      <c r="U691" s="2016"/>
      <c r="V691" s="2016"/>
      <c r="W691" s="2016">
        <f>0.2*J691</f>
        <v>2982.8560000000002</v>
      </c>
      <c r="X691" s="2016">
        <f>0.3*J691</f>
        <v>4474.2839999999997</v>
      </c>
      <c r="Y691" s="2016">
        <f>0.5*J691</f>
        <v>7457.14</v>
      </c>
      <c r="Z691" s="2016"/>
    </row>
    <row r="692" spans="1:26" s="2009" customFormat="1" ht="15" x14ac:dyDescent="0.2">
      <c r="A692" s="1635" t="s">
        <v>7202</v>
      </c>
      <c r="B692" s="1984" t="s">
        <v>4448</v>
      </c>
      <c r="C692" s="1984">
        <v>98302</v>
      </c>
      <c r="D692" s="1813" t="s">
        <v>6280</v>
      </c>
      <c r="E692" s="1638">
        <v>7</v>
      </c>
      <c r="F692" s="1639" t="s">
        <v>5284</v>
      </c>
      <c r="G692" s="1648">
        <v>560.04</v>
      </c>
      <c r="H692" s="1636">
        <f t="shared" si="718"/>
        <v>150.82</v>
      </c>
      <c r="I692" s="1636">
        <f t="shared" ref="I692:I723" si="721">H692+G692</f>
        <v>710.8599999999999</v>
      </c>
      <c r="J692" s="1723">
        <f t="shared" ref="J692:J723" si="722">ROUND(I692*E692,2)</f>
        <v>4976.0200000000004</v>
      </c>
      <c r="K692" s="2007">
        <f t="shared" ref="K692:K724" si="723">ROUND(G692*E692,2)</f>
        <v>3920.28</v>
      </c>
      <c r="L692" s="2007">
        <f t="shared" ref="L692:L724" si="724">ROUND(H692*E692,2)</f>
        <v>1055.74</v>
      </c>
      <c r="M692" s="2016"/>
      <c r="N692" s="2016"/>
      <c r="O692" s="2016"/>
      <c r="P692" s="2016"/>
      <c r="Q692" s="2016"/>
      <c r="R692" s="2016"/>
      <c r="S692" s="2016"/>
      <c r="T692" s="2016"/>
      <c r="U692" s="2016"/>
      <c r="V692" s="2016"/>
      <c r="W692" s="2016">
        <f t="shared" ref="W692:W724" si="725">0.2*J692</f>
        <v>995.20400000000018</v>
      </c>
      <c r="X692" s="2016">
        <f t="shared" ref="X692:X724" si="726">0.3*J692</f>
        <v>1492.806</v>
      </c>
      <c r="Y692" s="2016">
        <f t="shared" ref="Y692:Y724" si="727">0.5*J692</f>
        <v>2488.0100000000002</v>
      </c>
      <c r="Z692" s="2016"/>
    </row>
    <row r="693" spans="1:26" s="2009" customFormat="1" ht="15" x14ac:dyDescent="0.2">
      <c r="A693" s="1635" t="s">
        <v>7203</v>
      </c>
      <c r="B693" s="1984" t="s">
        <v>5281</v>
      </c>
      <c r="C693" s="1984">
        <v>10727</v>
      </c>
      <c r="D693" s="1813" t="s">
        <v>6281</v>
      </c>
      <c r="E693" s="1638">
        <v>4</v>
      </c>
      <c r="F693" s="1639" t="s">
        <v>5284</v>
      </c>
      <c r="G693" s="1648">
        <v>302.46000000000004</v>
      </c>
      <c r="H693" s="1636">
        <f t="shared" si="718"/>
        <v>81.45</v>
      </c>
      <c r="I693" s="1636">
        <f t="shared" si="721"/>
        <v>383.91</v>
      </c>
      <c r="J693" s="1723">
        <f t="shared" si="722"/>
        <v>1535.64</v>
      </c>
      <c r="K693" s="2007">
        <f t="shared" si="723"/>
        <v>1209.8399999999999</v>
      </c>
      <c r="L693" s="2007">
        <f t="shared" si="724"/>
        <v>325.8</v>
      </c>
      <c r="M693" s="2016"/>
      <c r="N693" s="2016"/>
      <c r="O693" s="2016"/>
      <c r="P693" s="2016"/>
      <c r="Q693" s="2016"/>
      <c r="R693" s="2016"/>
      <c r="S693" s="2016"/>
      <c r="T693" s="2016"/>
      <c r="U693" s="2016"/>
      <c r="V693" s="2016"/>
      <c r="W693" s="2016">
        <f t="shared" si="725"/>
        <v>307.12800000000004</v>
      </c>
      <c r="X693" s="2016">
        <f t="shared" si="726"/>
        <v>460.69200000000001</v>
      </c>
      <c r="Y693" s="2016">
        <f t="shared" si="727"/>
        <v>767.82</v>
      </c>
      <c r="Z693" s="2016"/>
    </row>
    <row r="694" spans="1:26" s="2009" customFormat="1" ht="165" x14ac:dyDescent="0.2">
      <c r="A694" s="1635" t="s">
        <v>7204</v>
      </c>
      <c r="B694" s="1984" t="s">
        <v>5281</v>
      </c>
      <c r="C694" s="1984">
        <v>12781</v>
      </c>
      <c r="D694" s="1813" t="s">
        <v>6282</v>
      </c>
      <c r="E694" s="1638">
        <v>2</v>
      </c>
      <c r="F694" s="1639" t="s">
        <v>5284</v>
      </c>
      <c r="G694" s="1648">
        <v>2697.6499999999996</v>
      </c>
      <c r="H694" s="1636">
        <f t="shared" si="718"/>
        <v>726.48</v>
      </c>
      <c r="I694" s="1636">
        <f t="shared" si="721"/>
        <v>3424.1299999999997</v>
      </c>
      <c r="J694" s="1723">
        <f t="shared" si="722"/>
        <v>6848.26</v>
      </c>
      <c r="K694" s="2007">
        <f t="shared" si="723"/>
        <v>5395.3</v>
      </c>
      <c r="L694" s="2007">
        <f t="shared" si="724"/>
        <v>1452.96</v>
      </c>
      <c r="M694" s="2016"/>
      <c r="N694" s="2016"/>
      <c r="O694" s="2016"/>
      <c r="P694" s="2016"/>
      <c r="Q694" s="2016"/>
      <c r="R694" s="2016"/>
      <c r="S694" s="2016"/>
      <c r="T694" s="2016"/>
      <c r="U694" s="2016"/>
      <c r="V694" s="2016"/>
      <c r="W694" s="2016">
        <f t="shared" si="725"/>
        <v>1369.652</v>
      </c>
      <c r="X694" s="2016">
        <f t="shared" si="726"/>
        <v>2054.4780000000001</v>
      </c>
      <c r="Y694" s="2016">
        <f t="shared" si="727"/>
        <v>3424.13</v>
      </c>
      <c r="Z694" s="2016"/>
    </row>
    <row r="695" spans="1:26" s="2009" customFormat="1" ht="30" x14ac:dyDescent="0.2">
      <c r="A695" s="1635" t="s">
        <v>7205</v>
      </c>
      <c r="B695" s="1984" t="s">
        <v>5281</v>
      </c>
      <c r="C695" s="1984">
        <v>520</v>
      </c>
      <c r="D695" s="1813" t="s">
        <v>6250</v>
      </c>
      <c r="E695" s="1638">
        <v>17</v>
      </c>
      <c r="F695" s="1639" t="s">
        <v>5284</v>
      </c>
      <c r="G695" s="1648">
        <v>16.059999999999999</v>
      </c>
      <c r="H695" s="1636">
        <f t="shared" si="718"/>
        <v>4.32</v>
      </c>
      <c r="I695" s="1636">
        <f t="shared" si="721"/>
        <v>20.38</v>
      </c>
      <c r="J695" s="1723">
        <f t="shared" si="722"/>
        <v>346.46</v>
      </c>
      <c r="K695" s="2007">
        <f t="shared" si="723"/>
        <v>273.02</v>
      </c>
      <c r="L695" s="2007">
        <f t="shared" si="724"/>
        <v>73.44</v>
      </c>
      <c r="M695" s="2016"/>
      <c r="N695" s="2016"/>
      <c r="O695" s="2016"/>
      <c r="P695" s="2016"/>
      <c r="Q695" s="2016"/>
      <c r="R695" s="2016"/>
      <c r="S695" s="2016"/>
      <c r="T695" s="2016"/>
      <c r="U695" s="2016"/>
      <c r="V695" s="2016"/>
      <c r="W695" s="2016">
        <f t="shared" si="725"/>
        <v>69.292000000000002</v>
      </c>
      <c r="X695" s="2016">
        <f t="shared" si="726"/>
        <v>103.93799999999999</v>
      </c>
      <c r="Y695" s="2016">
        <f t="shared" si="727"/>
        <v>173.23</v>
      </c>
      <c r="Z695" s="2016"/>
    </row>
    <row r="696" spans="1:26" s="2009" customFormat="1" ht="30" x14ac:dyDescent="0.2">
      <c r="A696" s="1635" t="s">
        <v>6288</v>
      </c>
      <c r="B696" s="1984" t="s">
        <v>5281</v>
      </c>
      <c r="C696" s="1984">
        <v>11307</v>
      </c>
      <c r="D696" s="1813" t="s">
        <v>6251</v>
      </c>
      <c r="E696" s="1638">
        <v>2</v>
      </c>
      <c r="F696" s="1639" t="s">
        <v>5284</v>
      </c>
      <c r="G696" s="1648">
        <v>861.23</v>
      </c>
      <c r="H696" s="1636">
        <f t="shared" si="718"/>
        <v>231.93</v>
      </c>
      <c r="I696" s="1636">
        <f t="shared" si="721"/>
        <v>1093.1600000000001</v>
      </c>
      <c r="J696" s="1723">
        <f t="shared" si="722"/>
        <v>2186.3200000000002</v>
      </c>
      <c r="K696" s="2007">
        <f t="shared" si="723"/>
        <v>1722.46</v>
      </c>
      <c r="L696" s="2007">
        <f t="shared" si="724"/>
        <v>463.86</v>
      </c>
      <c r="M696" s="2016"/>
      <c r="N696" s="2016"/>
      <c r="O696" s="2016"/>
      <c r="P696" s="2016"/>
      <c r="Q696" s="2016"/>
      <c r="R696" s="2016"/>
      <c r="S696" s="2016"/>
      <c r="T696" s="2016"/>
      <c r="U696" s="2016"/>
      <c r="V696" s="2016"/>
      <c r="W696" s="2016">
        <f t="shared" si="725"/>
        <v>437.26400000000007</v>
      </c>
      <c r="X696" s="2016">
        <f t="shared" si="726"/>
        <v>655.89600000000007</v>
      </c>
      <c r="Y696" s="2016">
        <f t="shared" si="727"/>
        <v>1093.1600000000001</v>
      </c>
      <c r="Z696" s="2016"/>
    </row>
    <row r="697" spans="1:26" s="2009" customFormat="1" ht="30" x14ac:dyDescent="0.2">
      <c r="A697" s="1635" t="s">
        <v>6291</v>
      </c>
      <c r="B697" s="1984" t="s">
        <v>4448</v>
      </c>
      <c r="C697" s="1984" t="s">
        <v>6289</v>
      </c>
      <c r="D697" s="1813" t="s">
        <v>6283</v>
      </c>
      <c r="E697" s="1638">
        <f>320.2+36.23</f>
        <v>356.43</v>
      </c>
      <c r="F697" s="1639" t="s">
        <v>5713</v>
      </c>
      <c r="G697" s="1648">
        <v>25.479999999999997</v>
      </c>
      <c r="H697" s="1636">
        <f t="shared" si="718"/>
        <v>6.86</v>
      </c>
      <c r="I697" s="1636">
        <f t="shared" si="721"/>
        <v>32.339999999999996</v>
      </c>
      <c r="J697" s="1723">
        <f t="shared" si="722"/>
        <v>11526.95</v>
      </c>
      <c r="K697" s="2007">
        <f t="shared" si="723"/>
        <v>9081.84</v>
      </c>
      <c r="L697" s="2007">
        <f t="shared" si="724"/>
        <v>2445.11</v>
      </c>
      <c r="M697" s="2016"/>
      <c r="N697" s="2016"/>
      <c r="O697" s="2016"/>
      <c r="P697" s="2016"/>
      <c r="Q697" s="2016"/>
      <c r="R697" s="2016"/>
      <c r="S697" s="2016"/>
      <c r="T697" s="2016"/>
      <c r="U697" s="2016"/>
      <c r="V697" s="2016"/>
      <c r="W697" s="2016">
        <f t="shared" si="725"/>
        <v>2305.3900000000003</v>
      </c>
      <c r="X697" s="2016">
        <f t="shared" si="726"/>
        <v>3458.085</v>
      </c>
      <c r="Y697" s="2016">
        <f t="shared" si="727"/>
        <v>5763.4750000000004</v>
      </c>
      <c r="Z697" s="2016"/>
    </row>
    <row r="698" spans="1:26" s="2009" customFormat="1" ht="30" x14ac:dyDescent="0.2">
      <c r="A698" s="1635" t="s">
        <v>6292</v>
      </c>
      <c r="B698" s="1984" t="s">
        <v>5281</v>
      </c>
      <c r="C698" s="1984">
        <v>8690</v>
      </c>
      <c r="D698" s="1813" t="s">
        <v>6270</v>
      </c>
      <c r="E698" s="1638">
        <f>320.2+36.23</f>
        <v>356.43</v>
      </c>
      <c r="F698" s="1639" t="s">
        <v>5713</v>
      </c>
      <c r="G698" s="1648">
        <v>12.85</v>
      </c>
      <c r="H698" s="1636">
        <f t="shared" si="718"/>
        <v>3.46</v>
      </c>
      <c r="I698" s="1636">
        <f t="shared" si="721"/>
        <v>16.309999999999999</v>
      </c>
      <c r="J698" s="1723">
        <f t="shared" si="722"/>
        <v>5813.37</v>
      </c>
      <c r="K698" s="2007">
        <f t="shared" si="723"/>
        <v>4580.13</v>
      </c>
      <c r="L698" s="2007">
        <f t="shared" si="724"/>
        <v>1233.25</v>
      </c>
      <c r="M698" s="2016"/>
      <c r="N698" s="2016"/>
      <c r="O698" s="2016"/>
      <c r="P698" s="2016"/>
      <c r="Q698" s="2016"/>
      <c r="R698" s="2016"/>
      <c r="S698" s="2016"/>
      <c r="T698" s="2016"/>
      <c r="U698" s="2016"/>
      <c r="V698" s="2016"/>
      <c r="W698" s="2016">
        <f t="shared" si="725"/>
        <v>1162.674</v>
      </c>
      <c r="X698" s="2016">
        <f t="shared" si="726"/>
        <v>1744.011</v>
      </c>
      <c r="Y698" s="2016">
        <f t="shared" si="727"/>
        <v>2906.6849999999999</v>
      </c>
      <c r="Z698" s="2016"/>
    </row>
    <row r="699" spans="1:26" s="2009" customFormat="1" ht="30" x14ac:dyDescent="0.2">
      <c r="A699" s="1635" t="s">
        <v>7206</v>
      </c>
      <c r="B699" s="1984" t="s">
        <v>4448</v>
      </c>
      <c r="C699" s="1984">
        <v>98297</v>
      </c>
      <c r="D699" s="1813" t="s">
        <v>6269</v>
      </c>
      <c r="E699" s="1638">
        <v>5300</v>
      </c>
      <c r="F699" s="1639" t="s">
        <v>5713</v>
      </c>
      <c r="G699" s="1648">
        <v>2.0299999999999998</v>
      </c>
      <c r="H699" s="1636">
        <f t="shared" si="718"/>
        <v>0.55000000000000004</v>
      </c>
      <c r="I699" s="1636">
        <f t="shared" si="721"/>
        <v>2.58</v>
      </c>
      <c r="J699" s="1723">
        <f t="shared" si="722"/>
        <v>13674</v>
      </c>
      <c r="K699" s="2007">
        <f t="shared" si="723"/>
        <v>10759</v>
      </c>
      <c r="L699" s="2007">
        <f t="shared" si="724"/>
        <v>2915</v>
      </c>
      <c r="M699" s="2016"/>
      <c r="N699" s="2016"/>
      <c r="O699" s="2016"/>
      <c r="P699" s="2016"/>
      <c r="Q699" s="2016"/>
      <c r="R699" s="2016"/>
      <c r="S699" s="2016"/>
      <c r="T699" s="2016"/>
      <c r="U699" s="2016"/>
      <c r="V699" s="2016"/>
      <c r="W699" s="2016">
        <f t="shared" si="725"/>
        <v>2734.8</v>
      </c>
      <c r="X699" s="2016">
        <f t="shared" si="726"/>
        <v>4102.2</v>
      </c>
      <c r="Y699" s="2016">
        <f t="shared" si="727"/>
        <v>6837</v>
      </c>
      <c r="Z699" s="2016"/>
    </row>
    <row r="700" spans="1:26" s="2009" customFormat="1" ht="30" x14ac:dyDescent="0.2">
      <c r="A700" s="1635" t="s">
        <v>7207</v>
      </c>
      <c r="B700" s="1984" t="s">
        <v>5778</v>
      </c>
      <c r="C700" s="1984">
        <v>71886</v>
      </c>
      <c r="D700" s="1813" t="s">
        <v>6284</v>
      </c>
      <c r="E700" s="1638">
        <v>225</v>
      </c>
      <c r="F700" s="1639" t="s">
        <v>5284</v>
      </c>
      <c r="G700" s="1648">
        <v>24.880000000000003</v>
      </c>
      <c r="H700" s="1636">
        <f t="shared" si="718"/>
        <v>6.7</v>
      </c>
      <c r="I700" s="1636">
        <f t="shared" si="721"/>
        <v>31.580000000000002</v>
      </c>
      <c r="J700" s="1723">
        <f t="shared" si="722"/>
        <v>7105.5</v>
      </c>
      <c r="K700" s="2007">
        <f t="shared" si="723"/>
        <v>5598</v>
      </c>
      <c r="L700" s="2007">
        <f t="shared" si="724"/>
        <v>1507.5</v>
      </c>
      <c r="M700" s="2016"/>
      <c r="N700" s="2016"/>
      <c r="O700" s="2016"/>
      <c r="P700" s="2016"/>
      <c r="Q700" s="2016"/>
      <c r="R700" s="2016"/>
      <c r="S700" s="2016"/>
      <c r="T700" s="2016"/>
      <c r="U700" s="2016"/>
      <c r="V700" s="2016"/>
      <c r="W700" s="2016">
        <f t="shared" si="725"/>
        <v>1421.1000000000001</v>
      </c>
      <c r="X700" s="2016">
        <f t="shared" si="726"/>
        <v>2131.65</v>
      </c>
      <c r="Y700" s="2016">
        <f t="shared" si="727"/>
        <v>3552.75</v>
      </c>
      <c r="Z700" s="2016"/>
    </row>
    <row r="701" spans="1:26" s="2009" customFormat="1" ht="30" x14ac:dyDescent="0.2">
      <c r="A701" s="1635" t="s">
        <v>6293</v>
      </c>
      <c r="B701" s="1984" t="s">
        <v>4448</v>
      </c>
      <c r="C701" s="1984" t="s">
        <v>7227</v>
      </c>
      <c r="D701" s="1813" t="s">
        <v>7226</v>
      </c>
      <c r="E701" s="1638">
        <v>149</v>
      </c>
      <c r="F701" s="1639" t="s">
        <v>5284</v>
      </c>
      <c r="G701" s="1648">
        <v>29.78</v>
      </c>
      <c r="H701" s="1636">
        <f t="shared" si="718"/>
        <v>8.02</v>
      </c>
      <c r="I701" s="1636">
        <f t="shared" si="721"/>
        <v>37.799999999999997</v>
      </c>
      <c r="J701" s="1723">
        <f t="shared" si="722"/>
        <v>5632.2</v>
      </c>
      <c r="K701" s="2007">
        <f t="shared" si="723"/>
        <v>4437.22</v>
      </c>
      <c r="L701" s="2007">
        <f t="shared" si="724"/>
        <v>1194.98</v>
      </c>
      <c r="M701" s="2016"/>
      <c r="N701" s="2016"/>
      <c r="O701" s="2016"/>
      <c r="P701" s="2016"/>
      <c r="Q701" s="2016"/>
      <c r="R701" s="2016"/>
      <c r="S701" s="2016"/>
      <c r="T701" s="2016"/>
      <c r="U701" s="2016"/>
      <c r="V701" s="2016"/>
      <c r="W701" s="2016">
        <f t="shared" si="725"/>
        <v>1126.44</v>
      </c>
      <c r="X701" s="2016">
        <f t="shared" si="726"/>
        <v>1689.6599999999999</v>
      </c>
      <c r="Y701" s="2016">
        <f t="shared" si="727"/>
        <v>2816.1</v>
      </c>
      <c r="Z701" s="2016"/>
    </row>
    <row r="702" spans="1:26" s="2009" customFormat="1" ht="30" x14ac:dyDescent="0.2">
      <c r="A702" s="1635" t="s">
        <v>7208</v>
      </c>
      <c r="B702" s="1984" t="s">
        <v>4448</v>
      </c>
      <c r="C702" s="1984">
        <v>91936</v>
      </c>
      <c r="D702" s="1813" t="s">
        <v>6285</v>
      </c>
      <c r="E702" s="1638">
        <v>15</v>
      </c>
      <c r="F702" s="1639" t="s">
        <v>5284</v>
      </c>
      <c r="G702" s="1648">
        <v>9.07</v>
      </c>
      <c r="H702" s="1636">
        <f t="shared" si="718"/>
        <v>2.44</v>
      </c>
      <c r="I702" s="1636">
        <f t="shared" si="721"/>
        <v>11.51</v>
      </c>
      <c r="J702" s="1723">
        <f t="shared" si="722"/>
        <v>172.65</v>
      </c>
      <c r="K702" s="2007">
        <f t="shared" si="723"/>
        <v>136.05000000000001</v>
      </c>
      <c r="L702" s="2007">
        <f t="shared" si="724"/>
        <v>36.6</v>
      </c>
      <c r="M702" s="2016"/>
      <c r="N702" s="2016"/>
      <c r="O702" s="2016"/>
      <c r="P702" s="2016"/>
      <c r="Q702" s="2016"/>
      <c r="R702" s="2016"/>
      <c r="S702" s="2016"/>
      <c r="T702" s="2016"/>
      <c r="U702" s="2016"/>
      <c r="V702" s="2016"/>
      <c r="W702" s="2016">
        <f t="shared" si="725"/>
        <v>34.53</v>
      </c>
      <c r="X702" s="2016">
        <f t="shared" si="726"/>
        <v>51.795000000000002</v>
      </c>
      <c r="Y702" s="2016">
        <f t="shared" si="727"/>
        <v>86.325000000000003</v>
      </c>
      <c r="Z702" s="2016"/>
    </row>
    <row r="703" spans="1:26" s="2009" customFormat="1" ht="30" x14ac:dyDescent="0.2">
      <c r="A703" s="1635" t="s">
        <v>7209</v>
      </c>
      <c r="B703" s="1984" t="s">
        <v>4448</v>
      </c>
      <c r="C703" s="1984">
        <v>91940</v>
      </c>
      <c r="D703" s="1813" t="s">
        <v>7231</v>
      </c>
      <c r="E703" s="1638">
        <v>10</v>
      </c>
      <c r="F703" s="1639" t="s">
        <v>5284</v>
      </c>
      <c r="G703" s="1648">
        <v>10.85</v>
      </c>
      <c r="H703" s="1636">
        <f t="shared" si="718"/>
        <v>2.92</v>
      </c>
      <c r="I703" s="1636">
        <f t="shared" si="721"/>
        <v>13.77</v>
      </c>
      <c r="J703" s="1723">
        <f t="shared" si="722"/>
        <v>137.69999999999999</v>
      </c>
      <c r="K703" s="2007">
        <f t="shared" si="723"/>
        <v>108.5</v>
      </c>
      <c r="L703" s="2007">
        <f t="shared" si="724"/>
        <v>29.2</v>
      </c>
      <c r="M703" s="2016"/>
      <c r="N703" s="2016"/>
      <c r="O703" s="2016"/>
      <c r="P703" s="2016"/>
      <c r="Q703" s="2016"/>
      <c r="R703" s="2016"/>
      <c r="S703" s="2016"/>
      <c r="T703" s="2016"/>
      <c r="U703" s="2016"/>
      <c r="V703" s="2016"/>
      <c r="W703" s="2016">
        <f t="shared" si="725"/>
        <v>27.54</v>
      </c>
      <c r="X703" s="2016">
        <f t="shared" si="726"/>
        <v>41.309999999999995</v>
      </c>
      <c r="Y703" s="2016">
        <f t="shared" si="727"/>
        <v>68.849999999999994</v>
      </c>
      <c r="Z703" s="2016"/>
    </row>
    <row r="704" spans="1:26" s="2009" customFormat="1" ht="30" x14ac:dyDescent="0.2">
      <c r="A704" s="1635" t="s">
        <v>7232</v>
      </c>
      <c r="B704" s="1984" t="s">
        <v>4448</v>
      </c>
      <c r="C704" s="1984">
        <v>100562</v>
      </c>
      <c r="D704" s="1813" t="s">
        <v>6286</v>
      </c>
      <c r="E704" s="1638">
        <v>2</v>
      </c>
      <c r="F704" s="1639" t="s">
        <v>5284</v>
      </c>
      <c r="G704" s="1648">
        <v>181.04</v>
      </c>
      <c r="H704" s="1636">
        <f t="shared" si="718"/>
        <v>48.75</v>
      </c>
      <c r="I704" s="1636">
        <f t="shared" si="721"/>
        <v>229.79</v>
      </c>
      <c r="J704" s="1723">
        <f t="shared" si="722"/>
        <v>459.58</v>
      </c>
      <c r="K704" s="2007">
        <f t="shared" si="723"/>
        <v>362.08</v>
      </c>
      <c r="L704" s="2007">
        <f t="shared" si="724"/>
        <v>97.5</v>
      </c>
      <c r="M704" s="2016"/>
      <c r="N704" s="2016"/>
      <c r="O704" s="2016"/>
      <c r="P704" s="2016"/>
      <c r="Q704" s="2016"/>
      <c r="R704" s="2016"/>
      <c r="S704" s="2016"/>
      <c r="T704" s="2016"/>
      <c r="U704" s="2016"/>
      <c r="V704" s="2016"/>
      <c r="W704" s="2016">
        <f t="shared" si="725"/>
        <v>91.915999999999997</v>
      </c>
      <c r="X704" s="2016">
        <f t="shared" si="726"/>
        <v>137.874</v>
      </c>
      <c r="Y704" s="2016">
        <f t="shared" si="727"/>
        <v>229.79</v>
      </c>
      <c r="Z704" s="2016"/>
    </row>
    <row r="705" spans="1:26" s="2009" customFormat="1" ht="45" x14ac:dyDescent="0.2">
      <c r="A705" s="1635" t="s">
        <v>7233</v>
      </c>
      <c r="B705" s="1984" t="s">
        <v>4448</v>
      </c>
      <c r="C705" s="1984">
        <v>95802</v>
      </c>
      <c r="D705" s="1813" t="s">
        <v>7210</v>
      </c>
      <c r="E705" s="1638">
        <v>94</v>
      </c>
      <c r="F705" s="1639" t="s">
        <v>5284</v>
      </c>
      <c r="G705" s="1648">
        <v>31.34</v>
      </c>
      <c r="H705" s="1636">
        <f t="shared" si="718"/>
        <v>8.44</v>
      </c>
      <c r="I705" s="1636">
        <f t="shared" si="721"/>
        <v>39.78</v>
      </c>
      <c r="J705" s="1723">
        <f t="shared" si="722"/>
        <v>3739.32</v>
      </c>
      <c r="K705" s="2007">
        <f t="shared" si="723"/>
        <v>2945.96</v>
      </c>
      <c r="L705" s="2007">
        <f t="shared" si="724"/>
        <v>793.36</v>
      </c>
      <c r="M705" s="2016"/>
      <c r="N705" s="2016"/>
      <c r="O705" s="2016"/>
      <c r="P705" s="2016"/>
      <c r="Q705" s="2016"/>
      <c r="R705" s="2016"/>
      <c r="S705" s="2016"/>
      <c r="T705" s="2016"/>
      <c r="U705" s="2016"/>
      <c r="V705" s="2016"/>
      <c r="W705" s="2016">
        <f t="shared" si="725"/>
        <v>747.86400000000003</v>
      </c>
      <c r="X705" s="2016">
        <f t="shared" si="726"/>
        <v>1121.796</v>
      </c>
      <c r="Y705" s="2016">
        <f t="shared" si="727"/>
        <v>1869.66</v>
      </c>
      <c r="Z705" s="2016"/>
    </row>
    <row r="706" spans="1:26" s="2009" customFormat="1" ht="30" x14ac:dyDescent="0.2">
      <c r="A706" s="1635" t="s">
        <v>7215</v>
      </c>
      <c r="B706" s="1984" t="s">
        <v>4448</v>
      </c>
      <c r="C706" s="1984" t="s">
        <v>6157</v>
      </c>
      <c r="D706" s="1813" t="s">
        <v>6134</v>
      </c>
      <c r="E706" s="1638">
        <v>555</v>
      </c>
      <c r="F706" s="1639" t="s">
        <v>5713</v>
      </c>
      <c r="G706" s="1648">
        <v>8.19</v>
      </c>
      <c r="H706" s="1636">
        <f t="shared" si="718"/>
        <v>2.21</v>
      </c>
      <c r="I706" s="1636">
        <f t="shared" si="721"/>
        <v>10.399999999999999</v>
      </c>
      <c r="J706" s="1723">
        <f t="shared" si="722"/>
        <v>5772</v>
      </c>
      <c r="K706" s="2007">
        <f t="shared" si="723"/>
        <v>4545.45</v>
      </c>
      <c r="L706" s="2007">
        <f t="shared" si="724"/>
        <v>1226.55</v>
      </c>
      <c r="M706" s="2016"/>
      <c r="N706" s="2016"/>
      <c r="O706" s="2016"/>
      <c r="P706" s="2016"/>
      <c r="Q706" s="2016"/>
      <c r="R706" s="2016"/>
      <c r="S706" s="2016"/>
      <c r="T706" s="2016"/>
      <c r="U706" s="2016"/>
      <c r="V706" s="2016"/>
      <c r="W706" s="2016">
        <f t="shared" si="725"/>
        <v>1154.4000000000001</v>
      </c>
      <c r="X706" s="2016">
        <f t="shared" si="726"/>
        <v>1731.6</v>
      </c>
      <c r="Y706" s="2016">
        <f t="shared" si="727"/>
        <v>2886</v>
      </c>
      <c r="Z706" s="2016"/>
    </row>
    <row r="707" spans="1:26" s="2009" customFormat="1" ht="30" x14ac:dyDescent="0.2">
      <c r="A707" s="1635" t="s">
        <v>7216</v>
      </c>
      <c r="B707" s="1984" t="s">
        <v>4448</v>
      </c>
      <c r="C707" s="1984" t="s">
        <v>6158</v>
      </c>
      <c r="D707" s="1813" t="s">
        <v>6135</v>
      </c>
      <c r="E707" s="1638">
        <v>15</v>
      </c>
      <c r="F707" s="1639" t="s">
        <v>5713</v>
      </c>
      <c r="G707" s="1648">
        <v>10.32</v>
      </c>
      <c r="H707" s="1636">
        <f t="shared" si="718"/>
        <v>2.78</v>
      </c>
      <c r="I707" s="1636">
        <f t="shared" si="721"/>
        <v>13.1</v>
      </c>
      <c r="J707" s="1723">
        <f t="shared" si="722"/>
        <v>196.5</v>
      </c>
      <c r="K707" s="2007">
        <f t="shared" si="723"/>
        <v>154.80000000000001</v>
      </c>
      <c r="L707" s="2007">
        <f t="shared" si="724"/>
        <v>41.7</v>
      </c>
      <c r="M707" s="2016"/>
      <c r="N707" s="2016"/>
      <c r="O707" s="2016"/>
      <c r="P707" s="2016"/>
      <c r="Q707" s="2016"/>
      <c r="R707" s="2016"/>
      <c r="S707" s="2016"/>
      <c r="T707" s="2016"/>
      <c r="U707" s="2016"/>
      <c r="V707" s="2016"/>
      <c r="W707" s="2016">
        <f t="shared" si="725"/>
        <v>39.300000000000004</v>
      </c>
      <c r="X707" s="2016">
        <f t="shared" si="726"/>
        <v>58.949999999999996</v>
      </c>
      <c r="Y707" s="2016">
        <f t="shared" si="727"/>
        <v>98.25</v>
      </c>
      <c r="Z707" s="2016"/>
    </row>
    <row r="708" spans="1:26" s="2009" customFormat="1" ht="30" x14ac:dyDescent="0.2">
      <c r="A708" s="1635" t="s">
        <v>7217</v>
      </c>
      <c r="B708" s="1984" t="s">
        <v>4448</v>
      </c>
      <c r="C708" s="1984">
        <v>93009</v>
      </c>
      <c r="D708" s="1813" t="s">
        <v>7218</v>
      </c>
      <c r="E708" s="1638">
        <f>314+10.3</f>
        <v>324.3</v>
      </c>
      <c r="F708" s="1639" t="s">
        <v>5713</v>
      </c>
      <c r="G708" s="1648">
        <v>16.54</v>
      </c>
      <c r="H708" s="1636">
        <f t="shared" si="718"/>
        <v>4.45</v>
      </c>
      <c r="I708" s="1636">
        <f t="shared" si="721"/>
        <v>20.99</v>
      </c>
      <c r="J708" s="1723">
        <f t="shared" si="722"/>
        <v>6807.06</v>
      </c>
      <c r="K708" s="2007">
        <f t="shared" si="723"/>
        <v>5363.92</v>
      </c>
      <c r="L708" s="2007">
        <f t="shared" si="724"/>
        <v>1443.14</v>
      </c>
      <c r="M708" s="2016"/>
      <c r="N708" s="2016"/>
      <c r="O708" s="2016"/>
      <c r="P708" s="2016"/>
      <c r="Q708" s="2016"/>
      <c r="R708" s="2016"/>
      <c r="S708" s="2016"/>
      <c r="T708" s="2016"/>
      <c r="U708" s="2016"/>
      <c r="V708" s="2016"/>
      <c r="W708" s="2016">
        <f t="shared" si="725"/>
        <v>1361.4120000000003</v>
      </c>
      <c r="X708" s="2016">
        <f t="shared" si="726"/>
        <v>2042.1179999999999</v>
      </c>
      <c r="Y708" s="2016">
        <f t="shared" si="727"/>
        <v>3403.53</v>
      </c>
      <c r="Z708" s="2016"/>
    </row>
    <row r="709" spans="1:26" s="2009" customFormat="1" ht="15" x14ac:dyDescent="0.2">
      <c r="A709" s="1635" t="s">
        <v>7220</v>
      </c>
      <c r="B709" s="1984" t="s">
        <v>4448</v>
      </c>
      <c r="C709" s="1984">
        <v>93020</v>
      </c>
      <c r="D709" s="1813" t="s">
        <v>7219</v>
      </c>
      <c r="E709" s="1638">
        <v>8</v>
      </c>
      <c r="F709" s="1639" t="s">
        <v>5284</v>
      </c>
      <c r="G709" s="1648">
        <v>19.91</v>
      </c>
      <c r="H709" s="1636">
        <f t="shared" ref="H709:H714" si="728">ROUND(G709*$B$13,2)</f>
        <v>5.36</v>
      </c>
      <c r="I709" s="1636">
        <f t="shared" si="721"/>
        <v>25.27</v>
      </c>
      <c r="J709" s="1723">
        <f t="shared" si="722"/>
        <v>202.16</v>
      </c>
      <c r="K709" s="2007">
        <f t="shared" si="723"/>
        <v>159.28</v>
      </c>
      <c r="L709" s="2007">
        <f t="shared" si="724"/>
        <v>42.88</v>
      </c>
      <c r="M709" s="2016"/>
      <c r="N709" s="2016"/>
      <c r="O709" s="2016"/>
      <c r="P709" s="2016"/>
      <c r="Q709" s="2016"/>
      <c r="R709" s="2016"/>
      <c r="S709" s="2016"/>
      <c r="T709" s="2016"/>
      <c r="U709" s="2016"/>
      <c r="V709" s="2016"/>
      <c r="W709" s="2016">
        <f t="shared" si="725"/>
        <v>40.432000000000002</v>
      </c>
      <c r="X709" s="2016">
        <f t="shared" si="726"/>
        <v>60.647999999999996</v>
      </c>
      <c r="Y709" s="2016">
        <f t="shared" si="727"/>
        <v>101.08</v>
      </c>
      <c r="Z709" s="2016"/>
    </row>
    <row r="710" spans="1:26" s="2009" customFormat="1" ht="15" x14ac:dyDescent="0.2">
      <c r="A710" s="1635" t="s">
        <v>7221</v>
      </c>
      <c r="B710" s="1984" t="s">
        <v>4448</v>
      </c>
      <c r="C710" s="1984">
        <v>91917</v>
      </c>
      <c r="D710" s="1813" t="s">
        <v>7150</v>
      </c>
      <c r="E710" s="1638">
        <v>5</v>
      </c>
      <c r="F710" s="1639" t="s">
        <v>5284</v>
      </c>
      <c r="G710" s="1648">
        <v>12.56</v>
      </c>
      <c r="H710" s="1636">
        <f t="shared" si="728"/>
        <v>3.38</v>
      </c>
      <c r="I710" s="1636">
        <f t="shared" si="721"/>
        <v>15.940000000000001</v>
      </c>
      <c r="J710" s="1723">
        <f t="shared" si="722"/>
        <v>79.7</v>
      </c>
      <c r="K710" s="2007">
        <f t="shared" si="723"/>
        <v>62.8</v>
      </c>
      <c r="L710" s="2007">
        <f t="shared" si="724"/>
        <v>16.899999999999999</v>
      </c>
      <c r="M710" s="2016"/>
      <c r="N710" s="2016"/>
      <c r="O710" s="2016"/>
      <c r="P710" s="2016"/>
      <c r="Q710" s="2016"/>
      <c r="R710" s="2016"/>
      <c r="S710" s="2016"/>
      <c r="T710" s="2016"/>
      <c r="U710" s="2016"/>
      <c r="V710" s="2016"/>
      <c r="W710" s="2016">
        <f t="shared" si="725"/>
        <v>15.940000000000001</v>
      </c>
      <c r="X710" s="2016">
        <f t="shared" si="726"/>
        <v>23.91</v>
      </c>
      <c r="Y710" s="2016">
        <f t="shared" si="727"/>
        <v>39.85</v>
      </c>
      <c r="Z710" s="2016"/>
    </row>
    <row r="711" spans="1:26" s="2009" customFormat="1" ht="15" x14ac:dyDescent="0.2">
      <c r="A711" s="1635" t="s">
        <v>7222</v>
      </c>
      <c r="B711" s="1984" t="s">
        <v>4448</v>
      </c>
      <c r="C711" s="1984">
        <v>91914</v>
      </c>
      <c r="D711" s="1813" t="s">
        <v>7151</v>
      </c>
      <c r="E711" s="1638">
        <v>65</v>
      </c>
      <c r="F711" s="1639" t="s">
        <v>5284</v>
      </c>
      <c r="G711" s="1648">
        <v>10.41</v>
      </c>
      <c r="H711" s="1636">
        <f t="shared" si="728"/>
        <v>2.8</v>
      </c>
      <c r="I711" s="1636">
        <f t="shared" si="721"/>
        <v>13.21</v>
      </c>
      <c r="J711" s="1723">
        <f t="shared" si="722"/>
        <v>858.65</v>
      </c>
      <c r="K711" s="2007">
        <f t="shared" si="723"/>
        <v>676.65</v>
      </c>
      <c r="L711" s="2007">
        <f t="shared" si="724"/>
        <v>182</v>
      </c>
      <c r="M711" s="2016"/>
      <c r="N711" s="2016"/>
      <c r="O711" s="2016"/>
      <c r="P711" s="2016"/>
      <c r="Q711" s="2016"/>
      <c r="R711" s="2016"/>
      <c r="S711" s="2016"/>
      <c r="T711" s="2016"/>
      <c r="U711" s="2016"/>
      <c r="V711" s="2016"/>
      <c r="W711" s="2016">
        <f t="shared" si="725"/>
        <v>171.73000000000002</v>
      </c>
      <c r="X711" s="2016">
        <f t="shared" si="726"/>
        <v>257.59499999999997</v>
      </c>
      <c r="Y711" s="2016">
        <f t="shared" si="727"/>
        <v>429.32499999999999</v>
      </c>
      <c r="Z711" s="2016"/>
    </row>
    <row r="712" spans="1:26" s="2009" customFormat="1" ht="15" x14ac:dyDescent="0.2">
      <c r="A712" s="1635" t="s">
        <v>7223</v>
      </c>
      <c r="B712" s="1984" t="s">
        <v>4448</v>
      </c>
      <c r="C712" s="1984">
        <v>93014</v>
      </c>
      <c r="D712" s="1813" t="s">
        <v>15064</v>
      </c>
      <c r="E712" s="1638">
        <v>86</v>
      </c>
      <c r="F712" s="1639" t="s">
        <v>5284</v>
      </c>
      <c r="G712" s="1648">
        <v>12.63</v>
      </c>
      <c r="H712" s="1636">
        <f t="shared" si="728"/>
        <v>3.4</v>
      </c>
      <c r="I712" s="1636">
        <f t="shared" si="721"/>
        <v>16.03</v>
      </c>
      <c r="J712" s="1723">
        <f t="shared" si="722"/>
        <v>1378.58</v>
      </c>
      <c r="K712" s="2007">
        <f t="shared" si="723"/>
        <v>1086.18</v>
      </c>
      <c r="L712" s="2007">
        <f t="shared" si="724"/>
        <v>292.39999999999998</v>
      </c>
      <c r="M712" s="2016"/>
      <c r="N712" s="2016"/>
      <c r="O712" s="2016"/>
      <c r="P712" s="2016"/>
      <c r="Q712" s="2016"/>
      <c r="R712" s="2016"/>
      <c r="S712" s="2016"/>
      <c r="T712" s="2016"/>
      <c r="U712" s="2016"/>
      <c r="V712" s="2016"/>
      <c r="W712" s="2016">
        <f t="shared" si="725"/>
        <v>275.71600000000001</v>
      </c>
      <c r="X712" s="2016">
        <f t="shared" si="726"/>
        <v>413.57399999999996</v>
      </c>
      <c r="Y712" s="2016">
        <f t="shared" si="727"/>
        <v>689.29</v>
      </c>
      <c r="Z712" s="2016"/>
    </row>
    <row r="713" spans="1:26" s="2009" customFormat="1" ht="15" x14ac:dyDescent="0.2">
      <c r="A713" s="1635" t="s">
        <v>7224</v>
      </c>
      <c r="B713" s="1984" t="s">
        <v>4448</v>
      </c>
      <c r="C713" s="1984">
        <v>91885</v>
      </c>
      <c r="D713" s="1813" t="s">
        <v>7153</v>
      </c>
      <c r="E713" s="1638">
        <v>15</v>
      </c>
      <c r="F713" s="1639" t="s">
        <v>5284</v>
      </c>
      <c r="G713" s="1648">
        <v>7.66</v>
      </c>
      <c r="H713" s="1636">
        <f t="shared" si="728"/>
        <v>2.06</v>
      </c>
      <c r="I713" s="1636">
        <f t="shared" si="721"/>
        <v>9.7200000000000006</v>
      </c>
      <c r="J713" s="1723">
        <f t="shared" si="722"/>
        <v>145.80000000000001</v>
      </c>
      <c r="K713" s="2007">
        <f t="shared" si="723"/>
        <v>114.9</v>
      </c>
      <c r="L713" s="2007">
        <f t="shared" si="724"/>
        <v>30.9</v>
      </c>
      <c r="M713" s="2016"/>
      <c r="N713" s="2016"/>
      <c r="O713" s="2016"/>
      <c r="P713" s="2016"/>
      <c r="Q713" s="2016"/>
      <c r="R713" s="2016"/>
      <c r="S713" s="2016"/>
      <c r="T713" s="2016"/>
      <c r="U713" s="2016"/>
      <c r="V713" s="2016"/>
      <c r="W713" s="2016">
        <f t="shared" si="725"/>
        <v>29.160000000000004</v>
      </c>
      <c r="X713" s="2016">
        <f t="shared" si="726"/>
        <v>43.74</v>
      </c>
      <c r="Y713" s="2016">
        <f t="shared" si="727"/>
        <v>72.900000000000006</v>
      </c>
      <c r="Z713" s="2016"/>
    </row>
    <row r="714" spans="1:26" s="2009" customFormat="1" ht="15" x14ac:dyDescent="0.2">
      <c r="A714" s="1635" t="s">
        <v>7225</v>
      </c>
      <c r="B714" s="1984" t="s">
        <v>4448</v>
      </c>
      <c r="C714" s="1984">
        <v>91884</v>
      </c>
      <c r="D714" s="1813" t="s">
        <v>7154</v>
      </c>
      <c r="E714" s="1638">
        <v>315</v>
      </c>
      <c r="F714" s="1639" t="s">
        <v>5284</v>
      </c>
      <c r="G714" s="1648">
        <v>6.52</v>
      </c>
      <c r="H714" s="1636">
        <f t="shared" si="728"/>
        <v>1.76</v>
      </c>
      <c r="I714" s="1636">
        <f t="shared" si="721"/>
        <v>8.2799999999999994</v>
      </c>
      <c r="J714" s="1723">
        <f t="shared" si="722"/>
        <v>2608.1999999999998</v>
      </c>
      <c r="K714" s="2007">
        <f t="shared" si="723"/>
        <v>2053.8000000000002</v>
      </c>
      <c r="L714" s="2007">
        <f t="shared" si="724"/>
        <v>554.4</v>
      </c>
      <c r="M714" s="2016"/>
      <c r="N714" s="2016"/>
      <c r="O714" s="2016"/>
      <c r="P714" s="2016"/>
      <c r="Q714" s="2016"/>
      <c r="R714" s="2016"/>
      <c r="S714" s="2016"/>
      <c r="T714" s="2016"/>
      <c r="U714" s="2016"/>
      <c r="V714" s="2016"/>
      <c r="W714" s="2016">
        <f t="shared" si="725"/>
        <v>521.64</v>
      </c>
      <c r="X714" s="2016">
        <f t="shared" si="726"/>
        <v>782.45999999999992</v>
      </c>
      <c r="Y714" s="2016">
        <f t="shared" si="727"/>
        <v>1304.0999999999999</v>
      </c>
      <c r="Z714" s="2016"/>
    </row>
    <row r="715" spans="1:26" s="2009" customFormat="1" ht="30" x14ac:dyDescent="0.2">
      <c r="A715" s="1635" t="s">
        <v>7242</v>
      </c>
      <c r="B715" s="1984" t="s">
        <v>5281</v>
      </c>
      <c r="C715" s="1984">
        <v>8684</v>
      </c>
      <c r="D715" s="1813" t="s">
        <v>7228</v>
      </c>
      <c r="E715" s="1638">
        <v>150</v>
      </c>
      <c r="F715" s="1639" t="s">
        <v>5713</v>
      </c>
      <c r="G715" s="1648">
        <v>31.72</v>
      </c>
      <c r="H715" s="1636">
        <f t="shared" si="718"/>
        <v>8.5399999999999991</v>
      </c>
      <c r="I715" s="1636">
        <f t="shared" si="721"/>
        <v>40.26</v>
      </c>
      <c r="J715" s="1723">
        <f t="shared" si="722"/>
        <v>6039</v>
      </c>
      <c r="K715" s="2007">
        <f t="shared" si="723"/>
        <v>4758</v>
      </c>
      <c r="L715" s="2007">
        <f t="shared" si="724"/>
        <v>1281</v>
      </c>
      <c r="M715" s="2016"/>
      <c r="N715" s="2016"/>
      <c r="O715" s="2016"/>
      <c r="P715" s="2016"/>
      <c r="Q715" s="2016"/>
      <c r="R715" s="2016"/>
      <c r="S715" s="2016"/>
      <c r="T715" s="2016"/>
      <c r="U715" s="2016"/>
      <c r="V715" s="2016"/>
      <c r="W715" s="2016">
        <f t="shared" si="725"/>
        <v>1207.8</v>
      </c>
      <c r="X715" s="2016">
        <f t="shared" si="726"/>
        <v>1811.7</v>
      </c>
      <c r="Y715" s="2016">
        <f t="shared" si="727"/>
        <v>3019.5</v>
      </c>
      <c r="Z715" s="2016"/>
    </row>
    <row r="716" spans="1:26" s="2009" customFormat="1" ht="30" x14ac:dyDescent="0.2">
      <c r="A716" s="1635" t="s">
        <v>7243</v>
      </c>
      <c r="B716" s="1984" t="s">
        <v>5281</v>
      </c>
      <c r="C716" s="1984">
        <v>8701</v>
      </c>
      <c r="D716" s="1813" t="s">
        <v>7167</v>
      </c>
      <c r="E716" s="1638">
        <v>2</v>
      </c>
      <c r="F716" s="1639" t="s">
        <v>5284</v>
      </c>
      <c r="G716" s="1648">
        <v>34.590000000000003</v>
      </c>
      <c r="H716" s="1636">
        <f t="shared" si="718"/>
        <v>9.32</v>
      </c>
      <c r="I716" s="1636">
        <f t="shared" si="721"/>
        <v>43.910000000000004</v>
      </c>
      <c r="J716" s="1723">
        <f t="shared" si="722"/>
        <v>87.82</v>
      </c>
      <c r="K716" s="2007">
        <f t="shared" si="723"/>
        <v>69.180000000000007</v>
      </c>
      <c r="L716" s="2007">
        <f t="shared" si="724"/>
        <v>18.64</v>
      </c>
      <c r="M716" s="2016"/>
      <c r="N716" s="2016"/>
      <c r="O716" s="2016"/>
      <c r="P716" s="2016"/>
      <c r="Q716" s="2016"/>
      <c r="R716" s="2016"/>
      <c r="S716" s="2016"/>
      <c r="T716" s="2016"/>
      <c r="U716" s="2016"/>
      <c r="V716" s="2016"/>
      <c r="W716" s="2016">
        <f t="shared" si="725"/>
        <v>17.564</v>
      </c>
      <c r="X716" s="2016">
        <f t="shared" si="726"/>
        <v>26.345999999999997</v>
      </c>
      <c r="Y716" s="2016">
        <f t="shared" si="727"/>
        <v>43.91</v>
      </c>
      <c r="Z716" s="2016"/>
    </row>
    <row r="717" spans="1:26" s="2009" customFormat="1" ht="30" x14ac:dyDescent="0.2">
      <c r="A717" s="1635" t="s">
        <v>7244</v>
      </c>
      <c r="B717" s="1984" t="s">
        <v>5281</v>
      </c>
      <c r="C717" s="1984">
        <v>8687</v>
      </c>
      <c r="D717" s="1813" t="s">
        <v>7172</v>
      </c>
      <c r="E717" s="1638">
        <v>3</v>
      </c>
      <c r="F717" s="1639" t="s">
        <v>5284</v>
      </c>
      <c r="G717" s="1648">
        <v>29.32</v>
      </c>
      <c r="H717" s="1636">
        <f t="shared" si="718"/>
        <v>7.9</v>
      </c>
      <c r="I717" s="1636">
        <f t="shared" si="721"/>
        <v>37.22</v>
      </c>
      <c r="J717" s="1723">
        <f t="shared" si="722"/>
        <v>111.66</v>
      </c>
      <c r="K717" s="2007">
        <f t="shared" si="723"/>
        <v>87.96</v>
      </c>
      <c r="L717" s="2007">
        <f t="shared" si="724"/>
        <v>23.7</v>
      </c>
      <c r="M717" s="2016"/>
      <c r="N717" s="2016"/>
      <c r="O717" s="2016"/>
      <c r="P717" s="2016"/>
      <c r="Q717" s="2016"/>
      <c r="R717" s="2016"/>
      <c r="S717" s="2016"/>
      <c r="T717" s="2016"/>
      <c r="U717" s="2016"/>
      <c r="V717" s="2016"/>
      <c r="W717" s="2016">
        <f t="shared" si="725"/>
        <v>22.332000000000001</v>
      </c>
      <c r="X717" s="2016">
        <f t="shared" si="726"/>
        <v>33.497999999999998</v>
      </c>
      <c r="Y717" s="2016">
        <f t="shared" si="727"/>
        <v>55.83</v>
      </c>
      <c r="Z717" s="2016"/>
    </row>
    <row r="718" spans="1:26" s="2009" customFormat="1" ht="30" x14ac:dyDescent="0.2">
      <c r="A718" s="1635" t="s">
        <v>15096</v>
      </c>
      <c r="B718" s="1984" t="s">
        <v>5281</v>
      </c>
      <c r="C718" s="1984" t="s">
        <v>7194</v>
      </c>
      <c r="D718" s="1813" t="s">
        <v>7174</v>
      </c>
      <c r="E718" s="1638">
        <v>2</v>
      </c>
      <c r="F718" s="1639" t="s">
        <v>5284</v>
      </c>
      <c r="G718" s="1648">
        <v>57.15</v>
      </c>
      <c r="H718" s="1636">
        <f t="shared" si="718"/>
        <v>15.39</v>
      </c>
      <c r="I718" s="1636">
        <f t="shared" si="721"/>
        <v>72.539999999999992</v>
      </c>
      <c r="J718" s="1723">
        <f t="shared" si="722"/>
        <v>145.08000000000001</v>
      </c>
      <c r="K718" s="2007">
        <f t="shared" si="723"/>
        <v>114.3</v>
      </c>
      <c r="L718" s="2007">
        <f t="shared" si="724"/>
        <v>30.78</v>
      </c>
      <c r="M718" s="2016"/>
      <c r="N718" s="2016"/>
      <c r="O718" s="2016"/>
      <c r="P718" s="2016"/>
      <c r="Q718" s="2016"/>
      <c r="R718" s="2016"/>
      <c r="S718" s="2016"/>
      <c r="T718" s="2016"/>
      <c r="U718" s="2016"/>
      <c r="V718" s="2016"/>
      <c r="W718" s="2016">
        <f t="shared" si="725"/>
        <v>29.016000000000005</v>
      </c>
      <c r="X718" s="2016">
        <f t="shared" si="726"/>
        <v>43.524000000000001</v>
      </c>
      <c r="Y718" s="2016">
        <f t="shared" si="727"/>
        <v>72.540000000000006</v>
      </c>
      <c r="Z718" s="2016"/>
    </row>
    <row r="719" spans="1:26" s="2009" customFormat="1" ht="30" x14ac:dyDescent="0.2">
      <c r="A719" s="1635" t="s">
        <v>15097</v>
      </c>
      <c r="B719" s="1984" t="s">
        <v>5281</v>
      </c>
      <c r="C719" s="1984">
        <v>7384</v>
      </c>
      <c r="D719" s="1813" t="s">
        <v>7198</v>
      </c>
      <c r="E719" s="1638">
        <v>252</v>
      </c>
      <c r="F719" s="1639" t="s">
        <v>5713</v>
      </c>
      <c r="G719" s="1648">
        <v>16.43</v>
      </c>
      <c r="H719" s="1636">
        <f t="shared" si="718"/>
        <v>4.42</v>
      </c>
      <c r="I719" s="1636">
        <f t="shared" si="721"/>
        <v>20.85</v>
      </c>
      <c r="J719" s="1723">
        <f t="shared" si="722"/>
        <v>5254.2</v>
      </c>
      <c r="K719" s="2007">
        <f t="shared" si="723"/>
        <v>4140.3599999999997</v>
      </c>
      <c r="L719" s="2007">
        <f t="shared" si="724"/>
        <v>1113.8399999999999</v>
      </c>
      <c r="M719" s="2016"/>
      <c r="N719" s="2016"/>
      <c r="O719" s="2016"/>
      <c r="P719" s="2016"/>
      <c r="Q719" s="2016"/>
      <c r="R719" s="2016"/>
      <c r="S719" s="2016"/>
      <c r="T719" s="2016"/>
      <c r="U719" s="2016"/>
      <c r="V719" s="2016"/>
      <c r="W719" s="2016">
        <f t="shared" si="725"/>
        <v>1050.8399999999999</v>
      </c>
      <c r="X719" s="2016">
        <f t="shared" si="726"/>
        <v>1576.26</v>
      </c>
      <c r="Y719" s="2016">
        <f t="shared" si="727"/>
        <v>2627.1</v>
      </c>
      <c r="Z719" s="2016"/>
    </row>
    <row r="720" spans="1:26" s="2009" customFormat="1" ht="30" x14ac:dyDescent="0.2">
      <c r="A720" s="1635" t="s">
        <v>7245</v>
      </c>
      <c r="B720" s="1984" t="s">
        <v>5281</v>
      </c>
      <c r="C720" s="1984">
        <v>723</v>
      </c>
      <c r="D720" s="1813" t="s">
        <v>7199</v>
      </c>
      <c r="E720" s="1638">
        <v>50</v>
      </c>
      <c r="F720" s="1639" t="s">
        <v>5284</v>
      </c>
      <c r="G720" s="1648">
        <v>4.01</v>
      </c>
      <c r="H720" s="1636">
        <f t="shared" si="718"/>
        <v>1.08</v>
      </c>
      <c r="I720" s="1636">
        <f t="shared" si="721"/>
        <v>5.09</v>
      </c>
      <c r="J720" s="1723">
        <f t="shared" si="722"/>
        <v>254.5</v>
      </c>
      <c r="K720" s="2007">
        <f t="shared" si="723"/>
        <v>200.5</v>
      </c>
      <c r="L720" s="2007">
        <f t="shared" si="724"/>
        <v>54</v>
      </c>
      <c r="M720" s="2016"/>
      <c r="N720" s="2016"/>
      <c r="O720" s="2016"/>
      <c r="P720" s="2016"/>
      <c r="Q720" s="2016"/>
      <c r="R720" s="2016"/>
      <c r="S720" s="2016"/>
      <c r="T720" s="2016"/>
      <c r="U720" s="2016"/>
      <c r="V720" s="2016"/>
      <c r="W720" s="2016">
        <f t="shared" si="725"/>
        <v>50.900000000000006</v>
      </c>
      <c r="X720" s="2016">
        <f t="shared" si="726"/>
        <v>76.349999999999994</v>
      </c>
      <c r="Y720" s="2016">
        <f t="shared" si="727"/>
        <v>127.25</v>
      </c>
      <c r="Z720" s="2016"/>
    </row>
    <row r="721" spans="1:26" s="2009" customFormat="1" ht="30" x14ac:dyDescent="0.2">
      <c r="A721" s="1635" t="s">
        <v>7229</v>
      </c>
      <c r="B721" s="1984" t="s">
        <v>5696</v>
      </c>
      <c r="C721" s="1984" t="s">
        <v>7247</v>
      </c>
      <c r="D721" s="1813" t="s">
        <v>7246</v>
      </c>
      <c r="E721" s="1638">
        <v>35</v>
      </c>
      <c r="F721" s="1639" t="s">
        <v>5713</v>
      </c>
      <c r="G721" s="1648">
        <v>53.31</v>
      </c>
      <c r="H721" s="1636">
        <f t="shared" si="718"/>
        <v>14.36</v>
      </c>
      <c r="I721" s="1636">
        <f t="shared" si="721"/>
        <v>67.67</v>
      </c>
      <c r="J721" s="1723">
        <f t="shared" si="722"/>
        <v>2368.4499999999998</v>
      </c>
      <c r="K721" s="2007">
        <f t="shared" si="723"/>
        <v>1865.85</v>
      </c>
      <c r="L721" s="2007">
        <f t="shared" si="724"/>
        <v>502.6</v>
      </c>
      <c r="M721" s="2016"/>
      <c r="N721" s="2016"/>
      <c r="O721" s="2016"/>
      <c r="P721" s="2016"/>
      <c r="Q721" s="2016"/>
      <c r="R721" s="2016"/>
      <c r="S721" s="2016"/>
      <c r="T721" s="2016"/>
      <c r="U721" s="2016"/>
      <c r="V721" s="2016"/>
      <c r="W721" s="2016">
        <f t="shared" si="725"/>
        <v>473.69</v>
      </c>
      <c r="X721" s="2016">
        <f t="shared" si="726"/>
        <v>710.53499999999997</v>
      </c>
      <c r="Y721" s="2016">
        <f t="shared" si="727"/>
        <v>1184.2249999999999</v>
      </c>
      <c r="Z721" s="2016"/>
    </row>
    <row r="722" spans="1:26" s="2009" customFormat="1" ht="30" x14ac:dyDescent="0.2">
      <c r="A722" s="1635" t="s">
        <v>7230</v>
      </c>
      <c r="B722" s="1984" t="s">
        <v>5696</v>
      </c>
      <c r="C722" s="1984" t="s">
        <v>7253</v>
      </c>
      <c r="D722" s="1813" t="s">
        <v>7252</v>
      </c>
      <c r="E722" s="1638">
        <v>13</v>
      </c>
      <c r="F722" s="1639" t="s">
        <v>5284</v>
      </c>
      <c r="G722" s="1648">
        <v>18.47</v>
      </c>
      <c r="H722" s="1636">
        <f t="shared" si="718"/>
        <v>4.97</v>
      </c>
      <c r="I722" s="1636">
        <f>H722+G722</f>
        <v>23.439999999999998</v>
      </c>
      <c r="J722" s="1723">
        <f>ROUND(I722*E722,2)</f>
        <v>304.72000000000003</v>
      </c>
      <c r="K722" s="2007">
        <f t="shared" si="723"/>
        <v>240.11</v>
      </c>
      <c r="L722" s="2007">
        <f t="shared" si="724"/>
        <v>64.61</v>
      </c>
      <c r="M722" s="2016"/>
      <c r="N722" s="2016"/>
      <c r="O722" s="2016"/>
      <c r="P722" s="2016"/>
      <c r="Q722" s="2016"/>
      <c r="R722" s="2016"/>
      <c r="S722" s="2016"/>
      <c r="T722" s="2016"/>
      <c r="U722" s="2016"/>
      <c r="V722" s="2016"/>
      <c r="W722" s="2016">
        <f t="shared" si="725"/>
        <v>60.94400000000001</v>
      </c>
      <c r="X722" s="2016">
        <f t="shared" si="726"/>
        <v>91.416000000000011</v>
      </c>
      <c r="Y722" s="2016">
        <f t="shared" si="727"/>
        <v>152.36000000000001</v>
      </c>
      <c r="Z722" s="2016"/>
    </row>
    <row r="723" spans="1:26" s="2009" customFormat="1" ht="15" x14ac:dyDescent="0.2">
      <c r="A723" s="1635" t="s">
        <v>6294</v>
      </c>
      <c r="B723" s="1984" t="s">
        <v>5281</v>
      </c>
      <c r="C723" s="1984">
        <v>10332</v>
      </c>
      <c r="D723" s="1813" t="s">
        <v>6277</v>
      </c>
      <c r="E723" s="1638">
        <v>149</v>
      </c>
      <c r="F723" s="1639" t="s">
        <v>5284</v>
      </c>
      <c r="G723" s="1648">
        <v>23.68</v>
      </c>
      <c r="H723" s="1636">
        <f t="shared" si="718"/>
        <v>6.38</v>
      </c>
      <c r="I723" s="1636">
        <f t="shared" si="721"/>
        <v>30.06</v>
      </c>
      <c r="J723" s="1723">
        <f t="shared" si="722"/>
        <v>4478.9399999999996</v>
      </c>
      <c r="K723" s="2007">
        <f t="shared" si="723"/>
        <v>3528.32</v>
      </c>
      <c r="L723" s="2007">
        <f t="shared" si="724"/>
        <v>950.62</v>
      </c>
      <c r="M723" s="2016"/>
      <c r="N723" s="2016"/>
      <c r="O723" s="2016"/>
      <c r="P723" s="2016"/>
      <c r="Q723" s="2016"/>
      <c r="R723" s="2016"/>
      <c r="S723" s="2016"/>
      <c r="T723" s="2016"/>
      <c r="U723" s="2016"/>
      <c r="V723" s="2016"/>
      <c r="W723" s="2016">
        <f t="shared" si="725"/>
        <v>895.78800000000001</v>
      </c>
      <c r="X723" s="2016">
        <f t="shared" si="726"/>
        <v>1343.6819999999998</v>
      </c>
      <c r="Y723" s="2016">
        <f t="shared" si="727"/>
        <v>2239.4699999999998</v>
      </c>
      <c r="Z723" s="2016"/>
    </row>
    <row r="724" spans="1:26" s="2009" customFormat="1" ht="30" x14ac:dyDescent="0.2">
      <c r="A724" s="1635" t="s">
        <v>7256</v>
      </c>
      <c r="B724" s="1984" t="s">
        <v>5714</v>
      </c>
      <c r="C724" s="1984">
        <v>14</v>
      </c>
      <c r="D724" s="1813" t="s">
        <v>7257</v>
      </c>
      <c r="E724" s="1638">
        <v>4</v>
      </c>
      <c r="F724" s="1812" t="s">
        <v>7609</v>
      </c>
      <c r="G724" s="1648">
        <v>40</v>
      </c>
      <c r="H724" s="1636">
        <f t="shared" si="718"/>
        <v>10.77</v>
      </c>
      <c r="I724" s="1636">
        <f>H724+G724</f>
        <v>50.769999999999996</v>
      </c>
      <c r="J724" s="1723">
        <f>ROUND(I724*E724,2)</f>
        <v>203.08</v>
      </c>
      <c r="K724" s="2007">
        <f t="shared" si="723"/>
        <v>160</v>
      </c>
      <c r="L724" s="2007">
        <f t="shared" si="724"/>
        <v>43.08</v>
      </c>
      <c r="M724" s="2016"/>
      <c r="N724" s="2016"/>
      <c r="O724" s="2016"/>
      <c r="P724" s="2016"/>
      <c r="Q724" s="2016"/>
      <c r="R724" s="2016"/>
      <c r="S724" s="2016"/>
      <c r="T724" s="2016"/>
      <c r="U724" s="2016"/>
      <c r="V724" s="2016"/>
      <c r="W724" s="2016">
        <f t="shared" si="725"/>
        <v>40.616000000000007</v>
      </c>
      <c r="X724" s="2016">
        <f t="shared" si="726"/>
        <v>60.923999999999999</v>
      </c>
      <c r="Y724" s="2016">
        <f t="shared" si="727"/>
        <v>101.54</v>
      </c>
      <c r="Z724" s="2016"/>
    </row>
    <row r="725" spans="1:26" s="2006" customFormat="1" ht="15" x14ac:dyDescent="0.2">
      <c r="A725" s="2133" t="s">
        <v>6279</v>
      </c>
      <c r="B725" s="2133"/>
      <c r="C725" s="2133"/>
      <c r="D725" s="2133"/>
      <c r="E725" s="2133"/>
      <c r="F725" s="2133"/>
      <c r="G725" s="2133"/>
      <c r="H725" s="2133"/>
      <c r="I725" s="2133"/>
      <c r="J725" s="1724">
        <f>SUM(J690:J724)</f>
        <v>116364.35000000002</v>
      </c>
      <c r="K725" s="2010"/>
      <c r="L725" s="2015"/>
      <c r="M725" s="1724">
        <f t="shared" ref="M725:Z725" si="729">SUM(M690:M724)</f>
        <v>0</v>
      </c>
      <c r="N725" s="1724">
        <f t="shared" si="729"/>
        <v>0</v>
      </c>
      <c r="O725" s="1724">
        <f t="shared" si="729"/>
        <v>0</v>
      </c>
      <c r="P725" s="1724">
        <f t="shared" si="729"/>
        <v>0</v>
      </c>
      <c r="Q725" s="1724">
        <f t="shared" si="729"/>
        <v>0</v>
      </c>
      <c r="R725" s="1724">
        <f t="shared" si="729"/>
        <v>0</v>
      </c>
      <c r="S725" s="1724">
        <f t="shared" si="729"/>
        <v>0</v>
      </c>
      <c r="T725" s="1724">
        <f t="shared" si="729"/>
        <v>0</v>
      </c>
      <c r="U725" s="1724">
        <f t="shared" si="729"/>
        <v>0</v>
      </c>
      <c r="V725" s="1724">
        <f t="shared" si="729"/>
        <v>0</v>
      </c>
      <c r="W725" s="1724">
        <f t="shared" si="729"/>
        <v>23272.869999999995</v>
      </c>
      <c r="X725" s="1724">
        <f t="shared" si="729"/>
        <v>34909.305</v>
      </c>
      <c r="Y725" s="1724">
        <f t="shared" si="729"/>
        <v>58182.17500000001</v>
      </c>
      <c r="Z725" s="1724">
        <f t="shared" si="729"/>
        <v>0</v>
      </c>
    </row>
    <row r="726" spans="1:26" s="2006" customFormat="1" ht="15" x14ac:dyDescent="0.2">
      <c r="A726" s="52"/>
      <c r="B726" s="52"/>
      <c r="C726" s="52"/>
      <c r="D726" s="52"/>
      <c r="E726" s="1506"/>
      <c r="F726" s="52"/>
      <c r="G726" s="1649"/>
      <c r="H726" s="51"/>
      <c r="I726" s="51"/>
      <c r="J726" s="1725"/>
      <c r="K726" s="51"/>
      <c r="L726" s="2015"/>
      <c r="M726" s="2005"/>
      <c r="N726" s="2005"/>
      <c r="O726" s="2005"/>
      <c r="P726" s="2005"/>
      <c r="Q726" s="2005"/>
      <c r="R726" s="2005"/>
      <c r="S726" s="2005"/>
      <c r="T726" s="2005"/>
      <c r="U726" s="2005"/>
      <c r="V726" s="2005"/>
      <c r="W726" s="2005"/>
      <c r="X726" s="2005"/>
      <c r="Y726" s="2005"/>
      <c r="Z726" s="2005"/>
    </row>
    <row r="727" spans="1:26" s="2006" customFormat="1" ht="15" x14ac:dyDescent="0.2">
      <c r="A727" s="1513" t="s">
        <v>7234</v>
      </c>
      <c r="B727" s="2130" t="s">
        <v>5003</v>
      </c>
      <c r="C727" s="2130"/>
      <c r="D727" s="2130"/>
      <c r="E727" s="2130"/>
      <c r="F727" s="2130"/>
      <c r="G727" s="2130"/>
      <c r="H727" s="2130"/>
      <c r="I727" s="2130"/>
      <c r="J727" s="2130"/>
      <c r="K727" s="1980"/>
      <c r="L727" s="2015"/>
      <c r="M727" s="2005"/>
      <c r="N727" s="2005"/>
      <c r="O727" s="2005"/>
      <c r="P727" s="2005"/>
      <c r="Q727" s="2005"/>
      <c r="R727" s="2005"/>
      <c r="S727" s="2005"/>
      <c r="T727" s="2005"/>
      <c r="U727" s="2005"/>
      <c r="V727" s="2005"/>
      <c r="W727" s="2005"/>
      <c r="X727" s="2005"/>
      <c r="Y727" s="2005"/>
      <c r="Z727" s="2005"/>
    </row>
    <row r="728" spans="1:26" s="2006" customFormat="1" ht="15" x14ac:dyDescent="0.2">
      <c r="A728" s="1634" t="s">
        <v>7236</v>
      </c>
      <c r="B728" s="2136" t="s">
        <v>7237</v>
      </c>
      <c r="C728" s="2136"/>
      <c r="D728" s="2136"/>
      <c r="E728" s="2136"/>
      <c r="F728" s="2136"/>
      <c r="G728" s="2136"/>
      <c r="H728" s="2136"/>
      <c r="I728" s="2136"/>
      <c r="J728" s="2136"/>
      <c r="K728" s="1983"/>
      <c r="L728" s="2015"/>
      <c r="M728" s="2005"/>
      <c r="N728" s="2005"/>
      <c r="O728" s="2005"/>
      <c r="P728" s="2005"/>
      <c r="Q728" s="2005"/>
      <c r="R728" s="2005"/>
      <c r="S728" s="2005"/>
      <c r="T728" s="2005"/>
      <c r="U728" s="2005"/>
      <c r="V728" s="2005"/>
      <c r="W728" s="2005"/>
      <c r="X728" s="2005"/>
      <c r="Y728" s="2005"/>
      <c r="Z728" s="2005"/>
    </row>
    <row r="729" spans="1:26" s="2009" customFormat="1" ht="45" x14ac:dyDescent="0.2">
      <c r="A729" s="1635" t="s">
        <v>7265</v>
      </c>
      <c r="B729" s="1984" t="s">
        <v>4448</v>
      </c>
      <c r="C729" s="1984">
        <v>93358</v>
      </c>
      <c r="D729" s="1813" t="s">
        <v>7493</v>
      </c>
      <c r="E729" s="1638">
        <f>QuantPrédio!K782</f>
        <v>89.96</v>
      </c>
      <c r="F729" s="1639" t="s">
        <v>5685</v>
      </c>
      <c r="G729" s="1648">
        <v>59.65</v>
      </c>
      <c r="H729" s="1636">
        <f>ROUND(G729*$B$13,2)</f>
        <v>16.059999999999999</v>
      </c>
      <c r="I729" s="1636">
        <f>H729+G729</f>
        <v>75.709999999999994</v>
      </c>
      <c r="J729" s="1723">
        <f>ROUND(I729*E729,2)</f>
        <v>6810.87</v>
      </c>
      <c r="K729" s="2007">
        <f t="shared" ref="K729" si="730">ROUND(G729*E729,2)</f>
        <v>5366.11</v>
      </c>
      <c r="L729" s="2007">
        <f t="shared" ref="L729" si="731">ROUND(H729*E729,2)</f>
        <v>1444.76</v>
      </c>
      <c r="M729" s="2016"/>
      <c r="N729" s="2016"/>
      <c r="O729" s="2016"/>
      <c r="P729" s="2016"/>
      <c r="Q729" s="2016"/>
      <c r="R729" s="2016"/>
      <c r="S729" s="2016"/>
      <c r="T729" s="2016"/>
      <c r="U729" s="2016"/>
      <c r="V729" s="2016">
        <f>J729</f>
        <v>6810.87</v>
      </c>
      <c r="W729" s="2016"/>
      <c r="X729" s="2016"/>
      <c r="Y729" s="2016"/>
      <c r="Z729" s="2016"/>
    </row>
    <row r="730" spans="1:26" s="2009" customFormat="1" ht="30" x14ac:dyDescent="0.2">
      <c r="A730" s="1635" t="s">
        <v>7266</v>
      </c>
      <c r="B730" s="1984" t="s">
        <v>4448</v>
      </c>
      <c r="C730" s="1984">
        <v>96995</v>
      </c>
      <c r="D730" s="1813" t="s">
        <v>6215</v>
      </c>
      <c r="E730" s="1638">
        <f>QuantPrédio!K791</f>
        <v>88.04</v>
      </c>
      <c r="F730" s="1639" t="s">
        <v>5685</v>
      </c>
      <c r="G730" s="1648">
        <v>36.17</v>
      </c>
      <c r="H730" s="1636">
        <f>ROUND(G730*$B$13,2)</f>
        <v>9.74</v>
      </c>
      <c r="I730" s="1636">
        <f>H730+G730</f>
        <v>45.910000000000004</v>
      </c>
      <c r="J730" s="1723">
        <f>ROUND(I730*E730,2)</f>
        <v>4041.92</v>
      </c>
      <c r="K730" s="2007">
        <f t="shared" ref="K730:K733" si="732">ROUND(G730*E730,2)</f>
        <v>3184.41</v>
      </c>
      <c r="L730" s="2007">
        <f t="shared" ref="L730:L733" si="733">ROUND(H730*E730,2)</f>
        <v>857.51</v>
      </c>
      <c r="M730" s="2016"/>
      <c r="N730" s="2016"/>
      <c r="O730" s="2016"/>
      <c r="P730" s="2016"/>
      <c r="Q730" s="2016"/>
      <c r="R730" s="2016"/>
      <c r="S730" s="2016"/>
      <c r="T730" s="2016"/>
      <c r="U730" s="2016"/>
      <c r="V730" s="2016">
        <f>J730</f>
        <v>4041.92</v>
      </c>
      <c r="W730" s="2016"/>
      <c r="X730" s="2016"/>
      <c r="Y730" s="2016"/>
      <c r="Z730" s="2016"/>
    </row>
    <row r="731" spans="1:26" s="2009" customFormat="1" ht="15" x14ac:dyDescent="0.2">
      <c r="A731" s="1634" t="s">
        <v>7238</v>
      </c>
      <c r="B731" s="2136" t="s">
        <v>7239</v>
      </c>
      <c r="C731" s="2136"/>
      <c r="D731" s="2136"/>
      <c r="E731" s="2136"/>
      <c r="F731" s="2136"/>
      <c r="G731" s="2136"/>
      <c r="H731" s="2136"/>
      <c r="I731" s="2136"/>
      <c r="J731" s="2136"/>
      <c r="K731" s="2007"/>
      <c r="L731" s="2007"/>
      <c r="M731" s="2016"/>
      <c r="N731" s="2016"/>
      <c r="O731" s="2016"/>
      <c r="P731" s="2016"/>
      <c r="Q731" s="2016"/>
      <c r="R731" s="2016"/>
      <c r="S731" s="2016"/>
      <c r="T731" s="2016"/>
      <c r="U731" s="2016"/>
      <c r="V731" s="2016"/>
      <c r="W731" s="2016"/>
      <c r="X731" s="2016"/>
      <c r="Y731" s="2016"/>
      <c r="Z731" s="2016"/>
    </row>
    <row r="732" spans="1:26" s="2009" customFormat="1" ht="45" x14ac:dyDescent="0.2">
      <c r="A732" s="1635" t="s">
        <v>7240</v>
      </c>
      <c r="B732" s="1984" t="s">
        <v>4448</v>
      </c>
      <c r="C732" s="1984" t="s">
        <v>2216</v>
      </c>
      <c r="D732" s="1813" t="s">
        <v>7491</v>
      </c>
      <c r="E732" s="1638">
        <f>8+6</f>
        <v>14</v>
      </c>
      <c r="F732" s="1639" t="s">
        <v>5284</v>
      </c>
      <c r="G732" s="1648">
        <v>182.32</v>
      </c>
      <c r="H732" s="1636">
        <f>ROUND(G732*$B$13,2)</f>
        <v>49.1</v>
      </c>
      <c r="I732" s="1636">
        <f>H732+G732</f>
        <v>231.42</v>
      </c>
      <c r="J732" s="1723">
        <f>ROUND(I732*E732,2)</f>
        <v>3239.88</v>
      </c>
      <c r="K732" s="2007">
        <f t="shared" si="732"/>
        <v>2552.48</v>
      </c>
      <c r="L732" s="2007">
        <f t="shared" si="733"/>
        <v>687.4</v>
      </c>
      <c r="M732" s="2016"/>
      <c r="N732" s="2016"/>
      <c r="O732" s="2016"/>
      <c r="P732" s="2016"/>
      <c r="Q732" s="2016"/>
      <c r="R732" s="2016"/>
      <c r="S732" s="2016"/>
      <c r="T732" s="2016"/>
      <c r="U732" s="2016"/>
      <c r="V732" s="2016">
        <f>J732</f>
        <v>3239.88</v>
      </c>
      <c r="W732" s="2016"/>
      <c r="X732" s="2016"/>
      <c r="Y732" s="2016"/>
      <c r="Z732" s="2016"/>
    </row>
    <row r="733" spans="1:26" s="2009" customFormat="1" ht="30" x14ac:dyDescent="0.2">
      <c r="A733" s="1635" t="s">
        <v>7241</v>
      </c>
      <c r="B733" s="1984" t="s">
        <v>4448</v>
      </c>
      <c r="C733" s="1984">
        <v>84798</v>
      </c>
      <c r="D733" s="1813" t="s">
        <v>6276</v>
      </c>
      <c r="E733" s="1638">
        <v>14</v>
      </c>
      <c r="F733" s="1639" t="s">
        <v>5284</v>
      </c>
      <c r="G733" s="1648">
        <v>215.64</v>
      </c>
      <c r="H733" s="1636">
        <f>ROUND(G733*$B$13,2)</f>
        <v>58.07</v>
      </c>
      <c r="I733" s="1636">
        <f>H733+G733</f>
        <v>273.70999999999998</v>
      </c>
      <c r="J733" s="1723">
        <f>ROUND(I733*E733,2)</f>
        <v>3831.94</v>
      </c>
      <c r="K733" s="2007">
        <f t="shared" si="732"/>
        <v>3018.96</v>
      </c>
      <c r="L733" s="2007">
        <f t="shared" si="733"/>
        <v>812.98</v>
      </c>
      <c r="M733" s="2016"/>
      <c r="N733" s="2016"/>
      <c r="O733" s="2016"/>
      <c r="P733" s="2016"/>
      <c r="Q733" s="2016"/>
      <c r="R733" s="2016"/>
      <c r="S733" s="2016"/>
      <c r="T733" s="2016"/>
      <c r="U733" s="2016"/>
      <c r="V733" s="2016">
        <f>J733</f>
        <v>3831.94</v>
      </c>
      <c r="W733" s="2016"/>
      <c r="X733" s="2016"/>
      <c r="Y733" s="2016"/>
      <c r="Z733" s="2016"/>
    </row>
    <row r="734" spans="1:26" s="2006" customFormat="1" ht="15" x14ac:dyDescent="0.2">
      <c r="A734" s="2133" t="s">
        <v>7235</v>
      </c>
      <c r="B734" s="2133"/>
      <c r="C734" s="2133"/>
      <c r="D734" s="2133"/>
      <c r="E734" s="2133"/>
      <c r="F734" s="2133"/>
      <c r="G734" s="2133"/>
      <c r="H734" s="2133"/>
      <c r="I734" s="2133"/>
      <c r="J734" s="1724">
        <f>SUM(J727:J733)</f>
        <v>17924.61</v>
      </c>
      <c r="K734" s="2007"/>
      <c r="L734" s="2007"/>
      <c r="M734" s="1724">
        <f t="shared" ref="M734:Z734" si="734">SUM(M727:M733)</f>
        <v>0</v>
      </c>
      <c r="N734" s="1724">
        <f t="shared" si="734"/>
        <v>0</v>
      </c>
      <c r="O734" s="1724">
        <f t="shared" si="734"/>
        <v>0</v>
      </c>
      <c r="P734" s="1724">
        <f t="shared" si="734"/>
        <v>0</v>
      </c>
      <c r="Q734" s="1724">
        <f t="shared" si="734"/>
        <v>0</v>
      </c>
      <c r="R734" s="1724">
        <f t="shared" si="734"/>
        <v>0</v>
      </c>
      <c r="S734" s="1724">
        <f t="shared" si="734"/>
        <v>0</v>
      </c>
      <c r="T734" s="1724">
        <f t="shared" si="734"/>
        <v>0</v>
      </c>
      <c r="U734" s="1724">
        <f t="shared" si="734"/>
        <v>0</v>
      </c>
      <c r="V734" s="1724">
        <f t="shared" si="734"/>
        <v>17924.61</v>
      </c>
      <c r="W734" s="1724">
        <f t="shared" si="734"/>
        <v>0</v>
      </c>
      <c r="X734" s="1724">
        <f t="shared" si="734"/>
        <v>0</v>
      </c>
      <c r="Y734" s="1724">
        <f t="shared" si="734"/>
        <v>0</v>
      </c>
      <c r="Z734" s="1724">
        <f t="shared" si="734"/>
        <v>0</v>
      </c>
    </row>
    <row r="735" spans="1:26" s="2006" customFormat="1" ht="15" x14ac:dyDescent="0.2">
      <c r="A735" s="52"/>
      <c r="B735" s="52"/>
      <c r="C735" s="52"/>
      <c r="D735" s="52"/>
      <c r="E735" s="1506"/>
      <c r="F735" s="52"/>
      <c r="G735" s="1649"/>
      <c r="H735" s="51"/>
      <c r="I735" s="51"/>
      <c r="J735" s="1725"/>
      <c r="K735" s="51"/>
      <c r="L735" s="2015"/>
      <c r="M735" s="2005"/>
      <c r="N735" s="2005"/>
      <c r="O735" s="2005"/>
      <c r="P735" s="2005"/>
      <c r="Q735" s="2005"/>
      <c r="R735" s="2005"/>
      <c r="S735" s="2005"/>
      <c r="T735" s="2005"/>
      <c r="U735" s="2005"/>
      <c r="V735" s="2005"/>
      <c r="W735" s="2005"/>
      <c r="X735" s="2005"/>
      <c r="Y735" s="2005"/>
      <c r="Z735" s="2005"/>
    </row>
    <row r="736" spans="1:26" s="2003" customFormat="1" ht="15" x14ac:dyDescent="0.2">
      <c r="A736" s="2132" t="s">
        <v>6295</v>
      </c>
      <c r="B736" s="2132"/>
      <c r="C736" s="2132"/>
      <c r="D736" s="2132"/>
      <c r="E736" s="2132"/>
      <c r="F736" s="2132"/>
      <c r="G736" s="2132"/>
      <c r="H736" s="2132"/>
      <c r="I736" s="2132"/>
      <c r="J736" s="1726">
        <f>J725+J688+J669+J655+J734</f>
        <v>1648158.9199999992</v>
      </c>
      <c r="K736" s="2011"/>
      <c r="L736" s="2015"/>
      <c r="M736" s="1726">
        <f t="shared" ref="M736:Z736" si="735">M725+M688+M669+M655+M734</f>
        <v>0</v>
      </c>
      <c r="N736" s="1726">
        <f t="shared" si="735"/>
        <v>0</v>
      </c>
      <c r="O736" s="1726">
        <f t="shared" si="735"/>
        <v>0</v>
      </c>
      <c r="P736" s="1726">
        <f t="shared" si="735"/>
        <v>0</v>
      </c>
      <c r="Q736" s="1726">
        <f t="shared" si="735"/>
        <v>0</v>
      </c>
      <c r="R736" s="1726">
        <f t="shared" si="735"/>
        <v>0</v>
      </c>
      <c r="S736" s="1726">
        <f t="shared" si="735"/>
        <v>0</v>
      </c>
      <c r="T736" s="1726">
        <f t="shared" si="735"/>
        <v>69712.12900000003</v>
      </c>
      <c r="U736" s="1726">
        <f t="shared" si="735"/>
        <v>23477.66</v>
      </c>
      <c r="V736" s="1726">
        <f t="shared" si="735"/>
        <v>180826.52800000005</v>
      </c>
      <c r="W736" s="1726">
        <f t="shared" si="735"/>
        <v>246374.36199999988</v>
      </c>
      <c r="X736" s="1726">
        <f t="shared" si="735"/>
        <v>341145.48100000015</v>
      </c>
      <c r="Y736" s="1726">
        <f t="shared" si="735"/>
        <v>507774.24399999972</v>
      </c>
      <c r="Z736" s="1726">
        <f t="shared" si="735"/>
        <v>278848.51600000012</v>
      </c>
    </row>
    <row r="737" spans="1:26" s="2006" customFormat="1" ht="15" x14ac:dyDescent="0.2">
      <c r="A737" s="1635"/>
      <c r="B737" s="1984"/>
      <c r="C737" s="1984"/>
      <c r="D737" s="1813"/>
      <c r="E737" s="1638"/>
      <c r="F737" s="1639"/>
      <c r="G737" s="1650"/>
      <c r="H737" s="19"/>
      <c r="I737" s="19"/>
      <c r="J737" s="1727"/>
      <c r="K737" s="2012"/>
      <c r="L737" s="2015"/>
      <c r="M737" s="2013">
        <f>M736/$J$736</f>
        <v>0</v>
      </c>
      <c r="N737" s="2013">
        <f t="shared" ref="N737:Z737" si="736">N736/$J$736</f>
        <v>0</v>
      </c>
      <c r="O737" s="2013">
        <f t="shared" si="736"/>
        <v>0</v>
      </c>
      <c r="P737" s="2013">
        <f t="shared" si="736"/>
        <v>0</v>
      </c>
      <c r="Q737" s="2013">
        <f t="shared" si="736"/>
        <v>0</v>
      </c>
      <c r="R737" s="2013">
        <f t="shared" si="736"/>
        <v>0</v>
      </c>
      <c r="S737" s="2013">
        <f t="shared" si="736"/>
        <v>0</v>
      </c>
      <c r="T737" s="2013">
        <f t="shared" si="736"/>
        <v>4.2296970367396408E-2</v>
      </c>
      <c r="U737" s="2013">
        <f t="shared" si="736"/>
        <v>1.4244779259514617E-2</v>
      </c>
      <c r="V737" s="2013">
        <f t="shared" si="736"/>
        <v>0.1097142549821592</v>
      </c>
      <c r="W737" s="2013">
        <f t="shared" si="736"/>
        <v>0.14948459096408009</v>
      </c>
      <c r="X737" s="2013">
        <f t="shared" si="736"/>
        <v>0.2069857929719546</v>
      </c>
      <c r="Y737" s="2013">
        <f t="shared" si="736"/>
        <v>0.30808572998530986</v>
      </c>
      <c r="Z737" s="2013">
        <f t="shared" si="736"/>
        <v>0.16918788146958563</v>
      </c>
    </row>
    <row r="738" spans="1:26" s="2003" customFormat="1" ht="15" x14ac:dyDescent="0.2">
      <c r="A738" s="1988" t="s">
        <v>9</v>
      </c>
      <c r="B738" s="2135" t="s">
        <v>4868</v>
      </c>
      <c r="C738" s="2135"/>
      <c r="D738" s="2135"/>
      <c r="E738" s="2135"/>
      <c r="F738" s="2135"/>
      <c r="G738" s="2135"/>
      <c r="H738" s="2135"/>
      <c r="I738" s="2135"/>
      <c r="J738" s="2135"/>
      <c r="K738" s="1981"/>
      <c r="L738" s="2014"/>
      <c r="M738" s="2000"/>
      <c r="N738" s="2000"/>
      <c r="O738" s="2000"/>
      <c r="P738" s="2005"/>
      <c r="Q738" s="2005"/>
      <c r="R738" s="2005"/>
      <c r="S738" s="2005"/>
      <c r="T738" s="2005"/>
      <c r="U738" s="2005"/>
      <c r="V738" s="2005"/>
      <c r="W738" s="2005"/>
      <c r="X738" s="2005"/>
      <c r="Y738" s="2005"/>
      <c r="Z738" s="2005"/>
    </row>
    <row r="739" spans="1:26" s="2006" customFormat="1" ht="15" x14ac:dyDescent="0.2">
      <c r="A739" s="2004" t="s">
        <v>0</v>
      </c>
      <c r="B739" s="2131" t="s">
        <v>6715</v>
      </c>
      <c r="C739" s="2131"/>
      <c r="D739" s="2004" t="s">
        <v>1</v>
      </c>
      <c r="E739" s="1986" t="s">
        <v>131</v>
      </c>
      <c r="F739" s="1987" t="s">
        <v>11</v>
      </c>
      <c r="G739" s="1990" t="s">
        <v>12</v>
      </c>
      <c r="H739" s="1989" t="s">
        <v>5679</v>
      </c>
      <c r="I739" s="1989" t="s">
        <v>5680</v>
      </c>
      <c r="J739" s="1990" t="s">
        <v>130</v>
      </c>
      <c r="K739" s="1989"/>
      <c r="L739" s="2014"/>
      <c r="M739" s="2000"/>
      <c r="N739" s="2000"/>
      <c r="O739" s="2000"/>
      <c r="P739" s="2005"/>
      <c r="Q739" s="2005"/>
      <c r="R739" s="2005"/>
      <c r="S739" s="2005"/>
      <c r="T739" s="2005"/>
      <c r="U739" s="2005"/>
      <c r="V739" s="2005"/>
      <c r="W739" s="2005"/>
      <c r="X739" s="2005"/>
      <c r="Y739" s="2005"/>
      <c r="Z739" s="2005"/>
    </row>
    <row r="740" spans="1:26" s="2006" customFormat="1" ht="15" x14ac:dyDescent="0.2">
      <c r="A740" s="1513" t="s">
        <v>5010</v>
      </c>
      <c r="B740" s="2130" t="s">
        <v>5013</v>
      </c>
      <c r="C740" s="2130"/>
      <c r="D740" s="2130"/>
      <c r="E740" s="2130"/>
      <c r="F740" s="2130"/>
      <c r="G740" s="2130"/>
      <c r="H740" s="2130"/>
      <c r="I740" s="2130"/>
      <c r="J740" s="2130"/>
      <c r="K740" s="1980"/>
      <c r="L740" s="2015"/>
      <c r="M740" s="2005"/>
      <c r="N740" s="2005"/>
      <c r="O740" s="2005"/>
      <c r="P740" s="2005"/>
      <c r="Q740" s="2005"/>
      <c r="R740" s="2005"/>
      <c r="S740" s="2005"/>
      <c r="T740" s="2005"/>
      <c r="U740" s="2005"/>
      <c r="V740" s="2005"/>
      <c r="W740" s="2005"/>
      <c r="X740" s="2005"/>
      <c r="Y740" s="2005"/>
      <c r="Z740" s="2005"/>
    </row>
    <row r="741" spans="1:26" s="2006" customFormat="1" ht="15" x14ac:dyDescent="0.2">
      <c r="A741" s="1634" t="s">
        <v>5011</v>
      </c>
      <c r="B741" s="2136" t="s">
        <v>6296</v>
      </c>
      <c r="C741" s="2136"/>
      <c r="D741" s="2136"/>
      <c r="E741" s="2136"/>
      <c r="F741" s="2136"/>
      <c r="G741" s="2136"/>
      <c r="H741" s="2136"/>
      <c r="I741" s="2136"/>
      <c r="J741" s="2136"/>
      <c r="K741" s="1983"/>
      <c r="L741" s="2015"/>
      <c r="M741" s="2005"/>
      <c r="N741" s="2005"/>
      <c r="O741" s="2005"/>
      <c r="P741" s="2005"/>
      <c r="Q741" s="2005"/>
      <c r="R741" s="2005"/>
      <c r="S741" s="2005"/>
      <c r="T741" s="2005"/>
      <c r="U741" s="2005"/>
      <c r="V741" s="2005"/>
      <c r="W741" s="2005"/>
      <c r="X741" s="2005"/>
      <c r="Y741" s="2005"/>
      <c r="Z741" s="2005"/>
    </row>
    <row r="742" spans="1:26" s="2009" customFormat="1" ht="90" x14ac:dyDescent="0.2">
      <c r="A742" s="1635" t="s">
        <v>5012</v>
      </c>
      <c r="B742" s="2140" t="s">
        <v>9580</v>
      </c>
      <c r="C742" s="2140"/>
      <c r="D742" s="1813" t="s">
        <v>7615</v>
      </c>
      <c r="E742" s="1638">
        <v>1</v>
      </c>
      <c r="F742" s="1639" t="s">
        <v>5284</v>
      </c>
      <c r="G742" s="1648">
        <v>62900</v>
      </c>
      <c r="H742" s="1636">
        <f>ROUND(G742*$B$14,2)</f>
        <v>13164.97</v>
      </c>
      <c r="I742" s="1636">
        <f>H742+G742</f>
        <v>76064.97</v>
      </c>
      <c r="J742" s="1723">
        <f>ROUND(I742*E742,2)</f>
        <v>76064.97</v>
      </c>
      <c r="K742" s="2007">
        <f t="shared" ref="K742" si="737">ROUND(G742*E742,2)</f>
        <v>62900</v>
      </c>
      <c r="L742" s="2007">
        <f t="shared" ref="L742" si="738">ROUND(H742*E742,2)</f>
        <v>13164.97</v>
      </c>
      <c r="M742" s="2016"/>
      <c r="N742" s="2016"/>
      <c r="O742" s="2016"/>
      <c r="P742" s="2016"/>
      <c r="Q742" s="2016"/>
      <c r="R742" s="2016"/>
      <c r="S742" s="2016"/>
      <c r="T742" s="2016"/>
      <c r="U742" s="2016"/>
      <c r="V742" s="2016"/>
      <c r="W742" s="2016"/>
      <c r="X742" s="2016"/>
      <c r="Y742" s="2016">
        <f>0.5*J742</f>
        <v>38032.485000000001</v>
      </c>
      <c r="Z742" s="2016">
        <f>0.5*J742</f>
        <v>38032.485000000001</v>
      </c>
    </row>
    <row r="743" spans="1:26" s="2006" customFormat="1" ht="15" x14ac:dyDescent="0.2">
      <c r="A743" s="2133" t="s">
        <v>6297</v>
      </c>
      <c r="B743" s="2133"/>
      <c r="C743" s="2133"/>
      <c r="D743" s="2133"/>
      <c r="E743" s="2133"/>
      <c r="F743" s="2133"/>
      <c r="G743" s="2133"/>
      <c r="H743" s="2133"/>
      <c r="I743" s="2133"/>
      <c r="J743" s="1724">
        <f>SUM(J742:J742)</f>
        <v>76064.97</v>
      </c>
      <c r="K743" s="2010"/>
      <c r="L743" s="2015"/>
      <c r="M743" s="1724">
        <f>SUM(M742:M742)</f>
        <v>0</v>
      </c>
      <c r="N743" s="1724">
        <f t="shared" ref="N743:Z743" si="739">SUM(N742:N742)</f>
        <v>0</v>
      </c>
      <c r="O743" s="1724">
        <f t="shared" si="739"/>
        <v>0</v>
      </c>
      <c r="P743" s="1724">
        <f t="shared" si="739"/>
        <v>0</v>
      </c>
      <c r="Q743" s="1724">
        <f t="shared" si="739"/>
        <v>0</v>
      </c>
      <c r="R743" s="1724">
        <f t="shared" si="739"/>
        <v>0</v>
      </c>
      <c r="S743" s="1724">
        <f t="shared" si="739"/>
        <v>0</v>
      </c>
      <c r="T743" s="1724">
        <f t="shared" si="739"/>
        <v>0</v>
      </c>
      <c r="U743" s="1724">
        <f t="shared" si="739"/>
        <v>0</v>
      </c>
      <c r="V743" s="1724">
        <f t="shared" si="739"/>
        <v>0</v>
      </c>
      <c r="W743" s="1724">
        <f t="shared" si="739"/>
        <v>0</v>
      </c>
      <c r="X743" s="1724">
        <f t="shared" si="739"/>
        <v>0</v>
      </c>
      <c r="Y743" s="1724">
        <f t="shared" si="739"/>
        <v>38032.485000000001</v>
      </c>
      <c r="Z743" s="1724">
        <f t="shared" si="739"/>
        <v>38032.485000000001</v>
      </c>
    </row>
    <row r="744" spans="1:26" s="2006" customFormat="1" ht="15" x14ac:dyDescent="0.2">
      <c r="A744" s="52"/>
      <c r="B744" s="52"/>
      <c r="C744" s="52"/>
      <c r="D744" s="52"/>
      <c r="E744" s="1506"/>
      <c r="F744" s="52"/>
      <c r="G744" s="1649"/>
      <c r="H744" s="51"/>
      <c r="I744" s="51"/>
      <c r="J744" s="1725"/>
      <c r="K744" s="51"/>
      <c r="L744" s="2015"/>
      <c r="M744" s="2005"/>
      <c r="N744" s="2005"/>
      <c r="O744" s="2005"/>
      <c r="P744" s="2005"/>
      <c r="Q744" s="2005"/>
      <c r="R744" s="2005"/>
      <c r="S744" s="2005"/>
      <c r="T744" s="2005"/>
      <c r="U744" s="2005"/>
      <c r="V744" s="2005"/>
      <c r="W744" s="2005"/>
      <c r="X744" s="2005"/>
      <c r="Y744" s="2005"/>
      <c r="Z744" s="2005"/>
    </row>
    <row r="745" spans="1:26" s="2006" customFormat="1" ht="15" x14ac:dyDescent="0.2">
      <c r="A745" s="1513" t="s">
        <v>4855</v>
      </c>
      <c r="B745" s="1629" t="s">
        <v>7760</v>
      </c>
      <c r="C745" s="1980"/>
      <c r="D745" s="1980"/>
      <c r="E745" s="1980"/>
      <c r="F745" s="1980"/>
      <c r="G745" s="1651"/>
      <c r="H745" s="1980"/>
      <c r="I745" s="1980"/>
      <c r="J745" s="1651"/>
      <c r="K745" s="1980"/>
      <c r="L745" s="2015"/>
      <c r="M745" s="2005"/>
      <c r="N745" s="2005"/>
      <c r="O745" s="2005"/>
      <c r="P745" s="2005"/>
      <c r="Q745" s="2005"/>
      <c r="R745" s="2005"/>
      <c r="S745" s="2005"/>
      <c r="T745" s="2005"/>
      <c r="U745" s="2005"/>
      <c r="V745" s="2005"/>
      <c r="W745" s="2005"/>
      <c r="X745" s="2005"/>
      <c r="Y745" s="2005"/>
      <c r="Z745" s="2005"/>
    </row>
    <row r="746" spans="1:26" s="2009" customFormat="1" ht="75" x14ac:dyDescent="0.2">
      <c r="A746" s="1635" t="s">
        <v>7761</v>
      </c>
      <c r="B746" s="2140" t="s">
        <v>7765</v>
      </c>
      <c r="C746" s="2140"/>
      <c r="D746" s="1813" t="s">
        <v>8380</v>
      </c>
      <c r="E746" s="1638">
        <v>1</v>
      </c>
      <c r="F746" s="1639" t="s">
        <v>8373</v>
      </c>
      <c r="G746" s="1648">
        <v>579968.02</v>
      </c>
      <c r="H746" s="1636">
        <f>ROUND(G746*$B$14,2)</f>
        <v>121387.31</v>
      </c>
      <c r="I746" s="1636">
        <f>H746+G746</f>
        <v>701355.33000000007</v>
      </c>
      <c r="J746" s="1723">
        <f t="shared" ref="J746:J754" si="740">ROUND(I746*E746,2)</f>
        <v>701355.33</v>
      </c>
      <c r="K746" s="2007">
        <f t="shared" ref="K746" si="741">ROUND(G746*E746,2)</f>
        <v>579968.02</v>
      </c>
      <c r="L746" s="2007">
        <f t="shared" ref="L746" si="742">ROUND(H746*E746,2)</f>
        <v>121387.31</v>
      </c>
      <c r="M746" s="2016"/>
      <c r="N746" s="2016"/>
      <c r="O746" s="2016"/>
      <c r="P746" s="2016"/>
      <c r="Q746" s="2016"/>
      <c r="R746" s="2016"/>
      <c r="S746" s="2016"/>
      <c r="T746" s="2016"/>
      <c r="U746" s="2016">
        <f>0.1*J746</f>
        <v>70135.532999999996</v>
      </c>
      <c r="V746" s="2016">
        <f>0.2*J746</f>
        <v>140271.06599999999</v>
      </c>
      <c r="W746" s="2016">
        <f>0.3*J746</f>
        <v>210406.59899999999</v>
      </c>
      <c r="X746" s="2016">
        <f>0.3*J746</f>
        <v>210406.59899999999</v>
      </c>
      <c r="Y746" s="2016">
        <f>0.1*J746</f>
        <v>70135.532999999996</v>
      </c>
      <c r="Z746" s="2016"/>
    </row>
    <row r="747" spans="1:26" s="2009" customFormat="1" ht="30" x14ac:dyDescent="0.2">
      <c r="A747" s="1635" t="s">
        <v>7762</v>
      </c>
      <c r="B747" s="1984" t="s">
        <v>5696</v>
      </c>
      <c r="C747" s="1984" t="s">
        <v>7766</v>
      </c>
      <c r="D747" s="1813" t="s">
        <v>7624</v>
      </c>
      <c r="E747" s="1638">
        <v>6</v>
      </c>
      <c r="F747" s="1639" t="s">
        <v>5284</v>
      </c>
      <c r="G747" s="1648">
        <v>507.76</v>
      </c>
      <c r="H747" s="1636">
        <f>ROUND(G747*$B$13,2)</f>
        <v>136.74</v>
      </c>
      <c r="I747" s="1636">
        <f t="shared" ref="I747" si="743">H747+G747</f>
        <v>644.5</v>
      </c>
      <c r="J747" s="1723">
        <f t="shared" si="740"/>
        <v>3867</v>
      </c>
      <c r="K747" s="2007">
        <f t="shared" ref="K747:K793" si="744">ROUND(G747*E747,2)</f>
        <v>3046.56</v>
      </c>
      <c r="L747" s="2007">
        <f t="shared" ref="L747:L793" si="745">ROUND(H747*E747,2)</f>
        <v>820.44</v>
      </c>
      <c r="M747" s="2016"/>
      <c r="N747" s="2016"/>
      <c r="O747" s="2016"/>
      <c r="P747" s="2016"/>
      <c r="Q747" s="2016"/>
      <c r="R747" s="2016"/>
      <c r="S747" s="2016"/>
      <c r="T747" s="2016"/>
      <c r="U747" s="2016">
        <f t="shared" ref="U747:U749" si="746">0.1*J747</f>
        <v>386.70000000000005</v>
      </c>
      <c r="V747" s="2016">
        <f t="shared" ref="V747:V749" si="747">0.2*J747</f>
        <v>773.40000000000009</v>
      </c>
      <c r="W747" s="2016">
        <f t="shared" ref="W747:W749" si="748">0.3*J747</f>
        <v>1160.0999999999999</v>
      </c>
      <c r="X747" s="2016">
        <f t="shared" ref="X747:X749" si="749">0.3*J747</f>
        <v>1160.0999999999999</v>
      </c>
      <c r="Y747" s="2016">
        <f t="shared" ref="Y747:Y749" si="750">0.1*J747</f>
        <v>386.70000000000005</v>
      </c>
      <c r="Z747" s="2016"/>
    </row>
    <row r="748" spans="1:26" s="2009" customFormat="1" ht="30" x14ac:dyDescent="0.2">
      <c r="A748" s="1635" t="s">
        <v>7763</v>
      </c>
      <c r="B748" s="1984" t="s">
        <v>5696</v>
      </c>
      <c r="C748" s="1984" t="s">
        <v>7769</v>
      </c>
      <c r="D748" s="1813" t="s">
        <v>7767</v>
      </c>
      <c r="E748" s="1638">
        <v>13</v>
      </c>
      <c r="F748" s="1639" t="s">
        <v>5284</v>
      </c>
      <c r="G748" s="1648">
        <v>444.28999999999996</v>
      </c>
      <c r="H748" s="1636">
        <f>ROUND(G748*$B$13,2)</f>
        <v>119.65</v>
      </c>
      <c r="I748" s="1636">
        <f t="shared" ref="I748" si="751">H748+G748</f>
        <v>563.93999999999994</v>
      </c>
      <c r="J748" s="1723">
        <f t="shared" ref="J748" si="752">ROUND(I748*E748,2)</f>
        <v>7331.22</v>
      </c>
      <c r="K748" s="2007">
        <f t="shared" ref="K748" si="753">ROUND(G748*E748,2)</f>
        <v>5775.77</v>
      </c>
      <c r="L748" s="2007">
        <f t="shared" ref="L748" si="754">ROUND(H748*E748,2)</f>
        <v>1555.45</v>
      </c>
      <c r="M748" s="2016"/>
      <c r="N748" s="2016"/>
      <c r="O748" s="2016"/>
      <c r="P748" s="2016"/>
      <c r="Q748" s="2016"/>
      <c r="R748" s="2016"/>
      <c r="S748" s="2016"/>
      <c r="T748" s="2016"/>
      <c r="U748" s="2016">
        <f t="shared" si="746"/>
        <v>733.12200000000007</v>
      </c>
      <c r="V748" s="2016">
        <f t="shared" si="747"/>
        <v>1466.2440000000001</v>
      </c>
      <c r="W748" s="2016">
        <f t="shared" si="748"/>
        <v>2199.366</v>
      </c>
      <c r="X748" s="2016">
        <f t="shared" si="749"/>
        <v>2199.366</v>
      </c>
      <c r="Y748" s="2016">
        <f t="shared" si="750"/>
        <v>733.12200000000007</v>
      </c>
      <c r="Z748" s="2016"/>
    </row>
    <row r="749" spans="1:26" s="2009" customFormat="1" ht="30" x14ac:dyDescent="0.2">
      <c r="A749" s="1635" t="s">
        <v>7764</v>
      </c>
      <c r="B749" s="1984" t="s">
        <v>5696</v>
      </c>
      <c r="C749" s="1984" t="s">
        <v>7770</v>
      </c>
      <c r="D749" s="1813" t="s">
        <v>7768</v>
      </c>
      <c r="E749" s="1638">
        <v>40</v>
      </c>
      <c r="F749" s="1639" t="s">
        <v>5284</v>
      </c>
      <c r="G749" s="1648">
        <v>444.28999999999996</v>
      </c>
      <c r="H749" s="1636">
        <f>ROUND(G749*$B$13,2)</f>
        <v>119.65</v>
      </c>
      <c r="I749" s="1636">
        <f t="shared" ref="I749" si="755">H749+G749</f>
        <v>563.93999999999994</v>
      </c>
      <c r="J749" s="1723">
        <f t="shared" si="740"/>
        <v>22557.599999999999</v>
      </c>
      <c r="K749" s="2007">
        <f t="shared" si="744"/>
        <v>17771.599999999999</v>
      </c>
      <c r="L749" s="2007">
        <f t="shared" si="745"/>
        <v>4786</v>
      </c>
      <c r="M749" s="2016"/>
      <c r="N749" s="2016"/>
      <c r="O749" s="2016"/>
      <c r="P749" s="2016"/>
      <c r="Q749" s="2016"/>
      <c r="R749" s="2016"/>
      <c r="S749" s="2016"/>
      <c r="T749" s="2016"/>
      <c r="U749" s="2016">
        <f t="shared" si="746"/>
        <v>2255.7599999999998</v>
      </c>
      <c r="V749" s="2016">
        <f t="shared" si="747"/>
        <v>4511.5199999999995</v>
      </c>
      <c r="W749" s="2016">
        <f t="shared" si="748"/>
        <v>6767.28</v>
      </c>
      <c r="X749" s="2016">
        <f t="shared" si="749"/>
        <v>6767.28</v>
      </c>
      <c r="Y749" s="2016">
        <f t="shared" si="750"/>
        <v>2255.7599999999998</v>
      </c>
      <c r="Z749" s="2016"/>
    </row>
    <row r="750" spans="1:26" s="2009" customFormat="1" ht="15" x14ac:dyDescent="0.2">
      <c r="A750" s="1634" t="s">
        <v>6798</v>
      </c>
      <c r="B750" s="2136" t="s">
        <v>6811</v>
      </c>
      <c r="C750" s="2136"/>
      <c r="D750" s="2136"/>
      <c r="E750" s="2136"/>
      <c r="F750" s="2136"/>
      <c r="G750" s="2136"/>
      <c r="H750" s="2136"/>
      <c r="I750" s="2136"/>
      <c r="J750" s="2136"/>
      <c r="K750" s="2007">
        <f t="shared" si="744"/>
        <v>0</v>
      </c>
      <c r="L750" s="2007">
        <f t="shared" si="745"/>
        <v>0</v>
      </c>
      <c r="M750" s="2016"/>
      <c r="N750" s="2016"/>
      <c r="O750" s="2016"/>
      <c r="P750" s="2016"/>
      <c r="Q750" s="2016"/>
      <c r="R750" s="2016"/>
      <c r="S750" s="2016"/>
      <c r="T750" s="2016"/>
      <c r="U750" s="2016"/>
      <c r="V750" s="2016"/>
      <c r="W750" s="2016"/>
      <c r="X750" s="2016"/>
      <c r="Y750" s="2016"/>
      <c r="Z750" s="2016"/>
    </row>
    <row r="751" spans="1:26" s="2009" customFormat="1" ht="30" x14ac:dyDescent="0.2">
      <c r="A751" s="1635" t="s">
        <v>6799</v>
      </c>
      <c r="B751" s="1984" t="s">
        <v>5696</v>
      </c>
      <c r="C751" s="1984" t="s">
        <v>6878</v>
      </c>
      <c r="D751" s="1813" t="s">
        <v>7621</v>
      </c>
      <c r="E751" s="1638">
        <v>1872</v>
      </c>
      <c r="F751" s="1639" t="s">
        <v>5688</v>
      </c>
      <c r="G751" s="1648">
        <v>27.880000000000003</v>
      </c>
      <c r="H751" s="1636">
        <f t="shared" ref="H751:H765" si="756">ROUND(G751*$B$13,2)</f>
        <v>7.51</v>
      </c>
      <c r="I751" s="1636">
        <f>H751+G751</f>
        <v>35.39</v>
      </c>
      <c r="J751" s="1723">
        <f t="shared" si="740"/>
        <v>66250.080000000002</v>
      </c>
      <c r="K751" s="2007">
        <f t="shared" si="744"/>
        <v>52191.360000000001</v>
      </c>
      <c r="L751" s="2007">
        <f t="shared" si="745"/>
        <v>14058.72</v>
      </c>
      <c r="M751" s="2016"/>
      <c r="N751" s="2016"/>
      <c r="O751" s="2016"/>
      <c r="P751" s="2016"/>
      <c r="Q751" s="2016"/>
      <c r="R751" s="2016"/>
      <c r="S751" s="2016"/>
      <c r="T751" s="2016"/>
      <c r="U751" s="2016">
        <f t="shared" ref="U751" si="757">0.1*J751</f>
        <v>6625.0080000000007</v>
      </c>
      <c r="V751" s="2016">
        <f t="shared" ref="V751" si="758">0.2*J751</f>
        <v>13250.016000000001</v>
      </c>
      <c r="W751" s="2016">
        <f t="shared" ref="W751" si="759">0.3*J751</f>
        <v>19875.024000000001</v>
      </c>
      <c r="X751" s="2016">
        <f t="shared" ref="X751" si="760">0.3*J751</f>
        <v>19875.024000000001</v>
      </c>
      <c r="Y751" s="2016">
        <f t="shared" ref="Y751" si="761">0.1*J751</f>
        <v>6625.0080000000007</v>
      </c>
      <c r="Z751" s="2016"/>
    </row>
    <row r="752" spans="1:26" s="2009" customFormat="1" ht="30" x14ac:dyDescent="0.2">
      <c r="A752" s="1635" t="s">
        <v>6800</v>
      </c>
      <c r="B752" s="1984" t="s">
        <v>5696</v>
      </c>
      <c r="C752" s="1984" t="s">
        <v>6879</v>
      </c>
      <c r="D752" s="1813" t="s">
        <v>7622</v>
      </c>
      <c r="E752" s="1638">
        <v>1310</v>
      </c>
      <c r="F752" s="1639" t="s">
        <v>5688</v>
      </c>
      <c r="G752" s="1648">
        <v>20.89</v>
      </c>
      <c r="H752" s="1636">
        <f t="shared" si="756"/>
        <v>5.63</v>
      </c>
      <c r="I752" s="1636">
        <f>H752+G752</f>
        <v>26.52</v>
      </c>
      <c r="J752" s="1723">
        <f t="shared" si="740"/>
        <v>34741.199999999997</v>
      </c>
      <c r="K752" s="2007">
        <f t="shared" si="744"/>
        <v>27365.9</v>
      </c>
      <c r="L752" s="2007">
        <f t="shared" si="745"/>
        <v>7375.3</v>
      </c>
      <c r="M752" s="2016"/>
      <c r="N752" s="2016"/>
      <c r="O752" s="2016"/>
      <c r="P752" s="2016"/>
      <c r="Q752" s="2016"/>
      <c r="R752" s="2016"/>
      <c r="S752" s="2016"/>
      <c r="T752" s="2016"/>
      <c r="U752" s="2016">
        <f t="shared" ref="U752:U765" si="762">0.1*J752</f>
        <v>3474.12</v>
      </c>
      <c r="V752" s="2016">
        <f t="shared" ref="V752:V765" si="763">0.2*J752</f>
        <v>6948.24</v>
      </c>
      <c r="W752" s="2016">
        <f t="shared" ref="W752:W765" si="764">0.3*J752</f>
        <v>10422.359999999999</v>
      </c>
      <c r="X752" s="2016">
        <f t="shared" ref="X752:X765" si="765">0.3*J752</f>
        <v>10422.359999999999</v>
      </c>
      <c r="Y752" s="2016">
        <f t="shared" ref="Y752:Y765" si="766">0.1*J752</f>
        <v>3474.12</v>
      </c>
      <c r="Z752" s="2016"/>
    </row>
    <row r="753" spans="1:26" s="2009" customFormat="1" ht="30" x14ac:dyDescent="0.2">
      <c r="A753" s="1635" t="s">
        <v>6801</v>
      </c>
      <c r="B753" s="1984" t="s">
        <v>5696</v>
      </c>
      <c r="C753" s="1984" t="s">
        <v>6880</v>
      </c>
      <c r="D753" s="1813" t="s">
        <v>7623</v>
      </c>
      <c r="E753" s="1638">
        <v>768</v>
      </c>
      <c r="F753" s="1639" t="s">
        <v>5688</v>
      </c>
      <c r="G753" s="1648">
        <v>27.48</v>
      </c>
      <c r="H753" s="1636">
        <f t="shared" si="756"/>
        <v>7.4</v>
      </c>
      <c r="I753" s="1636">
        <f>H753+G753</f>
        <v>34.880000000000003</v>
      </c>
      <c r="J753" s="1723">
        <f t="shared" si="740"/>
        <v>26787.84</v>
      </c>
      <c r="K753" s="2007">
        <f t="shared" si="744"/>
        <v>21104.639999999999</v>
      </c>
      <c r="L753" s="2007">
        <f t="shared" si="745"/>
        <v>5683.2</v>
      </c>
      <c r="M753" s="2016"/>
      <c r="N753" s="2016"/>
      <c r="O753" s="2016"/>
      <c r="P753" s="2016"/>
      <c r="Q753" s="2016"/>
      <c r="R753" s="2016"/>
      <c r="S753" s="2016"/>
      <c r="T753" s="2016"/>
      <c r="U753" s="2016">
        <f t="shared" si="762"/>
        <v>2678.7840000000001</v>
      </c>
      <c r="V753" s="2016">
        <f t="shared" si="763"/>
        <v>5357.5680000000002</v>
      </c>
      <c r="W753" s="2016">
        <f t="shared" si="764"/>
        <v>8036.3519999999999</v>
      </c>
      <c r="X753" s="2016">
        <f t="shared" si="765"/>
        <v>8036.3519999999999</v>
      </c>
      <c r="Y753" s="2016">
        <f t="shared" si="766"/>
        <v>2678.7840000000001</v>
      </c>
      <c r="Z753" s="2016"/>
    </row>
    <row r="754" spans="1:26" s="2009" customFormat="1" ht="45" x14ac:dyDescent="0.2">
      <c r="A754" s="1635" t="s">
        <v>6803</v>
      </c>
      <c r="B754" s="1984" t="s">
        <v>5281</v>
      </c>
      <c r="C754" s="1984" t="s">
        <v>6881</v>
      </c>
      <c r="D754" s="1813" t="s">
        <v>6802</v>
      </c>
      <c r="E754" s="1638">
        <v>330</v>
      </c>
      <c r="F754" s="1639" t="s">
        <v>5286</v>
      </c>
      <c r="G754" s="1648">
        <v>24.51</v>
      </c>
      <c r="H754" s="1636">
        <f t="shared" si="756"/>
        <v>6.6</v>
      </c>
      <c r="I754" s="1636">
        <f>H754+G754</f>
        <v>31.11</v>
      </c>
      <c r="J754" s="1723">
        <f t="shared" si="740"/>
        <v>10266.299999999999</v>
      </c>
      <c r="K754" s="2007">
        <f t="shared" si="744"/>
        <v>8088.3</v>
      </c>
      <c r="L754" s="2007">
        <f t="shared" si="745"/>
        <v>2178</v>
      </c>
      <c r="M754" s="2016"/>
      <c r="N754" s="2016"/>
      <c r="O754" s="2016"/>
      <c r="P754" s="2016"/>
      <c r="Q754" s="2016"/>
      <c r="R754" s="2016"/>
      <c r="S754" s="2016"/>
      <c r="T754" s="2016"/>
      <c r="U754" s="2016">
        <f t="shared" si="762"/>
        <v>1026.6299999999999</v>
      </c>
      <c r="V754" s="2016">
        <f t="shared" si="763"/>
        <v>2053.2599999999998</v>
      </c>
      <c r="W754" s="2016">
        <f t="shared" si="764"/>
        <v>3079.89</v>
      </c>
      <c r="X754" s="2016">
        <f t="shared" si="765"/>
        <v>3079.89</v>
      </c>
      <c r="Y754" s="2016">
        <f t="shared" si="766"/>
        <v>1026.6299999999999</v>
      </c>
      <c r="Z754" s="2016"/>
    </row>
    <row r="755" spans="1:26" s="2009" customFormat="1" ht="30" x14ac:dyDescent="0.2">
      <c r="A755" s="1635" t="s">
        <v>6820</v>
      </c>
      <c r="B755" s="1984" t="s">
        <v>6906</v>
      </c>
      <c r="C755" s="1984" t="s">
        <v>6883</v>
      </c>
      <c r="D755" s="1813" t="s">
        <v>6805</v>
      </c>
      <c r="E755" s="1638">
        <v>2000</v>
      </c>
      <c r="F755" s="1639" t="s">
        <v>5284</v>
      </c>
      <c r="G755" s="1648">
        <v>0.39</v>
      </c>
      <c r="H755" s="1636">
        <f t="shared" si="756"/>
        <v>0.11</v>
      </c>
      <c r="I755" s="1636">
        <f t="shared" ref="I755:I765" si="767">H755+G755</f>
        <v>0.5</v>
      </c>
      <c r="J755" s="1723">
        <f t="shared" ref="J755:J765" si="768">ROUND(I755*E755,2)</f>
        <v>1000</v>
      </c>
      <c r="K755" s="2007">
        <f t="shared" si="744"/>
        <v>780</v>
      </c>
      <c r="L755" s="2007">
        <f t="shared" si="745"/>
        <v>220</v>
      </c>
      <c r="M755" s="2016"/>
      <c r="N755" s="2016"/>
      <c r="O755" s="2016"/>
      <c r="P755" s="2016"/>
      <c r="Q755" s="2016"/>
      <c r="R755" s="2016"/>
      <c r="S755" s="2016"/>
      <c r="T755" s="2016"/>
      <c r="U755" s="2016">
        <f t="shared" si="762"/>
        <v>100</v>
      </c>
      <c r="V755" s="2016">
        <f t="shared" si="763"/>
        <v>200</v>
      </c>
      <c r="W755" s="2016">
        <f t="shared" si="764"/>
        <v>300</v>
      </c>
      <c r="X755" s="2016">
        <f t="shared" si="765"/>
        <v>300</v>
      </c>
      <c r="Y755" s="2016">
        <f t="shared" si="766"/>
        <v>100</v>
      </c>
      <c r="Z755" s="2016"/>
    </row>
    <row r="756" spans="1:26" s="2009" customFormat="1" ht="30" x14ac:dyDescent="0.2">
      <c r="A756" s="1635" t="s">
        <v>6821</v>
      </c>
      <c r="B756" s="2140" t="s">
        <v>7765</v>
      </c>
      <c r="C756" s="2140"/>
      <c r="D756" s="1813" t="s">
        <v>6898</v>
      </c>
      <c r="E756" s="1638">
        <v>4000</v>
      </c>
      <c r="F756" s="1639" t="s">
        <v>5284</v>
      </c>
      <c r="G756" s="1648">
        <v>0.47</v>
      </c>
      <c r="H756" s="1636">
        <f t="shared" si="756"/>
        <v>0.13</v>
      </c>
      <c r="I756" s="1636">
        <f t="shared" si="767"/>
        <v>0.6</v>
      </c>
      <c r="J756" s="1723">
        <f t="shared" si="768"/>
        <v>2400</v>
      </c>
      <c r="K756" s="2007">
        <f t="shared" si="744"/>
        <v>1880</v>
      </c>
      <c r="L756" s="2007">
        <f t="shared" si="745"/>
        <v>520</v>
      </c>
      <c r="M756" s="2016"/>
      <c r="N756" s="2016"/>
      <c r="O756" s="2016"/>
      <c r="P756" s="2016"/>
      <c r="Q756" s="2016"/>
      <c r="R756" s="2016"/>
      <c r="S756" s="2016"/>
      <c r="T756" s="2016"/>
      <c r="U756" s="2016">
        <f t="shared" si="762"/>
        <v>240</v>
      </c>
      <c r="V756" s="2016">
        <f t="shared" si="763"/>
        <v>480</v>
      </c>
      <c r="W756" s="2016">
        <f t="shared" si="764"/>
        <v>720</v>
      </c>
      <c r="X756" s="2016">
        <f t="shared" si="765"/>
        <v>720</v>
      </c>
      <c r="Y756" s="2016">
        <f t="shared" si="766"/>
        <v>240</v>
      </c>
      <c r="Z756" s="2016"/>
    </row>
    <row r="757" spans="1:26" s="2009" customFormat="1" ht="30" x14ac:dyDescent="0.2">
      <c r="A757" s="1635" t="s">
        <v>6822</v>
      </c>
      <c r="B757" s="2140" t="s">
        <v>7765</v>
      </c>
      <c r="C757" s="2140"/>
      <c r="D757" s="1813" t="s">
        <v>6900</v>
      </c>
      <c r="E757" s="1638">
        <v>70</v>
      </c>
      <c r="F757" s="1639" t="s">
        <v>5284</v>
      </c>
      <c r="G757" s="1648">
        <v>6.48</v>
      </c>
      <c r="H757" s="1636">
        <f t="shared" si="756"/>
        <v>1.75</v>
      </c>
      <c r="I757" s="1636">
        <f t="shared" si="767"/>
        <v>8.23</v>
      </c>
      <c r="J757" s="1723">
        <f t="shared" si="768"/>
        <v>576.1</v>
      </c>
      <c r="K757" s="2007">
        <f t="shared" si="744"/>
        <v>453.6</v>
      </c>
      <c r="L757" s="2007">
        <f t="shared" si="745"/>
        <v>122.5</v>
      </c>
      <c r="M757" s="2016"/>
      <c r="N757" s="2016"/>
      <c r="O757" s="2016"/>
      <c r="P757" s="2016"/>
      <c r="Q757" s="2016"/>
      <c r="R757" s="2016"/>
      <c r="S757" s="2016"/>
      <c r="T757" s="2016"/>
      <c r="U757" s="2016">
        <f t="shared" si="762"/>
        <v>57.610000000000007</v>
      </c>
      <c r="V757" s="2016">
        <f t="shared" si="763"/>
        <v>115.22000000000001</v>
      </c>
      <c r="W757" s="2016">
        <f t="shared" si="764"/>
        <v>172.83</v>
      </c>
      <c r="X757" s="2016">
        <f t="shared" si="765"/>
        <v>172.83</v>
      </c>
      <c r="Y757" s="2016">
        <f t="shared" si="766"/>
        <v>57.610000000000007</v>
      </c>
      <c r="Z757" s="2016"/>
    </row>
    <row r="758" spans="1:26" s="2009" customFormat="1" ht="15" x14ac:dyDescent="0.2">
      <c r="A758" s="1635" t="s">
        <v>9582</v>
      </c>
      <c r="B758" s="1984" t="s">
        <v>5281</v>
      </c>
      <c r="C758" s="1984">
        <v>9306</v>
      </c>
      <c r="D758" s="1813" t="s">
        <v>6901</v>
      </c>
      <c r="E758" s="1638">
        <v>80</v>
      </c>
      <c r="F758" s="1639" t="s">
        <v>5284</v>
      </c>
      <c r="G758" s="1648">
        <v>12.45</v>
      </c>
      <c r="H758" s="1636">
        <f t="shared" si="756"/>
        <v>3.35</v>
      </c>
      <c r="I758" s="1636">
        <f t="shared" si="767"/>
        <v>15.799999999999999</v>
      </c>
      <c r="J758" s="1723">
        <f t="shared" si="768"/>
        <v>1264</v>
      </c>
      <c r="K758" s="2007">
        <f t="shared" si="744"/>
        <v>996</v>
      </c>
      <c r="L758" s="2007">
        <f t="shared" si="745"/>
        <v>268</v>
      </c>
      <c r="M758" s="2016"/>
      <c r="N758" s="2016"/>
      <c r="O758" s="2016"/>
      <c r="P758" s="2016"/>
      <c r="Q758" s="2016"/>
      <c r="R758" s="2016"/>
      <c r="S758" s="2016"/>
      <c r="T758" s="2016"/>
      <c r="U758" s="2016">
        <f t="shared" si="762"/>
        <v>126.4</v>
      </c>
      <c r="V758" s="2016">
        <f t="shared" si="763"/>
        <v>252.8</v>
      </c>
      <c r="W758" s="2016">
        <f t="shared" si="764"/>
        <v>379.2</v>
      </c>
      <c r="X758" s="2016">
        <f t="shared" si="765"/>
        <v>379.2</v>
      </c>
      <c r="Y758" s="2016">
        <f t="shared" si="766"/>
        <v>126.4</v>
      </c>
      <c r="Z758" s="2016"/>
    </row>
    <row r="759" spans="1:26" s="2009" customFormat="1" ht="30" x14ac:dyDescent="0.2">
      <c r="A759" s="1635" t="s">
        <v>9583</v>
      </c>
      <c r="B759" s="1984" t="s">
        <v>5281</v>
      </c>
      <c r="C759" s="1984">
        <v>9669</v>
      </c>
      <c r="D759" s="1813" t="s">
        <v>6903</v>
      </c>
      <c r="E759" s="1638">
        <v>20</v>
      </c>
      <c r="F759" s="1639" t="s">
        <v>5284</v>
      </c>
      <c r="G759" s="1648">
        <v>49.620000000000005</v>
      </c>
      <c r="H759" s="1636">
        <f t="shared" si="756"/>
        <v>13.36</v>
      </c>
      <c r="I759" s="1636">
        <f t="shared" si="767"/>
        <v>62.980000000000004</v>
      </c>
      <c r="J759" s="1723">
        <f t="shared" si="768"/>
        <v>1259.5999999999999</v>
      </c>
      <c r="K759" s="2007">
        <f t="shared" si="744"/>
        <v>992.4</v>
      </c>
      <c r="L759" s="2007">
        <f t="shared" si="745"/>
        <v>267.2</v>
      </c>
      <c r="M759" s="2016"/>
      <c r="N759" s="2016"/>
      <c r="O759" s="2016"/>
      <c r="P759" s="2016"/>
      <c r="Q759" s="2016"/>
      <c r="R759" s="2016"/>
      <c r="S759" s="2016"/>
      <c r="T759" s="2016"/>
      <c r="U759" s="2016">
        <f t="shared" si="762"/>
        <v>125.96</v>
      </c>
      <c r="V759" s="2016">
        <f t="shared" si="763"/>
        <v>251.92</v>
      </c>
      <c r="W759" s="2016">
        <f t="shared" si="764"/>
        <v>377.87999999999994</v>
      </c>
      <c r="X759" s="2016">
        <f t="shared" si="765"/>
        <v>377.87999999999994</v>
      </c>
      <c r="Y759" s="2016">
        <f t="shared" si="766"/>
        <v>125.96</v>
      </c>
      <c r="Z759" s="2016"/>
    </row>
    <row r="760" spans="1:26" s="2009" customFormat="1" ht="30" x14ac:dyDescent="0.2">
      <c r="A760" s="1635" t="s">
        <v>9584</v>
      </c>
      <c r="B760" s="1984" t="s">
        <v>5281</v>
      </c>
      <c r="C760" s="1984" t="s">
        <v>6904</v>
      </c>
      <c r="D760" s="1813" t="s">
        <v>8298</v>
      </c>
      <c r="E760" s="1638">
        <v>40</v>
      </c>
      <c r="F760" s="1639" t="s">
        <v>5284</v>
      </c>
      <c r="G760" s="1648">
        <v>35.22</v>
      </c>
      <c r="H760" s="1636">
        <f t="shared" si="756"/>
        <v>9.48</v>
      </c>
      <c r="I760" s="1636">
        <f t="shared" si="767"/>
        <v>44.7</v>
      </c>
      <c r="J760" s="1723">
        <f t="shared" si="768"/>
        <v>1788</v>
      </c>
      <c r="K760" s="2007">
        <f t="shared" si="744"/>
        <v>1408.8</v>
      </c>
      <c r="L760" s="2007">
        <f t="shared" si="745"/>
        <v>379.2</v>
      </c>
      <c r="M760" s="2016"/>
      <c r="N760" s="2016"/>
      <c r="O760" s="2016"/>
      <c r="P760" s="2016"/>
      <c r="Q760" s="2016"/>
      <c r="R760" s="2016"/>
      <c r="S760" s="2016"/>
      <c r="T760" s="2016"/>
      <c r="U760" s="2016">
        <f t="shared" si="762"/>
        <v>178.8</v>
      </c>
      <c r="V760" s="2016">
        <f t="shared" si="763"/>
        <v>357.6</v>
      </c>
      <c r="W760" s="2016">
        <f t="shared" si="764"/>
        <v>536.4</v>
      </c>
      <c r="X760" s="2016">
        <f t="shared" si="765"/>
        <v>536.4</v>
      </c>
      <c r="Y760" s="2016">
        <f t="shared" si="766"/>
        <v>178.8</v>
      </c>
      <c r="Z760" s="2016"/>
    </row>
    <row r="761" spans="1:26" s="2009" customFormat="1" ht="15" x14ac:dyDescent="0.2">
      <c r="A761" s="1635" t="s">
        <v>6823</v>
      </c>
      <c r="B761" s="1984" t="s">
        <v>5281</v>
      </c>
      <c r="C761" s="1984">
        <v>7384</v>
      </c>
      <c r="D761" s="1813" t="s">
        <v>6806</v>
      </c>
      <c r="E761" s="1638">
        <v>70</v>
      </c>
      <c r="F761" s="1639" t="s">
        <v>5284</v>
      </c>
      <c r="G761" s="1648">
        <v>12.649999999999999</v>
      </c>
      <c r="H761" s="1636">
        <f t="shared" si="756"/>
        <v>3.41</v>
      </c>
      <c r="I761" s="1636">
        <f t="shared" si="767"/>
        <v>16.059999999999999</v>
      </c>
      <c r="J761" s="1723">
        <f t="shared" si="768"/>
        <v>1124.2</v>
      </c>
      <c r="K761" s="2007">
        <f t="shared" si="744"/>
        <v>885.5</v>
      </c>
      <c r="L761" s="2007">
        <f t="shared" si="745"/>
        <v>238.7</v>
      </c>
      <c r="M761" s="2016"/>
      <c r="N761" s="2016"/>
      <c r="O761" s="2016"/>
      <c r="P761" s="2016"/>
      <c r="Q761" s="2016"/>
      <c r="R761" s="2016"/>
      <c r="S761" s="2016"/>
      <c r="T761" s="2016"/>
      <c r="U761" s="2016">
        <f t="shared" si="762"/>
        <v>112.42000000000002</v>
      </c>
      <c r="V761" s="2016">
        <f t="shared" si="763"/>
        <v>224.84000000000003</v>
      </c>
      <c r="W761" s="2016">
        <f t="shared" si="764"/>
        <v>337.26</v>
      </c>
      <c r="X761" s="2016">
        <f t="shared" si="765"/>
        <v>337.26</v>
      </c>
      <c r="Y761" s="2016">
        <f t="shared" si="766"/>
        <v>112.42000000000002</v>
      </c>
      <c r="Z761" s="2016"/>
    </row>
    <row r="762" spans="1:26" s="2009" customFormat="1" ht="30" x14ac:dyDescent="0.2">
      <c r="A762" s="1635" t="s">
        <v>6824</v>
      </c>
      <c r="B762" s="1984" t="s">
        <v>5278</v>
      </c>
      <c r="C762" s="1984">
        <v>39961</v>
      </c>
      <c r="D762" s="1813" t="s">
        <v>6905</v>
      </c>
      <c r="E762" s="1638">
        <f>51</f>
        <v>51</v>
      </c>
      <c r="F762" s="1639" t="s">
        <v>5284</v>
      </c>
      <c r="G762" s="1648">
        <v>15.08</v>
      </c>
      <c r="H762" s="1636">
        <f t="shared" si="756"/>
        <v>4.0599999999999996</v>
      </c>
      <c r="I762" s="1636">
        <f t="shared" si="767"/>
        <v>19.14</v>
      </c>
      <c r="J762" s="1723">
        <f t="shared" si="768"/>
        <v>976.14</v>
      </c>
      <c r="K762" s="2007">
        <f t="shared" si="744"/>
        <v>769.08</v>
      </c>
      <c r="L762" s="2007">
        <f t="shared" si="745"/>
        <v>207.06</v>
      </c>
      <c r="M762" s="2016"/>
      <c r="N762" s="2016"/>
      <c r="O762" s="2016"/>
      <c r="P762" s="2016"/>
      <c r="Q762" s="2016"/>
      <c r="R762" s="2016"/>
      <c r="S762" s="2016"/>
      <c r="T762" s="2016"/>
      <c r="U762" s="2016">
        <f t="shared" si="762"/>
        <v>97.614000000000004</v>
      </c>
      <c r="V762" s="2016">
        <f t="shared" si="763"/>
        <v>195.22800000000001</v>
      </c>
      <c r="W762" s="2016">
        <f t="shared" si="764"/>
        <v>292.84199999999998</v>
      </c>
      <c r="X762" s="2016">
        <f t="shared" si="765"/>
        <v>292.84199999999998</v>
      </c>
      <c r="Y762" s="2016">
        <f t="shared" si="766"/>
        <v>97.614000000000004</v>
      </c>
      <c r="Z762" s="2016"/>
    </row>
    <row r="763" spans="1:26" s="2009" customFormat="1" ht="30" x14ac:dyDescent="0.2">
      <c r="A763" s="1635" t="s">
        <v>6825</v>
      </c>
      <c r="B763" s="1984" t="s">
        <v>6907</v>
      </c>
      <c r="C763" s="1984">
        <v>5005</v>
      </c>
      <c r="D763" s="1813" t="s">
        <v>6807</v>
      </c>
      <c r="E763" s="1638">
        <v>800</v>
      </c>
      <c r="F763" s="1639" t="s">
        <v>5284</v>
      </c>
      <c r="G763" s="1648">
        <v>0.05</v>
      </c>
      <c r="H763" s="1636">
        <f t="shared" si="756"/>
        <v>0.01</v>
      </c>
      <c r="I763" s="1636">
        <f t="shared" si="767"/>
        <v>6.0000000000000005E-2</v>
      </c>
      <c r="J763" s="1723">
        <f t="shared" si="768"/>
        <v>48</v>
      </c>
      <c r="K763" s="2007">
        <f t="shared" si="744"/>
        <v>40</v>
      </c>
      <c r="L763" s="2007">
        <f t="shared" si="745"/>
        <v>8</v>
      </c>
      <c r="M763" s="2016"/>
      <c r="N763" s="2016"/>
      <c r="O763" s="2016"/>
      <c r="P763" s="2016"/>
      <c r="Q763" s="2016"/>
      <c r="R763" s="2016"/>
      <c r="S763" s="2016"/>
      <c r="T763" s="2016"/>
      <c r="U763" s="2016">
        <f t="shared" si="762"/>
        <v>4.8000000000000007</v>
      </c>
      <c r="V763" s="2016">
        <f t="shared" si="763"/>
        <v>9.6000000000000014</v>
      </c>
      <c r="W763" s="2016">
        <f t="shared" si="764"/>
        <v>14.399999999999999</v>
      </c>
      <c r="X763" s="2016">
        <f t="shared" si="765"/>
        <v>14.399999999999999</v>
      </c>
      <c r="Y763" s="2016">
        <f t="shared" si="766"/>
        <v>4.8000000000000007</v>
      </c>
      <c r="Z763" s="2016"/>
    </row>
    <row r="764" spans="1:26" s="2009" customFormat="1" ht="30" x14ac:dyDescent="0.2">
      <c r="A764" s="1635" t="s">
        <v>6826</v>
      </c>
      <c r="B764" s="1984" t="s">
        <v>5278</v>
      </c>
      <c r="C764" s="1984">
        <v>39997</v>
      </c>
      <c r="D764" s="1813" t="s">
        <v>6808</v>
      </c>
      <c r="E764" s="1638">
        <v>800</v>
      </c>
      <c r="F764" s="1639" t="s">
        <v>5284</v>
      </c>
      <c r="G764" s="1648">
        <v>0.22</v>
      </c>
      <c r="H764" s="1636">
        <f t="shared" si="756"/>
        <v>0.06</v>
      </c>
      <c r="I764" s="1636">
        <f t="shared" si="767"/>
        <v>0.28000000000000003</v>
      </c>
      <c r="J764" s="1723">
        <f t="shared" si="768"/>
        <v>224</v>
      </c>
      <c r="K764" s="2007">
        <f t="shared" si="744"/>
        <v>176</v>
      </c>
      <c r="L764" s="2007">
        <f t="shared" si="745"/>
        <v>48</v>
      </c>
      <c r="M764" s="2016"/>
      <c r="N764" s="2016"/>
      <c r="O764" s="2016"/>
      <c r="P764" s="2016"/>
      <c r="Q764" s="2016"/>
      <c r="R764" s="2016"/>
      <c r="S764" s="2016"/>
      <c r="T764" s="2016"/>
      <c r="U764" s="2016">
        <f t="shared" si="762"/>
        <v>22.400000000000002</v>
      </c>
      <c r="V764" s="2016">
        <f t="shared" si="763"/>
        <v>44.800000000000004</v>
      </c>
      <c r="W764" s="2016">
        <f t="shared" si="764"/>
        <v>67.2</v>
      </c>
      <c r="X764" s="2016">
        <f t="shared" si="765"/>
        <v>67.2</v>
      </c>
      <c r="Y764" s="2016">
        <f t="shared" si="766"/>
        <v>22.400000000000002</v>
      </c>
      <c r="Z764" s="2016"/>
    </row>
    <row r="765" spans="1:26" s="2009" customFormat="1" ht="30" x14ac:dyDescent="0.2">
      <c r="A765" s="1635" t="s">
        <v>6827</v>
      </c>
      <c r="B765" s="1984" t="s">
        <v>5278</v>
      </c>
      <c r="C765" s="1984">
        <v>11976</v>
      </c>
      <c r="D765" s="1813" t="s">
        <v>6809</v>
      </c>
      <c r="E765" s="1638">
        <v>400</v>
      </c>
      <c r="F765" s="1639" t="s">
        <v>5284</v>
      </c>
      <c r="G765" s="1648">
        <v>0.89</v>
      </c>
      <c r="H765" s="1636">
        <f t="shared" si="756"/>
        <v>0.24</v>
      </c>
      <c r="I765" s="1636">
        <f t="shared" si="767"/>
        <v>1.1299999999999999</v>
      </c>
      <c r="J765" s="1723">
        <f t="shared" si="768"/>
        <v>452</v>
      </c>
      <c r="K765" s="2007">
        <f t="shared" si="744"/>
        <v>356</v>
      </c>
      <c r="L765" s="2007">
        <f t="shared" si="745"/>
        <v>96</v>
      </c>
      <c r="M765" s="2016"/>
      <c r="N765" s="2016"/>
      <c r="O765" s="2016"/>
      <c r="P765" s="2016"/>
      <c r="Q765" s="2016"/>
      <c r="R765" s="2016"/>
      <c r="S765" s="2016"/>
      <c r="T765" s="2016"/>
      <c r="U765" s="2016">
        <f t="shared" si="762"/>
        <v>45.2</v>
      </c>
      <c r="V765" s="2016">
        <f t="shared" si="763"/>
        <v>90.4</v>
      </c>
      <c r="W765" s="2016">
        <f t="shared" si="764"/>
        <v>135.6</v>
      </c>
      <c r="X765" s="2016">
        <f t="shared" si="765"/>
        <v>135.6</v>
      </c>
      <c r="Y765" s="2016">
        <f t="shared" si="766"/>
        <v>45.2</v>
      </c>
      <c r="Z765" s="2016"/>
    </row>
    <row r="766" spans="1:26" s="2009" customFormat="1" ht="15" x14ac:dyDescent="0.2">
      <c r="A766" s="1634" t="s">
        <v>6844</v>
      </c>
      <c r="B766" s="2136" t="s">
        <v>6845</v>
      </c>
      <c r="C766" s="2136"/>
      <c r="D766" s="2136"/>
      <c r="E766" s="2136"/>
      <c r="F766" s="2136"/>
      <c r="G766" s="2136"/>
      <c r="H766" s="2136"/>
      <c r="I766" s="2136"/>
      <c r="J766" s="2136"/>
      <c r="K766" s="2007"/>
      <c r="L766" s="2007"/>
      <c r="M766" s="2016"/>
      <c r="N766" s="2016"/>
      <c r="O766" s="2016"/>
      <c r="P766" s="2016"/>
      <c r="Q766" s="2016"/>
      <c r="R766" s="2016"/>
      <c r="S766" s="2016"/>
      <c r="T766" s="2016"/>
      <c r="U766" s="2016"/>
      <c r="V766" s="2016"/>
      <c r="W766" s="2016"/>
      <c r="X766" s="2016"/>
      <c r="Y766" s="2016"/>
      <c r="Z766" s="2016"/>
    </row>
    <row r="767" spans="1:26" s="2009" customFormat="1" ht="30" x14ac:dyDescent="0.2">
      <c r="A767" s="1635" t="s">
        <v>6851</v>
      </c>
      <c r="B767" s="1984" t="s">
        <v>5714</v>
      </c>
      <c r="C767" s="1984">
        <v>15</v>
      </c>
      <c r="D767" s="1813" t="s">
        <v>6846</v>
      </c>
      <c r="E767" s="1638">
        <v>5</v>
      </c>
      <c r="F767" s="1639" t="s">
        <v>5284</v>
      </c>
      <c r="G767" s="1648">
        <v>198.2</v>
      </c>
      <c r="H767" s="1636">
        <f t="shared" ref="H767:H774" si="769">ROUND(G767*$B$13,2)</f>
        <v>53.38</v>
      </c>
      <c r="I767" s="1636">
        <f t="shared" ref="I767:I774" si="770">H767+G767</f>
        <v>251.57999999999998</v>
      </c>
      <c r="J767" s="1723">
        <f t="shared" ref="J767:J774" si="771">ROUND(I767*E767,2)</f>
        <v>1257.9000000000001</v>
      </c>
      <c r="K767" s="2007">
        <f t="shared" si="744"/>
        <v>991</v>
      </c>
      <c r="L767" s="2007">
        <f t="shared" si="745"/>
        <v>266.89999999999998</v>
      </c>
      <c r="M767" s="2016"/>
      <c r="N767" s="2016"/>
      <c r="O767" s="2016"/>
      <c r="P767" s="2016"/>
      <c r="Q767" s="2016"/>
      <c r="R767" s="2016"/>
      <c r="S767" s="2016"/>
      <c r="T767" s="2016"/>
      <c r="U767" s="2016">
        <f t="shared" ref="U767" si="772">0.1*J767</f>
        <v>125.79000000000002</v>
      </c>
      <c r="V767" s="2016">
        <f t="shared" ref="V767" si="773">0.2*J767</f>
        <v>251.58000000000004</v>
      </c>
      <c r="W767" s="2016">
        <f t="shared" ref="W767" si="774">0.3*J767</f>
        <v>377.37</v>
      </c>
      <c r="X767" s="2016">
        <f t="shared" ref="X767" si="775">0.3*J767</f>
        <v>377.37</v>
      </c>
      <c r="Y767" s="2016">
        <f t="shared" ref="Y767" si="776">0.1*J767</f>
        <v>125.79000000000002</v>
      </c>
      <c r="Z767" s="2016"/>
    </row>
    <row r="768" spans="1:26" s="2009" customFormat="1" ht="30" x14ac:dyDescent="0.2">
      <c r="A768" s="1635" t="s">
        <v>6852</v>
      </c>
      <c r="B768" s="1984" t="s">
        <v>5714</v>
      </c>
      <c r="C768" s="1984">
        <v>16</v>
      </c>
      <c r="D768" s="1813" t="s">
        <v>6847</v>
      </c>
      <c r="E768" s="1638">
        <v>42</v>
      </c>
      <c r="F768" s="1639" t="s">
        <v>5284</v>
      </c>
      <c r="G768" s="1648">
        <v>52.95</v>
      </c>
      <c r="H768" s="1636">
        <f t="shared" si="769"/>
        <v>14.26</v>
      </c>
      <c r="I768" s="1636">
        <f t="shared" si="770"/>
        <v>67.210000000000008</v>
      </c>
      <c r="J768" s="1723">
        <f t="shared" si="771"/>
        <v>2822.82</v>
      </c>
      <c r="K768" s="2007">
        <f t="shared" si="744"/>
        <v>2223.9</v>
      </c>
      <c r="L768" s="2007">
        <f t="shared" si="745"/>
        <v>598.91999999999996</v>
      </c>
      <c r="M768" s="2016"/>
      <c r="N768" s="2016"/>
      <c r="O768" s="2016"/>
      <c r="P768" s="2016"/>
      <c r="Q768" s="2016"/>
      <c r="R768" s="2016"/>
      <c r="S768" s="2016"/>
      <c r="T768" s="2016"/>
      <c r="U768" s="2016">
        <f t="shared" ref="U768:U774" si="777">0.1*J768</f>
        <v>282.28200000000004</v>
      </c>
      <c r="V768" s="2016">
        <f t="shared" ref="V768:V774" si="778">0.2*J768</f>
        <v>564.56400000000008</v>
      </c>
      <c r="W768" s="2016">
        <f t="shared" ref="W768:W774" si="779">0.3*J768</f>
        <v>846.846</v>
      </c>
      <c r="X768" s="2016">
        <f t="shared" ref="X768:X774" si="780">0.3*J768</f>
        <v>846.846</v>
      </c>
      <c r="Y768" s="2016">
        <f t="shared" ref="Y768:Y774" si="781">0.1*J768</f>
        <v>282.28200000000004</v>
      </c>
      <c r="Z768" s="2016"/>
    </row>
    <row r="769" spans="1:26" s="2009" customFormat="1" ht="30" x14ac:dyDescent="0.2">
      <c r="A769" s="1635" t="s">
        <v>6853</v>
      </c>
      <c r="B769" s="1984" t="s">
        <v>5714</v>
      </c>
      <c r="C769" s="1984">
        <v>17</v>
      </c>
      <c r="D769" s="1813" t="s">
        <v>6848</v>
      </c>
      <c r="E769" s="1638">
        <v>11</v>
      </c>
      <c r="F769" s="1639" t="s">
        <v>5284</v>
      </c>
      <c r="G769" s="1648">
        <v>33.849999999999994</v>
      </c>
      <c r="H769" s="1636">
        <f t="shared" si="769"/>
        <v>9.1199999999999992</v>
      </c>
      <c r="I769" s="1636">
        <f t="shared" si="770"/>
        <v>42.969999999999992</v>
      </c>
      <c r="J769" s="1723">
        <f t="shared" si="771"/>
        <v>472.67</v>
      </c>
      <c r="K769" s="2007">
        <f t="shared" si="744"/>
        <v>372.35</v>
      </c>
      <c r="L769" s="2007">
        <f t="shared" si="745"/>
        <v>100.32</v>
      </c>
      <c r="M769" s="2016"/>
      <c r="N769" s="2016"/>
      <c r="O769" s="2016"/>
      <c r="P769" s="2016"/>
      <c r="Q769" s="2016"/>
      <c r="R769" s="2016"/>
      <c r="S769" s="2016"/>
      <c r="T769" s="2016"/>
      <c r="U769" s="2016">
        <f t="shared" si="777"/>
        <v>47.267000000000003</v>
      </c>
      <c r="V769" s="2016">
        <f t="shared" si="778"/>
        <v>94.534000000000006</v>
      </c>
      <c r="W769" s="2016">
        <f t="shared" si="779"/>
        <v>141.80099999999999</v>
      </c>
      <c r="X769" s="2016">
        <f t="shared" si="780"/>
        <v>141.80099999999999</v>
      </c>
      <c r="Y769" s="2016">
        <f t="shared" si="781"/>
        <v>47.267000000000003</v>
      </c>
      <c r="Z769" s="2016"/>
    </row>
    <row r="770" spans="1:26" s="2009" customFormat="1" ht="30" x14ac:dyDescent="0.2">
      <c r="A770" s="1635" t="s">
        <v>6854</v>
      </c>
      <c r="B770" s="1984" t="s">
        <v>5714</v>
      </c>
      <c r="C770" s="1984">
        <v>18</v>
      </c>
      <c r="D770" s="1813" t="s">
        <v>6849</v>
      </c>
      <c r="E770" s="1638">
        <v>45</v>
      </c>
      <c r="F770" s="1639" t="s">
        <v>5284</v>
      </c>
      <c r="G770" s="1648">
        <v>45.2</v>
      </c>
      <c r="H770" s="1636">
        <f t="shared" si="769"/>
        <v>12.17</v>
      </c>
      <c r="I770" s="1636">
        <f t="shared" si="770"/>
        <v>57.370000000000005</v>
      </c>
      <c r="J770" s="1723">
        <f t="shared" si="771"/>
        <v>2581.65</v>
      </c>
      <c r="K770" s="2007">
        <f t="shared" si="744"/>
        <v>2034</v>
      </c>
      <c r="L770" s="2007">
        <f t="shared" si="745"/>
        <v>547.65</v>
      </c>
      <c r="M770" s="2016"/>
      <c r="N770" s="2016"/>
      <c r="O770" s="2016"/>
      <c r="P770" s="2016"/>
      <c r="Q770" s="2016"/>
      <c r="R770" s="2016"/>
      <c r="S770" s="2016"/>
      <c r="T770" s="2016"/>
      <c r="U770" s="2016">
        <f t="shared" si="777"/>
        <v>258.16500000000002</v>
      </c>
      <c r="V770" s="2016">
        <f t="shared" si="778"/>
        <v>516.33000000000004</v>
      </c>
      <c r="W770" s="2016">
        <f t="shared" si="779"/>
        <v>774.495</v>
      </c>
      <c r="X770" s="2016">
        <f t="shared" si="780"/>
        <v>774.495</v>
      </c>
      <c r="Y770" s="2016">
        <f t="shared" si="781"/>
        <v>258.16500000000002</v>
      </c>
      <c r="Z770" s="2016"/>
    </row>
    <row r="771" spans="1:26" s="2009" customFormat="1" ht="30" x14ac:dyDescent="0.2">
      <c r="A771" s="1635" t="s">
        <v>6855</v>
      </c>
      <c r="B771" s="1984" t="s">
        <v>5714</v>
      </c>
      <c r="C771" s="1984">
        <v>19</v>
      </c>
      <c r="D771" s="1813" t="s">
        <v>6850</v>
      </c>
      <c r="E771" s="1638">
        <v>13</v>
      </c>
      <c r="F771" s="1639" t="s">
        <v>5284</v>
      </c>
      <c r="G771" s="1648">
        <v>30.599999999999998</v>
      </c>
      <c r="H771" s="1636">
        <f t="shared" si="769"/>
        <v>8.24</v>
      </c>
      <c r="I771" s="1636">
        <f t="shared" si="770"/>
        <v>38.839999999999996</v>
      </c>
      <c r="J771" s="1723">
        <f t="shared" si="771"/>
        <v>504.92</v>
      </c>
      <c r="K771" s="2007">
        <f t="shared" si="744"/>
        <v>397.8</v>
      </c>
      <c r="L771" s="2007">
        <f t="shared" si="745"/>
        <v>107.12</v>
      </c>
      <c r="M771" s="2016"/>
      <c r="N771" s="2016"/>
      <c r="O771" s="2016"/>
      <c r="P771" s="2016"/>
      <c r="Q771" s="2016"/>
      <c r="R771" s="2016"/>
      <c r="S771" s="2016"/>
      <c r="T771" s="2016"/>
      <c r="U771" s="2016">
        <f t="shared" si="777"/>
        <v>50.492000000000004</v>
      </c>
      <c r="V771" s="2016">
        <f t="shared" si="778"/>
        <v>100.98400000000001</v>
      </c>
      <c r="W771" s="2016">
        <f t="shared" si="779"/>
        <v>151.476</v>
      </c>
      <c r="X771" s="2016">
        <f t="shared" si="780"/>
        <v>151.476</v>
      </c>
      <c r="Y771" s="2016">
        <f t="shared" si="781"/>
        <v>50.492000000000004</v>
      </c>
      <c r="Z771" s="2016"/>
    </row>
    <row r="772" spans="1:26" s="2009" customFormat="1" ht="45" x14ac:dyDescent="0.2">
      <c r="A772" s="1635" t="s">
        <v>6858</v>
      </c>
      <c r="B772" s="1984" t="s">
        <v>5696</v>
      </c>
      <c r="C772" s="1984" t="s">
        <v>7771</v>
      </c>
      <c r="D772" s="1813" t="s">
        <v>6856</v>
      </c>
      <c r="E772" s="1638">
        <v>1</v>
      </c>
      <c r="F772" s="1639" t="s">
        <v>5284</v>
      </c>
      <c r="G772" s="1648">
        <v>9654.1</v>
      </c>
      <c r="H772" s="1636">
        <f t="shared" si="769"/>
        <v>2599.85</v>
      </c>
      <c r="I772" s="1636">
        <f t="shared" si="770"/>
        <v>12253.95</v>
      </c>
      <c r="J772" s="1723">
        <f t="shared" si="771"/>
        <v>12253.95</v>
      </c>
      <c r="K772" s="2007">
        <f t="shared" si="744"/>
        <v>9654.1</v>
      </c>
      <c r="L772" s="2007">
        <f t="shared" si="745"/>
        <v>2599.85</v>
      </c>
      <c r="M772" s="2016"/>
      <c r="N772" s="2016"/>
      <c r="O772" s="2016"/>
      <c r="P772" s="2016"/>
      <c r="Q772" s="2016"/>
      <c r="R772" s="2016"/>
      <c r="S772" s="2016"/>
      <c r="T772" s="2016"/>
      <c r="U772" s="2016">
        <f t="shared" si="777"/>
        <v>1225.3950000000002</v>
      </c>
      <c r="V772" s="2016">
        <f t="shared" si="778"/>
        <v>2450.7900000000004</v>
      </c>
      <c r="W772" s="2016">
        <f t="shared" si="779"/>
        <v>3676.1849999999999</v>
      </c>
      <c r="X772" s="2016">
        <f t="shared" si="780"/>
        <v>3676.1849999999999</v>
      </c>
      <c r="Y772" s="2016">
        <f t="shared" si="781"/>
        <v>1225.3950000000002</v>
      </c>
      <c r="Z772" s="2016"/>
    </row>
    <row r="773" spans="1:26" s="2009" customFormat="1" ht="45" x14ac:dyDescent="0.2">
      <c r="A773" s="1635" t="s">
        <v>6859</v>
      </c>
      <c r="B773" s="1984" t="s">
        <v>5696</v>
      </c>
      <c r="C773" s="1984" t="s">
        <v>7772</v>
      </c>
      <c r="D773" s="1813" t="s">
        <v>6857</v>
      </c>
      <c r="E773" s="1638">
        <v>1</v>
      </c>
      <c r="F773" s="1639" t="s">
        <v>5284</v>
      </c>
      <c r="G773" s="1648">
        <v>9209.1</v>
      </c>
      <c r="H773" s="1636">
        <f t="shared" si="769"/>
        <v>2480.0100000000002</v>
      </c>
      <c r="I773" s="1636">
        <f t="shared" si="770"/>
        <v>11689.11</v>
      </c>
      <c r="J773" s="1723">
        <f t="shared" si="771"/>
        <v>11689.11</v>
      </c>
      <c r="K773" s="2007">
        <f t="shared" si="744"/>
        <v>9209.1</v>
      </c>
      <c r="L773" s="2007">
        <f t="shared" si="745"/>
        <v>2480.0100000000002</v>
      </c>
      <c r="M773" s="2016"/>
      <c r="N773" s="2016"/>
      <c r="O773" s="2016"/>
      <c r="P773" s="2016"/>
      <c r="Q773" s="2016"/>
      <c r="R773" s="2016"/>
      <c r="S773" s="2016"/>
      <c r="T773" s="2016"/>
      <c r="U773" s="2016">
        <f t="shared" si="777"/>
        <v>1168.9110000000001</v>
      </c>
      <c r="V773" s="2016">
        <f t="shared" si="778"/>
        <v>2337.8220000000001</v>
      </c>
      <c r="W773" s="2016">
        <f t="shared" si="779"/>
        <v>3506.7330000000002</v>
      </c>
      <c r="X773" s="2016">
        <f t="shared" si="780"/>
        <v>3506.7330000000002</v>
      </c>
      <c r="Y773" s="2016">
        <f t="shared" si="781"/>
        <v>1168.9110000000001</v>
      </c>
      <c r="Z773" s="2016"/>
    </row>
    <row r="774" spans="1:26" s="2009" customFormat="1" ht="30" x14ac:dyDescent="0.2">
      <c r="A774" s="1635" t="s">
        <v>6861</v>
      </c>
      <c r="B774" s="1984" t="s">
        <v>5696</v>
      </c>
      <c r="C774" s="1984" t="s">
        <v>7773</v>
      </c>
      <c r="D774" s="1813" t="s">
        <v>6860</v>
      </c>
      <c r="E774" s="1638">
        <v>1</v>
      </c>
      <c r="F774" s="1639" t="s">
        <v>5284</v>
      </c>
      <c r="G774" s="1648">
        <v>6323.1</v>
      </c>
      <c r="H774" s="1636">
        <f t="shared" si="769"/>
        <v>1702.81</v>
      </c>
      <c r="I774" s="1636">
        <f t="shared" si="770"/>
        <v>8025.91</v>
      </c>
      <c r="J774" s="1723">
        <f t="shared" si="771"/>
        <v>8025.91</v>
      </c>
      <c r="K774" s="2007">
        <f t="shared" si="744"/>
        <v>6323.1</v>
      </c>
      <c r="L774" s="2007">
        <f t="shared" si="745"/>
        <v>1702.81</v>
      </c>
      <c r="M774" s="2016"/>
      <c r="N774" s="2016"/>
      <c r="O774" s="2016"/>
      <c r="P774" s="2016"/>
      <c r="Q774" s="2016"/>
      <c r="R774" s="2016"/>
      <c r="S774" s="2016"/>
      <c r="T774" s="2016"/>
      <c r="U774" s="2016">
        <f t="shared" si="777"/>
        <v>802.59100000000001</v>
      </c>
      <c r="V774" s="2016">
        <f t="shared" si="778"/>
        <v>1605.182</v>
      </c>
      <c r="W774" s="2016">
        <f t="shared" si="779"/>
        <v>2407.7729999999997</v>
      </c>
      <c r="X774" s="2016">
        <f t="shared" si="780"/>
        <v>2407.7729999999997</v>
      </c>
      <c r="Y774" s="2016">
        <f t="shared" si="781"/>
        <v>802.59100000000001</v>
      </c>
      <c r="Z774" s="2016"/>
    </row>
    <row r="775" spans="1:26" s="2009" customFormat="1" ht="15" x14ac:dyDescent="0.2">
      <c r="A775" s="1634" t="s">
        <v>6804</v>
      </c>
      <c r="B775" s="2136" t="s">
        <v>6124</v>
      </c>
      <c r="C775" s="2136"/>
      <c r="D775" s="2136"/>
      <c r="E775" s="2136"/>
      <c r="F775" s="2136"/>
      <c r="G775" s="2136"/>
      <c r="H775" s="2136"/>
      <c r="I775" s="2136"/>
      <c r="J775" s="2136"/>
      <c r="K775" s="2007"/>
      <c r="L775" s="2007"/>
      <c r="M775" s="2016"/>
      <c r="N775" s="2016"/>
      <c r="O775" s="2016"/>
      <c r="P775" s="2016"/>
      <c r="Q775" s="2016"/>
      <c r="R775" s="2016"/>
      <c r="S775" s="2016"/>
      <c r="T775" s="2016"/>
      <c r="U775" s="2016"/>
      <c r="V775" s="2016"/>
      <c r="W775" s="2016"/>
      <c r="X775" s="2016"/>
      <c r="Y775" s="2016"/>
      <c r="Z775" s="2016"/>
    </row>
    <row r="776" spans="1:26" s="2009" customFormat="1" ht="30" x14ac:dyDescent="0.2">
      <c r="A776" s="1635" t="s">
        <v>6813</v>
      </c>
      <c r="B776" s="1984" t="s">
        <v>5696</v>
      </c>
      <c r="C776" s="1984" t="s">
        <v>7652</v>
      </c>
      <c r="D776" s="1813" t="s">
        <v>6862</v>
      </c>
      <c r="E776" s="1638">
        <v>4</v>
      </c>
      <c r="F776" s="1639" t="s">
        <v>5284</v>
      </c>
      <c r="G776" s="1648">
        <v>88.27000000000001</v>
      </c>
      <c r="H776" s="1636">
        <f t="shared" ref="H776:H783" si="782">ROUND(G776*$B$13,2)</f>
        <v>23.77</v>
      </c>
      <c r="I776" s="1636">
        <f t="shared" ref="I776:I783" si="783">H776+G776</f>
        <v>112.04</v>
      </c>
      <c r="J776" s="1723">
        <f t="shared" ref="J776:J783" si="784">ROUND(I776*E776,2)</f>
        <v>448.16</v>
      </c>
      <c r="K776" s="2007">
        <f t="shared" si="744"/>
        <v>353.08</v>
      </c>
      <c r="L776" s="2007">
        <f t="shared" si="745"/>
        <v>95.08</v>
      </c>
      <c r="M776" s="2016"/>
      <c r="N776" s="2016"/>
      <c r="O776" s="2016"/>
      <c r="P776" s="2016"/>
      <c r="Q776" s="2016"/>
      <c r="R776" s="2016"/>
      <c r="S776" s="2016"/>
      <c r="T776" s="2016"/>
      <c r="U776" s="2016">
        <f t="shared" ref="U776:U783" si="785">0.1*J776</f>
        <v>44.816000000000003</v>
      </c>
      <c r="V776" s="2016">
        <f t="shared" ref="V776:V783" si="786">0.2*J776</f>
        <v>89.632000000000005</v>
      </c>
      <c r="W776" s="2016">
        <f t="shared" ref="W776:W783" si="787">0.3*J776</f>
        <v>134.44800000000001</v>
      </c>
      <c r="X776" s="2016">
        <f t="shared" ref="X776:X783" si="788">0.3*J776</f>
        <v>134.44800000000001</v>
      </c>
      <c r="Y776" s="2016">
        <f t="shared" ref="Y776:Y783" si="789">0.1*J776</f>
        <v>44.816000000000003</v>
      </c>
      <c r="Z776" s="2016"/>
    </row>
    <row r="777" spans="1:26" s="2009" customFormat="1" ht="30" x14ac:dyDescent="0.2">
      <c r="A777" s="1635" t="s">
        <v>6868</v>
      </c>
      <c r="B777" s="1984" t="s">
        <v>5696</v>
      </c>
      <c r="C777" s="1984" t="s">
        <v>7653</v>
      </c>
      <c r="D777" s="1813" t="s">
        <v>6863</v>
      </c>
      <c r="E777" s="1638">
        <v>22</v>
      </c>
      <c r="F777" s="1639" t="s">
        <v>5284</v>
      </c>
      <c r="G777" s="1648">
        <v>58.83</v>
      </c>
      <c r="H777" s="1636">
        <f t="shared" si="782"/>
        <v>15.84</v>
      </c>
      <c r="I777" s="1636">
        <f t="shared" si="783"/>
        <v>74.67</v>
      </c>
      <c r="J777" s="1723">
        <f t="shared" si="784"/>
        <v>1642.74</v>
      </c>
      <c r="K777" s="2007">
        <f t="shared" si="744"/>
        <v>1294.26</v>
      </c>
      <c r="L777" s="2007">
        <f t="shared" si="745"/>
        <v>348.48</v>
      </c>
      <c r="M777" s="2016"/>
      <c r="N777" s="2016"/>
      <c r="O777" s="2016"/>
      <c r="P777" s="2016"/>
      <c r="Q777" s="2016"/>
      <c r="R777" s="2016"/>
      <c r="S777" s="2016"/>
      <c r="T777" s="2016"/>
      <c r="U777" s="2016">
        <f t="shared" si="785"/>
        <v>164.274</v>
      </c>
      <c r="V777" s="2016">
        <f t="shared" si="786"/>
        <v>328.548</v>
      </c>
      <c r="W777" s="2016">
        <f t="shared" si="787"/>
        <v>492.822</v>
      </c>
      <c r="X777" s="2016">
        <f t="shared" si="788"/>
        <v>492.822</v>
      </c>
      <c r="Y777" s="2016">
        <f t="shared" si="789"/>
        <v>164.274</v>
      </c>
      <c r="Z777" s="2016"/>
    </row>
    <row r="778" spans="1:26" s="2009" customFormat="1" ht="30" x14ac:dyDescent="0.2">
      <c r="A778" s="1635" t="s">
        <v>6869</v>
      </c>
      <c r="B778" s="1984" t="s">
        <v>5696</v>
      </c>
      <c r="C778" s="1984" t="s">
        <v>7656</v>
      </c>
      <c r="D778" s="1813" t="s">
        <v>7654</v>
      </c>
      <c r="E778" s="1638">
        <v>5</v>
      </c>
      <c r="F778" s="1639" t="s">
        <v>5284</v>
      </c>
      <c r="G778" s="1648">
        <v>112.25</v>
      </c>
      <c r="H778" s="1636">
        <f t="shared" si="782"/>
        <v>30.23</v>
      </c>
      <c r="I778" s="1636">
        <f t="shared" si="783"/>
        <v>142.47999999999999</v>
      </c>
      <c r="J778" s="1723">
        <f t="shared" si="784"/>
        <v>712.4</v>
      </c>
      <c r="K778" s="2007">
        <f t="shared" si="744"/>
        <v>561.25</v>
      </c>
      <c r="L778" s="2007">
        <f t="shared" si="745"/>
        <v>151.15</v>
      </c>
      <c r="M778" s="2016"/>
      <c r="N778" s="2016"/>
      <c r="O778" s="2016"/>
      <c r="P778" s="2016"/>
      <c r="Q778" s="2016"/>
      <c r="R778" s="2016"/>
      <c r="S778" s="2016"/>
      <c r="T778" s="2016"/>
      <c r="U778" s="2016">
        <f t="shared" si="785"/>
        <v>71.239999999999995</v>
      </c>
      <c r="V778" s="2016">
        <f t="shared" si="786"/>
        <v>142.47999999999999</v>
      </c>
      <c r="W778" s="2016">
        <f t="shared" si="787"/>
        <v>213.72</v>
      </c>
      <c r="X778" s="2016">
        <f t="shared" si="788"/>
        <v>213.72</v>
      </c>
      <c r="Y778" s="2016">
        <f t="shared" si="789"/>
        <v>71.239999999999995</v>
      </c>
      <c r="Z778" s="2016"/>
    </row>
    <row r="779" spans="1:26" s="2009" customFormat="1" ht="30" x14ac:dyDescent="0.2">
      <c r="A779" s="1635" t="s">
        <v>6870</v>
      </c>
      <c r="B779" s="1984" t="s">
        <v>5696</v>
      </c>
      <c r="C779" s="1984" t="s">
        <v>7657</v>
      </c>
      <c r="D779" s="1813" t="s">
        <v>7655</v>
      </c>
      <c r="E779" s="1638">
        <v>2</v>
      </c>
      <c r="F779" s="1639" t="s">
        <v>5284</v>
      </c>
      <c r="G779" s="1648">
        <v>133.39000000000001</v>
      </c>
      <c r="H779" s="1636">
        <f t="shared" si="782"/>
        <v>35.92</v>
      </c>
      <c r="I779" s="1636">
        <f t="shared" si="783"/>
        <v>169.31</v>
      </c>
      <c r="J779" s="1723">
        <f t="shared" si="784"/>
        <v>338.62</v>
      </c>
      <c r="K779" s="2007">
        <f t="shared" si="744"/>
        <v>266.77999999999997</v>
      </c>
      <c r="L779" s="2007">
        <f t="shared" si="745"/>
        <v>71.84</v>
      </c>
      <c r="M779" s="2016"/>
      <c r="N779" s="2016"/>
      <c r="O779" s="2016"/>
      <c r="P779" s="2016"/>
      <c r="Q779" s="2016"/>
      <c r="R779" s="2016"/>
      <c r="S779" s="2016"/>
      <c r="T779" s="2016"/>
      <c r="U779" s="2016">
        <f t="shared" si="785"/>
        <v>33.862000000000002</v>
      </c>
      <c r="V779" s="2016">
        <f t="shared" si="786"/>
        <v>67.724000000000004</v>
      </c>
      <c r="W779" s="2016">
        <f t="shared" si="787"/>
        <v>101.586</v>
      </c>
      <c r="X779" s="2016">
        <f t="shared" si="788"/>
        <v>101.586</v>
      </c>
      <c r="Y779" s="2016">
        <f t="shared" si="789"/>
        <v>33.862000000000002</v>
      </c>
      <c r="Z779" s="2016"/>
    </row>
    <row r="780" spans="1:26" s="2009" customFormat="1" ht="30" x14ac:dyDescent="0.2">
      <c r="A780" s="1635" t="s">
        <v>6871</v>
      </c>
      <c r="B780" s="1984" t="s">
        <v>5696</v>
      </c>
      <c r="C780" s="1984" t="s">
        <v>7658</v>
      </c>
      <c r="D780" s="1813" t="s">
        <v>6864</v>
      </c>
      <c r="E780" s="1638">
        <v>5</v>
      </c>
      <c r="F780" s="1639" t="s">
        <v>5284</v>
      </c>
      <c r="G780" s="1648">
        <v>402.77</v>
      </c>
      <c r="H780" s="1636">
        <f t="shared" si="782"/>
        <v>108.47</v>
      </c>
      <c r="I780" s="1636">
        <f t="shared" si="783"/>
        <v>511.24</v>
      </c>
      <c r="J780" s="1723">
        <f t="shared" si="784"/>
        <v>2556.1999999999998</v>
      </c>
      <c r="K780" s="2007">
        <f t="shared" si="744"/>
        <v>2013.85</v>
      </c>
      <c r="L780" s="2007">
        <f t="shared" si="745"/>
        <v>542.35</v>
      </c>
      <c r="M780" s="2016"/>
      <c r="N780" s="2016"/>
      <c r="O780" s="2016"/>
      <c r="P780" s="2016"/>
      <c r="Q780" s="2016"/>
      <c r="R780" s="2016"/>
      <c r="S780" s="2016"/>
      <c r="T780" s="2016"/>
      <c r="U780" s="2016">
        <f t="shared" si="785"/>
        <v>255.62</v>
      </c>
      <c r="V780" s="2016">
        <f t="shared" si="786"/>
        <v>511.24</v>
      </c>
      <c r="W780" s="2016">
        <f t="shared" si="787"/>
        <v>766.8599999999999</v>
      </c>
      <c r="X780" s="2016">
        <f t="shared" si="788"/>
        <v>766.8599999999999</v>
      </c>
      <c r="Y780" s="2016">
        <f t="shared" si="789"/>
        <v>255.62</v>
      </c>
      <c r="Z780" s="2016"/>
    </row>
    <row r="781" spans="1:26" s="2009" customFormat="1" ht="30" x14ac:dyDescent="0.2">
      <c r="A781" s="1635" t="s">
        <v>6872</v>
      </c>
      <c r="B781" s="1984" t="s">
        <v>5696</v>
      </c>
      <c r="C781" s="1984" t="s">
        <v>7659</v>
      </c>
      <c r="D781" s="1813" t="s">
        <v>6865</v>
      </c>
      <c r="E781" s="1638">
        <v>14</v>
      </c>
      <c r="F781" s="1639" t="s">
        <v>5284</v>
      </c>
      <c r="G781" s="1648">
        <v>262.73</v>
      </c>
      <c r="H781" s="1636">
        <f t="shared" si="782"/>
        <v>70.75</v>
      </c>
      <c r="I781" s="1636">
        <f t="shared" si="783"/>
        <v>333.48</v>
      </c>
      <c r="J781" s="1723">
        <f t="shared" si="784"/>
        <v>4668.72</v>
      </c>
      <c r="K781" s="2007">
        <f t="shared" si="744"/>
        <v>3678.22</v>
      </c>
      <c r="L781" s="2007">
        <f t="shared" si="745"/>
        <v>990.5</v>
      </c>
      <c r="M781" s="2016"/>
      <c r="N781" s="2016"/>
      <c r="O781" s="2016"/>
      <c r="P781" s="2016"/>
      <c r="Q781" s="2016"/>
      <c r="R781" s="2016"/>
      <c r="S781" s="2016"/>
      <c r="T781" s="2016"/>
      <c r="U781" s="2016">
        <f t="shared" si="785"/>
        <v>466.87200000000007</v>
      </c>
      <c r="V781" s="2016">
        <f t="shared" si="786"/>
        <v>933.74400000000014</v>
      </c>
      <c r="W781" s="2016">
        <f t="shared" si="787"/>
        <v>1400.616</v>
      </c>
      <c r="X781" s="2016">
        <f t="shared" si="788"/>
        <v>1400.616</v>
      </c>
      <c r="Y781" s="2016">
        <f t="shared" si="789"/>
        <v>466.87200000000007</v>
      </c>
      <c r="Z781" s="2016"/>
    </row>
    <row r="782" spans="1:26" s="2009" customFormat="1" ht="30" x14ac:dyDescent="0.2">
      <c r="A782" s="1635" t="s">
        <v>6873</v>
      </c>
      <c r="B782" s="1984" t="s">
        <v>5696</v>
      </c>
      <c r="C782" s="1984" t="s">
        <v>7660</v>
      </c>
      <c r="D782" s="1813" t="s">
        <v>6866</v>
      </c>
      <c r="E782" s="1638">
        <v>9</v>
      </c>
      <c r="F782" s="1639" t="s">
        <v>5284</v>
      </c>
      <c r="G782" s="1648">
        <v>156.19</v>
      </c>
      <c r="H782" s="1636">
        <f t="shared" si="782"/>
        <v>42.06</v>
      </c>
      <c r="I782" s="1636">
        <f t="shared" si="783"/>
        <v>198.25</v>
      </c>
      <c r="J782" s="1723">
        <f t="shared" si="784"/>
        <v>1784.25</v>
      </c>
      <c r="K782" s="2007">
        <f t="shared" si="744"/>
        <v>1405.71</v>
      </c>
      <c r="L782" s="2007">
        <f t="shared" si="745"/>
        <v>378.54</v>
      </c>
      <c r="M782" s="2016"/>
      <c r="N782" s="2016"/>
      <c r="O782" s="2016"/>
      <c r="P782" s="2016"/>
      <c r="Q782" s="2016"/>
      <c r="R782" s="2016"/>
      <c r="S782" s="2016"/>
      <c r="T782" s="2016"/>
      <c r="U782" s="2016">
        <f t="shared" si="785"/>
        <v>178.42500000000001</v>
      </c>
      <c r="V782" s="2016">
        <f t="shared" si="786"/>
        <v>356.85</v>
      </c>
      <c r="W782" s="2016">
        <f t="shared" si="787"/>
        <v>535.27499999999998</v>
      </c>
      <c r="X782" s="2016">
        <f t="shared" si="788"/>
        <v>535.27499999999998</v>
      </c>
      <c r="Y782" s="2016">
        <f t="shared" si="789"/>
        <v>178.42500000000001</v>
      </c>
      <c r="Z782" s="2016"/>
    </row>
    <row r="783" spans="1:26" s="2009" customFormat="1" ht="30" x14ac:dyDescent="0.2">
      <c r="A783" s="1635" t="s">
        <v>6874</v>
      </c>
      <c r="B783" s="1984" t="s">
        <v>5696</v>
      </c>
      <c r="C783" s="1984" t="s">
        <v>7661</v>
      </c>
      <c r="D783" s="1813" t="s">
        <v>6867</v>
      </c>
      <c r="E783" s="1638">
        <v>15</v>
      </c>
      <c r="F783" s="1639" t="s">
        <v>5284</v>
      </c>
      <c r="G783" s="1648">
        <v>90.83</v>
      </c>
      <c r="H783" s="1636">
        <f t="shared" si="782"/>
        <v>24.46</v>
      </c>
      <c r="I783" s="1636">
        <f t="shared" si="783"/>
        <v>115.28999999999999</v>
      </c>
      <c r="J783" s="1723">
        <f t="shared" si="784"/>
        <v>1729.35</v>
      </c>
      <c r="K783" s="2007">
        <f t="shared" si="744"/>
        <v>1362.45</v>
      </c>
      <c r="L783" s="2007">
        <f t="shared" si="745"/>
        <v>366.9</v>
      </c>
      <c r="M783" s="2016"/>
      <c r="N783" s="2016"/>
      <c r="O783" s="2016"/>
      <c r="P783" s="2016"/>
      <c r="Q783" s="2016"/>
      <c r="R783" s="2016"/>
      <c r="S783" s="2016"/>
      <c r="T783" s="2016"/>
      <c r="U783" s="2016">
        <f t="shared" si="785"/>
        <v>172.935</v>
      </c>
      <c r="V783" s="2016">
        <f t="shared" si="786"/>
        <v>345.87</v>
      </c>
      <c r="W783" s="2016">
        <f t="shared" si="787"/>
        <v>518.80499999999995</v>
      </c>
      <c r="X783" s="2016">
        <f t="shared" si="788"/>
        <v>518.80499999999995</v>
      </c>
      <c r="Y783" s="2016">
        <f t="shared" si="789"/>
        <v>172.935</v>
      </c>
      <c r="Z783" s="2016"/>
    </row>
    <row r="784" spans="1:26" s="2009" customFormat="1" ht="15" x14ac:dyDescent="0.2">
      <c r="A784" s="1634" t="s">
        <v>6810</v>
      </c>
      <c r="B784" s="2136" t="s">
        <v>6812</v>
      </c>
      <c r="C784" s="2136"/>
      <c r="D784" s="2136"/>
      <c r="E784" s="2136"/>
      <c r="F784" s="2136"/>
      <c r="G784" s="2136"/>
      <c r="H784" s="2136"/>
      <c r="I784" s="2136"/>
      <c r="J784" s="2136"/>
      <c r="K784" s="2007"/>
      <c r="L784" s="2007"/>
      <c r="M784" s="2016"/>
      <c r="N784" s="2016"/>
      <c r="O784" s="2016"/>
      <c r="P784" s="2016"/>
      <c r="Q784" s="2016"/>
      <c r="R784" s="2016"/>
      <c r="S784" s="2016"/>
      <c r="T784" s="2016"/>
      <c r="U784" s="2016"/>
      <c r="V784" s="2016"/>
      <c r="W784" s="2016"/>
      <c r="X784" s="2016"/>
      <c r="Y784" s="2016"/>
      <c r="Z784" s="2016"/>
    </row>
    <row r="785" spans="1:26" s="2009" customFormat="1" ht="60" x14ac:dyDescent="0.2">
      <c r="A785" s="1635" t="s">
        <v>6828</v>
      </c>
      <c r="B785" s="1984" t="s">
        <v>4448</v>
      </c>
      <c r="C785" s="1984">
        <v>92284</v>
      </c>
      <c r="D785" s="1813" t="s">
        <v>6913</v>
      </c>
      <c r="E785" s="1638">
        <v>36</v>
      </c>
      <c r="F785" s="1639" t="s">
        <v>5713</v>
      </c>
      <c r="G785" s="1648">
        <v>178.31</v>
      </c>
      <c r="H785" s="1636">
        <f t="shared" ref="H785:H800" si="790">ROUND(G785*$B$13,2)</f>
        <v>48.02</v>
      </c>
      <c r="I785" s="1636">
        <f t="shared" ref="I785:I800" si="791">H785+G785</f>
        <v>226.33</v>
      </c>
      <c r="J785" s="1723">
        <f t="shared" ref="J785:J800" si="792">ROUND(I785*E785,2)</f>
        <v>8147.88</v>
      </c>
      <c r="K785" s="2007">
        <f t="shared" si="744"/>
        <v>6419.16</v>
      </c>
      <c r="L785" s="2007">
        <f t="shared" si="745"/>
        <v>1728.72</v>
      </c>
      <c r="M785" s="2016"/>
      <c r="N785" s="2016"/>
      <c r="O785" s="2016"/>
      <c r="P785" s="2016"/>
      <c r="Q785" s="2016"/>
      <c r="R785" s="2016"/>
      <c r="S785" s="2016"/>
      <c r="T785" s="2016"/>
      <c r="U785" s="2016">
        <f t="shared" ref="U785" si="793">0.1*J785</f>
        <v>814.78800000000001</v>
      </c>
      <c r="V785" s="2016">
        <f t="shared" ref="V785" si="794">0.2*J785</f>
        <v>1629.576</v>
      </c>
      <c r="W785" s="2016">
        <f t="shared" ref="W785" si="795">0.3*J785</f>
        <v>2444.364</v>
      </c>
      <c r="X785" s="2016">
        <f t="shared" ref="X785" si="796">0.3*J785</f>
        <v>2444.364</v>
      </c>
      <c r="Y785" s="2016">
        <f t="shared" ref="Y785" si="797">0.1*J785</f>
        <v>814.78800000000001</v>
      </c>
      <c r="Z785" s="2016"/>
    </row>
    <row r="786" spans="1:26" s="2009" customFormat="1" ht="60" x14ac:dyDescent="0.2">
      <c r="A786" s="1635" t="s">
        <v>6829</v>
      </c>
      <c r="B786" s="1984" t="s">
        <v>4448</v>
      </c>
      <c r="C786" s="1984">
        <v>92282</v>
      </c>
      <c r="D786" s="1813" t="s">
        <v>6914</v>
      </c>
      <c r="E786" s="1638">
        <v>54</v>
      </c>
      <c r="F786" s="1639" t="s">
        <v>5713</v>
      </c>
      <c r="G786" s="1648">
        <v>108.22</v>
      </c>
      <c r="H786" s="1636">
        <f t="shared" si="790"/>
        <v>29.14</v>
      </c>
      <c r="I786" s="1636">
        <f t="shared" si="791"/>
        <v>137.36000000000001</v>
      </c>
      <c r="J786" s="1723">
        <f t="shared" si="792"/>
        <v>7417.44</v>
      </c>
      <c r="K786" s="2007">
        <f t="shared" si="744"/>
        <v>5843.88</v>
      </c>
      <c r="L786" s="2007">
        <f t="shared" si="745"/>
        <v>1573.56</v>
      </c>
      <c r="M786" s="2016"/>
      <c r="N786" s="2016"/>
      <c r="O786" s="2016"/>
      <c r="P786" s="2016"/>
      <c r="Q786" s="2016"/>
      <c r="R786" s="2016"/>
      <c r="S786" s="2016"/>
      <c r="T786" s="2016"/>
      <c r="U786" s="2016">
        <f t="shared" ref="U786:U800" si="798">0.1*J786</f>
        <v>741.74400000000003</v>
      </c>
      <c r="V786" s="2016">
        <f t="shared" ref="V786:V800" si="799">0.2*J786</f>
        <v>1483.4880000000001</v>
      </c>
      <c r="W786" s="2016">
        <f t="shared" ref="W786:W800" si="800">0.3*J786</f>
        <v>2225.232</v>
      </c>
      <c r="X786" s="2016">
        <f t="shared" ref="X786:X800" si="801">0.3*J786</f>
        <v>2225.232</v>
      </c>
      <c r="Y786" s="2016">
        <f t="shared" ref="Y786:Y800" si="802">0.1*J786</f>
        <v>741.74400000000003</v>
      </c>
      <c r="Z786" s="2016"/>
    </row>
    <row r="787" spans="1:26" s="2009" customFormat="1" ht="60" x14ac:dyDescent="0.2">
      <c r="A787" s="1635" t="s">
        <v>6830</v>
      </c>
      <c r="B787" s="1984" t="s">
        <v>4448</v>
      </c>
      <c r="C787" s="1984">
        <v>92282</v>
      </c>
      <c r="D787" s="1813" t="s">
        <v>6915</v>
      </c>
      <c r="E787" s="1638">
        <v>60</v>
      </c>
      <c r="F787" s="1639" t="s">
        <v>5713</v>
      </c>
      <c r="G787" s="1648">
        <v>108.22</v>
      </c>
      <c r="H787" s="1636">
        <f t="shared" si="790"/>
        <v>29.14</v>
      </c>
      <c r="I787" s="1636">
        <f t="shared" si="791"/>
        <v>137.36000000000001</v>
      </c>
      <c r="J787" s="1723">
        <f t="shared" si="792"/>
        <v>8241.6</v>
      </c>
      <c r="K787" s="2007">
        <f t="shared" si="744"/>
        <v>6493.2</v>
      </c>
      <c r="L787" s="2007">
        <f t="shared" si="745"/>
        <v>1748.4</v>
      </c>
      <c r="M787" s="2016"/>
      <c r="N787" s="2016"/>
      <c r="O787" s="2016"/>
      <c r="P787" s="2016"/>
      <c r="Q787" s="2016"/>
      <c r="R787" s="2016"/>
      <c r="S787" s="2016"/>
      <c r="T787" s="2016"/>
      <c r="U787" s="2016">
        <f t="shared" si="798"/>
        <v>824.16000000000008</v>
      </c>
      <c r="V787" s="2016">
        <f t="shared" si="799"/>
        <v>1648.3200000000002</v>
      </c>
      <c r="W787" s="2016">
        <f t="shared" si="800"/>
        <v>2472.48</v>
      </c>
      <c r="X787" s="2016">
        <f t="shared" si="801"/>
        <v>2472.48</v>
      </c>
      <c r="Y787" s="2016">
        <f t="shared" si="802"/>
        <v>824.16000000000008</v>
      </c>
      <c r="Z787" s="2016"/>
    </row>
    <row r="788" spans="1:26" s="2009" customFormat="1" ht="60" x14ac:dyDescent="0.2">
      <c r="A788" s="1635" t="s">
        <v>6831</v>
      </c>
      <c r="B788" s="1984" t="s">
        <v>4448</v>
      </c>
      <c r="C788" s="1984">
        <v>92325</v>
      </c>
      <c r="D788" s="1813" t="s">
        <v>6916</v>
      </c>
      <c r="E788" s="1638">
        <v>60</v>
      </c>
      <c r="F788" s="1639" t="s">
        <v>5713</v>
      </c>
      <c r="G788" s="1648">
        <v>129.43</v>
      </c>
      <c r="H788" s="1636">
        <f t="shared" si="790"/>
        <v>34.86</v>
      </c>
      <c r="I788" s="1636">
        <f t="shared" si="791"/>
        <v>164.29000000000002</v>
      </c>
      <c r="J788" s="1723">
        <f t="shared" si="792"/>
        <v>9857.4</v>
      </c>
      <c r="K788" s="2007">
        <f t="shared" si="744"/>
        <v>7765.8</v>
      </c>
      <c r="L788" s="2007">
        <f t="shared" si="745"/>
        <v>2091.6</v>
      </c>
      <c r="M788" s="2016"/>
      <c r="N788" s="2016"/>
      <c r="O788" s="2016"/>
      <c r="P788" s="2016"/>
      <c r="Q788" s="2016"/>
      <c r="R788" s="2016"/>
      <c r="S788" s="2016"/>
      <c r="T788" s="2016"/>
      <c r="U788" s="2016">
        <f t="shared" si="798"/>
        <v>985.74</v>
      </c>
      <c r="V788" s="2016">
        <f t="shared" si="799"/>
        <v>1971.48</v>
      </c>
      <c r="W788" s="2016">
        <f t="shared" si="800"/>
        <v>2957.22</v>
      </c>
      <c r="X788" s="2016">
        <f t="shared" si="801"/>
        <v>2957.22</v>
      </c>
      <c r="Y788" s="2016">
        <f t="shared" si="802"/>
        <v>985.74</v>
      </c>
      <c r="Z788" s="2016"/>
    </row>
    <row r="789" spans="1:26" s="2009" customFormat="1" ht="60" x14ac:dyDescent="0.2">
      <c r="A789" s="1635" t="s">
        <v>6832</v>
      </c>
      <c r="B789" s="1984" t="s">
        <v>4448</v>
      </c>
      <c r="C789" s="1984">
        <v>92324</v>
      </c>
      <c r="D789" s="1813" t="s">
        <v>6917</v>
      </c>
      <c r="E789" s="1638">
        <v>78</v>
      </c>
      <c r="F789" s="1639" t="s">
        <v>5713</v>
      </c>
      <c r="G789" s="1648">
        <v>112.57</v>
      </c>
      <c r="H789" s="1636">
        <f t="shared" si="790"/>
        <v>30.32</v>
      </c>
      <c r="I789" s="1636">
        <f t="shared" si="791"/>
        <v>142.88999999999999</v>
      </c>
      <c r="J789" s="1723">
        <f t="shared" si="792"/>
        <v>11145.42</v>
      </c>
      <c r="K789" s="2007">
        <f t="shared" si="744"/>
        <v>8780.4599999999991</v>
      </c>
      <c r="L789" s="2007">
        <f t="shared" si="745"/>
        <v>2364.96</v>
      </c>
      <c r="M789" s="2016"/>
      <c r="N789" s="2016"/>
      <c r="O789" s="2016"/>
      <c r="P789" s="2016"/>
      <c r="Q789" s="2016"/>
      <c r="R789" s="2016"/>
      <c r="S789" s="2016"/>
      <c r="T789" s="2016"/>
      <c r="U789" s="2016">
        <f t="shared" si="798"/>
        <v>1114.5420000000001</v>
      </c>
      <c r="V789" s="2016">
        <f t="shared" si="799"/>
        <v>2229.0840000000003</v>
      </c>
      <c r="W789" s="2016">
        <f t="shared" si="800"/>
        <v>3343.6259999999997</v>
      </c>
      <c r="X789" s="2016">
        <f t="shared" si="801"/>
        <v>3343.6259999999997</v>
      </c>
      <c r="Y789" s="2016">
        <f t="shared" si="802"/>
        <v>1114.5420000000001</v>
      </c>
      <c r="Z789" s="2016"/>
    </row>
    <row r="790" spans="1:26" s="2009" customFormat="1" ht="60" x14ac:dyDescent="0.2">
      <c r="A790" s="1635" t="s">
        <v>6833</v>
      </c>
      <c r="B790" s="1984" t="s">
        <v>4448</v>
      </c>
      <c r="C790" s="1984">
        <v>92324</v>
      </c>
      <c r="D790" s="1813" t="s">
        <v>6918</v>
      </c>
      <c r="E790" s="1638">
        <v>108</v>
      </c>
      <c r="F790" s="1639" t="s">
        <v>5713</v>
      </c>
      <c r="G790" s="1648">
        <v>112.57</v>
      </c>
      <c r="H790" s="1636">
        <f t="shared" si="790"/>
        <v>30.32</v>
      </c>
      <c r="I790" s="1636">
        <f t="shared" si="791"/>
        <v>142.88999999999999</v>
      </c>
      <c r="J790" s="1723">
        <f t="shared" si="792"/>
        <v>15432.12</v>
      </c>
      <c r="K790" s="2007">
        <f t="shared" si="744"/>
        <v>12157.56</v>
      </c>
      <c r="L790" s="2007">
        <f t="shared" si="745"/>
        <v>3274.56</v>
      </c>
      <c r="M790" s="2016"/>
      <c r="N790" s="2016"/>
      <c r="O790" s="2016"/>
      <c r="P790" s="2016"/>
      <c r="Q790" s="2016"/>
      <c r="R790" s="2016"/>
      <c r="S790" s="2016"/>
      <c r="T790" s="2016"/>
      <c r="U790" s="2016">
        <f t="shared" si="798"/>
        <v>1543.2120000000002</v>
      </c>
      <c r="V790" s="2016">
        <f t="shared" si="799"/>
        <v>3086.4240000000004</v>
      </c>
      <c r="W790" s="2016">
        <f t="shared" si="800"/>
        <v>4629.6360000000004</v>
      </c>
      <c r="X790" s="2016">
        <f t="shared" si="801"/>
        <v>4629.6360000000004</v>
      </c>
      <c r="Y790" s="2016">
        <f t="shared" si="802"/>
        <v>1543.2120000000002</v>
      </c>
      <c r="Z790" s="2016"/>
    </row>
    <row r="791" spans="1:26" s="2009" customFormat="1" ht="60" x14ac:dyDescent="0.2">
      <c r="A791" s="1635" t="s">
        <v>6834</v>
      </c>
      <c r="B791" s="1984" t="s">
        <v>4448</v>
      </c>
      <c r="C791" s="1984">
        <v>97334</v>
      </c>
      <c r="D791" s="1813" t="s">
        <v>6909</v>
      </c>
      <c r="E791" s="1638">
        <v>195</v>
      </c>
      <c r="F791" s="1639" t="s">
        <v>5713</v>
      </c>
      <c r="G791" s="1648">
        <v>49.54</v>
      </c>
      <c r="H791" s="1636">
        <f t="shared" si="790"/>
        <v>13.34</v>
      </c>
      <c r="I791" s="1636">
        <f t="shared" si="791"/>
        <v>62.879999999999995</v>
      </c>
      <c r="J791" s="1723">
        <f t="shared" si="792"/>
        <v>12261.6</v>
      </c>
      <c r="K791" s="2007">
        <f t="shared" si="744"/>
        <v>9660.2999999999993</v>
      </c>
      <c r="L791" s="2007">
        <f t="shared" si="745"/>
        <v>2601.3000000000002</v>
      </c>
      <c r="M791" s="2016"/>
      <c r="N791" s="2016"/>
      <c r="O791" s="2016"/>
      <c r="P791" s="2016"/>
      <c r="Q791" s="2016"/>
      <c r="R791" s="2016"/>
      <c r="S791" s="2016"/>
      <c r="T791" s="2016"/>
      <c r="U791" s="2016">
        <f t="shared" si="798"/>
        <v>1226.1600000000001</v>
      </c>
      <c r="V791" s="2016">
        <f t="shared" si="799"/>
        <v>2452.3200000000002</v>
      </c>
      <c r="W791" s="2016">
        <f t="shared" si="800"/>
        <v>3678.48</v>
      </c>
      <c r="X791" s="2016">
        <f t="shared" si="801"/>
        <v>3678.48</v>
      </c>
      <c r="Y791" s="2016">
        <f t="shared" si="802"/>
        <v>1226.1600000000001</v>
      </c>
      <c r="Z791" s="2016"/>
    </row>
    <row r="792" spans="1:26" s="2009" customFormat="1" ht="60" x14ac:dyDescent="0.2">
      <c r="A792" s="1635" t="s">
        <v>6835</v>
      </c>
      <c r="B792" s="1984" t="s">
        <v>4448</v>
      </c>
      <c r="C792" s="1984">
        <v>97333</v>
      </c>
      <c r="D792" s="1813" t="s">
        <v>6910</v>
      </c>
      <c r="E792" s="1638">
        <v>135</v>
      </c>
      <c r="F792" s="1639" t="s">
        <v>5713</v>
      </c>
      <c r="G792" s="1648">
        <v>40.69</v>
      </c>
      <c r="H792" s="1636">
        <f t="shared" si="790"/>
        <v>10.96</v>
      </c>
      <c r="I792" s="1636">
        <f t="shared" si="791"/>
        <v>51.65</v>
      </c>
      <c r="J792" s="1723">
        <f t="shared" si="792"/>
        <v>6972.75</v>
      </c>
      <c r="K792" s="2007">
        <f t="shared" si="744"/>
        <v>5493.15</v>
      </c>
      <c r="L792" s="2007">
        <f t="shared" si="745"/>
        <v>1479.6</v>
      </c>
      <c r="M792" s="2016"/>
      <c r="N792" s="2016"/>
      <c r="O792" s="2016"/>
      <c r="P792" s="2016"/>
      <c r="Q792" s="2016"/>
      <c r="R792" s="2016"/>
      <c r="S792" s="2016"/>
      <c r="T792" s="2016"/>
      <c r="U792" s="2016">
        <f t="shared" si="798"/>
        <v>697.27500000000009</v>
      </c>
      <c r="V792" s="2016">
        <f t="shared" si="799"/>
        <v>1394.5500000000002</v>
      </c>
      <c r="W792" s="2016">
        <f t="shared" si="800"/>
        <v>2091.8249999999998</v>
      </c>
      <c r="X792" s="2016">
        <f t="shared" si="801"/>
        <v>2091.8249999999998</v>
      </c>
      <c r="Y792" s="2016">
        <f t="shared" si="802"/>
        <v>697.27500000000009</v>
      </c>
      <c r="Z792" s="2016"/>
    </row>
    <row r="793" spans="1:26" s="2009" customFormat="1" ht="60" x14ac:dyDescent="0.2">
      <c r="A793" s="1635" t="s">
        <v>6836</v>
      </c>
      <c r="B793" s="1984" t="s">
        <v>4448</v>
      </c>
      <c r="C793" s="1984">
        <v>97332</v>
      </c>
      <c r="D793" s="1813" t="s">
        <v>6911</v>
      </c>
      <c r="E793" s="1638">
        <v>240</v>
      </c>
      <c r="F793" s="1639" t="s">
        <v>5713</v>
      </c>
      <c r="G793" s="1648">
        <v>32.53</v>
      </c>
      <c r="H793" s="1636">
        <f t="shared" si="790"/>
        <v>8.76</v>
      </c>
      <c r="I793" s="1636">
        <f t="shared" si="791"/>
        <v>41.29</v>
      </c>
      <c r="J793" s="1723">
        <f t="shared" si="792"/>
        <v>9909.6</v>
      </c>
      <c r="K793" s="2007">
        <f t="shared" si="744"/>
        <v>7807.2</v>
      </c>
      <c r="L793" s="2007">
        <f t="shared" si="745"/>
        <v>2102.4</v>
      </c>
      <c r="M793" s="2016"/>
      <c r="N793" s="2016"/>
      <c r="O793" s="2016"/>
      <c r="P793" s="2016"/>
      <c r="Q793" s="2016"/>
      <c r="R793" s="2016"/>
      <c r="S793" s="2016"/>
      <c r="T793" s="2016"/>
      <c r="U793" s="2016">
        <f t="shared" si="798"/>
        <v>990.96</v>
      </c>
      <c r="V793" s="2016">
        <f t="shared" si="799"/>
        <v>1981.92</v>
      </c>
      <c r="W793" s="2016">
        <f t="shared" si="800"/>
        <v>2972.88</v>
      </c>
      <c r="X793" s="2016">
        <f t="shared" si="801"/>
        <v>2972.88</v>
      </c>
      <c r="Y793" s="2016">
        <f t="shared" si="802"/>
        <v>990.96</v>
      </c>
      <c r="Z793" s="2016"/>
    </row>
    <row r="794" spans="1:26" s="2009" customFormat="1" ht="60" x14ac:dyDescent="0.2">
      <c r="A794" s="1635" t="s">
        <v>6837</v>
      </c>
      <c r="B794" s="1984" t="s">
        <v>4448</v>
      </c>
      <c r="C794" s="1984">
        <v>97331</v>
      </c>
      <c r="D794" s="1813" t="s">
        <v>6912</v>
      </c>
      <c r="E794" s="1638">
        <v>75</v>
      </c>
      <c r="F794" s="1639" t="s">
        <v>5713</v>
      </c>
      <c r="G794" s="1648">
        <v>18.940000000000001</v>
      </c>
      <c r="H794" s="1636">
        <f t="shared" si="790"/>
        <v>5.0999999999999996</v>
      </c>
      <c r="I794" s="1636">
        <f t="shared" si="791"/>
        <v>24.04</v>
      </c>
      <c r="J794" s="1723">
        <f t="shared" si="792"/>
        <v>1803</v>
      </c>
      <c r="K794" s="2007">
        <f t="shared" ref="K794:K802" si="803">ROUND(G794*E794,2)</f>
        <v>1420.5</v>
      </c>
      <c r="L794" s="2007">
        <f t="shared" ref="L794:L802" si="804">ROUND(H794*E794,2)</f>
        <v>382.5</v>
      </c>
      <c r="M794" s="2016"/>
      <c r="N794" s="2016"/>
      <c r="O794" s="2016"/>
      <c r="P794" s="2016"/>
      <c r="Q794" s="2016"/>
      <c r="R794" s="2016"/>
      <c r="S794" s="2016"/>
      <c r="T794" s="2016"/>
      <c r="U794" s="2016">
        <f t="shared" si="798"/>
        <v>180.3</v>
      </c>
      <c r="V794" s="2016">
        <f t="shared" si="799"/>
        <v>360.6</v>
      </c>
      <c r="W794" s="2016">
        <f t="shared" si="800"/>
        <v>540.9</v>
      </c>
      <c r="X794" s="2016">
        <f t="shared" si="801"/>
        <v>540.9</v>
      </c>
      <c r="Y794" s="2016">
        <f t="shared" si="802"/>
        <v>180.3</v>
      </c>
      <c r="Z794" s="2016"/>
    </row>
    <row r="795" spans="1:26" s="2009" customFormat="1" ht="15" x14ac:dyDescent="0.2">
      <c r="A795" s="1635" t="s">
        <v>6838</v>
      </c>
      <c r="B795" s="1984" t="s">
        <v>4448</v>
      </c>
      <c r="C795" s="1984">
        <v>92290</v>
      </c>
      <c r="D795" s="1813" t="s">
        <v>6814</v>
      </c>
      <c r="E795" s="1638">
        <v>40</v>
      </c>
      <c r="F795" s="1639" t="s">
        <v>5284</v>
      </c>
      <c r="G795" s="1648">
        <v>47.64</v>
      </c>
      <c r="H795" s="1636">
        <f t="shared" si="790"/>
        <v>12.83</v>
      </c>
      <c r="I795" s="1636">
        <f t="shared" si="791"/>
        <v>60.47</v>
      </c>
      <c r="J795" s="1723">
        <f t="shared" si="792"/>
        <v>2418.8000000000002</v>
      </c>
      <c r="K795" s="2007">
        <f t="shared" si="803"/>
        <v>1905.6</v>
      </c>
      <c r="L795" s="2007">
        <f t="shared" si="804"/>
        <v>513.20000000000005</v>
      </c>
      <c r="M795" s="2016"/>
      <c r="N795" s="2016"/>
      <c r="O795" s="2016"/>
      <c r="P795" s="2016"/>
      <c r="Q795" s="2016"/>
      <c r="R795" s="2016"/>
      <c r="S795" s="2016"/>
      <c r="T795" s="2016"/>
      <c r="U795" s="2016">
        <f t="shared" si="798"/>
        <v>241.88000000000002</v>
      </c>
      <c r="V795" s="2016">
        <f t="shared" si="799"/>
        <v>483.76000000000005</v>
      </c>
      <c r="W795" s="2016">
        <f t="shared" si="800"/>
        <v>725.64</v>
      </c>
      <c r="X795" s="2016">
        <f t="shared" si="801"/>
        <v>725.64</v>
      </c>
      <c r="Y795" s="2016">
        <f t="shared" si="802"/>
        <v>241.88000000000002</v>
      </c>
      <c r="Z795" s="2016"/>
    </row>
    <row r="796" spans="1:26" s="2009" customFormat="1" ht="15" x14ac:dyDescent="0.2">
      <c r="A796" s="1635" t="s">
        <v>6839</v>
      </c>
      <c r="B796" s="1984" t="s">
        <v>4448</v>
      </c>
      <c r="C796" s="1984">
        <v>92289</v>
      </c>
      <c r="D796" s="1813" t="s">
        <v>6815</v>
      </c>
      <c r="E796" s="1638">
        <v>40</v>
      </c>
      <c r="F796" s="1639" t="s">
        <v>5284</v>
      </c>
      <c r="G796" s="1648">
        <v>31.53</v>
      </c>
      <c r="H796" s="1636">
        <f t="shared" si="790"/>
        <v>8.49</v>
      </c>
      <c r="I796" s="1636">
        <f t="shared" si="791"/>
        <v>40.020000000000003</v>
      </c>
      <c r="J796" s="1723">
        <f t="shared" si="792"/>
        <v>1600.8</v>
      </c>
      <c r="K796" s="2007">
        <f t="shared" si="803"/>
        <v>1261.2</v>
      </c>
      <c r="L796" s="2007">
        <f t="shared" si="804"/>
        <v>339.6</v>
      </c>
      <c r="M796" s="2016"/>
      <c r="N796" s="2016"/>
      <c r="O796" s="2016"/>
      <c r="P796" s="2016"/>
      <c r="Q796" s="2016"/>
      <c r="R796" s="2016"/>
      <c r="S796" s="2016"/>
      <c r="T796" s="2016"/>
      <c r="U796" s="2016">
        <f t="shared" si="798"/>
        <v>160.08000000000001</v>
      </c>
      <c r="V796" s="2016">
        <f t="shared" si="799"/>
        <v>320.16000000000003</v>
      </c>
      <c r="W796" s="2016">
        <f t="shared" si="800"/>
        <v>480.23999999999995</v>
      </c>
      <c r="X796" s="2016">
        <f t="shared" si="801"/>
        <v>480.23999999999995</v>
      </c>
      <c r="Y796" s="2016">
        <f t="shared" si="802"/>
        <v>160.08000000000001</v>
      </c>
      <c r="Z796" s="2016"/>
    </row>
    <row r="797" spans="1:26" s="2009" customFormat="1" ht="15" x14ac:dyDescent="0.2">
      <c r="A797" s="1635" t="s">
        <v>6840</v>
      </c>
      <c r="B797" s="1984" t="s">
        <v>4448</v>
      </c>
      <c r="C797" s="1984">
        <v>92328</v>
      </c>
      <c r="D797" s="1813" t="s">
        <v>6816</v>
      </c>
      <c r="E797" s="1638">
        <v>30</v>
      </c>
      <c r="F797" s="1639" t="s">
        <v>5284</v>
      </c>
      <c r="G797" s="1648">
        <v>23.97</v>
      </c>
      <c r="H797" s="1636">
        <f t="shared" si="790"/>
        <v>6.46</v>
      </c>
      <c r="I797" s="1636">
        <f t="shared" si="791"/>
        <v>30.43</v>
      </c>
      <c r="J797" s="1723">
        <f t="shared" si="792"/>
        <v>912.9</v>
      </c>
      <c r="K797" s="2007">
        <f t="shared" si="803"/>
        <v>719.1</v>
      </c>
      <c r="L797" s="2007">
        <f t="shared" si="804"/>
        <v>193.8</v>
      </c>
      <c r="M797" s="2016"/>
      <c r="N797" s="2016"/>
      <c r="O797" s="2016"/>
      <c r="P797" s="2016"/>
      <c r="Q797" s="2016"/>
      <c r="R797" s="2016"/>
      <c r="S797" s="2016"/>
      <c r="T797" s="2016"/>
      <c r="U797" s="2016">
        <f t="shared" si="798"/>
        <v>91.29</v>
      </c>
      <c r="V797" s="2016">
        <f t="shared" si="799"/>
        <v>182.58</v>
      </c>
      <c r="W797" s="2016">
        <f t="shared" si="800"/>
        <v>273.87</v>
      </c>
      <c r="X797" s="2016">
        <f t="shared" si="801"/>
        <v>273.87</v>
      </c>
      <c r="Y797" s="2016">
        <f t="shared" si="802"/>
        <v>91.29</v>
      </c>
      <c r="Z797" s="2016"/>
    </row>
    <row r="798" spans="1:26" s="2009" customFormat="1" ht="15" x14ac:dyDescent="0.2">
      <c r="A798" s="1635" t="s">
        <v>6841</v>
      </c>
      <c r="B798" s="1984" t="s">
        <v>4448</v>
      </c>
      <c r="C798" s="1984">
        <v>92328</v>
      </c>
      <c r="D798" s="1813" t="s">
        <v>6817</v>
      </c>
      <c r="E798" s="1638">
        <v>10</v>
      </c>
      <c r="F798" s="1639" t="s">
        <v>5284</v>
      </c>
      <c r="G798" s="1648">
        <v>23.97</v>
      </c>
      <c r="H798" s="1636">
        <f t="shared" si="790"/>
        <v>6.46</v>
      </c>
      <c r="I798" s="1636">
        <f t="shared" si="791"/>
        <v>30.43</v>
      </c>
      <c r="J798" s="1723">
        <f t="shared" si="792"/>
        <v>304.3</v>
      </c>
      <c r="K798" s="2007">
        <f t="shared" si="803"/>
        <v>239.7</v>
      </c>
      <c r="L798" s="2007">
        <f t="shared" si="804"/>
        <v>64.599999999999994</v>
      </c>
      <c r="M798" s="2016"/>
      <c r="N798" s="2016"/>
      <c r="O798" s="2016"/>
      <c r="P798" s="2016"/>
      <c r="Q798" s="2016"/>
      <c r="R798" s="2016"/>
      <c r="S798" s="2016"/>
      <c r="T798" s="2016"/>
      <c r="U798" s="2016">
        <f t="shared" si="798"/>
        <v>30.430000000000003</v>
      </c>
      <c r="V798" s="2016">
        <f t="shared" si="799"/>
        <v>60.860000000000007</v>
      </c>
      <c r="W798" s="2016">
        <f t="shared" si="800"/>
        <v>91.29</v>
      </c>
      <c r="X798" s="2016">
        <f t="shared" si="801"/>
        <v>91.29</v>
      </c>
      <c r="Y798" s="2016">
        <f t="shared" si="802"/>
        <v>30.430000000000003</v>
      </c>
      <c r="Z798" s="2016"/>
    </row>
    <row r="799" spans="1:26" s="2009" customFormat="1" ht="15" x14ac:dyDescent="0.2">
      <c r="A799" s="1635" t="s">
        <v>6842</v>
      </c>
      <c r="B799" s="1984" t="s">
        <v>4448</v>
      </c>
      <c r="C799" s="1984">
        <v>92287</v>
      </c>
      <c r="D799" s="1813" t="s">
        <v>6818</v>
      </c>
      <c r="E799" s="1638">
        <v>48</v>
      </c>
      <c r="F799" s="1639" t="s">
        <v>5284</v>
      </c>
      <c r="G799" s="1648">
        <v>11.88</v>
      </c>
      <c r="H799" s="1636">
        <f t="shared" si="790"/>
        <v>3.2</v>
      </c>
      <c r="I799" s="1636">
        <f t="shared" si="791"/>
        <v>15.080000000000002</v>
      </c>
      <c r="J799" s="1723">
        <f t="shared" si="792"/>
        <v>723.84</v>
      </c>
      <c r="K799" s="2007">
        <f t="shared" si="803"/>
        <v>570.24</v>
      </c>
      <c r="L799" s="2007">
        <f t="shared" si="804"/>
        <v>153.6</v>
      </c>
      <c r="M799" s="2016"/>
      <c r="N799" s="2016"/>
      <c r="O799" s="2016"/>
      <c r="P799" s="2016"/>
      <c r="Q799" s="2016"/>
      <c r="R799" s="2016"/>
      <c r="S799" s="2016"/>
      <c r="T799" s="2016"/>
      <c r="U799" s="2016">
        <f t="shared" si="798"/>
        <v>72.384</v>
      </c>
      <c r="V799" s="2016">
        <f t="shared" si="799"/>
        <v>144.768</v>
      </c>
      <c r="W799" s="2016">
        <f t="shared" si="800"/>
        <v>217.15200000000002</v>
      </c>
      <c r="X799" s="2016">
        <f t="shared" si="801"/>
        <v>217.15200000000002</v>
      </c>
      <c r="Y799" s="2016">
        <f t="shared" si="802"/>
        <v>72.384</v>
      </c>
      <c r="Z799" s="2016"/>
    </row>
    <row r="800" spans="1:26" s="2009" customFormat="1" ht="15" x14ac:dyDescent="0.2">
      <c r="A800" s="1635" t="s">
        <v>6843</v>
      </c>
      <c r="B800" s="1984" t="s">
        <v>4448</v>
      </c>
      <c r="C800" s="1984">
        <v>92287</v>
      </c>
      <c r="D800" s="1813" t="s">
        <v>6819</v>
      </c>
      <c r="E800" s="1638">
        <v>80</v>
      </c>
      <c r="F800" s="1639" t="s">
        <v>5284</v>
      </c>
      <c r="G800" s="1648">
        <v>11.88</v>
      </c>
      <c r="H800" s="1636">
        <f t="shared" si="790"/>
        <v>3.2</v>
      </c>
      <c r="I800" s="1636">
        <f t="shared" si="791"/>
        <v>15.080000000000002</v>
      </c>
      <c r="J800" s="1723">
        <f t="shared" si="792"/>
        <v>1206.4000000000001</v>
      </c>
      <c r="K800" s="2007">
        <f t="shared" si="803"/>
        <v>950.4</v>
      </c>
      <c r="L800" s="2007">
        <f t="shared" si="804"/>
        <v>256</v>
      </c>
      <c r="M800" s="2016"/>
      <c r="N800" s="2016"/>
      <c r="O800" s="2016"/>
      <c r="P800" s="2016"/>
      <c r="Q800" s="2016"/>
      <c r="R800" s="2016"/>
      <c r="S800" s="2016"/>
      <c r="T800" s="2016"/>
      <c r="U800" s="2016">
        <f t="shared" si="798"/>
        <v>120.64000000000001</v>
      </c>
      <c r="V800" s="2016">
        <f t="shared" si="799"/>
        <v>241.28000000000003</v>
      </c>
      <c r="W800" s="2016">
        <f t="shared" si="800"/>
        <v>361.92</v>
      </c>
      <c r="X800" s="2016">
        <f t="shared" si="801"/>
        <v>361.92</v>
      </c>
      <c r="Y800" s="2016">
        <f t="shared" si="802"/>
        <v>120.64000000000001</v>
      </c>
      <c r="Z800" s="2016"/>
    </row>
    <row r="801" spans="1:26" s="2009" customFormat="1" ht="15" x14ac:dyDescent="0.2">
      <c r="A801" s="1634" t="s">
        <v>6875</v>
      </c>
      <c r="B801" s="2136" t="s">
        <v>6876</v>
      </c>
      <c r="C801" s="2136"/>
      <c r="D801" s="2136"/>
      <c r="E801" s="2136"/>
      <c r="F801" s="2136"/>
      <c r="G801" s="2136"/>
      <c r="H801" s="2136"/>
      <c r="I801" s="2136"/>
      <c r="J801" s="2136"/>
      <c r="K801" s="2007">
        <f t="shared" si="803"/>
        <v>0</v>
      </c>
      <c r="L801" s="2007">
        <f t="shared" si="804"/>
        <v>0</v>
      </c>
      <c r="M801" s="2016"/>
      <c r="N801" s="2016"/>
      <c r="O801" s="2016"/>
      <c r="P801" s="2016"/>
      <c r="Q801" s="2016"/>
      <c r="R801" s="2016"/>
      <c r="S801" s="2016"/>
      <c r="T801" s="2016"/>
      <c r="U801" s="2016"/>
      <c r="V801" s="2016"/>
      <c r="W801" s="2016"/>
      <c r="X801" s="2016"/>
      <c r="Y801" s="2016"/>
      <c r="Z801" s="2016"/>
    </row>
    <row r="802" spans="1:26" s="2009" customFormat="1" ht="45" x14ac:dyDescent="0.2">
      <c r="A802" s="1635" t="s">
        <v>6877</v>
      </c>
      <c r="B802" s="1984" t="s">
        <v>5281</v>
      </c>
      <c r="C802" s="1984">
        <v>11788</v>
      </c>
      <c r="D802" s="1813" t="s">
        <v>7553</v>
      </c>
      <c r="E802" s="1638">
        <v>1</v>
      </c>
      <c r="F802" s="1639" t="s">
        <v>5284</v>
      </c>
      <c r="G802" s="1648">
        <v>2576.64</v>
      </c>
      <c r="H802" s="1636">
        <f>ROUND(G802*$B$13,2)</f>
        <v>693.89</v>
      </c>
      <c r="I802" s="1636">
        <f>H802+G802</f>
        <v>3270.5299999999997</v>
      </c>
      <c r="J802" s="1723">
        <f>ROUND(I802*E802,2)</f>
        <v>3270.53</v>
      </c>
      <c r="K802" s="2007">
        <f t="shared" si="803"/>
        <v>2576.64</v>
      </c>
      <c r="L802" s="2007">
        <f t="shared" si="804"/>
        <v>693.89</v>
      </c>
      <c r="M802" s="2016"/>
      <c r="N802" s="2016"/>
      <c r="O802" s="2016"/>
      <c r="P802" s="2016"/>
      <c r="Q802" s="2016"/>
      <c r="R802" s="2016"/>
      <c r="S802" s="2016"/>
      <c r="T802" s="2016"/>
      <c r="U802" s="2016">
        <f t="shared" ref="U802" si="805">0.1*J802</f>
        <v>327.05300000000005</v>
      </c>
      <c r="V802" s="2016">
        <f t="shared" ref="V802" si="806">0.2*J802</f>
        <v>654.10600000000011</v>
      </c>
      <c r="W802" s="2016">
        <f t="shared" ref="W802" si="807">0.3*J802</f>
        <v>981.15899999999999</v>
      </c>
      <c r="X802" s="2016">
        <f t="shared" ref="X802" si="808">0.3*J802</f>
        <v>981.15899999999999</v>
      </c>
      <c r="Y802" s="2016">
        <f t="shared" ref="Y802" si="809">0.1*J802</f>
        <v>327.05300000000005</v>
      </c>
      <c r="Z802" s="2016"/>
    </row>
    <row r="803" spans="1:26" s="2006" customFormat="1" ht="15" x14ac:dyDescent="0.2">
      <c r="A803" s="2133" t="s">
        <v>6298</v>
      </c>
      <c r="B803" s="2133"/>
      <c r="C803" s="2133"/>
      <c r="D803" s="2133"/>
      <c r="E803" s="2133"/>
      <c r="F803" s="2133"/>
      <c r="G803" s="2133"/>
      <c r="H803" s="2133"/>
      <c r="I803" s="2133"/>
      <c r="J803" s="1724">
        <f>SUM(J745:J802)</f>
        <v>1039384.3599999999</v>
      </c>
      <c r="K803" s="2010"/>
      <c r="L803" s="2015"/>
      <c r="M803" s="1724">
        <f t="shared" ref="M803:Z803" si="810">SUM(M745:M802)</f>
        <v>0</v>
      </c>
      <c r="N803" s="1724">
        <f t="shared" si="810"/>
        <v>0</v>
      </c>
      <c r="O803" s="1724">
        <f t="shared" si="810"/>
        <v>0</v>
      </c>
      <c r="P803" s="1724">
        <f t="shared" si="810"/>
        <v>0</v>
      </c>
      <c r="Q803" s="1724">
        <f t="shared" si="810"/>
        <v>0</v>
      </c>
      <c r="R803" s="1724">
        <f t="shared" si="810"/>
        <v>0</v>
      </c>
      <c r="S803" s="1724">
        <f t="shared" si="810"/>
        <v>0</v>
      </c>
      <c r="T803" s="1724">
        <f t="shared" si="810"/>
        <v>0</v>
      </c>
      <c r="U803" s="1724">
        <f t="shared" si="810"/>
        <v>103938.43600000003</v>
      </c>
      <c r="V803" s="1724">
        <f t="shared" si="810"/>
        <v>207876.87200000006</v>
      </c>
      <c r="W803" s="1724">
        <f t="shared" si="810"/>
        <v>311815.30799999996</v>
      </c>
      <c r="X803" s="1724">
        <f t="shared" si="810"/>
        <v>311815.30799999996</v>
      </c>
      <c r="Y803" s="1724">
        <f t="shared" si="810"/>
        <v>103938.43600000003</v>
      </c>
      <c r="Z803" s="1724">
        <f t="shared" si="810"/>
        <v>0</v>
      </c>
    </row>
    <row r="804" spans="1:26" s="2006" customFormat="1" ht="15" x14ac:dyDescent="0.2">
      <c r="A804" s="52"/>
      <c r="B804" s="52"/>
      <c r="C804" s="52"/>
      <c r="D804" s="52"/>
      <c r="E804" s="1506"/>
      <c r="F804" s="52"/>
      <c r="G804" s="1649"/>
      <c r="H804" s="51"/>
      <c r="I804" s="51"/>
      <c r="J804" s="1725"/>
      <c r="K804" s="51"/>
      <c r="L804" s="2015"/>
      <c r="M804" s="2005"/>
      <c r="N804" s="2005"/>
      <c r="O804" s="2005"/>
      <c r="P804" s="2005"/>
      <c r="Q804" s="2005"/>
      <c r="R804" s="2005"/>
      <c r="S804" s="2005"/>
      <c r="T804" s="2005"/>
      <c r="U804" s="2005"/>
      <c r="V804" s="2005"/>
      <c r="W804" s="2005"/>
      <c r="X804" s="2005"/>
      <c r="Y804" s="2005"/>
      <c r="Z804" s="2005"/>
    </row>
    <row r="805" spans="1:26" s="2003" customFormat="1" ht="15" x14ac:dyDescent="0.2">
      <c r="A805" s="2132" t="s">
        <v>6299</v>
      </c>
      <c r="B805" s="2132"/>
      <c r="C805" s="2132"/>
      <c r="D805" s="2132"/>
      <c r="E805" s="2132"/>
      <c r="F805" s="2132"/>
      <c r="G805" s="2132"/>
      <c r="H805" s="2132"/>
      <c r="I805" s="2132"/>
      <c r="J805" s="1726">
        <f>J803+J743</f>
        <v>1115449.3299999998</v>
      </c>
      <c r="K805" s="2011"/>
      <c r="L805" s="2015"/>
      <c r="M805" s="1726">
        <f t="shared" ref="M805:Z805" si="811">M803+M743</f>
        <v>0</v>
      </c>
      <c r="N805" s="1726">
        <f t="shared" si="811"/>
        <v>0</v>
      </c>
      <c r="O805" s="1726">
        <f t="shared" si="811"/>
        <v>0</v>
      </c>
      <c r="P805" s="1726">
        <f t="shared" si="811"/>
        <v>0</v>
      </c>
      <c r="Q805" s="1726">
        <f t="shared" si="811"/>
        <v>0</v>
      </c>
      <c r="R805" s="1726">
        <f t="shared" si="811"/>
        <v>0</v>
      </c>
      <c r="S805" s="1726">
        <f t="shared" si="811"/>
        <v>0</v>
      </c>
      <c r="T805" s="1726">
        <f t="shared" si="811"/>
        <v>0</v>
      </c>
      <c r="U805" s="1726">
        <f t="shared" si="811"/>
        <v>103938.43600000003</v>
      </c>
      <c r="V805" s="1726">
        <f t="shared" si="811"/>
        <v>207876.87200000006</v>
      </c>
      <c r="W805" s="1726">
        <f t="shared" si="811"/>
        <v>311815.30799999996</v>
      </c>
      <c r="X805" s="1726">
        <f t="shared" si="811"/>
        <v>311815.30799999996</v>
      </c>
      <c r="Y805" s="1726">
        <f t="shared" si="811"/>
        <v>141970.92100000003</v>
      </c>
      <c r="Z805" s="1726">
        <f t="shared" si="811"/>
        <v>38032.485000000001</v>
      </c>
    </row>
    <row r="806" spans="1:26" s="2006" customFormat="1" ht="15" x14ac:dyDescent="0.2">
      <c r="A806" s="1635"/>
      <c r="B806" s="1984"/>
      <c r="C806" s="1984"/>
      <c r="D806" s="1813"/>
      <c r="E806" s="1638"/>
      <c r="F806" s="1639"/>
      <c r="G806" s="1650"/>
      <c r="H806" s="19"/>
      <c r="I806" s="19"/>
      <c r="J806" s="1727"/>
      <c r="K806" s="2012"/>
      <c r="L806" s="2015"/>
      <c r="M806" s="2013">
        <f>M805/$J$805</f>
        <v>0</v>
      </c>
      <c r="N806" s="2013">
        <f t="shared" ref="N806:Z806" si="812">N805/$J$805</f>
        <v>0</v>
      </c>
      <c r="O806" s="2013">
        <f t="shared" si="812"/>
        <v>0</v>
      </c>
      <c r="P806" s="2013">
        <f t="shared" si="812"/>
        <v>0</v>
      </c>
      <c r="Q806" s="2013">
        <f t="shared" si="812"/>
        <v>0</v>
      </c>
      <c r="R806" s="2013">
        <f t="shared" si="812"/>
        <v>0</v>
      </c>
      <c r="S806" s="2013">
        <f t="shared" si="812"/>
        <v>0</v>
      </c>
      <c r="T806" s="2013">
        <f t="shared" si="812"/>
        <v>0</v>
      </c>
      <c r="U806" s="2013">
        <f t="shared" si="812"/>
        <v>9.3180777651280716E-2</v>
      </c>
      <c r="V806" s="2013">
        <f t="shared" si="812"/>
        <v>0.18636155530256143</v>
      </c>
      <c r="W806" s="2013">
        <f t="shared" si="812"/>
        <v>0.27954233295384201</v>
      </c>
      <c r="X806" s="2013">
        <f t="shared" si="812"/>
        <v>0.27954233295384201</v>
      </c>
      <c r="Y806" s="2013">
        <f t="shared" si="812"/>
        <v>0.12727688939487736</v>
      </c>
      <c r="Z806" s="2013">
        <f t="shared" si="812"/>
        <v>3.4096111743596641E-2</v>
      </c>
    </row>
    <row r="807" spans="1:26" s="2003" customFormat="1" ht="15" x14ac:dyDescent="0.2">
      <c r="A807" s="1988" t="s">
        <v>5014</v>
      </c>
      <c r="B807" s="2135" t="s">
        <v>5016</v>
      </c>
      <c r="C807" s="2135"/>
      <c r="D807" s="2135"/>
      <c r="E807" s="2135"/>
      <c r="F807" s="2135"/>
      <c r="G807" s="2135"/>
      <c r="H807" s="2135"/>
      <c r="I807" s="2135"/>
      <c r="J807" s="2135"/>
      <c r="K807" s="1981"/>
      <c r="L807" s="2014"/>
      <c r="M807" s="2000"/>
      <c r="N807" s="2000"/>
      <c r="O807" s="2000"/>
      <c r="P807" s="2005"/>
      <c r="Q807" s="2005"/>
      <c r="R807" s="2005"/>
      <c r="S807" s="2005"/>
      <c r="T807" s="2005"/>
      <c r="U807" s="2005"/>
      <c r="V807" s="2005"/>
      <c r="W807" s="2005"/>
      <c r="X807" s="2005"/>
      <c r="Y807" s="2005"/>
      <c r="Z807" s="2005"/>
    </row>
    <row r="808" spans="1:26" s="2006" customFormat="1" ht="15" x14ac:dyDescent="0.2">
      <c r="A808" s="2004" t="s">
        <v>0</v>
      </c>
      <c r="B808" s="2131" t="s">
        <v>6715</v>
      </c>
      <c r="C808" s="2131"/>
      <c r="D808" s="2004" t="s">
        <v>1</v>
      </c>
      <c r="E808" s="1986" t="s">
        <v>131</v>
      </c>
      <c r="F808" s="1987" t="s">
        <v>11</v>
      </c>
      <c r="G808" s="1990" t="s">
        <v>12</v>
      </c>
      <c r="H808" s="1989" t="s">
        <v>5679</v>
      </c>
      <c r="I808" s="1989" t="s">
        <v>5680</v>
      </c>
      <c r="J808" s="1990" t="s">
        <v>130</v>
      </c>
      <c r="K808" s="1989"/>
      <c r="L808" s="2014"/>
      <c r="M808" s="2000"/>
      <c r="N808" s="2000"/>
      <c r="O808" s="2000"/>
      <c r="P808" s="2005"/>
      <c r="Q808" s="2005"/>
      <c r="R808" s="2005"/>
      <c r="S808" s="2005"/>
      <c r="T808" s="2005"/>
      <c r="U808" s="2005"/>
      <c r="V808" s="2005"/>
      <c r="W808" s="2005"/>
      <c r="X808" s="2005"/>
      <c r="Y808" s="2005"/>
      <c r="Z808" s="2005"/>
    </row>
    <row r="809" spans="1:26" s="2006" customFormat="1" ht="15" x14ac:dyDescent="0.2">
      <c r="A809" s="1513" t="s">
        <v>5015</v>
      </c>
      <c r="B809" s="1629" t="s">
        <v>5017</v>
      </c>
      <c r="C809" s="1980"/>
      <c r="D809" s="1980"/>
      <c r="E809" s="1980"/>
      <c r="F809" s="1980"/>
      <c r="G809" s="1651"/>
      <c r="H809" s="1980"/>
      <c r="I809" s="1980"/>
      <c r="J809" s="1651"/>
      <c r="K809" s="1980"/>
      <c r="L809" s="2015"/>
      <c r="M809" s="2005"/>
      <c r="N809" s="2005"/>
      <c r="O809" s="2005"/>
      <c r="P809" s="2005"/>
      <c r="Q809" s="2005"/>
      <c r="R809" s="2005"/>
      <c r="S809" s="2005"/>
      <c r="T809" s="2005"/>
      <c r="U809" s="2005"/>
      <c r="V809" s="2005"/>
      <c r="W809" s="2005"/>
      <c r="X809" s="2005"/>
      <c r="Y809" s="2005"/>
      <c r="Z809" s="2005"/>
    </row>
    <row r="810" spans="1:26" s="2006" customFormat="1" ht="15" x14ac:dyDescent="0.2">
      <c r="A810" s="1634" t="s">
        <v>7350</v>
      </c>
      <c r="B810" s="1630" t="s">
        <v>7351</v>
      </c>
      <c r="C810" s="1983"/>
      <c r="D810" s="1983"/>
      <c r="E810" s="1983"/>
      <c r="F810" s="1983"/>
      <c r="G810" s="1652"/>
      <c r="H810" s="1983"/>
      <c r="I810" s="1983"/>
      <c r="J810" s="1652"/>
      <c r="K810" s="1983"/>
      <c r="L810" s="2015"/>
      <c r="M810" s="2005"/>
      <c r="N810" s="2005"/>
      <c r="O810" s="2005"/>
      <c r="P810" s="2005"/>
      <c r="Q810" s="2005"/>
      <c r="R810" s="2005"/>
      <c r="S810" s="2005"/>
      <c r="T810" s="2005"/>
      <c r="U810" s="2005"/>
      <c r="V810" s="2005"/>
      <c r="W810" s="2005"/>
      <c r="X810" s="2005"/>
      <c r="Y810" s="2005"/>
      <c r="Z810" s="2005"/>
    </row>
    <row r="811" spans="1:26" s="2009" customFormat="1" ht="60" x14ac:dyDescent="0.2">
      <c r="A811" s="1635" t="s">
        <v>7358</v>
      </c>
      <c r="B811" s="1984" t="s">
        <v>4448</v>
      </c>
      <c r="C811" s="1984">
        <v>92367</v>
      </c>
      <c r="D811" s="1813" t="s">
        <v>7352</v>
      </c>
      <c r="E811" s="1638">
        <v>22</v>
      </c>
      <c r="F811" s="1639" t="s">
        <v>5713</v>
      </c>
      <c r="G811" s="1648">
        <v>74.569999999999993</v>
      </c>
      <c r="H811" s="1636">
        <f t="shared" ref="H811:H816" si="813">ROUND(G811*$B$13,2)</f>
        <v>20.079999999999998</v>
      </c>
      <c r="I811" s="1636">
        <f t="shared" ref="I811" si="814">H811+G811</f>
        <v>94.649999999999991</v>
      </c>
      <c r="J811" s="1723">
        <f t="shared" ref="J811" si="815">ROUND(I811*E811,2)</f>
        <v>2082.3000000000002</v>
      </c>
      <c r="K811" s="2007">
        <f>ROUND(G811*E811,2)</f>
        <v>1640.54</v>
      </c>
      <c r="L811" s="2007">
        <f t="shared" ref="L811" si="816">ROUND(H811*E811,2)</f>
        <v>441.76</v>
      </c>
      <c r="M811" s="2016"/>
      <c r="N811" s="2016"/>
      <c r="O811" s="2016"/>
      <c r="P811" s="2016"/>
      <c r="Q811" s="2016"/>
      <c r="R811" s="2016"/>
      <c r="S811" s="2016"/>
      <c r="T811" s="2016">
        <f>0.5*J811</f>
        <v>1041.1500000000001</v>
      </c>
      <c r="U811" s="2016">
        <f>0.4*J811</f>
        <v>832.92000000000007</v>
      </c>
      <c r="V811" s="2016"/>
      <c r="W811" s="2016"/>
      <c r="X811" s="2016"/>
      <c r="Y811" s="2016">
        <f>0.1*J811</f>
        <v>208.23000000000002</v>
      </c>
      <c r="Z811" s="2016"/>
    </row>
    <row r="812" spans="1:26" s="2009" customFormat="1" ht="60" x14ac:dyDescent="0.2">
      <c r="A812" s="1635" t="s">
        <v>7359</v>
      </c>
      <c r="B812" s="1984" t="s">
        <v>4448</v>
      </c>
      <c r="C812" s="1984">
        <v>97498</v>
      </c>
      <c r="D812" s="1813" t="s">
        <v>7353</v>
      </c>
      <c r="E812" s="1638">
        <v>2</v>
      </c>
      <c r="F812" s="1639" t="s">
        <v>5713</v>
      </c>
      <c r="G812" s="1648">
        <v>30.89</v>
      </c>
      <c r="H812" s="1636">
        <f t="shared" si="813"/>
        <v>8.32</v>
      </c>
      <c r="I812" s="1636">
        <f t="shared" ref="I812:I816" si="817">H812+G812</f>
        <v>39.21</v>
      </c>
      <c r="J812" s="1723">
        <f t="shared" ref="J812:J816" si="818">ROUND(I812*E812,2)</f>
        <v>78.42</v>
      </c>
      <c r="K812" s="2007">
        <f t="shared" ref="K812:K831" si="819">ROUND(G812*E812,2)</f>
        <v>61.78</v>
      </c>
      <c r="L812" s="2007">
        <f t="shared" ref="L812:L831" si="820">ROUND(H812*E812,2)</f>
        <v>16.64</v>
      </c>
      <c r="M812" s="2016"/>
      <c r="N812" s="2016"/>
      <c r="O812" s="2016"/>
      <c r="P812" s="2016"/>
      <c r="Q812" s="2016"/>
      <c r="R812" s="2016"/>
      <c r="S812" s="2016"/>
      <c r="T812" s="2016">
        <f t="shared" ref="T812:T816" si="821">0.5*J812</f>
        <v>39.21</v>
      </c>
      <c r="U812" s="2016">
        <f t="shared" ref="U812:U816" si="822">0.4*J812</f>
        <v>31.368000000000002</v>
      </c>
      <c r="V812" s="2016"/>
      <c r="W812" s="2016"/>
      <c r="X812" s="2016"/>
      <c r="Y812" s="2016">
        <f t="shared" ref="Y812:Y816" si="823">0.1*J812</f>
        <v>7.8420000000000005</v>
      </c>
      <c r="Z812" s="2016"/>
    </row>
    <row r="813" spans="1:26" s="2009" customFormat="1" ht="60" x14ac:dyDescent="0.2">
      <c r="A813" s="1635" t="s">
        <v>7360</v>
      </c>
      <c r="B813" s="1984" t="s">
        <v>4448</v>
      </c>
      <c r="C813" s="1984">
        <v>92389</v>
      </c>
      <c r="D813" s="1813" t="s">
        <v>7354</v>
      </c>
      <c r="E813" s="1638">
        <v>2</v>
      </c>
      <c r="F813" s="1639" t="s">
        <v>5284</v>
      </c>
      <c r="G813" s="1648">
        <v>95.55</v>
      </c>
      <c r="H813" s="1636">
        <f t="shared" si="813"/>
        <v>25.73</v>
      </c>
      <c r="I813" s="1636">
        <f t="shared" si="817"/>
        <v>121.28</v>
      </c>
      <c r="J813" s="1723">
        <f t="shared" si="818"/>
        <v>242.56</v>
      </c>
      <c r="K813" s="2007">
        <f t="shared" si="819"/>
        <v>191.1</v>
      </c>
      <c r="L813" s="2007">
        <f t="shared" si="820"/>
        <v>51.46</v>
      </c>
      <c r="M813" s="2016"/>
      <c r="N813" s="2016"/>
      <c r="O813" s="2016"/>
      <c r="P813" s="2016"/>
      <c r="Q813" s="2016"/>
      <c r="R813" s="2016"/>
      <c r="S813" s="2016"/>
      <c r="T813" s="2016">
        <f t="shared" si="821"/>
        <v>121.28</v>
      </c>
      <c r="U813" s="2016">
        <f t="shared" si="822"/>
        <v>97.024000000000001</v>
      </c>
      <c r="V813" s="2016"/>
      <c r="W813" s="2016"/>
      <c r="X813" s="2016"/>
      <c r="Y813" s="2016">
        <f t="shared" si="823"/>
        <v>24.256</v>
      </c>
      <c r="Z813" s="2016"/>
    </row>
    <row r="814" spans="1:26" s="2009" customFormat="1" ht="60" x14ac:dyDescent="0.2">
      <c r="A814" s="1635" t="s">
        <v>7361</v>
      </c>
      <c r="B814" s="1984" t="s">
        <v>4448</v>
      </c>
      <c r="C814" s="1984">
        <v>92393</v>
      </c>
      <c r="D814" s="1813" t="s">
        <v>7355</v>
      </c>
      <c r="E814" s="1638">
        <v>24</v>
      </c>
      <c r="F814" s="1639" t="s">
        <v>5284</v>
      </c>
      <c r="G814" s="1648">
        <v>51.18</v>
      </c>
      <c r="H814" s="1636">
        <f t="shared" si="813"/>
        <v>13.78</v>
      </c>
      <c r="I814" s="1636">
        <f t="shared" si="817"/>
        <v>64.959999999999994</v>
      </c>
      <c r="J814" s="1723">
        <f t="shared" si="818"/>
        <v>1559.04</v>
      </c>
      <c r="K814" s="2007">
        <f t="shared" si="819"/>
        <v>1228.32</v>
      </c>
      <c r="L814" s="2007">
        <f t="shared" si="820"/>
        <v>330.72</v>
      </c>
      <c r="M814" s="2016"/>
      <c r="N814" s="2016"/>
      <c r="O814" s="2016"/>
      <c r="P814" s="2016"/>
      <c r="Q814" s="2016"/>
      <c r="R814" s="2016"/>
      <c r="S814" s="2016"/>
      <c r="T814" s="2016">
        <f t="shared" si="821"/>
        <v>779.52</v>
      </c>
      <c r="U814" s="2016">
        <f t="shared" si="822"/>
        <v>623.61599999999999</v>
      </c>
      <c r="V814" s="2016"/>
      <c r="W814" s="2016"/>
      <c r="X814" s="2016"/>
      <c r="Y814" s="2016">
        <f t="shared" si="823"/>
        <v>155.904</v>
      </c>
      <c r="Z814" s="2016"/>
    </row>
    <row r="815" spans="1:26" s="2009" customFormat="1" ht="60" x14ac:dyDescent="0.2">
      <c r="A815" s="1635" t="s">
        <v>7362</v>
      </c>
      <c r="B815" s="1984" t="s">
        <v>4448</v>
      </c>
      <c r="C815" s="1984">
        <v>92642</v>
      </c>
      <c r="D815" s="1813" t="s">
        <v>7356</v>
      </c>
      <c r="E815" s="1638">
        <v>12</v>
      </c>
      <c r="F815" s="1639" t="s">
        <v>5284</v>
      </c>
      <c r="G815" s="1648">
        <v>122.75</v>
      </c>
      <c r="H815" s="1636">
        <f t="shared" si="813"/>
        <v>33.06</v>
      </c>
      <c r="I815" s="1636">
        <f t="shared" si="817"/>
        <v>155.81</v>
      </c>
      <c r="J815" s="1723">
        <f t="shared" si="818"/>
        <v>1869.72</v>
      </c>
      <c r="K815" s="2007">
        <f t="shared" si="819"/>
        <v>1473</v>
      </c>
      <c r="L815" s="2007">
        <f t="shared" si="820"/>
        <v>396.72</v>
      </c>
      <c r="M815" s="2016"/>
      <c r="N815" s="2016"/>
      <c r="O815" s="2016"/>
      <c r="P815" s="2016"/>
      <c r="Q815" s="2016"/>
      <c r="R815" s="2016"/>
      <c r="S815" s="2016"/>
      <c r="T815" s="2016">
        <f t="shared" si="821"/>
        <v>934.86</v>
      </c>
      <c r="U815" s="2016">
        <f t="shared" si="822"/>
        <v>747.88800000000003</v>
      </c>
      <c r="V815" s="2016"/>
      <c r="W815" s="2016"/>
      <c r="X815" s="2016"/>
      <c r="Y815" s="2016">
        <f t="shared" si="823"/>
        <v>186.97200000000001</v>
      </c>
      <c r="Z815" s="2016"/>
    </row>
    <row r="816" spans="1:26" s="2009" customFormat="1" ht="60" x14ac:dyDescent="0.2">
      <c r="A816" s="1635" t="s">
        <v>7363</v>
      </c>
      <c r="B816" s="1984" t="s">
        <v>4448</v>
      </c>
      <c r="C816" s="1984">
        <v>92637</v>
      </c>
      <c r="D816" s="1813" t="s">
        <v>7357</v>
      </c>
      <c r="E816" s="1638">
        <v>6</v>
      </c>
      <c r="F816" s="1639" t="s">
        <v>5284</v>
      </c>
      <c r="G816" s="1648">
        <v>46.94</v>
      </c>
      <c r="H816" s="1636">
        <f t="shared" si="813"/>
        <v>12.64</v>
      </c>
      <c r="I816" s="1636">
        <f t="shared" si="817"/>
        <v>59.58</v>
      </c>
      <c r="J816" s="1723">
        <f t="shared" si="818"/>
        <v>357.48</v>
      </c>
      <c r="K816" s="2007">
        <f t="shared" si="819"/>
        <v>281.64</v>
      </c>
      <c r="L816" s="2007">
        <f t="shared" si="820"/>
        <v>75.84</v>
      </c>
      <c r="M816" s="2016"/>
      <c r="N816" s="2016"/>
      <c r="O816" s="2016"/>
      <c r="P816" s="2016"/>
      <c r="Q816" s="2016"/>
      <c r="R816" s="2016"/>
      <c r="S816" s="2016"/>
      <c r="T816" s="2016">
        <f t="shared" si="821"/>
        <v>178.74</v>
      </c>
      <c r="U816" s="2016">
        <f t="shared" si="822"/>
        <v>142.99200000000002</v>
      </c>
      <c r="V816" s="2016"/>
      <c r="W816" s="2016"/>
      <c r="X816" s="2016"/>
      <c r="Y816" s="2016">
        <f t="shared" si="823"/>
        <v>35.748000000000005</v>
      </c>
      <c r="Z816" s="2016"/>
    </row>
    <row r="817" spans="1:26" s="2009" customFormat="1" ht="15" x14ac:dyDescent="0.2">
      <c r="A817" s="1634" t="s">
        <v>7364</v>
      </c>
      <c r="B817" s="1630" t="s">
        <v>5175</v>
      </c>
      <c r="C817" s="1983"/>
      <c r="D817" s="1983"/>
      <c r="E817" s="1983"/>
      <c r="F817" s="1983"/>
      <c r="G817" s="1652"/>
      <c r="H817" s="1983"/>
      <c r="I817" s="1983"/>
      <c r="J817" s="1652"/>
      <c r="K817" s="2007"/>
      <c r="L817" s="2007"/>
      <c r="M817" s="2016"/>
      <c r="N817" s="2016"/>
      <c r="O817" s="2016"/>
      <c r="P817" s="2016"/>
      <c r="Q817" s="2016"/>
      <c r="R817" s="2016"/>
      <c r="S817" s="2016"/>
      <c r="T817" s="2016"/>
      <c r="U817" s="2016"/>
      <c r="V817" s="2016"/>
      <c r="W817" s="2016"/>
      <c r="X817" s="2016"/>
      <c r="Y817" s="2016"/>
      <c r="Z817" s="2016"/>
    </row>
    <row r="818" spans="1:26" s="2009" customFormat="1" ht="60" x14ac:dyDescent="0.2">
      <c r="A818" s="1635" t="s">
        <v>7380</v>
      </c>
      <c r="B818" s="1984" t="s">
        <v>4448</v>
      </c>
      <c r="C818" s="1984">
        <v>71516</v>
      </c>
      <c r="D818" s="1813" t="s">
        <v>7365</v>
      </c>
      <c r="E818" s="1638">
        <v>5</v>
      </c>
      <c r="F818" s="1639" t="s">
        <v>5284</v>
      </c>
      <c r="G818" s="1648">
        <v>480</v>
      </c>
      <c r="H818" s="1636">
        <f t="shared" ref="H818:H831" si="824">ROUND(G818*$B$13,2)</f>
        <v>129.26</v>
      </c>
      <c r="I818" s="1636">
        <f t="shared" ref="I818" si="825">H818+G818</f>
        <v>609.26</v>
      </c>
      <c r="J818" s="1723">
        <f t="shared" ref="J818" si="826">ROUND(I818*E818,2)</f>
        <v>3046.3</v>
      </c>
      <c r="K818" s="2007">
        <f t="shared" si="819"/>
        <v>2400</v>
      </c>
      <c r="L818" s="2007">
        <f t="shared" si="820"/>
        <v>646.29999999999995</v>
      </c>
      <c r="M818" s="2016"/>
      <c r="N818" s="2016"/>
      <c r="O818" s="2016"/>
      <c r="P818" s="2016"/>
      <c r="Q818" s="2016"/>
      <c r="R818" s="2016"/>
      <c r="S818" s="2016"/>
      <c r="T818" s="2016">
        <f t="shared" ref="T818" si="827">0.5*J818</f>
        <v>1523.15</v>
      </c>
      <c r="U818" s="2016">
        <f t="shared" ref="U818" si="828">0.4*J818</f>
        <v>1218.5200000000002</v>
      </c>
      <c r="V818" s="2016"/>
      <c r="W818" s="2016"/>
      <c r="X818" s="2016"/>
      <c r="Y818" s="2016">
        <f t="shared" ref="Y818" si="829">0.1*J818</f>
        <v>304.63000000000005</v>
      </c>
      <c r="Z818" s="2016"/>
    </row>
    <row r="819" spans="1:26" s="2009" customFormat="1" ht="30" x14ac:dyDescent="0.2">
      <c r="A819" s="1635" t="s">
        <v>7381</v>
      </c>
      <c r="B819" s="1984" t="s">
        <v>4448</v>
      </c>
      <c r="C819" s="1984">
        <v>94499</v>
      </c>
      <c r="D819" s="1813" t="s">
        <v>7367</v>
      </c>
      <c r="E819" s="1638">
        <v>11</v>
      </c>
      <c r="F819" s="1639" t="s">
        <v>5284</v>
      </c>
      <c r="G819" s="1648">
        <v>249.34</v>
      </c>
      <c r="H819" s="1636">
        <f t="shared" si="824"/>
        <v>67.150000000000006</v>
      </c>
      <c r="I819" s="1636">
        <f t="shared" ref="I819:I831" si="830">H819+G819</f>
        <v>316.49</v>
      </c>
      <c r="J819" s="1723">
        <f t="shared" ref="J819:J831" si="831">ROUND(I819*E819,2)</f>
        <v>3481.39</v>
      </c>
      <c r="K819" s="2007">
        <f t="shared" si="819"/>
        <v>2742.74</v>
      </c>
      <c r="L819" s="2007">
        <f t="shared" si="820"/>
        <v>738.65</v>
      </c>
      <c r="M819" s="2016"/>
      <c r="N819" s="2016"/>
      <c r="O819" s="2016"/>
      <c r="P819" s="2016"/>
      <c r="Q819" s="2016"/>
      <c r="R819" s="2016"/>
      <c r="S819" s="2016"/>
      <c r="T819" s="2016">
        <f t="shared" ref="T819:T831" si="832">0.5*J819</f>
        <v>1740.6949999999999</v>
      </c>
      <c r="U819" s="2016">
        <f t="shared" ref="U819:U831" si="833">0.4*J819</f>
        <v>1392.556</v>
      </c>
      <c r="V819" s="2016"/>
      <c r="W819" s="2016"/>
      <c r="X819" s="2016"/>
      <c r="Y819" s="2016">
        <f t="shared" ref="Y819:Y831" si="834">0.1*J819</f>
        <v>348.13900000000001</v>
      </c>
      <c r="Z819" s="2016"/>
    </row>
    <row r="820" spans="1:26" s="2009" customFormat="1" ht="30" x14ac:dyDescent="0.2">
      <c r="A820" s="1635" t="s">
        <v>7382</v>
      </c>
      <c r="B820" s="1984" t="s">
        <v>4448</v>
      </c>
      <c r="C820" s="1984">
        <v>94499</v>
      </c>
      <c r="D820" s="1813" t="s">
        <v>7383</v>
      </c>
      <c r="E820" s="1638">
        <v>6</v>
      </c>
      <c r="F820" s="1639" t="s">
        <v>5284</v>
      </c>
      <c r="G820" s="1648">
        <v>249.34</v>
      </c>
      <c r="H820" s="1636">
        <f t="shared" si="824"/>
        <v>67.150000000000006</v>
      </c>
      <c r="I820" s="1636">
        <f t="shared" si="830"/>
        <v>316.49</v>
      </c>
      <c r="J820" s="1723">
        <f t="shared" si="831"/>
        <v>1898.94</v>
      </c>
      <c r="K820" s="2007">
        <f t="shared" si="819"/>
        <v>1496.04</v>
      </c>
      <c r="L820" s="2007">
        <f t="shared" si="820"/>
        <v>402.9</v>
      </c>
      <c r="M820" s="2016"/>
      <c r="N820" s="2016"/>
      <c r="O820" s="2016"/>
      <c r="P820" s="2016"/>
      <c r="Q820" s="2016"/>
      <c r="R820" s="2016"/>
      <c r="S820" s="2016"/>
      <c r="T820" s="2016">
        <f t="shared" si="832"/>
        <v>949.47</v>
      </c>
      <c r="U820" s="2016">
        <f t="shared" si="833"/>
        <v>759.57600000000002</v>
      </c>
      <c r="V820" s="2016"/>
      <c r="W820" s="2016"/>
      <c r="X820" s="2016"/>
      <c r="Y820" s="2016">
        <f t="shared" si="834"/>
        <v>189.89400000000001</v>
      </c>
      <c r="Z820" s="2016"/>
    </row>
    <row r="821" spans="1:26" s="2009" customFormat="1" ht="45" x14ac:dyDescent="0.2">
      <c r="A821" s="1635" t="s">
        <v>7384</v>
      </c>
      <c r="B821" s="1984" t="s">
        <v>5278</v>
      </c>
      <c r="C821" s="1984">
        <v>10899</v>
      </c>
      <c r="D821" s="1813" t="s">
        <v>7368</v>
      </c>
      <c r="E821" s="1638">
        <v>5</v>
      </c>
      <c r="F821" s="1639" t="s">
        <v>5284</v>
      </c>
      <c r="G821" s="1648">
        <v>48.94</v>
      </c>
      <c r="H821" s="1636">
        <f t="shared" si="824"/>
        <v>13.18</v>
      </c>
      <c r="I821" s="1636">
        <f t="shared" si="830"/>
        <v>62.12</v>
      </c>
      <c r="J821" s="1723">
        <f t="shared" si="831"/>
        <v>310.60000000000002</v>
      </c>
      <c r="K821" s="2007">
        <f t="shared" si="819"/>
        <v>244.7</v>
      </c>
      <c r="L821" s="2007">
        <f t="shared" si="820"/>
        <v>65.900000000000006</v>
      </c>
      <c r="M821" s="2016"/>
      <c r="N821" s="2016"/>
      <c r="O821" s="2016"/>
      <c r="P821" s="2016"/>
      <c r="Q821" s="2016"/>
      <c r="R821" s="2016"/>
      <c r="S821" s="2016"/>
      <c r="T821" s="2016">
        <f t="shared" si="832"/>
        <v>155.30000000000001</v>
      </c>
      <c r="U821" s="2016">
        <f t="shared" si="833"/>
        <v>124.24000000000001</v>
      </c>
      <c r="V821" s="2016"/>
      <c r="W821" s="2016"/>
      <c r="X821" s="2016"/>
      <c r="Y821" s="2016">
        <f t="shared" si="834"/>
        <v>31.060000000000002</v>
      </c>
      <c r="Z821" s="2016"/>
    </row>
    <row r="822" spans="1:26" s="2009" customFormat="1" ht="45" x14ac:dyDescent="0.2">
      <c r="A822" s="1635" t="s">
        <v>7385</v>
      </c>
      <c r="B822" s="1984" t="s">
        <v>5278</v>
      </c>
      <c r="C822" s="1984">
        <v>10902</v>
      </c>
      <c r="D822" s="1813" t="s">
        <v>7376</v>
      </c>
      <c r="E822" s="1638">
        <v>5</v>
      </c>
      <c r="F822" s="1639" t="s">
        <v>5284</v>
      </c>
      <c r="G822" s="1648">
        <v>40.049999999999997</v>
      </c>
      <c r="H822" s="1636">
        <f t="shared" si="824"/>
        <v>10.79</v>
      </c>
      <c r="I822" s="1636">
        <f t="shared" si="830"/>
        <v>50.839999999999996</v>
      </c>
      <c r="J822" s="1723">
        <f t="shared" si="831"/>
        <v>254.2</v>
      </c>
      <c r="K822" s="2007">
        <f t="shared" si="819"/>
        <v>200.25</v>
      </c>
      <c r="L822" s="2007">
        <f t="shared" si="820"/>
        <v>53.95</v>
      </c>
      <c r="M822" s="2016"/>
      <c r="N822" s="2016"/>
      <c r="O822" s="2016"/>
      <c r="P822" s="2016"/>
      <c r="Q822" s="2016"/>
      <c r="R822" s="2016"/>
      <c r="S822" s="2016"/>
      <c r="T822" s="2016">
        <f t="shared" si="832"/>
        <v>127.1</v>
      </c>
      <c r="U822" s="2016">
        <f t="shared" si="833"/>
        <v>101.68</v>
      </c>
      <c r="V822" s="2016"/>
      <c r="W822" s="2016"/>
      <c r="X822" s="2016"/>
      <c r="Y822" s="2016">
        <f t="shared" si="834"/>
        <v>25.42</v>
      </c>
      <c r="Z822" s="2016"/>
    </row>
    <row r="823" spans="1:26" s="2009" customFormat="1" ht="60" x14ac:dyDescent="0.2">
      <c r="A823" s="1635" t="s">
        <v>15063</v>
      </c>
      <c r="B823" s="1984" t="s">
        <v>5281</v>
      </c>
      <c r="C823" s="1984">
        <v>7643</v>
      </c>
      <c r="D823" s="1813" t="s">
        <v>7369</v>
      </c>
      <c r="E823" s="1638">
        <v>5</v>
      </c>
      <c r="F823" s="1639" t="s">
        <v>5284</v>
      </c>
      <c r="G823" s="1648">
        <v>123.57000000000001</v>
      </c>
      <c r="H823" s="1636">
        <f t="shared" si="824"/>
        <v>33.28</v>
      </c>
      <c r="I823" s="1636">
        <f t="shared" si="830"/>
        <v>156.85000000000002</v>
      </c>
      <c r="J823" s="1723">
        <f t="shared" si="831"/>
        <v>784.25</v>
      </c>
      <c r="K823" s="2007">
        <f t="shared" si="819"/>
        <v>617.85</v>
      </c>
      <c r="L823" s="2007">
        <f t="shared" si="820"/>
        <v>166.4</v>
      </c>
      <c r="M823" s="2016"/>
      <c r="N823" s="2016"/>
      <c r="O823" s="2016"/>
      <c r="P823" s="2016"/>
      <c r="Q823" s="2016"/>
      <c r="R823" s="2016"/>
      <c r="S823" s="2016"/>
      <c r="T823" s="2016">
        <f t="shared" si="832"/>
        <v>392.125</v>
      </c>
      <c r="U823" s="2016">
        <f t="shared" si="833"/>
        <v>313.70000000000005</v>
      </c>
      <c r="V823" s="2016"/>
      <c r="W823" s="2016"/>
      <c r="X823" s="2016"/>
      <c r="Y823" s="2016">
        <f t="shared" si="834"/>
        <v>78.425000000000011</v>
      </c>
      <c r="Z823" s="2016"/>
    </row>
    <row r="824" spans="1:26" s="2009" customFormat="1" ht="30" x14ac:dyDescent="0.2">
      <c r="A824" s="1635" t="s">
        <v>7386</v>
      </c>
      <c r="B824" s="1984" t="s">
        <v>4448</v>
      </c>
      <c r="C824" s="1984">
        <v>99624</v>
      </c>
      <c r="D824" s="1813" t="s">
        <v>7370</v>
      </c>
      <c r="E824" s="1638">
        <v>8</v>
      </c>
      <c r="F824" s="1639" t="s">
        <v>5284</v>
      </c>
      <c r="G824" s="1648">
        <v>270.5</v>
      </c>
      <c r="H824" s="1636">
        <f t="shared" si="824"/>
        <v>72.849999999999994</v>
      </c>
      <c r="I824" s="1636">
        <f t="shared" si="830"/>
        <v>343.35</v>
      </c>
      <c r="J824" s="1723">
        <f t="shared" si="831"/>
        <v>2746.8</v>
      </c>
      <c r="K824" s="2007">
        <f t="shared" si="819"/>
        <v>2164</v>
      </c>
      <c r="L824" s="2007">
        <f t="shared" si="820"/>
        <v>582.79999999999995</v>
      </c>
      <c r="M824" s="2016"/>
      <c r="N824" s="2016"/>
      <c r="O824" s="2016"/>
      <c r="P824" s="2016"/>
      <c r="Q824" s="2016"/>
      <c r="R824" s="2016"/>
      <c r="S824" s="2016"/>
      <c r="T824" s="2016">
        <f t="shared" si="832"/>
        <v>1373.4</v>
      </c>
      <c r="U824" s="2016">
        <f t="shared" si="833"/>
        <v>1098.72</v>
      </c>
      <c r="V824" s="2016"/>
      <c r="W824" s="2016"/>
      <c r="X824" s="2016"/>
      <c r="Y824" s="2016">
        <f t="shared" si="834"/>
        <v>274.68</v>
      </c>
      <c r="Z824" s="2016"/>
    </row>
    <row r="825" spans="1:26" s="2009" customFormat="1" ht="30" x14ac:dyDescent="0.2">
      <c r="A825" s="1635" t="s">
        <v>7387</v>
      </c>
      <c r="B825" s="1984" t="s">
        <v>4448</v>
      </c>
      <c r="C825" s="1984">
        <v>83633</v>
      </c>
      <c r="D825" s="1813" t="s">
        <v>7371</v>
      </c>
      <c r="E825" s="1638">
        <v>1</v>
      </c>
      <c r="F825" s="1639" t="s">
        <v>5284</v>
      </c>
      <c r="G825" s="1648">
        <v>1895.91</v>
      </c>
      <c r="H825" s="1636">
        <f t="shared" si="824"/>
        <v>510.57</v>
      </c>
      <c r="I825" s="1636">
        <f t="shared" si="830"/>
        <v>2406.48</v>
      </c>
      <c r="J825" s="1723">
        <f t="shared" si="831"/>
        <v>2406.48</v>
      </c>
      <c r="K825" s="2007">
        <f t="shared" si="819"/>
        <v>1895.91</v>
      </c>
      <c r="L825" s="2007">
        <f t="shared" si="820"/>
        <v>510.57</v>
      </c>
      <c r="M825" s="2016"/>
      <c r="N825" s="2016"/>
      <c r="O825" s="2016"/>
      <c r="P825" s="2016"/>
      <c r="Q825" s="2016"/>
      <c r="R825" s="2016"/>
      <c r="S825" s="2016"/>
      <c r="T825" s="2016">
        <f t="shared" si="832"/>
        <v>1203.24</v>
      </c>
      <c r="U825" s="2016">
        <f t="shared" si="833"/>
        <v>962.5920000000001</v>
      </c>
      <c r="V825" s="2016"/>
      <c r="W825" s="2016"/>
      <c r="X825" s="2016"/>
      <c r="Y825" s="2016">
        <f t="shared" si="834"/>
        <v>240.64800000000002</v>
      </c>
      <c r="Z825" s="2016"/>
    </row>
    <row r="826" spans="1:26" s="2009" customFormat="1" ht="30" x14ac:dyDescent="0.2">
      <c r="A826" s="1635" t="s">
        <v>7389</v>
      </c>
      <c r="B826" s="1984" t="s">
        <v>4448</v>
      </c>
      <c r="C826" s="1984" t="s">
        <v>7388</v>
      </c>
      <c r="D826" s="1813" t="s">
        <v>7366</v>
      </c>
      <c r="E826" s="1638">
        <v>5</v>
      </c>
      <c r="F826" s="1639" t="s">
        <v>5284</v>
      </c>
      <c r="G826" s="1648">
        <v>271.58</v>
      </c>
      <c r="H826" s="1636">
        <f t="shared" si="824"/>
        <v>73.14</v>
      </c>
      <c r="I826" s="1636">
        <f t="shared" si="830"/>
        <v>344.71999999999997</v>
      </c>
      <c r="J826" s="1723">
        <f t="shared" si="831"/>
        <v>1723.6</v>
      </c>
      <c r="K826" s="2007">
        <f t="shared" si="819"/>
        <v>1357.9</v>
      </c>
      <c r="L826" s="2007">
        <f t="shared" si="820"/>
        <v>365.7</v>
      </c>
      <c r="M826" s="2016"/>
      <c r="N826" s="2016"/>
      <c r="O826" s="2016"/>
      <c r="P826" s="2016"/>
      <c r="Q826" s="2016"/>
      <c r="R826" s="2016"/>
      <c r="S826" s="2016"/>
      <c r="T826" s="2016">
        <f t="shared" si="832"/>
        <v>861.8</v>
      </c>
      <c r="U826" s="2016">
        <f t="shared" si="833"/>
        <v>689.44</v>
      </c>
      <c r="V826" s="2016"/>
      <c r="W826" s="2016"/>
      <c r="X826" s="2016"/>
      <c r="Y826" s="2016">
        <f t="shared" si="834"/>
        <v>172.36</v>
      </c>
      <c r="Z826" s="2016"/>
    </row>
    <row r="827" spans="1:26" s="2009" customFormat="1" ht="30" x14ac:dyDescent="0.2">
      <c r="A827" s="1635" t="s">
        <v>7391</v>
      </c>
      <c r="B827" s="1984" t="s">
        <v>4448</v>
      </c>
      <c r="C827" s="1984">
        <v>83635</v>
      </c>
      <c r="D827" s="1813" t="s">
        <v>7372</v>
      </c>
      <c r="E827" s="1638">
        <f>7+5</f>
        <v>12</v>
      </c>
      <c r="F827" s="1639" t="s">
        <v>5284</v>
      </c>
      <c r="G827" s="1648">
        <v>187.61</v>
      </c>
      <c r="H827" s="1636">
        <f t="shared" si="824"/>
        <v>50.52</v>
      </c>
      <c r="I827" s="1636">
        <f t="shared" si="830"/>
        <v>238.13000000000002</v>
      </c>
      <c r="J827" s="1723">
        <f t="shared" si="831"/>
        <v>2857.56</v>
      </c>
      <c r="K827" s="2007">
        <f t="shared" si="819"/>
        <v>2251.3200000000002</v>
      </c>
      <c r="L827" s="2007">
        <f t="shared" si="820"/>
        <v>606.24</v>
      </c>
      <c r="M827" s="2016"/>
      <c r="N827" s="2016"/>
      <c r="O827" s="2016"/>
      <c r="P827" s="2016"/>
      <c r="Q827" s="2016"/>
      <c r="R827" s="2016"/>
      <c r="S827" s="2016"/>
      <c r="T827" s="2016">
        <f t="shared" si="832"/>
        <v>1428.78</v>
      </c>
      <c r="U827" s="2016">
        <f t="shared" si="833"/>
        <v>1143.0240000000001</v>
      </c>
      <c r="V827" s="2016"/>
      <c r="W827" s="2016"/>
      <c r="X827" s="2016"/>
      <c r="Y827" s="2016">
        <f t="shared" si="834"/>
        <v>285.75600000000003</v>
      </c>
      <c r="Z827" s="2016"/>
    </row>
    <row r="828" spans="1:26" s="2009" customFormat="1" ht="45" x14ac:dyDescent="0.2">
      <c r="A828" s="1635" t="s">
        <v>15098</v>
      </c>
      <c r="B828" s="1984" t="s">
        <v>5281</v>
      </c>
      <c r="C828" s="1984">
        <v>11173</v>
      </c>
      <c r="D828" s="1813" t="s">
        <v>7390</v>
      </c>
      <c r="E828" s="1638">
        <v>2</v>
      </c>
      <c r="F828" s="1639" t="s">
        <v>5284</v>
      </c>
      <c r="G828" s="1648">
        <v>1592.46</v>
      </c>
      <c r="H828" s="1636">
        <f t="shared" si="824"/>
        <v>428.85</v>
      </c>
      <c r="I828" s="1636">
        <f t="shared" si="830"/>
        <v>2021.31</v>
      </c>
      <c r="J828" s="1723">
        <f t="shared" si="831"/>
        <v>4042.62</v>
      </c>
      <c r="K828" s="2007">
        <f t="shared" si="819"/>
        <v>3184.92</v>
      </c>
      <c r="L828" s="2007">
        <f t="shared" si="820"/>
        <v>857.7</v>
      </c>
      <c r="M828" s="2016"/>
      <c r="N828" s="2016"/>
      <c r="O828" s="2016"/>
      <c r="P828" s="2016"/>
      <c r="Q828" s="2016"/>
      <c r="R828" s="2016"/>
      <c r="S828" s="2016"/>
      <c r="T828" s="2016">
        <f t="shared" si="832"/>
        <v>2021.31</v>
      </c>
      <c r="U828" s="2016">
        <f t="shared" si="833"/>
        <v>1617.048</v>
      </c>
      <c r="V828" s="2016"/>
      <c r="W828" s="2016"/>
      <c r="X828" s="2016"/>
      <c r="Y828" s="2016">
        <f t="shared" si="834"/>
        <v>404.262</v>
      </c>
      <c r="Z828" s="2016"/>
    </row>
    <row r="829" spans="1:26" s="2009" customFormat="1" ht="30" x14ac:dyDescent="0.2">
      <c r="A829" s="1635" t="s">
        <v>7394</v>
      </c>
      <c r="B829" s="1984" t="s">
        <v>4448</v>
      </c>
      <c r="C829" s="1984">
        <v>85120</v>
      </c>
      <c r="D829" s="1813" t="s">
        <v>7373</v>
      </c>
      <c r="E829" s="1638">
        <v>2</v>
      </c>
      <c r="F829" s="1639" t="s">
        <v>5284</v>
      </c>
      <c r="G829" s="1648">
        <v>120.7</v>
      </c>
      <c r="H829" s="1636">
        <f t="shared" si="824"/>
        <v>32.5</v>
      </c>
      <c r="I829" s="1636">
        <f t="shared" si="830"/>
        <v>153.19999999999999</v>
      </c>
      <c r="J829" s="1723">
        <f t="shared" si="831"/>
        <v>306.39999999999998</v>
      </c>
      <c r="K829" s="2007">
        <f t="shared" si="819"/>
        <v>241.4</v>
      </c>
      <c r="L829" s="2007">
        <f t="shared" si="820"/>
        <v>65</v>
      </c>
      <c r="M829" s="2016"/>
      <c r="N829" s="2016"/>
      <c r="O829" s="2016"/>
      <c r="P829" s="2016"/>
      <c r="Q829" s="2016"/>
      <c r="R829" s="2016"/>
      <c r="S829" s="2016"/>
      <c r="T829" s="2016">
        <f t="shared" si="832"/>
        <v>153.19999999999999</v>
      </c>
      <c r="U829" s="2016">
        <f t="shared" si="833"/>
        <v>122.56</v>
      </c>
      <c r="V829" s="2016"/>
      <c r="W829" s="2016"/>
      <c r="X829" s="2016"/>
      <c r="Y829" s="2016">
        <f t="shared" si="834"/>
        <v>30.64</v>
      </c>
      <c r="Z829" s="2016"/>
    </row>
    <row r="830" spans="1:26" s="2009" customFormat="1" ht="30" x14ac:dyDescent="0.2">
      <c r="A830" s="1635" t="s">
        <v>7395</v>
      </c>
      <c r="B830" s="1984" t="s">
        <v>5281</v>
      </c>
      <c r="C830" s="1984">
        <v>9905</v>
      </c>
      <c r="D830" s="1813" t="s">
        <v>7374</v>
      </c>
      <c r="E830" s="1638">
        <v>2</v>
      </c>
      <c r="F830" s="1639" t="s">
        <v>5284</v>
      </c>
      <c r="G830" s="1648">
        <v>447.31</v>
      </c>
      <c r="H830" s="1636">
        <f t="shared" si="824"/>
        <v>120.46</v>
      </c>
      <c r="I830" s="1636">
        <f t="shared" si="830"/>
        <v>567.77</v>
      </c>
      <c r="J830" s="1723">
        <f t="shared" si="831"/>
        <v>1135.54</v>
      </c>
      <c r="K830" s="2007">
        <f t="shared" si="819"/>
        <v>894.62</v>
      </c>
      <c r="L830" s="2007">
        <f t="shared" si="820"/>
        <v>240.92</v>
      </c>
      <c r="M830" s="2016"/>
      <c r="N830" s="2016"/>
      <c r="O830" s="2016"/>
      <c r="P830" s="2016"/>
      <c r="Q830" s="2016"/>
      <c r="R830" s="2016"/>
      <c r="S830" s="2016"/>
      <c r="T830" s="2016">
        <f t="shared" si="832"/>
        <v>567.77</v>
      </c>
      <c r="U830" s="2016">
        <f t="shared" si="833"/>
        <v>454.21600000000001</v>
      </c>
      <c r="V830" s="2016"/>
      <c r="W830" s="2016"/>
      <c r="X830" s="2016"/>
      <c r="Y830" s="2016">
        <f t="shared" si="834"/>
        <v>113.554</v>
      </c>
      <c r="Z830" s="2016"/>
    </row>
    <row r="831" spans="1:26" s="2009" customFormat="1" ht="45" x14ac:dyDescent="0.2">
      <c r="A831" s="1635" t="s">
        <v>7396</v>
      </c>
      <c r="B831" s="1984" t="s">
        <v>5281</v>
      </c>
      <c r="C831" s="1984">
        <v>9670</v>
      </c>
      <c r="D831" s="1813" t="s">
        <v>7375</v>
      </c>
      <c r="E831" s="1638">
        <v>2</v>
      </c>
      <c r="F831" s="1639" t="s">
        <v>5284</v>
      </c>
      <c r="G831" s="1648">
        <v>187.56</v>
      </c>
      <c r="H831" s="1636">
        <f t="shared" si="824"/>
        <v>50.51</v>
      </c>
      <c r="I831" s="1636">
        <f t="shared" si="830"/>
        <v>238.07</v>
      </c>
      <c r="J831" s="1723">
        <f t="shared" si="831"/>
        <v>476.14</v>
      </c>
      <c r="K831" s="2007">
        <f t="shared" si="819"/>
        <v>375.12</v>
      </c>
      <c r="L831" s="2007">
        <f t="shared" si="820"/>
        <v>101.02</v>
      </c>
      <c r="M831" s="2016"/>
      <c r="N831" s="2016"/>
      <c r="O831" s="2016"/>
      <c r="P831" s="2016"/>
      <c r="Q831" s="2016"/>
      <c r="R831" s="2016"/>
      <c r="S831" s="2016"/>
      <c r="T831" s="2016">
        <f t="shared" si="832"/>
        <v>238.07</v>
      </c>
      <c r="U831" s="2016">
        <f t="shared" si="833"/>
        <v>190.45600000000002</v>
      </c>
      <c r="V831" s="2016"/>
      <c r="W831" s="2016"/>
      <c r="X831" s="2016"/>
      <c r="Y831" s="2016">
        <f t="shared" si="834"/>
        <v>47.614000000000004</v>
      </c>
      <c r="Z831" s="2016"/>
    </row>
    <row r="832" spans="1:26" s="2006" customFormat="1" ht="15" x14ac:dyDescent="0.2">
      <c r="A832" s="2133" t="s">
        <v>7405</v>
      </c>
      <c r="B832" s="2133"/>
      <c r="C832" s="2133"/>
      <c r="D832" s="2133"/>
      <c r="E832" s="2133"/>
      <c r="F832" s="2133"/>
      <c r="G832" s="2133"/>
      <c r="H832" s="2133"/>
      <c r="I832" s="2133"/>
      <c r="J832" s="1724">
        <f>SUM(J809:J831)</f>
        <v>31660.34</v>
      </c>
      <c r="K832" s="2010"/>
      <c r="L832" s="2015"/>
      <c r="M832" s="1724">
        <f>SUM(M809:M831)</f>
        <v>0</v>
      </c>
      <c r="N832" s="1724">
        <f t="shared" ref="N832:Z832" si="835">SUM(N809:N831)</f>
        <v>0</v>
      </c>
      <c r="O832" s="1724">
        <f t="shared" si="835"/>
        <v>0</v>
      </c>
      <c r="P832" s="1724">
        <f t="shared" si="835"/>
        <v>0</v>
      </c>
      <c r="Q832" s="1724">
        <f t="shared" si="835"/>
        <v>0</v>
      </c>
      <c r="R832" s="1724">
        <f t="shared" si="835"/>
        <v>0</v>
      </c>
      <c r="S832" s="1724">
        <f t="shared" si="835"/>
        <v>0</v>
      </c>
      <c r="T832" s="1724">
        <f t="shared" si="835"/>
        <v>15830.17</v>
      </c>
      <c r="U832" s="1724">
        <f t="shared" si="835"/>
        <v>12664.136</v>
      </c>
      <c r="V832" s="1724">
        <f t="shared" si="835"/>
        <v>0</v>
      </c>
      <c r="W832" s="1724">
        <f t="shared" si="835"/>
        <v>0</v>
      </c>
      <c r="X832" s="1724">
        <f t="shared" si="835"/>
        <v>0</v>
      </c>
      <c r="Y832" s="1724">
        <f t="shared" si="835"/>
        <v>3166.0340000000001</v>
      </c>
      <c r="Z832" s="1724">
        <f t="shared" si="835"/>
        <v>0</v>
      </c>
    </row>
    <row r="833" spans="1:26" s="2006" customFormat="1" ht="15" x14ac:dyDescent="0.2">
      <c r="A833" s="52"/>
      <c r="B833" s="52"/>
      <c r="C833" s="52"/>
      <c r="D833" s="52"/>
      <c r="E833" s="1506"/>
      <c r="F833" s="52"/>
      <c r="G833" s="1649"/>
      <c r="H833" s="51"/>
      <c r="I833" s="51"/>
      <c r="J833" s="1725"/>
      <c r="K833" s="51"/>
      <c r="L833" s="2015"/>
      <c r="M833" s="2005"/>
      <c r="N833" s="2005"/>
      <c r="O833" s="2005"/>
      <c r="P833" s="2005"/>
      <c r="Q833" s="2005"/>
      <c r="R833" s="2005"/>
      <c r="S833" s="2005"/>
      <c r="T833" s="2005"/>
      <c r="U833" s="2005"/>
      <c r="V833" s="2005"/>
      <c r="W833" s="2005"/>
      <c r="X833" s="2005"/>
      <c r="Y833" s="2005"/>
      <c r="Z833" s="2005"/>
    </row>
    <row r="834" spans="1:26" s="2003" customFormat="1" ht="15" x14ac:dyDescent="0.2">
      <c r="A834" s="2132" t="s">
        <v>7404</v>
      </c>
      <c r="B834" s="2132"/>
      <c r="C834" s="2132"/>
      <c r="D834" s="2132"/>
      <c r="E834" s="2132"/>
      <c r="F834" s="2132"/>
      <c r="G834" s="2132"/>
      <c r="H834" s="2132"/>
      <c r="I834" s="2132"/>
      <c r="J834" s="1726">
        <f>J832</f>
        <v>31660.34</v>
      </c>
      <c r="K834" s="2011"/>
      <c r="L834" s="2015"/>
      <c r="M834" s="1726">
        <f>M832</f>
        <v>0</v>
      </c>
      <c r="N834" s="1726">
        <f t="shared" ref="N834:Z834" si="836">N832</f>
        <v>0</v>
      </c>
      <c r="O834" s="1726">
        <f t="shared" si="836"/>
        <v>0</v>
      </c>
      <c r="P834" s="1726">
        <f t="shared" si="836"/>
        <v>0</v>
      </c>
      <c r="Q834" s="1726">
        <f t="shared" si="836"/>
        <v>0</v>
      </c>
      <c r="R834" s="1726">
        <f t="shared" si="836"/>
        <v>0</v>
      </c>
      <c r="S834" s="1726">
        <f t="shared" si="836"/>
        <v>0</v>
      </c>
      <c r="T834" s="1726">
        <f t="shared" si="836"/>
        <v>15830.17</v>
      </c>
      <c r="U834" s="1726">
        <f t="shared" si="836"/>
        <v>12664.136</v>
      </c>
      <c r="V834" s="1726">
        <f t="shared" si="836"/>
        <v>0</v>
      </c>
      <c r="W834" s="1726">
        <f t="shared" si="836"/>
        <v>0</v>
      </c>
      <c r="X834" s="1726">
        <f t="shared" si="836"/>
        <v>0</v>
      </c>
      <c r="Y834" s="1726">
        <f t="shared" si="836"/>
        <v>3166.0340000000001</v>
      </c>
      <c r="Z834" s="1726">
        <f t="shared" si="836"/>
        <v>0</v>
      </c>
    </row>
    <row r="835" spans="1:26" s="2006" customFormat="1" ht="15" x14ac:dyDescent="0.2">
      <c r="A835" s="1635"/>
      <c r="B835" s="1984"/>
      <c r="C835" s="1984"/>
      <c r="D835" s="1813"/>
      <c r="E835" s="1638"/>
      <c r="F835" s="1639"/>
      <c r="G835" s="1650"/>
      <c r="H835" s="19"/>
      <c r="I835" s="19"/>
      <c r="J835" s="1727"/>
      <c r="K835" s="2012"/>
      <c r="L835" s="2015"/>
      <c r="M835" s="2013">
        <f>M834/$J$834</f>
        <v>0</v>
      </c>
      <c r="N835" s="2013">
        <f t="shared" ref="N835:Z835" si="837">N834/$J$834</f>
        <v>0</v>
      </c>
      <c r="O835" s="2013">
        <f t="shared" si="837"/>
        <v>0</v>
      </c>
      <c r="P835" s="2013">
        <f t="shared" si="837"/>
        <v>0</v>
      </c>
      <c r="Q835" s="2013">
        <f t="shared" si="837"/>
        <v>0</v>
      </c>
      <c r="R835" s="2013">
        <f t="shared" si="837"/>
        <v>0</v>
      </c>
      <c r="S835" s="2013">
        <f t="shared" si="837"/>
        <v>0</v>
      </c>
      <c r="T835" s="2013">
        <f t="shared" si="837"/>
        <v>0.5</v>
      </c>
      <c r="U835" s="2013">
        <f t="shared" si="837"/>
        <v>0.4</v>
      </c>
      <c r="V835" s="2013">
        <f t="shared" si="837"/>
        <v>0</v>
      </c>
      <c r="W835" s="2013">
        <f t="shared" si="837"/>
        <v>0</v>
      </c>
      <c r="X835" s="2013">
        <f t="shared" si="837"/>
        <v>0</v>
      </c>
      <c r="Y835" s="2013">
        <f t="shared" si="837"/>
        <v>0.1</v>
      </c>
      <c r="Z835" s="2013">
        <f t="shared" si="837"/>
        <v>0</v>
      </c>
    </row>
    <row r="836" spans="1:26" s="2003" customFormat="1" ht="15" x14ac:dyDescent="0.2">
      <c r="A836" s="37" t="s">
        <v>14</v>
      </c>
      <c r="B836" s="37"/>
      <c r="C836" s="37"/>
      <c r="D836" s="2129" t="s">
        <v>17</v>
      </c>
      <c r="E836" s="2129"/>
      <c r="F836" s="2129"/>
      <c r="G836" s="2129"/>
      <c r="H836" s="2129"/>
      <c r="I836" s="2129"/>
      <c r="J836" s="1720">
        <f>SUM(K:K)+0.04</f>
        <v>6267637.6000000052</v>
      </c>
      <c r="K836" s="21"/>
      <c r="L836" s="2021"/>
      <c r="M836" s="2022"/>
      <c r="N836" s="2022"/>
      <c r="O836" s="2022"/>
      <c r="P836" s="2005"/>
      <c r="Q836" s="2005"/>
      <c r="R836" s="2005"/>
      <c r="S836" s="2005"/>
      <c r="T836" s="2005"/>
      <c r="U836" s="2005"/>
      <c r="V836" s="2005"/>
      <c r="W836" s="2005"/>
      <c r="X836" s="2005"/>
      <c r="Y836" s="2005"/>
      <c r="Z836" s="2005"/>
    </row>
    <row r="837" spans="1:26" s="2003" customFormat="1" ht="15" x14ac:dyDescent="0.2">
      <c r="A837" s="37" t="s">
        <v>15</v>
      </c>
      <c r="B837" s="37"/>
      <c r="C837" s="37"/>
      <c r="D837" s="2134" t="s">
        <v>4859</v>
      </c>
      <c r="E837" s="2134"/>
      <c r="F837" s="2134"/>
      <c r="G837" s="2134"/>
      <c r="H837" s="2134"/>
      <c r="I837" s="2134"/>
      <c r="J837" s="1720">
        <f>SUM(L:L)+0.02</f>
        <v>1621965.3599999999</v>
      </c>
      <c r="K837" s="21"/>
      <c r="L837" s="2021"/>
      <c r="M837" s="2022"/>
      <c r="N837" s="2022"/>
      <c r="O837" s="2022"/>
      <c r="P837" s="2005"/>
      <c r="Q837" s="2005"/>
      <c r="R837" s="2005"/>
      <c r="S837" s="2005"/>
      <c r="T837" s="2005"/>
      <c r="U837" s="2005"/>
      <c r="V837" s="2005"/>
      <c r="W837" s="2005"/>
      <c r="X837" s="2005"/>
      <c r="Y837" s="2005"/>
      <c r="Z837" s="2005"/>
    </row>
    <row r="838" spans="1:26" s="2003" customFormat="1" ht="15" x14ac:dyDescent="0.2">
      <c r="A838" s="37" t="s">
        <v>16</v>
      </c>
      <c r="B838" s="37"/>
      <c r="C838" s="37"/>
      <c r="D838" s="2129" t="s">
        <v>18</v>
      </c>
      <c r="E838" s="2129"/>
      <c r="F838" s="2129"/>
      <c r="G838" s="2129"/>
      <c r="H838" s="2129"/>
      <c r="I838" s="2129"/>
      <c r="J838" s="1720">
        <f>J834+J805+J736+J430+J248+J115+J50+J29</f>
        <v>7889602.9599999981</v>
      </c>
      <c r="K838" s="21"/>
      <c r="L838" s="2023"/>
      <c r="M838" s="2024"/>
      <c r="N838" s="2024"/>
      <c r="O838" s="2024"/>
      <c r="P838" s="2005"/>
      <c r="Q838" s="2005"/>
      <c r="R838" s="2005"/>
      <c r="S838" s="2005"/>
      <c r="T838" s="2005"/>
      <c r="U838" s="2005"/>
      <c r="V838" s="2005"/>
      <c r="W838" s="2005"/>
      <c r="X838" s="2005"/>
      <c r="Y838" s="2005"/>
      <c r="Z838" s="2005"/>
    </row>
    <row r="839" spans="1:26" ht="15" x14ac:dyDescent="0.2">
      <c r="A839" s="2026"/>
      <c r="B839" s="2027"/>
      <c r="C839" s="2027"/>
      <c r="D839" s="2028"/>
      <c r="E839" s="2029"/>
      <c r="F839" s="2027"/>
      <c r="G839" s="2030"/>
      <c r="H839" s="2031"/>
      <c r="I839" s="2031"/>
      <c r="J839" s="2032"/>
      <c r="K839" s="58"/>
      <c r="L839" s="139"/>
      <c r="M839" s="1804"/>
      <c r="N839" s="1804"/>
      <c r="O839" s="1804"/>
    </row>
    <row r="840" spans="1:26" ht="15" x14ac:dyDescent="0.2">
      <c r="A840" s="20"/>
      <c r="B840" s="56"/>
      <c r="C840" s="30"/>
      <c r="D840" s="16"/>
      <c r="E840" s="1507"/>
      <c r="F840" s="15"/>
      <c r="G840" s="1653"/>
      <c r="H840" s="23"/>
      <c r="I840" s="23"/>
      <c r="J840" s="1721"/>
      <c r="K840" s="58"/>
    </row>
    <row r="841" spans="1:26" ht="15" x14ac:dyDescent="0.2">
      <c r="A841" s="20"/>
      <c r="B841" s="115"/>
      <c r="C841" s="20"/>
      <c r="D841" s="17"/>
      <c r="E841" s="42"/>
      <c r="F841" s="18"/>
      <c r="G841" s="1644"/>
      <c r="H841" s="14"/>
      <c r="I841" s="14"/>
      <c r="J841" s="1722"/>
      <c r="K841" s="191"/>
    </row>
    <row r="842" spans="1:26" ht="15" x14ac:dyDescent="0.2">
      <c r="A842" s="20"/>
      <c r="B842" s="115"/>
      <c r="C842" s="20"/>
      <c r="D842" s="17"/>
      <c r="E842" s="42"/>
      <c r="F842" s="18"/>
      <c r="G842" s="1644"/>
      <c r="H842" s="14"/>
      <c r="I842" s="14"/>
      <c r="J842" s="1722"/>
      <c r="K842" s="191"/>
    </row>
    <row r="843" spans="1:26" ht="15" x14ac:dyDescent="0.2">
      <c r="A843" s="20"/>
      <c r="B843" s="115"/>
      <c r="C843" s="20"/>
      <c r="D843" s="17"/>
      <c r="E843" s="42"/>
      <c r="F843" s="18"/>
      <c r="G843" s="1644"/>
      <c r="H843" s="14"/>
      <c r="I843" s="14"/>
      <c r="J843" s="1722"/>
      <c r="K843" s="191"/>
    </row>
    <row r="844" spans="1:26" ht="15" x14ac:dyDescent="0.2">
      <c r="A844" s="20"/>
      <c r="B844" s="115"/>
      <c r="C844" s="20"/>
      <c r="D844" s="17"/>
      <c r="E844" s="42"/>
      <c r="F844" s="18"/>
      <c r="G844" s="1644"/>
      <c r="H844" s="14"/>
      <c r="I844" s="14"/>
      <c r="J844" s="1722"/>
      <c r="K844" s="191"/>
    </row>
    <row r="845" spans="1:26" ht="15" x14ac:dyDescent="0.2">
      <c r="A845" s="20"/>
      <c r="B845" s="115"/>
      <c r="C845" s="20"/>
      <c r="D845" s="17"/>
      <c r="E845" s="42"/>
      <c r="F845" s="18"/>
      <c r="G845" s="1644"/>
      <c r="H845" s="14"/>
      <c r="I845" s="14"/>
      <c r="J845" s="1722"/>
      <c r="K845" s="191"/>
    </row>
    <row r="846" spans="1:26" ht="15" x14ac:dyDescent="0.2">
      <c r="A846" s="20"/>
      <c r="B846" s="115"/>
      <c r="C846" s="20"/>
      <c r="D846" s="17"/>
      <c r="E846" s="42"/>
      <c r="F846" s="18"/>
      <c r="G846" s="1644"/>
      <c r="H846" s="14"/>
      <c r="I846" s="14"/>
      <c r="J846" s="1722"/>
      <c r="K846" s="191"/>
    </row>
    <row r="847" spans="1:26" x14ac:dyDescent="0.2">
      <c r="B847" s="44"/>
      <c r="C847" s="44"/>
      <c r="D847" s="7"/>
      <c r="E847" s="1508"/>
      <c r="F847" s="8"/>
      <c r="G847" s="1654"/>
      <c r="H847" s="3"/>
      <c r="I847" s="3"/>
      <c r="J847" s="1682"/>
    </row>
  </sheetData>
  <sheetProtection selectLockedCells="1" selectUnlockedCells="1"/>
  <mergeCells count="150">
    <mergeCell ref="B508:J508"/>
    <mergeCell ref="B344:J344"/>
    <mergeCell ref="B434:J434"/>
    <mergeCell ref="B512:J512"/>
    <mergeCell ref="B435:J435"/>
    <mergeCell ref="B424:J424"/>
    <mergeCell ref="A428:I428"/>
    <mergeCell ref="B425:J425"/>
    <mergeCell ref="B440:J440"/>
    <mergeCell ref="B453:J453"/>
    <mergeCell ref="B493:C493"/>
    <mergeCell ref="B510:C510"/>
    <mergeCell ref="B455:J455"/>
    <mergeCell ref="B609:C609"/>
    <mergeCell ref="B807:J807"/>
    <mergeCell ref="B750:J750"/>
    <mergeCell ref="B784:J784"/>
    <mergeCell ref="B766:J766"/>
    <mergeCell ref="B775:J775"/>
    <mergeCell ref="B801:J801"/>
    <mergeCell ref="A736:I736"/>
    <mergeCell ref="B738:J738"/>
    <mergeCell ref="B740:J740"/>
    <mergeCell ref="B741:J741"/>
    <mergeCell ref="A743:I743"/>
    <mergeCell ref="B739:C739"/>
    <mergeCell ref="B746:C746"/>
    <mergeCell ref="A805:I805"/>
    <mergeCell ref="B742:C742"/>
    <mergeCell ref="B756:C756"/>
    <mergeCell ref="B757:C757"/>
    <mergeCell ref="B690:J690"/>
    <mergeCell ref="A50:I50"/>
    <mergeCell ref="B727:J727"/>
    <mergeCell ref="A734:I734"/>
    <mergeCell ref="B657:J657"/>
    <mergeCell ref="B658:J658"/>
    <mergeCell ref="B664:J664"/>
    <mergeCell ref="B667:J667"/>
    <mergeCell ref="B671:J671"/>
    <mergeCell ref="B672:J672"/>
    <mergeCell ref="A688:I688"/>
    <mergeCell ref="B677:J677"/>
    <mergeCell ref="B679:J679"/>
    <mergeCell ref="B683:J683"/>
    <mergeCell ref="B686:J686"/>
    <mergeCell ref="A669:I669"/>
    <mergeCell ref="B432:J432"/>
    <mergeCell ref="B433:C433"/>
    <mergeCell ref="B413:J413"/>
    <mergeCell ref="A430:I430"/>
    <mergeCell ref="B353:J353"/>
    <mergeCell ref="B341:J341"/>
    <mergeCell ref="B342:J342"/>
    <mergeCell ref="B611:C611"/>
    <mergeCell ref="A359:I359"/>
    <mergeCell ref="B96:J96"/>
    <mergeCell ref="A100:I100"/>
    <mergeCell ref="B102:J102"/>
    <mergeCell ref="B103:J103"/>
    <mergeCell ref="B52:J52"/>
    <mergeCell ref="B184:J184"/>
    <mergeCell ref="B118:C118"/>
    <mergeCell ref="B155:J155"/>
    <mergeCell ref="B180:J180"/>
    <mergeCell ref="B165:J165"/>
    <mergeCell ref="B174:J174"/>
    <mergeCell ref="A115:I115"/>
    <mergeCell ref="B120:J120"/>
    <mergeCell ref="A113:I113"/>
    <mergeCell ref="B132:J132"/>
    <mergeCell ref="B161:J161"/>
    <mergeCell ref="B119:J119"/>
    <mergeCell ref="B55:J55"/>
    <mergeCell ref="B58:J58"/>
    <mergeCell ref="B63:J63"/>
    <mergeCell ref="B70:J70"/>
    <mergeCell ref="B111:J111"/>
    <mergeCell ref="B46:J46"/>
    <mergeCell ref="B86:J86"/>
    <mergeCell ref="D838:I838"/>
    <mergeCell ref="D836:I836"/>
    <mergeCell ref="D837:I837"/>
    <mergeCell ref="B194:J194"/>
    <mergeCell ref="B645:J645"/>
    <mergeCell ref="B614:J614"/>
    <mergeCell ref="A803:I803"/>
    <mergeCell ref="A655:I655"/>
    <mergeCell ref="A725:I725"/>
    <mergeCell ref="B253:J253"/>
    <mergeCell ref="A339:I339"/>
    <mergeCell ref="B308:J308"/>
    <mergeCell ref="B361:J361"/>
    <mergeCell ref="B362:J362"/>
    <mergeCell ref="A422:I422"/>
    <mergeCell ref="B728:J728"/>
    <mergeCell ref="B731:J731"/>
    <mergeCell ref="A248:I248"/>
    <mergeCell ref="A832:I832"/>
    <mergeCell ref="A834:I834"/>
    <mergeCell ref="B808:C808"/>
    <mergeCell ref="B636:J636"/>
    <mergeCell ref="B239:J239"/>
    <mergeCell ref="A241:I241"/>
    <mergeCell ref="B243:J243"/>
    <mergeCell ref="A246:I246"/>
    <mergeCell ref="B210:C210"/>
    <mergeCell ref="A2:J2"/>
    <mergeCell ref="A3:J3"/>
    <mergeCell ref="A4:J4"/>
    <mergeCell ref="A7:J7"/>
    <mergeCell ref="A17:J17"/>
    <mergeCell ref="C15:J15"/>
    <mergeCell ref="B32:C32"/>
    <mergeCell ref="B9:J9"/>
    <mergeCell ref="B10:J10"/>
    <mergeCell ref="B11:J11"/>
    <mergeCell ref="B12:J12"/>
    <mergeCell ref="B31:J31"/>
    <mergeCell ref="B18:J18"/>
    <mergeCell ref="B19:C19"/>
    <mergeCell ref="B20:J20"/>
    <mergeCell ref="A22:I22"/>
    <mergeCell ref="B24:J24"/>
    <mergeCell ref="A27:I27"/>
    <mergeCell ref="A29:I29"/>
    <mergeCell ref="B337:C337"/>
    <mergeCell ref="B228:C228"/>
    <mergeCell ref="B33:J33"/>
    <mergeCell ref="B34:J34"/>
    <mergeCell ref="A44:I44"/>
    <mergeCell ref="B81:J81"/>
    <mergeCell ref="A48:I48"/>
    <mergeCell ref="B335:J335"/>
    <mergeCell ref="B252:J252"/>
    <mergeCell ref="B250:J250"/>
    <mergeCell ref="B54:J54"/>
    <mergeCell ref="A83:I83"/>
    <mergeCell ref="B85:J85"/>
    <mergeCell ref="B53:C53"/>
    <mergeCell ref="B231:J231"/>
    <mergeCell ref="A237:I237"/>
    <mergeCell ref="B92:J92"/>
    <mergeCell ref="B117:J117"/>
    <mergeCell ref="B218:J218"/>
    <mergeCell ref="B202:J202"/>
    <mergeCell ref="B208:J208"/>
    <mergeCell ref="A229:I229"/>
    <mergeCell ref="B108:J108"/>
    <mergeCell ref="B105:C105"/>
  </mergeCells>
  <phoneticPr fontId="26" type="noConversion"/>
  <printOptions horizontalCentered="1"/>
  <pageMargins left="0.39370078740157483" right="0.39370078740157483" top="0.39370078740157483" bottom="0.98425196850393704" header="0" footer="0.39370078740157483"/>
  <pageSetup paperSize="9" scale="63" firstPageNumber="5" fitToHeight="0" orientation="portrait" useFirstPageNumber="1" r:id="rId1"/>
  <headerFooter alignWithMargins="0">
    <oddFooter>&amp;RPágina &amp;P de 249</oddFooter>
  </headerFooter>
  <rowBreaks count="4" manualBreakCount="4">
    <brk id="57" max="9" man="1"/>
    <brk id="230" max="9" man="1"/>
    <brk id="737" max="9" man="1"/>
    <brk id="806"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6">
    <tabColor theme="6"/>
    <pageSetUpPr fitToPage="1"/>
  </sheetPr>
  <dimension ref="A1:AB154"/>
  <sheetViews>
    <sheetView view="pageBreakPreview" zoomScaleNormal="100" zoomScaleSheetLayoutView="100" workbookViewId="0">
      <selection activeCell="B12" sqref="B12:J12"/>
    </sheetView>
  </sheetViews>
  <sheetFormatPr defaultRowHeight="12.75" x14ac:dyDescent="0.2"/>
  <cols>
    <col min="1" max="1" width="13" style="11" customWidth="1"/>
    <col min="2" max="2" width="10.5703125" style="11" customWidth="1"/>
    <col min="3" max="3" width="9.42578125" style="11" customWidth="1"/>
    <col min="4" max="4" width="41.140625" style="12" customWidth="1"/>
    <col min="5" max="5" width="10.5703125" style="1509" bestFit="1" customWidth="1"/>
    <col min="6" max="6" width="9.5703125" style="1633" customWidth="1"/>
    <col min="7" max="8" width="13.28515625" style="4" customWidth="1"/>
    <col min="9" max="9" width="15" style="4" customWidth="1"/>
    <col min="10" max="10" width="15" style="1728" customWidth="1"/>
    <col min="11" max="11" width="19.140625" style="1674" customWidth="1"/>
    <col min="12" max="12" width="19.140625" style="1631" customWidth="1"/>
    <col min="13" max="13" width="14.5703125" style="1654" customWidth="1"/>
    <col min="14" max="26" width="14.5703125" style="1681" customWidth="1"/>
    <col min="27" max="16384" width="9.140625" style="6"/>
  </cols>
  <sheetData>
    <row r="1" spans="1:14" ht="15" x14ac:dyDescent="0.2">
      <c r="A1" s="184"/>
      <c r="B1" s="184"/>
      <c r="C1" s="184"/>
      <c r="D1" s="62"/>
      <c r="E1" s="68"/>
      <c r="F1" s="63"/>
      <c r="G1" s="185"/>
      <c r="H1" s="185"/>
      <c r="I1" s="185"/>
      <c r="J1" s="1722"/>
      <c r="K1" s="1683"/>
      <c r="L1" s="1684"/>
      <c r="M1" s="1679"/>
      <c r="N1" s="1679"/>
    </row>
    <row r="2" spans="1:14" ht="15" x14ac:dyDescent="0.2">
      <c r="A2" s="2123" t="s">
        <v>34</v>
      </c>
      <c r="B2" s="2123"/>
      <c r="C2" s="2123"/>
      <c r="D2" s="2123"/>
      <c r="E2" s="2123"/>
      <c r="F2" s="2123"/>
      <c r="G2" s="2123"/>
      <c r="H2" s="2123"/>
      <c r="I2" s="2123"/>
      <c r="J2" s="2123"/>
      <c r="K2" s="1685"/>
      <c r="L2" s="38"/>
      <c r="M2" s="1804"/>
      <c r="N2" s="1680"/>
    </row>
    <row r="3" spans="1:14" ht="15" x14ac:dyDescent="0.2">
      <c r="A3" s="2123" t="s">
        <v>35</v>
      </c>
      <c r="B3" s="2123"/>
      <c r="C3" s="2123"/>
      <c r="D3" s="2123"/>
      <c r="E3" s="2123"/>
      <c r="F3" s="2123"/>
      <c r="G3" s="2123"/>
      <c r="H3" s="2123"/>
      <c r="I3" s="2123"/>
      <c r="J3" s="2123"/>
      <c r="K3" s="1685"/>
      <c r="L3" s="38"/>
      <c r="M3" s="1804"/>
      <c r="N3" s="1680"/>
    </row>
    <row r="4" spans="1:14" ht="15" x14ac:dyDescent="0.2">
      <c r="A4" s="2123" t="s">
        <v>4980</v>
      </c>
      <c r="B4" s="2123"/>
      <c r="C4" s="2123"/>
      <c r="D4" s="2123"/>
      <c r="E4" s="2123"/>
      <c r="F4" s="2123"/>
      <c r="G4" s="2123"/>
      <c r="H4" s="2123"/>
      <c r="I4" s="2123"/>
      <c r="J4" s="2123"/>
      <c r="K4" s="1685"/>
      <c r="L4" s="38"/>
      <c r="M4" s="1804"/>
      <c r="N4" s="1680"/>
    </row>
    <row r="5" spans="1:14" ht="15" x14ac:dyDescent="0.2">
      <c r="A5" s="56"/>
      <c r="B5" s="56"/>
      <c r="C5" s="56"/>
      <c r="D5" s="57" t="s">
        <v>29</v>
      </c>
      <c r="E5" s="1503"/>
      <c r="F5" s="1623"/>
      <c r="G5" s="64"/>
      <c r="H5" s="64"/>
      <c r="I5" s="64"/>
      <c r="J5" s="1721"/>
      <c r="K5" s="1685"/>
      <c r="L5" s="38"/>
      <c r="M5" s="1804"/>
      <c r="N5" s="1680"/>
    </row>
    <row r="6" spans="1:14" ht="15" x14ac:dyDescent="0.2">
      <c r="A6" s="56"/>
      <c r="B6" s="56"/>
      <c r="C6" s="56"/>
      <c r="D6" s="57"/>
      <c r="E6" s="1503"/>
      <c r="F6" s="65"/>
      <c r="G6" s="185"/>
      <c r="H6" s="185"/>
      <c r="I6" s="185"/>
      <c r="J6" s="1722"/>
      <c r="K6" s="1683"/>
      <c r="L6" s="1684"/>
      <c r="M6" s="1679"/>
      <c r="N6" s="1679"/>
    </row>
    <row r="7" spans="1:14" ht="21" x14ac:dyDescent="0.2">
      <c r="A7" s="2128" t="s">
        <v>7406</v>
      </c>
      <c r="B7" s="2128"/>
      <c r="C7" s="2128"/>
      <c r="D7" s="2128"/>
      <c r="E7" s="2128"/>
      <c r="F7" s="2128"/>
      <c r="G7" s="2128"/>
      <c r="H7" s="2128"/>
      <c r="I7" s="2128"/>
      <c r="J7" s="2128"/>
      <c r="K7" s="1685"/>
      <c r="L7" s="38"/>
      <c r="M7" s="1804"/>
      <c r="N7" s="1680"/>
    </row>
    <row r="8" spans="1:14" ht="15" x14ac:dyDescent="0.2">
      <c r="A8" s="56"/>
      <c r="B8" s="56"/>
      <c r="C8" s="56"/>
      <c r="D8" s="57"/>
      <c r="E8" s="1503"/>
      <c r="F8" s="1623"/>
      <c r="G8" s="64"/>
      <c r="H8" s="64"/>
      <c r="I8" s="64"/>
      <c r="J8" s="1721"/>
      <c r="K8" s="1685"/>
      <c r="L8" s="38"/>
      <c r="M8" s="1804"/>
      <c r="N8" s="1680"/>
    </row>
    <row r="9" spans="1:14" ht="15" x14ac:dyDescent="0.2">
      <c r="A9" s="66" t="s">
        <v>4443</v>
      </c>
      <c r="B9" s="2127" t="str">
        <f>'Orç - Canteiro e Adm'!B9:J9</f>
        <v>Construção do Edifício ULEG-FM</v>
      </c>
      <c r="C9" s="2127"/>
      <c r="D9" s="2127"/>
      <c r="E9" s="2127"/>
      <c r="F9" s="2127"/>
      <c r="G9" s="2127"/>
      <c r="H9" s="2127"/>
      <c r="I9" s="2127"/>
      <c r="J9" s="2127"/>
      <c r="K9" s="1685"/>
      <c r="L9" s="1685"/>
      <c r="M9" s="1679"/>
      <c r="N9" s="1679"/>
    </row>
    <row r="10" spans="1:14" ht="15" x14ac:dyDescent="0.2">
      <c r="A10" s="66" t="s">
        <v>128</v>
      </c>
      <c r="B10" s="2127" t="str">
        <f>'Orç - Canteiro e Adm'!B10:J10</f>
        <v>Campus Darcy Ribeiro</v>
      </c>
      <c r="C10" s="2127"/>
      <c r="D10" s="2127"/>
      <c r="E10" s="2127"/>
      <c r="F10" s="2127"/>
      <c r="G10" s="2127"/>
      <c r="H10" s="2127"/>
      <c r="I10" s="2127"/>
      <c r="J10" s="2127"/>
      <c r="K10" s="1685"/>
      <c r="L10" s="1685"/>
      <c r="M10" s="1679"/>
      <c r="N10" s="1679"/>
    </row>
    <row r="11" spans="1:14" ht="15" x14ac:dyDescent="0.2">
      <c r="A11" s="66" t="s">
        <v>4444</v>
      </c>
      <c r="B11" s="2127" t="str">
        <f>'Orç - Canteiro e Adm'!B11:J11</f>
        <v>Maio de 2020</v>
      </c>
      <c r="C11" s="2127"/>
      <c r="D11" s="2127"/>
      <c r="E11" s="2127"/>
      <c r="F11" s="2127"/>
      <c r="G11" s="2127"/>
      <c r="H11" s="2127"/>
      <c r="I11" s="2127"/>
      <c r="J11" s="2127"/>
      <c r="K11" s="1685"/>
      <c r="L11" s="1685"/>
      <c r="M11" s="1679"/>
      <c r="N11" s="1679"/>
    </row>
    <row r="12" spans="1:14" ht="30" x14ac:dyDescent="0.2">
      <c r="A12" s="66" t="s">
        <v>4445</v>
      </c>
      <c r="B12" s="2127" t="str">
        <f>'Orç - Canteiro e Adm'!B12:J12</f>
        <v>SINAPI 03/2020; SBC 03/2020; SCO-RJ 01/2020; ORSE 01/2019;  SETOP-MG 01/2020; CPOS 11/2019; IOPES 11/2019;  AGETOP 04/2019; TCPO 01/2019</v>
      </c>
      <c r="C12" s="2127"/>
      <c r="D12" s="2127"/>
      <c r="E12" s="2127"/>
      <c r="F12" s="2127"/>
      <c r="G12" s="2127"/>
      <c r="H12" s="2127"/>
      <c r="I12" s="2127"/>
      <c r="J12" s="2127"/>
      <c r="K12" s="1683"/>
      <c r="L12" s="1684"/>
      <c r="M12" s="1679"/>
      <c r="N12" s="1679"/>
    </row>
    <row r="13" spans="1:14" ht="15" x14ac:dyDescent="0.2">
      <c r="A13" s="190" t="s">
        <v>129</v>
      </c>
      <c r="B13" s="43">
        <v>0.26929999999999998</v>
      </c>
      <c r="C13" s="188" t="s">
        <v>4871</v>
      </c>
      <c r="D13" s="1480"/>
      <c r="E13" s="1504"/>
      <c r="F13" s="1480"/>
      <c r="G13" s="1480"/>
      <c r="H13" s="1480"/>
      <c r="I13" s="1480"/>
      <c r="J13" s="1646"/>
      <c r="K13" s="1683"/>
      <c r="L13" s="1684"/>
      <c r="M13" s="1679"/>
      <c r="N13" s="1679"/>
    </row>
    <row r="14" spans="1:14" ht="15" x14ac:dyDescent="0.2">
      <c r="A14" s="190"/>
      <c r="B14" s="43">
        <v>0.20930000000000001</v>
      </c>
      <c r="C14" s="188" t="s">
        <v>4872</v>
      </c>
      <c r="D14" s="1480"/>
      <c r="E14" s="1505"/>
      <c r="F14" s="1624"/>
      <c r="G14" s="1624"/>
      <c r="H14" s="1624"/>
      <c r="I14" s="1624"/>
      <c r="J14" s="1647"/>
      <c r="K14" s="1683"/>
      <c r="L14" s="1684"/>
      <c r="M14" s="1679"/>
      <c r="N14" s="1679"/>
    </row>
    <row r="15" spans="1:14" ht="15" x14ac:dyDescent="0.2">
      <c r="A15" s="190"/>
      <c r="B15" s="190"/>
      <c r="C15" s="2127" t="s">
        <v>4446</v>
      </c>
      <c r="D15" s="2127"/>
      <c r="E15" s="2127"/>
      <c r="F15" s="2127"/>
      <c r="G15" s="2127"/>
      <c r="H15" s="2127"/>
      <c r="I15" s="2127"/>
      <c r="J15" s="2127"/>
      <c r="K15" s="1683"/>
      <c r="L15" s="1684"/>
      <c r="M15" s="1679"/>
      <c r="N15" s="1679"/>
    </row>
    <row r="16" spans="1:14" ht="15" x14ac:dyDescent="0.2">
      <c r="A16" s="190"/>
      <c r="B16" s="56"/>
      <c r="C16" s="56"/>
      <c r="D16" s="638"/>
      <c r="E16" s="1503"/>
      <c r="F16" s="36"/>
      <c r="G16" s="185"/>
      <c r="H16" s="185"/>
      <c r="I16" s="185"/>
      <c r="J16" s="1722"/>
      <c r="K16" s="1683"/>
      <c r="L16" s="1684"/>
      <c r="M16" s="1679"/>
      <c r="N16" s="1679"/>
    </row>
    <row r="17" spans="1:26" ht="15" x14ac:dyDescent="0.2">
      <c r="A17" s="2139" t="s">
        <v>4854</v>
      </c>
      <c r="B17" s="2139"/>
      <c r="C17" s="2139"/>
      <c r="D17" s="2139"/>
      <c r="E17" s="2139"/>
      <c r="F17" s="2139"/>
      <c r="G17" s="2139"/>
      <c r="H17" s="2139"/>
      <c r="I17" s="2139"/>
      <c r="J17" s="2139"/>
      <c r="K17" s="1685"/>
      <c r="L17" s="38"/>
      <c r="M17" s="48">
        <v>1</v>
      </c>
      <c r="N17" s="48">
        <v>2</v>
      </c>
      <c r="O17" s="48">
        <v>3</v>
      </c>
      <c r="P17" s="48">
        <v>4</v>
      </c>
      <c r="Q17" s="48">
        <v>5</v>
      </c>
      <c r="R17" s="48">
        <v>6</v>
      </c>
      <c r="S17" s="48">
        <v>7</v>
      </c>
      <c r="T17" s="48">
        <v>8</v>
      </c>
      <c r="U17" s="48">
        <v>9</v>
      </c>
      <c r="V17" s="48">
        <v>10</v>
      </c>
      <c r="W17" s="48">
        <v>11</v>
      </c>
      <c r="X17" s="48">
        <v>12</v>
      </c>
      <c r="Y17" s="48">
        <v>13</v>
      </c>
      <c r="Z17" s="48">
        <v>14</v>
      </c>
    </row>
    <row r="18" spans="1:26" s="2003" customFormat="1" ht="15" x14ac:dyDescent="0.2">
      <c r="A18" s="1988" t="s">
        <v>7336</v>
      </c>
      <c r="B18" s="2135" t="s">
        <v>7332</v>
      </c>
      <c r="C18" s="2135"/>
      <c r="D18" s="2135"/>
      <c r="E18" s="2135"/>
      <c r="F18" s="2135"/>
      <c r="G18" s="2135"/>
      <c r="H18" s="2135"/>
      <c r="I18" s="2135"/>
      <c r="J18" s="2135"/>
      <c r="K18" s="2037"/>
      <c r="L18" s="2037"/>
      <c r="M18" s="2000"/>
      <c r="N18" s="2001"/>
      <c r="O18" s="2002"/>
      <c r="P18" s="2002"/>
      <c r="Q18" s="2002"/>
      <c r="R18" s="2002"/>
      <c r="S18" s="2002"/>
      <c r="T18" s="2002"/>
      <c r="U18" s="2002"/>
      <c r="V18" s="2002"/>
      <c r="W18" s="2002"/>
      <c r="X18" s="2002"/>
      <c r="Y18" s="2002"/>
      <c r="Z18" s="2002"/>
    </row>
    <row r="19" spans="1:26" s="2006" customFormat="1" ht="15" x14ac:dyDescent="0.2">
      <c r="A19" s="2004" t="s">
        <v>0</v>
      </c>
      <c r="B19" s="2131" t="s">
        <v>4442</v>
      </c>
      <c r="C19" s="2131"/>
      <c r="D19" s="2004" t="s">
        <v>1</v>
      </c>
      <c r="E19" s="2004" t="s">
        <v>131</v>
      </c>
      <c r="F19" s="1987" t="s">
        <v>11</v>
      </c>
      <c r="G19" s="1989" t="s">
        <v>12</v>
      </c>
      <c r="H19" s="1989" t="s">
        <v>5679</v>
      </c>
      <c r="I19" s="1989" t="s">
        <v>5680</v>
      </c>
      <c r="J19" s="1990" t="s">
        <v>130</v>
      </c>
      <c r="K19" s="1990" t="s">
        <v>7747</v>
      </c>
      <c r="L19" s="1990" t="s">
        <v>7748</v>
      </c>
      <c r="M19" s="2000"/>
      <c r="N19" s="2001"/>
      <c r="O19" s="2005"/>
      <c r="P19" s="2005"/>
      <c r="Q19" s="2005"/>
      <c r="R19" s="2005"/>
      <c r="S19" s="2005"/>
      <c r="T19" s="2005"/>
      <c r="U19" s="2005"/>
      <c r="V19" s="2005"/>
      <c r="W19" s="2005"/>
      <c r="X19" s="2005"/>
      <c r="Y19" s="2005"/>
      <c r="Z19" s="2005"/>
    </row>
    <row r="20" spans="1:26" s="2006" customFormat="1" ht="15" x14ac:dyDescent="0.2">
      <c r="A20" s="1513" t="s">
        <v>7337</v>
      </c>
      <c r="B20" s="2130" t="s">
        <v>7338</v>
      </c>
      <c r="C20" s="2130"/>
      <c r="D20" s="2130"/>
      <c r="E20" s="2130"/>
      <c r="F20" s="2130"/>
      <c r="G20" s="2130"/>
      <c r="H20" s="2130"/>
      <c r="I20" s="2130"/>
      <c r="J20" s="2130"/>
      <c r="K20" s="2038"/>
      <c r="L20" s="2039"/>
      <c r="M20" s="2005"/>
      <c r="N20" s="2002"/>
      <c r="O20" s="2005"/>
      <c r="P20" s="2005"/>
      <c r="Q20" s="2005"/>
      <c r="R20" s="2005"/>
      <c r="S20" s="2005"/>
      <c r="T20" s="2005"/>
      <c r="U20" s="2005"/>
      <c r="V20" s="2005"/>
      <c r="W20" s="2005"/>
      <c r="X20" s="2005"/>
      <c r="Y20" s="2005"/>
      <c r="Z20" s="2005"/>
    </row>
    <row r="21" spans="1:26" s="2009" customFormat="1" ht="30" x14ac:dyDescent="0.2">
      <c r="A21" s="1635" t="s">
        <v>7341</v>
      </c>
      <c r="B21" s="1984" t="s">
        <v>5281</v>
      </c>
      <c r="C21" s="1984" t="s">
        <v>8269</v>
      </c>
      <c r="D21" s="1813" t="s">
        <v>7339</v>
      </c>
      <c r="E21" s="1638">
        <f>QuantReservatório!J23</f>
        <v>9</v>
      </c>
      <c r="F21" s="1639" t="s">
        <v>5284</v>
      </c>
      <c r="G21" s="1648">
        <v>76.739999999999995</v>
      </c>
      <c r="H21" s="1636">
        <f>ROUND(G21*$B$13,2)</f>
        <v>20.67</v>
      </c>
      <c r="I21" s="1636">
        <f>H21+G21</f>
        <v>97.41</v>
      </c>
      <c r="J21" s="1723">
        <f>ROUND(I21*E21,2)</f>
        <v>876.69</v>
      </c>
      <c r="K21" s="2007">
        <f>ROUND(G21*E21,2)</f>
        <v>690.66</v>
      </c>
      <c r="L21" s="2007">
        <f>ROUND(H21*E21,2)</f>
        <v>186.03</v>
      </c>
      <c r="M21" s="2008"/>
      <c r="N21" s="2008">
        <f>0.31*J21</f>
        <v>271.77390000000003</v>
      </c>
      <c r="O21" s="2017">
        <f>0.17*J21</f>
        <v>149.03730000000002</v>
      </c>
      <c r="P21" s="2016"/>
      <c r="Q21" s="2016">
        <f>0.26*J21</f>
        <v>227.93940000000003</v>
      </c>
      <c r="R21" s="2016">
        <f>0.26*J21</f>
        <v>227.93940000000003</v>
      </c>
      <c r="S21" s="2016"/>
      <c r="T21" s="2016"/>
      <c r="U21" s="2016"/>
      <c r="V21" s="2016"/>
      <c r="W21" s="2016"/>
      <c r="X21" s="2016"/>
      <c r="Y21" s="2016"/>
      <c r="Z21" s="2016"/>
    </row>
    <row r="22" spans="1:26" s="2009" customFormat="1" ht="60" x14ac:dyDescent="0.2">
      <c r="A22" s="1635" t="s">
        <v>7687</v>
      </c>
      <c r="B22" s="1984" t="s">
        <v>5281</v>
      </c>
      <c r="C22" s="1984">
        <v>11108</v>
      </c>
      <c r="D22" s="1813" t="s">
        <v>7838</v>
      </c>
      <c r="E22" s="1638">
        <f>4*E21</f>
        <v>36</v>
      </c>
      <c r="F22" s="1639" t="s">
        <v>5284</v>
      </c>
      <c r="G22" s="1648">
        <v>14</v>
      </c>
      <c r="H22" s="1636">
        <f>ROUND(G22*$B$13,2)</f>
        <v>3.77</v>
      </c>
      <c r="I22" s="1636">
        <f>H22+G22</f>
        <v>17.77</v>
      </c>
      <c r="J22" s="1723">
        <f>ROUND(I22*E22,2)</f>
        <v>639.72</v>
      </c>
      <c r="K22" s="2007">
        <f>ROUND(G22*E22,2)</f>
        <v>504</v>
      </c>
      <c r="L22" s="2007">
        <f>ROUND(H22*E22,2)</f>
        <v>135.72</v>
      </c>
      <c r="M22" s="2008"/>
      <c r="N22" s="2008">
        <f>0.31*J22</f>
        <v>198.31319999999999</v>
      </c>
      <c r="O22" s="2017">
        <f>0.17*J22</f>
        <v>108.75240000000001</v>
      </c>
      <c r="P22" s="2016"/>
      <c r="Q22" s="2016">
        <f>0.26*J22</f>
        <v>166.3272</v>
      </c>
      <c r="R22" s="2016">
        <f>0.26*J22</f>
        <v>166.3272</v>
      </c>
      <c r="S22" s="2016"/>
      <c r="T22" s="2016"/>
      <c r="U22" s="2016"/>
      <c r="V22" s="2016"/>
      <c r="W22" s="2016"/>
      <c r="X22" s="2016"/>
      <c r="Y22" s="2016"/>
      <c r="Z22" s="2016"/>
    </row>
    <row r="23" spans="1:26" s="2006" customFormat="1" ht="15" x14ac:dyDescent="0.2">
      <c r="A23" s="2133" t="s">
        <v>7349</v>
      </c>
      <c r="B23" s="2133"/>
      <c r="C23" s="2133"/>
      <c r="D23" s="2133"/>
      <c r="E23" s="2133"/>
      <c r="F23" s="2133"/>
      <c r="G23" s="2133"/>
      <c r="H23" s="2133"/>
      <c r="I23" s="2133"/>
      <c r="J23" s="1724">
        <f>SUM(J20:J22)</f>
        <v>1516.41</v>
      </c>
      <c r="K23" s="2038"/>
      <c r="L23" s="2039"/>
      <c r="M23" s="1724">
        <f>SUM(M20:M22)</f>
        <v>0</v>
      </c>
      <c r="N23" s="1724">
        <f>SUM(N20:N22)</f>
        <v>470.08710000000002</v>
      </c>
      <c r="O23" s="1724">
        <f t="shared" ref="O23:Z23" si="0">SUM(O20:O22)</f>
        <v>257.78970000000004</v>
      </c>
      <c r="P23" s="1724">
        <f t="shared" si="0"/>
        <v>0</v>
      </c>
      <c r="Q23" s="1724">
        <f t="shared" si="0"/>
        <v>394.26660000000004</v>
      </c>
      <c r="R23" s="1724">
        <f t="shared" si="0"/>
        <v>394.26660000000004</v>
      </c>
      <c r="S23" s="1724">
        <f t="shared" si="0"/>
        <v>0</v>
      </c>
      <c r="T23" s="1724">
        <f t="shared" si="0"/>
        <v>0</v>
      </c>
      <c r="U23" s="1724">
        <f t="shared" si="0"/>
        <v>0</v>
      </c>
      <c r="V23" s="1724">
        <f t="shared" si="0"/>
        <v>0</v>
      </c>
      <c r="W23" s="1724">
        <f t="shared" si="0"/>
        <v>0</v>
      </c>
      <c r="X23" s="1724">
        <f t="shared" si="0"/>
        <v>0</v>
      </c>
      <c r="Y23" s="1724">
        <f t="shared" si="0"/>
        <v>0</v>
      </c>
      <c r="Z23" s="1724">
        <f t="shared" si="0"/>
        <v>0</v>
      </c>
    </row>
    <row r="24" spans="1:26" s="2006" customFormat="1" ht="15" x14ac:dyDescent="0.2">
      <c r="A24" s="52"/>
      <c r="B24" s="52"/>
      <c r="C24" s="52"/>
      <c r="D24" s="52"/>
      <c r="E24" s="1506"/>
      <c r="F24" s="52"/>
      <c r="G24" s="52"/>
      <c r="H24" s="51"/>
      <c r="I24" s="51"/>
      <c r="J24" s="1725"/>
      <c r="K24" s="2038"/>
      <c r="L24" s="2039"/>
      <c r="M24" s="2013">
        <f>M23/$J23</f>
        <v>0</v>
      </c>
      <c r="N24" s="2013">
        <f t="shared" ref="N24:Z24" si="1">N23/$J23</f>
        <v>0.31</v>
      </c>
      <c r="O24" s="2013">
        <f t="shared" si="1"/>
        <v>0.17</v>
      </c>
      <c r="P24" s="2013">
        <f t="shared" si="1"/>
        <v>0</v>
      </c>
      <c r="Q24" s="2013">
        <f t="shared" si="1"/>
        <v>0.26</v>
      </c>
      <c r="R24" s="2013">
        <f t="shared" si="1"/>
        <v>0.26</v>
      </c>
      <c r="S24" s="2013">
        <f t="shared" si="1"/>
        <v>0</v>
      </c>
      <c r="T24" s="2013">
        <f t="shared" si="1"/>
        <v>0</v>
      </c>
      <c r="U24" s="2013">
        <f t="shared" si="1"/>
        <v>0</v>
      </c>
      <c r="V24" s="2013">
        <f t="shared" si="1"/>
        <v>0</v>
      </c>
      <c r="W24" s="2013">
        <f t="shared" si="1"/>
        <v>0</v>
      </c>
      <c r="X24" s="2013">
        <f t="shared" si="1"/>
        <v>0</v>
      </c>
      <c r="Y24" s="2013">
        <f t="shared" si="1"/>
        <v>0</v>
      </c>
      <c r="Z24" s="2013">
        <f t="shared" si="1"/>
        <v>0</v>
      </c>
    </row>
    <row r="25" spans="1:26" s="2003" customFormat="1" ht="15" x14ac:dyDescent="0.2">
      <c r="A25" s="2132" t="s">
        <v>7348</v>
      </c>
      <c r="B25" s="2132"/>
      <c r="C25" s="2132"/>
      <c r="D25" s="2132"/>
      <c r="E25" s="2132"/>
      <c r="F25" s="2132"/>
      <c r="G25" s="2132"/>
      <c r="H25" s="2132"/>
      <c r="I25" s="2132"/>
      <c r="J25" s="1726">
        <f>J23</f>
        <v>1516.41</v>
      </c>
      <c r="K25" s="2038"/>
      <c r="L25" s="2039"/>
      <c r="M25" s="2005"/>
      <c r="N25" s="2002"/>
      <c r="O25" s="2002"/>
      <c r="P25" s="2002"/>
      <c r="Q25" s="2002"/>
      <c r="R25" s="2002"/>
      <c r="S25" s="2002"/>
      <c r="T25" s="2002"/>
      <c r="U25" s="2002"/>
      <c r="V25" s="2002"/>
      <c r="W25" s="2002"/>
      <c r="X25" s="2002"/>
      <c r="Y25" s="2002"/>
      <c r="Z25" s="2002"/>
    </row>
    <row r="26" spans="1:26" s="2006" customFormat="1" ht="15" x14ac:dyDescent="0.2">
      <c r="A26" s="1635"/>
      <c r="B26" s="1984"/>
      <c r="C26" s="1984"/>
      <c r="D26" s="1813"/>
      <c r="E26" s="1638"/>
      <c r="F26" s="1639"/>
      <c r="G26" s="19"/>
      <c r="H26" s="19"/>
      <c r="I26" s="19"/>
      <c r="J26" s="1727"/>
      <c r="K26" s="2038"/>
      <c r="L26" s="2039"/>
      <c r="M26" s="2005"/>
      <c r="N26" s="2002"/>
      <c r="O26" s="2005"/>
      <c r="P26" s="2005"/>
      <c r="Q26" s="2005"/>
      <c r="R26" s="2005"/>
      <c r="S26" s="2005"/>
      <c r="T26" s="2005"/>
      <c r="U26" s="2005"/>
      <c r="V26" s="2005"/>
      <c r="W26" s="2005"/>
      <c r="X26" s="2005"/>
      <c r="Y26" s="2005"/>
      <c r="Z26" s="2005"/>
    </row>
    <row r="27" spans="1:26" s="2003" customFormat="1" ht="15" x14ac:dyDescent="0.2">
      <c r="A27" s="1988" t="s">
        <v>2</v>
      </c>
      <c r="B27" s="2135" t="s">
        <v>8</v>
      </c>
      <c r="C27" s="2135"/>
      <c r="D27" s="2135"/>
      <c r="E27" s="2135"/>
      <c r="F27" s="2135"/>
      <c r="G27" s="2135"/>
      <c r="H27" s="2135"/>
      <c r="I27" s="2135"/>
      <c r="J27" s="2135"/>
      <c r="K27" s="2037"/>
      <c r="L27" s="2037"/>
      <c r="M27" s="2000"/>
      <c r="N27" s="2001"/>
      <c r="O27" s="2002"/>
      <c r="P27" s="2002"/>
      <c r="Q27" s="2002"/>
      <c r="R27" s="2002"/>
      <c r="S27" s="2002"/>
      <c r="T27" s="2002"/>
      <c r="U27" s="2002"/>
      <c r="V27" s="2002"/>
      <c r="W27" s="2002"/>
      <c r="X27" s="2002"/>
      <c r="Y27" s="2002"/>
      <c r="Z27" s="2002"/>
    </row>
    <row r="28" spans="1:26" s="2006" customFormat="1" ht="15" x14ac:dyDescent="0.2">
      <c r="A28" s="2004" t="s">
        <v>0</v>
      </c>
      <c r="B28" s="2131" t="s">
        <v>4442</v>
      </c>
      <c r="C28" s="2131"/>
      <c r="D28" s="2004" t="s">
        <v>1</v>
      </c>
      <c r="E28" s="2004" t="s">
        <v>131</v>
      </c>
      <c r="F28" s="1987" t="s">
        <v>11</v>
      </c>
      <c r="G28" s="1989" t="s">
        <v>12</v>
      </c>
      <c r="H28" s="1989" t="s">
        <v>5679</v>
      </c>
      <c r="I28" s="1989" t="s">
        <v>5680</v>
      </c>
      <c r="J28" s="1990" t="s">
        <v>130</v>
      </c>
      <c r="K28" s="2037"/>
      <c r="L28" s="2037"/>
      <c r="M28" s="2000"/>
      <c r="N28" s="2001"/>
      <c r="O28" s="2005"/>
      <c r="P28" s="2005"/>
      <c r="Q28" s="2005"/>
      <c r="R28" s="2005"/>
      <c r="S28" s="2005"/>
      <c r="T28" s="2005"/>
      <c r="U28" s="2005"/>
      <c r="V28" s="2005"/>
      <c r="W28" s="2005"/>
      <c r="X28" s="2005"/>
      <c r="Y28" s="2005"/>
      <c r="Z28" s="2005"/>
    </row>
    <row r="29" spans="1:26" s="2006" customFormat="1" ht="15" x14ac:dyDescent="0.2">
      <c r="A29" s="1513" t="s">
        <v>5677</v>
      </c>
      <c r="B29" s="2130" t="s">
        <v>5678</v>
      </c>
      <c r="C29" s="2130"/>
      <c r="D29" s="2130"/>
      <c r="E29" s="2130"/>
      <c r="F29" s="2130"/>
      <c r="G29" s="2130"/>
      <c r="H29" s="2130"/>
      <c r="I29" s="2130"/>
      <c r="J29" s="2130"/>
      <c r="K29" s="2038"/>
      <c r="L29" s="2039"/>
      <c r="M29" s="2005"/>
      <c r="N29" s="2002"/>
      <c r="O29" s="2005"/>
      <c r="P29" s="2005"/>
      <c r="Q29" s="2005"/>
      <c r="R29" s="2005"/>
      <c r="S29" s="2005"/>
      <c r="T29" s="2005"/>
      <c r="U29" s="2005"/>
      <c r="V29" s="2005"/>
      <c r="W29" s="2005"/>
      <c r="X29" s="2005"/>
      <c r="Y29" s="2005"/>
      <c r="Z29" s="2005"/>
    </row>
    <row r="30" spans="1:26" s="2009" customFormat="1" ht="45" x14ac:dyDescent="0.2">
      <c r="A30" s="1635" t="s">
        <v>4983</v>
      </c>
      <c r="B30" s="1984" t="s">
        <v>4448</v>
      </c>
      <c r="C30" s="1984">
        <v>99059</v>
      </c>
      <c r="D30" s="1813" t="s">
        <v>7592</v>
      </c>
      <c r="E30" s="1638">
        <v>40.51</v>
      </c>
      <c r="F30" s="1639" t="s">
        <v>5286</v>
      </c>
      <c r="G30" s="1636">
        <v>38.11</v>
      </c>
      <c r="H30" s="1636">
        <f>ROUND(G30*$B$13,2)</f>
        <v>10.26</v>
      </c>
      <c r="I30" s="1636">
        <f>H30+G30</f>
        <v>48.37</v>
      </c>
      <c r="J30" s="1723">
        <f>ROUND(I30*E30,2)</f>
        <v>1959.47</v>
      </c>
      <c r="K30" s="2040">
        <f>ROUND(G30*E30,2)</f>
        <v>1543.84</v>
      </c>
      <c r="L30" s="2041">
        <f>ROUND(H30*E30,2)</f>
        <v>415.63</v>
      </c>
      <c r="M30" s="2008"/>
      <c r="N30" s="2017">
        <f>J30</f>
        <v>1959.47</v>
      </c>
      <c r="O30" s="2016"/>
      <c r="P30" s="2016"/>
      <c r="Q30" s="2016"/>
      <c r="R30" s="2016"/>
      <c r="S30" s="2016"/>
      <c r="T30" s="2016"/>
      <c r="U30" s="2016"/>
      <c r="V30" s="2016"/>
      <c r="W30" s="2016"/>
      <c r="X30" s="2016"/>
      <c r="Y30" s="2016"/>
      <c r="Z30" s="2016"/>
    </row>
    <row r="31" spans="1:26" s="2006" customFormat="1" ht="15" x14ac:dyDescent="0.2">
      <c r="A31" s="2133" t="s">
        <v>5682</v>
      </c>
      <c r="B31" s="2133"/>
      <c r="C31" s="2133"/>
      <c r="D31" s="2133"/>
      <c r="E31" s="2133"/>
      <c r="F31" s="2133"/>
      <c r="G31" s="2133"/>
      <c r="H31" s="2133"/>
      <c r="I31" s="2133"/>
      <c r="J31" s="1724">
        <f>SUM(J29:J30)</f>
        <v>1959.47</v>
      </c>
      <c r="K31" s="2038"/>
      <c r="L31" s="2039"/>
      <c r="M31" s="1724">
        <f>SUM(M29:M30)</f>
        <v>0</v>
      </c>
      <c r="N31" s="1724">
        <f>SUM(N29:N30)</f>
        <v>1959.47</v>
      </c>
      <c r="O31" s="1724">
        <f>SUM(O29:O30)</f>
        <v>0</v>
      </c>
      <c r="P31" s="1724">
        <f t="shared" ref="P31:Z31" si="2">SUM(P29:P30)</f>
        <v>0</v>
      </c>
      <c r="Q31" s="1724">
        <f t="shared" si="2"/>
        <v>0</v>
      </c>
      <c r="R31" s="1724">
        <f t="shared" si="2"/>
        <v>0</v>
      </c>
      <c r="S31" s="1724">
        <f t="shared" si="2"/>
        <v>0</v>
      </c>
      <c r="T31" s="1724">
        <f t="shared" si="2"/>
        <v>0</v>
      </c>
      <c r="U31" s="1724">
        <f t="shared" si="2"/>
        <v>0</v>
      </c>
      <c r="V31" s="1724">
        <f t="shared" si="2"/>
        <v>0</v>
      </c>
      <c r="W31" s="1724">
        <f t="shared" si="2"/>
        <v>0</v>
      </c>
      <c r="X31" s="1724">
        <f t="shared" si="2"/>
        <v>0</v>
      </c>
      <c r="Y31" s="1724">
        <f t="shared" si="2"/>
        <v>0</v>
      </c>
      <c r="Z31" s="1724">
        <f t="shared" si="2"/>
        <v>0</v>
      </c>
    </row>
    <row r="32" spans="1:26" s="2006" customFormat="1" ht="15" x14ac:dyDescent="0.2">
      <c r="A32" s="52"/>
      <c r="B32" s="52"/>
      <c r="C32" s="52"/>
      <c r="D32" s="52"/>
      <c r="E32" s="1506"/>
      <c r="F32" s="52"/>
      <c r="G32" s="52"/>
      <c r="H32" s="51"/>
      <c r="I32" s="51"/>
      <c r="J32" s="1725"/>
      <c r="K32" s="2038"/>
      <c r="L32" s="2039"/>
      <c r="M32" s="2005"/>
      <c r="N32" s="2002"/>
      <c r="O32" s="2005"/>
      <c r="P32" s="2005"/>
      <c r="Q32" s="2005"/>
      <c r="R32" s="2005"/>
      <c r="S32" s="2005"/>
      <c r="T32" s="2005"/>
      <c r="U32" s="2005"/>
      <c r="V32" s="2005"/>
      <c r="W32" s="2005"/>
      <c r="X32" s="2005"/>
      <c r="Y32" s="2005"/>
      <c r="Z32" s="2005"/>
    </row>
    <row r="33" spans="1:26" s="2006" customFormat="1" ht="15" x14ac:dyDescent="0.2">
      <c r="A33" s="1513" t="s">
        <v>4978</v>
      </c>
      <c r="B33" s="2130" t="s">
        <v>4979</v>
      </c>
      <c r="C33" s="2130"/>
      <c r="D33" s="2130"/>
      <c r="E33" s="2130"/>
      <c r="F33" s="2130"/>
      <c r="G33" s="2130"/>
      <c r="H33" s="2130"/>
      <c r="I33" s="2130"/>
      <c r="J33" s="2130"/>
      <c r="K33" s="2038"/>
      <c r="L33" s="2039"/>
      <c r="M33" s="2005"/>
      <c r="N33" s="2002"/>
      <c r="O33" s="2005"/>
      <c r="P33" s="2005"/>
      <c r="Q33" s="2005"/>
      <c r="R33" s="2005"/>
      <c r="S33" s="2005"/>
      <c r="T33" s="2005"/>
      <c r="U33" s="2005"/>
      <c r="V33" s="2005"/>
      <c r="W33" s="2005"/>
      <c r="X33" s="2005"/>
      <c r="Y33" s="2005"/>
      <c r="Z33" s="2005"/>
    </row>
    <row r="34" spans="1:26" s="2009" customFormat="1" ht="15" x14ac:dyDescent="0.2">
      <c r="A34" s="1635" t="s">
        <v>7448</v>
      </c>
      <c r="B34" s="1984" t="s">
        <v>4448</v>
      </c>
      <c r="C34" s="1984">
        <v>90102</v>
      </c>
      <c r="D34" s="1813" t="s">
        <v>7449</v>
      </c>
      <c r="E34" s="1638">
        <f>QuantReservatório!K30</f>
        <v>204.8</v>
      </c>
      <c r="F34" s="1639" t="s">
        <v>5685</v>
      </c>
      <c r="G34" s="1636">
        <v>7.29</v>
      </c>
      <c r="H34" s="1636">
        <f>ROUND(G34*$B$13,2)</f>
        <v>1.96</v>
      </c>
      <c r="I34" s="1636">
        <f>H34+G34</f>
        <v>9.25</v>
      </c>
      <c r="J34" s="1723">
        <f>ROUND(I34*E34,2)</f>
        <v>1894.4</v>
      </c>
      <c r="K34" s="2040">
        <f>ROUND(G34*E34,2)</f>
        <v>1492.99</v>
      </c>
      <c r="L34" s="2041">
        <f>ROUND(H34*E34,2)</f>
        <v>401.41</v>
      </c>
      <c r="M34" s="2008"/>
      <c r="N34" s="2017">
        <f>J34</f>
        <v>1894.4</v>
      </c>
      <c r="O34" s="2016"/>
      <c r="P34" s="2016"/>
      <c r="Q34" s="2016"/>
      <c r="R34" s="2016"/>
      <c r="S34" s="2016"/>
      <c r="T34" s="2016"/>
      <c r="U34" s="2016"/>
      <c r="V34" s="2016"/>
      <c r="W34" s="2016"/>
      <c r="X34" s="2016"/>
      <c r="Y34" s="2016"/>
      <c r="Z34" s="2016"/>
    </row>
    <row r="35" spans="1:26" s="2006" customFormat="1" ht="15" x14ac:dyDescent="0.2">
      <c r="A35" s="2133" t="s">
        <v>5682</v>
      </c>
      <c r="B35" s="2133"/>
      <c r="C35" s="2133"/>
      <c r="D35" s="2133"/>
      <c r="E35" s="2133"/>
      <c r="F35" s="2133"/>
      <c r="G35" s="2133"/>
      <c r="H35" s="2133"/>
      <c r="I35" s="2133"/>
      <c r="J35" s="1724">
        <f>SUM(J33:J34)</f>
        <v>1894.4</v>
      </c>
      <c r="K35" s="2038"/>
      <c r="L35" s="2039"/>
      <c r="M35" s="1724">
        <f>SUM(M33:M34)</f>
        <v>0</v>
      </c>
      <c r="N35" s="1724">
        <f t="shared" ref="N35:Z35" si="3">SUM(N33:N34)</f>
        <v>1894.4</v>
      </c>
      <c r="O35" s="1724">
        <f t="shared" si="3"/>
        <v>0</v>
      </c>
      <c r="P35" s="1724">
        <f t="shared" si="3"/>
        <v>0</v>
      </c>
      <c r="Q35" s="1724">
        <f t="shared" si="3"/>
        <v>0</v>
      </c>
      <c r="R35" s="1724">
        <f t="shared" si="3"/>
        <v>0</v>
      </c>
      <c r="S35" s="1724">
        <f t="shared" si="3"/>
        <v>0</v>
      </c>
      <c r="T35" s="1724">
        <f t="shared" si="3"/>
        <v>0</v>
      </c>
      <c r="U35" s="1724">
        <f t="shared" si="3"/>
        <v>0</v>
      </c>
      <c r="V35" s="1724">
        <f t="shared" si="3"/>
        <v>0</v>
      </c>
      <c r="W35" s="1724">
        <f t="shared" si="3"/>
        <v>0</v>
      </c>
      <c r="X35" s="1724">
        <f t="shared" si="3"/>
        <v>0</v>
      </c>
      <c r="Y35" s="1724">
        <f t="shared" si="3"/>
        <v>0</v>
      </c>
      <c r="Z35" s="1724">
        <f t="shared" si="3"/>
        <v>0</v>
      </c>
    </row>
    <row r="36" spans="1:26" s="2006" customFormat="1" ht="15" x14ac:dyDescent="0.2">
      <c r="A36" s="52"/>
      <c r="B36" s="52"/>
      <c r="C36" s="52"/>
      <c r="D36" s="52"/>
      <c r="E36" s="1506"/>
      <c r="F36" s="52"/>
      <c r="G36" s="52"/>
      <c r="H36" s="51"/>
      <c r="I36" s="51"/>
      <c r="J36" s="1725"/>
      <c r="K36" s="2038"/>
      <c r="L36" s="2039"/>
      <c r="M36" s="2005"/>
      <c r="N36" s="2002"/>
      <c r="O36" s="2005"/>
      <c r="P36" s="2005"/>
      <c r="Q36" s="2005"/>
      <c r="R36" s="2005"/>
      <c r="S36" s="2005"/>
      <c r="T36" s="2005"/>
      <c r="U36" s="2005"/>
      <c r="V36" s="2005"/>
      <c r="W36" s="2005"/>
      <c r="X36" s="2005"/>
      <c r="Y36" s="2005"/>
      <c r="Z36" s="2005"/>
    </row>
    <row r="37" spans="1:26" s="2003" customFormat="1" ht="15" x14ac:dyDescent="0.2">
      <c r="A37" s="2132" t="s">
        <v>5686</v>
      </c>
      <c r="B37" s="2132"/>
      <c r="C37" s="2132"/>
      <c r="D37" s="2132"/>
      <c r="E37" s="2132"/>
      <c r="F37" s="2132"/>
      <c r="G37" s="2132"/>
      <c r="H37" s="2132"/>
      <c r="I37" s="2132"/>
      <c r="J37" s="1726">
        <f>J31+J35</f>
        <v>3853.87</v>
      </c>
      <c r="K37" s="2038"/>
      <c r="L37" s="2039"/>
      <c r="M37" s="1726">
        <f>M31+M35</f>
        <v>0</v>
      </c>
      <c r="N37" s="1726">
        <f t="shared" ref="N37:Z37" si="4">N31+N35</f>
        <v>3853.87</v>
      </c>
      <c r="O37" s="1726">
        <f t="shared" si="4"/>
        <v>0</v>
      </c>
      <c r="P37" s="1726">
        <f t="shared" si="4"/>
        <v>0</v>
      </c>
      <c r="Q37" s="1726">
        <f t="shared" si="4"/>
        <v>0</v>
      </c>
      <c r="R37" s="1726">
        <f t="shared" si="4"/>
        <v>0</v>
      </c>
      <c r="S37" s="1726">
        <f t="shared" si="4"/>
        <v>0</v>
      </c>
      <c r="T37" s="1726">
        <f t="shared" si="4"/>
        <v>0</v>
      </c>
      <c r="U37" s="1726">
        <f t="shared" si="4"/>
        <v>0</v>
      </c>
      <c r="V37" s="1726">
        <f t="shared" si="4"/>
        <v>0</v>
      </c>
      <c r="W37" s="1726">
        <f t="shared" si="4"/>
        <v>0</v>
      </c>
      <c r="X37" s="1726">
        <f t="shared" si="4"/>
        <v>0</v>
      </c>
      <c r="Y37" s="1726">
        <f t="shared" si="4"/>
        <v>0</v>
      </c>
      <c r="Z37" s="1726">
        <f t="shared" si="4"/>
        <v>0</v>
      </c>
    </row>
    <row r="38" spans="1:26" s="2006" customFormat="1" ht="15" x14ac:dyDescent="0.2">
      <c r="A38" s="1635"/>
      <c r="B38" s="1984"/>
      <c r="C38" s="1984"/>
      <c r="D38" s="1813"/>
      <c r="E38" s="1638"/>
      <c r="F38" s="1639"/>
      <c r="G38" s="19"/>
      <c r="H38" s="19"/>
      <c r="I38" s="19"/>
      <c r="J38" s="1727"/>
      <c r="K38" s="2038"/>
      <c r="L38" s="2039"/>
      <c r="M38" s="2013">
        <f>M37/$J37</f>
        <v>0</v>
      </c>
      <c r="N38" s="2013">
        <f t="shared" ref="N38:Z38" si="5">N37/$J37</f>
        <v>1</v>
      </c>
      <c r="O38" s="2013">
        <f t="shared" si="5"/>
        <v>0</v>
      </c>
      <c r="P38" s="2013">
        <f t="shared" si="5"/>
        <v>0</v>
      </c>
      <c r="Q38" s="2013">
        <f t="shared" si="5"/>
        <v>0</v>
      </c>
      <c r="R38" s="2013">
        <f t="shared" si="5"/>
        <v>0</v>
      </c>
      <c r="S38" s="2013">
        <f t="shared" si="5"/>
        <v>0</v>
      </c>
      <c r="T38" s="2013">
        <f t="shared" si="5"/>
        <v>0</v>
      </c>
      <c r="U38" s="2013">
        <f t="shared" si="5"/>
        <v>0</v>
      </c>
      <c r="V38" s="2013">
        <f t="shared" si="5"/>
        <v>0</v>
      </c>
      <c r="W38" s="2013">
        <f t="shared" si="5"/>
        <v>0</v>
      </c>
      <c r="X38" s="2013">
        <f t="shared" si="5"/>
        <v>0</v>
      </c>
      <c r="Y38" s="2013">
        <f t="shared" si="5"/>
        <v>0</v>
      </c>
      <c r="Z38" s="2013">
        <f t="shared" si="5"/>
        <v>0</v>
      </c>
    </row>
    <row r="39" spans="1:26" s="2003" customFormat="1" ht="15" x14ac:dyDescent="0.2">
      <c r="A39" s="1988" t="s">
        <v>3</v>
      </c>
      <c r="B39" s="2135" t="s">
        <v>4851</v>
      </c>
      <c r="C39" s="2135"/>
      <c r="D39" s="2135"/>
      <c r="E39" s="2135"/>
      <c r="F39" s="2135"/>
      <c r="G39" s="2135"/>
      <c r="H39" s="2135"/>
      <c r="I39" s="2135"/>
      <c r="J39" s="2135"/>
      <c r="K39" s="2037"/>
      <c r="L39" s="2037"/>
      <c r="M39" s="2000"/>
      <c r="N39" s="2001"/>
      <c r="O39" s="2002"/>
      <c r="P39" s="2002"/>
      <c r="Q39" s="2002"/>
      <c r="R39" s="2002"/>
      <c r="S39" s="2002"/>
      <c r="T39" s="2002"/>
      <c r="U39" s="2002"/>
      <c r="V39" s="2002"/>
      <c r="W39" s="2002"/>
      <c r="X39" s="2002"/>
      <c r="Y39" s="2002"/>
      <c r="Z39" s="2002"/>
    </row>
    <row r="40" spans="1:26" s="2006" customFormat="1" ht="15" x14ac:dyDescent="0.2">
      <c r="A40" s="2004" t="s">
        <v>0</v>
      </c>
      <c r="B40" s="2131" t="s">
        <v>4442</v>
      </c>
      <c r="C40" s="2131"/>
      <c r="D40" s="2004" t="s">
        <v>1</v>
      </c>
      <c r="E40" s="2004" t="s">
        <v>131</v>
      </c>
      <c r="F40" s="1987" t="s">
        <v>11</v>
      </c>
      <c r="G40" s="1989" t="s">
        <v>12</v>
      </c>
      <c r="H40" s="1989" t="s">
        <v>5679</v>
      </c>
      <c r="I40" s="1989" t="s">
        <v>5680</v>
      </c>
      <c r="J40" s="1990" t="s">
        <v>130</v>
      </c>
      <c r="K40" s="2037"/>
      <c r="L40" s="2037"/>
      <c r="M40" s="2000"/>
      <c r="N40" s="2001"/>
      <c r="O40" s="2005"/>
      <c r="P40" s="2005"/>
      <c r="Q40" s="2005"/>
      <c r="R40" s="2005"/>
      <c r="S40" s="2005"/>
      <c r="T40" s="2005"/>
      <c r="U40" s="2005"/>
      <c r="V40" s="2005"/>
      <c r="W40" s="2005"/>
      <c r="X40" s="2005"/>
      <c r="Y40" s="2005"/>
      <c r="Z40" s="2005"/>
    </row>
    <row r="41" spans="1:26" s="2006" customFormat="1" ht="15" x14ac:dyDescent="0.2">
      <c r="A41" s="1513" t="s">
        <v>4986</v>
      </c>
      <c r="B41" s="2130" t="s">
        <v>4988</v>
      </c>
      <c r="C41" s="2130"/>
      <c r="D41" s="2130"/>
      <c r="E41" s="2130"/>
      <c r="F41" s="2130"/>
      <c r="G41" s="2130"/>
      <c r="H41" s="2130"/>
      <c r="I41" s="2130"/>
      <c r="J41" s="2130"/>
      <c r="K41" s="2038"/>
      <c r="L41" s="2039"/>
      <c r="M41" s="2005"/>
      <c r="N41" s="2002"/>
      <c r="O41" s="2005"/>
      <c r="P41" s="2005"/>
      <c r="Q41" s="2005"/>
      <c r="R41" s="2005"/>
      <c r="S41" s="2005"/>
      <c r="T41" s="2005"/>
      <c r="U41" s="2005"/>
      <c r="V41" s="2005"/>
      <c r="W41" s="2005"/>
      <c r="X41" s="2005"/>
      <c r="Y41" s="2005"/>
      <c r="Z41" s="2005"/>
    </row>
    <row r="42" spans="1:26" s="2006" customFormat="1" ht="15" x14ac:dyDescent="0.2">
      <c r="A42" s="1634" t="s">
        <v>4987</v>
      </c>
      <c r="B42" s="2136" t="s">
        <v>7237</v>
      </c>
      <c r="C42" s="2136"/>
      <c r="D42" s="2136"/>
      <c r="E42" s="2136"/>
      <c r="F42" s="2136"/>
      <c r="G42" s="2136"/>
      <c r="H42" s="2136"/>
      <c r="I42" s="2136"/>
      <c r="J42" s="2136"/>
      <c r="K42" s="2038"/>
      <c r="L42" s="2039"/>
      <c r="M42" s="2005"/>
      <c r="N42" s="2002"/>
      <c r="O42" s="2005"/>
      <c r="P42" s="2005"/>
      <c r="Q42" s="2005"/>
      <c r="R42" s="2005"/>
      <c r="S42" s="2005"/>
      <c r="T42" s="2005"/>
      <c r="U42" s="2005"/>
      <c r="V42" s="2005"/>
      <c r="W42" s="2005"/>
      <c r="X42" s="2005"/>
      <c r="Y42" s="2005"/>
      <c r="Z42" s="2005"/>
    </row>
    <row r="43" spans="1:26" s="2009" customFormat="1" ht="45" x14ac:dyDescent="0.2">
      <c r="A43" s="1635" t="s">
        <v>7330</v>
      </c>
      <c r="B43" s="1984" t="s">
        <v>4448</v>
      </c>
      <c r="C43" s="1984">
        <v>96521</v>
      </c>
      <c r="D43" s="1813" t="s">
        <v>7302</v>
      </c>
      <c r="E43" s="1638">
        <f>QuantReservatório!K39</f>
        <v>7.19</v>
      </c>
      <c r="F43" s="1639" t="s">
        <v>5685</v>
      </c>
      <c r="G43" s="1636">
        <v>27.65</v>
      </c>
      <c r="H43" s="1636">
        <f t="shared" ref="H43" si="6">ROUND(G43*$B$13,2)</f>
        <v>7.45</v>
      </c>
      <c r="I43" s="1636">
        <f t="shared" ref="I43" si="7">H43+G43</f>
        <v>35.1</v>
      </c>
      <c r="J43" s="1723">
        <f t="shared" ref="J43" si="8">ROUND(I43*E43,2)</f>
        <v>252.37</v>
      </c>
      <c r="K43" s="2040">
        <f>ROUND(G43*E43,2)</f>
        <v>198.8</v>
      </c>
      <c r="L43" s="2041">
        <f>ROUND(H43*E43,2)</f>
        <v>53.57</v>
      </c>
      <c r="M43" s="2016"/>
      <c r="N43" s="2017">
        <f>J43</f>
        <v>252.37</v>
      </c>
      <c r="O43" s="2016"/>
      <c r="P43" s="2016"/>
      <c r="Q43" s="2016"/>
      <c r="R43" s="2016"/>
      <c r="S43" s="2016"/>
      <c r="T43" s="2016"/>
      <c r="U43" s="2016"/>
      <c r="V43" s="2016"/>
      <c r="W43" s="2016"/>
      <c r="X43" s="2016"/>
      <c r="Y43" s="2016"/>
      <c r="Z43" s="2016"/>
    </row>
    <row r="44" spans="1:26" s="2006" customFormat="1" ht="15" x14ac:dyDescent="0.2">
      <c r="A44" s="1634" t="s">
        <v>7288</v>
      </c>
      <c r="B44" s="2136" t="s">
        <v>7289</v>
      </c>
      <c r="C44" s="2136"/>
      <c r="D44" s="2136"/>
      <c r="E44" s="2136"/>
      <c r="F44" s="2136"/>
      <c r="G44" s="2136"/>
      <c r="H44" s="2136"/>
      <c r="I44" s="2136"/>
      <c r="J44" s="2136"/>
      <c r="K44" s="2038">
        <f t="shared" ref="K44:K62" si="9">ROUND(G44*E44,2)</f>
        <v>0</v>
      </c>
      <c r="L44" s="2039">
        <f t="shared" ref="L44:L62" si="10">ROUND(H44*E44,2)</f>
        <v>0</v>
      </c>
      <c r="M44" s="2005"/>
      <c r="N44" s="2002"/>
      <c r="O44" s="2005"/>
      <c r="P44" s="2005"/>
      <c r="Q44" s="2005"/>
      <c r="R44" s="2005"/>
      <c r="S44" s="2005"/>
      <c r="T44" s="2005"/>
      <c r="U44" s="2005"/>
      <c r="V44" s="2005"/>
      <c r="W44" s="2005"/>
      <c r="X44" s="2005"/>
      <c r="Y44" s="2005"/>
      <c r="Z44" s="2005"/>
    </row>
    <row r="45" spans="1:26" s="2009" customFormat="1" ht="45" x14ac:dyDescent="0.2">
      <c r="A45" s="1635" t="s">
        <v>7290</v>
      </c>
      <c r="B45" s="1984" t="s">
        <v>4448</v>
      </c>
      <c r="C45" s="1984" t="s">
        <v>15160</v>
      </c>
      <c r="D45" s="1813" t="s">
        <v>15159</v>
      </c>
      <c r="E45" s="1638">
        <f>18*5</f>
        <v>90</v>
      </c>
      <c r="F45" s="1639" t="s">
        <v>5713</v>
      </c>
      <c r="G45" s="1636">
        <v>99.260000000000019</v>
      </c>
      <c r="H45" s="1636">
        <f>ROUND(G45*$B$13,2)</f>
        <v>26.73</v>
      </c>
      <c r="I45" s="1636">
        <f>H45+G45</f>
        <v>125.99000000000002</v>
      </c>
      <c r="J45" s="1723">
        <f>ROUND(I45*E45,2)</f>
        <v>11339.1</v>
      </c>
      <c r="K45" s="2040">
        <f t="shared" si="9"/>
        <v>8933.4</v>
      </c>
      <c r="L45" s="2041">
        <f t="shared" si="10"/>
        <v>2405.6999999999998</v>
      </c>
      <c r="M45" s="2016"/>
      <c r="N45" s="2017">
        <f>J45</f>
        <v>11339.1</v>
      </c>
      <c r="O45" s="2016"/>
      <c r="P45" s="2016"/>
      <c r="Q45" s="2016"/>
      <c r="R45" s="2016"/>
      <c r="S45" s="2016"/>
      <c r="T45" s="2016"/>
      <c r="U45" s="2016"/>
      <c r="V45" s="2016"/>
      <c r="W45" s="2016"/>
      <c r="X45" s="2016"/>
      <c r="Y45" s="2016"/>
      <c r="Z45" s="2016"/>
    </row>
    <row r="46" spans="1:26" s="2009" customFormat="1" ht="30" x14ac:dyDescent="0.2">
      <c r="A46" s="1635" t="s">
        <v>7292</v>
      </c>
      <c r="B46" s="1984" t="s">
        <v>4448</v>
      </c>
      <c r="C46" s="1984">
        <v>95577</v>
      </c>
      <c r="D46" s="1813" t="s">
        <v>7291</v>
      </c>
      <c r="E46" s="1638">
        <v>334.8</v>
      </c>
      <c r="F46" s="1639" t="s">
        <v>5688</v>
      </c>
      <c r="G46" s="1636">
        <v>8.11</v>
      </c>
      <c r="H46" s="1636">
        <f>ROUND(G46*$B$13,2)</f>
        <v>2.1800000000000002</v>
      </c>
      <c r="I46" s="1636">
        <f>H46+G46</f>
        <v>10.29</v>
      </c>
      <c r="J46" s="1723">
        <f>ROUND(I46*E46,2)</f>
        <v>3445.09</v>
      </c>
      <c r="K46" s="2040">
        <f t="shared" si="9"/>
        <v>2715.23</v>
      </c>
      <c r="L46" s="2041">
        <f t="shared" si="10"/>
        <v>729.86</v>
      </c>
      <c r="M46" s="2016"/>
      <c r="N46" s="2017">
        <f>J46</f>
        <v>3445.09</v>
      </c>
      <c r="O46" s="2016"/>
      <c r="P46" s="2016"/>
      <c r="Q46" s="2016"/>
      <c r="R46" s="2016"/>
      <c r="S46" s="2016"/>
      <c r="T46" s="2016"/>
      <c r="U46" s="2016"/>
      <c r="V46" s="2016"/>
      <c r="W46" s="2016"/>
      <c r="X46" s="2016"/>
      <c r="Y46" s="2016"/>
      <c r="Z46" s="2016"/>
    </row>
    <row r="47" spans="1:26" s="2009" customFormat="1" ht="30" x14ac:dyDescent="0.2">
      <c r="A47" s="1635" t="s">
        <v>7293</v>
      </c>
      <c r="B47" s="1984" t="s">
        <v>4448</v>
      </c>
      <c r="C47" s="1984">
        <v>95584</v>
      </c>
      <c r="D47" s="1813" t="s">
        <v>7407</v>
      </c>
      <c r="E47" s="1638">
        <v>160.63</v>
      </c>
      <c r="F47" s="1639" t="s">
        <v>5688</v>
      </c>
      <c r="G47" s="1636">
        <v>10.220000000000001</v>
      </c>
      <c r="H47" s="1636">
        <f>ROUND(G47*$B$13,2)</f>
        <v>2.75</v>
      </c>
      <c r="I47" s="1636">
        <f>H47+G47</f>
        <v>12.97</v>
      </c>
      <c r="J47" s="1723">
        <f>ROUND(I47*E47,2)</f>
        <v>2083.37</v>
      </c>
      <c r="K47" s="2040">
        <f t="shared" si="9"/>
        <v>1641.64</v>
      </c>
      <c r="L47" s="2041">
        <f t="shared" si="10"/>
        <v>441.73</v>
      </c>
      <c r="M47" s="2016"/>
      <c r="N47" s="2017">
        <f>J47</f>
        <v>2083.37</v>
      </c>
      <c r="O47" s="2016"/>
      <c r="P47" s="2016"/>
      <c r="Q47" s="2016"/>
      <c r="R47" s="2016"/>
      <c r="S47" s="2016"/>
      <c r="T47" s="2016"/>
      <c r="U47" s="2016"/>
      <c r="V47" s="2016"/>
      <c r="W47" s="2016"/>
      <c r="X47" s="2016"/>
      <c r="Y47" s="2016"/>
      <c r="Z47" s="2016"/>
    </row>
    <row r="48" spans="1:26" s="2009" customFormat="1" ht="30" x14ac:dyDescent="0.2">
      <c r="A48" s="1635" t="s">
        <v>7295</v>
      </c>
      <c r="B48" s="1984" t="s">
        <v>4448</v>
      </c>
      <c r="C48" s="1984">
        <v>95601</v>
      </c>
      <c r="D48" s="1813" t="s">
        <v>7294</v>
      </c>
      <c r="E48" s="1638">
        <v>18</v>
      </c>
      <c r="F48" s="1639" t="s">
        <v>5284</v>
      </c>
      <c r="G48" s="1636">
        <v>15.82</v>
      </c>
      <c r="H48" s="1636">
        <f>ROUND(G48*$B$13,2)</f>
        <v>4.26</v>
      </c>
      <c r="I48" s="1636">
        <f>H48+G48</f>
        <v>20.079999999999998</v>
      </c>
      <c r="J48" s="1723">
        <f>ROUND(I48*E48,2)</f>
        <v>361.44</v>
      </c>
      <c r="K48" s="2040">
        <f t="shared" si="9"/>
        <v>284.76</v>
      </c>
      <c r="L48" s="2041">
        <f t="shared" si="10"/>
        <v>76.680000000000007</v>
      </c>
      <c r="M48" s="2016"/>
      <c r="N48" s="2017">
        <f>J48</f>
        <v>361.44</v>
      </c>
      <c r="O48" s="2016"/>
      <c r="P48" s="2016"/>
      <c r="Q48" s="2016"/>
      <c r="R48" s="2016"/>
      <c r="S48" s="2016"/>
      <c r="T48" s="2016"/>
      <c r="U48" s="2016"/>
      <c r="V48" s="2016"/>
      <c r="W48" s="2016"/>
      <c r="X48" s="2016"/>
      <c r="Y48" s="2016"/>
      <c r="Z48" s="2016"/>
    </row>
    <row r="49" spans="1:28" s="2009" customFormat="1" ht="15" x14ac:dyDescent="0.2">
      <c r="A49" s="1634" t="s">
        <v>7296</v>
      </c>
      <c r="B49" s="2136" t="s">
        <v>7297</v>
      </c>
      <c r="C49" s="2136"/>
      <c r="D49" s="2136"/>
      <c r="E49" s="2136"/>
      <c r="F49" s="2136"/>
      <c r="G49" s="2136"/>
      <c r="H49" s="2136"/>
      <c r="I49" s="2136"/>
      <c r="J49" s="2136"/>
      <c r="K49" s="2040">
        <f t="shared" si="9"/>
        <v>0</v>
      </c>
      <c r="L49" s="2041">
        <f t="shared" si="10"/>
        <v>0</v>
      </c>
      <c r="M49" s="2016"/>
      <c r="N49" s="2017"/>
      <c r="O49" s="2016"/>
      <c r="P49" s="2016"/>
      <c r="Q49" s="2016"/>
      <c r="R49" s="2016"/>
      <c r="S49" s="2016"/>
      <c r="T49" s="2016"/>
      <c r="U49" s="2016"/>
      <c r="V49" s="2016"/>
      <c r="W49" s="2016"/>
      <c r="X49" s="2016"/>
      <c r="Y49" s="2016"/>
      <c r="Z49" s="2016"/>
    </row>
    <row r="50" spans="1:28" s="2009" customFormat="1" ht="45" x14ac:dyDescent="0.2">
      <c r="A50" s="1635" t="s">
        <v>7298</v>
      </c>
      <c r="B50" s="1984" t="s">
        <v>4448</v>
      </c>
      <c r="C50" s="1984">
        <v>96619</v>
      </c>
      <c r="D50" s="1813" t="s">
        <v>7301</v>
      </c>
      <c r="E50" s="1638">
        <f>QuantReservatório!J48</f>
        <v>11.46</v>
      </c>
      <c r="F50" s="1639" t="s">
        <v>5286</v>
      </c>
      <c r="G50" s="1636">
        <v>22.58</v>
      </c>
      <c r="H50" s="1636">
        <f t="shared" ref="H50:H54" si="11">ROUND(G50*$B$13,2)</f>
        <v>6.08</v>
      </c>
      <c r="I50" s="1636">
        <f t="shared" ref="I50:I54" si="12">H50+G50</f>
        <v>28.659999999999997</v>
      </c>
      <c r="J50" s="1723">
        <f t="shared" ref="J50:J54" si="13">ROUND(I50*E50,2)</f>
        <v>328.44</v>
      </c>
      <c r="K50" s="2040">
        <f t="shared" si="9"/>
        <v>258.77</v>
      </c>
      <c r="L50" s="2041">
        <f t="shared" si="10"/>
        <v>69.680000000000007</v>
      </c>
      <c r="M50" s="2016"/>
      <c r="N50" s="2017"/>
      <c r="O50" s="2016">
        <f>J50</f>
        <v>328.44</v>
      </c>
      <c r="P50" s="2016"/>
      <c r="Q50" s="2016"/>
      <c r="R50" s="2016"/>
      <c r="S50" s="2016"/>
      <c r="T50" s="2016"/>
      <c r="U50" s="2016"/>
      <c r="V50" s="2016"/>
      <c r="W50" s="2016"/>
      <c r="X50" s="2016"/>
      <c r="Y50" s="2016"/>
      <c r="Z50" s="2016"/>
    </row>
    <row r="51" spans="1:28" s="2009" customFormat="1" ht="60" x14ac:dyDescent="0.2">
      <c r="A51" s="1635" t="s">
        <v>7299</v>
      </c>
      <c r="B51" s="1984" t="s">
        <v>4448</v>
      </c>
      <c r="C51" s="1984">
        <v>96540</v>
      </c>
      <c r="D51" s="1813" t="s">
        <v>7303</v>
      </c>
      <c r="E51" s="1638">
        <f>31.25</f>
        <v>31.25</v>
      </c>
      <c r="F51" s="1639" t="s">
        <v>5286</v>
      </c>
      <c r="G51" s="1636">
        <v>87.67</v>
      </c>
      <c r="H51" s="1636">
        <f t="shared" si="11"/>
        <v>23.61</v>
      </c>
      <c r="I51" s="1636">
        <f t="shared" si="12"/>
        <v>111.28</v>
      </c>
      <c r="J51" s="1723">
        <f t="shared" si="13"/>
        <v>3477.5</v>
      </c>
      <c r="K51" s="2040">
        <f t="shared" si="9"/>
        <v>2739.69</v>
      </c>
      <c r="L51" s="2041">
        <f t="shared" si="10"/>
        <v>737.81</v>
      </c>
      <c r="M51" s="2016"/>
      <c r="N51" s="2017"/>
      <c r="O51" s="2016">
        <f>J51</f>
        <v>3477.5</v>
      </c>
      <c r="P51" s="2016"/>
      <c r="Q51" s="2016"/>
      <c r="R51" s="2016"/>
      <c r="S51" s="2016"/>
      <c r="T51" s="2016"/>
      <c r="U51" s="2016"/>
      <c r="V51" s="2016"/>
      <c r="W51" s="2016"/>
      <c r="X51" s="2016"/>
      <c r="Y51" s="2016"/>
      <c r="Z51" s="2016"/>
    </row>
    <row r="52" spans="1:28" s="2009" customFormat="1" ht="30" x14ac:dyDescent="0.2">
      <c r="A52" s="1635" t="s">
        <v>7304</v>
      </c>
      <c r="B52" s="1984" t="s">
        <v>4448</v>
      </c>
      <c r="C52" s="1984">
        <v>96543</v>
      </c>
      <c r="D52" s="1813" t="s">
        <v>7319</v>
      </c>
      <c r="E52" s="1638">
        <f>38.2/1.1</f>
        <v>34.727272727272727</v>
      </c>
      <c r="F52" s="1639" t="s">
        <v>5688</v>
      </c>
      <c r="G52" s="1636">
        <v>12.69</v>
      </c>
      <c r="H52" s="1636">
        <f t="shared" ref="H52" si="14">ROUND(G52*$B$13,2)</f>
        <v>3.42</v>
      </c>
      <c r="I52" s="1636">
        <f t="shared" ref="I52" si="15">H52+G52</f>
        <v>16.11</v>
      </c>
      <c r="J52" s="1723">
        <f t="shared" ref="J52" si="16">ROUND(I52*E52,2)</f>
        <v>559.46</v>
      </c>
      <c r="K52" s="2040">
        <f t="shared" si="9"/>
        <v>440.69</v>
      </c>
      <c r="L52" s="2041">
        <f t="shared" si="10"/>
        <v>118.77</v>
      </c>
      <c r="M52" s="2016"/>
      <c r="N52" s="2017"/>
      <c r="O52" s="2016">
        <f>J52</f>
        <v>559.46</v>
      </c>
      <c r="P52" s="2016"/>
      <c r="Q52" s="2016"/>
      <c r="R52" s="2016"/>
      <c r="S52" s="2016"/>
      <c r="T52" s="2016"/>
      <c r="U52" s="2016"/>
      <c r="V52" s="2016"/>
      <c r="W52" s="2016"/>
      <c r="X52" s="2016"/>
      <c r="Y52" s="2016"/>
      <c r="Z52" s="2016"/>
    </row>
    <row r="53" spans="1:28" s="2009" customFormat="1" ht="30" x14ac:dyDescent="0.2">
      <c r="A53" s="1635" t="s">
        <v>7305</v>
      </c>
      <c r="B53" s="1984" t="s">
        <v>4448</v>
      </c>
      <c r="C53" s="1984">
        <v>96545</v>
      </c>
      <c r="D53" s="1813" t="s">
        <v>7307</v>
      </c>
      <c r="E53" s="1638">
        <f>154/1.1</f>
        <v>140</v>
      </c>
      <c r="F53" s="1639" t="s">
        <v>5688</v>
      </c>
      <c r="G53" s="1636">
        <v>10.210000000000001</v>
      </c>
      <c r="H53" s="1636">
        <f t="shared" si="11"/>
        <v>2.75</v>
      </c>
      <c r="I53" s="1636">
        <f t="shared" si="12"/>
        <v>12.96</v>
      </c>
      <c r="J53" s="1723">
        <f t="shared" si="13"/>
        <v>1814.4</v>
      </c>
      <c r="K53" s="2040">
        <f t="shared" si="9"/>
        <v>1429.4</v>
      </c>
      <c r="L53" s="2041">
        <f t="shared" si="10"/>
        <v>385</v>
      </c>
      <c r="M53" s="2016"/>
      <c r="N53" s="2017"/>
      <c r="O53" s="2016">
        <f>J53</f>
        <v>1814.4</v>
      </c>
      <c r="P53" s="2016"/>
      <c r="Q53" s="2016"/>
      <c r="R53" s="2016"/>
      <c r="S53" s="2016"/>
      <c r="T53" s="2016"/>
      <c r="U53" s="2016"/>
      <c r="V53" s="2016"/>
      <c r="W53" s="2016"/>
      <c r="X53" s="2016"/>
      <c r="Y53" s="2016"/>
      <c r="Z53" s="2016"/>
    </row>
    <row r="54" spans="1:28" s="2009" customFormat="1" ht="60" x14ac:dyDescent="0.2">
      <c r="A54" s="1635" t="s">
        <v>7300</v>
      </c>
      <c r="B54" s="1984" t="s">
        <v>4448</v>
      </c>
      <c r="C54" s="1984" t="s">
        <v>7311</v>
      </c>
      <c r="D54" s="1813" t="s">
        <v>7310</v>
      </c>
      <c r="E54" s="1638">
        <v>6.91</v>
      </c>
      <c r="F54" s="1639" t="s">
        <v>5685</v>
      </c>
      <c r="G54" s="1636">
        <v>354.89</v>
      </c>
      <c r="H54" s="1636">
        <f t="shared" si="11"/>
        <v>95.57</v>
      </c>
      <c r="I54" s="1636">
        <f t="shared" si="12"/>
        <v>450.46</v>
      </c>
      <c r="J54" s="1723">
        <f t="shared" si="13"/>
        <v>3112.68</v>
      </c>
      <c r="K54" s="2040">
        <f t="shared" si="9"/>
        <v>2452.29</v>
      </c>
      <c r="L54" s="2041">
        <f t="shared" si="10"/>
        <v>660.39</v>
      </c>
      <c r="M54" s="2016"/>
      <c r="N54" s="2017"/>
      <c r="O54" s="2016">
        <f>J54</f>
        <v>3112.68</v>
      </c>
      <c r="P54" s="2016"/>
      <c r="Q54" s="2016"/>
      <c r="R54" s="2016"/>
      <c r="S54" s="2016"/>
      <c r="T54" s="2016"/>
      <c r="U54" s="2016"/>
      <c r="V54" s="2016"/>
      <c r="W54" s="2016"/>
      <c r="X54" s="2016"/>
      <c r="Y54" s="2016"/>
      <c r="Z54" s="2016"/>
    </row>
    <row r="55" spans="1:28" s="2009" customFormat="1" ht="15" x14ac:dyDescent="0.2">
      <c r="A55" s="1634" t="s">
        <v>7312</v>
      </c>
      <c r="B55" s="2136" t="s">
        <v>7411</v>
      </c>
      <c r="C55" s="2136"/>
      <c r="D55" s="2136"/>
      <c r="E55" s="2136"/>
      <c r="F55" s="2136"/>
      <c r="G55" s="2136"/>
      <c r="H55" s="2136"/>
      <c r="I55" s="2136"/>
      <c r="J55" s="2136"/>
      <c r="K55" s="2040">
        <f t="shared" si="9"/>
        <v>0</v>
      </c>
      <c r="L55" s="2041">
        <f t="shared" si="10"/>
        <v>0</v>
      </c>
      <c r="M55" s="2016"/>
      <c r="N55" s="2017"/>
      <c r="O55" s="2016"/>
      <c r="P55" s="2016"/>
      <c r="Q55" s="2016"/>
      <c r="R55" s="2016"/>
      <c r="S55" s="2016"/>
      <c r="T55" s="2016"/>
      <c r="U55" s="2016"/>
      <c r="V55" s="2016"/>
      <c r="W55" s="2016"/>
      <c r="X55" s="2016"/>
      <c r="Y55" s="2016"/>
      <c r="Z55" s="2016"/>
    </row>
    <row r="56" spans="1:28" s="2009" customFormat="1" ht="75" x14ac:dyDescent="0.2">
      <c r="A56" s="1635" t="s">
        <v>7315</v>
      </c>
      <c r="B56" s="1984" t="s">
        <v>4448</v>
      </c>
      <c r="C56" s="1984">
        <v>92418</v>
      </c>
      <c r="D56" s="1813" t="s">
        <v>7439</v>
      </c>
      <c r="E56" s="1638">
        <v>10.62</v>
      </c>
      <c r="F56" s="1639" t="s">
        <v>5286</v>
      </c>
      <c r="G56" s="1636">
        <v>60.19</v>
      </c>
      <c r="H56" s="1636">
        <f t="shared" ref="H56:H60" si="17">ROUND(G56*$B$13,2)</f>
        <v>16.21</v>
      </c>
      <c r="I56" s="1636">
        <f t="shared" ref="I56:I60" si="18">H56+G56</f>
        <v>76.400000000000006</v>
      </c>
      <c r="J56" s="1723">
        <f t="shared" ref="J56:J60" si="19">ROUND(I56*E56,2)</f>
        <v>811.37</v>
      </c>
      <c r="K56" s="2040">
        <f t="shared" si="9"/>
        <v>639.22</v>
      </c>
      <c r="L56" s="2041">
        <f t="shared" si="10"/>
        <v>172.15</v>
      </c>
      <c r="M56" s="2016"/>
      <c r="N56" s="2017"/>
      <c r="O56" s="2016">
        <f>J56</f>
        <v>811.37</v>
      </c>
      <c r="P56" s="2016"/>
      <c r="Q56" s="2016"/>
      <c r="R56" s="2016"/>
      <c r="S56" s="2016"/>
      <c r="T56" s="2016"/>
      <c r="U56" s="2016"/>
      <c r="V56" s="2016"/>
      <c r="W56" s="2016"/>
      <c r="X56" s="2016"/>
      <c r="Y56" s="2016"/>
      <c r="Z56" s="2016"/>
    </row>
    <row r="57" spans="1:28" s="2009" customFormat="1" ht="60" x14ac:dyDescent="0.2">
      <c r="A57" s="1635" t="s">
        <v>7320</v>
      </c>
      <c r="B57" s="1984" t="s">
        <v>4448</v>
      </c>
      <c r="C57" s="1984">
        <v>92775</v>
      </c>
      <c r="D57" s="1813" t="s">
        <v>7415</v>
      </c>
      <c r="E57" s="1638">
        <f>16.3/1.1</f>
        <v>14.818181818181818</v>
      </c>
      <c r="F57" s="1639" t="s">
        <v>5688</v>
      </c>
      <c r="G57" s="1636">
        <v>12.77</v>
      </c>
      <c r="H57" s="1636">
        <f t="shared" si="17"/>
        <v>3.44</v>
      </c>
      <c r="I57" s="1636">
        <f t="shared" si="18"/>
        <v>16.21</v>
      </c>
      <c r="J57" s="1723">
        <f t="shared" si="19"/>
        <v>240.2</v>
      </c>
      <c r="K57" s="2040">
        <f t="shared" si="9"/>
        <v>189.23</v>
      </c>
      <c r="L57" s="2041">
        <f t="shared" si="10"/>
        <v>50.97</v>
      </c>
      <c r="M57" s="2016"/>
      <c r="N57" s="2017"/>
      <c r="O57" s="2016">
        <f>J57</f>
        <v>240.2</v>
      </c>
      <c r="P57" s="2016"/>
      <c r="Q57" s="2016"/>
      <c r="R57" s="2016"/>
      <c r="S57" s="2016"/>
      <c r="T57" s="2016"/>
      <c r="U57" s="2016"/>
      <c r="V57" s="2016"/>
      <c r="W57" s="2016"/>
      <c r="X57" s="2016"/>
      <c r="Y57" s="2016"/>
      <c r="Z57" s="2016"/>
    </row>
    <row r="58" spans="1:28" s="2009" customFormat="1" ht="60" x14ac:dyDescent="0.2">
      <c r="A58" s="1635" t="s">
        <v>7321</v>
      </c>
      <c r="B58" s="1984" t="s">
        <v>4448</v>
      </c>
      <c r="C58" s="1984">
        <v>92778</v>
      </c>
      <c r="D58" s="1813" t="s">
        <v>7413</v>
      </c>
      <c r="E58" s="1638">
        <f>57.9/1.1</f>
        <v>52.636363636363633</v>
      </c>
      <c r="F58" s="1639" t="s">
        <v>5688</v>
      </c>
      <c r="G58" s="1636">
        <v>8.8699999999999992</v>
      </c>
      <c r="H58" s="1636">
        <f t="shared" ref="H58" si="20">ROUND(G58*$B$13,2)</f>
        <v>2.39</v>
      </c>
      <c r="I58" s="1636">
        <f t="shared" ref="I58" si="21">H58+G58</f>
        <v>11.26</v>
      </c>
      <c r="J58" s="1723">
        <f t="shared" ref="J58" si="22">ROUND(I58*E58,2)</f>
        <v>592.69000000000005</v>
      </c>
      <c r="K58" s="2040">
        <f t="shared" si="9"/>
        <v>466.88</v>
      </c>
      <c r="L58" s="2041">
        <f t="shared" si="10"/>
        <v>125.8</v>
      </c>
      <c r="M58" s="2016"/>
      <c r="N58" s="2017"/>
      <c r="O58" s="2016">
        <f>J58</f>
        <v>592.69000000000005</v>
      </c>
      <c r="P58" s="2016"/>
      <c r="Q58" s="2016"/>
      <c r="R58" s="2016"/>
      <c r="S58" s="2016"/>
      <c r="T58" s="2016"/>
      <c r="U58" s="2016"/>
      <c r="V58" s="2016"/>
      <c r="W58" s="2016"/>
      <c r="X58" s="2016"/>
      <c r="Y58" s="2016"/>
      <c r="Z58" s="2016"/>
    </row>
    <row r="59" spans="1:28" s="2009" customFormat="1" ht="60" x14ac:dyDescent="0.2">
      <c r="A59" s="1635" t="s">
        <v>7322</v>
      </c>
      <c r="B59" s="1984" t="s">
        <v>4448</v>
      </c>
      <c r="C59" s="1984">
        <v>92780</v>
      </c>
      <c r="D59" s="1813" t="s">
        <v>7414</v>
      </c>
      <c r="E59" s="1638">
        <f>22.9/1.1</f>
        <v>20.818181818181817</v>
      </c>
      <c r="F59" s="1639" t="s">
        <v>5688</v>
      </c>
      <c r="G59" s="1636">
        <v>6.72</v>
      </c>
      <c r="H59" s="1636">
        <f t="shared" si="17"/>
        <v>1.81</v>
      </c>
      <c r="I59" s="1636">
        <f t="shared" si="18"/>
        <v>8.5299999999999994</v>
      </c>
      <c r="J59" s="1723">
        <f t="shared" si="19"/>
        <v>177.58</v>
      </c>
      <c r="K59" s="2040">
        <f t="shared" si="9"/>
        <v>139.9</v>
      </c>
      <c r="L59" s="2041">
        <f t="shared" si="10"/>
        <v>37.68</v>
      </c>
      <c r="M59" s="2016"/>
      <c r="N59" s="2017"/>
      <c r="O59" s="2016">
        <f>J59</f>
        <v>177.58</v>
      </c>
      <c r="P59" s="2016"/>
      <c r="Q59" s="2016"/>
      <c r="R59" s="2016"/>
      <c r="S59" s="2016"/>
      <c r="T59" s="2016"/>
      <c r="U59" s="2016"/>
      <c r="V59" s="2016"/>
      <c r="W59" s="2016"/>
      <c r="X59" s="2016"/>
      <c r="Y59" s="2016"/>
      <c r="Z59" s="2016"/>
    </row>
    <row r="60" spans="1:28" s="2009" customFormat="1" ht="60" x14ac:dyDescent="0.2">
      <c r="A60" s="1635" t="s">
        <v>7328</v>
      </c>
      <c r="B60" s="1984" t="s">
        <v>4448</v>
      </c>
      <c r="C60" s="1984" t="s">
        <v>7417</v>
      </c>
      <c r="D60" s="1813" t="s">
        <v>7416</v>
      </c>
      <c r="E60" s="1638">
        <v>0.63</v>
      </c>
      <c r="F60" s="1639" t="s">
        <v>5685</v>
      </c>
      <c r="G60" s="1636">
        <v>380.87</v>
      </c>
      <c r="H60" s="1636">
        <f t="shared" si="17"/>
        <v>102.57</v>
      </c>
      <c r="I60" s="1636">
        <f t="shared" si="18"/>
        <v>483.44</v>
      </c>
      <c r="J60" s="1723">
        <f t="shared" si="19"/>
        <v>304.57</v>
      </c>
      <c r="K60" s="2040">
        <f t="shared" si="9"/>
        <v>239.95</v>
      </c>
      <c r="L60" s="2041">
        <f t="shared" si="10"/>
        <v>64.62</v>
      </c>
      <c r="M60" s="2016"/>
      <c r="N60" s="2017"/>
      <c r="O60" s="2016">
        <f>J60</f>
        <v>304.57</v>
      </c>
      <c r="P60" s="2016"/>
      <c r="Q60" s="2016"/>
      <c r="R60" s="2016"/>
      <c r="S60" s="2016"/>
      <c r="T60" s="2016"/>
      <c r="U60" s="2016"/>
      <c r="V60" s="2016"/>
      <c r="W60" s="2016"/>
      <c r="X60" s="2016"/>
      <c r="Y60" s="2016"/>
      <c r="Z60" s="2016"/>
    </row>
    <row r="61" spans="1:28" s="2009" customFormat="1" ht="15" x14ac:dyDescent="0.2">
      <c r="A61" s="1634" t="s">
        <v>7450</v>
      </c>
      <c r="B61" s="2136" t="s">
        <v>7451</v>
      </c>
      <c r="C61" s="2136"/>
      <c r="D61" s="2136"/>
      <c r="E61" s="2136"/>
      <c r="F61" s="2136"/>
      <c r="G61" s="2136"/>
      <c r="H61" s="2136"/>
      <c r="I61" s="2136"/>
      <c r="J61" s="2136"/>
      <c r="K61" s="2040">
        <f t="shared" si="9"/>
        <v>0</v>
      </c>
      <c r="L61" s="2041">
        <f t="shared" si="10"/>
        <v>0</v>
      </c>
      <c r="M61" s="2016"/>
      <c r="N61" s="2017"/>
      <c r="O61" s="2016"/>
      <c r="P61" s="2016"/>
      <c r="Q61" s="2016"/>
      <c r="R61" s="2016"/>
      <c r="S61" s="2016"/>
      <c r="T61" s="2016"/>
      <c r="U61" s="2016"/>
      <c r="V61" s="2016"/>
      <c r="W61" s="2016"/>
      <c r="X61" s="2016"/>
      <c r="Y61" s="2016"/>
      <c r="Z61" s="2016"/>
    </row>
    <row r="62" spans="1:28" s="2009" customFormat="1" ht="45" x14ac:dyDescent="0.2">
      <c r="A62" s="1635" t="s">
        <v>7453</v>
      </c>
      <c r="B62" s="1984" t="s">
        <v>4448</v>
      </c>
      <c r="C62" s="1984">
        <v>98557</v>
      </c>
      <c r="D62" s="1813" t="s">
        <v>7454</v>
      </c>
      <c r="E62" s="1638">
        <f>QuantReservatório!J57</f>
        <v>42.72</v>
      </c>
      <c r="F62" s="1639" t="s">
        <v>5286</v>
      </c>
      <c r="G62" s="1636">
        <v>31.62</v>
      </c>
      <c r="H62" s="1636">
        <f t="shared" ref="H62" si="23">ROUND(G62*$B$13,2)</f>
        <v>8.52</v>
      </c>
      <c r="I62" s="1636">
        <f t="shared" ref="I62" si="24">H62+G62</f>
        <v>40.14</v>
      </c>
      <c r="J62" s="1723">
        <f t="shared" ref="J62" si="25">ROUND(I62*E62,2)</f>
        <v>1714.78</v>
      </c>
      <c r="K62" s="2040">
        <f t="shared" si="9"/>
        <v>1350.81</v>
      </c>
      <c r="L62" s="2041">
        <f t="shared" si="10"/>
        <v>363.97</v>
      </c>
      <c r="M62" s="2016"/>
      <c r="N62" s="2017"/>
      <c r="O62" s="2016"/>
      <c r="P62" s="2016">
        <f>J62</f>
        <v>1714.78</v>
      </c>
      <c r="Q62" s="2016"/>
      <c r="R62" s="2016"/>
      <c r="S62" s="2016"/>
      <c r="T62" s="2016"/>
      <c r="U62" s="2016"/>
      <c r="V62" s="2016"/>
      <c r="W62" s="2016"/>
      <c r="X62" s="2016"/>
      <c r="Y62" s="2016"/>
      <c r="Z62" s="2016"/>
    </row>
    <row r="63" spans="1:28" s="2006" customFormat="1" ht="15" x14ac:dyDescent="0.2">
      <c r="A63" s="2133" t="s">
        <v>5687</v>
      </c>
      <c r="B63" s="2133"/>
      <c r="C63" s="2133"/>
      <c r="D63" s="2133"/>
      <c r="E63" s="2133"/>
      <c r="F63" s="2133"/>
      <c r="G63" s="2133"/>
      <c r="H63" s="2133"/>
      <c r="I63" s="2133"/>
      <c r="J63" s="1724">
        <f>SUM(J42:J62)</f>
        <v>30615.039999999997</v>
      </c>
      <c r="K63" s="2038"/>
      <c r="L63" s="2039"/>
      <c r="M63" s="1724">
        <f>SUM(M42:M62)</f>
        <v>0</v>
      </c>
      <c r="N63" s="1724">
        <f t="shared" ref="N63:Z63" si="26">SUM(N42:N62)</f>
        <v>17481.37</v>
      </c>
      <c r="O63" s="1724">
        <f t="shared" si="26"/>
        <v>11418.890000000001</v>
      </c>
      <c r="P63" s="1724">
        <f t="shared" si="26"/>
        <v>1714.78</v>
      </c>
      <c r="Q63" s="1724">
        <f t="shared" si="26"/>
        <v>0</v>
      </c>
      <c r="R63" s="1724">
        <f t="shared" si="26"/>
        <v>0</v>
      </c>
      <c r="S63" s="1724">
        <f t="shared" si="26"/>
        <v>0</v>
      </c>
      <c r="T63" s="1724">
        <f t="shared" si="26"/>
        <v>0</v>
      </c>
      <c r="U63" s="1724">
        <f t="shared" si="26"/>
        <v>0</v>
      </c>
      <c r="V63" s="1724">
        <f t="shared" si="26"/>
        <v>0</v>
      </c>
      <c r="W63" s="1724">
        <f t="shared" si="26"/>
        <v>0</v>
      </c>
      <c r="X63" s="1724">
        <f t="shared" si="26"/>
        <v>0</v>
      </c>
      <c r="Y63" s="1724">
        <f t="shared" si="26"/>
        <v>0</v>
      </c>
      <c r="Z63" s="1724">
        <f t="shared" si="26"/>
        <v>0</v>
      </c>
      <c r="AA63" s="1724"/>
      <c r="AB63" s="1724"/>
    </row>
    <row r="64" spans="1:28" s="2006" customFormat="1" ht="15" x14ac:dyDescent="0.2">
      <c r="A64" s="52"/>
      <c r="B64" s="52"/>
      <c r="C64" s="52"/>
      <c r="D64" s="52"/>
      <c r="E64" s="1506"/>
      <c r="F64" s="52"/>
      <c r="G64" s="52"/>
      <c r="H64" s="51"/>
      <c r="I64" s="51"/>
      <c r="J64" s="1725"/>
      <c r="K64" s="2038"/>
      <c r="L64" s="2039"/>
      <c r="M64" s="2013"/>
      <c r="N64" s="2013"/>
      <c r="O64" s="2013"/>
      <c r="P64" s="2013"/>
      <c r="Q64" s="2013"/>
      <c r="R64" s="2013"/>
      <c r="S64" s="2013"/>
      <c r="T64" s="2013"/>
      <c r="U64" s="2013"/>
      <c r="V64" s="2013"/>
      <c r="W64" s="2013"/>
      <c r="X64" s="2013"/>
      <c r="Y64" s="2013"/>
      <c r="Z64" s="2013"/>
    </row>
    <row r="65" spans="1:26" s="2006" customFormat="1" ht="15" x14ac:dyDescent="0.2">
      <c r="A65" s="1513" t="s">
        <v>4860</v>
      </c>
      <c r="B65" s="2130" t="s">
        <v>4861</v>
      </c>
      <c r="C65" s="2130"/>
      <c r="D65" s="2130"/>
      <c r="E65" s="2130"/>
      <c r="F65" s="2130"/>
      <c r="G65" s="2130"/>
      <c r="H65" s="2130"/>
      <c r="I65" s="2130"/>
      <c r="J65" s="2130"/>
      <c r="K65" s="2038"/>
      <c r="L65" s="2039"/>
      <c r="M65" s="2005"/>
      <c r="N65" s="2002"/>
      <c r="O65" s="2005"/>
      <c r="P65" s="2005"/>
      <c r="Q65" s="2005"/>
      <c r="R65" s="2005"/>
      <c r="S65" s="2005"/>
      <c r="T65" s="2005"/>
      <c r="U65" s="2005"/>
      <c r="V65" s="2005"/>
      <c r="W65" s="2005"/>
      <c r="X65" s="2005"/>
      <c r="Y65" s="2005"/>
      <c r="Z65" s="2005"/>
    </row>
    <row r="66" spans="1:26" s="2006" customFormat="1" ht="15" x14ac:dyDescent="0.2">
      <c r="A66" s="1634" t="s">
        <v>7419</v>
      </c>
      <c r="B66" s="2136" t="s">
        <v>7420</v>
      </c>
      <c r="C66" s="2136"/>
      <c r="D66" s="2136"/>
      <c r="E66" s="2136"/>
      <c r="F66" s="2136"/>
      <c r="G66" s="2136"/>
      <c r="H66" s="2136"/>
      <c r="I66" s="2136"/>
      <c r="J66" s="2136"/>
      <c r="K66" s="2038"/>
      <c r="L66" s="2039"/>
      <c r="M66" s="2005"/>
      <c r="N66" s="2002"/>
      <c r="O66" s="2005"/>
      <c r="P66" s="2005"/>
      <c r="Q66" s="2005"/>
      <c r="R66" s="2005"/>
      <c r="S66" s="2005"/>
      <c r="T66" s="2005"/>
      <c r="U66" s="2005"/>
      <c r="V66" s="2005"/>
      <c r="W66" s="2005"/>
      <c r="X66" s="2005"/>
      <c r="Y66" s="2005"/>
      <c r="Z66" s="2005"/>
    </row>
    <row r="67" spans="1:26" s="2009" customFormat="1" ht="60" x14ac:dyDescent="0.2">
      <c r="A67" s="1635" t="s">
        <v>7421</v>
      </c>
      <c r="B67" s="1984" t="s">
        <v>4448</v>
      </c>
      <c r="C67" s="1984">
        <v>92418</v>
      </c>
      <c r="D67" s="1813" t="s">
        <v>7412</v>
      </c>
      <c r="E67" s="1638">
        <v>60.09</v>
      </c>
      <c r="F67" s="1639" t="s">
        <v>5286</v>
      </c>
      <c r="G67" s="1636">
        <v>60.19</v>
      </c>
      <c r="H67" s="1636">
        <f t="shared" ref="H67:H71" si="27">ROUND(G67*$B$13,2)</f>
        <v>16.21</v>
      </c>
      <c r="I67" s="1636">
        <f t="shared" ref="I67:I71" si="28">H67+G67</f>
        <v>76.400000000000006</v>
      </c>
      <c r="J67" s="1723">
        <f t="shared" ref="J67:J71" si="29">ROUND(I67*E67,2)</f>
        <v>4590.88</v>
      </c>
      <c r="K67" s="2040">
        <f t="shared" ref="K67" si="30">ROUND(G67*E67,2)</f>
        <v>3616.82</v>
      </c>
      <c r="L67" s="2041">
        <f t="shared" ref="L67" si="31">ROUND(H67*E67,2)</f>
        <v>974.06</v>
      </c>
      <c r="M67" s="2016"/>
      <c r="N67" s="2017"/>
      <c r="O67" s="2016"/>
      <c r="P67" s="2016"/>
      <c r="Q67" s="2016">
        <f>0.5*J67</f>
        <v>2295.44</v>
      </c>
      <c r="R67" s="2016">
        <f>0.5*J67</f>
        <v>2295.44</v>
      </c>
      <c r="S67" s="2016"/>
      <c r="T67" s="2016"/>
      <c r="U67" s="2016"/>
      <c r="V67" s="2016"/>
      <c r="W67" s="2016"/>
      <c r="X67" s="2016"/>
      <c r="Y67" s="2016"/>
      <c r="Z67" s="2016"/>
    </row>
    <row r="68" spans="1:26" s="2009" customFormat="1" ht="60" x14ac:dyDescent="0.2">
      <c r="A68" s="1635" t="s">
        <v>7422</v>
      </c>
      <c r="B68" s="1984" t="s">
        <v>4448</v>
      </c>
      <c r="C68" s="1984">
        <v>92775</v>
      </c>
      <c r="D68" s="1813" t="s">
        <v>7415</v>
      </c>
      <c r="E68" s="1638">
        <f>93.3/1.1</f>
        <v>84.818181818181813</v>
      </c>
      <c r="F68" s="1639" t="s">
        <v>5688</v>
      </c>
      <c r="G68" s="1636">
        <v>12.77</v>
      </c>
      <c r="H68" s="1636">
        <f t="shared" si="27"/>
        <v>3.44</v>
      </c>
      <c r="I68" s="1636">
        <f t="shared" si="28"/>
        <v>16.21</v>
      </c>
      <c r="J68" s="1723">
        <f t="shared" si="29"/>
        <v>1374.9</v>
      </c>
      <c r="K68" s="2040">
        <f t="shared" ref="K68:K81" si="32">ROUND(G68*E68,2)</f>
        <v>1083.1300000000001</v>
      </c>
      <c r="L68" s="2041">
        <f t="shared" ref="L68:L81" si="33">ROUND(H68*E68,2)</f>
        <v>291.77</v>
      </c>
      <c r="M68" s="2016"/>
      <c r="N68" s="2017"/>
      <c r="O68" s="2016"/>
      <c r="P68" s="2016"/>
      <c r="Q68" s="2016">
        <f>0.5*J68</f>
        <v>687.45</v>
      </c>
      <c r="R68" s="2016">
        <f>0.5*J68</f>
        <v>687.45</v>
      </c>
      <c r="S68" s="2016"/>
      <c r="T68" s="2016"/>
      <c r="U68" s="2016"/>
      <c r="V68" s="2016"/>
      <c r="W68" s="2016"/>
      <c r="X68" s="2016"/>
      <c r="Y68" s="2016"/>
      <c r="Z68" s="2016"/>
    </row>
    <row r="69" spans="1:26" s="2009" customFormat="1" ht="60" x14ac:dyDescent="0.2">
      <c r="A69" s="1635" t="s">
        <v>7423</v>
      </c>
      <c r="B69" s="1984" t="s">
        <v>4448</v>
      </c>
      <c r="C69" s="1984">
        <v>92778</v>
      </c>
      <c r="D69" s="1813" t="s">
        <v>7413</v>
      </c>
      <c r="E69" s="1638">
        <f>190.3/1.1</f>
        <v>173</v>
      </c>
      <c r="F69" s="1639" t="s">
        <v>5688</v>
      </c>
      <c r="G69" s="1636">
        <v>8.8699999999999992</v>
      </c>
      <c r="H69" s="1636">
        <f t="shared" si="27"/>
        <v>2.39</v>
      </c>
      <c r="I69" s="1636">
        <f t="shared" si="28"/>
        <v>11.26</v>
      </c>
      <c r="J69" s="1723">
        <f t="shared" si="29"/>
        <v>1947.98</v>
      </c>
      <c r="K69" s="2040">
        <f t="shared" si="32"/>
        <v>1534.51</v>
      </c>
      <c r="L69" s="2041">
        <f t="shared" si="33"/>
        <v>413.47</v>
      </c>
      <c r="M69" s="2016"/>
      <c r="N69" s="2017"/>
      <c r="O69" s="2016"/>
      <c r="P69" s="2016"/>
      <c r="Q69" s="2016">
        <f>0.5*J69</f>
        <v>973.99</v>
      </c>
      <c r="R69" s="2016">
        <f>0.5*J69</f>
        <v>973.99</v>
      </c>
      <c r="S69" s="2016"/>
      <c r="T69" s="2016"/>
      <c r="U69" s="2016"/>
      <c r="V69" s="2016"/>
      <c r="W69" s="2016"/>
      <c r="X69" s="2016"/>
      <c r="Y69" s="2016"/>
      <c r="Z69" s="2016"/>
    </row>
    <row r="70" spans="1:26" s="2009" customFormat="1" ht="60" x14ac:dyDescent="0.2">
      <c r="A70" s="1635" t="s">
        <v>7424</v>
      </c>
      <c r="B70" s="1984" t="s">
        <v>4448</v>
      </c>
      <c r="C70" s="1984">
        <v>92780</v>
      </c>
      <c r="D70" s="1813" t="s">
        <v>7414</v>
      </c>
      <c r="E70" s="1638">
        <f>73.8/1.1</f>
        <v>67.090909090909079</v>
      </c>
      <c r="F70" s="1639" t="s">
        <v>5688</v>
      </c>
      <c r="G70" s="1636">
        <v>6.72</v>
      </c>
      <c r="H70" s="1636">
        <f t="shared" si="27"/>
        <v>1.81</v>
      </c>
      <c r="I70" s="1636">
        <f t="shared" si="28"/>
        <v>8.5299999999999994</v>
      </c>
      <c r="J70" s="1723">
        <f t="shared" si="29"/>
        <v>572.29</v>
      </c>
      <c r="K70" s="2040">
        <f t="shared" si="32"/>
        <v>450.85</v>
      </c>
      <c r="L70" s="2041">
        <f t="shared" si="33"/>
        <v>121.43</v>
      </c>
      <c r="M70" s="2016"/>
      <c r="N70" s="2017"/>
      <c r="O70" s="2016"/>
      <c r="P70" s="2016"/>
      <c r="Q70" s="2016">
        <f>0.5*J70</f>
        <v>286.14499999999998</v>
      </c>
      <c r="R70" s="2016">
        <f>0.5*J70</f>
        <v>286.14499999999998</v>
      </c>
      <c r="S70" s="2016"/>
      <c r="T70" s="2016"/>
      <c r="U70" s="2016"/>
      <c r="V70" s="2016"/>
      <c r="W70" s="2016"/>
      <c r="X70" s="2016"/>
      <c r="Y70" s="2016"/>
      <c r="Z70" s="2016"/>
    </row>
    <row r="71" spans="1:26" s="2009" customFormat="1" ht="60" x14ac:dyDescent="0.2">
      <c r="A71" s="1635" t="s">
        <v>7425</v>
      </c>
      <c r="B71" s="1984" t="s">
        <v>4448</v>
      </c>
      <c r="C71" s="1984" t="s">
        <v>7417</v>
      </c>
      <c r="D71" s="1813" t="s">
        <v>7416</v>
      </c>
      <c r="E71" s="1638">
        <v>3.61</v>
      </c>
      <c r="F71" s="1639" t="s">
        <v>5685</v>
      </c>
      <c r="G71" s="1636">
        <v>380.87</v>
      </c>
      <c r="H71" s="1636">
        <f t="shared" si="27"/>
        <v>102.57</v>
      </c>
      <c r="I71" s="1636">
        <f t="shared" si="28"/>
        <v>483.44</v>
      </c>
      <c r="J71" s="1723">
        <f t="shared" si="29"/>
        <v>1745.22</v>
      </c>
      <c r="K71" s="2040">
        <f t="shared" si="32"/>
        <v>1374.94</v>
      </c>
      <c r="L71" s="2041">
        <f t="shared" si="33"/>
        <v>370.28</v>
      </c>
      <c r="M71" s="2016"/>
      <c r="N71" s="2017"/>
      <c r="O71" s="2016"/>
      <c r="P71" s="2016"/>
      <c r="Q71" s="2016">
        <f>0.5*J71</f>
        <v>872.61</v>
      </c>
      <c r="R71" s="2016">
        <f>0.5*J71</f>
        <v>872.61</v>
      </c>
      <c r="S71" s="2016"/>
      <c r="T71" s="2016"/>
      <c r="U71" s="2016"/>
      <c r="V71" s="2016"/>
      <c r="W71" s="2016"/>
      <c r="X71" s="2016"/>
      <c r="Y71" s="2016"/>
      <c r="Z71" s="2016"/>
    </row>
    <row r="72" spans="1:26" s="2006" customFormat="1" ht="15" x14ac:dyDescent="0.2">
      <c r="A72" s="1634" t="s">
        <v>7426</v>
      </c>
      <c r="B72" s="2136" t="s">
        <v>7428</v>
      </c>
      <c r="C72" s="2136"/>
      <c r="D72" s="2136"/>
      <c r="E72" s="2136"/>
      <c r="F72" s="2136"/>
      <c r="G72" s="2136"/>
      <c r="H72" s="2136"/>
      <c r="I72" s="2136"/>
      <c r="J72" s="2136"/>
      <c r="K72" s="2038">
        <f t="shared" si="32"/>
        <v>0</v>
      </c>
      <c r="L72" s="2039">
        <f t="shared" si="33"/>
        <v>0</v>
      </c>
      <c r="M72" s="2005"/>
      <c r="N72" s="2002"/>
      <c r="O72" s="2005"/>
      <c r="P72" s="2005"/>
      <c r="Q72" s="2005"/>
      <c r="R72" s="2005"/>
      <c r="S72" s="2005"/>
      <c r="T72" s="2005"/>
      <c r="U72" s="2005"/>
      <c r="V72" s="2005"/>
      <c r="W72" s="2005"/>
      <c r="X72" s="2005"/>
      <c r="Y72" s="2005"/>
      <c r="Z72" s="2005"/>
    </row>
    <row r="73" spans="1:26" s="2009" customFormat="1" ht="60" x14ac:dyDescent="0.2">
      <c r="A73" s="1635" t="s">
        <v>7429</v>
      </c>
      <c r="B73" s="1984" t="s">
        <v>4448</v>
      </c>
      <c r="C73" s="1984">
        <v>92513</v>
      </c>
      <c r="D73" s="1813" t="s">
        <v>7427</v>
      </c>
      <c r="E73" s="1638">
        <f>19.07</f>
        <v>19.07</v>
      </c>
      <c r="F73" s="1639" t="s">
        <v>5286</v>
      </c>
      <c r="G73" s="1636">
        <v>27.62</v>
      </c>
      <c r="H73" s="1636">
        <f t="shared" ref="H73:H75" si="34">ROUND(G73*$B$13,2)</f>
        <v>7.44</v>
      </c>
      <c r="I73" s="1636">
        <f t="shared" ref="I73:I75" si="35">H73+G73</f>
        <v>35.06</v>
      </c>
      <c r="J73" s="1723">
        <f t="shared" ref="J73:J75" si="36">ROUND(I73*E73,2)</f>
        <v>668.59</v>
      </c>
      <c r="K73" s="2040">
        <f t="shared" si="32"/>
        <v>526.71</v>
      </c>
      <c r="L73" s="2041">
        <f t="shared" si="33"/>
        <v>141.88</v>
      </c>
      <c r="M73" s="2016"/>
      <c r="N73" s="2017"/>
      <c r="O73" s="2016"/>
      <c r="P73" s="2016"/>
      <c r="Q73" s="2016">
        <f>0.5*J73</f>
        <v>334.29500000000002</v>
      </c>
      <c r="R73" s="2016">
        <f>0.5*J73</f>
        <v>334.29500000000002</v>
      </c>
      <c r="S73" s="2016"/>
      <c r="T73" s="2016"/>
      <c r="U73" s="2016"/>
      <c r="V73" s="2016"/>
      <c r="W73" s="2016"/>
      <c r="X73" s="2016"/>
      <c r="Y73" s="2016"/>
      <c r="Z73" s="2016"/>
    </row>
    <row r="74" spans="1:26" s="2009" customFormat="1" ht="60" x14ac:dyDescent="0.2">
      <c r="A74" s="1635" t="s">
        <v>7434</v>
      </c>
      <c r="B74" s="1984" t="s">
        <v>4448</v>
      </c>
      <c r="C74" s="1984">
        <v>92784</v>
      </c>
      <c r="D74" s="1813" t="s">
        <v>7430</v>
      </c>
      <c r="E74" s="1638">
        <f>(17.6)/1.1</f>
        <v>16</v>
      </c>
      <c r="F74" s="1639" t="s">
        <v>5688</v>
      </c>
      <c r="G74" s="1636">
        <v>10.89</v>
      </c>
      <c r="H74" s="1636">
        <f t="shared" si="34"/>
        <v>2.93</v>
      </c>
      <c r="I74" s="1636">
        <f t="shared" si="35"/>
        <v>13.82</v>
      </c>
      <c r="J74" s="1723">
        <f t="shared" si="36"/>
        <v>221.12</v>
      </c>
      <c r="K74" s="2040">
        <f t="shared" si="32"/>
        <v>174.24</v>
      </c>
      <c r="L74" s="2041">
        <f t="shared" si="33"/>
        <v>46.88</v>
      </c>
      <c r="M74" s="2016"/>
      <c r="N74" s="2017"/>
      <c r="O74" s="2016"/>
      <c r="P74" s="2016"/>
      <c r="Q74" s="2016">
        <f>0.5*J74</f>
        <v>110.56</v>
      </c>
      <c r="R74" s="2016">
        <f>0.5*J74</f>
        <v>110.56</v>
      </c>
      <c r="S74" s="2016"/>
      <c r="T74" s="2016"/>
      <c r="U74" s="2016"/>
      <c r="V74" s="2016"/>
      <c r="W74" s="2016"/>
      <c r="X74" s="2016"/>
      <c r="Y74" s="2016"/>
      <c r="Z74" s="2016"/>
    </row>
    <row r="75" spans="1:26" s="2009" customFormat="1" ht="60" x14ac:dyDescent="0.2">
      <c r="A75" s="1635" t="s">
        <v>7435</v>
      </c>
      <c r="B75" s="1984" t="s">
        <v>4448</v>
      </c>
      <c r="C75" s="1984">
        <v>92786</v>
      </c>
      <c r="D75" s="1813" t="s">
        <v>7431</v>
      </c>
      <c r="E75" s="1638">
        <f>(165.5)/1.1</f>
        <v>150.45454545454544</v>
      </c>
      <c r="F75" s="1639" t="s">
        <v>5688</v>
      </c>
      <c r="G75" s="1636">
        <v>9.1199999999999992</v>
      </c>
      <c r="H75" s="1636">
        <f t="shared" si="34"/>
        <v>2.46</v>
      </c>
      <c r="I75" s="1636">
        <f t="shared" si="35"/>
        <v>11.579999999999998</v>
      </c>
      <c r="J75" s="1723">
        <f t="shared" si="36"/>
        <v>1742.26</v>
      </c>
      <c r="K75" s="2040">
        <f t="shared" si="32"/>
        <v>1372.15</v>
      </c>
      <c r="L75" s="2041">
        <f t="shared" si="33"/>
        <v>370.12</v>
      </c>
      <c r="M75" s="2016"/>
      <c r="N75" s="2017"/>
      <c r="O75" s="2016"/>
      <c r="P75" s="2016"/>
      <c r="Q75" s="2016">
        <f>0.5*J75</f>
        <v>871.13</v>
      </c>
      <c r="R75" s="2016">
        <f>0.5*J75</f>
        <v>871.13</v>
      </c>
      <c r="S75" s="2016"/>
      <c r="T75" s="2016"/>
      <c r="U75" s="2016"/>
      <c r="V75" s="2016"/>
      <c r="W75" s="2016"/>
      <c r="X75" s="2016"/>
      <c r="Y75" s="2016"/>
      <c r="Z75" s="2016"/>
    </row>
    <row r="76" spans="1:26" s="2009" customFormat="1" ht="60" x14ac:dyDescent="0.2">
      <c r="A76" s="1635" t="s">
        <v>7436</v>
      </c>
      <c r="B76" s="1984" t="s">
        <v>4448</v>
      </c>
      <c r="C76" s="1984" t="s">
        <v>7433</v>
      </c>
      <c r="D76" s="1813" t="s">
        <v>7432</v>
      </c>
      <c r="E76" s="1638">
        <v>2.2400000000000002</v>
      </c>
      <c r="F76" s="1639" t="s">
        <v>5685</v>
      </c>
      <c r="G76" s="1636">
        <v>373.49</v>
      </c>
      <c r="H76" s="1636">
        <f t="shared" ref="H76" si="37">ROUND(G76*$B$13,2)</f>
        <v>100.58</v>
      </c>
      <c r="I76" s="1636">
        <f>H76+G76</f>
        <v>474.07</v>
      </c>
      <c r="J76" s="1723">
        <f>ROUND(I76*E76,2)</f>
        <v>1061.92</v>
      </c>
      <c r="K76" s="2040">
        <f t="shared" si="32"/>
        <v>836.62</v>
      </c>
      <c r="L76" s="2041">
        <f t="shared" si="33"/>
        <v>225.3</v>
      </c>
      <c r="M76" s="2016"/>
      <c r="N76" s="2017"/>
      <c r="O76" s="2016"/>
      <c r="P76" s="2016"/>
      <c r="Q76" s="2016">
        <f>0.5*J76</f>
        <v>530.96</v>
      </c>
      <c r="R76" s="2016">
        <f>0.5*J76</f>
        <v>530.96</v>
      </c>
      <c r="S76" s="2016"/>
      <c r="T76" s="2016"/>
      <c r="U76" s="2016"/>
      <c r="V76" s="2016"/>
      <c r="W76" s="2016"/>
      <c r="X76" s="2016"/>
      <c r="Y76" s="2016"/>
      <c r="Z76" s="2016"/>
    </row>
    <row r="77" spans="1:26" s="2006" customFormat="1" ht="15" x14ac:dyDescent="0.2">
      <c r="A77" s="1634" t="s">
        <v>7437</v>
      </c>
      <c r="B77" s="2136" t="s">
        <v>7438</v>
      </c>
      <c r="C77" s="2136"/>
      <c r="D77" s="2136"/>
      <c r="E77" s="2136"/>
      <c r="F77" s="2136"/>
      <c r="G77" s="2136"/>
      <c r="H77" s="2136"/>
      <c r="I77" s="2136"/>
      <c r="J77" s="2136"/>
      <c r="K77" s="2038">
        <f t="shared" si="32"/>
        <v>0</v>
      </c>
      <c r="L77" s="2039">
        <f t="shared" si="33"/>
        <v>0</v>
      </c>
      <c r="M77" s="2005"/>
      <c r="N77" s="2002"/>
      <c r="O77" s="2005"/>
      <c r="P77" s="2005"/>
      <c r="Q77" s="2005"/>
      <c r="R77" s="2005"/>
      <c r="S77" s="2005"/>
      <c r="T77" s="2005"/>
      <c r="U77" s="2005"/>
      <c r="V77" s="2005"/>
      <c r="W77" s="2005"/>
      <c r="X77" s="2005"/>
      <c r="Y77" s="2005"/>
      <c r="Z77" s="2005"/>
    </row>
    <row r="78" spans="1:26" s="2009" customFormat="1" ht="75" x14ac:dyDescent="0.2">
      <c r="A78" s="1635" t="s">
        <v>7441</v>
      </c>
      <c r="B78" s="1984" t="s">
        <v>4448</v>
      </c>
      <c r="C78" s="1984">
        <v>92419</v>
      </c>
      <c r="D78" s="1813" t="s">
        <v>7440</v>
      </c>
      <c r="E78" s="1638">
        <v>248.76</v>
      </c>
      <c r="F78" s="1639" t="s">
        <v>5286</v>
      </c>
      <c r="G78" s="1636">
        <v>53.93</v>
      </c>
      <c r="H78" s="1636">
        <f t="shared" ref="H78:H81" si="38">ROUND(G78*$B$13,2)</f>
        <v>14.52</v>
      </c>
      <c r="I78" s="1636">
        <f t="shared" ref="I78:I81" si="39">H78+G78</f>
        <v>68.45</v>
      </c>
      <c r="J78" s="1723">
        <f t="shared" ref="J78:J81" si="40">ROUND(I78*E78,2)</f>
        <v>17027.62</v>
      </c>
      <c r="K78" s="2040">
        <f t="shared" si="32"/>
        <v>13415.63</v>
      </c>
      <c r="L78" s="2041">
        <f t="shared" si="33"/>
        <v>3612</v>
      </c>
      <c r="M78" s="2016"/>
      <c r="N78" s="2017"/>
      <c r="O78" s="2016"/>
      <c r="P78" s="2016"/>
      <c r="Q78" s="2016">
        <f>0.5*J78</f>
        <v>8513.81</v>
      </c>
      <c r="R78" s="2016">
        <f>0.5*J78</f>
        <v>8513.81</v>
      </c>
      <c r="S78" s="2016"/>
      <c r="T78" s="2016"/>
      <c r="U78" s="2016"/>
      <c r="V78" s="2016"/>
      <c r="W78" s="2016"/>
      <c r="X78" s="2016"/>
      <c r="Y78" s="2016"/>
      <c r="Z78" s="2016"/>
    </row>
    <row r="79" spans="1:26" s="2009" customFormat="1" ht="45" x14ac:dyDescent="0.2">
      <c r="A79" s="1635" t="s">
        <v>7444</v>
      </c>
      <c r="B79" s="1984" t="s">
        <v>4448</v>
      </c>
      <c r="C79" s="1984">
        <v>91602</v>
      </c>
      <c r="D79" s="1813" t="s">
        <v>7442</v>
      </c>
      <c r="E79" s="1638">
        <f>587.8/1.1</f>
        <v>534.36363636363626</v>
      </c>
      <c r="F79" s="1639" t="s">
        <v>5688</v>
      </c>
      <c r="G79" s="1636">
        <v>7.73</v>
      </c>
      <c r="H79" s="1636">
        <f t="shared" si="38"/>
        <v>2.08</v>
      </c>
      <c r="I79" s="1636">
        <f t="shared" si="39"/>
        <v>9.81</v>
      </c>
      <c r="J79" s="1723">
        <f t="shared" si="40"/>
        <v>5242.1099999999997</v>
      </c>
      <c r="K79" s="2040">
        <f t="shared" si="32"/>
        <v>4130.63</v>
      </c>
      <c r="L79" s="2041">
        <f t="shared" si="33"/>
        <v>1111.48</v>
      </c>
      <c r="M79" s="2016"/>
      <c r="N79" s="2017"/>
      <c r="O79" s="2016"/>
      <c r="P79" s="2016"/>
      <c r="Q79" s="2016">
        <f>0.5*J79</f>
        <v>2621.0549999999998</v>
      </c>
      <c r="R79" s="2016">
        <f>0.5*J79</f>
        <v>2621.0549999999998</v>
      </c>
      <c r="S79" s="2016"/>
      <c r="T79" s="2016"/>
      <c r="U79" s="2016"/>
      <c r="V79" s="2016"/>
      <c r="W79" s="2016"/>
      <c r="X79" s="2016"/>
      <c r="Y79" s="2016"/>
      <c r="Z79" s="2016"/>
    </row>
    <row r="80" spans="1:26" s="2009" customFormat="1" ht="45" x14ac:dyDescent="0.2">
      <c r="A80" s="1635" t="s">
        <v>7445</v>
      </c>
      <c r="B80" s="1984" t="s">
        <v>4448</v>
      </c>
      <c r="C80" s="1984">
        <v>91603</v>
      </c>
      <c r="D80" s="1813" t="s">
        <v>7443</v>
      </c>
      <c r="E80" s="1638">
        <f>294.4/1.1</f>
        <v>267.63636363636357</v>
      </c>
      <c r="F80" s="1639" t="s">
        <v>5688</v>
      </c>
      <c r="G80" s="1636">
        <v>7.31</v>
      </c>
      <c r="H80" s="1636">
        <f t="shared" si="38"/>
        <v>1.97</v>
      </c>
      <c r="I80" s="1636">
        <f t="shared" si="39"/>
        <v>9.2799999999999994</v>
      </c>
      <c r="J80" s="1723">
        <f t="shared" si="40"/>
        <v>2483.67</v>
      </c>
      <c r="K80" s="2040">
        <f t="shared" si="32"/>
        <v>1956.42</v>
      </c>
      <c r="L80" s="2041">
        <f t="shared" si="33"/>
        <v>527.24</v>
      </c>
      <c r="M80" s="2016"/>
      <c r="N80" s="2017"/>
      <c r="O80" s="2016"/>
      <c r="P80" s="2016"/>
      <c r="Q80" s="2016">
        <f>0.5*J80</f>
        <v>1241.835</v>
      </c>
      <c r="R80" s="2016">
        <f>0.5*J80</f>
        <v>1241.835</v>
      </c>
      <c r="S80" s="2016"/>
      <c r="T80" s="2016"/>
      <c r="U80" s="2016"/>
      <c r="V80" s="2016"/>
      <c r="W80" s="2016"/>
      <c r="X80" s="2016"/>
      <c r="Y80" s="2016"/>
      <c r="Z80" s="2016"/>
    </row>
    <row r="81" spans="1:26" s="2009" customFormat="1" ht="45" x14ac:dyDescent="0.2">
      <c r="A81" s="1635" t="s">
        <v>7447</v>
      </c>
      <c r="B81" s="1984" t="s">
        <v>4448</v>
      </c>
      <c r="C81" s="1984" t="s">
        <v>5693</v>
      </c>
      <c r="D81" s="1813" t="s">
        <v>7446</v>
      </c>
      <c r="E81" s="1638">
        <v>19.43</v>
      </c>
      <c r="F81" s="1639" t="s">
        <v>5685</v>
      </c>
      <c r="G81" s="1636">
        <v>341.5</v>
      </c>
      <c r="H81" s="1636">
        <f t="shared" si="38"/>
        <v>91.97</v>
      </c>
      <c r="I81" s="1636">
        <f t="shared" si="39"/>
        <v>433.47</v>
      </c>
      <c r="J81" s="1723">
        <f t="shared" si="40"/>
        <v>8422.32</v>
      </c>
      <c r="K81" s="2040">
        <f t="shared" si="32"/>
        <v>6635.35</v>
      </c>
      <c r="L81" s="2041">
        <f t="shared" si="33"/>
        <v>1786.98</v>
      </c>
      <c r="M81" s="2016"/>
      <c r="N81" s="2017"/>
      <c r="O81" s="2016"/>
      <c r="P81" s="2016"/>
      <c r="Q81" s="2016">
        <f>0.5*J81</f>
        <v>4211.16</v>
      </c>
      <c r="R81" s="2016">
        <f>0.5*J81</f>
        <v>4211.16</v>
      </c>
      <c r="S81" s="2016"/>
      <c r="T81" s="2016"/>
      <c r="U81" s="2016"/>
      <c r="V81" s="2016"/>
      <c r="W81" s="2016"/>
      <c r="X81" s="2016"/>
      <c r="Y81" s="2016"/>
      <c r="Z81" s="2016"/>
    </row>
    <row r="82" spans="1:26" s="2006" customFormat="1" ht="15" x14ac:dyDescent="0.2">
      <c r="A82" s="2133" t="s">
        <v>5703</v>
      </c>
      <c r="B82" s="2133"/>
      <c r="C82" s="2133"/>
      <c r="D82" s="2133"/>
      <c r="E82" s="2133"/>
      <c r="F82" s="2133"/>
      <c r="G82" s="2133"/>
      <c r="H82" s="2133"/>
      <c r="I82" s="2133"/>
      <c r="J82" s="1724">
        <f>SUM(J65:J81)</f>
        <v>47100.88</v>
      </c>
      <c r="K82" s="2038"/>
      <c r="L82" s="2039"/>
      <c r="M82" s="1724">
        <f>SUM(M65:M81)</f>
        <v>0</v>
      </c>
      <c r="N82" s="1724">
        <f t="shared" ref="N82:Z82" si="41">SUM(N65:N81)</f>
        <v>0</v>
      </c>
      <c r="O82" s="1724">
        <f t="shared" si="41"/>
        <v>0</v>
      </c>
      <c r="P82" s="1724">
        <f t="shared" si="41"/>
        <v>0</v>
      </c>
      <c r="Q82" s="1724">
        <f t="shared" si="41"/>
        <v>23550.44</v>
      </c>
      <c r="R82" s="1724">
        <f t="shared" si="41"/>
        <v>23550.44</v>
      </c>
      <c r="S82" s="1724">
        <f t="shared" si="41"/>
        <v>0</v>
      </c>
      <c r="T82" s="1724">
        <f t="shared" si="41"/>
        <v>0</v>
      </c>
      <c r="U82" s="1724">
        <f t="shared" si="41"/>
        <v>0</v>
      </c>
      <c r="V82" s="1724">
        <f t="shared" si="41"/>
        <v>0</v>
      </c>
      <c r="W82" s="1724">
        <f t="shared" si="41"/>
        <v>0</v>
      </c>
      <c r="X82" s="1724">
        <f t="shared" si="41"/>
        <v>0</v>
      </c>
      <c r="Y82" s="1724">
        <f t="shared" si="41"/>
        <v>0</v>
      </c>
      <c r="Z82" s="1724">
        <f t="shared" si="41"/>
        <v>0</v>
      </c>
    </row>
    <row r="83" spans="1:26" s="2006" customFormat="1" ht="15" x14ac:dyDescent="0.2">
      <c r="A83" s="52"/>
      <c r="B83" s="52"/>
      <c r="C83" s="52"/>
      <c r="D83" s="52"/>
      <c r="E83" s="1506"/>
      <c r="F83" s="52"/>
      <c r="G83" s="52"/>
      <c r="H83" s="51"/>
      <c r="I83" s="51"/>
      <c r="J83" s="1725"/>
      <c r="K83" s="2038"/>
      <c r="L83" s="2039"/>
      <c r="M83" s="2005"/>
      <c r="N83" s="2002"/>
      <c r="O83" s="2005"/>
      <c r="P83" s="2005"/>
      <c r="Q83" s="2005"/>
      <c r="R83" s="2005"/>
      <c r="S83" s="2005"/>
      <c r="T83" s="2005"/>
      <c r="U83" s="2005"/>
      <c r="V83" s="2005"/>
      <c r="W83" s="2005"/>
      <c r="X83" s="2005"/>
      <c r="Y83" s="2005"/>
      <c r="Z83" s="2005"/>
    </row>
    <row r="84" spans="1:26" s="2003" customFormat="1" ht="15" x14ac:dyDescent="0.2">
      <c r="A84" s="2132" t="s">
        <v>5704</v>
      </c>
      <c r="B84" s="2132"/>
      <c r="C84" s="2132"/>
      <c r="D84" s="2132"/>
      <c r="E84" s="2132"/>
      <c r="F84" s="2132"/>
      <c r="G84" s="2132"/>
      <c r="H84" s="2132"/>
      <c r="I84" s="2132"/>
      <c r="J84" s="1726">
        <f>J82+J63</f>
        <v>77715.92</v>
      </c>
      <c r="K84" s="2038"/>
      <c r="L84" s="2039"/>
      <c r="M84" s="1726">
        <f>M82+M63</f>
        <v>0</v>
      </c>
      <c r="N84" s="1726">
        <f t="shared" ref="N84:Z84" si="42">N82+N63</f>
        <v>17481.37</v>
      </c>
      <c r="O84" s="1726">
        <f t="shared" si="42"/>
        <v>11418.890000000001</v>
      </c>
      <c r="P84" s="1726">
        <f t="shared" si="42"/>
        <v>1714.78</v>
      </c>
      <c r="Q84" s="1726">
        <f t="shared" si="42"/>
        <v>23550.44</v>
      </c>
      <c r="R84" s="1726">
        <f t="shared" si="42"/>
        <v>23550.44</v>
      </c>
      <c r="S84" s="1726">
        <f t="shared" si="42"/>
        <v>0</v>
      </c>
      <c r="T84" s="1726">
        <f t="shared" si="42"/>
        <v>0</v>
      </c>
      <c r="U84" s="1726">
        <f t="shared" si="42"/>
        <v>0</v>
      </c>
      <c r="V84" s="1726">
        <f t="shared" si="42"/>
        <v>0</v>
      </c>
      <c r="W84" s="1726">
        <f t="shared" si="42"/>
        <v>0</v>
      </c>
      <c r="X84" s="1726">
        <f t="shared" si="42"/>
        <v>0</v>
      </c>
      <c r="Y84" s="1726">
        <f t="shared" si="42"/>
        <v>0</v>
      </c>
      <c r="Z84" s="1726">
        <f t="shared" si="42"/>
        <v>0</v>
      </c>
    </row>
    <row r="85" spans="1:26" s="2006" customFormat="1" ht="15" x14ac:dyDescent="0.2">
      <c r="A85" s="1635"/>
      <c r="B85" s="1984"/>
      <c r="C85" s="1984"/>
      <c r="D85" s="1813"/>
      <c r="E85" s="1638"/>
      <c r="F85" s="1639"/>
      <c r="G85" s="19"/>
      <c r="H85" s="19"/>
      <c r="I85" s="19"/>
      <c r="J85" s="1727"/>
      <c r="K85" s="2038"/>
      <c r="L85" s="2039"/>
      <c r="M85" s="2013">
        <f>M84/$J84</f>
        <v>0</v>
      </c>
      <c r="N85" s="2013">
        <f>N84/$J84</f>
        <v>0.22493936892209471</v>
      </c>
      <c r="O85" s="2013">
        <f t="shared" ref="O85" si="43">O84/$J84</f>
        <v>0.14693115644773944</v>
      </c>
      <c r="P85" s="2013">
        <f t="shared" ref="P85" si="44">P84/$J84</f>
        <v>2.2064719815450939E-2</v>
      </c>
      <c r="Q85" s="2013">
        <f t="shared" ref="Q85" si="45">Q84/$J84</f>
        <v>0.30303237740735744</v>
      </c>
      <c r="R85" s="2013">
        <f t="shared" ref="R85" si="46">R84/$J84</f>
        <v>0.30303237740735744</v>
      </c>
      <c r="S85" s="2013">
        <f t="shared" ref="S85" si="47">S84/$J84</f>
        <v>0</v>
      </c>
      <c r="T85" s="2013">
        <f t="shared" ref="T85" si="48">T84/$J84</f>
        <v>0</v>
      </c>
      <c r="U85" s="2013">
        <f t="shared" ref="U85" si="49">U84/$J84</f>
        <v>0</v>
      </c>
      <c r="V85" s="2013">
        <f t="shared" ref="V85" si="50">V84/$J84</f>
        <v>0</v>
      </c>
      <c r="W85" s="2013">
        <f t="shared" ref="W85" si="51">W84/$J84</f>
        <v>0</v>
      </c>
      <c r="X85" s="2013">
        <f t="shared" ref="X85" si="52">X84/$J84</f>
        <v>0</v>
      </c>
      <c r="Y85" s="2013">
        <f t="shared" ref="Y85" si="53">Y84/$J84</f>
        <v>0</v>
      </c>
      <c r="Z85" s="2013">
        <f t="shared" ref="Z85" si="54">Z84/$J84</f>
        <v>0</v>
      </c>
    </row>
    <row r="86" spans="1:26" s="2003" customFormat="1" ht="15" x14ac:dyDescent="0.2">
      <c r="A86" s="1988" t="s">
        <v>4</v>
      </c>
      <c r="B86" s="2135" t="s">
        <v>4862</v>
      </c>
      <c r="C86" s="2135"/>
      <c r="D86" s="2135"/>
      <c r="E86" s="2135"/>
      <c r="F86" s="2135"/>
      <c r="G86" s="2135"/>
      <c r="H86" s="2135"/>
      <c r="I86" s="2135"/>
      <c r="J86" s="2135"/>
      <c r="K86" s="2037"/>
      <c r="L86" s="2037"/>
      <c r="M86" s="2000"/>
      <c r="N86" s="2001"/>
      <c r="O86" s="2002"/>
      <c r="P86" s="2002"/>
      <c r="Q86" s="2002"/>
      <c r="R86" s="2002"/>
      <c r="S86" s="2002"/>
      <c r="T86" s="2002"/>
      <c r="U86" s="2002"/>
      <c r="V86" s="2002"/>
      <c r="W86" s="2002"/>
      <c r="X86" s="2002"/>
      <c r="Y86" s="2002"/>
      <c r="Z86" s="2002"/>
    </row>
    <row r="87" spans="1:26" s="2006" customFormat="1" ht="15" x14ac:dyDescent="0.2">
      <c r="A87" s="2004" t="s">
        <v>0</v>
      </c>
      <c r="B87" s="2131" t="s">
        <v>4442</v>
      </c>
      <c r="C87" s="2131"/>
      <c r="D87" s="2004" t="s">
        <v>1</v>
      </c>
      <c r="E87" s="2004" t="s">
        <v>131</v>
      </c>
      <c r="F87" s="1987" t="s">
        <v>11</v>
      </c>
      <c r="G87" s="1989" t="s">
        <v>12</v>
      </c>
      <c r="H87" s="1989" t="s">
        <v>5679</v>
      </c>
      <c r="I87" s="1989" t="s">
        <v>5680</v>
      </c>
      <c r="J87" s="1990" t="s">
        <v>130</v>
      </c>
      <c r="K87" s="2037"/>
      <c r="L87" s="2037"/>
      <c r="M87" s="2000"/>
      <c r="N87" s="2001"/>
      <c r="O87" s="2005"/>
      <c r="P87" s="2005"/>
      <c r="Q87" s="2005"/>
      <c r="R87" s="2005"/>
      <c r="S87" s="2005"/>
      <c r="T87" s="2005"/>
      <c r="U87" s="2005"/>
      <c r="V87" s="2005"/>
      <c r="W87" s="2005"/>
      <c r="X87" s="2005"/>
      <c r="Y87" s="2005"/>
      <c r="Z87" s="2005"/>
    </row>
    <row r="88" spans="1:26" s="2006" customFormat="1" ht="15" x14ac:dyDescent="0.2">
      <c r="A88" s="1513" t="s">
        <v>4853</v>
      </c>
      <c r="B88" s="2130" t="s">
        <v>4863</v>
      </c>
      <c r="C88" s="2130"/>
      <c r="D88" s="2130"/>
      <c r="E88" s="2130"/>
      <c r="F88" s="2130"/>
      <c r="G88" s="2130"/>
      <c r="H88" s="2130"/>
      <c r="I88" s="2130"/>
      <c r="J88" s="2130"/>
      <c r="K88" s="2038"/>
      <c r="L88" s="2039"/>
      <c r="M88" s="2005"/>
      <c r="N88" s="2002"/>
      <c r="O88" s="2005"/>
      <c r="P88" s="2005"/>
      <c r="Q88" s="2005"/>
      <c r="R88" s="2005"/>
      <c r="S88" s="2005"/>
      <c r="T88" s="2005"/>
      <c r="U88" s="2005"/>
      <c r="V88" s="2005"/>
      <c r="W88" s="2005"/>
      <c r="X88" s="2005"/>
      <c r="Y88" s="2005"/>
      <c r="Z88" s="2005"/>
    </row>
    <row r="89" spans="1:26" s="2009" customFormat="1" ht="15" x14ac:dyDescent="0.2">
      <c r="A89" s="1634" t="s">
        <v>5769</v>
      </c>
      <c r="B89" s="2136" t="s">
        <v>5770</v>
      </c>
      <c r="C89" s="2136"/>
      <c r="D89" s="2136"/>
      <c r="E89" s="2136"/>
      <c r="F89" s="2136"/>
      <c r="G89" s="2136"/>
      <c r="H89" s="2136"/>
      <c r="I89" s="2136"/>
      <c r="J89" s="2136"/>
      <c r="K89" s="2040">
        <f t="shared" ref="K89:K105" si="55">ROUND(G89*E89,2)</f>
        <v>0</v>
      </c>
      <c r="L89" s="2041">
        <f t="shared" ref="L89:L105" si="56">ROUND(H89*E89,2)</f>
        <v>0</v>
      </c>
      <c r="M89" s="2016"/>
      <c r="N89" s="2017"/>
      <c r="O89" s="2016"/>
      <c r="P89" s="2016"/>
      <c r="Q89" s="2016"/>
      <c r="R89" s="2016"/>
      <c r="S89" s="2016"/>
      <c r="T89" s="2016"/>
      <c r="U89" s="2016"/>
      <c r="V89" s="2016"/>
      <c r="W89" s="2016"/>
      <c r="X89" s="2016"/>
      <c r="Y89" s="2016"/>
      <c r="Z89" s="2016"/>
    </row>
    <row r="90" spans="1:26" s="2009" customFormat="1" ht="45" x14ac:dyDescent="0.2">
      <c r="A90" s="1635" t="s">
        <v>6758</v>
      </c>
      <c r="B90" s="1984" t="s">
        <v>4448</v>
      </c>
      <c r="C90" s="1984">
        <v>97084</v>
      </c>
      <c r="D90" s="1813" t="s">
        <v>7458</v>
      </c>
      <c r="E90" s="1638">
        <v>41.96</v>
      </c>
      <c r="F90" s="1639" t="s">
        <v>5286</v>
      </c>
      <c r="G90" s="1636">
        <v>0.49</v>
      </c>
      <c r="H90" s="1636">
        <f t="shared" ref="H90:H91" si="57">ROUND(G90*$B$13,2)</f>
        <v>0.13</v>
      </c>
      <c r="I90" s="1636">
        <f t="shared" ref="I90:I91" si="58">H90+G90</f>
        <v>0.62</v>
      </c>
      <c r="J90" s="1723">
        <f t="shared" ref="J90:J91" si="59">ROUND(I90*E90,2)</f>
        <v>26.02</v>
      </c>
      <c r="K90" s="2040">
        <f t="shared" si="55"/>
        <v>20.56</v>
      </c>
      <c r="L90" s="2041">
        <f t="shared" si="56"/>
        <v>5.45</v>
      </c>
      <c r="M90" s="2008"/>
      <c r="N90" s="2017"/>
      <c r="O90" s="2016"/>
      <c r="P90" s="2016"/>
      <c r="Q90" s="2016"/>
      <c r="R90" s="2016"/>
      <c r="S90" s="2016">
        <f>J90</f>
        <v>26.02</v>
      </c>
      <c r="T90" s="2016"/>
      <c r="U90" s="2016"/>
      <c r="V90" s="2016"/>
      <c r="W90" s="2016"/>
      <c r="X90" s="2016"/>
      <c r="Y90" s="2016"/>
      <c r="Z90" s="2016"/>
    </row>
    <row r="91" spans="1:26" s="2009" customFormat="1" ht="45" x14ac:dyDescent="0.2">
      <c r="A91" s="1635" t="s">
        <v>6759</v>
      </c>
      <c r="B91" s="1984" t="s">
        <v>4448</v>
      </c>
      <c r="C91" s="1984">
        <v>97094</v>
      </c>
      <c r="D91" s="1813" t="s">
        <v>7459</v>
      </c>
      <c r="E91" s="1638">
        <f>E90*0.1</f>
        <v>4.1960000000000006</v>
      </c>
      <c r="F91" s="1639" t="s">
        <v>5685</v>
      </c>
      <c r="G91" s="1636">
        <v>387.41</v>
      </c>
      <c r="H91" s="1636">
        <f t="shared" si="57"/>
        <v>104.33</v>
      </c>
      <c r="I91" s="1636">
        <f t="shared" si="58"/>
        <v>491.74</v>
      </c>
      <c r="J91" s="1723">
        <f t="shared" si="59"/>
        <v>2063.34</v>
      </c>
      <c r="K91" s="2040">
        <f t="shared" si="55"/>
        <v>1625.57</v>
      </c>
      <c r="L91" s="2041">
        <f t="shared" si="56"/>
        <v>437.77</v>
      </c>
      <c r="M91" s="2008"/>
      <c r="N91" s="2017"/>
      <c r="O91" s="2016"/>
      <c r="P91" s="2016"/>
      <c r="Q91" s="2016"/>
      <c r="R91" s="2016"/>
      <c r="S91" s="2016">
        <f>J91</f>
        <v>2063.34</v>
      </c>
      <c r="T91" s="2016"/>
      <c r="U91" s="2016"/>
      <c r="V91" s="2016"/>
      <c r="W91" s="2016"/>
      <c r="X91" s="2016"/>
      <c r="Y91" s="2016"/>
      <c r="Z91" s="2016"/>
    </row>
    <row r="92" spans="1:26" s="2009" customFormat="1" ht="15" x14ac:dyDescent="0.2">
      <c r="A92" s="1634" t="s">
        <v>5780</v>
      </c>
      <c r="B92" s="2136" t="s">
        <v>5781</v>
      </c>
      <c r="C92" s="2136"/>
      <c r="D92" s="2136"/>
      <c r="E92" s="2136"/>
      <c r="F92" s="2136"/>
      <c r="G92" s="2136"/>
      <c r="H92" s="2136"/>
      <c r="I92" s="2136"/>
      <c r="J92" s="2136"/>
      <c r="K92" s="2040">
        <f t="shared" si="55"/>
        <v>0</v>
      </c>
      <c r="L92" s="2041">
        <f t="shared" si="56"/>
        <v>0</v>
      </c>
      <c r="M92" s="2016"/>
      <c r="N92" s="2017"/>
      <c r="O92" s="2016"/>
      <c r="P92" s="2016"/>
      <c r="Q92" s="2016"/>
      <c r="R92" s="2016"/>
      <c r="S92" s="2016"/>
      <c r="T92" s="2016"/>
      <c r="U92" s="2016"/>
      <c r="V92" s="2016"/>
      <c r="W92" s="2016"/>
      <c r="X92" s="2016"/>
      <c r="Y92" s="2016"/>
      <c r="Z92" s="2016"/>
    </row>
    <row r="93" spans="1:26" s="2009" customFormat="1" ht="45" x14ac:dyDescent="0.2">
      <c r="A93" s="1635" t="s">
        <v>7460</v>
      </c>
      <c r="B93" s="1984" t="s">
        <v>4448</v>
      </c>
      <c r="C93" s="1984">
        <v>87879</v>
      </c>
      <c r="D93" s="1813" t="s">
        <v>5782</v>
      </c>
      <c r="E93" s="1638">
        <f>QuantReservatório!J64</f>
        <v>25.62</v>
      </c>
      <c r="F93" s="1639" t="s">
        <v>5286</v>
      </c>
      <c r="G93" s="1636">
        <v>2.97</v>
      </c>
      <c r="H93" s="1636">
        <f>ROUND(G93*$B$13,2)</f>
        <v>0.8</v>
      </c>
      <c r="I93" s="1636">
        <f>H93+G93</f>
        <v>3.7700000000000005</v>
      </c>
      <c r="J93" s="1723">
        <f>ROUND(I93*E93,2)</f>
        <v>96.59</v>
      </c>
      <c r="K93" s="2040">
        <f t="shared" si="55"/>
        <v>76.09</v>
      </c>
      <c r="L93" s="2041">
        <f t="shared" si="56"/>
        <v>20.5</v>
      </c>
      <c r="M93" s="2008"/>
      <c r="N93" s="2017"/>
      <c r="O93" s="2016"/>
      <c r="P93" s="2016"/>
      <c r="Q93" s="2016"/>
      <c r="R93" s="2016"/>
      <c r="S93" s="2016">
        <f>J93</f>
        <v>96.59</v>
      </c>
      <c r="T93" s="2016"/>
      <c r="U93" s="2016"/>
      <c r="V93" s="2016"/>
      <c r="W93" s="2016"/>
      <c r="X93" s="2016"/>
      <c r="Y93" s="2016"/>
      <c r="Z93" s="2016"/>
    </row>
    <row r="94" spans="1:26" s="2009" customFormat="1" ht="30" x14ac:dyDescent="0.2">
      <c r="A94" s="1635" t="s">
        <v>5785</v>
      </c>
      <c r="B94" s="1984" t="s">
        <v>4448</v>
      </c>
      <c r="C94" s="1984">
        <v>89173</v>
      </c>
      <c r="D94" s="1813" t="s">
        <v>5783</v>
      </c>
      <c r="E94" s="1638">
        <f>E93</f>
        <v>25.62</v>
      </c>
      <c r="F94" s="1639" t="s">
        <v>5286</v>
      </c>
      <c r="G94" s="1636">
        <v>26.83</v>
      </c>
      <c r="H94" s="1636">
        <f>ROUND(G94*$B$13,2)</f>
        <v>7.23</v>
      </c>
      <c r="I94" s="1636">
        <f>H94+G94</f>
        <v>34.06</v>
      </c>
      <c r="J94" s="1723">
        <f>ROUND(I94*E94,2)</f>
        <v>872.62</v>
      </c>
      <c r="K94" s="2040">
        <f t="shared" si="55"/>
        <v>687.38</v>
      </c>
      <c r="L94" s="2041">
        <f t="shared" si="56"/>
        <v>185.23</v>
      </c>
      <c r="M94" s="2008"/>
      <c r="N94" s="2017"/>
      <c r="O94" s="2016"/>
      <c r="P94" s="2016"/>
      <c r="Q94" s="2016"/>
      <c r="R94" s="2016"/>
      <c r="S94" s="2016">
        <f>J94</f>
        <v>872.62</v>
      </c>
      <c r="T94" s="2016"/>
      <c r="U94" s="2016"/>
      <c r="V94" s="2016"/>
      <c r="W94" s="2016"/>
      <c r="X94" s="2016"/>
      <c r="Y94" s="2016"/>
      <c r="Z94" s="2016"/>
    </row>
    <row r="95" spans="1:26" s="2009" customFormat="1" ht="15" x14ac:dyDescent="0.2">
      <c r="A95" s="1634" t="s">
        <v>5787</v>
      </c>
      <c r="B95" s="2136" t="s">
        <v>5788</v>
      </c>
      <c r="C95" s="2136"/>
      <c r="D95" s="2136"/>
      <c r="E95" s="2136"/>
      <c r="F95" s="2136"/>
      <c r="G95" s="2136"/>
      <c r="H95" s="2136"/>
      <c r="I95" s="2136"/>
      <c r="J95" s="2136"/>
      <c r="K95" s="2040">
        <f t="shared" si="55"/>
        <v>0</v>
      </c>
      <c r="L95" s="2041">
        <f t="shared" si="56"/>
        <v>0</v>
      </c>
      <c r="M95" s="2016"/>
      <c r="N95" s="2017"/>
      <c r="O95" s="2016"/>
      <c r="P95" s="2016"/>
      <c r="Q95" s="2016"/>
      <c r="R95" s="2016"/>
      <c r="S95" s="2016"/>
      <c r="T95" s="2016"/>
      <c r="U95" s="2016"/>
      <c r="V95" s="2016"/>
      <c r="W95" s="2016"/>
      <c r="X95" s="2016"/>
      <c r="Y95" s="2016"/>
      <c r="Z95" s="2016"/>
    </row>
    <row r="96" spans="1:26" s="2009" customFormat="1" ht="30" x14ac:dyDescent="0.2">
      <c r="A96" s="1635" t="s">
        <v>5797</v>
      </c>
      <c r="B96" s="1984" t="s">
        <v>4448</v>
      </c>
      <c r="C96" s="1984">
        <v>95622</v>
      </c>
      <c r="D96" s="1813" t="s">
        <v>7463</v>
      </c>
      <c r="E96" s="1638">
        <f>E94</f>
        <v>25.62</v>
      </c>
      <c r="F96" s="1639" t="s">
        <v>5286</v>
      </c>
      <c r="G96" s="1636">
        <v>11.84</v>
      </c>
      <c r="H96" s="1636">
        <f t="shared" ref="H96:H97" si="60">ROUND(G96*$B$13,2)</f>
        <v>3.19</v>
      </c>
      <c r="I96" s="1636">
        <f t="shared" ref="I96:I97" si="61">H96+G96</f>
        <v>15.03</v>
      </c>
      <c r="J96" s="1723">
        <f>ROUND(I96*E96,2)</f>
        <v>385.07</v>
      </c>
      <c r="K96" s="2040">
        <f t="shared" si="55"/>
        <v>303.33999999999997</v>
      </c>
      <c r="L96" s="2041">
        <f t="shared" si="56"/>
        <v>81.73</v>
      </c>
      <c r="M96" s="2008"/>
      <c r="N96" s="2017"/>
      <c r="O96" s="2016"/>
      <c r="P96" s="2016"/>
      <c r="Q96" s="2016"/>
      <c r="R96" s="2016"/>
      <c r="S96" s="2016"/>
      <c r="T96" s="2016"/>
      <c r="U96" s="2016">
        <f>J96</f>
        <v>385.07</v>
      </c>
      <c r="V96" s="2016"/>
      <c r="W96" s="2016"/>
      <c r="X96" s="2016"/>
      <c r="Y96" s="2016"/>
      <c r="Z96" s="2016"/>
    </row>
    <row r="97" spans="1:26" s="2009" customFormat="1" ht="30" x14ac:dyDescent="0.2">
      <c r="A97" s="1635" t="s">
        <v>15099</v>
      </c>
      <c r="B97" s="1984" t="s">
        <v>4448</v>
      </c>
      <c r="C97" s="1984">
        <v>88488</v>
      </c>
      <c r="D97" s="1813" t="s">
        <v>7462</v>
      </c>
      <c r="E97" s="1638">
        <f>3.5*2.6</f>
        <v>9.1</v>
      </c>
      <c r="F97" s="1639" t="s">
        <v>5286</v>
      </c>
      <c r="G97" s="1636">
        <v>13.32</v>
      </c>
      <c r="H97" s="1636">
        <f t="shared" si="60"/>
        <v>3.59</v>
      </c>
      <c r="I97" s="1636">
        <f t="shared" si="61"/>
        <v>16.91</v>
      </c>
      <c r="J97" s="1723">
        <f t="shared" ref="J97" si="62">ROUND(I97*E97,2)</f>
        <v>153.88</v>
      </c>
      <c r="K97" s="2040">
        <f t="shared" si="55"/>
        <v>121.21</v>
      </c>
      <c r="L97" s="2041">
        <f t="shared" si="56"/>
        <v>32.67</v>
      </c>
      <c r="M97" s="2008"/>
      <c r="N97" s="2017"/>
      <c r="O97" s="2016"/>
      <c r="P97" s="2016"/>
      <c r="Q97" s="2016"/>
      <c r="R97" s="2016"/>
      <c r="S97" s="2016"/>
      <c r="T97" s="2016"/>
      <c r="U97" s="2016">
        <f>J97</f>
        <v>153.88</v>
      </c>
      <c r="V97" s="2016"/>
      <c r="W97" s="2016"/>
      <c r="X97" s="2016"/>
      <c r="Y97" s="2016"/>
      <c r="Z97" s="2016"/>
    </row>
    <row r="98" spans="1:26" s="2009" customFormat="1" ht="15" x14ac:dyDescent="0.2">
      <c r="A98" s="1634" t="s">
        <v>5798</v>
      </c>
      <c r="B98" s="2136" t="s">
        <v>5799</v>
      </c>
      <c r="C98" s="2136"/>
      <c r="D98" s="2136"/>
      <c r="E98" s="2136"/>
      <c r="F98" s="2136"/>
      <c r="G98" s="2136"/>
      <c r="H98" s="2136"/>
      <c r="I98" s="2136"/>
      <c r="J98" s="2136"/>
      <c r="K98" s="2040">
        <f t="shared" si="55"/>
        <v>0</v>
      </c>
      <c r="L98" s="2041">
        <f t="shared" si="56"/>
        <v>0</v>
      </c>
      <c r="M98" s="2016"/>
      <c r="N98" s="2017"/>
      <c r="O98" s="2016"/>
      <c r="P98" s="2016"/>
      <c r="Q98" s="2016"/>
      <c r="R98" s="2016"/>
      <c r="S98" s="2016"/>
      <c r="T98" s="2016"/>
      <c r="U98" s="2016"/>
      <c r="V98" s="2016"/>
      <c r="W98" s="2016"/>
      <c r="X98" s="2016"/>
      <c r="Y98" s="2016"/>
      <c r="Z98" s="2016"/>
    </row>
    <row r="99" spans="1:26" s="2009" customFormat="1" ht="75" x14ac:dyDescent="0.2">
      <c r="A99" s="1635" t="s">
        <v>6780</v>
      </c>
      <c r="B99" s="1984" t="s">
        <v>4448</v>
      </c>
      <c r="C99" s="1984" t="s">
        <v>5806</v>
      </c>
      <c r="D99" s="1813" t="s">
        <v>7563</v>
      </c>
      <c r="E99" s="1638">
        <f>QuantReservatório!J72</f>
        <v>130.79</v>
      </c>
      <c r="F99" s="1639" t="s">
        <v>5286</v>
      </c>
      <c r="G99" s="1636">
        <v>89.500000000000014</v>
      </c>
      <c r="H99" s="1636">
        <f>ROUND(G99*$B$13,2)</f>
        <v>24.1</v>
      </c>
      <c r="I99" s="1636">
        <f>H99+G99</f>
        <v>113.60000000000002</v>
      </c>
      <c r="J99" s="1723">
        <f>ROUND(I99*E99,2)</f>
        <v>14857.74</v>
      </c>
      <c r="K99" s="2040">
        <f t="shared" si="55"/>
        <v>11705.71</v>
      </c>
      <c r="L99" s="2041">
        <f t="shared" si="56"/>
        <v>3152.04</v>
      </c>
      <c r="M99" s="2008"/>
      <c r="N99" s="2017"/>
      <c r="O99" s="2016"/>
      <c r="P99" s="2016"/>
      <c r="Q99" s="2016"/>
      <c r="R99" s="2016"/>
      <c r="S99" s="2016">
        <f>0.3*J99</f>
        <v>4457.3220000000001</v>
      </c>
      <c r="T99" s="2016">
        <f>0.7*J99</f>
        <v>10400.418</v>
      </c>
      <c r="U99" s="2016"/>
      <c r="V99" s="2016"/>
      <c r="W99" s="2016"/>
      <c r="X99" s="2016"/>
      <c r="Y99" s="2016"/>
      <c r="Z99" s="2016"/>
    </row>
    <row r="100" spans="1:26" s="2009" customFormat="1" ht="75" x14ac:dyDescent="0.2">
      <c r="A100" s="1635" t="s">
        <v>6781</v>
      </c>
      <c r="B100" s="1984" t="s">
        <v>4448</v>
      </c>
      <c r="C100" s="1984" t="s">
        <v>5805</v>
      </c>
      <c r="D100" s="1813" t="s">
        <v>5802</v>
      </c>
      <c r="E100" s="1638">
        <v>130.79</v>
      </c>
      <c r="F100" s="1639" t="s">
        <v>5286</v>
      </c>
      <c r="G100" s="1636">
        <v>47.53</v>
      </c>
      <c r="H100" s="1636">
        <f t="shared" ref="H100:H101" si="63">ROUND(G100*$B$13,2)</f>
        <v>12.8</v>
      </c>
      <c r="I100" s="1636">
        <f t="shared" ref="I100:I101" si="64">H100+G100</f>
        <v>60.33</v>
      </c>
      <c r="J100" s="1723">
        <f t="shared" ref="J100:J101" si="65">ROUND(I100*E100,2)</f>
        <v>7890.56</v>
      </c>
      <c r="K100" s="2040">
        <f t="shared" si="55"/>
        <v>6216.45</v>
      </c>
      <c r="L100" s="2041">
        <f t="shared" si="56"/>
        <v>1674.11</v>
      </c>
      <c r="M100" s="2008"/>
      <c r="N100" s="2017"/>
      <c r="O100" s="2016"/>
      <c r="P100" s="2016"/>
      <c r="Q100" s="2016"/>
      <c r="R100" s="2016"/>
      <c r="S100" s="2016">
        <f>0.3*J100</f>
        <v>2367.1680000000001</v>
      </c>
      <c r="T100" s="2016">
        <f>0.7*J100</f>
        <v>5523.3919999999998</v>
      </c>
      <c r="U100" s="2016"/>
      <c r="V100" s="2016"/>
      <c r="W100" s="2016"/>
      <c r="X100" s="2016"/>
      <c r="Y100" s="2016"/>
      <c r="Z100" s="2016"/>
    </row>
    <row r="101" spans="1:26" s="2009" customFormat="1" ht="75" x14ac:dyDescent="0.2">
      <c r="A101" s="1635" t="s">
        <v>7464</v>
      </c>
      <c r="B101" s="1984" t="s">
        <v>4448</v>
      </c>
      <c r="C101" s="1984">
        <v>98556</v>
      </c>
      <c r="D101" s="1813" t="s">
        <v>7474</v>
      </c>
      <c r="E101" s="1638">
        <f>QuantReservatório!J88</f>
        <v>244.38</v>
      </c>
      <c r="F101" s="1639" t="s">
        <v>5286</v>
      </c>
      <c r="G101" s="1636">
        <v>37.229999999999997</v>
      </c>
      <c r="H101" s="1636">
        <f t="shared" si="63"/>
        <v>10.029999999999999</v>
      </c>
      <c r="I101" s="1636">
        <f t="shared" si="64"/>
        <v>47.26</v>
      </c>
      <c r="J101" s="1723">
        <f t="shared" si="65"/>
        <v>11549.4</v>
      </c>
      <c r="K101" s="2040">
        <f t="shared" si="55"/>
        <v>9098.27</v>
      </c>
      <c r="L101" s="2041">
        <f t="shared" si="56"/>
        <v>2451.13</v>
      </c>
      <c r="M101" s="2008"/>
      <c r="N101" s="2017"/>
      <c r="O101" s="2016"/>
      <c r="P101" s="2016"/>
      <c r="Q101" s="2016"/>
      <c r="R101" s="2016"/>
      <c r="S101" s="2016">
        <f>0.3*J101</f>
        <v>3464.8199999999997</v>
      </c>
      <c r="T101" s="2016">
        <f>0.7*J101</f>
        <v>8084.579999999999</v>
      </c>
      <c r="U101" s="2016"/>
      <c r="V101" s="2016"/>
      <c r="W101" s="2016"/>
      <c r="X101" s="2016"/>
      <c r="Y101" s="2016"/>
      <c r="Z101" s="2016"/>
    </row>
    <row r="102" spans="1:26" s="2009" customFormat="1" ht="15" x14ac:dyDescent="0.2">
      <c r="A102" s="1634" t="s">
        <v>5174</v>
      </c>
      <c r="B102" s="2136" t="s">
        <v>5175</v>
      </c>
      <c r="C102" s="2136"/>
      <c r="D102" s="2136"/>
      <c r="E102" s="2136"/>
      <c r="F102" s="2136"/>
      <c r="G102" s="2136"/>
      <c r="H102" s="2136"/>
      <c r="I102" s="2136"/>
      <c r="J102" s="2136"/>
      <c r="K102" s="2040">
        <f t="shared" si="55"/>
        <v>0</v>
      </c>
      <c r="L102" s="2041">
        <f t="shared" si="56"/>
        <v>0</v>
      </c>
      <c r="M102" s="2008"/>
      <c r="N102" s="2017"/>
      <c r="O102" s="2016"/>
      <c r="P102" s="2016"/>
      <c r="Q102" s="2016"/>
      <c r="R102" s="2016"/>
      <c r="S102" s="2016"/>
      <c r="T102" s="2016"/>
      <c r="U102" s="2016"/>
      <c r="V102" s="2016"/>
      <c r="W102" s="2016"/>
      <c r="X102" s="2016"/>
      <c r="Y102" s="2016"/>
      <c r="Z102" s="2016"/>
    </row>
    <row r="103" spans="1:26" s="2009" customFormat="1" ht="30" x14ac:dyDescent="0.2">
      <c r="A103" s="1984" t="s">
        <v>9458</v>
      </c>
      <c r="B103" s="1984" t="s">
        <v>5281</v>
      </c>
      <c r="C103" s="1984" t="s">
        <v>9461</v>
      </c>
      <c r="D103" s="1813" t="s">
        <v>9463</v>
      </c>
      <c r="E103" s="1638">
        <v>3</v>
      </c>
      <c r="F103" s="1639" t="s">
        <v>5284</v>
      </c>
      <c r="G103" s="1636">
        <v>108.75</v>
      </c>
      <c r="H103" s="1636">
        <f t="shared" ref="H103" si="66">ROUND(G103*$B$13,2)</f>
        <v>29.29</v>
      </c>
      <c r="I103" s="1636">
        <f t="shared" ref="I103" si="67">H103+G103</f>
        <v>138.04</v>
      </c>
      <c r="J103" s="1723">
        <f t="shared" ref="J103" si="68">ROUND(I103*E103,2)</f>
        <v>414.12</v>
      </c>
      <c r="K103" s="2040">
        <f t="shared" ref="K103" si="69">ROUND(G103*E103,2)</f>
        <v>326.25</v>
      </c>
      <c r="L103" s="2041">
        <f t="shared" ref="L103" si="70">ROUND(H103*E103,2)</f>
        <v>87.87</v>
      </c>
      <c r="M103" s="2008"/>
      <c r="N103" s="2017"/>
      <c r="O103" s="2016"/>
      <c r="P103" s="2016"/>
      <c r="Q103" s="2016"/>
      <c r="R103" s="2016"/>
      <c r="S103" s="2016"/>
      <c r="T103" s="2016">
        <f>J103</f>
        <v>414.12</v>
      </c>
      <c r="U103" s="2016"/>
      <c r="V103" s="2016"/>
      <c r="W103" s="2016"/>
      <c r="X103" s="2016"/>
      <c r="Y103" s="2016"/>
      <c r="Z103" s="2016"/>
    </row>
    <row r="104" spans="1:26" s="2009" customFormat="1" ht="30" x14ac:dyDescent="0.2">
      <c r="A104" s="1984" t="s">
        <v>9459</v>
      </c>
      <c r="B104" s="1984" t="s">
        <v>5281</v>
      </c>
      <c r="C104" s="1984" t="s">
        <v>9462</v>
      </c>
      <c r="D104" s="1813" t="s">
        <v>9464</v>
      </c>
      <c r="E104" s="1638">
        <v>1</v>
      </c>
      <c r="F104" s="1639" t="s">
        <v>5284</v>
      </c>
      <c r="G104" s="1636">
        <v>145.47</v>
      </c>
      <c r="H104" s="1636">
        <f t="shared" ref="H104" si="71">ROUND(G104*$B$13,2)</f>
        <v>39.18</v>
      </c>
      <c r="I104" s="1636">
        <f t="shared" ref="I104" si="72">H104+G104</f>
        <v>184.65</v>
      </c>
      <c r="J104" s="1723">
        <f t="shared" ref="J104" si="73">ROUND(I104*E104,2)</f>
        <v>184.65</v>
      </c>
      <c r="K104" s="2040">
        <f t="shared" ref="K104" si="74">ROUND(G104*E104,2)</f>
        <v>145.47</v>
      </c>
      <c r="L104" s="2041">
        <f t="shared" ref="L104" si="75">ROUND(H104*E104,2)</f>
        <v>39.18</v>
      </c>
      <c r="M104" s="2008"/>
      <c r="N104" s="2017"/>
      <c r="O104" s="2016"/>
      <c r="P104" s="2016"/>
      <c r="Q104" s="2016"/>
      <c r="R104" s="2016"/>
      <c r="S104" s="2016"/>
      <c r="T104" s="2016">
        <f>J104</f>
        <v>184.65</v>
      </c>
      <c r="U104" s="2016"/>
      <c r="V104" s="2016"/>
      <c r="W104" s="2016"/>
      <c r="X104" s="2016"/>
      <c r="Y104" s="2016"/>
      <c r="Z104" s="2016"/>
    </row>
    <row r="105" spans="1:26" s="2009" customFormat="1" ht="30" x14ac:dyDescent="0.2">
      <c r="A105" s="1635" t="s">
        <v>5901</v>
      </c>
      <c r="B105" s="1984" t="s">
        <v>4448</v>
      </c>
      <c r="C105" s="1984">
        <v>73665</v>
      </c>
      <c r="D105" s="1813" t="s">
        <v>7476</v>
      </c>
      <c r="E105" s="1638">
        <f>8*0.4</f>
        <v>3.2</v>
      </c>
      <c r="F105" s="1639" t="s">
        <v>5713</v>
      </c>
      <c r="G105" s="1636">
        <v>63.63</v>
      </c>
      <c r="H105" s="1636">
        <f t="shared" ref="H105" si="76">ROUND(G105*$B$13,2)</f>
        <v>17.14</v>
      </c>
      <c r="I105" s="1636">
        <f t="shared" ref="I105" si="77">H105+G105</f>
        <v>80.77000000000001</v>
      </c>
      <c r="J105" s="1723">
        <f t="shared" ref="J105" si="78">ROUND(I105*E105,2)</f>
        <v>258.45999999999998</v>
      </c>
      <c r="K105" s="2040">
        <f t="shared" si="55"/>
        <v>203.62</v>
      </c>
      <c r="L105" s="2041">
        <f t="shared" si="56"/>
        <v>54.85</v>
      </c>
      <c r="M105" s="2008"/>
      <c r="N105" s="2017"/>
      <c r="O105" s="2016"/>
      <c r="P105" s="2016"/>
      <c r="Q105" s="2016"/>
      <c r="R105" s="2016"/>
      <c r="S105" s="2016"/>
      <c r="T105" s="2016">
        <f>J105</f>
        <v>258.45999999999998</v>
      </c>
      <c r="U105" s="2016"/>
      <c r="V105" s="2016"/>
      <c r="W105" s="2016"/>
      <c r="X105" s="2016"/>
      <c r="Y105" s="2016"/>
      <c r="Z105" s="2016"/>
    </row>
    <row r="106" spans="1:26" s="2006" customFormat="1" ht="15" x14ac:dyDescent="0.2">
      <c r="A106" s="2133" t="s">
        <v>5906</v>
      </c>
      <c r="B106" s="2133"/>
      <c r="C106" s="2133"/>
      <c r="D106" s="2133"/>
      <c r="E106" s="2133"/>
      <c r="F106" s="2133"/>
      <c r="G106" s="2133"/>
      <c r="H106" s="2133"/>
      <c r="I106" s="2133"/>
      <c r="J106" s="1724">
        <f>SUM(J88:J105)</f>
        <v>38752.450000000004</v>
      </c>
      <c r="K106" s="2038"/>
      <c r="L106" s="2039"/>
      <c r="M106" s="1724">
        <f t="shared" ref="M106:Z106" si="79">SUM(M88:M105)</f>
        <v>0</v>
      </c>
      <c r="N106" s="1724">
        <f t="shared" si="79"/>
        <v>0</v>
      </c>
      <c r="O106" s="1724">
        <f t="shared" si="79"/>
        <v>0</v>
      </c>
      <c r="P106" s="1724">
        <f t="shared" si="79"/>
        <v>0</v>
      </c>
      <c r="Q106" s="1724">
        <f t="shared" si="79"/>
        <v>0</v>
      </c>
      <c r="R106" s="1724">
        <f t="shared" si="79"/>
        <v>0</v>
      </c>
      <c r="S106" s="1724">
        <f t="shared" si="79"/>
        <v>13347.88</v>
      </c>
      <c r="T106" s="1724">
        <f t="shared" si="79"/>
        <v>24865.62</v>
      </c>
      <c r="U106" s="1724">
        <f t="shared" si="79"/>
        <v>538.95000000000005</v>
      </c>
      <c r="V106" s="1724">
        <f t="shared" si="79"/>
        <v>0</v>
      </c>
      <c r="W106" s="1724">
        <f t="shared" si="79"/>
        <v>0</v>
      </c>
      <c r="X106" s="1724">
        <f t="shared" si="79"/>
        <v>0</v>
      </c>
      <c r="Y106" s="1724">
        <f t="shared" si="79"/>
        <v>0</v>
      </c>
      <c r="Z106" s="1724">
        <f t="shared" si="79"/>
        <v>0</v>
      </c>
    </row>
    <row r="107" spans="1:26" s="2006" customFormat="1" ht="15" x14ac:dyDescent="0.2">
      <c r="A107" s="52"/>
      <c r="B107" s="52"/>
      <c r="C107" s="52"/>
      <c r="D107" s="52"/>
      <c r="E107" s="1506"/>
      <c r="F107" s="52"/>
      <c r="G107" s="52"/>
      <c r="H107" s="51"/>
      <c r="I107" s="51"/>
      <c r="J107" s="1725"/>
      <c r="K107" s="2038"/>
      <c r="L107" s="2039"/>
      <c r="M107" s="2005"/>
      <c r="N107" s="2002"/>
      <c r="O107" s="2005"/>
      <c r="P107" s="2005"/>
      <c r="Q107" s="2005"/>
      <c r="R107" s="2005"/>
      <c r="S107" s="2005"/>
      <c r="T107" s="2005"/>
      <c r="U107" s="2005"/>
      <c r="V107" s="2005"/>
      <c r="W107" s="2005"/>
      <c r="X107" s="2005"/>
      <c r="Y107" s="2005"/>
      <c r="Z107" s="2005"/>
    </row>
    <row r="108" spans="1:26" s="2003" customFormat="1" ht="15" x14ac:dyDescent="0.2">
      <c r="A108" s="2132" t="s">
        <v>5918</v>
      </c>
      <c r="B108" s="2132"/>
      <c r="C108" s="2132"/>
      <c r="D108" s="2132"/>
      <c r="E108" s="2132"/>
      <c r="F108" s="2132"/>
      <c r="G108" s="2132"/>
      <c r="H108" s="2132"/>
      <c r="I108" s="2132"/>
      <c r="J108" s="1726">
        <f>J106</f>
        <v>38752.450000000004</v>
      </c>
      <c r="K108" s="2038"/>
      <c r="L108" s="2039"/>
      <c r="M108" s="1726">
        <f>M106</f>
        <v>0</v>
      </c>
      <c r="N108" s="1726">
        <f t="shared" ref="N108:Z108" si="80">N106</f>
        <v>0</v>
      </c>
      <c r="O108" s="1726">
        <f t="shared" si="80"/>
        <v>0</v>
      </c>
      <c r="P108" s="1726">
        <f t="shared" si="80"/>
        <v>0</v>
      </c>
      <c r="Q108" s="1726">
        <f t="shared" si="80"/>
        <v>0</v>
      </c>
      <c r="R108" s="1726">
        <f t="shared" si="80"/>
        <v>0</v>
      </c>
      <c r="S108" s="1726">
        <f t="shared" si="80"/>
        <v>13347.88</v>
      </c>
      <c r="T108" s="1726">
        <f t="shared" si="80"/>
        <v>24865.62</v>
      </c>
      <c r="U108" s="1726">
        <f t="shared" si="80"/>
        <v>538.95000000000005</v>
      </c>
      <c r="V108" s="1726">
        <f t="shared" si="80"/>
        <v>0</v>
      </c>
      <c r="W108" s="1726">
        <f t="shared" si="80"/>
        <v>0</v>
      </c>
      <c r="X108" s="1726">
        <f t="shared" si="80"/>
        <v>0</v>
      </c>
      <c r="Y108" s="1726">
        <f t="shared" si="80"/>
        <v>0</v>
      </c>
      <c r="Z108" s="1726">
        <f t="shared" si="80"/>
        <v>0</v>
      </c>
    </row>
    <row r="109" spans="1:26" s="2006" customFormat="1" ht="15" x14ac:dyDescent="0.2">
      <c r="A109" s="1635"/>
      <c r="B109" s="1984"/>
      <c r="C109" s="1984"/>
      <c r="D109" s="1813"/>
      <c r="E109" s="1638"/>
      <c r="F109" s="1639"/>
      <c r="G109" s="19"/>
      <c r="H109" s="19"/>
      <c r="I109" s="19"/>
      <c r="J109" s="1727"/>
      <c r="K109" s="2038"/>
      <c r="L109" s="2039"/>
      <c r="M109" s="2013">
        <f>M108/$J108</f>
        <v>0</v>
      </c>
      <c r="N109" s="2013">
        <f>N108/$J108</f>
        <v>0</v>
      </c>
      <c r="O109" s="2013">
        <f t="shared" ref="O109" si="81">O108/$J108</f>
        <v>0</v>
      </c>
      <c r="P109" s="2013">
        <f t="shared" ref="P109" si="82">P108/$J108</f>
        <v>0</v>
      </c>
      <c r="Q109" s="2013">
        <f t="shared" ref="Q109" si="83">Q108/$J108</f>
        <v>0</v>
      </c>
      <c r="R109" s="2013">
        <f t="shared" ref="R109" si="84">R108/$J108</f>
        <v>0</v>
      </c>
      <c r="S109" s="2013">
        <f t="shared" ref="S109" si="85">S108/$J108</f>
        <v>0.34443964188070686</v>
      </c>
      <c r="T109" s="2013">
        <f t="shared" ref="T109" si="86">T108/$J108</f>
        <v>0.64165285033591413</v>
      </c>
      <c r="U109" s="2013">
        <f t="shared" ref="U109" si="87">U108/$J108</f>
        <v>1.3907507783378856E-2</v>
      </c>
      <c r="V109" s="2013">
        <f t="shared" ref="V109" si="88">V108/$J108</f>
        <v>0</v>
      </c>
      <c r="W109" s="2013">
        <f t="shared" ref="W109" si="89">W108/$J108</f>
        <v>0</v>
      </c>
      <c r="X109" s="2013">
        <f t="shared" ref="X109" si="90">X108/$J108</f>
        <v>0</v>
      </c>
      <c r="Y109" s="2013">
        <f t="shared" ref="Y109" si="91">Y108/$J108</f>
        <v>0</v>
      </c>
      <c r="Z109" s="2013">
        <f t="shared" ref="Z109" si="92">Z108/$J108</f>
        <v>0</v>
      </c>
    </row>
    <row r="110" spans="1:26" s="2003" customFormat="1" ht="15" x14ac:dyDescent="0.2">
      <c r="A110" s="1988" t="s">
        <v>4991</v>
      </c>
      <c r="B110" s="2135" t="s">
        <v>4999</v>
      </c>
      <c r="C110" s="2135"/>
      <c r="D110" s="2135"/>
      <c r="E110" s="2135"/>
      <c r="F110" s="2135"/>
      <c r="G110" s="2135"/>
      <c r="H110" s="2135"/>
      <c r="I110" s="2135"/>
      <c r="J110" s="2135"/>
      <c r="K110" s="2037"/>
      <c r="L110" s="2037"/>
      <c r="M110" s="2000"/>
      <c r="N110" s="2001"/>
      <c r="O110" s="2002"/>
      <c r="P110" s="2002"/>
      <c r="Q110" s="2002"/>
      <c r="R110" s="2002"/>
      <c r="S110" s="2002"/>
      <c r="T110" s="2002"/>
      <c r="U110" s="2002"/>
      <c r="V110" s="2002"/>
      <c r="W110" s="2002"/>
      <c r="X110" s="2002"/>
      <c r="Y110" s="2002"/>
      <c r="Z110" s="2002"/>
    </row>
    <row r="111" spans="1:26" s="2006" customFormat="1" ht="15" x14ac:dyDescent="0.2">
      <c r="A111" s="2004" t="s">
        <v>0</v>
      </c>
      <c r="B111" s="2131" t="s">
        <v>4442</v>
      </c>
      <c r="C111" s="2131"/>
      <c r="D111" s="2004" t="s">
        <v>1</v>
      </c>
      <c r="E111" s="2004" t="s">
        <v>131</v>
      </c>
      <c r="F111" s="1987" t="s">
        <v>11</v>
      </c>
      <c r="G111" s="1989" t="s">
        <v>12</v>
      </c>
      <c r="H111" s="1989" t="s">
        <v>5679</v>
      </c>
      <c r="I111" s="1989" t="s">
        <v>5680</v>
      </c>
      <c r="J111" s="1990" t="s">
        <v>130</v>
      </c>
      <c r="K111" s="2037"/>
      <c r="L111" s="2037"/>
      <c r="M111" s="2000"/>
      <c r="N111" s="2001"/>
      <c r="O111" s="2005"/>
      <c r="P111" s="2005"/>
      <c r="Q111" s="2005"/>
      <c r="R111" s="2005"/>
      <c r="S111" s="2005"/>
      <c r="T111" s="2005"/>
      <c r="U111" s="2005"/>
      <c r="V111" s="2005"/>
      <c r="W111" s="2005"/>
      <c r="X111" s="2005"/>
      <c r="Y111" s="2005"/>
      <c r="Z111" s="2005"/>
    </row>
    <row r="112" spans="1:26" s="2006" customFormat="1" ht="15" x14ac:dyDescent="0.2">
      <c r="A112" s="1513" t="s">
        <v>4992</v>
      </c>
      <c r="B112" s="2130" t="s">
        <v>5000</v>
      </c>
      <c r="C112" s="2130"/>
      <c r="D112" s="2130"/>
      <c r="E112" s="2130"/>
      <c r="F112" s="2130"/>
      <c r="G112" s="2130"/>
      <c r="H112" s="2130"/>
      <c r="I112" s="2130"/>
      <c r="J112" s="2130"/>
      <c r="K112" s="2038"/>
      <c r="L112" s="2039"/>
      <c r="M112" s="2005"/>
      <c r="N112" s="2002"/>
      <c r="O112" s="2005"/>
      <c r="P112" s="2005"/>
      <c r="Q112" s="2005"/>
      <c r="R112" s="2005"/>
      <c r="S112" s="2005"/>
      <c r="T112" s="2005"/>
      <c r="U112" s="2005"/>
      <c r="V112" s="2005"/>
      <c r="W112" s="2005"/>
      <c r="X112" s="2005"/>
      <c r="Y112" s="2005"/>
      <c r="Z112" s="2005"/>
    </row>
    <row r="113" spans="1:26" s="2006" customFormat="1" ht="15" x14ac:dyDescent="0.2">
      <c r="A113" s="1634" t="s">
        <v>5919</v>
      </c>
      <c r="B113" s="2136" t="s">
        <v>5920</v>
      </c>
      <c r="C113" s="2136"/>
      <c r="D113" s="2136"/>
      <c r="E113" s="2136"/>
      <c r="F113" s="2136"/>
      <c r="G113" s="2136"/>
      <c r="H113" s="2136"/>
      <c r="I113" s="2136"/>
      <c r="J113" s="2136"/>
      <c r="K113" s="2038"/>
      <c r="L113" s="2039"/>
      <c r="M113" s="2005"/>
      <c r="N113" s="2002"/>
      <c r="O113" s="2005"/>
      <c r="P113" s="2005"/>
      <c r="Q113" s="2005"/>
      <c r="R113" s="2005"/>
      <c r="S113" s="2005"/>
      <c r="T113" s="2005"/>
      <c r="U113" s="2005"/>
      <c r="V113" s="2005"/>
      <c r="W113" s="2005"/>
      <c r="X113" s="2005"/>
      <c r="Y113" s="2005"/>
      <c r="Z113" s="2005"/>
    </row>
    <row r="114" spans="1:26" s="2009" customFormat="1" ht="30" x14ac:dyDescent="0.2">
      <c r="A114" s="1635" t="s">
        <v>6960</v>
      </c>
      <c r="B114" s="1984" t="s">
        <v>4448</v>
      </c>
      <c r="C114" s="1984">
        <v>89357</v>
      </c>
      <c r="D114" s="1813" t="s">
        <v>5923</v>
      </c>
      <c r="E114" s="1638">
        <f>QuantitativosÁgFria!C15</f>
        <v>10.11</v>
      </c>
      <c r="F114" s="1639" t="s">
        <v>5713</v>
      </c>
      <c r="G114" s="1636">
        <v>22.4</v>
      </c>
      <c r="H114" s="1636">
        <f t="shared" ref="H114:H124" si="93">ROUND(G114*$B$13,2)</f>
        <v>6.03</v>
      </c>
      <c r="I114" s="1636">
        <f t="shared" ref="I114:I124" si="94">H114+G114</f>
        <v>28.43</v>
      </c>
      <c r="J114" s="1723">
        <f t="shared" ref="J114:J124" si="95">ROUND(I114*E114,2)</f>
        <v>287.43</v>
      </c>
      <c r="K114" s="2040">
        <f t="shared" ref="K114" si="96">ROUND(G114*E114,2)</f>
        <v>226.46</v>
      </c>
      <c r="L114" s="2041">
        <f t="shared" ref="L114" si="97">ROUND(H114*E114,2)</f>
        <v>60.96</v>
      </c>
      <c r="M114" s="2016"/>
      <c r="N114" s="2017"/>
      <c r="O114" s="2016"/>
      <c r="P114" s="2016"/>
      <c r="Q114" s="2016"/>
      <c r="R114" s="2016"/>
      <c r="S114" s="2016"/>
      <c r="T114" s="2016"/>
      <c r="U114" s="2016">
        <f>0.5*J114</f>
        <v>143.715</v>
      </c>
      <c r="V114" s="2016">
        <f>0.5*J114</f>
        <v>143.715</v>
      </c>
      <c r="W114" s="2016"/>
      <c r="X114" s="2016"/>
      <c r="Y114" s="2016"/>
      <c r="Z114" s="2016"/>
    </row>
    <row r="115" spans="1:26" s="2009" customFormat="1" ht="30" x14ac:dyDescent="0.2">
      <c r="A115" s="1635" t="s">
        <v>6961</v>
      </c>
      <c r="B115" s="1984" t="s">
        <v>4448</v>
      </c>
      <c r="C115" s="1984">
        <v>89449</v>
      </c>
      <c r="D115" s="1813" t="s">
        <v>5925</v>
      </c>
      <c r="E115" s="1638">
        <f>QuantitativosÁgFria!C17</f>
        <v>25.16</v>
      </c>
      <c r="F115" s="1639" t="s">
        <v>5713</v>
      </c>
      <c r="G115" s="1636">
        <v>12.11</v>
      </c>
      <c r="H115" s="1636">
        <f t="shared" si="93"/>
        <v>3.26</v>
      </c>
      <c r="I115" s="1636">
        <f t="shared" si="94"/>
        <v>15.37</v>
      </c>
      <c r="J115" s="1723">
        <f t="shared" si="95"/>
        <v>386.71</v>
      </c>
      <c r="K115" s="2040">
        <f t="shared" ref="K115:K135" si="98">ROUND(G115*E115,2)</f>
        <v>304.69</v>
      </c>
      <c r="L115" s="2041">
        <f t="shared" ref="L115:L135" si="99">ROUND(H115*E115,2)</f>
        <v>82.02</v>
      </c>
      <c r="M115" s="2016"/>
      <c r="N115" s="2017"/>
      <c r="O115" s="2016"/>
      <c r="P115" s="2016"/>
      <c r="Q115" s="2016"/>
      <c r="R115" s="2016"/>
      <c r="S115" s="2016"/>
      <c r="T115" s="2016"/>
      <c r="U115" s="2016">
        <f t="shared" ref="U115:U124" si="100">0.5*J115</f>
        <v>193.35499999999999</v>
      </c>
      <c r="V115" s="2016">
        <f t="shared" ref="V115:V124" si="101">0.5*J115</f>
        <v>193.35499999999999</v>
      </c>
      <c r="W115" s="2016"/>
      <c r="X115" s="2016"/>
      <c r="Y115" s="2016"/>
      <c r="Z115" s="2016"/>
    </row>
    <row r="116" spans="1:26" s="2009" customFormat="1" ht="60" x14ac:dyDescent="0.2">
      <c r="A116" s="1635" t="s">
        <v>6966</v>
      </c>
      <c r="B116" s="1984" t="s">
        <v>4448</v>
      </c>
      <c r="C116" s="1984">
        <v>94709</v>
      </c>
      <c r="D116" s="1813" t="s">
        <v>6689</v>
      </c>
      <c r="E116" s="1638">
        <f>QuantitativosÁgFria!C20</f>
        <v>2</v>
      </c>
      <c r="F116" s="1639" t="s">
        <v>5284</v>
      </c>
      <c r="G116" s="1636">
        <v>23.93</v>
      </c>
      <c r="H116" s="1636">
        <f t="shared" si="93"/>
        <v>6.44</v>
      </c>
      <c r="I116" s="1636">
        <f t="shared" si="94"/>
        <v>30.37</v>
      </c>
      <c r="J116" s="1723">
        <f t="shared" si="95"/>
        <v>60.74</v>
      </c>
      <c r="K116" s="2040">
        <f t="shared" si="98"/>
        <v>47.86</v>
      </c>
      <c r="L116" s="2041">
        <f t="shared" si="99"/>
        <v>12.88</v>
      </c>
      <c r="M116" s="2016"/>
      <c r="N116" s="2017"/>
      <c r="O116" s="2016"/>
      <c r="P116" s="2016"/>
      <c r="Q116" s="2016"/>
      <c r="R116" s="2016"/>
      <c r="S116" s="2016"/>
      <c r="T116" s="2016"/>
      <c r="U116" s="2016">
        <f t="shared" si="100"/>
        <v>30.37</v>
      </c>
      <c r="V116" s="2016">
        <f t="shared" si="101"/>
        <v>30.37</v>
      </c>
      <c r="W116" s="2016"/>
      <c r="X116" s="2016"/>
      <c r="Y116" s="2016"/>
      <c r="Z116" s="2016"/>
    </row>
    <row r="117" spans="1:26" s="2009" customFormat="1" ht="60" x14ac:dyDescent="0.2">
      <c r="A117" s="1635" t="s">
        <v>6967</v>
      </c>
      <c r="B117" s="1984" t="s">
        <v>4448</v>
      </c>
      <c r="C117" s="1984">
        <v>94711</v>
      </c>
      <c r="D117" s="1813" t="s">
        <v>5928</v>
      </c>
      <c r="E117" s="1638">
        <f>QuantitativosÁgFria!C21</f>
        <v>2</v>
      </c>
      <c r="F117" s="1639" t="s">
        <v>5284</v>
      </c>
      <c r="G117" s="1636">
        <v>43.82</v>
      </c>
      <c r="H117" s="1636">
        <f t="shared" si="93"/>
        <v>11.8</v>
      </c>
      <c r="I117" s="1636">
        <f t="shared" si="94"/>
        <v>55.620000000000005</v>
      </c>
      <c r="J117" s="1723">
        <f t="shared" si="95"/>
        <v>111.24</v>
      </c>
      <c r="K117" s="2040">
        <f t="shared" si="98"/>
        <v>87.64</v>
      </c>
      <c r="L117" s="2041">
        <f t="shared" si="99"/>
        <v>23.6</v>
      </c>
      <c r="M117" s="2016"/>
      <c r="N117" s="2017"/>
      <c r="O117" s="2016"/>
      <c r="P117" s="2016"/>
      <c r="Q117" s="2016"/>
      <c r="R117" s="2016"/>
      <c r="S117" s="2016"/>
      <c r="T117" s="2016"/>
      <c r="U117" s="2016">
        <f t="shared" si="100"/>
        <v>55.62</v>
      </c>
      <c r="V117" s="2016">
        <f t="shared" si="101"/>
        <v>55.62</v>
      </c>
      <c r="W117" s="2016"/>
      <c r="X117" s="2016"/>
      <c r="Y117" s="2016"/>
      <c r="Z117" s="2016"/>
    </row>
    <row r="118" spans="1:26" s="2009" customFormat="1" ht="45" x14ac:dyDescent="0.2">
      <c r="A118" s="1635" t="s">
        <v>6968</v>
      </c>
      <c r="B118" s="1984" t="s">
        <v>4448</v>
      </c>
      <c r="C118" s="1984">
        <v>94658</v>
      </c>
      <c r="D118" s="1813" t="s">
        <v>5931</v>
      </c>
      <c r="E118" s="1638">
        <f>QuantitativosÁgFria!C24</f>
        <v>1</v>
      </c>
      <c r="F118" s="1639" t="s">
        <v>5284</v>
      </c>
      <c r="G118" s="1636">
        <v>5.4</v>
      </c>
      <c r="H118" s="1636">
        <f t="shared" si="93"/>
        <v>1.45</v>
      </c>
      <c r="I118" s="1636">
        <f t="shared" si="94"/>
        <v>6.8500000000000005</v>
      </c>
      <c r="J118" s="1723">
        <f t="shared" si="95"/>
        <v>6.85</v>
      </c>
      <c r="K118" s="2040">
        <f t="shared" si="98"/>
        <v>5.4</v>
      </c>
      <c r="L118" s="2041">
        <f t="shared" si="99"/>
        <v>1.45</v>
      </c>
      <c r="M118" s="2016"/>
      <c r="N118" s="2017"/>
      <c r="O118" s="2016"/>
      <c r="P118" s="2016"/>
      <c r="Q118" s="2016"/>
      <c r="R118" s="2016"/>
      <c r="S118" s="2016"/>
      <c r="T118" s="2016"/>
      <c r="U118" s="2016">
        <f t="shared" si="100"/>
        <v>3.4249999999999998</v>
      </c>
      <c r="V118" s="2016">
        <f t="shared" si="101"/>
        <v>3.4249999999999998</v>
      </c>
      <c r="W118" s="2016"/>
      <c r="X118" s="2016"/>
      <c r="Y118" s="2016"/>
      <c r="Z118" s="2016"/>
    </row>
    <row r="119" spans="1:26" s="2009" customFormat="1" ht="45" x14ac:dyDescent="0.2">
      <c r="A119" s="1635" t="s">
        <v>6969</v>
      </c>
      <c r="B119" s="1984" t="s">
        <v>4448</v>
      </c>
      <c r="C119" s="1984">
        <v>94662</v>
      </c>
      <c r="D119" s="1813" t="s">
        <v>5932</v>
      </c>
      <c r="E119" s="1638">
        <f>QuantitativosÁgFria!C25</f>
        <v>8</v>
      </c>
      <c r="F119" s="1639" t="s">
        <v>5284</v>
      </c>
      <c r="G119" s="1636">
        <v>9.5</v>
      </c>
      <c r="H119" s="1636">
        <f t="shared" si="93"/>
        <v>2.56</v>
      </c>
      <c r="I119" s="1636">
        <f t="shared" si="94"/>
        <v>12.06</v>
      </c>
      <c r="J119" s="1723">
        <f t="shared" si="95"/>
        <v>96.48</v>
      </c>
      <c r="K119" s="2040">
        <f t="shared" si="98"/>
        <v>76</v>
      </c>
      <c r="L119" s="2041">
        <f t="shared" si="99"/>
        <v>20.48</v>
      </c>
      <c r="M119" s="2016"/>
      <c r="N119" s="2017"/>
      <c r="O119" s="2016"/>
      <c r="P119" s="2016"/>
      <c r="Q119" s="2016"/>
      <c r="R119" s="2016"/>
      <c r="S119" s="2016"/>
      <c r="T119" s="2016"/>
      <c r="U119" s="2016">
        <f t="shared" si="100"/>
        <v>48.24</v>
      </c>
      <c r="V119" s="2016">
        <f t="shared" si="101"/>
        <v>48.24</v>
      </c>
      <c r="W119" s="2016"/>
      <c r="X119" s="2016"/>
      <c r="Y119" s="2016"/>
      <c r="Z119" s="2016"/>
    </row>
    <row r="120" spans="1:26" s="2009" customFormat="1" ht="30" x14ac:dyDescent="0.2">
      <c r="A120" s="1635" t="s">
        <v>6980</v>
      </c>
      <c r="B120" s="1984" t="s">
        <v>5281</v>
      </c>
      <c r="C120" s="1984">
        <v>1257</v>
      </c>
      <c r="D120" s="1813" t="s">
        <v>6688</v>
      </c>
      <c r="E120" s="1638">
        <f>QuantitativosÁgFria!C38</f>
        <v>1</v>
      </c>
      <c r="F120" s="1639" t="s">
        <v>5284</v>
      </c>
      <c r="G120" s="1636">
        <v>14.129999999999999</v>
      </c>
      <c r="H120" s="1636">
        <f t="shared" si="93"/>
        <v>3.81</v>
      </c>
      <c r="I120" s="1636">
        <f t="shared" si="94"/>
        <v>17.939999999999998</v>
      </c>
      <c r="J120" s="1723">
        <f t="shared" si="95"/>
        <v>17.940000000000001</v>
      </c>
      <c r="K120" s="2040">
        <f t="shared" si="98"/>
        <v>14.13</v>
      </c>
      <c r="L120" s="2041">
        <f t="shared" si="99"/>
        <v>3.81</v>
      </c>
      <c r="M120" s="2016"/>
      <c r="N120" s="2017"/>
      <c r="O120" s="2016"/>
      <c r="P120" s="2016"/>
      <c r="Q120" s="2016"/>
      <c r="R120" s="2016"/>
      <c r="S120" s="2016"/>
      <c r="T120" s="2016"/>
      <c r="U120" s="2016">
        <f t="shared" si="100"/>
        <v>8.9700000000000006</v>
      </c>
      <c r="V120" s="2016">
        <f t="shared" si="101"/>
        <v>8.9700000000000006</v>
      </c>
      <c r="W120" s="2016"/>
      <c r="X120" s="2016"/>
      <c r="Y120" s="2016"/>
      <c r="Z120" s="2016"/>
    </row>
    <row r="121" spans="1:26" s="2009" customFormat="1" ht="30" x14ac:dyDescent="0.2">
      <c r="A121" s="1635" t="s">
        <v>6981</v>
      </c>
      <c r="B121" s="1984" t="s">
        <v>4448</v>
      </c>
      <c r="C121" s="1984">
        <v>89494</v>
      </c>
      <c r="D121" s="1813" t="s">
        <v>5953</v>
      </c>
      <c r="E121" s="1638">
        <f>QuantitativosÁgFria!C40</f>
        <v>4</v>
      </c>
      <c r="F121" s="1639" t="s">
        <v>5284</v>
      </c>
      <c r="G121" s="1636">
        <v>8.89</v>
      </c>
      <c r="H121" s="1636">
        <f>ROUND(G121*$B$13,2)</f>
        <v>2.39</v>
      </c>
      <c r="I121" s="1636">
        <f t="shared" si="94"/>
        <v>11.280000000000001</v>
      </c>
      <c r="J121" s="1723">
        <f t="shared" si="95"/>
        <v>45.12</v>
      </c>
      <c r="K121" s="2040">
        <f t="shared" si="98"/>
        <v>35.56</v>
      </c>
      <c r="L121" s="2041">
        <f t="shared" si="99"/>
        <v>9.56</v>
      </c>
      <c r="M121" s="2016"/>
      <c r="N121" s="2017"/>
      <c r="O121" s="2016"/>
      <c r="P121" s="2016"/>
      <c r="Q121" s="2016"/>
      <c r="R121" s="2016"/>
      <c r="S121" s="2016"/>
      <c r="T121" s="2016"/>
      <c r="U121" s="2016">
        <f t="shared" si="100"/>
        <v>22.56</v>
      </c>
      <c r="V121" s="2016">
        <f t="shared" si="101"/>
        <v>22.56</v>
      </c>
      <c r="W121" s="2016"/>
      <c r="X121" s="2016"/>
      <c r="Y121" s="2016"/>
      <c r="Z121" s="2016"/>
    </row>
    <row r="122" spans="1:26" s="2009" customFormat="1" ht="30" x14ac:dyDescent="0.2">
      <c r="A122" s="1635" t="s">
        <v>6982</v>
      </c>
      <c r="B122" s="1984" t="s">
        <v>4448</v>
      </c>
      <c r="C122" s="1984">
        <v>89503</v>
      </c>
      <c r="D122" s="1813" t="s">
        <v>5955</v>
      </c>
      <c r="E122" s="1638">
        <f>QuantitativosÁgFria!C42</f>
        <v>4</v>
      </c>
      <c r="F122" s="1639" t="s">
        <v>5284</v>
      </c>
      <c r="G122" s="1636">
        <v>17.3</v>
      </c>
      <c r="H122" s="1636">
        <f t="shared" si="93"/>
        <v>4.66</v>
      </c>
      <c r="I122" s="1636">
        <f t="shared" si="94"/>
        <v>21.96</v>
      </c>
      <c r="J122" s="1723">
        <f t="shared" si="95"/>
        <v>87.84</v>
      </c>
      <c r="K122" s="2040">
        <f t="shared" si="98"/>
        <v>69.2</v>
      </c>
      <c r="L122" s="2041">
        <f t="shared" si="99"/>
        <v>18.64</v>
      </c>
      <c r="M122" s="2016"/>
      <c r="N122" s="2017"/>
      <c r="O122" s="2016"/>
      <c r="P122" s="2016"/>
      <c r="Q122" s="2016"/>
      <c r="R122" s="2016"/>
      <c r="S122" s="2016"/>
      <c r="T122" s="2016"/>
      <c r="U122" s="2016">
        <f t="shared" si="100"/>
        <v>43.92</v>
      </c>
      <c r="V122" s="2016">
        <f t="shared" si="101"/>
        <v>43.92</v>
      </c>
      <c r="W122" s="2016"/>
      <c r="X122" s="2016"/>
      <c r="Y122" s="2016"/>
      <c r="Z122" s="2016"/>
    </row>
    <row r="123" spans="1:26" s="2009" customFormat="1" ht="30" x14ac:dyDescent="0.2">
      <c r="A123" s="1635" t="s">
        <v>6993</v>
      </c>
      <c r="B123" s="1984" t="s">
        <v>4448</v>
      </c>
      <c r="C123" s="1984">
        <v>89389</v>
      </c>
      <c r="D123" s="1813" t="s">
        <v>5971</v>
      </c>
      <c r="E123" s="1638">
        <f>QuantitativosÁgFria!C57</f>
        <v>2</v>
      </c>
      <c r="F123" s="1639" t="s">
        <v>5284</v>
      </c>
      <c r="G123" s="1636">
        <v>9.35</v>
      </c>
      <c r="H123" s="1636">
        <f t="shared" si="93"/>
        <v>2.52</v>
      </c>
      <c r="I123" s="1636">
        <f t="shared" si="94"/>
        <v>11.87</v>
      </c>
      <c r="J123" s="1723">
        <f t="shared" si="95"/>
        <v>23.74</v>
      </c>
      <c r="K123" s="2040">
        <f t="shared" si="98"/>
        <v>18.7</v>
      </c>
      <c r="L123" s="2041">
        <f t="shared" si="99"/>
        <v>5.04</v>
      </c>
      <c r="M123" s="2016"/>
      <c r="N123" s="2017"/>
      <c r="O123" s="2016"/>
      <c r="P123" s="2016"/>
      <c r="Q123" s="2016"/>
      <c r="R123" s="2016"/>
      <c r="S123" s="2016"/>
      <c r="T123" s="2016"/>
      <c r="U123" s="2016">
        <f t="shared" si="100"/>
        <v>11.87</v>
      </c>
      <c r="V123" s="2016">
        <f t="shared" si="101"/>
        <v>11.87</v>
      </c>
      <c r="W123" s="2016"/>
      <c r="X123" s="2016"/>
      <c r="Y123" s="2016"/>
      <c r="Z123" s="2016"/>
    </row>
    <row r="124" spans="1:26" s="2009" customFormat="1" ht="30" x14ac:dyDescent="0.2">
      <c r="A124" s="1635" t="s">
        <v>6994</v>
      </c>
      <c r="B124" s="1984" t="s">
        <v>4448</v>
      </c>
      <c r="C124" s="1984">
        <v>89398</v>
      </c>
      <c r="D124" s="1813" t="s">
        <v>5976</v>
      </c>
      <c r="E124" s="1638">
        <f>QuantitativosÁgFria!C61</f>
        <v>1</v>
      </c>
      <c r="F124" s="1639" t="s">
        <v>5284</v>
      </c>
      <c r="G124" s="1636">
        <v>13.26</v>
      </c>
      <c r="H124" s="1636">
        <f t="shared" si="93"/>
        <v>3.57</v>
      </c>
      <c r="I124" s="1636">
        <f t="shared" si="94"/>
        <v>16.829999999999998</v>
      </c>
      <c r="J124" s="1723">
        <f t="shared" si="95"/>
        <v>16.829999999999998</v>
      </c>
      <c r="K124" s="2040">
        <f t="shared" si="98"/>
        <v>13.26</v>
      </c>
      <c r="L124" s="2041">
        <f t="shared" si="99"/>
        <v>3.57</v>
      </c>
      <c r="M124" s="2016"/>
      <c r="N124" s="2017"/>
      <c r="O124" s="2016"/>
      <c r="P124" s="2016"/>
      <c r="Q124" s="2016"/>
      <c r="R124" s="2016"/>
      <c r="S124" s="2016"/>
      <c r="T124" s="2016"/>
      <c r="U124" s="2016">
        <f t="shared" si="100"/>
        <v>8.4149999999999991</v>
      </c>
      <c r="V124" s="2016">
        <f t="shared" si="101"/>
        <v>8.4149999999999991</v>
      </c>
      <c r="W124" s="2016"/>
      <c r="X124" s="2016"/>
      <c r="Y124" s="2016"/>
      <c r="Z124" s="2016"/>
    </row>
    <row r="125" spans="1:26" s="2009" customFormat="1" ht="30" x14ac:dyDescent="0.2">
      <c r="A125" s="1635" t="s">
        <v>6995</v>
      </c>
      <c r="B125" s="1984" t="s">
        <v>4448</v>
      </c>
      <c r="C125" s="1984">
        <v>89625</v>
      </c>
      <c r="D125" s="1813" t="s">
        <v>5978</v>
      </c>
      <c r="E125" s="1638">
        <f>QuantitativosÁgFria!C63</f>
        <v>5</v>
      </c>
      <c r="F125" s="1639" t="s">
        <v>5284</v>
      </c>
      <c r="G125" s="1636">
        <v>15.81</v>
      </c>
      <c r="H125" s="1636">
        <f t="shared" ref="H125" si="102">ROUND(G125*$B$13,2)</f>
        <v>4.26</v>
      </c>
      <c r="I125" s="1636">
        <f t="shared" ref="I125" si="103">H125+G125</f>
        <v>20.07</v>
      </c>
      <c r="J125" s="1723">
        <f t="shared" ref="J125" si="104">ROUND(I125*E125,2)</f>
        <v>100.35</v>
      </c>
      <c r="K125" s="2040">
        <f t="shared" ref="K125" si="105">ROUND(G125*E125,2)</f>
        <v>79.05</v>
      </c>
      <c r="L125" s="2041">
        <f t="shared" ref="L125" si="106">ROUND(H125*E125,2)</f>
        <v>21.3</v>
      </c>
      <c r="M125" s="2016"/>
      <c r="N125" s="2017"/>
      <c r="O125" s="2016"/>
      <c r="P125" s="2016"/>
      <c r="Q125" s="2016"/>
      <c r="R125" s="2016"/>
      <c r="S125" s="2016"/>
      <c r="T125" s="2016"/>
      <c r="U125" s="2016">
        <f t="shared" ref="U125" si="107">0.5*J125</f>
        <v>50.174999999999997</v>
      </c>
      <c r="V125" s="2016">
        <f t="shared" ref="V125" si="108">0.5*J125</f>
        <v>50.174999999999997</v>
      </c>
      <c r="W125" s="2016"/>
      <c r="X125" s="2016"/>
      <c r="Y125" s="2016"/>
      <c r="Z125" s="2016"/>
    </row>
    <row r="126" spans="1:26" s="2006" customFormat="1" ht="15" x14ac:dyDescent="0.2">
      <c r="A126" s="1634" t="s">
        <v>8883</v>
      </c>
      <c r="B126" s="2136" t="s">
        <v>8884</v>
      </c>
      <c r="C126" s="2136"/>
      <c r="D126" s="2136"/>
      <c r="E126" s="2136"/>
      <c r="F126" s="2136"/>
      <c r="G126" s="2136"/>
      <c r="H126" s="2136"/>
      <c r="I126" s="2136"/>
      <c r="J126" s="2136"/>
      <c r="K126" s="2038"/>
      <c r="L126" s="2039"/>
      <c r="M126" s="2005"/>
      <c r="N126" s="2002"/>
      <c r="O126" s="2005"/>
      <c r="P126" s="2005"/>
      <c r="Q126" s="2005"/>
      <c r="R126" s="2005"/>
      <c r="S126" s="2005"/>
      <c r="T126" s="2005"/>
      <c r="U126" s="2005"/>
      <c r="V126" s="2005"/>
      <c r="W126" s="2005"/>
      <c r="X126" s="2005"/>
      <c r="Y126" s="2005"/>
      <c r="Z126" s="2005"/>
    </row>
    <row r="127" spans="1:26" s="2009" customFormat="1" ht="45" x14ac:dyDescent="0.2">
      <c r="A127" s="1635" t="s">
        <v>8887</v>
      </c>
      <c r="B127" s="1984" t="s">
        <v>14971</v>
      </c>
      <c r="C127" s="1984" t="s">
        <v>3393</v>
      </c>
      <c r="D127" s="1813" t="s">
        <v>8886</v>
      </c>
      <c r="E127" s="1638">
        <v>34.35</v>
      </c>
      <c r="F127" s="1639" t="s">
        <v>5713</v>
      </c>
      <c r="G127" s="1636">
        <v>22.41</v>
      </c>
      <c r="H127" s="1636">
        <f t="shared" ref="H127" si="109">ROUND(G127*$B$13,2)</f>
        <v>6.04</v>
      </c>
      <c r="I127" s="1636">
        <f t="shared" ref="I127" si="110">H127+G127</f>
        <v>28.45</v>
      </c>
      <c r="J127" s="1723">
        <f t="shared" ref="J127" si="111">ROUND(I127*E127,2)</f>
        <v>977.26</v>
      </c>
      <c r="K127" s="2040">
        <f t="shared" ref="K127" si="112">ROUND(G127*E127,2)</f>
        <v>769.78</v>
      </c>
      <c r="L127" s="2041">
        <f t="shared" ref="L127" si="113">ROUND(H127*E127,2)</f>
        <v>207.47</v>
      </c>
      <c r="M127" s="2016"/>
      <c r="N127" s="2017"/>
      <c r="O127" s="2016"/>
      <c r="P127" s="2016"/>
      <c r="Q127" s="2016"/>
      <c r="R127" s="2016"/>
      <c r="S127" s="2016"/>
      <c r="T127" s="2016"/>
      <c r="U127" s="2016">
        <f t="shared" ref="U127" si="114">0.5*J127</f>
        <v>488.63</v>
      </c>
      <c r="V127" s="2016">
        <f t="shared" ref="V127" si="115">0.5*J127</f>
        <v>488.63</v>
      </c>
      <c r="W127" s="2016"/>
      <c r="X127" s="2016"/>
      <c r="Y127" s="2016"/>
      <c r="Z127" s="2016"/>
    </row>
    <row r="128" spans="1:26" s="2009" customFormat="1" ht="30" x14ac:dyDescent="0.2">
      <c r="A128" s="1635" t="s">
        <v>8885</v>
      </c>
      <c r="B128" s="1984" t="s">
        <v>5281</v>
      </c>
      <c r="C128" s="1984">
        <v>1351</v>
      </c>
      <c r="D128" s="1813" t="s">
        <v>8882</v>
      </c>
      <c r="E128" s="1638">
        <v>1</v>
      </c>
      <c r="F128" s="1639" t="s">
        <v>5284</v>
      </c>
      <c r="G128" s="1636">
        <v>13.84</v>
      </c>
      <c r="H128" s="1636">
        <f t="shared" ref="H128" si="116">ROUND(G128*$B$13,2)</f>
        <v>3.73</v>
      </c>
      <c r="I128" s="1636">
        <f t="shared" ref="I128" si="117">H128+G128</f>
        <v>17.57</v>
      </c>
      <c r="J128" s="1723">
        <f t="shared" ref="J128" si="118">ROUND(I128*E128,2)</f>
        <v>17.57</v>
      </c>
      <c r="K128" s="2040">
        <f t="shared" ref="K128" si="119">ROUND(G128*E128,2)</f>
        <v>13.84</v>
      </c>
      <c r="L128" s="2041">
        <f t="shared" ref="L128" si="120">ROUND(H128*E128,2)</f>
        <v>3.73</v>
      </c>
      <c r="M128" s="2016"/>
      <c r="N128" s="2017"/>
      <c r="O128" s="2016"/>
      <c r="P128" s="2016"/>
      <c r="Q128" s="2016"/>
      <c r="R128" s="2016"/>
      <c r="S128" s="2016"/>
      <c r="T128" s="2016"/>
      <c r="U128" s="2016">
        <f t="shared" ref="U128" si="121">0.5*J128</f>
        <v>8.7850000000000001</v>
      </c>
      <c r="V128" s="2016">
        <f t="shared" ref="V128" si="122">0.5*J128</f>
        <v>8.7850000000000001</v>
      </c>
      <c r="W128" s="2016"/>
      <c r="X128" s="2016"/>
      <c r="Y128" s="2016"/>
      <c r="Z128" s="2016"/>
    </row>
    <row r="129" spans="1:26" s="2009" customFormat="1" ht="15" x14ac:dyDescent="0.2">
      <c r="A129" s="1634" t="s">
        <v>5988</v>
      </c>
      <c r="B129" s="2136" t="s">
        <v>7485</v>
      </c>
      <c r="C129" s="2136"/>
      <c r="D129" s="2136"/>
      <c r="E129" s="2136"/>
      <c r="F129" s="2136"/>
      <c r="G129" s="2136"/>
      <c r="H129" s="2136"/>
      <c r="I129" s="2136"/>
      <c r="J129" s="2136"/>
      <c r="K129" s="2040">
        <f t="shared" si="98"/>
        <v>0</v>
      </c>
      <c r="L129" s="2041">
        <f t="shared" si="99"/>
        <v>0</v>
      </c>
      <c r="M129" s="2016"/>
      <c r="N129" s="2017"/>
      <c r="O129" s="2016"/>
      <c r="P129" s="2016"/>
      <c r="Q129" s="2016"/>
      <c r="R129" s="2016"/>
      <c r="S129" s="2016"/>
      <c r="T129" s="2016"/>
      <c r="U129" s="2016"/>
      <c r="V129" s="2016"/>
      <c r="W129" s="2016"/>
      <c r="X129" s="2016"/>
      <c r="Y129" s="2016"/>
      <c r="Z129" s="2016"/>
    </row>
    <row r="130" spans="1:26" s="2009" customFormat="1" ht="30" x14ac:dyDescent="0.2">
      <c r="A130" s="1635" t="s">
        <v>7029</v>
      </c>
      <c r="B130" s="1984" t="s">
        <v>4448</v>
      </c>
      <c r="C130" s="1984">
        <v>95250</v>
      </c>
      <c r="D130" s="1813" t="s">
        <v>7032</v>
      </c>
      <c r="E130" s="1638">
        <f>QuantitativosÁgFria!C87</f>
        <v>1</v>
      </c>
      <c r="F130" s="1639" t="s">
        <v>5284</v>
      </c>
      <c r="G130" s="1636">
        <v>89.54</v>
      </c>
      <c r="H130" s="1636">
        <f>ROUND(G130*$B$13,2)</f>
        <v>24.11</v>
      </c>
      <c r="I130" s="1636">
        <f>H130+G130</f>
        <v>113.65</v>
      </c>
      <c r="J130" s="1723">
        <f>ROUND(I130*E130,2)</f>
        <v>113.65</v>
      </c>
      <c r="K130" s="2040">
        <f t="shared" si="98"/>
        <v>89.54</v>
      </c>
      <c r="L130" s="2041">
        <f t="shared" si="99"/>
        <v>24.11</v>
      </c>
      <c r="M130" s="2016"/>
      <c r="N130" s="2017"/>
      <c r="O130" s="2016"/>
      <c r="P130" s="2016"/>
      <c r="Q130" s="2016"/>
      <c r="R130" s="2016"/>
      <c r="S130" s="2016"/>
      <c r="T130" s="2016"/>
      <c r="U130" s="2016">
        <f>0.5*J130</f>
        <v>56.825000000000003</v>
      </c>
      <c r="V130" s="2016">
        <f>0.5*J130</f>
        <v>56.825000000000003</v>
      </c>
      <c r="W130" s="2016"/>
      <c r="X130" s="2016"/>
      <c r="Y130" s="2016"/>
      <c r="Z130" s="2016"/>
    </row>
    <row r="131" spans="1:26" s="2009" customFormat="1" ht="45" x14ac:dyDescent="0.2">
      <c r="A131" s="1635" t="s">
        <v>7030</v>
      </c>
      <c r="B131" s="1984" t="s">
        <v>4448</v>
      </c>
      <c r="C131" s="1984">
        <v>94794</v>
      </c>
      <c r="D131" s="1813" t="s">
        <v>6687</v>
      </c>
      <c r="E131" s="1638">
        <f>QuantitativosÁgFria!C90</f>
        <v>4</v>
      </c>
      <c r="F131" s="1639" t="s">
        <v>5284</v>
      </c>
      <c r="G131" s="1636">
        <v>149.85</v>
      </c>
      <c r="H131" s="1636">
        <f>ROUND(G131*$B$13,2)</f>
        <v>40.35</v>
      </c>
      <c r="I131" s="1636">
        <f>H131+G131</f>
        <v>190.2</v>
      </c>
      <c r="J131" s="1723">
        <f>ROUND(I131*E131,2)</f>
        <v>760.8</v>
      </c>
      <c r="K131" s="2040">
        <f t="shared" ref="K131" si="123">ROUND(G131*E131,2)</f>
        <v>599.4</v>
      </c>
      <c r="L131" s="2041">
        <f t="shared" ref="L131" si="124">ROUND(H131*E131,2)</f>
        <v>161.4</v>
      </c>
      <c r="M131" s="2016"/>
      <c r="N131" s="2017"/>
      <c r="O131" s="2016"/>
      <c r="P131" s="2016"/>
      <c r="Q131" s="2016"/>
      <c r="R131" s="2016"/>
      <c r="S131" s="2016"/>
      <c r="T131" s="2016"/>
      <c r="U131" s="2016">
        <f>0.5*J131</f>
        <v>380.4</v>
      </c>
      <c r="V131" s="2016">
        <f>0.5*J131</f>
        <v>380.4</v>
      </c>
      <c r="W131" s="2016"/>
      <c r="X131" s="2016"/>
      <c r="Y131" s="2016"/>
      <c r="Z131" s="2016"/>
    </row>
    <row r="132" spans="1:26" s="2009" customFormat="1" ht="15" x14ac:dyDescent="0.2">
      <c r="A132" s="1634" t="s">
        <v>6023</v>
      </c>
      <c r="B132" s="2136" t="s">
        <v>6024</v>
      </c>
      <c r="C132" s="2136"/>
      <c r="D132" s="2136"/>
      <c r="E132" s="2136"/>
      <c r="F132" s="2136"/>
      <c r="G132" s="2136"/>
      <c r="H132" s="2136"/>
      <c r="I132" s="2136"/>
      <c r="J132" s="2136"/>
      <c r="K132" s="2040">
        <f t="shared" si="98"/>
        <v>0</v>
      </c>
      <c r="L132" s="2041">
        <f t="shared" si="99"/>
        <v>0</v>
      </c>
      <c r="M132" s="2016"/>
      <c r="N132" s="2017"/>
      <c r="O132" s="2016"/>
      <c r="P132" s="2016"/>
      <c r="Q132" s="2016"/>
      <c r="R132" s="2016"/>
      <c r="S132" s="2016"/>
      <c r="T132" s="2016"/>
      <c r="U132" s="2016"/>
      <c r="V132" s="2016"/>
      <c r="W132" s="2016"/>
      <c r="X132" s="2016"/>
      <c r="Y132" s="2016"/>
      <c r="Z132" s="2016"/>
    </row>
    <row r="133" spans="1:26" s="2009" customFormat="1" ht="15" x14ac:dyDescent="0.2">
      <c r="A133" s="1635" t="s">
        <v>7479</v>
      </c>
      <c r="B133" s="1984" t="s">
        <v>4448</v>
      </c>
      <c r="C133" s="1984">
        <v>83486</v>
      </c>
      <c r="D133" s="1813" t="s">
        <v>6025</v>
      </c>
      <c r="E133" s="1638">
        <f>QuantitativosÁgFria!C96</f>
        <v>2</v>
      </c>
      <c r="F133" s="1639" t="s">
        <v>5284</v>
      </c>
      <c r="G133" s="1636">
        <v>1161.58</v>
      </c>
      <c r="H133" s="1636">
        <f t="shared" ref="H133:H135" si="125">ROUND(G133*$B$13,2)</f>
        <v>312.81</v>
      </c>
      <c r="I133" s="1636">
        <f t="shared" ref="I133:I135" si="126">H133+G133</f>
        <v>1474.3899999999999</v>
      </c>
      <c r="J133" s="1723">
        <f t="shared" ref="J133:J135" si="127">ROUND(I133*E133,2)</f>
        <v>2948.78</v>
      </c>
      <c r="K133" s="2040">
        <f t="shared" si="98"/>
        <v>2323.16</v>
      </c>
      <c r="L133" s="2041">
        <f t="shared" si="99"/>
        <v>625.62</v>
      </c>
      <c r="M133" s="2016"/>
      <c r="N133" s="2017"/>
      <c r="O133" s="2016"/>
      <c r="P133" s="2016"/>
      <c r="Q133" s="2016"/>
      <c r="R133" s="2016"/>
      <c r="S133" s="2016"/>
      <c r="T133" s="2016"/>
      <c r="U133" s="2016">
        <f>0.5*J133</f>
        <v>1474.39</v>
      </c>
      <c r="V133" s="2016">
        <f>0.5*J133</f>
        <v>1474.39</v>
      </c>
      <c r="W133" s="2016"/>
      <c r="X133" s="2016"/>
      <c r="Y133" s="2016"/>
      <c r="Z133" s="2016"/>
    </row>
    <row r="134" spans="1:26" s="2009" customFormat="1" ht="30" x14ac:dyDescent="0.2">
      <c r="A134" s="1635" t="s">
        <v>7480</v>
      </c>
      <c r="B134" s="1984" t="s">
        <v>5281</v>
      </c>
      <c r="C134" s="1984" t="s">
        <v>7595</v>
      </c>
      <c r="D134" s="1813" t="s">
        <v>6026</v>
      </c>
      <c r="E134" s="1638">
        <v>1</v>
      </c>
      <c r="F134" s="1639" t="s">
        <v>5284</v>
      </c>
      <c r="G134" s="1636">
        <v>2173.19</v>
      </c>
      <c r="H134" s="1636">
        <f t="shared" si="125"/>
        <v>585.24</v>
      </c>
      <c r="I134" s="1636">
        <f t="shared" si="126"/>
        <v>2758.4300000000003</v>
      </c>
      <c r="J134" s="1723">
        <f t="shared" si="127"/>
        <v>2758.43</v>
      </c>
      <c r="K134" s="2040">
        <f t="shared" si="98"/>
        <v>2173.19</v>
      </c>
      <c r="L134" s="2041">
        <f t="shared" si="99"/>
        <v>585.24</v>
      </c>
      <c r="M134" s="2016"/>
      <c r="N134" s="2017"/>
      <c r="O134" s="2016"/>
      <c r="P134" s="2016"/>
      <c r="Q134" s="2016"/>
      <c r="R134" s="2016"/>
      <c r="S134" s="2016"/>
      <c r="T134" s="2016"/>
      <c r="U134" s="2016">
        <f>0.5*J134</f>
        <v>1379.2149999999999</v>
      </c>
      <c r="V134" s="2016">
        <f>0.5*J134</f>
        <v>1379.2149999999999</v>
      </c>
      <c r="W134" s="2016"/>
      <c r="X134" s="2016"/>
      <c r="Y134" s="2016"/>
      <c r="Z134" s="2016"/>
    </row>
    <row r="135" spans="1:26" s="2009" customFormat="1" ht="15" x14ac:dyDescent="0.2">
      <c r="A135" s="1635" t="s">
        <v>6034</v>
      </c>
      <c r="B135" s="1984" t="s">
        <v>4448</v>
      </c>
      <c r="C135" s="1984">
        <v>88547</v>
      </c>
      <c r="D135" s="1813" t="s">
        <v>6027</v>
      </c>
      <c r="E135" s="1638">
        <v>2</v>
      </c>
      <c r="F135" s="1639" t="s">
        <v>5284</v>
      </c>
      <c r="G135" s="1636">
        <v>73.150000000000006</v>
      </c>
      <c r="H135" s="1636">
        <f t="shared" si="125"/>
        <v>19.7</v>
      </c>
      <c r="I135" s="1636">
        <f t="shared" si="126"/>
        <v>92.850000000000009</v>
      </c>
      <c r="J135" s="1723">
        <f t="shared" si="127"/>
        <v>185.7</v>
      </c>
      <c r="K135" s="2040">
        <f t="shared" si="98"/>
        <v>146.30000000000001</v>
      </c>
      <c r="L135" s="2041">
        <f t="shared" si="99"/>
        <v>39.4</v>
      </c>
      <c r="M135" s="2016"/>
      <c r="N135" s="2017"/>
      <c r="O135" s="2016"/>
      <c r="P135" s="2016"/>
      <c r="Q135" s="2016"/>
      <c r="R135" s="2016"/>
      <c r="S135" s="2016"/>
      <c r="T135" s="2016"/>
      <c r="U135" s="2016">
        <f>0.5*J135</f>
        <v>92.85</v>
      </c>
      <c r="V135" s="2016">
        <f>0.5*J135</f>
        <v>92.85</v>
      </c>
      <c r="W135" s="2016"/>
      <c r="X135" s="2016"/>
      <c r="Y135" s="2016"/>
      <c r="Z135" s="2016"/>
    </row>
    <row r="136" spans="1:26" s="2009" customFormat="1" ht="30" x14ac:dyDescent="0.2">
      <c r="A136" s="1635" t="s">
        <v>7481</v>
      </c>
      <c r="B136" s="1984" t="s">
        <v>4448</v>
      </c>
      <c r="C136" s="1984" t="s">
        <v>6033</v>
      </c>
      <c r="D136" s="1813" t="s">
        <v>6030</v>
      </c>
      <c r="E136" s="1638">
        <v>1</v>
      </c>
      <c r="F136" s="1639" t="s">
        <v>5284</v>
      </c>
      <c r="G136" s="1648">
        <v>346.22</v>
      </c>
      <c r="H136" s="1636">
        <f>ROUND(G136*'Orç - Prédio'!$B$13,2)</f>
        <v>93.24</v>
      </c>
      <c r="I136" s="1636">
        <f>H136+G136</f>
        <v>439.46000000000004</v>
      </c>
      <c r="J136" s="1723">
        <f>ROUND(I136*E136,2)</f>
        <v>439.46</v>
      </c>
      <c r="K136" s="2007">
        <f>ROUND(G136*E136,2)</f>
        <v>346.22</v>
      </c>
      <c r="L136" s="2007">
        <f>ROUND(H136*E136,2)</f>
        <v>93.24</v>
      </c>
      <c r="M136" s="2016"/>
      <c r="N136" s="2016"/>
      <c r="O136" s="2016"/>
      <c r="P136" s="2016">
        <f>0.05*J136</f>
        <v>21.972999999999999</v>
      </c>
      <c r="Q136" s="2016"/>
      <c r="R136" s="2016"/>
      <c r="S136" s="2016">
        <f>0.1*J136</f>
        <v>43.945999999999998</v>
      </c>
      <c r="T136" s="2016">
        <f>0.1*J136</f>
        <v>43.945999999999998</v>
      </c>
      <c r="U136" s="2016">
        <f>0.2*J136</f>
        <v>87.891999999999996</v>
      </c>
      <c r="V136" s="2016">
        <f>0.25*J136</f>
        <v>109.86499999999999</v>
      </c>
      <c r="W136" s="2016">
        <f>0.3*J136</f>
        <v>131.83799999999999</v>
      </c>
      <c r="X136" s="2016"/>
      <c r="Y136" s="2016"/>
      <c r="Z136" s="2016"/>
    </row>
    <row r="137" spans="1:26" s="2009" customFormat="1" ht="60" x14ac:dyDescent="0.2">
      <c r="A137" s="1635" t="s">
        <v>7482</v>
      </c>
      <c r="B137" s="1984" t="s">
        <v>4448</v>
      </c>
      <c r="C137" s="1984">
        <v>95635</v>
      </c>
      <c r="D137" s="1813" t="s">
        <v>6031</v>
      </c>
      <c r="E137" s="1638">
        <v>1</v>
      </c>
      <c r="F137" s="1639" t="s">
        <v>5284</v>
      </c>
      <c r="G137" s="1648">
        <v>128.03</v>
      </c>
      <c r="H137" s="1636">
        <f>ROUND(G137*'Orç - Prédio'!$B$13,2)</f>
        <v>34.479999999999997</v>
      </c>
      <c r="I137" s="1636">
        <f>H137+G137</f>
        <v>162.51</v>
      </c>
      <c r="J137" s="1723">
        <f>ROUND(I137*E137,2)</f>
        <v>162.51</v>
      </c>
      <c r="K137" s="2007">
        <f>ROUND(G137*E137,2)</f>
        <v>128.03</v>
      </c>
      <c r="L137" s="2007">
        <f>ROUND(H137*E137,2)</f>
        <v>34.479999999999997</v>
      </c>
      <c r="M137" s="2016"/>
      <c r="N137" s="2016"/>
      <c r="O137" s="2016"/>
      <c r="P137" s="2016">
        <f>0.05*J137</f>
        <v>8.1255000000000006</v>
      </c>
      <c r="Q137" s="2016"/>
      <c r="R137" s="2016"/>
      <c r="S137" s="2016">
        <f>0.1*J137</f>
        <v>16.251000000000001</v>
      </c>
      <c r="T137" s="2016">
        <f>0.1*J137</f>
        <v>16.251000000000001</v>
      </c>
      <c r="U137" s="2016">
        <f>0.2*J137</f>
        <v>32.502000000000002</v>
      </c>
      <c r="V137" s="2016">
        <f>0.25*J137</f>
        <v>40.627499999999998</v>
      </c>
      <c r="W137" s="2016">
        <f>0.3*J137</f>
        <v>48.752999999999993</v>
      </c>
      <c r="X137" s="2016"/>
      <c r="Y137" s="2016"/>
      <c r="Z137" s="2016"/>
    </row>
    <row r="138" spans="1:26" s="2009" customFormat="1" ht="30" x14ac:dyDescent="0.2">
      <c r="A138" s="1635" t="s">
        <v>7483</v>
      </c>
      <c r="B138" s="1984" t="s">
        <v>4448</v>
      </c>
      <c r="C138" s="1984">
        <v>95676</v>
      </c>
      <c r="D138" s="1813" t="s">
        <v>6032</v>
      </c>
      <c r="E138" s="1638">
        <v>1</v>
      </c>
      <c r="F138" s="1639" t="s">
        <v>5284</v>
      </c>
      <c r="G138" s="1648">
        <v>95.79</v>
      </c>
      <c r="H138" s="1636">
        <f>ROUND(G138*'Orç - Prédio'!$B$13,2)</f>
        <v>25.8</v>
      </c>
      <c r="I138" s="1636">
        <f>H138+G138</f>
        <v>121.59</v>
      </c>
      <c r="J138" s="1723">
        <f>ROUND(I138*E138,2)</f>
        <v>121.59</v>
      </c>
      <c r="K138" s="2007">
        <f>ROUND(G138*E138,2)</f>
        <v>95.79</v>
      </c>
      <c r="L138" s="2007">
        <f>ROUND(H138*E138,2)</f>
        <v>25.8</v>
      </c>
      <c r="M138" s="2016"/>
      <c r="N138" s="2016"/>
      <c r="O138" s="2016"/>
      <c r="P138" s="2016">
        <f>0.05*J138</f>
        <v>6.0795000000000003</v>
      </c>
      <c r="Q138" s="2016"/>
      <c r="R138" s="2016"/>
      <c r="S138" s="2016">
        <f>0.1*J138</f>
        <v>12.159000000000001</v>
      </c>
      <c r="T138" s="2016">
        <f>0.1*J138</f>
        <v>12.159000000000001</v>
      </c>
      <c r="U138" s="2016">
        <f>0.2*J138</f>
        <v>24.318000000000001</v>
      </c>
      <c r="V138" s="2016">
        <f>0.25*J138</f>
        <v>30.397500000000001</v>
      </c>
      <c r="W138" s="2016">
        <f>0.3*J138</f>
        <v>36.476999999999997</v>
      </c>
      <c r="X138" s="2016"/>
      <c r="Y138" s="2016"/>
      <c r="Z138" s="2016"/>
    </row>
    <row r="139" spans="1:26" s="2006" customFormat="1" ht="15" x14ac:dyDescent="0.2">
      <c r="A139" s="2133" t="s">
        <v>5921</v>
      </c>
      <c r="B139" s="2133"/>
      <c r="C139" s="2133"/>
      <c r="D139" s="2133"/>
      <c r="E139" s="2133"/>
      <c r="F139" s="2133"/>
      <c r="G139" s="2133"/>
      <c r="H139" s="2133"/>
      <c r="I139" s="2133"/>
      <c r="J139" s="1724">
        <f>SUM(J112:J138)</f>
        <v>9727.02</v>
      </c>
      <c r="K139" s="2038"/>
      <c r="L139" s="2039"/>
      <c r="M139" s="1724">
        <f t="shared" ref="M139:Z139" si="128">SUM(M112:M138)</f>
        <v>0</v>
      </c>
      <c r="N139" s="1724">
        <f t="shared" si="128"/>
        <v>0</v>
      </c>
      <c r="O139" s="1724">
        <f t="shared" si="128"/>
        <v>0</v>
      </c>
      <c r="P139" s="1724">
        <f t="shared" si="128"/>
        <v>36.178000000000004</v>
      </c>
      <c r="Q139" s="1724">
        <f t="shared" si="128"/>
        <v>0</v>
      </c>
      <c r="R139" s="1724">
        <f t="shared" si="128"/>
        <v>0</v>
      </c>
      <c r="S139" s="1724">
        <f t="shared" si="128"/>
        <v>72.356000000000009</v>
      </c>
      <c r="T139" s="1724">
        <f t="shared" si="128"/>
        <v>72.356000000000009</v>
      </c>
      <c r="U139" s="1724">
        <f t="shared" si="128"/>
        <v>4646.4420000000009</v>
      </c>
      <c r="V139" s="1724">
        <f t="shared" si="128"/>
        <v>4682.62</v>
      </c>
      <c r="W139" s="1724">
        <f t="shared" si="128"/>
        <v>217.06799999999998</v>
      </c>
      <c r="X139" s="1724">
        <f t="shared" si="128"/>
        <v>0</v>
      </c>
      <c r="Y139" s="1724">
        <f t="shared" si="128"/>
        <v>0</v>
      </c>
      <c r="Z139" s="1724">
        <f t="shared" si="128"/>
        <v>0</v>
      </c>
    </row>
    <row r="140" spans="1:26" s="2006" customFormat="1" ht="15" x14ac:dyDescent="0.2">
      <c r="A140" s="52"/>
      <c r="B140" s="52"/>
      <c r="C140" s="52"/>
      <c r="D140" s="52"/>
      <c r="E140" s="1506"/>
      <c r="F140" s="52"/>
      <c r="G140" s="52"/>
      <c r="H140" s="51"/>
      <c r="I140" s="51"/>
      <c r="J140" s="1725"/>
      <c r="K140" s="2038"/>
      <c r="L140" s="2039"/>
      <c r="M140" s="2005"/>
      <c r="N140" s="2002"/>
      <c r="O140" s="2005"/>
      <c r="P140" s="2005"/>
      <c r="Q140" s="2005"/>
      <c r="R140" s="2005"/>
      <c r="S140" s="2005"/>
      <c r="T140" s="2005"/>
      <c r="U140" s="2005"/>
      <c r="V140" s="2005"/>
      <c r="W140" s="2005"/>
      <c r="X140" s="2005"/>
      <c r="Y140" s="2005"/>
      <c r="Z140" s="2005"/>
    </row>
    <row r="141" spans="1:26" s="2003" customFormat="1" ht="15" x14ac:dyDescent="0.2">
      <c r="A141" s="2132" t="s">
        <v>6132</v>
      </c>
      <c r="B141" s="2132"/>
      <c r="C141" s="2132"/>
      <c r="D141" s="2132"/>
      <c r="E141" s="2132"/>
      <c r="F141" s="2132"/>
      <c r="G141" s="2132"/>
      <c r="H141" s="2132"/>
      <c r="I141" s="2132"/>
      <c r="J141" s="1726">
        <f>J139</f>
        <v>9727.02</v>
      </c>
      <c r="K141" s="2038"/>
      <c r="L141" s="2039"/>
      <c r="M141" s="1726">
        <f>M139</f>
        <v>0</v>
      </c>
      <c r="N141" s="1726">
        <f t="shared" ref="N141:Z141" si="129">N139</f>
        <v>0</v>
      </c>
      <c r="O141" s="1726">
        <f t="shared" si="129"/>
        <v>0</v>
      </c>
      <c r="P141" s="1726">
        <f t="shared" si="129"/>
        <v>36.178000000000004</v>
      </c>
      <c r="Q141" s="1726">
        <f t="shared" si="129"/>
        <v>0</v>
      </c>
      <c r="R141" s="1726">
        <f t="shared" si="129"/>
        <v>0</v>
      </c>
      <c r="S141" s="1726">
        <f t="shared" si="129"/>
        <v>72.356000000000009</v>
      </c>
      <c r="T141" s="1726">
        <f t="shared" si="129"/>
        <v>72.356000000000009</v>
      </c>
      <c r="U141" s="1726">
        <f t="shared" si="129"/>
        <v>4646.4420000000009</v>
      </c>
      <c r="V141" s="1726">
        <f t="shared" si="129"/>
        <v>4682.62</v>
      </c>
      <c r="W141" s="1726">
        <f t="shared" si="129"/>
        <v>217.06799999999998</v>
      </c>
      <c r="X141" s="1726">
        <f t="shared" si="129"/>
        <v>0</v>
      </c>
      <c r="Y141" s="1726">
        <f t="shared" si="129"/>
        <v>0</v>
      </c>
      <c r="Z141" s="1726">
        <f t="shared" si="129"/>
        <v>0</v>
      </c>
    </row>
    <row r="142" spans="1:26" s="2006" customFormat="1" ht="15" x14ac:dyDescent="0.2">
      <c r="A142" s="1635"/>
      <c r="B142" s="1984"/>
      <c r="C142" s="1984"/>
      <c r="D142" s="1813"/>
      <c r="E142" s="1638"/>
      <c r="F142" s="1639"/>
      <c r="G142" s="19"/>
      <c r="H142" s="19"/>
      <c r="I142" s="19"/>
      <c r="J142" s="1727"/>
      <c r="K142" s="2038"/>
      <c r="L142" s="2039"/>
      <c r="M142" s="2013">
        <f>M141/$J141</f>
        <v>0</v>
      </c>
      <c r="N142" s="2013">
        <f>N141/$J141</f>
        <v>0</v>
      </c>
      <c r="O142" s="2013">
        <f t="shared" ref="O142" si="130">O141/$J141</f>
        <v>0</v>
      </c>
      <c r="P142" s="2013">
        <f t="shared" ref="P142" si="131">P141/$J141</f>
        <v>3.7193302779268472E-3</v>
      </c>
      <c r="Q142" s="2013">
        <f t="shared" ref="Q142" si="132">Q141/$J141</f>
        <v>0</v>
      </c>
      <c r="R142" s="2013">
        <f t="shared" ref="R142" si="133">R141/$J141</f>
        <v>0</v>
      </c>
      <c r="S142" s="2013">
        <f t="shared" ref="S142" si="134">S141/$J141</f>
        <v>7.4386605558536944E-3</v>
      </c>
      <c r="T142" s="2013">
        <f t="shared" ref="T142" si="135">T141/$J141</f>
        <v>7.4386605558536944E-3</v>
      </c>
      <c r="U142" s="2013">
        <f t="shared" ref="U142" si="136">U141/$J141</f>
        <v>0.47768401833243901</v>
      </c>
      <c r="V142" s="2013">
        <f t="shared" ref="V142" si="137">V141/$J141</f>
        <v>0.48140334861036571</v>
      </c>
      <c r="W142" s="2013">
        <f t="shared" ref="W142" si="138">W141/$J141</f>
        <v>2.2315981667561081E-2</v>
      </c>
      <c r="X142" s="2013">
        <f t="shared" ref="X142" si="139">X141/$J141</f>
        <v>0</v>
      </c>
      <c r="Y142" s="2013">
        <f t="shared" ref="Y142" si="140">Y141/$J141</f>
        <v>0</v>
      </c>
      <c r="Z142" s="2013">
        <f t="shared" ref="Z142" si="141">Z141/$J141</f>
        <v>0</v>
      </c>
    </row>
    <row r="143" spans="1:26" s="2003" customFormat="1" ht="15" x14ac:dyDescent="0.2">
      <c r="A143" s="37" t="s">
        <v>14</v>
      </c>
      <c r="B143" s="37"/>
      <c r="C143" s="37"/>
      <c r="D143" s="2129" t="s">
        <v>17</v>
      </c>
      <c r="E143" s="2129"/>
      <c r="F143" s="2129"/>
      <c r="G143" s="2129"/>
      <c r="H143" s="2129"/>
      <c r="I143" s="2129"/>
      <c r="J143" s="1720">
        <f>SUM(K:K)+0.01</f>
        <v>103653.27999999998</v>
      </c>
      <c r="K143" s="2042"/>
      <c r="L143" s="2043"/>
      <c r="M143" s="2022"/>
      <c r="N143" s="2020"/>
      <c r="O143" s="2002"/>
      <c r="P143" s="2002"/>
      <c r="Q143" s="2002"/>
      <c r="R143" s="2002"/>
      <c r="S143" s="2002"/>
      <c r="T143" s="2002"/>
      <c r="U143" s="2002"/>
      <c r="V143" s="2002"/>
      <c r="W143" s="2002"/>
      <c r="X143" s="2002"/>
      <c r="Y143" s="2002"/>
      <c r="Z143" s="2002"/>
    </row>
    <row r="144" spans="1:26" s="2003" customFormat="1" ht="15" x14ac:dyDescent="0.2">
      <c r="A144" s="37" t="s">
        <v>15</v>
      </c>
      <c r="B144" s="37"/>
      <c r="C144" s="37"/>
      <c r="D144" s="2134" t="s">
        <v>4859</v>
      </c>
      <c r="E144" s="2134"/>
      <c r="F144" s="2134"/>
      <c r="G144" s="2134"/>
      <c r="H144" s="2134"/>
      <c r="I144" s="2134"/>
      <c r="J144" s="1720">
        <f>SUM(L:L)</f>
        <v>27912.390000000007</v>
      </c>
      <c r="K144" s="2042"/>
      <c r="L144" s="2043"/>
      <c r="M144" s="2022"/>
      <c r="N144" s="2020"/>
      <c r="O144" s="2002"/>
      <c r="P144" s="2002"/>
      <c r="Q144" s="2002"/>
      <c r="R144" s="2002"/>
      <c r="S144" s="2002"/>
      <c r="T144" s="2002"/>
      <c r="U144" s="2002"/>
      <c r="V144" s="2002"/>
      <c r="W144" s="2002"/>
      <c r="X144" s="2002"/>
      <c r="Y144" s="2002"/>
      <c r="Z144" s="2002"/>
    </row>
    <row r="145" spans="1:26" s="2003" customFormat="1" ht="15" x14ac:dyDescent="0.2">
      <c r="A145" s="37" t="s">
        <v>16</v>
      </c>
      <c r="B145" s="37"/>
      <c r="C145" s="37"/>
      <c r="D145" s="2129" t="s">
        <v>18</v>
      </c>
      <c r="E145" s="2129"/>
      <c r="F145" s="2129"/>
      <c r="G145" s="2129"/>
      <c r="H145" s="2129"/>
      <c r="I145" s="2129"/>
      <c r="J145" s="1720">
        <f>J141+J108+J84+J37+J25</f>
        <v>131565.66999999998</v>
      </c>
      <c r="K145" s="2044"/>
      <c r="L145" s="2045"/>
      <c r="M145" s="2024"/>
      <c r="N145" s="2025"/>
      <c r="O145" s="2002"/>
      <c r="P145" s="2002"/>
      <c r="Q145" s="2002"/>
      <c r="R145" s="2002"/>
      <c r="S145" s="2002"/>
      <c r="T145" s="2002"/>
      <c r="U145" s="2002"/>
      <c r="V145" s="2002"/>
      <c r="W145" s="2002"/>
      <c r="X145" s="2002"/>
      <c r="Y145" s="2002"/>
      <c r="Z145" s="2002"/>
    </row>
    <row r="146" spans="1:26" ht="15" x14ac:dyDescent="0.2">
      <c r="A146" s="1625"/>
      <c r="B146" s="56"/>
      <c r="C146" s="56"/>
      <c r="D146" s="57"/>
      <c r="E146" s="1507"/>
      <c r="F146" s="56"/>
      <c r="G146" s="23"/>
      <c r="H146" s="23"/>
      <c r="I146" s="23"/>
      <c r="J146" s="1721"/>
      <c r="K146" s="1686"/>
      <c r="L146" s="5"/>
      <c r="M146" s="1804"/>
      <c r="N146" s="1680"/>
    </row>
    <row r="147" spans="1:26" ht="15" x14ac:dyDescent="0.2">
      <c r="A147" s="1628"/>
      <c r="B147" s="56"/>
      <c r="C147" s="56"/>
      <c r="D147" s="57"/>
      <c r="E147" s="1507"/>
      <c r="F147" s="56"/>
      <c r="G147" s="23"/>
      <c r="H147" s="23"/>
      <c r="I147" s="23"/>
      <c r="J147" s="1721"/>
    </row>
    <row r="148" spans="1:26" ht="15" x14ac:dyDescent="0.2">
      <c r="A148" s="1628"/>
      <c r="B148" s="1628"/>
      <c r="C148" s="1628"/>
      <c r="D148" s="1624"/>
      <c r="E148" s="42"/>
      <c r="F148" s="59"/>
      <c r="G148" s="185"/>
      <c r="H148" s="185"/>
      <c r="I148" s="185"/>
      <c r="J148" s="1722"/>
    </row>
    <row r="149" spans="1:26" ht="15" x14ac:dyDescent="0.2">
      <c r="A149" s="1628"/>
      <c r="B149" s="1628"/>
      <c r="C149" s="1628"/>
      <c r="D149" s="1624"/>
      <c r="E149" s="42"/>
      <c r="F149" s="59"/>
      <c r="G149" s="185"/>
      <c r="H149" s="185"/>
      <c r="I149" s="185"/>
      <c r="J149" s="1722"/>
    </row>
    <row r="150" spans="1:26" ht="15" x14ac:dyDescent="0.2">
      <c r="A150" s="1628"/>
      <c r="B150" s="1628"/>
      <c r="C150" s="1628"/>
      <c r="D150" s="1624"/>
      <c r="E150" s="42"/>
      <c r="F150" s="59"/>
      <c r="G150" s="185"/>
      <c r="H150" s="185"/>
      <c r="I150" s="185"/>
      <c r="J150" s="1722"/>
    </row>
    <row r="151" spans="1:26" s="137" customFormat="1" ht="15" x14ac:dyDescent="0.2">
      <c r="A151" s="1628"/>
      <c r="B151" s="1628"/>
      <c r="C151" s="1628"/>
      <c r="D151" s="1624"/>
      <c r="E151" s="42"/>
      <c r="F151" s="59"/>
      <c r="G151" s="185"/>
      <c r="H151" s="185"/>
      <c r="I151" s="185"/>
      <c r="J151" s="1722"/>
      <c r="K151" s="1674"/>
      <c r="L151" s="1631"/>
      <c r="M151" s="1654"/>
      <c r="N151" s="1681"/>
      <c r="O151" s="1681"/>
      <c r="P151" s="1681"/>
      <c r="Q151" s="1681"/>
      <c r="R151" s="1681"/>
      <c r="S151" s="1808"/>
      <c r="T151" s="1808"/>
      <c r="U151" s="1808"/>
      <c r="V151" s="1808"/>
      <c r="W151" s="1808"/>
      <c r="X151" s="1808"/>
      <c r="Y151" s="1808"/>
      <c r="Z151" s="1808"/>
    </row>
    <row r="152" spans="1:26" s="137" customFormat="1" ht="15" x14ac:dyDescent="0.2">
      <c r="A152" s="1628"/>
      <c r="B152" s="1628"/>
      <c r="C152" s="1628"/>
      <c r="D152" s="1624"/>
      <c r="E152" s="42"/>
      <c r="F152" s="59"/>
      <c r="G152" s="185"/>
      <c r="H152" s="185"/>
      <c r="I152" s="185"/>
      <c r="J152" s="1722"/>
      <c r="K152" s="1674"/>
      <c r="L152" s="1631"/>
      <c r="M152" s="1654"/>
      <c r="N152" s="1681"/>
      <c r="O152" s="1681"/>
      <c r="P152" s="1681"/>
      <c r="Q152" s="1681"/>
      <c r="R152" s="1681"/>
      <c r="S152" s="1808"/>
      <c r="T152" s="1808"/>
      <c r="U152" s="1808"/>
      <c r="V152" s="1808"/>
      <c r="W152" s="1808"/>
      <c r="X152" s="1808"/>
      <c r="Y152" s="1808"/>
      <c r="Z152" s="1808"/>
    </row>
    <row r="153" spans="1:26" s="137" customFormat="1" ht="15" x14ac:dyDescent="0.2">
      <c r="A153" s="1628"/>
      <c r="B153" s="1628"/>
      <c r="C153" s="1628"/>
      <c r="D153" s="1624"/>
      <c r="E153" s="42"/>
      <c r="F153" s="59"/>
      <c r="G153" s="185"/>
      <c r="H153" s="185"/>
      <c r="I153" s="185"/>
      <c r="J153" s="1722"/>
      <c r="K153" s="1674"/>
      <c r="L153" s="1631"/>
      <c r="M153" s="1654"/>
      <c r="N153" s="1681"/>
      <c r="O153" s="1681"/>
      <c r="P153" s="1681"/>
      <c r="Q153" s="1681"/>
      <c r="R153" s="1681"/>
      <c r="S153" s="1808"/>
      <c r="T153" s="1808"/>
      <c r="U153" s="1808"/>
      <c r="V153" s="1808"/>
      <c r="W153" s="1808"/>
      <c r="X153" s="1808"/>
      <c r="Y153" s="1808"/>
      <c r="Z153" s="1808"/>
    </row>
    <row r="154" spans="1:26" s="137" customFormat="1" x14ac:dyDescent="0.2">
      <c r="A154" s="11"/>
      <c r="B154" s="44"/>
      <c r="C154" s="44"/>
      <c r="D154" s="7"/>
      <c r="E154" s="1508"/>
      <c r="F154" s="8"/>
      <c r="G154" s="1631"/>
      <c r="H154" s="1631"/>
      <c r="I154" s="1631"/>
      <c r="J154" s="1682"/>
      <c r="K154" s="1674"/>
      <c r="L154" s="1631"/>
      <c r="M154" s="1654"/>
      <c r="N154" s="1681"/>
      <c r="O154" s="1681"/>
      <c r="P154" s="1681"/>
      <c r="Q154" s="1681"/>
      <c r="R154" s="1681"/>
      <c r="S154" s="1808"/>
      <c r="T154" s="1808"/>
      <c r="U154" s="1808"/>
      <c r="V154" s="1808"/>
      <c r="W154" s="1808"/>
      <c r="X154" s="1808"/>
      <c r="Y154" s="1808"/>
      <c r="Z154" s="1808"/>
    </row>
  </sheetData>
  <sheetProtection selectLockedCells="1" selectUnlockedCells="1"/>
  <mergeCells count="59">
    <mergeCell ref="B28:C28"/>
    <mergeCell ref="B29:J29"/>
    <mergeCell ref="A31:I31"/>
    <mergeCell ref="A37:I37"/>
    <mergeCell ref="A2:J2"/>
    <mergeCell ref="A3:J3"/>
    <mergeCell ref="A4:J4"/>
    <mergeCell ref="A7:J7"/>
    <mergeCell ref="B9:J9"/>
    <mergeCell ref="B10:J10"/>
    <mergeCell ref="B20:J20"/>
    <mergeCell ref="A23:I23"/>
    <mergeCell ref="A25:I25"/>
    <mergeCell ref="B27:J27"/>
    <mergeCell ref="B11:J11"/>
    <mergeCell ref="B12:J12"/>
    <mergeCell ref="C15:J15"/>
    <mergeCell ref="A17:J17"/>
    <mergeCell ref="B18:J18"/>
    <mergeCell ref="B19:C19"/>
    <mergeCell ref="A82:I82"/>
    <mergeCell ref="B39:J39"/>
    <mergeCell ref="B40:C40"/>
    <mergeCell ref="B33:J33"/>
    <mergeCell ref="A35:I35"/>
    <mergeCell ref="B41:J41"/>
    <mergeCell ref="B42:J42"/>
    <mergeCell ref="B44:J44"/>
    <mergeCell ref="B49:J49"/>
    <mergeCell ref="A63:I63"/>
    <mergeCell ref="B55:J55"/>
    <mergeCell ref="B72:J72"/>
    <mergeCell ref="B77:J77"/>
    <mergeCell ref="B61:J61"/>
    <mergeCell ref="B65:J65"/>
    <mergeCell ref="B66:J66"/>
    <mergeCell ref="B102:J102"/>
    <mergeCell ref="B89:J89"/>
    <mergeCell ref="B92:J92"/>
    <mergeCell ref="A84:I84"/>
    <mergeCell ref="B86:J86"/>
    <mergeCell ref="B87:C87"/>
    <mergeCell ref="B88:J88"/>
    <mergeCell ref="B98:J98"/>
    <mergeCell ref="B95:J95"/>
    <mergeCell ref="B112:J112"/>
    <mergeCell ref="B113:J113"/>
    <mergeCell ref="B129:J129"/>
    <mergeCell ref="B132:J132"/>
    <mergeCell ref="A106:I106"/>
    <mergeCell ref="A108:I108"/>
    <mergeCell ref="B110:J110"/>
    <mergeCell ref="B111:C111"/>
    <mergeCell ref="B126:J126"/>
    <mergeCell ref="A139:I139"/>
    <mergeCell ref="A141:I141"/>
    <mergeCell ref="D143:I143"/>
    <mergeCell ref="D144:I144"/>
    <mergeCell ref="D145:I145"/>
  </mergeCells>
  <phoneticPr fontId="26" type="noConversion"/>
  <printOptions horizontalCentered="1"/>
  <pageMargins left="0.39370078740157483" right="0.39370078740157483" top="0.39370078740157483" bottom="0.98425196850393704" header="0" footer="0.39370078740157483"/>
  <pageSetup paperSize="9" scale="64" firstPageNumber="30" fitToHeight="0" orientation="portrait" useFirstPageNumber="1" r:id="rId1"/>
  <headerFooter alignWithMargins="0">
    <oddFooter>&amp;RPágina &amp;P de 249</oddFooter>
  </headerFooter>
  <rowBreaks count="1" manualBreakCount="1">
    <brk id="54"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3"/>
  <dimension ref="A1:N4763"/>
  <sheetViews>
    <sheetView view="pageBreakPreview" zoomScaleNormal="100" zoomScaleSheetLayoutView="100" workbookViewId="0">
      <selection activeCell="B12" sqref="B12:H12"/>
    </sheetView>
  </sheetViews>
  <sheetFormatPr defaultRowHeight="15" x14ac:dyDescent="0.25"/>
  <cols>
    <col min="1" max="1" width="12" style="192" customWidth="1"/>
    <col min="2" max="2" width="9.28515625" style="192" customWidth="1"/>
    <col min="3" max="3" width="10.5703125" style="192" customWidth="1"/>
    <col min="4" max="4" width="42.85546875" style="176" bestFit="1" customWidth="1"/>
    <col min="5" max="5" width="12.85546875" style="275" customWidth="1"/>
    <col min="6" max="6" width="11.28515625" style="166" customWidth="1"/>
    <col min="7" max="7" width="16.42578125" style="164" bestFit="1" customWidth="1"/>
    <col min="8" max="8" width="17.28515625" style="192" bestFit="1" customWidth="1"/>
    <col min="9" max="9" width="13.85546875" style="1831" customWidth="1"/>
    <col min="10" max="11" width="13.85546875" style="1798" customWidth="1"/>
    <col min="12" max="16384" width="9.140625" style="202"/>
  </cols>
  <sheetData>
    <row r="1" spans="1:14" s="1781" customFormat="1" x14ac:dyDescent="0.25">
      <c r="A1" s="184"/>
      <c r="B1" s="184"/>
      <c r="C1" s="184"/>
      <c r="D1" s="142"/>
      <c r="E1" s="277"/>
      <c r="F1" s="203"/>
      <c r="G1" s="187"/>
      <c r="H1" s="185"/>
      <c r="I1" s="1826"/>
      <c r="J1" s="185"/>
      <c r="K1" s="1798"/>
      <c r="L1" s="202"/>
      <c r="M1" s="202"/>
    </row>
    <row r="2" spans="1:14" s="1781" customFormat="1" x14ac:dyDescent="0.2">
      <c r="A2" s="2123" t="s">
        <v>34</v>
      </c>
      <c r="B2" s="2123"/>
      <c r="C2" s="2123"/>
      <c r="D2" s="2123"/>
      <c r="E2" s="2123"/>
      <c r="F2" s="2123"/>
      <c r="G2" s="2123"/>
      <c r="H2" s="2123"/>
      <c r="I2" s="56"/>
      <c r="J2" s="1788"/>
      <c r="K2" s="205"/>
      <c r="L2" s="205"/>
      <c r="M2" s="170"/>
    </row>
    <row r="3" spans="1:14" s="1781" customFormat="1" x14ac:dyDescent="0.2">
      <c r="A3" s="2123" t="s">
        <v>35</v>
      </c>
      <c r="B3" s="2123"/>
      <c r="C3" s="2123"/>
      <c r="D3" s="2123"/>
      <c r="E3" s="2123"/>
      <c r="F3" s="2123"/>
      <c r="G3" s="2123"/>
      <c r="H3" s="2123"/>
      <c r="I3" s="56"/>
      <c r="J3" s="1788"/>
      <c r="K3" s="205"/>
      <c r="L3" s="205"/>
      <c r="M3" s="170"/>
    </row>
    <row r="4" spans="1:14" s="1781" customFormat="1" x14ac:dyDescent="0.2">
      <c r="A4" s="2123" t="s">
        <v>4980</v>
      </c>
      <c r="B4" s="2123"/>
      <c r="C4" s="2123"/>
      <c r="D4" s="2123"/>
      <c r="E4" s="2123"/>
      <c r="F4" s="2123"/>
      <c r="G4" s="2123"/>
      <c r="H4" s="2123"/>
      <c r="I4" s="56"/>
      <c r="J4" s="1788"/>
      <c r="K4" s="205"/>
      <c r="L4" s="205"/>
      <c r="M4" s="170"/>
    </row>
    <row r="5" spans="1:14" s="1781" customFormat="1" x14ac:dyDescent="0.2">
      <c r="A5" s="193"/>
      <c r="B5" s="193"/>
      <c r="C5" s="193"/>
      <c r="D5" s="142" t="s">
        <v>29</v>
      </c>
      <c r="E5" s="282"/>
      <c r="F5" s="204"/>
      <c r="G5" s="194"/>
      <c r="H5" s="195"/>
      <c r="I5" s="1827"/>
      <c r="J5" s="195"/>
      <c r="K5" s="205"/>
      <c r="L5" s="205"/>
      <c r="M5" s="170"/>
    </row>
    <row r="6" spans="1:14" s="1781" customFormat="1" x14ac:dyDescent="0.2">
      <c r="A6" s="193"/>
      <c r="B6" s="193"/>
      <c r="C6" s="193"/>
      <c r="D6" s="142"/>
      <c r="E6" s="282"/>
      <c r="F6" s="204"/>
      <c r="G6" s="194"/>
      <c r="H6" s="195"/>
      <c r="I6" s="1827"/>
      <c r="J6" s="195"/>
      <c r="K6" s="205"/>
      <c r="L6" s="205"/>
      <c r="M6" s="170"/>
    </row>
    <row r="7" spans="1:14" s="1781" customFormat="1" ht="18.75" x14ac:dyDescent="0.2">
      <c r="A7" s="2154" t="s">
        <v>27</v>
      </c>
      <c r="B7" s="2154"/>
      <c r="C7" s="2154"/>
      <c r="D7" s="2154"/>
      <c r="E7" s="2154"/>
      <c r="F7" s="2154"/>
      <c r="G7" s="2154"/>
      <c r="H7" s="2154"/>
      <c r="I7" s="212"/>
      <c r="J7" s="1793"/>
      <c r="K7" s="205"/>
      <c r="L7" s="205"/>
      <c r="M7" s="170"/>
    </row>
    <row r="8" spans="1:14" s="1517" customFormat="1" x14ac:dyDescent="0.25">
      <c r="A8" s="172"/>
      <c r="B8" s="172"/>
      <c r="C8" s="183"/>
      <c r="D8" s="174"/>
      <c r="E8" s="279"/>
      <c r="F8" s="172"/>
      <c r="G8" s="162"/>
      <c r="H8" s="181"/>
      <c r="I8" s="1642"/>
      <c r="J8" s="1794"/>
      <c r="K8" s="1797"/>
      <c r="L8" s="169"/>
      <c r="M8" s="180"/>
    </row>
    <row r="9" spans="1:14" s="1517" customFormat="1" x14ac:dyDescent="0.25">
      <c r="A9" s="196" t="s">
        <v>4443</v>
      </c>
      <c r="B9" s="140" t="str">
        <f>Resumo!B9</f>
        <v>Construção do Edifício ULEG-FM</v>
      </c>
      <c r="C9" s="200"/>
      <c r="D9" s="200"/>
      <c r="E9" s="283"/>
      <c r="F9" s="200"/>
      <c r="G9" s="200"/>
      <c r="H9" s="79"/>
      <c r="I9" s="1828"/>
      <c r="J9" s="1795"/>
      <c r="K9" s="1799"/>
      <c r="L9" s="207"/>
      <c r="M9" s="202"/>
      <c r="N9" s="202"/>
    </row>
    <row r="10" spans="1:14" s="1517" customFormat="1" x14ac:dyDescent="0.25">
      <c r="A10" s="196" t="s">
        <v>128</v>
      </c>
      <c r="B10" s="140" t="str">
        <f>Resumo!B10</f>
        <v>Campus Darcy Ribeiro</v>
      </c>
      <c r="C10" s="200"/>
      <c r="D10" s="200"/>
      <c r="E10" s="283"/>
      <c r="F10" s="200"/>
      <c r="G10" s="200"/>
      <c r="H10" s="79"/>
      <c r="I10" s="1828"/>
      <c r="J10" s="1795"/>
      <c r="K10" s="1799"/>
      <c r="L10" s="207"/>
      <c r="M10" s="202"/>
      <c r="N10" s="202"/>
    </row>
    <row r="11" spans="1:14" s="1517" customFormat="1" x14ac:dyDescent="0.25">
      <c r="A11" s="196" t="s">
        <v>4444</v>
      </c>
      <c r="B11" s="1825" t="str">
        <f>Resumo!B11</f>
        <v>Maio de 2020</v>
      </c>
      <c r="C11" s="200"/>
      <c r="D11" s="200"/>
      <c r="E11" s="283"/>
      <c r="F11" s="200"/>
      <c r="G11" s="200"/>
      <c r="H11" s="79"/>
      <c r="I11" s="1828"/>
      <c r="J11" s="1795"/>
      <c r="K11" s="1799"/>
      <c r="L11" s="207"/>
      <c r="M11" s="202"/>
      <c r="N11" s="202"/>
    </row>
    <row r="12" spans="1:14" s="1517" customFormat="1" ht="30" x14ac:dyDescent="0.25">
      <c r="A12" s="196" t="s">
        <v>4445</v>
      </c>
      <c r="B12" s="2156" t="str">
        <f>Resumo!B12</f>
        <v>SINAPI 03/2020; SBC 03/2020; SCO-RJ 01/2020; ORSE 01/2019;  SETOP-MG 01/2020; CPOS 11/2019; IOPES 11/2019;  AGETOP 04/2019; TCPO 01/2019</v>
      </c>
      <c r="C12" s="2156"/>
      <c r="D12" s="2156"/>
      <c r="E12" s="2156"/>
      <c r="F12" s="2156"/>
      <c r="G12" s="2156"/>
      <c r="H12" s="2156"/>
      <c r="I12" s="172"/>
      <c r="J12" s="1795"/>
      <c r="K12" s="1798"/>
      <c r="L12" s="202"/>
      <c r="M12" s="202"/>
      <c r="N12" s="202"/>
    </row>
    <row r="13" spans="1:14" s="1517" customFormat="1" x14ac:dyDescent="0.25">
      <c r="A13" s="78" t="s">
        <v>129</v>
      </c>
      <c r="B13" s="197">
        <f>Resumo!B13</f>
        <v>0.26929999999999998</v>
      </c>
      <c r="C13" s="198" t="s">
        <v>4871</v>
      </c>
      <c r="D13" s="177"/>
      <c r="E13" s="285"/>
      <c r="F13" s="177"/>
      <c r="G13" s="198"/>
      <c r="H13" s="198"/>
      <c r="I13" s="1829"/>
      <c r="J13" s="1795"/>
      <c r="K13" s="1798"/>
      <c r="L13" s="202"/>
      <c r="M13" s="202"/>
      <c r="N13" s="202"/>
    </row>
    <row r="14" spans="1:14" s="1517" customFormat="1" x14ac:dyDescent="0.25">
      <c r="A14" s="78"/>
      <c r="B14" s="197">
        <f>Resumo!B14</f>
        <v>0.20930000000000001</v>
      </c>
      <c r="C14" s="198" t="s">
        <v>4872</v>
      </c>
      <c r="D14" s="200"/>
      <c r="E14" s="283"/>
      <c r="F14" s="200"/>
      <c r="G14" s="199"/>
      <c r="H14" s="199"/>
      <c r="I14" s="1642"/>
      <c r="J14" s="1795"/>
      <c r="K14" s="1798"/>
      <c r="L14" s="202"/>
      <c r="M14" s="202"/>
      <c r="N14" s="202"/>
    </row>
    <row r="15" spans="1:14" s="1517" customFormat="1" x14ac:dyDescent="0.25">
      <c r="A15" s="78"/>
      <c r="B15" s="145" t="s">
        <v>4446</v>
      </c>
      <c r="C15" s="199"/>
      <c r="D15" s="200"/>
      <c r="E15" s="283"/>
      <c r="F15" s="200"/>
      <c r="G15" s="199"/>
      <c r="H15" s="199"/>
      <c r="I15" s="1642"/>
      <c r="J15" s="1795"/>
      <c r="K15" s="1798"/>
      <c r="L15" s="202"/>
      <c r="M15" s="202"/>
      <c r="N15" s="202"/>
    </row>
    <row r="16" spans="1:14" s="1517" customFormat="1" x14ac:dyDescent="0.25">
      <c r="A16" s="190"/>
      <c r="B16" s="190"/>
      <c r="C16" s="189"/>
      <c r="D16" s="201"/>
      <c r="E16" s="274"/>
      <c r="F16" s="201"/>
      <c r="G16" s="189"/>
      <c r="H16" s="189"/>
      <c r="I16" s="1822"/>
      <c r="J16" s="1790"/>
      <c r="K16" s="1798"/>
      <c r="L16" s="202"/>
      <c r="M16" s="202"/>
      <c r="N16" s="202"/>
    </row>
    <row r="17" spans="1:13" s="218" customFormat="1" x14ac:dyDescent="0.25">
      <c r="A17" s="161" t="str">
        <f>'Orç - Prédio'!A18</f>
        <v>01.00.000</v>
      </c>
      <c r="B17" s="161"/>
      <c r="C17" s="155"/>
      <c r="D17" s="175" t="s">
        <v>7332</v>
      </c>
      <c r="E17" s="284"/>
      <c r="F17" s="161"/>
      <c r="G17" s="149"/>
      <c r="H17" s="165"/>
      <c r="I17" s="212"/>
      <c r="J17" s="1796"/>
      <c r="K17" s="1793"/>
      <c r="L17" s="1782"/>
      <c r="M17" s="180"/>
    </row>
    <row r="18" spans="1:13" s="1517" customFormat="1" x14ac:dyDescent="0.25">
      <c r="A18" s="171"/>
      <c r="B18" s="171"/>
      <c r="C18" s="206"/>
      <c r="D18" s="159"/>
      <c r="E18" s="276"/>
      <c r="F18" s="171"/>
      <c r="G18" s="178"/>
      <c r="H18" s="148"/>
      <c r="I18" s="1830"/>
      <c r="J18" s="1795"/>
      <c r="K18" s="1795"/>
      <c r="L18" s="169"/>
      <c r="M18" s="1783"/>
    </row>
    <row r="19" spans="1:13" s="1517" customFormat="1" x14ac:dyDescent="0.25">
      <c r="A19" s="146" t="s">
        <v>6</v>
      </c>
      <c r="B19" s="2143" t="s">
        <v>7</v>
      </c>
      <c r="C19" s="2143"/>
      <c r="D19" s="1518" t="s">
        <v>121</v>
      </c>
      <c r="E19" s="278" t="s">
        <v>5282</v>
      </c>
      <c r="F19" s="1518" t="s">
        <v>31</v>
      </c>
      <c r="G19" s="1519" t="s">
        <v>122</v>
      </c>
      <c r="H19" s="1520" t="s">
        <v>123</v>
      </c>
      <c r="I19" s="1830"/>
      <c r="J19" s="1795"/>
      <c r="K19" s="1795"/>
      <c r="L19" s="169"/>
      <c r="M19" s="1783"/>
    </row>
    <row r="20" spans="1:13" s="1526" customFormat="1" ht="30" x14ac:dyDescent="0.2">
      <c r="A20" s="1521" t="str">
        <f>'Orç - Prédio'!A21</f>
        <v>01.03.502.01</v>
      </c>
      <c r="B20" s="1521" t="str">
        <f>'Orç - Prédio'!B21</f>
        <v>ORSE INSUMO</v>
      </c>
      <c r="C20" s="1521">
        <f>'Orç - Prédio'!C21</f>
        <v>7103</v>
      </c>
      <c r="D20" s="1560" t="s">
        <v>7823</v>
      </c>
      <c r="E20" s="1523">
        <f>'Orç - Prédio'!E21</f>
        <v>2464.3200000000002</v>
      </c>
      <c r="F20" s="1521" t="s">
        <v>5286</v>
      </c>
      <c r="G20" s="1524">
        <v>7.1</v>
      </c>
      <c r="H20" s="1525">
        <f>H26</f>
        <v>17496.669999999998</v>
      </c>
      <c r="I20" s="1910" t="s">
        <v>14965</v>
      </c>
      <c r="J20" s="1793"/>
      <c r="K20" s="1793"/>
      <c r="L20" s="141"/>
      <c r="M20" s="1515"/>
    </row>
    <row r="21" spans="1:13" s="156" customFormat="1" ht="45" x14ac:dyDescent="0.2">
      <c r="A21" s="2144">
        <v>7103</v>
      </c>
      <c r="B21" s="2144"/>
      <c r="C21" s="1516" t="s">
        <v>5281</v>
      </c>
      <c r="D21" s="182" t="s">
        <v>7824</v>
      </c>
      <c r="E21" s="1527">
        <v>1</v>
      </c>
      <c r="F21" s="1619" t="s">
        <v>306</v>
      </c>
      <c r="G21" s="367">
        <v>7.1</v>
      </c>
      <c r="H21" s="1530">
        <f>ROUNDDOWN(G21*E21,2)</f>
        <v>7.1</v>
      </c>
      <c r="I21" s="1642"/>
      <c r="J21" s="1797"/>
      <c r="K21" s="1797"/>
      <c r="L21" s="1784"/>
      <c r="M21" s="1785"/>
    </row>
    <row r="22" spans="1:13" s="1517" customFormat="1" x14ac:dyDescent="0.25">
      <c r="A22" s="179"/>
      <c r="B22" s="179"/>
      <c r="C22" s="1531"/>
      <c r="D22" s="2141" t="s">
        <v>124</v>
      </c>
      <c r="E22" s="2141"/>
      <c r="F22" s="2141"/>
      <c r="G22" s="2141"/>
      <c r="H22" s="267">
        <f>SUMIF(F21:F21,("h"),H21:H21)</f>
        <v>0</v>
      </c>
      <c r="I22" s="1830"/>
      <c r="J22" s="1795"/>
      <c r="K22" s="1795"/>
      <c r="L22" s="169"/>
      <c r="M22" s="1783"/>
    </row>
    <row r="23" spans="1:13" s="1517" customFormat="1" x14ac:dyDescent="0.25">
      <c r="A23" s="179"/>
      <c r="B23" s="179"/>
      <c r="C23" s="1531"/>
      <c r="D23" s="2141" t="s">
        <v>125</v>
      </c>
      <c r="E23" s="2141"/>
      <c r="F23" s="2141"/>
      <c r="G23" s="2141"/>
      <c r="H23" s="267">
        <f>SUMIF(F21:F21,"&lt;&gt;h",H21:H21)</f>
        <v>7.1</v>
      </c>
      <c r="I23" s="1830"/>
      <c r="J23" s="1795"/>
      <c r="K23" s="1795"/>
      <c r="L23" s="169"/>
      <c r="M23" s="1783"/>
    </row>
    <row r="24" spans="1:13" s="1517" customFormat="1" x14ac:dyDescent="0.25">
      <c r="A24" s="179"/>
      <c r="B24" s="179"/>
      <c r="C24" s="1531"/>
      <c r="D24" s="2142" t="s">
        <v>126</v>
      </c>
      <c r="E24" s="2142"/>
      <c r="F24" s="2142"/>
      <c r="G24" s="2142"/>
      <c r="H24" s="1532">
        <f>SUM(H22:H23)</f>
        <v>7.1</v>
      </c>
      <c r="I24" s="1830"/>
      <c r="J24" s="1795"/>
      <c r="K24" s="1795"/>
      <c r="L24" s="169"/>
      <c r="M24" s="1783"/>
    </row>
    <row r="25" spans="1:13" s="1517" customFormat="1" x14ac:dyDescent="0.25">
      <c r="A25" s="179"/>
      <c r="B25" s="179"/>
      <c r="C25" s="1531"/>
      <c r="D25" s="2141" t="s">
        <v>28</v>
      </c>
      <c r="E25" s="2141"/>
      <c r="F25" s="2141"/>
      <c r="G25" s="2141"/>
      <c r="H25" s="269">
        <f>E20</f>
        <v>2464.3200000000002</v>
      </c>
      <c r="I25" s="1830"/>
      <c r="J25" s="1795"/>
      <c r="K25" s="1795"/>
      <c r="L25" s="169"/>
      <c r="M25" s="1783"/>
    </row>
    <row r="26" spans="1:13" s="1517" customFormat="1" x14ac:dyDescent="0.25">
      <c r="A26" s="179"/>
      <c r="B26" s="179"/>
      <c r="C26" s="1531"/>
      <c r="D26" s="2142" t="s">
        <v>127</v>
      </c>
      <c r="E26" s="2142"/>
      <c r="F26" s="2142"/>
      <c r="G26" s="2142"/>
      <c r="H26" s="1532">
        <f>ROUND(H24*H25,2)</f>
        <v>17496.669999999998</v>
      </c>
      <c r="I26" s="1830"/>
      <c r="J26" s="1795"/>
      <c r="K26" s="1795"/>
      <c r="L26" s="169"/>
      <c r="M26" s="1783"/>
    </row>
    <row r="27" spans="1:13" s="1517" customFormat="1" x14ac:dyDescent="0.25">
      <c r="A27" s="179"/>
      <c r="B27" s="179"/>
      <c r="C27" s="1531"/>
      <c r="D27" s="2141" t="s">
        <v>15335</v>
      </c>
      <c r="E27" s="2141"/>
      <c r="F27" s="2141"/>
      <c r="G27" s="2141"/>
      <c r="H27" s="267">
        <f>ROUND(H24*$B$13,2)</f>
        <v>1.91</v>
      </c>
      <c r="I27" s="1830"/>
      <c r="J27" s="1795"/>
      <c r="K27" s="1795"/>
      <c r="L27" s="169"/>
      <c r="M27" s="1783"/>
    </row>
    <row r="28" spans="1:13" x14ac:dyDescent="0.25">
      <c r="A28" s="179"/>
      <c r="B28" s="179"/>
      <c r="C28" s="1531"/>
      <c r="D28" s="2142" t="s">
        <v>7898</v>
      </c>
      <c r="E28" s="2142"/>
      <c r="F28" s="2142"/>
      <c r="G28" s="2142"/>
      <c r="H28" s="1532">
        <f>H27+H24</f>
        <v>9.01</v>
      </c>
    </row>
    <row r="29" spans="1:13" x14ac:dyDescent="0.25">
      <c r="A29" s="1514"/>
      <c r="B29" s="1514"/>
      <c r="C29" s="1514"/>
      <c r="F29" s="1533"/>
      <c r="G29" s="1534"/>
      <c r="H29" s="1514"/>
    </row>
    <row r="30" spans="1:13" s="1517" customFormat="1" x14ac:dyDescent="0.25">
      <c r="A30" s="146" t="s">
        <v>6</v>
      </c>
      <c r="B30" s="2143" t="s">
        <v>7</v>
      </c>
      <c r="C30" s="2143"/>
      <c r="D30" s="1518" t="s">
        <v>121</v>
      </c>
      <c r="E30" s="278" t="s">
        <v>5282</v>
      </c>
      <c r="F30" s="1518" t="s">
        <v>31</v>
      </c>
      <c r="G30" s="1519" t="s">
        <v>122</v>
      </c>
      <c r="H30" s="1520" t="s">
        <v>123</v>
      </c>
      <c r="I30" s="1830"/>
      <c r="J30" s="1795"/>
      <c r="K30" s="1795"/>
      <c r="L30" s="169"/>
      <c r="M30" s="1783"/>
    </row>
    <row r="31" spans="1:13" s="1526" customFormat="1" ht="45" x14ac:dyDescent="0.2">
      <c r="A31" s="1521" t="str">
        <f>'Orç - Canteiro e Adm'!A21</f>
        <v>01.06.001</v>
      </c>
      <c r="B31" s="1521" t="str">
        <f>'Orç - Canteiro e Adm'!B21</f>
        <v>CPOS</v>
      </c>
      <c r="C31" s="1521" t="str">
        <f>'Orç - Canteiro e Adm'!C21</f>
        <v>01.27.011</v>
      </c>
      <c r="D31" s="1522" t="s">
        <v>7686</v>
      </c>
      <c r="E31" s="1523">
        <f>'Orç - Canteiro e Adm'!E21</f>
        <v>1</v>
      </c>
      <c r="F31" s="1521" t="s">
        <v>5284</v>
      </c>
      <c r="G31" s="1524">
        <v>3787.6099999999997</v>
      </c>
      <c r="H31" s="1525">
        <f>H38</f>
        <v>3787.61</v>
      </c>
      <c r="I31" s="1910" t="s">
        <v>9481</v>
      </c>
      <c r="J31" s="1793"/>
      <c r="K31" s="1793"/>
      <c r="L31" s="141"/>
      <c r="M31" s="1515"/>
    </row>
    <row r="32" spans="1:13" s="156" customFormat="1" ht="30" x14ac:dyDescent="0.2">
      <c r="A32" s="2144">
        <v>100302</v>
      </c>
      <c r="B32" s="2144"/>
      <c r="C32" s="1516" t="s">
        <v>4448</v>
      </c>
      <c r="D32" s="182" t="s">
        <v>8253</v>
      </c>
      <c r="E32" s="1527">
        <v>4</v>
      </c>
      <c r="F32" s="1675" t="s">
        <v>65</v>
      </c>
      <c r="G32" s="1529">
        <v>109.28</v>
      </c>
      <c r="H32" s="1530">
        <f t="shared" ref="H32" si="0">ROUNDDOWN(G32*E32,2)</f>
        <v>437.12</v>
      </c>
      <c r="I32" s="1642"/>
      <c r="J32" s="1797"/>
      <c r="K32" s="1797"/>
      <c r="L32" s="1784"/>
      <c r="M32" s="1785"/>
    </row>
    <row r="33" spans="1:13" s="156" customFormat="1" ht="30" x14ac:dyDescent="0.2">
      <c r="A33" s="2144">
        <v>100306</v>
      </c>
      <c r="B33" s="2144"/>
      <c r="C33" s="1516" t="s">
        <v>4448</v>
      </c>
      <c r="D33" s="182" t="s">
        <v>8257</v>
      </c>
      <c r="E33" s="1527">
        <v>39</v>
      </c>
      <c r="F33" s="1778" t="s">
        <v>65</v>
      </c>
      <c r="G33" s="1529">
        <v>85.91</v>
      </c>
      <c r="H33" s="1530">
        <f t="shared" ref="H33" si="1">ROUNDDOWN(G33*E33,2)</f>
        <v>3350.49</v>
      </c>
      <c r="I33" s="1642"/>
      <c r="J33" s="1797"/>
      <c r="K33" s="1797"/>
      <c r="L33" s="1784"/>
      <c r="M33" s="1785"/>
    </row>
    <row r="34" spans="1:13" s="1517" customFormat="1" x14ac:dyDescent="0.25">
      <c r="A34" s="179"/>
      <c r="B34" s="179"/>
      <c r="C34" s="1531"/>
      <c r="D34" s="2141" t="s">
        <v>124</v>
      </c>
      <c r="E34" s="2141"/>
      <c r="F34" s="2141"/>
      <c r="G34" s="2141"/>
      <c r="H34" s="267">
        <f>SUMIF(F32:F33,("h"),H32:H33)</f>
        <v>3787.6099999999997</v>
      </c>
      <c r="I34" s="1830"/>
      <c r="J34" s="1795"/>
      <c r="K34" s="1795"/>
      <c r="L34" s="169"/>
      <c r="M34" s="1783"/>
    </row>
    <row r="35" spans="1:13" s="1517" customFormat="1" x14ac:dyDescent="0.25">
      <c r="A35" s="179"/>
      <c r="B35" s="179"/>
      <c r="C35" s="1531"/>
      <c r="D35" s="2141" t="s">
        <v>125</v>
      </c>
      <c r="E35" s="2141"/>
      <c r="F35" s="2141"/>
      <c r="G35" s="2141"/>
      <c r="H35" s="267">
        <f>SUMIF(F32:F33,"&lt;&gt;h",H32:H33)</f>
        <v>0</v>
      </c>
      <c r="I35" s="1830"/>
      <c r="J35" s="1795"/>
      <c r="K35" s="1795"/>
      <c r="L35" s="169"/>
      <c r="M35" s="1783"/>
    </row>
    <row r="36" spans="1:13" s="1517" customFormat="1" x14ac:dyDescent="0.25">
      <c r="A36" s="179"/>
      <c r="B36" s="179"/>
      <c r="C36" s="1531"/>
      <c r="D36" s="2142" t="s">
        <v>126</v>
      </c>
      <c r="E36" s="2142"/>
      <c r="F36" s="2142"/>
      <c r="G36" s="2142"/>
      <c r="H36" s="1532">
        <f>SUM(H34:H35)</f>
        <v>3787.6099999999997</v>
      </c>
      <c r="I36" s="1830"/>
      <c r="J36" s="1795"/>
      <c r="K36" s="1795"/>
      <c r="L36" s="169"/>
      <c r="M36" s="1783"/>
    </row>
    <row r="37" spans="1:13" s="1517" customFormat="1" x14ac:dyDescent="0.25">
      <c r="A37" s="179"/>
      <c r="B37" s="179"/>
      <c r="C37" s="1531"/>
      <c r="D37" s="2141" t="s">
        <v>28</v>
      </c>
      <c r="E37" s="2141"/>
      <c r="F37" s="2141"/>
      <c r="G37" s="2141"/>
      <c r="H37" s="269">
        <f>E31</f>
        <v>1</v>
      </c>
      <c r="I37" s="1830"/>
      <c r="J37" s="1795"/>
      <c r="K37" s="1795"/>
      <c r="L37" s="169"/>
      <c r="M37" s="1783"/>
    </row>
    <row r="38" spans="1:13" s="1517" customFormat="1" x14ac:dyDescent="0.25">
      <c r="A38" s="179"/>
      <c r="B38" s="179"/>
      <c r="C38" s="1531"/>
      <c r="D38" s="2142" t="s">
        <v>127</v>
      </c>
      <c r="E38" s="2142"/>
      <c r="F38" s="2142"/>
      <c r="G38" s="2142"/>
      <c r="H38" s="1532">
        <f>ROUND(H36*H37,2)</f>
        <v>3787.61</v>
      </c>
      <c r="I38" s="1830"/>
      <c r="J38" s="1795"/>
      <c r="K38" s="1795"/>
      <c r="L38" s="169"/>
      <c r="M38" s="1783"/>
    </row>
    <row r="39" spans="1:13" s="1517" customFormat="1" x14ac:dyDescent="0.25">
      <c r="A39" s="179"/>
      <c r="B39" s="179"/>
      <c r="C39" s="1531"/>
      <c r="D39" s="2141" t="s">
        <v>15335</v>
      </c>
      <c r="E39" s="2141"/>
      <c r="F39" s="2141"/>
      <c r="G39" s="2141"/>
      <c r="H39" s="267">
        <f>ROUND(H36*$B$13,2)</f>
        <v>1020</v>
      </c>
      <c r="I39" s="1830"/>
      <c r="J39" s="1795"/>
      <c r="K39" s="1795"/>
      <c r="L39" s="169"/>
      <c r="M39" s="1783"/>
    </row>
    <row r="40" spans="1:13" x14ac:dyDescent="0.25">
      <c r="A40" s="179"/>
      <c r="B40" s="179"/>
      <c r="C40" s="1531"/>
      <c r="D40" s="2142" t="s">
        <v>7898</v>
      </c>
      <c r="E40" s="2142"/>
      <c r="F40" s="2142"/>
      <c r="G40" s="2142"/>
      <c r="H40" s="1532">
        <f>H39+H36</f>
        <v>4807.6099999999997</v>
      </c>
    </row>
    <row r="41" spans="1:13" x14ac:dyDescent="0.25">
      <c r="A41" s="1514"/>
      <c r="B41" s="1514"/>
      <c r="C41" s="1514"/>
      <c r="F41" s="1533"/>
      <c r="G41" s="1534"/>
      <c r="H41" s="1514"/>
    </row>
    <row r="42" spans="1:13" s="1517" customFormat="1" x14ac:dyDescent="0.25">
      <c r="A42" s="146" t="s">
        <v>6</v>
      </c>
      <c r="B42" s="2143" t="s">
        <v>7</v>
      </c>
      <c r="C42" s="2143"/>
      <c r="D42" s="1518" t="s">
        <v>121</v>
      </c>
      <c r="E42" s="278" t="s">
        <v>5282</v>
      </c>
      <c r="F42" s="1518" t="s">
        <v>31</v>
      </c>
      <c r="G42" s="1519" t="s">
        <v>122</v>
      </c>
      <c r="H42" s="1520" t="s">
        <v>123</v>
      </c>
      <c r="I42" s="1830"/>
      <c r="J42" s="1795"/>
      <c r="K42" s="1795"/>
      <c r="L42" s="169"/>
      <c r="M42" s="1783"/>
    </row>
    <row r="43" spans="1:13" s="1526" customFormat="1" ht="30" x14ac:dyDescent="0.2">
      <c r="A43" s="1779" t="str">
        <f>'Orç - Prédio'!A25</f>
        <v>01.06.002</v>
      </c>
      <c r="B43" s="1779" t="str">
        <f>'Orç - Prédio'!B25</f>
        <v>ORSE</v>
      </c>
      <c r="C43" s="1779" t="str">
        <f>'Orç - Prédio'!C25</f>
        <v>INSUMO 4815</v>
      </c>
      <c r="D43" s="1522" t="s">
        <v>7339</v>
      </c>
      <c r="E43" s="1523">
        <f>'Orç - Prédio'!E25</f>
        <v>37</v>
      </c>
      <c r="F43" s="1779" t="s">
        <v>5284</v>
      </c>
      <c r="G43" s="1524">
        <v>76.739999999999995</v>
      </c>
      <c r="H43" s="1525">
        <f>H49</f>
        <v>2839.38</v>
      </c>
      <c r="I43" s="1910" t="s">
        <v>14965</v>
      </c>
      <c r="J43" s="1793"/>
      <c r="K43" s="1793"/>
      <c r="L43" s="141"/>
      <c r="M43" s="1515"/>
    </row>
    <row r="44" spans="1:13" s="156" customFormat="1" ht="30" x14ac:dyDescent="0.2">
      <c r="A44" s="2144">
        <v>4815</v>
      </c>
      <c r="B44" s="2144"/>
      <c r="C44" s="1516" t="s">
        <v>5281</v>
      </c>
      <c r="D44" s="182" t="s">
        <v>8270</v>
      </c>
      <c r="E44" s="1527">
        <v>1</v>
      </c>
      <c r="F44" s="1778" t="s">
        <v>31</v>
      </c>
      <c r="G44" s="367">
        <v>76.739999999999995</v>
      </c>
      <c r="H44" s="1530">
        <f t="shared" ref="H44" si="2">ROUNDDOWN(G44*E44,2)</f>
        <v>76.739999999999995</v>
      </c>
      <c r="I44" s="1642"/>
      <c r="J44" s="1797"/>
      <c r="K44" s="1797"/>
      <c r="L44" s="1784"/>
      <c r="M44" s="1785"/>
    </row>
    <row r="45" spans="1:13" s="1517" customFormat="1" x14ac:dyDescent="0.25">
      <c r="A45" s="179"/>
      <c r="B45" s="179"/>
      <c r="C45" s="1531"/>
      <c r="D45" s="2141" t="s">
        <v>124</v>
      </c>
      <c r="E45" s="2141"/>
      <c r="F45" s="2141"/>
      <c r="G45" s="2141"/>
      <c r="H45" s="267">
        <f>SUMIF(F44:F44,("h"),H44:H44)</f>
        <v>0</v>
      </c>
      <c r="I45" s="1830"/>
      <c r="J45" s="1795"/>
      <c r="K45" s="1795"/>
      <c r="L45" s="169"/>
      <c r="M45" s="1783"/>
    </row>
    <row r="46" spans="1:13" s="1517" customFormat="1" x14ac:dyDescent="0.25">
      <c r="A46" s="179"/>
      <c r="B46" s="179"/>
      <c r="C46" s="1531"/>
      <c r="D46" s="2141" t="s">
        <v>125</v>
      </c>
      <c r="E46" s="2141"/>
      <c r="F46" s="2141"/>
      <c r="G46" s="2141"/>
      <c r="H46" s="267">
        <f>SUMIF(F44:F44,"&lt;&gt;h",H44:H44)</f>
        <v>76.739999999999995</v>
      </c>
      <c r="I46" s="1830"/>
      <c r="J46" s="1795"/>
      <c r="K46" s="1795"/>
      <c r="L46" s="169"/>
      <c r="M46" s="1783"/>
    </row>
    <row r="47" spans="1:13" s="1517" customFormat="1" x14ac:dyDescent="0.25">
      <c r="A47" s="179"/>
      <c r="B47" s="179"/>
      <c r="C47" s="1531"/>
      <c r="D47" s="2142" t="s">
        <v>126</v>
      </c>
      <c r="E47" s="2142"/>
      <c r="F47" s="2142"/>
      <c r="G47" s="2142"/>
      <c r="H47" s="1532">
        <f>SUM(H45:H46)</f>
        <v>76.739999999999995</v>
      </c>
      <c r="I47" s="1830"/>
      <c r="J47" s="1795"/>
      <c r="K47" s="1795"/>
      <c r="L47" s="169"/>
      <c r="M47" s="1783"/>
    </row>
    <row r="48" spans="1:13" s="1517" customFormat="1" x14ac:dyDescent="0.25">
      <c r="A48" s="179"/>
      <c r="B48" s="179"/>
      <c r="C48" s="1531"/>
      <c r="D48" s="2141" t="s">
        <v>28</v>
      </c>
      <c r="E48" s="2141"/>
      <c r="F48" s="2141"/>
      <c r="G48" s="2141"/>
      <c r="H48" s="269">
        <f>E43</f>
        <v>37</v>
      </c>
      <c r="I48" s="1830"/>
      <c r="J48" s="1795"/>
      <c r="K48" s="1795"/>
      <c r="L48" s="169"/>
      <c r="M48" s="1783"/>
    </row>
    <row r="49" spans="1:13" s="1517" customFormat="1" x14ac:dyDescent="0.25">
      <c r="A49" s="179"/>
      <c r="B49" s="179"/>
      <c r="C49" s="1531"/>
      <c r="D49" s="2142" t="s">
        <v>127</v>
      </c>
      <c r="E49" s="2142"/>
      <c r="F49" s="2142"/>
      <c r="G49" s="2142"/>
      <c r="H49" s="1532">
        <f>ROUND(H47*H48,2)</f>
        <v>2839.38</v>
      </c>
      <c r="I49" s="1830"/>
      <c r="J49" s="1795"/>
      <c r="K49" s="1795"/>
      <c r="L49" s="169"/>
      <c r="M49" s="1783"/>
    </row>
    <row r="50" spans="1:13" s="1517" customFormat="1" x14ac:dyDescent="0.25">
      <c r="A50" s="179"/>
      <c r="B50" s="179"/>
      <c r="C50" s="1531"/>
      <c r="D50" s="2141" t="s">
        <v>15335</v>
      </c>
      <c r="E50" s="2141"/>
      <c r="F50" s="2141"/>
      <c r="G50" s="2141"/>
      <c r="H50" s="267">
        <f>ROUND(H47*$B$13,2)</f>
        <v>20.67</v>
      </c>
      <c r="I50" s="1830"/>
      <c r="J50" s="1795"/>
      <c r="K50" s="1795"/>
      <c r="L50" s="169"/>
      <c r="M50" s="1783"/>
    </row>
    <row r="51" spans="1:13" x14ac:dyDescent="0.25">
      <c r="A51" s="179"/>
      <c r="B51" s="179"/>
      <c r="C51" s="1531"/>
      <c r="D51" s="2142" t="s">
        <v>7898</v>
      </c>
      <c r="E51" s="2142"/>
      <c r="F51" s="2142"/>
      <c r="G51" s="2142"/>
      <c r="H51" s="1532">
        <f>H50+H47</f>
        <v>97.41</v>
      </c>
    </row>
    <row r="52" spans="1:13" x14ac:dyDescent="0.25">
      <c r="A52" s="1514"/>
      <c r="B52" s="1514"/>
      <c r="C52" s="1514"/>
      <c r="F52" s="1533"/>
      <c r="G52" s="1534"/>
      <c r="H52" s="1514"/>
    </row>
    <row r="53" spans="1:13" s="1517" customFormat="1" x14ac:dyDescent="0.25">
      <c r="A53" s="146" t="s">
        <v>6</v>
      </c>
      <c r="B53" s="2143" t="s">
        <v>7</v>
      </c>
      <c r="C53" s="2143"/>
      <c r="D53" s="1518" t="s">
        <v>121</v>
      </c>
      <c r="E53" s="278" t="s">
        <v>5282</v>
      </c>
      <c r="F53" s="1518" t="s">
        <v>31</v>
      </c>
      <c r="G53" s="1519" t="s">
        <v>122</v>
      </c>
      <c r="H53" s="1520" t="s">
        <v>123</v>
      </c>
      <c r="I53" s="1830"/>
      <c r="J53" s="1795"/>
      <c r="K53" s="1795"/>
      <c r="L53" s="169"/>
      <c r="M53" s="1783"/>
    </row>
    <row r="54" spans="1:13" s="1526" customFormat="1" ht="75" x14ac:dyDescent="0.2">
      <c r="A54" s="1779" t="str">
        <f>'Orç - Prédio'!A26</f>
        <v>01.06.003</v>
      </c>
      <c r="B54" s="1779" t="str">
        <f>'Orç - Prédio'!B26</f>
        <v>ORSE</v>
      </c>
      <c r="C54" s="1779" t="str">
        <f>'Orç - Prédio'!C26</f>
        <v>INSUMO 12000</v>
      </c>
      <c r="D54" s="1522" t="s">
        <v>14967</v>
      </c>
      <c r="E54" s="1523">
        <f>'Orç - Prédio'!E26</f>
        <v>416</v>
      </c>
      <c r="F54" s="1779" t="s">
        <v>5284</v>
      </c>
      <c r="G54" s="1524">
        <v>14</v>
      </c>
      <c r="H54" s="1525">
        <f>H60</f>
        <v>5824</v>
      </c>
      <c r="I54" s="1910" t="s">
        <v>14965</v>
      </c>
      <c r="J54" s="1793"/>
      <c r="K54" s="1793"/>
      <c r="L54" s="141"/>
      <c r="M54" s="1515"/>
    </row>
    <row r="55" spans="1:13" s="156" customFormat="1" ht="30" x14ac:dyDescent="0.2">
      <c r="A55" s="2144">
        <v>12000</v>
      </c>
      <c r="B55" s="2144"/>
      <c r="C55" s="1516" t="s">
        <v>5281</v>
      </c>
      <c r="D55" s="182" t="s">
        <v>14968</v>
      </c>
      <c r="E55" s="1527">
        <v>1</v>
      </c>
      <c r="F55" s="1778" t="s">
        <v>31</v>
      </c>
      <c r="G55" s="367">
        <v>14</v>
      </c>
      <c r="H55" s="1530">
        <f t="shared" ref="H55" si="3">ROUNDDOWN(G55*E55,2)</f>
        <v>14</v>
      </c>
      <c r="I55" s="1642"/>
      <c r="J55" s="1797"/>
      <c r="K55" s="1797"/>
      <c r="L55" s="1784"/>
      <c r="M55" s="1785"/>
    </row>
    <row r="56" spans="1:13" s="1517" customFormat="1" x14ac:dyDescent="0.25">
      <c r="A56" s="179"/>
      <c r="B56" s="179"/>
      <c r="C56" s="1531"/>
      <c r="D56" s="2141" t="s">
        <v>124</v>
      </c>
      <c r="E56" s="2141"/>
      <c r="F56" s="2141"/>
      <c r="G56" s="2141"/>
      <c r="H56" s="267">
        <f>SUMIF(F55:F55,("h"),H55:H55)</f>
        <v>0</v>
      </c>
      <c r="I56" s="1830"/>
      <c r="J56" s="1795"/>
      <c r="K56" s="1795"/>
      <c r="L56" s="169"/>
      <c r="M56" s="1783"/>
    </row>
    <row r="57" spans="1:13" s="1517" customFormat="1" x14ac:dyDescent="0.25">
      <c r="A57" s="179"/>
      <c r="B57" s="179"/>
      <c r="C57" s="1531"/>
      <c r="D57" s="2141" t="s">
        <v>125</v>
      </c>
      <c r="E57" s="2141"/>
      <c r="F57" s="2141"/>
      <c r="G57" s="2141"/>
      <c r="H57" s="267">
        <f>SUMIF(F55:F55,"&lt;&gt;h",H55:H55)</f>
        <v>14</v>
      </c>
      <c r="I57" s="1830"/>
      <c r="J57" s="1795"/>
      <c r="K57" s="1795"/>
      <c r="L57" s="169"/>
      <c r="M57" s="1783"/>
    </row>
    <row r="58" spans="1:13" s="1517" customFormat="1" x14ac:dyDescent="0.25">
      <c r="A58" s="179"/>
      <c r="B58" s="179"/>
      <c r="C58" s="1531"/>
      <c r="D58" s="2142" t="s">
        <v>126</v>
      </c>
      <c r="E58" s="2142"/>
      <c r="F58" s="2142"/>
      <c r="G58" s="2142"/>
      <c r="H58" s="1532">
        <f>SUM(H56:H57)</f>
        <v>14</v>
      </c>
      <c r="I58" s="1830"/>
      <c r="J58" s="1795"/>
      <c r="K58" s="1795"/>
      <c r="L58" s="169"/>
      <c r="M58" s="1783"/>
    </row>
    <row r="59" spans="1:13" s="1517" customFormat="1" x14ac:dyDescent="0.25">
      <c r="A59" s="179"/>
      <c r="B59" s="179"/>
      <c r="C59" s="1531"/>
      <c r="D59" s="2141" t="s">
        <v>28</v>
      </c>
      <c r="E59" s="2141"/>
      <c r="F59" s="2141"/>
      <c r="G59" s="2141"/>
      <c r="H59" s="269">
        <f>E54</f>
        <v>416</v>
      </c>
      <c r="I59" s="1830"/>
      <c r="J59" s="1795"/>
      <c r="K59" s="1795"/>
      <c r="L59" s="169"/>
      <c r="M59" s="1783"/>
    </row>
    <row r="60" spans="1:13" s="1517" customFormat="1" x14ac:dyDescent="0.25">
      <c r="A60" s="179"/>
      <c r="B60" s="179"/>
      <c r="C60" s="1531"/>
      <c r="D60" s="2142" t="s">
        <v>127</v>
      </c>
      <c r="E60" s="2142"/>
      <c r="F60" s="2142"/>
      <c r="G60" s="2142"/>
      <c r="H60" s="1532">
        <f>ROUND(H58*H59,2)</f>
        <v>5824</v>
      </c>
      <c r="I60" s="1830"/>
      <c r="J60" s="1795"/>
      <c r="K60" s="1795"/>
      <c r="L60" s="169"/>
      <c r="M60" s="1783"/>
    </row>
    <row r="61" spans="1:13" s="1517" customFormat="1" x14ac:dyDescent="0.25">
      <c r="A61" s="179"/>
      <c r="B61" s="179"/>
      <c r="C61" s="1531"/>
      <c r="D61" s="2141" t="s">
        <v>15335</v>
      </c>
      <c r="E61" s="2141"/>
      <c r="F61" s="2141"/>
      <c r="G61" s="2141"/>
      <c r="H61" s="267">
        <f>ROUND(H58*$B$13,2)</f>
        <v>3.77</v>
      </c>
      <c r="I61" s="1830"/>
      <c r="J61" s="1795"/>
      <c r="K61" s="1795"/>
      <c r="L61" s="169"/>
      <c r="M61" s="1783"/>
    </row>
    <row r="62" spans="1:13" x14ac:dyDescent="0.25">
      <c r="A62" s="179"/>
      <c r="B62" s="179"/>
      <c r="C62" s="1531"/>
      <c r="D62" s="2142" t="s">
        <v>7898</v>
      </c>
      <c r="E62" s="2142"/>
      <c r="F62" s="2142"/>
      <c r="G62" s="2142"/>
      <c r="H62" s="1532">
        <f>H61+H58</f>
        <v>17.77</v>
      </c>
    </row>
    <row r="63" spans="1:13" x14ac:dyDescent="0.25">
      <c r="A63" s="1514"/>
      <c r="B63" s="1514"/>
      <c r="C63" s="1514"/>
      <c r="F63" s="1533"/>
      <c r="G63" s="1534"/>
      <c r="H63" s="1514"/>
    </row>
    <row r="64" spans="1:13" s="218" customFormat="1" x14ac:dyDescent="0.25">
      <c r="A64" s="214" t="str">
        <f>'Orç - Canteiro e Adm'!A26</f>
        <v>02.00.000</v>
      </c>
      <c r="B64" s="214"/>
      <c r="C64" s="215"/>
      <c r="D64" s="175" t="s">
        <v>8</v>
      </c>
      <c r="E64" s="284"/>
      <c r="F64" s="214"/>
      <c r="G64" s="216"/>
      <c r="H64" s="217"/>
      <c r="I64" s="212"/>
      <c r="J64" s="1796"/>
      <c r="K64" s="1793"/>
      <c r="L64" s="1782"/>
      <c r="M64" s="180"/>
    </row>
    <row r="65" spans="1:13" s="1517" customFormat="1" x14ac:dyDescent="0.25">
      <c r="A65" s="1660"/>
      <c r="B65" s="1660"/>
      <c r="C65" s="1516"/>
      <c r="D65" s="159"/>
      <c r="E65" s="276"/>
      <c r="F65" s="1660"/>
      <c r="G65" s="178"/>
      <c r="H65" s="1530"/>
      <c r="I65" s="1830"/>
      <c r="J65" s="1795"/>
      <c r="K65" s="1795"/>
      <c r="L65" s="169"/>
      <c r="M65" s="1783"/>
    </row>
    <row r="66" spans="1:13" s="1517" customFormat="1" x14ac:dyDescent="0.25">
      <c r="A66" s="146" t="s">
        <v>6</v>
      </c>
      <c r="B66" s="2143" t="s">
        <v>7</v>
      </c>
      <c r="C66" s="2143"/>
      <c r="D66" s="1518" t="s">
        <v>121</v>
      </c>
      <c r="E66" s="278" t="s">
        <v>5282</v>
      </c>
      <c r="F66" s="1518" t="s">
        <v>31</v>
      </c>
      <c r="G66" s="1519" t="s">
        <v>122</v>
      </c>
      <c r="H66" s="1520" t="s">
        <v>123</v>
      </c>
      <c r="I66" s="1830"/>
      <c r="J66" s="1795"/>
      <c r="K66" s="1795"/>
      <c r="L66" s="169"/>
      <c r="M66" s="1783"/>
    </row>
    <row r="67" spans="1:13" s="1526" customFormat="1" ht="30" x14ac:dyDescent="0.2">
      <c r="A67" s="1908" t="str">
        <f>'Orç - Canteiro e Adm'!A35</f>
        <v>02.01.150</v>
      </c>
      <c r="B67" s="1908" t="str">
        <f>'Orç - Canteiro e Adm'!B35</f>
        <v>IOPES</v>
      </c>
      <c r="C67" s="1908">
        <f>'Orç - Canteiro e Adm'!C35</f>
        <v>20344</v>
      </c>
      <c r="D67" s="1865" t="s">
        <v>9485</v>
      </c>
      <c r="E67" s="1866">
        <f>'Orç - Canteiro e Adm'!E35</f>
        <v>4</v>
      </c>
      <c r="F67" s="1908" t="s">
        <v>6927</v>
      </c>
      <c r="G67" s="1524">
        <v>875</v>
      </c>
      <c r="H67" s="1525">
        <f>H73</f>
        <v>3500</v>
      </c>
      <c r="I67" s="1910" t="s">
        <v>9481</v>
      </c>
      <c r="J67" s="1793"/>
      <c r="K67" s="1793"/>
      <c r="L67" s="141"/>
      <c r="M67" s="1515"/>
    </row>
    <row r="68" spans="1:13" s="1859" customFormat="1" ht="30" x14ac:dyDescent="0.2">
      <c r="A68" s="2144">
        <v>71820</v>
      </c>
      <c r="B68" s="2144"/>
      <c r="C68" s="1863" t="s">
        <v>9121</v>
      </c>
      <c r="D68" s="1862" t="s">
        <v>9487</v>
      </c>
      <c r="E68" s="1864">
        <v>1</v>
      </c>
      <c r="F68" s="1906" t="s">
        <v>31</v>
      </c>
      <c r="G68" s="1860">
        <v>875</v>
      </c>
      <c r="H68" s="1857">
        <f t="shared" ref="H68" si="4">ROUNDDOWN(G68*E68,2)</f>
        <v>875</v>
      </c>
      <c r="I68" s="1856"/>
      <c r="J68" s="1797"/>
      <c r="K68" s="1797"/>
      <c r="L68" s="1784"/>
      <c r="M68" s="1785"/>
    </row>
    <row r="69" spans="1:13" s="1517" customFormat="1" x14ac:dyDescent="0.25">
      <c r="A69" s="1907"/>
      <c r="B69" s="1907"/>
      <c r="C69" s="1531"/>
      <c r="D69" s="2141" t="s">
        <v>124</v>
      </c>
      <c r="E69" s="2141"/>
      <c r="F69" s="2141"/>
      <c r="G69" s="2141"/>
      <c r="H69" s="267">
        <f>SUMIF(F68:F68,("h"),H68:H68)</f>
        <v>0</v>
      </c>
      <c r="I69" s="1830"/>
      <c r="J69" s="1795"/>
      <c r="K69" s="1795"/>
      <c r="L69" s="169"/>
      <c r="M69" s="1783"/>
    </row>
    <row r="70" spans="1:13" s="1517" customFormat="1" x14ac:dyDescent="0.25">
      <c r="A70" s="1907"/>
      <c r="B70" s="1907"/>
      <c r="C70" s="1531"/>
      <c r="D70" s="2141" t="s">
        <v>125</v>
      </c>
      <c r="E70" s="2141"/>
      <c r="F70" s="2141"/>
      <c r="G70" s="2141"/>
      <c r="H70" s="267">
        <f>SUMIF(F68:F68,"&lt;&gt;h",H68:H68)</f>
        <v>875</v>
      </c>
      <c r="I70" s="1830"/>
      <c r="J70" s="1795"/>
      <c r="K70" s="1795"/>
      <c r="L70" s="169"/>
      <c r="M70" s="1783"/>
    </row>
    <row r="71" spans="1:13" s="1517" customFormat="1" x14ac:dyDescent="0.25">
      <c r="A71" s="1907"/>
      <c r="B71" s="1907"/>
      <c r="C71" s="1531"/>
      <c r="D71" s="2142" t="s">
        <v>126</v>
      </c>
      <c r="E71" s="2142"/>
      <c r="F71" s="2142"/>
      <c r="G71" s="2142"/>
      <c r="H71" s="1532">
        <f>SUM(H69:H70)</f>
        <v>875</v>
      </c>
      <c r="I71" s="1830"/>
      <c r="J71" s="1795"/>
      <c r="K71" s="1795"/>
      <c r="L71" s="169"/>
      <c r="M71" s="1783"/>
    </row>
    <row r="72" spans="1:13" s="1517" customFormat="1" x14ac:dyDescent="0.25">
      <c r="A72" s="1907"/>
      <c r="B72" s="1907"/>
      <c r="C72" s="1531"/>
      <c r="D72" s="2141" t="s">
        <v>28</v>
      </c>
      <c r="E72" s="2141"/>
      <c r="F72" s="2141"/>
      <c r="G72" s="2141"/>
      <c r="H72" s="269">
        <f>E67</f>
        <v>4</v>
      </c>
      <c r="I72" s="1830"/>
      <c r="J72" s="1795"/>
      <c r="K72" s="1795"/>
      <c r="L72" s="169"/>
      <c r="M72" s="1783"/>
    </row>
    <row r="73" spans="1:13" s="1517" customFormat="1" x14ac:dyDescent="0.25">
      <c r="A73" s="1907"/>
      <c r="B73" s="1907"/>
      <c r="C73" s="1531"/>
      <c r="D73" s="2142" t="s">
        <v>127</v>
      </c>
      <c r="E73" s="2142"/>
      <c r="F73" s="2142"/>
      <c r="G73" s="2142"/>
      <c r="H73" s="1532">
        <f>ROUND(H71*H72,2)</f>
        <v>3500</v>
      </c>
      <c r="I73" s="1830"/>
      <c r="J73" s="1795"/>
      <c r="K73" s="1795"/>
      <c r="L73" s="169"/>
      <c r="M73" s="1783"/>
    </row>
    <row r="74" spans="1:13" s="1517" customFormat="1" x14ac:dyDescent="0.25">
      <c r="A74" s="1907"/>
      <c r="B74" s="1907"/>
      <c r="C74" s="1531"/>
      <c r="D74" s="2141" t="s">
        <v>15335</v>
      </c>
      <c r="E74" s="2141"/>
      <c r="F74" s="2141"/>
      <c r="G74" s="2141"/>
      <c r="H74" s="267">
        <f>ROUND(H71*$B$13,2)</f>
        <v>235.64</v>
      </c>
      <c r="I74" s="1830"/>
      <c r="J74" s="1795"/>
      <c r="K74" s="1795"/>
      <c r="L74" s="169"/>
      <c r="M74" s="1783"/>
    </row>
    <row r="75" spans="1:13" x14ac:dyDescent="0.25">
      <c r="A75" s="1907"/>
      <c r="B75" s="1907"/>
      <c r="C75" s="1531"/>
      <c r="D75" s="2142" t="s">
        <v>7898</v>
      </c>
      <c r="E75" s="2142"/>
      <c r="F75" s="2142"/>
      <c r="G75" s="2142"/>
      <c r="H75" s="1532">
        <f>H74+H71</f>
        <v>1110.6399999999999</v>
      </c>
    </row>
    <row r="76" spans="1:13" x14ac:dyDescent="0.25">
      <c r="A76" s="1514"/>
      <c r="B76" s="1514"/>
      <c r="C76" s="1514"/>
      <c r="F76" s="1533"/>
      <c r="G76" s="1534"/>
      <c r="H76" s="1514"/>
    </row>
    <row r="77" spans="1:13" s="1517" customFormat="1" x14ac:dyDescent="0.25">
      <c r="A77" s="146" t="s">
        <v>6</v>
      </c>
      <c r="B77" s="2143" t="s">
        <v>7</v>
      </c>
      <c r="C77" s="2143"/>
      <c r="D77" s="1518" t="s">
        <v>121</v>
      </c>
      <c r="E77" s="278" t="s">
        <v>5282</v>
      </c>
      <c r="F77" s="1518" t="s">
        <v>31</v>
      </c>
      <c r="G77" s="1519" t="s">
        <v>122</v>
      </c>
      <c r="H77" s="1520" t="s">
        <v>123</v>
      </c>
      <c r="I77" s="1830"/>
      <c r="J77" s="1795"/>
      <c r="K77" s="1795"/>
      <c r="L77" s="169"/>
      <c r="M77" s="1783"/>
    </row>
    <row r="78" spans="1:13" s="1526" customFormat="1" ht="30" x14ac:dyDescent="0.2">
      <c r="A78" s="1521" t="str">
        <f>'Orç - Canteiro e Adm'!A37</f>
        <v>02.01.201.01</v>
      </c>
      <c r="B78" s="1521" t="str">
        <f>'Orç - Canteiro e Adm'!B37</f>
        <v>ORSE</v>
      </c>
      <c r="C78" s="1521" t="str">
        <f>'Orç - Canteiro e Adm'!C37</f>
        <v>6096 MOD</v>
      </c>
      <c r="D78" s="1522" t="s">
        <v>8912</v>
      </c>
      <c r="E78" s="1523">
        <f>'Orç - Canteiro e Adm'!E37</f>
        <v>1</v>
      </c>
      <c r="F78" s="1521" t="s">
        <v>5284</v>
      </c>
      <c r="G78" s="1524">
        <v>261.83999999999997</v>
      </c>
      <c r="H78" s="1525">
        <f>H97</f>
        <v>261.83999999999997</v>
      </c>
      <c r="I78" s="1910" t="s">
        <v>14965</v>
      </c>
      <c r="J78" s="1793"/>
      <c r="K78" s="1793"/>
      <c r="L78" s="141"/>
      <c r="M78" s="1515"/>
    </row>
    <row r="79" spans="1:13" s="156" customFormat="1" x14ac:dyDescent="0.2">
      <c r="A79" s="2148">
        <v>980</v>
      </c>
      <c r="B79" s="2148"/>
      <c r="C79" s="1877" t="s">
        <v>5281</v>
      </c>
      <c r="D79" s="1850" t="s">
        <v>7569</v>
      </c>
      <c r="E79" s="1864">
        <v>20</v>
      </c>
      <c r="F79" s="1872" t="s">
        <v>136</v>
      </c>
      <c r="G79" s="367">
        <v>0.2</v>
      </c>
      <c r="H79" s="1852">
        <f t="shared" ref="H79:H92" si="5">ROUNDDOWN(G79*E79,2)</f>
        <v>4</v>
      </c>
      <c r="I79" s="1642"/>
      <c r="J79" s="1797"/>
      <c r="K79" s="1797"/>
      <c r="L79" s="1784"/>
      <c r="M79" s="1785"/>
    </row>
    <row r="80" spans="1:13" s="156" customFormat="1" ht="30" x14ac:dyDescent="0.2">
      <c r="A80" s="2148">
        <v>11831</v>
      </c>
      <c r="B80" s="2148"/>
      <c r="C80" s="1877" t="s">
        <v>4448</v>
      </c>
      <c r="D80" s="1850" t="s">
        <v>14335</v>
      </c>
      <c r="E80" s="1864">
        <v>1</v>
      </c>
      <c r="F80" s="1872" t="s">
        <v>39</v>
      </c>
      <c r="G80" s="367">
        <v>17.52</v>
      </c>
      <c r="H80" s="1852">
        <f t="shared" ref="H80" si="6">ROUNDDOWN(G80*E80,2)</f>
        <v>17.52</v>
      </c>
      <c r="I80" s="1642"/>
      <c r="J80" s="1797"/>
      <c r="K80" s="1797"/>
      <c r="L80" s="1784"/>
      <c r="M80" s="1785"/>
    </row>
    <row r="81" spans="1:13" s="156" customFormat="1" ht="30" x14ac:dyDescent="0.2">
      <c r="A81" s="2148">
        <v>9892</v>
      </c>
      <c r="B81" s="2148"/>
      <c r="C81" s="1877" t="s">
        <v>4448</v>
      </c>
      <c r="D81" s="1850" t="s">
        <v>14724</v>
      </c>
      <c r="E81" s="1864">
        <v>2</v>
      </c>
      <c r="F81" s="1872" t="s">
        <v>39</v>
      </c>
      <c r="G81" s="367">
        <v>4.74</v>
      </c>
      <c r="H81" s="1852">
        <f t="shared" ref="H81" si="7">ROUNDDOWN(G81*E81,2)</f>
        <v>9.48</v>
      </c>
      <c r="I81" s="1642"/>
      <c r="J81" s="1797"/>
      <c r="K81" s="1797"/>
      <c r="L81" s="1784"/>
      <c r="M81" s="1785"/>
    </row>
    <row r="82" spans="1:13" s="156" customFormat="1" ht="60" x14ac:dyDescent="0.2">
      <c r="A82" s="2148">
        <v>55</v>
      </c>
      <c r="B82" s="2148"/>
      <c r="C82" s="1877" t="s">
        <v>4448</v>
      </c>
      <c r="D82" s="1850" t="s">
        <v>9738</v>
      </c>
      <c r="E82" s="1864">
        <v>2</v>
      </c>
      <c r="F82" s="1872" t="s">
        <v>39</v>
      </c>
      <c r="G82" s="367">
        <v>3.5</v>
      </c>
      <c r="H82" s="1852">
        <f t="shared" ref="H82:H90" si="8">ROUNDDOWN(G82*E82,2)</f>
        <v>7</v>
      </c>
      <c r="I82" s="1642"/>
      <c r="J82" s="1797"/>
      <c r="K82" s="1797"/>
      <c r="L82" s="1784"/>
      <c r="M82" s="1785"/>
    </row>
    <row r="83" spans="1:13" s="156" customFormat="1" ht="45" x14ac:dyDescent="0.2">
      <c r="A83" s="2148">
        <v>1414</v>
      </c>
      <c r="B83" s="2148"/>
      <c r="C83" s="1877" t="s">
        <v>4448</v>
      </c>
      <c r="D83" s="1850" t="s">
        <v>10916</v>
      </c>
      <c r="E83" s="1864">
        <v>1</v>
      </c>
      <c r="F83" s="1872" t="s">
        <v>39</v>
      </c>
      <c r="G83" s="367">
        <v>7.4</v>
      </c>
      <c r="H83" s="1852">
        <f t="shared" si="8"/>
        <v>7.4</v>
      </c>
      <c r="I83" s="1642"/>
      <c r="J83" s="1797"/>
      <c r="K83" s="1797"/>
      <c r="L83" s="1784"/>
      <c r="M83" s="1785"/>
    </row>
    <row r="84" spans="1:13" s="156" customFormat="1" ht="30" x14ac:dyDescent="0.2">
      <c r="A84" s="2148">
        <v>4895</v>
      </c>
      <c r="B84" s="2148"/>
      <c r="C84" s="1877" t="s">
        <v>4448</v>
      </c>
      <c r="D84" s="1850" t="s">
        <v>13362</v>
      </c>
      <c r="E84" s="1864">
        <v>1</v>
      </c>
      <c r="F84" s="1872" t="s">
        <v>39</v>
      </c>
      <c r="G84" s="367">
        <v>0.41</v>
      </c>
      <c r="H84" s="1852">
        <f t="shared" ref="H84:H87" si="9">ROUNDDOWN(G84*E84,2)</f>
        <v>0.41</v>
      </c>
      <c r="I84" s="1642"/>
      <c r="J84" s="1797"/>
      <c r="K84" s="1797"/>
      <c r="L84" s="1784"/>
      <c r="M84" s="1785"/>
    </row>
    <row r="85" spans="1:13" s="156" customFormat="1" ht="30" x14ac:dyDescent="0.2">
      <c r="A85" s="2148">
        <v>6036</v>
      </c>
      <c r="B85" s="2148"/>
      <c r="C85" s="1877" t="s">
        <v>4448</v>
      </c>
      <c r="D85" s="1850" t="s">
        <v>13614</v>
      </c>
      <c r="E85" s="1864">
        <v>1</v>
      </c>
      <c r="F85" s="1872" t="s">
        <v>39</v>
      </c>
      <c r="G85" s="367">
        <v>19.45</v>
      </c>
      <c r="H85" s="1852">
        <f t="shared" si="9"/>
        <v>19.45</v>
      </c>
      <c r="I85" s="1642"/>
      <c r="J85" s="1797"/>
      <c r="K85" s="1797"/>
      <c r="L85" s="1784"/>
      <c r="M85" s="1785"/>
    </row>
    <row r="86" spans="1:13" s="156" customFormat="1" ht="30" x14ac:dyDescent="0.2">
      <c r="A86" s="2148">
        <v>7098</v>
      </c>
      <c r="B86" s="2148"/>
      <c r="C86" s="1877" t="s">
        <v>4448</v>
      </c>
      <c r="D86" s="1850" t="s">
        <v>14043</v>
      </c>
      <c r="E86" s="1864">
        <v>1</v>
      </c>
      <c r="F86" s="1872" t="s">
        <v>39</v>
      </c>
      <c r="G86" s="367">
        <v>2.31</v>
      </c>
      <c r="H86" s="1852">
        <f t="shared" si="9"/>
        <v>2.31</v>
      </c>
      <c r="I86" s="1642"/>
      <c r="J86" s="1797"/>
      <c r="K86" s="1797"/>
      <c r="L86" s="1784"/>
      <c r="M86" s="1785"/>
    </row>
    <row r="87" spans="1:13" s="156" customFormat="1" ht="60" x14ac:dyDescent="0.2">
      <c r="A87" s="2148">
        <v>9813</v>
      </c>
      <c r="B87" s="2148"/>
      <c r="C87" s="1877" t="s">
        <v>4448</v>
      </c>
      <c r="D87" s="1850" t="s">
        <v>14568</v>
      </c>
      <c r="E87" s="1864">
        <v>12</v>
      </c>
      <c r="F87" s="1872" t="s">
        <v>47</v>
      </c>
      <c r="G87" s="367">
        <v>3.79</v>
      </c>
      <c r="H87" s="1852">
        <f t="shared" si="9"/>
        <v>45.48</v>
      </c>
      <c r="I87" s="1642"/>
      <c r="J87" s="1797"/>
      <c r="K87" s="1797"/>
      <c r="L87" s="1784"/>
      <c r="M87" s="1785"/>
    </row>
    <row r="88" spans="1:13" s="156" customFormat="1" ht="30" x14ac:dyDescent="0.2">
      <c r="A88" s="2148">
        <v>9856</v>
      </c>
      <c r="B88" s="2148"/>
      <c r="C88" s="1877" t="s">
        <v>4448</v>
      </c>
      <c r="D88" s="1850" t="s">
        <v>14662</v>
      </c>
      <c r="E88" s="1864">
        <v>1</v>
      </c>
      <c r="F88" s="1872" t="s">
        <v>47</v>
      </c>
      <c r="G88" s="367">
        <v>5.31</v>
      </c>
      <c r="H88" s="1852">
        <f t="shared" si="8"/>
        <v>5.31</v>
      </c>
      <c r="I88" s="1642"/>
      <c r="J88" s="1797"/>
      <c r="K88" s="1797"/>
      <c r="L88" s="1784"/>
      <c r="M88" s="1785"/>
    </row>
    <row r="89" spans="1:13" s="156" customFormat="1" ht="30" x14ac:dyDescent="0.2">
      <c r="A89" s="2148">
        <v>88316</v>
      </c>
      <c r="B89" s="2148"/>
      <c r="C89" s="1877" t="s">
        <v>4448</v>
      </c>
      <c r="D89" s="1850" t="s">
        <v>64</v>
      </c>
      <c r="E89" s="1864">
        <v>1</v>
      </c>
      <c r="F89" s="1872" t="s">
        <v>65</v>
      </c>
      <c r="G89" s="367">
        <v>15.08</v>
      </c>
      <c r="H89" s="1852">
        <f t="shared" si="8"/>
        <v>15.08</v>
      </c>
      <c r="I89" s="1642"/>
      <c r="J89" s="1797"/>
      <c r="K89" s="1797"/>
      <c r="L89" s="1784"/>
      <c r="M89" s="1785"/>
    </row>
    <row r="90" spans="1:13" s="156" customFormat="1" ht="30" x14ac:dyDescent="0.2">
      <c r="A90" s="2148">
        <v>88267</v>
      </c>
      <c r="B90" s="2148"/>
      <c r="C90" s="1877" t="s">
        <v>4448</v>
      </c>
      <c r="D90" s="1850" t="s">
        <v>83</v>
      </c>
      <c r="E90" s="1864">
        <v>1</v>
      </c>
      <c r="F90" s="1872" t="s">
        <v>65</v>
      </c>
      <c r="G90" s="367">
        <v>19.73</v>
      </c>
      <c r="H90" s="1852">
        <f t="shared" si="8"/>
        <v>19.73</v>
      </c>
      <c r="I90" s="1642"/>
      <c r="J90" s="1797"/>
      <c r="K90" s="1797"/>
      <c r="L90" s="1784"/>
      <c r="M90" s="1785"/>
    </row>
    <row r="91" spans="1:13" s="156" customFormat="1" ht="45" x14ac:dyDescent="0.2">
      <c r="A91" s="2148">
        <v>93358</v>
      </c>
      <c r="B91" s="2148"/>
      <c r="C91" s="1877" t="s">
        <v>4448</v>
      </c>
      <c r="D91" s="1850" t="s">
        <v>5275</v>
      </c>
      <c r="E91" s="1864">
        <v>1.347</v>
      </c>
      <c r="F91" s="1872" t="s">
        <v>1208</v>
      </c>
      <c r="G91" s="367">
        <v>59.65</v>
      </c>
      <c r="H91" s="1852">
        <f t="shared" si="5"/>
        <v>80.34</v>
      </c>
      <c r="I91" s="1642"/>
      <c r="J91" s="1797"/>
      <c r="K91" s="1797"/>
      <c r="L91" s="1784"/>
      <c r="M91" s="1785"/>
    </row>
    <row r="92" spans="1:13" s="156" customFormat="1" ht="30" x14ac:dyDescent="0.2">
      <c r="A92" s="2148">
        <v>93382</v>
      </c>
      <c r="B92" s="2148"/>
      <c r="C92" s="1877" t="s">
        <v>4448</v>
      </c>
      <c r="D92" s="1850" t="s">
        <v>3518</v>
      </c>
      <c r="E92" s="1864">
        <v>1.3260000000000001</v>
      </c>
      <c r="F92" s="1872" t="s">
        <v>1208</v>
      </c>
      <c r="G92" s="367">
        <v>21.37</v>
      </c>
      <c r="H92" s="1852">
        <f t="shared" si="5"/>
        <v>28.33</v>
      </c>
      <c r="I92" s="1642"/>
      <c r="J92" s="1797"/>
      <c r="K92" s="1797"/>
      <c r="L92" s="1784"/>
      <c r="M92" s="1785"/>
    </row>
    <row r="93" spans="1:13" s="1517" customFormat="1" x14ac:dyDescent="0.25">
      <c r="A93" s="179"/>
      <c r="B93" s="179"/>
      <c r="C93" s="1531"/>
      <c r="D93" s="2141" t="s">
        <v>124</v>
      </c>
      <c r="E93" s="2141"/>
      <c r="F93" s="2141"/>
      <c r="G93" s="2141"/>
      <c r="H93" s="267">
        <f>SUMIF(F79:F92,("h"),H79:H92)</f>
        <v>34.81</v>
      </c>
      <c r="I93" s="1830"/>
      <c r="J93" s="1795"/>
      <c r="K93" s="1795"/>
      <c r="L93" s="169"/>
      <c r="M93" s="1783"/>
    </row>
    <row r="94" spans="1:13" s="1517" customFormat="1" x14ac:dyDescent="0.25">
      <c r="A94" s="179"/>
      <c r="B94" s="179"/>
      <c r="C94" s="1531"/>
      <c r="D94" s="2141" t="s">
        <v>125</v>
      </c>
      <c r="E94" s="2141"/>
      <c r="F94" s="2141"/>
      <c r="G94" s="2141"/>
      <c r="H94" s="267">
        <f>SUMIF(F79:F92,"&lt;&gt;h",H79:H92)</f>
        <v>227.02999999999997</v>
      </c>
      <c r="I94" s="1830"/>
      <c r="J94" s="1795"/>
      <c r="K94" s="1795"/>
      <c r="L94" s="169"/>
      <c r="M94" s="1783"/>
    </row>
    <row r="95" spans="1:13" s="1517" customFormat="1" x14ac:dyDescent="0.25">
      <c r="A95" s="179"/>
      <c r="B95" s="179"/>
      <c r="C95" s="1531"/>
      <c r="D95" s="2142" t="s">
        <v>126</v>
      </c>
      <c r="E95" s="2142"/>
      <c r="F95" s="2142"/>
      <c r="G95" s="2142"/>
      <c r="H95" s="1532">
        <f>SUM(H93:H94)</f>
        <v>261.83999999999997</v>
      </c>
      <c r="I95" s="1830"/>
      <c r="J95" s="1795"/>
      <c r="K95" s="1795"/>
      <c r="L95" s="169"/>
      <c r="M95" s="1783"/>
    </row>
    <row r="96" spans="1:13" s="1517" customFormat="1" x14ac:dyDescent="0.25">
      <c r="A96" s="179"/>
      <c r="B96" s="179"/>
      <c r="C96" s="1531"/>
      <c r="D96" s="2141" t="s">
        <v>28</v>
      </c>
      <c r="E96" s="2141"/>
      <c r="F96" s="2141"/>
      <c r="G96" s="2141"/>
      <c r="H96" s="269">
        <f>E78</f>
        <v>1</v>
      </c>
      <c r="I96" s="1830"/>
      <c r="J96" s="1795"/>
      <c r="K96" s="1795"/>
      <c r="L96" s="169"/>
      <c r="M96" s="1783"/>
    </row>
    <row r="97" spans="1:13" s="1517" customFormat="1" x14ac:dyDescent="0.25">
      <c r="A97" s="179"/>
      <c r="B97" s="179"/>
      <c r="C97" s="1531"/>
      <c r="D97" s="2142" t="s">
        <v>127</v>
      </c>
      <c r="E97" s="2142"/>
      <c r="F97" s="2142"/>
      <c r="G97" s="2142"/>
      <c r="H97" s="1532">
        <f>ROUND(H95*H96,2)</f>
        <v>261.83999999999997</v>
      </c>
      <c r="I97" s="1830"/>
      <c r="J97" s="1795"/>
      <c r="K97" s="1795"/>
      <c r="L97" s="169"/>
      <c r="M97" s="1783"/>
    </row>
    <row r="98" spans="1:13" s="1517" customFormat="1" x14ac:dyDescent="0.25">
      <c r="A98" s="179"/>
      <c r="B98" s="179"/>
      <c r="C98" s="1531"/>
      <c r="D98" s="2141" t="s">
        <v>15335</v>
      </c>
      <c r="E98" s="2141"/>
      <c r="F98" s="2141"/>
      <c r="G98" s="2141"/>
      <c r="H98" s="267">
        <f>ROUND(H95*$B$13,2)</f>
        <v>70.510000000000005</v>
      </c>
      <c r="I98" s="1830"/>
      <c r="J98" s="1795"/>
      <c r="K98" s="1795"/>
      <c r="L98" s="169"/>
      <c r="M98" s="1783"/>
    </row>
    <row r="99" spans="1:13" x14ac:dyDescent="0.25">
      <c r="A99" s="179"/>
      <c r="B99" s="179"/>
      <c r="C99" s="1531"/>
      <c r="D99" s="2142" t="s">
        <v>7898</v>
      </c>
      <c r="E99" s="2142"/>
      <c r="F99" s="2142"/>
      <c r="G99" s="2142"/>
      <c r="H99" s="1532">
        <f>H98+H95</f>
        <v>332.34999999999997</v>
      </c>
    </row>
    <row r="100" spans="1:13" x14ac:dyDescent="0.25">
      <c r="A100" s="1514"/>
      <c r="B100" s="1514"/>
      <c r="C100" s="1514"/>
      <c r="F100" s="1533"/>
      <c r="G100" s="1534"/>
      <c r="H100" s="1514"/>
    </row>
    <row r="101" spans="1:13" s="1517" customFormat="1" x14ac:dyDescent="0.25">
      <c r="A101" s="146" t="s">
        <v>6</v>
      </c>
      <c r="B101" s="2143" t="s">
        <v>7</v>
      </c>
      <c r="C101" s="2143"/>
      <c r="D101" s="1518" t="s">
        <v>121</v>
      </c>
      <c r="E101" s="278" t="s">
        <v>5282</v>
      </c>
      <c r="F101" s="1518" t="s">
        <v>31</v>
      </c>
      <c r="G101" s="1519" t="s">
        <v>122</v>
      </c>
      <c r="H101" s="1520" t="s">
        <v>123</v>
      </c>
      <c r="I101" s="1830"/>
      <c r="J101" s="1795"/>
      <c r="K101" s="1795"/>
      <c r="L101" s="169"/>
      <c r="M101" s="1783"/>
    </row>
    <row r="102" spans="1:13" s="1526" customFormat="1" ht="30" x14ac:dyDescent="0.2">
      <c r="A102" s="1903" t="str">
        <f>'Orç - Canteiro e Adm'!A39</f>
        <v>02.01.202</v>
      </c>
      <c r="B102" s="1903" t="str">
        <f>'Orç - Canteiro e Adm'!B39</f>
        <v>Comp.  Montada</v>
      </c>
      <c r="C102" s="1903">
        <f>'Orç - Canteiro e Adm'!C39</f>
        <v>1</v>
      </c>
      <c r="D102" s="1865" t="s">
        <v>9467</v>
      </c>
      <c r="E102" s="1866">
        <f>'Orç - Canteiro e Adm'!E39</f>
        <v>1</v>
      </c>
      <c r="F102" s="1903" t="s">
        <v>5284</v>
      </c>
      <c r="G102" s="1524">
        <v>6777.29</v>
      </c>
      <c r="H102" s="1525">
        <f>H116</f>
        <v>6777.29</v>
      </c>
      <c r="I102" s="1910" t="s">
        <v>14965</v>
      </c>
      <c r="J102" s="1793"/>
      <c r="K102" s="1793"/>
      <c r="L102" s="141"/>
      <c r="M102" s="1515"/>
    </row>
    <row r="103" spans="1:13" s="1859" customFormat="1" x14ac:dyDescent="0.2">
      <c r="A103" s="2144">
        <v>3283</v>
      </c>
      <c r="B103" s="2144"/>
      <c r="C103" s="1863" t="s">
        <v>5281</v>
      </c>
      <c r="D103" s="1862" t="s">
        <v>9468</v>
      </c>
      <c r="E103" s="1864">
        <v>53.3</v>
      </c>
      <c r="F103" s="1902" t="s">
        <v>136</v>
      </c>
      <c r="G103" s="1860">
        <v>4.0999999999999996</v>
      </c>
      <c r="H103" s="1857">
        <f t="shared" ref="H103:H110" si="10">ROUNDDOWN(G103*E103,2)</f>
        <v>218.53</v>
      </c>
      <c r="I103" s="1856"/>
      <c r="J103" s="1797"/>
      <c r="K103" s="1797"/>
      <c r="L103" s="1784"/>
      <c r="M103" s="1785"/>
    </row>
    <row r="104" spans="1:13" s="1859" customFormat="1" x14ac:dyDescent="0.2">
      <c r="A104" s="2144">
        <v>3314</v>
      </c>
      <c r="B104" s="2144"/>
      <c r="C104" s="1863" t="s">
        <v>5281</v>
      </c>
      <c r="D104" s="1862" t="s">
        <v>9469</v>
      </c>
      <c r="E104" s="1864">
        <v>123.76</v>
      </c>
      <c r="F104" s="1902" t="s">
        <v>136</v>
      </c>
      <c r="G104" s="1860">
        <v>15.35</v>
      </c>
      <c r="H104" s="1857">
        <f t="shared" si="10"/>
        <v>1899.71</v>
      </c>
      <c r="I104" s="1856"/>
      <c r="J104" s="1797"/>
      <c r="K104" s="1797"/>
      <c r="L104" s="1784"/>
      <c r="M104" s="1785"/>
    </row>
    <row r="105" spans="1:13" s="1859" customFormat="1" ht="60" x14ac:dyDescent="0.2">
      <c r="A105" s="2144">
        <v>91844</v>
      </c>
      <c r="B105" s="2144"/>
      <c r="C105" s="1863" t="s">
        <v>4448</v>
      </c>
      <c r="D105" s="1862" t="s">
        <v>1793</v>
      </c>
      <c r="E105" s="1864">
        <v>53.3</v>
      </c>
      <c r="F105" s="1902" t="s">
        <v>136</v>
      </c>
      <c r="G105" s="1860">
        <v>4.84</v>
      </c>
      <c r="H105" s="1857">
        <f t="shared" ref="H105:H108" si="11">ROUNDDOWN(G105*E105,2)</f>
        <v>257.97000000000003</v>
      </c>
      <c r="I105" s="1856"/>
      <c r="J105" s="1797"/>
      <c r="K105" s="1797"/>
      <c r="L105" s="1784"/>
      <c r="M105" s="1785"/>
    </row>
    <row r="106" spans="1:13" s="1859" customFormat="1" ht="60" x14ac:dyDescent="0.2">
      <c r="A106" s="2144">
        <v>91846</v>
      </c>
      <c r="B106" s="2144"/>
      <c r="C106" s="1863" t="s">
        <v>4448</v>
      </c>
      <c r="D106" s="1862" t="s">
        <v>1794</v>
      </c>
      <c r="E106" s="1864">
        <v>123.76</v>
      </c>
      <c r="F106" s="1902" t="s">
        <v>136</v>
      </c>
      <c r="G106" s="1860">
        <v>6.76</v>
      </c>
      <c r="H106" s="1857">
        <f t="shared" si="11"/>
        <v>836.61</v>
      </c>
      <c r="I106" s="1856"/>
      <c r="J106" s="1797"/>
      <c r="K106" s="1797"/>
      <c r="L106" s="1784"/>
      <c r="M106" s="1785"/>
    </row>
    <row r="107" spans="1:13" s="1859" customFormat="1" ht="45" x14ac:dyDescent="0.2">
      <c r="A107" s="2144">
        <v>93670</v>
      </c>
      <c r="B107" s="2144"/>
      <c r="C107" s="1863" t="s">
        <v>4448</v>
      </c>
      <c r="D107" s="1862" t="s">
        <v>2026</v>
      </c>
      <c r="E107" s="1864">
        <v>1</v>
      </c>
      <c r="F107" s="1902" t="s">
        <v>168</v>
      </c>
      <c r="G107" s="1860">
        <v>66.61</v>
      </c>
      <c r="H107" s="1857">
        <f t="shared" si="11"/>
        <v>66.61</v>
      </c>
      <c r="I107" s="1856"/>
      <c r="J107" s="1797"/>
      <c r="K107" s="1797"/>
      <c r="L107" s="1784"/>
      <c r="M107" s="1785"/>
    </row>
    <row r="108" spans="1:13" s="1859" customFormat="1" ht="45" x14ac:dyDescent="0.2">
      <c r="A108" s="2144">
        <v>96525</v>
      </c>
      <c r="B108" s="2144"/>
      <c r="C108" s="1863" t="s">
        <v>4448</v>
      </c>
      <c r="D108" s="1862" t="s">
        <v>3456</v>
      </c>
      <c r="E108" s="1864">
        <f>0.6*0.6*125</f>
        <v>45</v>
      </c>
      <c r="F108" s="1902" t="s">
        <v>1208</v>
      </c>
      <c r="G108" s="1860">
        <v>25.68</v>
      </c>
      <c r="H108" s="1857">
        <f t="shared" si="11"/>
        <v>1155.5999999999999</v>
      </c>
      <c r="I108" s="1856"/>
      <c r="J108" s="1797"/>
      <c r="K108" s="1797"/>
      <c r="L108" s="1784"/>
      <c r="M108" s="1785"/>
    </row>
    <row r="109" spans="1:13" s="1859" customFormat="1" ht="30" x14ac:dyDescent="0.2">
      <c r="A109" s="2144">
        <v>96995</v>
      </c>
      <c r="B109" s="2144"/>
      <c r="C109" s="1863" t="s">
        <v>4448</v>
      </c>
      <c r="D109" s="1862" t="s">
        <v>4956</v>
      </c>
      <c r="E109" s="1864">
        <f>0.6*0.6*125</f>
        <v>45</v>
      </c>
      <c r="F109" s="1902" t="s">
        <v>1208</v>
      </c>
      <c r="G109" s="1860">
        <v>36.17</v>
      </c>
      <c r="H109" s="1857">
        <f t="shared" si="10"/>
        <v>1627.65</v>
      </c>
      <c r="I109" s="1856"/>
      <c r="J109" s="1797"/>
      <c r="K109" s="1797"/>
      <c r="L109" s="1784"/>
      <c r="M109" s="1785"/>
    </row>
    <row r="110" spans="1:13" s="1859" customFormat="1" ht="30" x14ac:dyDescent="0.2">
      <c r="A110" s="2144">
        <v>88264</v>
      </c>
      <c r="B110" s="2144"/>
      <c r="C110" s="1863" t="s">
        <v>4448</v>
      </c>
      <c r="D110" s="1862" t="s">
        <v>81</v>
      </c>
      <c r="E110" s="1864">
        <f>0.12*123.76+0.1*53.3</f>
        <v>20.1812</v>
      </c>
      <c r="F110" s="1902" t="s">
        <v>65</v>
      </c>
      <c r="G110" s="1860">
        <v>20.329999999999998</v>
      </c>
      <c r="H110" s="1857">
        <f t="shared" si="10"/>
        <v>410.28</v>
      </c>
      <c r="I110" s="1856"/>
      <c r="J110" s="1797"/>
      <c r="K110" s="1797"/>
      <c r="L110" s="1784"/>
      <c r="M110" s="1785"/>
    </row>
    <row r="111" spans="1:13" s="1859" customFormat="1" ht="30" x14ac:dyDescent="0.2">
      <c r="A111" s="2144">
        <v>88316</v>
      </c>
      <c r="B111" s="2144"/>
      <c r="C111" s="1863" t="s">
        <v>4448</v>
      </c>
      <c r="D111" s="1862" t="s">
        <v>64</v>
      </c>
      <c r="E111" s="1864">
        <f>E110</f>
        <v>20.1812</v>
      </c>
      <c r="F111" s="1902" t="s">
        <v>65</v>
      </c>
      <c r="G111" s="1860">
        <v>15.08</v>
      </c>
      <c r="H111" s="1857">
        <f t="shared" ref="H111" si="12">ROUNDDOWN(G111*E111,2)</f>
        <v>304.33</v>
      </c>
      <c r="I111" s="1856"/>
      <c r="J111" s="1797"/>
      <c r="K111" s="1797"/>
      <c r="L111" s="1784"/>
      <c r="M111" s="1785"/>
    </row>
    <row r="112" spans="1:13" s="1517" customFormat="1" x14ac:dyDescent="0.25">
      <c r="A112" s="1847"/>
      <c r="B112" s="1847"/>
      <c r="C112" s="1531"/>
      <c r="D112" s="2141" t="s">
        <v>124</v>
      </c>
      <c r="E112" s="2141"/>
      <c r="F112" s="2141"/>
      <c r="G112" s="2141"/>
      <c r="H112" s="267">
        <f>SUMIF(F103:F111,("h"),H103:H111)</f>
        <v>714.6099999999999</v>
      </c>
      <c r="I112" s="1830"/>
      <c r="J112" s="1795"/>
      <c r="K112" s="1795"/>
      <c r="L112" s="169"/>
      <c r="M112" s="1783"/>
    </row>
    <row r="113" spans="1:13" s="1517" customFormat="1" x14ac:dyDescent="0.25">
      <c r="A113" s="1847"/>
      <c r="B113" s="1847"/>
      <c r="C113" s="1531"/>
      <c r="D113" s="2141" t="s">
        <v>125</v>
      </c>
      <c r="E113" s="2141"/>
      <c r="F113" s="2141"/>
      <c r="G113" s="2141"/>
      <c r="H113" s="267">
        <f>SUMIF(F103:F111,"&lt;&gt;h",H103:H111)</f>
        <v>6062.68</v>
      </c>
      <c r="I113" s="1830"/>
      <c r="J113" s="1795"/>
      <c r="K113" s="1795"/>
      <c r="L113" s="169"/>
      <c r="M113" s="1783"/>
    </row>
    <row r="114" spans="1:13" s="1517" customFormat="1" x14ac:dyDescent="0.25">
      <c r="A114" s="1847"/>
      <c r="B114" s="1847"/>
      <c r="C114" s="1531"/>
      <c r="D114" s="2142" t="s">
        <v>126</v>
      </c>
      <c r="E114" s="2142"/>
      <c r="F114" s="2142"/>
      <c r="G114" s="2142"/>
      <c r="H114" s="1532">
        <f>SUM(H112:H113)</f>
        <v>6777.29</v>
      </c>
      <c r="I114" s="1830"/>
      <c r="J114" s="1795"/>
      <c r="K114" s="1795"/>
      <c r="L114" s="169"/>
      <c r="M114" s="1783"/>
    </row>
    <row r="115" spans="1:13" s="1517" customFormat="1" x14ac:dyDescent="0.25">
      <c r="A115" s="1847"/>
      <c r="B115" s="1847"/>
      <c r="C115" s="1531"/>
      <c r="D115" s="2141" t="s">
        <v>28</v>
      </c>
      <c r="E115" s="2141"/>
      <c r="F115" s="2141"/>
      <c r="G115" s="2141"/>
      <c r="H115" s="269">
        <f>E102</f>
        <v>1</v>
      </c>
      <c r="I115" s="1830"/>
      <c r="J115" s="1795"/>
      <c r="K115" s="1795"/>
      <c r="L115" s="169"/>
      <c r="M115" s="1783"/>
    </row>
    <row r="116" spans="1:13" s="1517" customFormat="1" x14ac:dyDescent="0.25">
      <c r="A116" s="1847"/>
      <c r="B116" s="1847"/>
      <c r="C116" s="1531"/>
      <c r="D116" s="2142" t="s">
        <v>127</v>
      </c>
      <c r="E116" s="2142"/>
      <c r="F116" s="2142"/>
      <c r="G116" s="2142"/>
      <c r="H116" s="1532">
        <f>ROUND(H114*H115,2)</f>
        <v>6777.29</v>
      </c>
      <c r="I116" s="1830"/>
      <c r="J116" s="1795"/>
      <c r="K116" s="1795"/>
      <c r="L116" s="169"/>
      <c r="M116" s="1783"/>
    </row>
    <row r="117" spans="1:13" s="1517" customFormat="1" x14ac:dyDescent="0.25">
      <c r="A117" s="1847"/>
      <c r="B117" s="1847"/>
      <c r="C117" s="1531"/>
      <c r="D117" s="2141" t="s">
        <v>15335</v>
      </c>
      <c r="E117" s="2141"/>
      <c r="F117" s="2141"/>
      <c r="G117" s="2141"/>
      <c r="H117" s="267">
        <f>ROUND(H114*$B$13,2)</f>
        <v>1825.12</v>
      </c>
      <c r="I117" s="1830"/>
      <c r="J117" s="1795"/>
      <c r="K117" s="1795"/>
      <c r="L117" s="169"/>
      <c r="M117" s="1783"/>
    </row>
    <row r="118" spans="1:13" x14ac:dyDescent="0.25">
      <c r="A118" s="1847"/>
      <c r="B118" s="1847"/>
      <c r="C118" s="1531"/>
      <c r="D118" s="2142" t="s">
        <v>7898</v>
      </c>
      <c r="E118" s="2142"/>
      <c r="F118" s="2142"/>
      <c r="G118" s="2142"/>
      <c r="H118" s="1532">
        <f>H117+H114</f>
        <v>8602.41</v>
      </c>
    </row>
    <row r="119" spans="1:13" x14ac:dyDescent="0.25">
      <c r="A119" s="2153" t="s">
        <v>9470</v>
      </c>
      <c r="B119" s="2153"/>
      <c r="C119" s="2153"/>
      <c r="D119" s="2153"/>
      <c r="E119" s="2153"/>
      <c r="F119" s="2153"/>
      <c r="G119" s="2153"/>
      <c r="H119" s="2153"/>
    </row>
    <row r="120" spans="1:13" x14ac:dyDescent="0.25">
      <c r="A120" s="1514"/>
      <c r="B120" s="1514"/>
      <c r="C120" s="1514"/>
      <c r="F120" s="1533"/>
      <c r="G120" s="1534"/>
      <c r="H120" s="1514"/>
    </row>
    <row r="121" spans="1:13" s="1517" customFormat="1" x14ac:dyDescent="0.25">
      <c r="A121" s="146" t="s">
        <v>6</v>
      </c>
      <c r="B121" s="2143" t="s">
        <v>7</v>
      </c>
      <c r="C121" s="2143"/>
      <c r="D121" s="1518" t="s">
        <v>121</v>
      </c>
      <c r="E121" s="278" t="s">
        <v>5282</v>
      </c>
      <c r="F121" s="1518" t="s">
        <v>31</v>
      </c>
      <c r="G121" s="1519" t="s">
        <v>122</v>
      </c>
      <c r="H121" s="1520" t="s">
        <v>123</v>
      </c>
      <c r="I121" s="1830"/>
      <c r="J121" s="1795"/>
      <c r="K121" s="1795"/>
      <c r="L121" s="169"/>
      <c r="M121" s="1783"/>
    </row>
    <row r="122" spans="1:13" s="1526" customFormat="1" ht="60" x14ac:dyDescent="0.2">
      <c r="A122" s="1873" t="str">
        <f>'Orç - Canteiro e Adm'!A40</f>
        <v>02.01.205</v>
      </c>
      <c r="B122" s="1873" t="str">
        <f>'Orç - Canteiro e Adm'!B40</f>
        <v>SINAPI</v>
      </c>
      <c r="C122" s="1873" t="str">
        <f>'Orç - Canteiro e Adm'!C40</f>
        <v>73658 MOD</v>
      </c>
      <c r="D122" s="1865" t="s">
        <v>8913</v>
      </c>
      <c r="E122" s="1866">
        <f>'Orç - Canteiro e Adm'!E40</f>
        <v>1</v>
      </c>
      <c r="F122" s="1873" t="s">
        <v>5284</v>
      </c>
      <c r="G122" s="1524">
        <v>897.05000000000007</v>
      </c>
      <c r="H122" s="1525">
        <f>H138</f>
        <v>897.05</v>
      </c>
      <c r="I122" s="1910" t="s">
        <v>9481</v>
      </c>
      <c r="J122" s="1793"/>
      <c r="K122" s="1793"/>
      <c r="L122" s="141"/>
      <c r="M122" s="1515"/>
    </row>
    <row r="123" spans="1:13" s="1859" customFormat="1" ht="30" x14ac:dyDescent="0.2">
      <c r="A123" s="2148">
        <v>43132</v>
      </c>
      <c r="B123" s="2148"/>
      <c r="C123" s="1877" t="s">
        <v>4448</v>
      </c>
      <c r="D123" s="1850" t="s">
        <v>9984</v>
      </c>
      <c r="E123" s="1864">
        <v>0.05</v>
      </c>
      <c r="F123" s="1889" t="s">
        <v>48</v>
      </c>
      <c r="G123" s="367">
        <v>12.65</v>
      </c>
      <c r="H123" s="1852">
        <f t="shared" ref="H123" si="13">ROUNDDOWN(G123*E123,2)</f>
        <v>0.63</v>
      </c>
      <c r="I123" s="1856"/>
      <c r="J123" s="1797"/>
      <c r="K123" s="1797"/>
      <c r="L123" s="1784"/>
      <c r="M123" s="1785"/>
    </row>
    <row r="124" spans="1:13" s="1859" customFormat="1" ht="30" x14ac:dyDescent="0.2">
      <c r="A124" s="2148">
        <v>367</v>
      </c>
      <c r="B124" s="2148"/>
      <c r="C124" s="1877" t="s">
        <v>4448</v>
      </c>
      <c r="D124" s="1850" t="s">
        <v>9987</v>
      </c>
      <c r="E124" s="1864">
        <v>0.1</v>
      </c>
      <c r="F124" s="1872" t="s">
        <v>44</v>
      </c>
      <c r="G124" s="367">
        <v>116.35</v>
      </c>
      <c r="H124" s="1852">
        <f t="shared" ref="H124:H133" si="14">ROUNDDOWN(G124*E124,2)</f>
        <v>11.63</v>
      </c>
      <c r="I124" s="1856"/>
      <c r="J124" s="1797"/>
      <c r="K124" s="1797"/>
      <c r="L124" s="1784"/>
      <c r="M124" s="1785"/>
    </row>
    <row r="125" spans="1:13" s="1859" customFormat="1" x14ac:dyDescent="0.2">
      <c r="A125" s="2148">
        <v>1379</v>
      </c>
      <c r="B125" s="2148"/>
      <c r="C125" s="1877" t="s">
        <v>4448</v>
      </c>
      <c r="D125" s="1850" t="s">
        <v>10898</v>
      </c>
      <c r="E125" s="1864">
        <v>30</v>
      </c>
      <c r="F125" s="1872" t="s">
        <v>48</v>
      </c>
      <c r="G125" s="367">
        <v>0.4</v>
      </c>
      <c r="H125" s="1852">
        <f t="shared" si="14"/>
        <v>12</v>
      </c>
      <c r="I125" s="1856"/>
      <c r="J125" s="1797"/>
      <c r="K125" s="1797"/>
      <c r="L125" s="1784"/>
      <c r="M125" s="1785"/>
    </row>
    <row r="126" spans="1:13" s="1859" customFormat="1" ht="30" x14ac:dyDescent="0.2">
      <c r="A126" s="2148">
        <v>4718</v>
      </c>
      <c r="B126" s="2148"/>
      <c r="C126" s="1877" t="s">
        <v>4448</v>
      </c>
      <c r="D126" s="1850" t="s">
        <v>13197</v>
      </c>
      <c r="E126" s="1864">
        <v>0.05</v>
      </c>
      <c r="F126" s="1872" t="s">
        <v>44</v>
      </c>
      <c r="G126" s="367">
        <v>80.91</v>
      </c>
      <c r="H126" s="1852">
        <f t="shared" si="14"/>
        <v>4.04</v>
      </c>
      <c r="I126" s="1856"/>
      <c r="J126" s="1797"/>
      <c r="K126" s="1797"/>
      <c r="L126" s="1784"/>
      <c r="M126" s="1785"/>
    </row>
    <row r="127" spans="1:13" s="1859" customFormat="1" ht="30" x14ac:dyDescent="0.2">
      <c r="A127" s="2148">
        <v>5061</v>
      </c>
      <c r="B127" s="2148"/>
      <c r="C127" s="1877" t="s">
        <v>4448</v>
      </c>
      <c r="D127" s="1850" t="s">
        <v>13499</v>
      </c>
      <c r="E127" s="1864">
        <v>0.02</v>
      </c>
      <c r="F127" s="1872" t="s">
        <v>48</v>
      </c>
      <c r="G127" s="367">
        <v>9.9</v>
      </c>
      <c r="H127" s="1852">
        <f t="shared" si="14"/>
        <v>0.19</v>
      </c>
      <c r="I127" s="1856"/>
      <c r="J127" s="1797"/>
      <c r="K127" s="1797"/>
      <c r="L127" s="1784"/>
      <c r="M127" s="1785"/>
    </row>
    <row r="128" spans="1:13" s="1859" customFormat="1" ht="45" x14ac:dyDescent="0.2">
      <c r="A128" s="2148">
        <v>6189</v>
      </c>
      <c r="B128" s="2148"/>
      <c r="C128" s="1877" t="s">
        <v>4448</v>
      </c>
      <c r="D128" s="1850" t="s">
        <v>13849</v>
      </c>
      <c r="E128" s="1864">
        <v>0.3</v>
      </c>
      <c r="F128" s="1872" t="s">
        <v>47</v>
      </c>
      <c r="G128" s="367">
        <v>15.32</v>
      </c>
      <c r="H128" s="1852">
        <f t="shared" si="14"/>
        <v>4.59</v>
      </c>
      <c r="I128" s="1856"/>
      <c r="J128" s="1797"/>
      <c r="K128" s="1797"/>
      <c r="L128" s="1784"/>
      <c r="M128" s="1785"/>
    </row>
    <row r="129" spans="1:13" s="1859" customFormat="1" ht="30" x14ac:dyDescent="0.2">
      <c r="A129" s="2148">
        <v>7271</v>
      </c>
      <c r="B129" s="2148"/>
      <c r="C129" s="1877" t="s">
        <v>4448</v>
      </c>
      <c r="D129" s="1850" t="s">
        <v>10150</v>
      </c>
      <c r="E129" s="1864">
        <v>62.5</v>
      </c>
      <c r="F129" s="1872" t="s">
        <v>39</v>
      </c>
      <c r="G129" s="367">
        <v>0.49</v>
      </c>
      <c r="H129" s="1852">
        <f t="shared" si="14"/>
        <v>30.62</v>
      </c>
      <c r="I129" s="1856"/>
      <c r="J129" s="1797"/>
      <c r="K129" s="1797"/>
      <c r="L129" s="1784"/>
      <c r="M129" s="1785"/>
    </row>
    <row r="130" spans="1:13" s="1859" customFormat="1" ht="30" x14ac:dyDescent="0.2">
      <c r="A130" s="2148">
        <v>9836</v>
      </c>
      <c r="B130" s="2148"/>
      <c r="C130" s="1877" t="s">
        <v>4448</v>
      </c>
      <c r="D130" s="1850" t="s">
        <v>14624</v>
      </c>
      <c r="E130" s="1864">
        <v>50</v>
      </c>
      <c r="F130" s="1872" t="s">
        <v>47</v>
      </c>
      <c r="G130" s="367">
        <v>9.56</v>
      </c>
      <c r="H130" s="1852">
        <f t="shared" ref="H130:H131" si="15">ROUNDDOWN(G130*E130,2)</f>
        <v>478</v>
      </c>
      <c r="I130" s="1856"/>
      <c r="J130" s="1797"/>
      <c r="K130" s="1797"/>
      <c r="L130" s="1784"/>
      <c r="M130" s="1785"/>
    </row>
    <row r="131" spans="1:13" s="1859" customFormat="1" ht="30" x14ac:dyDescent="0.2">
      <c r="A131" s="2148">
        <v>43059</v>
      </c>
      <c r="B131" s="2148"/>
      <c r="C131" s="1877" t="s">
        <v>4448</v>
      </c>
      <c r="D131" s="1850" t="s">
        <v>9729</v>
      </c>
      <c r="E131" s="1864">
        <v>1.4</v>
      </c>
      <c r="F131" s="1872" t="s">
        <v>48</v>
      </c>
      <c r="G131" s="367">
        <v>5.18</v>
      </c>
      <c r="H131" s="1852">
        <f t="shared" si="15"/>
        <v>7.25</v>
      </c>
      <c r="I131" s="1856"/>
      <c r="J131" s="1797"/>
      <c r="K131" s="1797"/>
      <c r="L131" s="1784"/>
      <c r="M131" s="1785"/>
    </row>
    <row r="132" spans="1:13" s="1859" customFormat="1" ht="30" x14ac:dyDescent="0.2">
      <c r="A132" s="2148">
        <v>88267</v>
      </c>
      <c r="B132" s="2148"/>
      <c r="C132" s="1877" t="s">
        <v>4448</v>
      </c>
      <c r="D132" s="1850" t="s">
        <v>83</v>
      </c>
      <c r="E132" s="1864">
        <v>10</v>
      </c>
      <c r="F132" s="1872" t="s">
        <v>65</v>
      </c>
      <c r="G132" s="367">
        <v>19.73</v>
      </c>
      <c r="H132" s="1852">
        <f t="shared" si="14"/>
        <v>197.3</v>
      </c>
      <c r="I132" s="1856"/>
      <c r="J132" s="1797"/>
      <c r="K132" s="1797"/>
      <c r="L132" s="1784"/>
      <c r="M132" s="1785"/>
    </row>
    <row r="133" spans="1:13" s="1859" customFormat="1" ht="30" x14ac:dyDescent="0.2">
      <c r="A133" s="2148">
        <v>88316</v>
      </c>
      <c r="B133" s="2148"/>
      <c r="C133" s="1877" t="s">
        <v>4448</v>
      </c>
      <c r="D133" s="1850" t="s">
        <v>64</v>
      </c>
      <c r="E133" s="1864">
        <v>10</v>
      </c>
      <c r="F133" s="1872" t="s">
        <v>65</v>
      </c>
      <c r="G133" s="367">
        <v>15.08</v>
      </c>
      <c r="H133" s="1852">
        <f t="shared" si="14"/>
        <v>150.80000000000001</v>
      </c>
      <c r="I133" s="1856"/>
      <c r="J133" s="1797"/>
      <c r="K133" s="1797"/>
      <c r="L133" s="1784"/>
      <c r="M133" s="1785"/>
    </row>
    <row r="134" spans="1:13" s="1517" customFormat="1" x14ac:dyDescent="0.25">
      <c r="A134" s="1847"/>
      <c r="B134" s="1847"/>
      <c r="C134" s="1531"/>
      <c r="D134" s="2141" t="s">
        <v>124</v>
      </c>
      <c r="E134" s="2141"/>
      <c r="F134" s="2141"/>
      <c r="G134" s="2141"/>
      <c r="H134" s="267">
        <f>SUMIF(F123:F133,("h"),H123:H133)</f>
        <v>348.1</v>
      </c>
      <c r="I134" s="1830"/>
      <c r="J134" s="1795"/>
      <c r="K134" s="1795"/>
      <c r="L134" s="169"/>
      <c r="M134" s="1783"/>
    </row>
    <row r="135" spans="1:13" s="1517" customFormat="1" x14ac:dyDescent="0.25">
      <c r="A135" s="1847"/>
      <c r="B135" s="1847"/>
      <c r="C135" s="1531"/>
      <c r="D135" s="2141" t="s">
        <v>125</v>
      </c>
      <c r="E135" s="2141"/>
      <c r="F135" s="2141"/>
      <c r="G135" s="2141"/>
      <c r="H135" s="267">
        <f>SUMIF(F123:F133,"&lt;&gt;h",H123:H133)</f>
        <v>548.95000000000005</v>
      </c>
      <c r="I135" s="1830"/>
      <c r="J135" s="1795"/>
      <c r="K135" s="1795"/>
      <c r="L135" s="169"/>
      <c r="M135" s="1783"/>
    </row>
    <row r="136" spans="1:13" s="1517" customFormat="1" x14ac:dyDescent="0.25">
      <c r="A136" s="1847"/>
      <c r="B136" s="1847"/>
      <c r="C136" s="1531"/>
      <c r="D136" s="2142" t="s">
        <v>126</v>
      </c>
      <c r="E136" s="2142"/>
      <c r="F136" s="2142"/>
      <c r="G136" s="2142"/>
      <c r="H136" s="1532">
        <f>SUM(H134:H135)</f>
        <v>897.05000000000007</v>
      </c>
      <c r="I136" s="1830"/>
      <c r="J136" s="1795"/>
      <c r="K136" s="1795"/>
      <c r="L136" s="169"/>
      <c r="M136" s="1783"/>
    </row>
    <row r="137" spans="1:13" s="1517" customFormat="1" x14ac:dyDescent="0.25">
      <c r="A137" s="1847"/>
      <c r="B137" s="1847"/>
      <c r="C137" s="1531"/>
      <c r="D137" s="2141" t="s">
        <v>28</v>
      </c>
      <c r="E137" s="2141"/>
      <c r="F137" s="2141"/>
      <c r="G137" s="2141"/>
      <c r="H137" s="269">
        <f>E122</f>
        <v>1</v>
      </c>
      <c r="I137" s="1830"/>
      <c r="J137" s="1795"/>
      <c r="K137" s="1795"/>
      <c r="L137" s="169"/>
      <c r="M137" s="1783"/>
    </row>
    <row r="138" spans="1:13" s="1517" customFormat="1" x14ac:dyDescent="0.25">
      <c r="A138" s="1847"/>
      <c r="B138" s="1847"/>
      <c r="C138" s="1531"/>
      <c r="D138" s="2142" t="s">
        <v>127</v>
      </c>
      <c r="E138" s="2142"/>
      <c r="F138" s="2142"/>
      <c r="G138" s="2142"/>
      <c r="H138" s="1532">
        <f>ROUND(H136*H137,2)</f>
        <v>897.05</v>
      </c>
      <c r="I138" s="1830"/>
      <c r="J138" s="1795"/>
      <c r="K138" s="1795"/>
      <c r="L138" s="169"/>
      <c r="M138" s="1783"/>
    </row>
    <row r="139" spans="1:13" s="1517" customFormat="1" x14ac:dyDescent="0.25">
      <c r="A139" s="1847"/>
      <c r="B139" s="1847"/>
      <c r="C139" s="1531"/>
      <c r="D139" s="2141" t="s">
        <v>15335</v>
      </c>
      <c r="E139" s="2141"/>
      <c r="F139" s="2141"/>
      <c r="G139" s="2141"/>
      <c r="H139" s="267">
        <f>ROUND(H136*$B$13,2)</f>
        <v>241.58</v>
      </c>
      <c r="I139" s="1830"/>
      <c r="J139" s="1795"/>
      <c r="K139" s="1795"/>
      <c r="L139" s="169"/>
      <c r="M139" s="1783"/>
    </row>
    <row r="140" spans="1:13" x14ac:dyDescent="0.25">
      <c r="A140" s="1847"/>
      <c r="B140" s="1847"/>
      <c r="C140" s="1531"/>
      <c r="D140" s="2142" t="s">
        <v>7898</v>
      </c>
      <c r="E140" s="2142"/>
      <c r="F140" s="2142"/>
      <c r="G140" s="2142"/>
      <c r="H140" s="1532">
        <f>H139+H136</f>
        <v>1138.6300000000001</v>
      </c>
    </row>
    <row r="141" spans="1:13" x14ac:dyDescent="0.25">
      <c r="A141" s="1514"/>
      <c r="B141" s="1514"/>
      <c r="C141" s="1514"/>
      <c r="F141" s="1533"/>
      <c r="G141" s="1534"/>
      <c r="H141" s="1514"/>
    </row>
    <row r="142" spans="1:13" s="1517" customFormat="1" x14ac:dyDescent="0.25">
      <c r="A142" s="146" t="s">
        <v>6</v>
      </c>
      <c r="B142" s="2143" t="s">
        <v>7</v>
      </c>
      <c r="C142" s="2143"/>
      <c r="D142" s="1518" t="s">
        <v>121</v>
      </c>
      <c r="E142" s="278" t="s">
        <v>5282</v>
      </c>
      <c r="F142" s="1518" t="s">
        <v>31</v>
      </c>
      <c r="G142" s="1519" t="s">
        <v>122</v>
      </c>
      <c r="H142" s="1520" t="s">
        <v>123</v>
      </c>
      <c r="I142" s="1830"/>
      <c r="J142" s="1795"/>
      <c r="K142" s="1795"/>
      <c r="L142" s="169"/>
      <c r="M142" s="1783"/>
    </row>
    <row r="143" spans="1:13" s="1526" customFormat="1" ht="45" x14ac:dyDescent="0.2">
      <c r="A143" s="1855" t="str">
        <f>'Orç - Canteiro e Adm'!A42</f>
        <v>02.01.401</v>
      </c>
      <c r="B143" s="1855" t="str">
        <f>'Orç - Canteiro e Adm'!B42</f>
        <v>SINAPI</v>
      </c>
      <c r="C143" s="1855" t="str">
        <f>'Orç - Canteiro e Adm'!C42</f>
        <v>98459 MOD</v>
      </c>
      <c r="D143" s="1522" t="s">
        <v>8587</v>
      </c>
      <c r="E143" s="1523">
        <f>'Orç - Canteiro e Adm'!E42</f>
        <v>313.3</v>
      </c>
      <c r="F143" s="1855" t="s">
        <v>5713</v>
      </c>
      <c r="G143" s="1524">
        <v>128.79999999999998</v>
      </c>
      <c r="H143" s="1525">
        <f>H157</f>
        <v>40353.040000000001</v>
      </c>
      <c r="I143" s="1910" t="s">
        <v>9481</v>
      </c>
      <c r="J143" s="1793"/>
      <c r="K143" s="1793"/>
      <c r="L143" s="141"/>
      <c r="M143" s="1515"/>
    </row>
    <row r="144" spans="1:13" s="156" customFormat="1" ht="60" x14ac:dyDescent="0.2">
      <c r="A144" s="2144">
        <v>7243</v>
      </c>
      <c r="B144" s="2144"/>
      <c r="C144" s="1516" t="s">
        <v>4448</v>
      </c>
      <c r="D144" s="182" t="s">
        <v>14212</v>
      </c>
      <c r="E144" s="1527">
        <v>2.02</v>
      </c>
      <c r="F144" s="1854" t="s">
        <v>45</v>
      </c>
      <c r="G144" s="1529">
        <v>31.82</v>
      </c>
      <c r="H144" s="1530">
        <f t="shared" ref="H144:H152" si="16">ROUNDDOWN(G144*E144,2)</f>
        <v>64.27</v>
      </c>
      <c r="I144" s="1642"/>
      <c r="J144" s="1797"/>
      <c r="K144" s="1797"/>
      <c r="L144" s="1784"/>
      <c r="M144" s="1785"/>
    </row>
    <row r="145" spans="1:13" s="156" customFormat="1" ht="45" x14ac:dyDescent="0.2">
      <c r="A145" s="2144">
        <v>4430</v>
      </c>
      <c r="B145" s="2144"/>
      <c r="C145" s="1516" t="s">
        <v>4448</v>
      </c>
      <c r="D145" s="182" t="s">
        <v>10547</v>
      </c>
      <c r="E145" s="1527">
        <v>3</v>
      </c>
      <c r="F145" s="1854" t="s">
        <v>47</v>
      </c>
      <c r="G145" s="1529">
        <v>10.06</v>
      </c>
      <c r="H145" s="1530">
        <f t="shared" si="16"/>
        <v>30.18</v>
      </c>
      <c r="I145" s="1642"/>
      <c r="J145" s="1797"/>
      <c r="K145" s="1797"/>
      <c r="L145" s="1784"/>
      <c r="M145" s="1785"/>
    </row>
    <row r="146" spans="1:13" s="156" customFormat="1" ht="45" x14ac:dyDescent="0.2">
      <c r="A146" s="2144">
        <v>4509</v>
      </c>
      <c r="B146" s="2144"/>
      <c r="C146" s="1516" t="s">
        <v>4448</v>
      </c>
      <c r="D146" s="182" t="s">
        <v>13844</v>
      </c>
      <c r="E146" s="1527">
        <v>1.3636360000000001</v>
      </c>
      <c r="F146" s="1854" t="s">
        <v>47</v>
      </c>
      <c r="G146" s="1529">
        <v>1.95</v>
      </c>
      <c r="H146" s="1530">
        <f t="shared" si="16"/>
        <v>2.65</v>
      </c>
      <c r="I146" s="1642"/>
      <c r="J146" s="1797"/>
      <c r="K146" s="1797"/>
      <c r="L146" s="1784"/>
      <c r="M146" s="1785"/>
    </row>
    <row r="147" spans="1:13" s="156" customFormat="1" ht="30" x14ac:dyDescent="0.2">
      <c r="A147" s="2144">
        <v>5061</v>
      </c>
      <c r="B147" s="2144"/>
      <c r="C147" s="1516" t="s">
        <v>4448</v>
      </c>
      <c r="D147" s="182" t="s">
        <v>13499</v>
      </c>
      <c r="E147" s="1864">
        <v>8.5599999999999996E-2</v>
      </c>
      <c r="F147" s="1854" t="s">
        <v>48</v>
      </c>
      <c r="G147" s="1529">
        <v>9.9</v>
      </c>
      <c r="H147" s="1530">
        <f t="shared" si="16"/>
        <v>0.84</v>
      </c>
      <c r="I147" s="1642"/>
      <c r="J147" s="1797"/>
      <c r="K147" s="1797"/>
      <c r="L147" s="1784"/>
      <c r="M147" s="1785"/>
    </row>
    <row r="148" spans="1:13" s="156" customFormat="1" ht="30" x14ac:dyDescent="0.2">
      <c r="A148" s="2144">
        <v>88262</v>
      </c>
      <c r="B148" s="2144"/>
      <c r="C148" s="1516" t="s">
        <v>4448</v>
      </c>
      <c r="D148" s="182" t="s">
        <v>80</v>
      </c>
      <c r="E148" s="1864">
        <v>1.1382000000000001</v>
      </c>
      <c r="F148" s="1854" t="s">
        <v>65</v>
      </c>
      <c r="G148" s="1529">
        <v>20.02</v>
      </c>
      <c r="H148" s="1530">
        <f t="shared" ref="H148:H151" si="17">ROUNDDOWN(G148*E148,2)</f>
        <v>22.78</v>
      </c>
      <c r="I148" s="1642"/>
      <c r="J148" s="1797"/>
      <c r="K148" s="1797"/>
      <c r="L148" s="1784"/>
      <c r="M148" s="1785"/>
    </row>
    <row r="149" spans="1:13" s="156" customFormat="1" ht="30" x14ac:dyDescent="0.2">
      <c r="A149" s="2144">
        <v>88239</v>
      </c>
      <c r="B149" s="2144"/>
      <c r="C149" s="1516" t="s">
        <v>4448</v>
      </c>
      <c r="D149" s="182" t="s">
        <v>4278</v>
      </c>
      <c r="E149" s="1864">
        <v>0.37940000000000002</v>
      </c>
      <c r="F149" s="1854" t="s">
        <v>65</v>
      </c>
      <c r="G149" s="1529">
        <v>17.010000000000002</v>
      </c>
      <c r="H149" s="1530">
        <f t="shared" si="17"/>
        <v>6.45</v>
      </c>
      <c r="I149" s="1642"/>
      <c r="J149" s="1797"/>
      <c r="K149" s="1797"/>
      <c r="L149" s="1784"/>
      <c r="M149" s="1785"/>
    </row>
    <row r="150" spans="1:13" s="156" customFormat="1" ht="45" x14ac:dyDescent="0.2">
      <c r="A150" s="2144">
        <v>94974</v>
      </c>
      <c r="B150" s="2144"/>
      <c r="C150" s="1516" t="s">
        <v>4448</v>
      </c>
      <c r="D150" s="182" t="s">
        <v>1739</v>
      </c>
      <c r="E150" s="1864">
        <v>2.3999999999999998E-3</v>
      </c>
      <c r="F150" s="1854" t="s">
        <v>1208</v>
      </c>
      <c r="G150" s="1529">
        <v>367.51</v>
      </c>
      <c r="H150" s="1530">
        <f t="shared" si="17"/>
        <v>0.88</v>
      </c>
      <c r="I150" s="1642"/>
      <c r="J150" s="1797"/>
      <c r="K150" s="1797"/>
      <c r="L150" s="1784"/>
      <c r="M150" s="1785"/>
    </row>
    <row r="151" spans="1:13" s="156" customFormat="1" ht="45" x14ac:dyDescent="0.2">
      <c r="A151" s="2144">
        <v>91692</v>
      </c>
      <c r="B151" s="2144"/>
      <c r="C151" s="1516" t="s">
        <v>4448</v>
      </c>
      <c r="D151" s="182" t="s">
        <v>412</v>
      </c>
      <c r="E151" s="1864">
        <v>8.8000000000000005E-3</v>
      </c>
      <c r="F151" s="1854" t="s">
        <v>97</v>
      </c>
      <c r="G151" s="1529">
        <v>17.850000000000001</v>
      </c>
      <c r="H151" s="1530">
        <f t="shared" si="17"/>
        <v>0.15</v>
      </c>
      <c r="I151" s="1642"/>
      <c r="J151" s="1797"/>
      <c r="K151" s="1797"/>
      <c r="L151" s="1784"/>
      <c r="M151" s="1785"/>
    </row>
    <row r="152" spans="1:13" s="156" customFormat="1" ht="45" x14ac:dyDescent="0.2">
      <c r="A152" s="2144">
        <v>91693</v>
      </c>
      <c r="B152" s="2144"/>
      <c r="C152" s="1516" t="s">
        <v>4448</v>
      </c>
      <c r="D152" s="182" t="s">
        <v>551</v>
      </c>
      <c r="E152" s="1864">
        <v>3.8199999999999998E-2</v>
      </c>
      <c r="F152" s="1854" t="s">
        <v>98</v>
      </c>
      <c r="G152" s="1529">
        <v>15.91</v>
      </c>
      <c r="H152" s="1530">
        <f t="shared" si="16"/>
        <v>0.6</v>
      </c>
      <c r="I152" s="1642"/>
      <c r="J152" s="1797"/>
      <c r="K152" s="1797"/>
      <c r="L152" s="1784"/>
      <c r="M152" s="1785"/>
    </row>
    <row r="153" spans="1:13" s="1517" customFormat="1" x14ac:dyDescent="0.25">
      <c r="A153" s="1847"/>
      <c r="B153" s="1847"/>
      <c r="C153" s="1531"/>
      <c r="D153" s="2141" t="s">
        <v>124</v>
      </c>
      <c r="E153" s="2141"/>
      <c r="F153" s="2141"/>
      <c r="G153" s="2141"/>
      <c r="H153" s="267">
        <f>SUMIF(F144:F152,("h"),H144:H152)</f>
        <v>29.23</v>
      </c>
      <c r="I153" s="1830"/>
      <c r="J153" s="1795"/>
      <c r="K153" s="1795"/>
      <c r="L153" s="169"/>
      <c r="M153" s="1783"/>
    </row>
    <row r="154" spans="1:13" s="1517" customFormat="1" x14ac:dyDescent="0.25">
      <c r="A154" s="1847"/>
      <c r="B154" s="1847"/>
      <c r="C154" s="1531"/>
      <c r="D154" s="2141" t="s">
        <v>125</v>
      </c>
      <c r="E154" s="2141"/>
      <c r="F154" s="2141"/>
      <c r="G154" s="2141"/>
      <c r="H154" s="267">
        <f>SUMIF(F144:F152,"&lt;&gt;h",H144:H152)</f>
        <v>99.57</v>
      </c>
      <c r="I154" s="1830"/>
      <c r="J154" s="1795"/>
      <c r="K154" s="1795"/>
      <c r="L154" s="169"/>
      <c r="M154" s="1783"/>
    </row>
    <row r="155" spans="1:13" s="1517" customFormat="1" x14ac:dyDescent="0.25">
      <c r="A155" s="1847"/>
      <c r="B155" s="1847"/>
      <c r="C155" s="1531"/>
      <c r="D155" s="2142" t="s">
        <v>126</v>
      </c>
      <c r="E155" s="2142"/>
      <c r="F155" s="2142"/>
      <c r="G155" s="2142"/>
      <c r="H155" s="1532">
        <f>SUM(H153:H154)</f>
        <v>128.79999999999998</v>
      </c>
      <c r="I155" s="1830"/>
      <c r="J155" s="1795"/>
      <c r="K155" s="1795"/>
      <c r="L155" s="169"/>
      <c r="M155" s="1783"/>
    </row>
    <row r="156" spans="1:13" s="1517" customFormat="1" x14ac:dyDescent="0.25">
      <c r="A156" s="1847"/>
      <c r="B156" s="1847"/>
      <c r="C156" s="1531"/>
      <c r="D156" s="2141" t="s">
        <v>28</v>
      </c>
      <c r="E156" s="2141"/>
      <c r="F156" s="2141"/>
      <c r="G156" s="2141"/>
      <c r="H156" s="269">
        <f>E143</f>
        <v>313.3</v>
      </c>
      <c r="I156" s="1830"/>
      <c r="J156" s="1795"/>
      <c r="K156" s="1795"/>
      <c r="L156" s="169"/>
      <c r="M156" s="1783"/>
    </row>
    <row r="157" spans="1:13" s="1517" customFormat="1" x14ac:dyDescent="0.25">
      <c r="A157" s="1847"/>
      <c r="B157" s="1847"/>
      <c r="C157" s="1531"/>
      <c r="D157" s="2142" t="s">
        <v>127</v>
      </c>
      <c r="E157" s="2142"/>
      <c r="F157" s="2142"/>
      <c r="G157" s="2142"/>
      <c r="H157" s="1532">
        <f>ROUND(H155*H156,2)</f>
        <v>40353.040000000001</v>
      </c>
      <c r="I157" s="1830"/>
      <c r="J157" s="1795"/>
      <c r="K157" s="1795"/>
      <c r="L157" s="169"/>
      <c r="M157" s="1783"/>
    </row>
    <row r="158" spans="1:13" s="1517" customFormat="1" x14ac:dyDescent="0.25">
      <c r="A158" s="1847"/>
      <c r="B158" s="1847"/>
      <c r="C158" s="1531"/>
      <c r="D158" s="2141" t="s">
        <v>15335</v>
      </c>
      <c r="E158" s="2141"/>
      <c r="F158" s="2141"/>
      <c r="G158" s="2141"/>
      <c r="H158" s="267">
        <f>ROUND(H155*$B$13,2)</f>
        <v>34.69</v>
      </c>
      <c r="I158" s="1830"/>
      <c r="J158" s="1795"/>
      <c r="K158" s="1795"/>
      <c r="L158" s="169"/>
      <c r="M158" s="1783"/>
    </row>
    <row r="159" spans="1:13" x14ac:dyDescent="0.25">
      <c r="A159" s="1847"/>
      <c r="B159" s="1847"/>
      <c r="C159" s="1531"/>
      <c r="D159" s="2142" t="s">
        <v>7898</v>
      </c>
      <c r="E159" s="2142"/>
      <c r="F159" s="2142"/>
      <c r="G159" s="2142"/>
      <c r="H159" s="1532">
        <f>H158+H155</f>
        <v>163.48999999999998</v>
      </c>
    </row>
    <row r="160" spans="1:13" x14ac:dyDescent="0.25">
      <c r="A160" s="1514"/>
      <c r="B160" s="1514"/>
      <c r="C160" s="1514"/>
      <c r="F160" s="1533"/>
      <c r="G160" s="1534"/>
      <c r="H160" s="1514"/>
    </row>
    <row r="161" spans="1:13" s="1517" customFormat="1" x14ac:dyDescent="0.25">
      <c r="A161" s="146" t="s">
        <v>6</v>
      </c>
      <c r="B161" s="2143" t="s">
        <v>7</v>
      </c>
      <c r="C161" s="2143"/>
      <c r="D161" s="1518" t="s">
        <v>121</v>
      </c>
      <c r="E161" s="278" t="s">
        <v>5282</v>
      </c>
      <c r="F161" s="1518" t="s">
        <v>31</v>
      </c>
      <c r="G161" s="1519" t="s">
        <v>122</v>
      </c>
      <c r="H161" s="1520" t="s">
        <v>123</v>
      </c>
      <c r="I161" s="1830"/>
      <c r="J161" s="1795"/>
      <c r="K161" s="1795"/>
      <c r="L161" s="169"/>
      <c r="M161" s="1783"/>
    </row>
    <row r="162" spans="1:13" s="1526" customFormat="1" ht="45" x14ac:dyDescent="0.2">
      <c r="A162" s="1928" t="str">
        <f>'Orç - Canteiro e Adm'!A43</f>
        <v>02.01.404</v>
      </c>
      <c r="B162" s="1928" t="str">
        <f>'Orç - Canteiro e Adm'!B43</f>
        <v>ORSE</v>
      </c>
      <c r="C162" s="1928">
        <f>'Orç - Canteiro e Adm'!C43</f>
        <v>51</v>
      </c>
      <c r="D162" s="1865" t="s">
        <v>7788</v>
      </c>
      <c r="E162" s="1928">
        <f>'Orç - Canteiro e Adm'!E43</f>
        <v>18.649999999999999</v>
      </c>
      <c r="F162" s="1928" t="s">
        <v>5286</v>
      </c>
      <c r="G162" s="1524">
        <v>396.37</v>
      </c>
      <c r="H162" s="1525">
        <f>H173</f>
        <v>7392.3</v>
      </c>
      <c r="I162" s="1910" t="s">
        <v>14965</v>
      </c>
      <c r="J162" s="1793"/>
      <c r="K162" s="1793"/>
      <c r="L162" s="141"/>
      <c r="M162" s="1515"/>
    </row>
    <row r="163" spans="1:13" s="1859" customFormat="1" ht="45" x14ac:dyDescent="0.2">
      <c r="A163" s="2144">
        <v>4430</v>
      </c>
      <c r="B163" s="2144"/>
      <c r="C163" s="1863" t="s">
        <v>4448</v>
      </c>
      <c r="D163" s="1862" t="s">
        <v>10547</v>
      </c>
      <c r="E163" s="1864">
        <v>4</v>
      </c>
      <c r="F163" s="1927" t="s">
        <v>47</v>
      </c>
      <c r="G163" s="1860">
        <v>10.06</v>
      </c>
      <c r="H163" s="1857">
        <f t="shared" ref="H163" si="18">ROUNDDOWN(G163*E163,2)</f>
        <v>40.24</v>
      </c>
      <c r="I163" s="1856"/>
      <c r="J163" s="1797"/>
      <c r="K163" s="1797"/>
      <c r="L163" s="1784"/>
      <c r="M163" s="1785"/>
    </row>
    <row r="164" spans="1:13" s="1859" customFormat="1" ht="45" x14ac:dyDescent="0.2">
      <c r="A164" s="2144">
        <v>4813</v>
      </c>
      <c r="B164" s="2144"/>
      <c r="C164" s="1863" t="s">
        <v>4448</v>
      </c>
      <c r="D164" s="1862" t="s">
        <v>13333</v>
      </c>
      <c r="E164" s="1864">
        <v>1</v>
      </c>
      <c r="F164" s="1927" t="s">
        <v>45</v>
      </c>
      <c r="G164" s="1860">
        <v>300</v>
      </c>
      <c r="H164" s="1857">
        <f t="shared" ref="H164:H165" si="19">ROUNDDOWN(G164*E164,2)</f>
        <v>300</v>
      </c>
      <c r="I164" s="1856"/>
      <c r="J164" s="1797"/>
      <c r="K164" s="1797"/>
      <c r="L164" s="1784"/>
      <c r="M164" s="1785"/>
    </row>
    <row r="165" spans="1:13" s="1859" customFormat="1" ht="45" x14ac:dyDescent="0.2">
      <c r="A165" s="2144">
        <v>4415</v>
      </c>
      <c r="B165" s="2144"/>
      <c r="C165" s="1863" t="s">
        <v>4448</v>
      </c>
      <c r="D165" s="1862" t="s">
        <v>13736</v>
      </c>
      <c r="E165" s="1864">
        <v>1</v>
      </c>
      <c r="F165" s="1927" t="s">
        <v>47</v>
      </c>
      <c r="G165" s="1860">
        <v>4.4400000000000004</v>
      </c>
      <c r="H165" s="1857">
        <f t="shared" si="19"/>
        <v>4.4400000000000004</v>
      </c>
      <c r="I165" s="1856"/>
      <c r="J165" s="1797"/>
      <c r="K165" s="1797"/>
      <c r="L165" s="1784"/>
      <c r="M165" s="1785"/>
    </row>
    <row r="166" spans="1:13" s="1859" customFormat="1" ht="30" x14ac:dyDescent="0.2">
      <c r="A166" s="2144">
        <v>5075</v>
      </c>
      <c r="B166" s="2144"/>
      <c r="C166" s="1863" t="s">
        <v>4448</v>
      </c>
      <c r="D166" s="1862" t="s">
        <v>13500</v>
      </c>
      <c r="E166" s="1864">
        <v>0.15</v>
      </c>
      <c r="F166" s="1927" t="s">
        <v>48</v>
      </c>
      <c r="G166" s="1860">
        <v>10.07</v>
      </c>
      <c r="H166" s="1857">
        <f t="shared" ref="H166" si="20">ROUNDDOWN(G166*E166,2)</f>
        <v>1.51</v>
      </c>
      <c r="I166" s="1856"/>
      <c r="J166" s="1797"/>
      <c r="K166" s="1797"/>
      <c r="L166" s="1784"/>
      <c r="M166" s="1785"/>
    </row>
    <row r="167" spans="1:13" s="1859" customFormat="1" ht="30" x14ac:dyDescent="0.2">
      <c r="A167" s="2144">
        <v>88316</v>
      </c>
      <c r="B167" s="2144"/>
      <c r="C167" s="1863" t="s">
        <v>4448</v>
      </c>
      <c r="D167" s="1862" t="s">
        <v>64</v>
      </c>
      <c r="E167" s="1864">
        <v>2</v>
      </c>
      <c r="F167" s="1927" t="s">
        <v>65</v>
      </c>
      <c r="G167" s="1860">
        <v>15.08</v>
      </c>
      <c r="H167" s="1857">
        <f t="shared" ref="H167:H168" si="21">ROUNDDOWN(G167*E167,2)</f>
        <v>30.16</v>
      </c>
      <c r="I167" s="1856"/>
      <c r="J167" s="1797"/>
      <c r="K167" s="1797"/>
      <c r="L167" s="1784"/>
      <c r="M167" s="1785"/>
    </row>
    <row r="168" spans="1:13" s="1859" customFormat="1" ht="30" x14ac:dyDescent="0.2">
      <c r="A168" s="2144">
        <v>88262</v>
      </c>
      <c r="B168" s="2144"/>
      <c r="C168" s="1863" t="s">
        <v>4448</v>
      </c>
      <c r="D168" s="1862" t="s">
        <v>80</v>
      </c>
      <c r="E168" s="1864">
        <v>1</v>
      </c>
      <c r="F168" s="1927" t="s">
        <v>65</v>
      </c>
      <c r="G168" s="1860">
        <v>20.02</v>
      </c>
      <c r="H168" s="1857">
        <f t="shared" si="21"/>
        <v>20.02</v>
      </c>
      <c r="I168" s="1856"/>
      <c r="J168" s="1797"/>
      <c r="K168" s="1797"/>
      <c r="L168" s="1784"/>
      <c r="M168" s="1785"/>
    </row>
    <row r="169" spans="1:13" s="1517" customFormat="1" x14ac:dyDescent="0.25">
      <c r="A169" s="1929"/>
      <c r="B169" s="1929"/>
      <c r="C169" s="1531"/>
      <c r="D169" s="2141" t="s">
        <v>124</v>
      </c>
      <c r="E169" s="2141"/>
      <c r="F169" s="2141"/>
      <c r="G169" s="2141"/>
      <c r="H169" s="267">
        <f>SUMIF(F163:F168,("h"),H163:H168)</f>
        <v>50.18</v>
      </c>
      <c r="I169" s="1830"/>
      <c r="J169" s="1795"/>
      <c r="K169" s="1795"/>
      <c r="L169" s="169"/>
      <c r="M169" s="1783"/>
    </row>
    <row r="170" spans="1:13" s="1517" customFormat="1" x14ac:dyDescent="0.25">
      <c r="A170" s="1929"/>
      <c r="B170" s="1929"/>
      <c r="C170" s="1531"/>
      <c r="D170" s="2141" t="s">
        <v>125</v>
      </c>
      <c r="E170" s="2141"/>
      <c r="F170" s="2141"/>
      <c r="G170" s="2141"/>
      <c r="H170" s="267">
        <f>SUMIF(F163:F168,"&lt;&gt;h",H163:H168)</f>
        <v>346.19</v>
      </c>
      <c r="I170" s="1830"/>
      <c r="J170" s="1795"/>
      <c r="K170" s="1795"/>
      <c r="L170" s="169"/>
      <c r="M170" s="1783"/>
    </row>
    <row r="171" spans="1:13" s="1517" customFormat="1" x14ac:dyDescent="0.25">
      <c r="A171" s="1929"/>
      <c r="B171" s="1929"/>
      <c r="C171" s="1531"/>
      <c r="D171" s="2142" t="s">
        <v>126</v>
      </c>
      <c r="E171" s="2142"/>
      <c r="F171" s="2142"/>
      <c r="G171" s="2142"/>
      <c r="H171" s="1532">
        <f>SUM(H169:H170)</f>
        <v>396.37</v>
      </c>
      <c r="I171" s="1830"/>
      <c r="J171" s="1795"/>
      <c r="K171" s="1795"/>
      <c r="L171" s="169"/>
      <c r="M171" s="1783"/>
    </row>
    <row r="172" spans="1:13" s="1517" customFormat="1" x14ac:dyDescent="0.25">
      <c r="A172" s="1929"/>
      <c r="B172" s="1929"/>
      <c r="C172" s="1531"/>
      <c r="D172" s="2141" t="s">
        <v>28</v>
      </c>
      <c r="E172" s="2141"/>
      <c r="F172" s="2141"/>
      <c r="G172" s="2141"/>
      <c r="H172" s="269">
        <f>E162</f>
        <v>18.649999999999999</v>
      </c>
      <c r="I172" s="1830"/>
      <c r="J172" s="1795"/>
      <c r="K172" s="1795"/>
      <c r="L172" s="169"/>
      <c r="M172" s="1783"/>
    </row>
    <row r="173" spans="1:13" s="1517" customFormat="1" x14ac:dyDescent="0.25">
      <c r="A173" s="1929"/>
      <c r="B173" s="1929"/>
      <c r="C173" s="1531"/>
      <c r="D173" s="2142" t="s">
        <v>127</v>
      </c>
      <c r="E173" s="2142"/>
      <c r="F173" s="2142"/>
      <c r="G173" s="2142"/>
      <c r="H173" s="1532">
        <f>ROUND(H171*H172,2)</f>
        <v>7392.3</v>
      </c>
      <c r="I173" s="1830"/>
      <c r="J173" s="1795"/>
      <c r="K173" s="1795"/>
      <c r="L173" s="169"/>
      <c r="M173" s="1783"/>
    </row>
    <row r="174" spans="1:13" s="1517" customFormat="1" x14ac:dyDescent="0.25">
      <c r="A174" s="1929"/>
      <c r="B174" s="1929"/>
      <c r="C174" s="1531"/>
      <c r="D174" s="2141" t="s">
        <v>15335</v>
      </c>
      <c r="E174" s="2141"/>
      <c r="F174" s="2141"/>
      <c r="G174" s="2141"/>
      <c r="H174" s="267">
        <f>ROUND(H171*$B$13,2)</f>
        <v>106.74</v>
      </c>
      <c r="I174" s="1830"/>
      <c r="J174" s="1795"/>
      <c r="K174" s="1795"/>
      <c r="L174" s="169"/>
      <c r="M174" s="1783"/>
    </row>
    <row r="175" spans="1:13" x14ac:dyDescent="0.25">
      <c r="A175" s="1929"/>
      <c r="B175" s="1929"/>
      <c r="C175" s="1531"/>
      <c r="D175" s="2142" t="s">
        <v>7898</v>
      </c>
      <c r="E175" s="2142"/>
      <c r="F175" s="2142"/>
      <c r="G175" s="2142"/>
      <c r="H175" s="1532">
        <f>H174+H171</f>
        <v>503.11</v>
      </c>
    </row>
    <row r="176" spans="1:13" x14ac:dyDescent="0.25">
      <c r="A176" s="1514"/>
      <c r="B176" s="1514"/>
      <c r="C176" s="1514"/>
      <c r="F176" s="1533"/>
      <c r="G176" s="1534"/>
      <c r="H176" s="1514"/>
    </row>
    <row r="177" spans="1:13" s="1517" customFormat="1" x14ac:dyDescent="0.25">
      <c r="A177" s="146" t="s">
        <v>6</v>
      </c>
      <c r="B177" s="2143" t="s">
        <v>7</v>
      </c>
      <c r="C177" s="2143"/>
      <c r="D177" s="1518" t="s">
        <v>121</v>
      </c>
      <c r="E177" s="278" t="s">
        <v>5282</v>
      </c>
      <c r="F177" s="1518" t="s">
        <v>31</v>
      </c>
      <c r="G177" s="1519" t="s">
        <v>122</v>
      </c>
      <c r="H177" s="1520" t="s">
        <v>123</v>
      </c>
      <c r="I177" s="1830"/>
      <c r="J177" s="1795"/>
      <c r="K177" s="1795"/>
      <c r="L177" s="169"/>
      <c r="M177" s="1783"/>
    </row>
    <row r="178" spans="1:13" s="1526" customFormat="1" ht="30" x14ac:dyDescent="0.2">
      <c r="A178" s="1521" t="str">
        <f>'Orç - Canteiro e Adm'!A44</f>
        <v>02.01.405</v>
      </c>
      <c r="B178" s="1858" t="str">
        <f>'Orç - Canteiro e Adm'!B44</f>
        <v>ORSE</v>
      </c>
      <c r="C178" s="1858" t="str">
        <f>'Orç - Canteiro e Adm'!C44</f>
        <v>12759 MOD</v>
      </c>
      <c r="D178" s="1865" t="s">
        <v>8589</v>
      </c>
      <c r="E178" s="1866">
        <f>'Orç - Canteiro e Adm'!E44</f>
        <v>2</v>
      </c>
      <c r="F178" s="1858" t="s">
        <v>5284</v>
      </c>
      <c r="G178" s="1524">
        <v>4782.9800000000005</v>
      </c>
      <c r="H178" s="1525">
        <f>H193</f>
        <v>9565.9599999999991</v>
      </c>
      <c r="I178" s="1910" t="s">
        <v>9481</v>
      </c>
      <c r="J178" s="1793"/>
      <c r="K178" s="1793"/>
      <c r="L178" s="141"/>
      <c r="M178" s="1515"/>
    </row>
    <row r="179" spans="1:13" s="156" customFormat="1" ht="30" x14ac:dyDescent="0.2">
      <c r="A179" s="2144" t="s">
        <v>8591</v>
      </c>
      <c r="B179" s="2144"/>
      <c r="C179" s="1516" t="s">
        <v>8562</v>
      </c>
      <c r="D179" s="182" t="s">
        <v>9483</v>
      </c>
      <c r="E179" s="1527">
        <f>37.7*2.45</f>
        <v>92.365000000000009</v>
      </c>
      <c r="F179" s="1661" t="s">
        <v>48</v>
      </c>
      <c r="G179" s="367">
        <v>5.3</v>
      </c>
      <c r="H179" s="1530">
        <f t="shared" ref="H179:H188" si="22">ROUNDDOWN(G179*E179,2)</f>
        <v>489.53</v>
      </c>
      <c r="I179" s="1642"/>
      <c r="J179" s="1797"/>
      <c r="K179" s="1797"/>
      <c r="L179" s="1784"/>
      <c r="M179" s="1785"/>
    </row>
    <row r="180" spans="1:13" s="156" customFormat="1" ht="30" x14ac:dyDescent="0.2">
      <c r="A180" s="2144" t="s">
        <v>8592</v>
      </c>
      <c r="B180" s="2144"/>
      <c r="C180" s="1516" t="s">
        <v>5696</v>
      </c>
      <c r="D180" s="182" t="s">
        <v>9484</v>
      </c>
      <c r="E180" s="1527">
        <v>5.64</v>
      </c>
      <c r="F180" s="1661" t="s">
        <v>136</v>
      </c>
      <c r="G180" s="367">
        <v>41.16</v>
      </c>
      <c r="H180" s="1530">
        <f t="shared" si="22"/>
        <v>232.14</v>
      </c>
      <c r="I180" s="1642"/>
      <c r="J180" s="1797"/>
      <c r="K180" s="1797"/>
      <c r="L180" s="1784"/>
      <c r="M180" s="1785"/>
    </row>
    <row r="181" spans="1:13" s="1859" customFormat="1" ht="60" x14ac:dyDescent="0.2">
      <c r="A181" s="2144">
        <v>7243</v>
      </c>
      <c r="B181" s="2144"/>
      <c r="C181" s="1863" t="s">
        <v>4448</v>
      </c>
      <c r="D181" s="1862" t="s">
        <v>14212</v>
      </c>
      <c r="E181" s="1864">
        <v>12</v>
      </c>
      <c r="F181" s="1861" t="s">
        <v>45</v>
      </c>
      <c r="G181" s="1860">
        <v>31.82</v>
      </c>
      <c r="H181" s="1857">
        <f t="shared" ref="H181:H182" si="23">ROUNDDOWN(G181*E181,2)</f>
        <v>381.84</v>
      </c>
      <c r="I181" s="1856"/>
      <c r="J181" s="1797"/>
      <c r="K181" s="1797"/>
      <c r="L181" s="1784"/>
      <c r="M181" s="1785"/>
    </row>
    <row r="182" spans="1:13" s="1859" customFormat="1" ht="30" x14ac:dyDescent="0.2">
      <c r="A182" s="2144">
        <v>40547</v>
      </c>
      <c r="B182" s="2144"/>
      <c r="C182" s="1863" t="s">
        <v>4448</v>
      </c>
      <c r="D182" s="1862" t="s">
        <v>13154</v>
      </c>
      <c r="E182" s="1864">
        <v>0.16</v>
      </c>
      <c r="F182" s="1861" t="s">
        <v>60</v>
      </c>
      <c r="G182" s="1860">
        <v>20.2</v>
      </c>
      <c r="H182" s="1857">
        <f t="shared" si="23"/>
        <v>3.23</v>
      </c>
      <c r="I182" s="1856"/>
      <c r="J182" s="1797"/>
      <c r="K182" s="1797"/>
      <c r="L182" s="1784"/>
      <c r="M182" s="1785"/>
    </row>
    <row r="183" spans="1:13" s="156" customFormat="1" ht="30" x14ac:dyDescent="0.2">
      <c r="A183" s="2144">
        <v>10997</v>
      </c>
      <c r="B183" s="2144"/>
      <c r="C183" s="1516" t="s">
        <v>4448</v>
      </c>
      <c r="D183" s="182" t="s">
        <v>11598</v>
      </c>
      <c r="E183" s="1527">
        <v>44.76</v>
      </c>
      <c r="F183" s="1661" t="s">
        <v>48</v>
      </c>
      <c r="G183" s="1529">
        <v>17.88</v>
      </c>
      <c r="H183" s="1530">
        <f t="shared" si="22"/>
        <v>800.3</v>
      </c>
      <c r="I183" s="1642"/>
      <c r="J183" s="1797"/>
      <c r="K183" s="1797"/>
      <c r="L183" s="1784"/>
      <c r="M183" s="1785"/>
    </row>
    <row r="184" spans="1:13" s="156" customFormat="1" ht="60" x14ac:dyDescent="0.2">
      <c r="A184" s="2144">
        <v>2418</v>
      </c>
      <c r="B184" s="2144"/>
      <c r="C184" s="1516" t="s">
        <v>4448</v>
      </c>
      <c r="D184" s="182" t="s">
        <v>9625</v>
      </c>
      <c r="E184" s="1527">
        <v>6</v>
      </c>
      <c r="F184" s="1661" t="s">
        <v>39</v>
      </c>
      <c r="G184" s="1529">
        <v>7.5</v>
      </c>
      <c r="H184" s="1530">
        <f t="shared" si="22"/>
        <v>45</v>
      </c>
      <c r="I184" s="1642"/>
      <c r="J184" s="1797"/>
      <c r="K184" s="1797"/>
      <c r="L184" s="1784"/>
      <c r="M184" s="1785"/>
    </row>
    <row r="185" spans="1:13" s="1859" customFormat="1" ht="45" x14ac:dyDescent="0.2">
      <c r="A185" s="2144">
        <v>94974</v>
      </c>
      <c r="B185" s="2144"/>
      <c r="C185" s="1863" t="s">
        <v>4448</v>
      </c>
      <c r="D185" s="1862" t="s">
        <v>1739</v>
      </c>
      <c r="E185" s="1864">
        <v>1.4999999999999999E-2</v>
      </c>
      <c r="F185" s="1861" t="s">
        <v>1208</v>
      </c>
      <c r="G185" s="1860">
        <v>367.51</v>
      </c>
      <c r="H185" s="1857">
        <f t="shared" ref="H185:H186" si="24">ROUNDDOWN(G185*E185,2)</f>
        <v>5.51</v>
      </c>
      <c r="I185" s="1856"/>
      <c r="J185" s="1797"/>
      <c r="K185" s="1797"/>
      <c r="L185" s="1784"/>
      <c r="M185" s="1785"/>
    </row>
    <row r="186" spans="1:13" s="1859" customFormat="1" ht="30" x14ac:dyDescent="0.2">
      <c r="A186" s="2144">
        <v>88309</v>
      </c>
      <c r="B186" s="2144"/>
      <c r="C186" s="1863" t="s">
        <v>4448</v>
      </c>
      <c r="D186" s="1862" t="s">
        <v>87</v>
      </c>
      <c r="E186" s="1864">
        <v>2</v>
      </c>
      <c r="F186" s="1861" t="s">
        <v>65</v>
      </c>
      <c r="G186" s="1860">
        <v>20.149999999999999</v>
      </c>
      <c r="H186" s="1857">
        <f t="shared" si="24"/>
        <v>40.299999999999997</v>
      </c>
      <c r="I186" s="1856"/>
      <c r="J186" s="1797"/>
      <c r="K186" s="1797"/>
      <c r="L186" s="1784"/>
      <c r="M186" s="1785"/>
    </row>
    <row r="187" spans="1:13" s="156" customFormat="1" ht="15" customHeight="1" x14ac:dyDescent="0.2">
      <c r="A187" s="2144">
        <v>88316</v>
      </c>
      <c r="B187" s="2144"/>
      <c r="C187" s="1516" t="s">
        <v>4448</v>
      </c>
      <c r="D187" s="182" t="s">
        <v>64</v>
      </c>
      <c r="E187" s="1527">
        <v>80.400000000000006</v>
      </c>
      <c r="F187" s="1661" t="s">
        <v>65</v>
      </c>
      <c r="G187" s="1529">
        <v>15.08</v>
      </c>
      <c r="H187" s="1530">
        <f t="shared" si="22"/>
        <v>1212.43</v>
      </c>
      <c r="I187" s="1642"/>
      <c r="J187" s="1797"/>
      <c r="K187" s="1797"/>
      <c r="L187" s="1784"/>
      <c r="M187" s="1785"/>
    </row>
    <row r="188" spans="1:13" s="156" customFormat="1" ht="30" x14ac:dyDescent="0.2">
      <c r="A188" s="2144">
        <v>88315</v>
      </c>
      <c r="B188" s="2144"/>
      <c r="C188" s="1516" t="s">
        <v>4448</v>
      </c>
      <c r="D188" s="182" t="s">
        <v>109</v>
      </c>
      <c r="E188" s="1527">
        <v>78.400000000000006</v>
      </c>
      <c r="F188" s="1661" t="s">
        <v>65</v>
      </c>
      <c r="G188" s="1529">
        <v>20.059999999999999</v>
      </c>
      <c r="H188" s="1530">
        <f t="shared" si="22"/>
        <v>1572.7</v>
      </c>
      <c r="I188" s="1642"/>
      <c r="J188" s="1797"/>
      <c r="K188" s="1797"/>
      <c r="L188" s="1784"/>
      <c r="M188" s="1785"/>
    </row>
    <row r="189" spans="1:13" s="1517" customFormat="1" x14ac:dyDescent="0.25">
      <c r="A189" s="179"/>
      <c r="B189" s="179"/>
      <c r="C189" s="1531"/>
      <c r="D189" s="2141" t="s">
        <v>124</v>
      </c>
      <c r="E189" s="2141"/>
      <c r="F189" s="2141"/>
      <c r="G189" s="2141"/>
      <c r="H189" s="267">
        <f>SUMIF(F179:F188,("h"),H179:H188)</f>
        <v>2825.4300000000003</v>
      </c>
      <c r="I189" s="1830"/>
      <c r="J189" s="1795"/>
      <c r="K189" s="1795"/>
      <c r="L189" s="169"/>
      <c r="M189" s="1783"/>
    </row>
    <row r="190" spans="1:13" s="1517" customFormat="1" x14ac:dyDescent="0.25">
      <c r="A190" s="179"/>
      <c r="B190" s="179"/>
      <c r="C190" s="1531"/>
      <c r="D190" s="2141" t="s">
        <v>125</v>
      </c>
      <c r="E190" s="2141"/>
      <c r="F190" s="2141"/>
      <c r="G190" s="2141"/>
      <c r="H190" s="267">
        <f>SUMIF(F179:F188,"&lt;&gt;h",H179:H188)</f>
        <v>1957.55</v>
      </c>
      <c r="I190" s="1830"/>
      <c r="J190" s="1795"/>
      <c r="K190" s="1795"/>
      <c r="L190" s="169"/>
      <c r="M190" s="1783"/>
    </row>
    <row r="191" spans="1:13" s="1517" customFormat="1" x14ac:dyDescent="0.25">
      <c r="A191" s="179"/>
      <c r="B191" s="179"/>
      <c r="C191" s="1531"/>
      <c r="D191" s="2142" t="s">
        <v>126</v>
      </c>
      <c r="E191" s="2142"/>
      <c r="F191" s="2142"/>
      <c r="G191" s="2142"/>
      <c r="H191" s="1532">
        <f>SUM(H189:H190)</f>
        <v>4782.9800000000005</v>
      </c>
      <c r="I191" s="1830"/>
      <c r="J191" s="1795"/>
      <c r="K191" s="1795"/>
      <c r="L191" s="169"/>
      <c r="M191" s="1783"/>
    </row>
    <row r="192" spans="1:13" s="1517" customFormat="1" x14ac:dyDescent="0.25">
      <c r="A192" s="179"/>
      <c r="B192" s="179"/>
      <c r="C192" s="1531"/>
      <c r="D192" s="2141" t="s">
        <v>28</v>
      </c>
      <c r="E192" s="2141"/>
      <c r="F192" s="2141"/>
      <c r="G192" s="2141"/>
      <c r="H192" s="269">
        <f>E178</f>
        <v>2</v>
      </c>
      <c r="I192" s="1830"/>
      <c r="J192" s="1795"/>
      <c r="K192" s="1795"/>
      <c r="L192" s="169"/>
      <c r="M192" s="1783"/>
    </row>
    <row r="193" spans="1:13" s="1517" customFormat="1" x14ac:dyDescent="0.25">
      <c r="A193" s="179"/>
      <c r="B193" s="179"/>
      <c r="C193" s="1531"/>
      <c r="D193" s="2142" t="s">
        <v>127</v>
      </c>
      <c r="E193" s="2142"/>
      <c r="F193" s="2142"/>
      <c r="G193" s="2142"/>
      <c r="H193" s="1532">
        <f>ROUND(H191*H192,2)</f>
        <v>9565.9599999999991</v>
      </c>
      <c r="I193" s="1830"/>
      <c r="J193" s="1795"/>
      <c r="K193" s="1795"/>
      <c r="L193" s="169"/>
      <c r="M193" s="1783"/>
    </row>
    <row r="194" spans="1:13" s="1517" customFormat="1" x14ac:dyDescent="0.25">
      <c r="A194" s="179"/>
      <c r="B194" s="179"/>
      <c r="C194" s="1531"/>
      <c r="D194" s="2141" t="s">
        <v>15335</v>
      </c>
      <c r="E194" s="2141"/>
      <c r="F194" s="2141"/>
      <c r="G194" s="2141"/>
      <c r="H194" s="267">
        <f>ROUND(H191*$B$13,2)</f>
        <v>1288.06</v>
      </c>
      <c r="I194" s="1830"/>
      <c r="J194" s="1795"/>
      <c r="K194" s="1795"/>
      <c r="L194" s="169"/>
      <c r="M194" s="1783"/>
    </row>
    <row r="195" spans="1:13" x14ac:dyDescent="0.25">
      <c r="A195" s="179"/>
      <c r="B195" s="179"/>
      <c r="C195" s="1531"/>
      <c r="D195" s="2142" t="s">
        <v>7898</v>
      </c>
      <c r="E195" s="2142"/>
      <c r="F195" s="2142"/>
      <c r="G195" s="2142"/>
      <c r="H195" s="1532">
        <f>H194+H191</f>
        <v>6071.0400000000009</v>
      </c>
    </row>
    <row r="196" spans="1:13" x14ac:dyDescent="0.25">
      <c r="A196" s="2147" t="s">
        <v>9482</v>
      </c>
      <c r="B196" s="2147"/>
      <c r="C196" s="2147"/>
      <c r="D196" s="2147"/>
      <c r="E196" s="2147"/>
      <c r="F196" s="2147"/>
      <c r="G196" s="2147"/>
      <c r="H196" s="2147"/>
    </row>
    <row r="197" spans="1:13" x14ac:dyDescent="0.25">
      <c r="A197" s="1514"/>
      <c r="B197" s="1514"/>
      <c r="C197" s="1514"/>
      <c r="F197" s="1533"/>
      <c r="G197" s="1534"/>
      <c r="H197" s="1514"/>
    </row>
    <row r="198" spans="1:13" s="1517" customFormat="1" x14ac:dyDescent="0.25">
      <c r="A198" s="146" t="s">
        <v>6</v>
      </c>
      <c r="B198" s="2143" t="s">
        <v>7</v>
      </c>
      <c r="C198" s="2143"/>
      <c r="D198" s="1518" t="s">
        <v>121</v>
      </c>
      <c r="E198" s="278" t="s">
        <v>5282</v>
      </c>
      <c r="F198" s="1518" t="s">
        <v>31</v>
      </c>
      <c r="G198" s="1519" t="s">
        <v>122</v>
      </c>
      <c r="H198" s="1520" t="s">
        <v>123</v>
      </c>
      <c r="I198" s="1830"/>
      <c r="J198" s="1795"/>
      <c r="K198" s="1795"/>
      <c r="L198" s="169"/>
      <c r="M198" s="1783"/>
    </row>
    <row r="199" spans="1:13" s="1526" customFormat="1" ht="30" x14ac:dyDescent="0.2">
      <c r="A199" s="1868" t="str">
        <f>'Orç - Prédio'!A35</f>
        <v>02.02.321.01</v>
      </c>
      <c r="B199" s="1868" t="str">
        <f>'Orç - Prédio'!B35</f>
        <v>ORSE</v>
      </c>
      <c r="C199" s="1868">
        <f>'Orç - Prédio'!C35</f>
        <v>6397</v>
      </c>
      <c r="D199" s="1865" t="s">
        <v>8890</v>
      </c>
      <c r="E199" s="1866">
        <f>'Orç - Prédio'!E35</f>
        <v>56.18</v>
      </c>
      <c r="F199" s="1868" t="s">
        <v>5713</v>
      </c>
      <c r="G199" s="1524">
        <v>2.73</v>
      </c>
      <c r="H199" s="1525">
        <f>H206</f>
        <v>153.37</v>
      </c>
      <c r="I199" s="1910" t="s">
        <v>9481</v>
      </c>
      <c r="J199" s="1793"/>
      <c r="K199" s="1793"/>
      <c r="L199" s="141"/>
      <c r="M199" s="1515"/>
    </row>
    <row r="200" spans="1:13" s="1859" customFormat="1" ht="30" x14ac:dyDescent="0.2">
      <c r="A200" s="2144">
        <v>88267</v>
      </c>
      <c r="B200" s="2144"/>
      <c r="C200" s="1863" t="s">
        <v>4448</v>
      </c>
      <c r="D200" s="1862" t="s">
        <v>83</v>
      </c>
      <c r="E200" s="1864">
        <v>5.5E-2</v>
      </c>
      <c r="F200" s="1867" t="s">
        <v>65</v>
      </c>
      <c r="G200" s="1860">
        <v>19.73</v>
      </c>
      <c r="H200" s="1857">
        <f t="shared" ref="H200:H201" si="25">ROUNDDOWN(G200*E200,2)</f>
        <v>1.08</v>
      </c>
      <c r="I200" s="1856"/>
      <c r="J200" s="1797"/>
      <c r="K200" s="1797"/>
      <c r="L200" s="1784"/>
      <c r="M200" s="1785"/>
    </row>
    <row r="201" spans="1:13" s="1859" customFormat="1" ht="30" x14ac:dyDescent="0.2">
      <c r="A201" s="2144">
        <v>88316</v>
      </c>
      <c r="B201" s="2144"/>
      <c r="C201" s="1863" t="s">
        <v>4448</v>
      </c>
      <c r="D201" s="1862" t="s">
        <v>64</v>
      </c>
      <c r="E201" s="1864">
        <v>0.11</v>
      </c>
      <c r="F201" s="1867" t="s">
        <v>65</v>
      </c>
      <c r="G201" s="1860">
        <v>15.08</v>
      </c>
      <c r="H201" s="1857">
        <f t="shared" si="25"/>
        <v>1.65</v>
      </c>
      <c r="I201" s="1856"/>
      <c r="J201" s="1797"/>
      <c r="K201" s="1797"/>
      <c r="L201" s="1784"/>
      <c r="M201" s="1785"/>
    </row>
    <row r="202" spans="1:13" s="1517" customFormat="1" x14ac:dyDescent="0.25">
      <c r="A202" s="1847"/>
      <c r="B202" s="1847"/>
      <c r="C202" s="1531"/>
      <c r="D202" s="2141" t="s">
        <v>124</v>
      </c>
      <c r="E202" s="2141"/>
      <c r="F202" s="2141"/>
      <c r="G202" s="2141"/>
      <c r="H202" s="267">
        <f>SUMIF(F200:F201,("h"),H200:H201)</f>
        <v>2.73</v>
      </c>
      <c r="I202" s="1830"/>
      <c r="J202" s="1795"/>
      <c r="K202" s="1795"/>
      <c r="L202" s="169"/>
      <c r="M202" s="1783"/>
    </row>
    <row r="203" spans="1:13" s="1517" customFormat="1" x14ac:dyDescent="0.25">
      <c r="A203" s="1847"/>
      <c r="B203" s="1847"/>
      <c r="C203" s="1531"/>
      <c r="D203" s="2141" t="s">
        <v>125</v>
      </c>
      <c r="E203" s="2141"/>
      <c r="F203" s="2141"/>
      <c r="G203" s="2141"/>
      <c r="H203" s="267">
        <f>SUMIF(F200:F201,"&lt;&gt;h",H200:H201)</f>
        <v>0</v>
      </c>
      <c r="I203" s="1830"/>
      <c r="J203" s="1795"/>
      <c r="K203" s="1795"/>
      <c r="L203" s="169"/>
      <c r="M203" s="1783"/>
    </row>
    <row r="204" spans="1:13" s="1517" customFormat="1" x14ac:dyDescent="0.25">
      <c r="A204" s="1847"/>
      <c r="B204" s="1847"/>
      <c r="C204" s="1531"/>
      <c r="D204" s="2142" t="s">
        <v>126</v>
      </c>
      <c r="E204" s="2142"/>
      <c r="F204" s="2142"/>
      <c r="G204" s="2142"/>
      <c r="H204" s="1532">
        <f>SUM(H202:H203)</f>
        <v>2.73</v>
      </c>
      <c r="I204" s="1830"/>
      <c r="J204" s="1795"/>
      <c r="K204" s="1795"/>
      <c r="L204" s="169"/>
      <c r="M204" s="1783"/>
    </row>
    <row r="205" spans="1:13" s="1517" customFormat="1" x14ac:dyDescent="0.25">
      <c r="A205" s="1847"/>
      <c r="B205" s="1847"/>
      <c r="C205" s="1531"/>
      <c r="D205" s="2141" t="s">
        <v>28</v>
      </c>
      <c r="E205" s="2141"/>
      <c r="F205" s="2141"/>
      <c r="G205" s="2141"/>
      <c r="H205" s="269">
        <f>E199</f>
        <v>56.18</v>
      </c>
      <c r="I205" s="1830"/>
      <c r="J205" s="1795"/>
      <c r="K205" s="1795"/>
      <c r="L205" s="169"/>
      <c r="M205" s="1783"/>
    </row>
    <row r="206" spans="1:13" s="1517" customFormat="1" x14ac:dyDescent="0.25">
      <c r="A206" s="1847"/>
      <c r="B206" s="1847"/>
      <c r="C206" s="1531"/>
      <c r="D206" s="2142" t="s">
        <v>127</v>
      </c>
      <c r="E206" s="2142"/>
      <c r="F206" s="2142"/>
      <c r="G206" s="2142"/>
      <c r="H206" s="1532">
        <f>ROUND(H204*H205,2)</f>
        <v>153.37</v>
      </c>
      <c r="I206" s="1830"/>
      <c r="J206" s="1795"/>
      <c r="K206" s="1795"/>
      <c r="L206" s="169"/>
      <c r="M206" s="1783"/>
    </row>
    <row r="207" spans="1:13" s="1517" customFormat="1" x14ac:dyDescent="0.25">
      <c r="A207" s="1847"/>
      <c r="B207" s="1847"/>
      <c r="C207" s="1531"/>
      <c r="D207" s="2141" t="s">
        <v>15335</v>
      </c>
      <c r="E207" s="2141"/>
      <c r="F207" s="2141"/>
      <c r="G207" s="2141"/>
      <c r="H207" s="267">
        <f>ROUND(H204*$B$13,2)</f>
        <v>0.74</v>
      </c>
      <c r="I207" s="1830"/>
      <c r="J207" s="1795"/>
      <c r="K207" s="1795"/>
      <c r="L207" s="169"/>
      <c r="M207" s="1783"/>
    </row>
    <row r="208" spans="1:13" x14ac:dyDescent="0.25">
      <c r="A208" s="1847"/>
      <c r="B208" s="1847"/>
      <c r="C208" s="1531"/>
      <c r="D208" s="2142" t="s">
        <v>7898</v>
      </c>
      <c r="E208" s="2142"/>
      <c r="F208" s="2142"/>
      <c r="G208" s="2142"/>
      <c r="H208" s="1532">
        <f>H207+H204</f>
        <v>3.4699999999999998</v>
      </c>
    </row>
    <row r="209" spans="1:13" x14ac:dyDescent="0.25">
      <c r="A209" s="1514"/>
      <c r="B209" s="1514"/>
      <c r="C209" s="1514"/>
      <c r="F209" s="1533"/>
      <c r="G209" s="1534"/>
      <c r="H209" s="1514"/>
    </row>
    <row r="210" spans="1:13" s="1517" customFormat="1" x14ac:dyDescent="0.25">
      <c r="A210" s="146" t="s">
        <v>6</v>
      </c>
      <c r="B210" s="2143" t="s">
        <v>7</v>
      </c>
      <c r="C210" s="2143"/>
      <c r="D210" s="1518" t="s">
        <v>121</v>
      </c>
      <c r="E210" s="278" t="s">
        <v>5282</v>
      </c>
      <c r="F210" s="1518" t="s">
        <v>31</v>
      </c>
      <c r="G210" s="1519" t="s">
        <v>122</v>
      </c>
      <c r="H210" s="1520" t="s">
        <v>123</v>
      </c>
      <c r="I210" s="1830"/>
      <c r="J210" s="1795"/>
      <c r="K210" s="1795"/>
      <c r="L210" s="169"/>
      <c r="M210" s="1783"/>
    </row>
    <row r="211" spans="1:13" s="1526" customFormat="1" ht="30" x14ac:dyDescent="0.2">
      <c r="A211" s="1868" t="str">
        <f>'Orç - Prédio'!A36</f>
        <v>02.02.321.02</v>
      </c>
      <c r="B211" s="1868" t="str">
        <f>'Orç - Prédio'!B36</f>
        <v>ORSE</v>
      </c>
      <c r="C211" s="1868" t="str">
        <f>'Orç - Prédio'!C36</f>
        <v>6397 MOD</v>
      </c>
      <c r="D211" s="1865" t="s">
        <v>8892</v>
      </c>
      <c r="E211" s="1">
        <f>'Orç - Prédio'!E36</f>
        <v>1</v>
      </c>
      <c r="F211" s="1868" t="s">
        <v>5284</v>
      </c>
      <c r="G211" s="1524">
        <v>8.2199999999999989</v>
      </c>
      <c r="H211" s="1525">
        <f>H218</f>
        <v>8.2200000000000006</v>
      </c>
      <c r="I211" s="1910" t="s">
        <v>9481</v>
      </c>
      <c r="J211" s="1793"/>
      <c r="K211" s="1793"/>
      <c r="L211" s="141"/>
      <c r="M211" s="1515"/>
    </row>
    <row r="212" spans="1:13" s="1859" customFormat="1" ht="30" x14ac:dyDescent="0.2">
      <c r="A212" s="2144">
        <v>88267</v>
      </c>
      <c r="B212" s="2144"/>
      <c r="C212" s="1863" t="s">
        <v>4448</v>
      </c>
      <c r="D212" s="1862" t="s">
        <v>83</v>
      </c>
      <c r="E212" s="1864">
        <f>3*0.055</f>
        <v>0.16500000000000001</v>
      </c>
      <c r="F212" s="1867" t="s">
        <v>65</v>
      </c>
      <c r="G212" s="1860">
        <v>19.73</v>
      </c>
      <c r="H212" s="1857">
        <f t="shared" ref="H212:H213" si="26">ROUNDDOWN(G212*E212,2)</f>
        <v>3.25</v>
      </c>
      <c r="I212" s="1856"/>
      <c r="J212" s="1797"/>
      <c r="K212" s="1797"/>
      <c r="L212" s="1784"/>
      <c r="M212" s="1785"/>
    </row>
    <row r="213" spans="1:13" s="1859" customFormat="1" ht="30" x14ac:dyDescent="0.2">
      <c r="A213" s="2144">
        <v>88316</v>
      </c>
      <c r="B213" s="2144"/>
      <c r="C213" s="1863" t="s">
        <v>4448</v>
      </c>
      <c r="D213" s="1862" t="s">
        <v>64</v>
      </c>
      <c r="E213" s="1864">
        <f>3*0.11</f>
        <v>0.33</v>
      </c>
      <c r="F213" s="1867" t="s">
        <v>65</v>
      </c>
      <c r="G213" s="1860">
        <v>15.08</v>
      </c>
      <c r="H213" s="1857">
        <f t="shared" si="26"/>
        <v>4.97</v>
      </c>
      <c r="I213" s="1856"/>
      <c r="J213" s="1797"/>
      <c r="K213" s="1797"/>
      <c r="L213" s="1784"/>
      <c r="M213" s="1785"/>
    </row>
    <row r="214" spans="1:13" s="1517" customFormat="1" x14ac:dyDescent="0.25">
      <c r="A214" s="1847"/>
      <c r="B214" s="1847"/>
      <c r="C214" s="1531"/>
      <c r="D214" s="2141" t="s">
        <v>124</v>
      </c>
      <c r="E214" s="2141"/>
      <c r="F214" s="2141"/>
      <c r="G214" s="2141"/>
      <c r="H214" s="267">
        <f>SUMIF(F212:F213,("h"),H212:H213)</f>
        <v>8.2199999999999989</v>
      </c>
      <c r="I214" s="1830"/>
      <c r="J214" s="1795"/>
      <c r="K214" s="1795"/>
      <c r="L214" s="169"/>
      <c r="M214" s="1783"/>
    </row>
    <row r="215" spans="1:13" s="1517" customFormat="1" x14ac:dyDescent="0.25">
      <c r="A215" s="1847"/>
      <c r="B215" s="1847"/>
      <c r="C215" s="1531"/>
      <c r="D215" s="2141" t="s">
        <v>125</v>
      </c>
      <c r="E215" s="2141"/>
      <c r="F215" s="2141"/>
      <c r="G215" s="2141"/>
      <c r="H215" s="267">
        <f>SUMIF(F212:F213,"&lt;&gt;h",H212:H213)</f>
        <v>0</v>
      </c>
      <c r="I215" s="1830"/>
      <c r="J215" s="1795"/>
      <c r="K215" s="1795"/>
      <c r="L215" s="169"/>
      <c r="M215" s="1783"/>
    </row>
    <row r="216" spans="1:13" s="1517" customFormat="1" x14ac:dyDescent="0.25">
      <c r="A216" s="1847"/>
      <c r="B216" s="1847"/>
      <c r="C216" s="1531"/>
      <c r="D216" s="2142" t="s">
        <v>126</v>
      </c>
      <c r="E216" s="2142"/>
      <c r="F216" s="2142"/>
      <c r="G216" s="2142"/>
      <c r="H216" s="1532">
        <f>SUM(H214:H215)</f>
        <v>8.2199999999999989</v>
      </c>
      <c r="I216" s="1830"/>
      <c r="J216" s="1795"/>
      <c r="K216" s="1795"/>
      <c r="L216" s="169"/>
      <c r="M216" s="1783"/>
    </row>
    <row r="217" spans="1:13" s="1517" customFormat="1" x14ac:dyDescent="0.25">
      <c r="A217" s="1847"/>
      <c r="B217" s="1847"/>
      <c r="C217" s="1531"/>
      <c r="D217" s="2141" t="s">
        <v>28</v>
      </c>
      <c r="E217" s="2141"/>
      <c r="F217" s="2141"/>
      <c r="G217" s="2141"/>
      <c r="H217" s="269">
        <f>E211</f>
        <v>1</v>
      </c>
      <c r="I217" s="1830"/>
      <c r="J217" s="1795"/>
      <c r="K217" s="1795"/>
      <c r="L217" s="169"/>
      <c r="M217" s="1783"/>
    </row>
    <row r="218" spans="1:13" s="1517" customFormat="1" x14ac:dyDescent="0.25">
      <c r="A218" s="1847"/>
      <c r="B218" s="1847"/>
      <c r="C218" s="1531"/>
      <c r="D218" s="2142" t="s">
        <v>127</v>
      </c>
      <c r="E218" s="2142"/>
      <c r="F218" s="2142"/>
      <c r="G218" s="2142"/>
      <c r="H218" s="1532">
        <f>ROUND(H216*H217,2)</f>
        <v>8.2200000000000006</v>
      </c>
      <c r="I218" s="1830"/>
      <c r="J218" s="1795"/>
      <c r="K218" s="1795"/>
      <c r="L218" s="169"/>
      <c r="M218" s="1783"/>
    </row>
    <row r="219" spans="1:13" s="1517" customFormat="1" x14ac:dyDescent="0.25">
      <c r="A219" s="1847"/>
      <c r="B219" s="1847"/>
      <c r="C219" s="1531"/>
      <c r="D219" s="2141" t="s">
        <v>15335</v>
      </c>
      <c r="E219" s="2141"/>
      <c r="F219" s="2141"/>
      <c r="G219" s="2141"/>
      <c r="H219" s="267">
        <f>ROUND(H216*$B$13,2)</f>
        <v>2.21</v>
      </c>
      <c r="I219" s="1830"/>
      <c r="J219" s="1795"/>
      <c r="K219" s="1795"/>
      <c r="L219" s="169"/>
      <c r="M219" s="1783"/>
    </row>
    <row r="220" spans="1:13" x14ac:dyDescent="0.25">
      <c r="A220" s="1847"/>
      <c r="B220" s="1847"/>
      <c r="C220" s="1531"/>
      <c r="D220" s="2142" t="s">
        <v>7898</v>
      </c>
      <c r="E220" s="2142"/>
      <c r="F220" s="2142"/>
      <c r="G220" s="2142"/>
      <c r="H220" s="1532">
        <f>H219+H216</f>
        <v>10.43</v>
      </c>
    </row>
    <row r="221" spans="1:13" ht="31.5" customHeight="1" x14ac:dyDescent="0.25">
      <c r="A221" s="2150" t="s">
        <v>8895</v>
      </c>
      <c r="B221" s="2150"/>
      <c r="C221" s="2150"/>
      <c r="D221" s="2150"/>
      <c r="E221" s="2150"/>
      <c r="F221" s="2150"/>
      <c r="G221" s="2150"/>
      <c r="H221" s="2150"/>
    </row>
    <row r="222" spans="1:13" x14ac:dyDescent="0.25">
      <c r="A222" s="1514"/>
      <c r="B222" s="1514"/>
      <c r="C222" s="1514"/>
      <c r="F222" s="1533"/>
      <c r="G222" s="1534"/>
      <c r="H222" s="1514"/>
    </row>
    <row r="223" spans="1:13" s="1517" customFormat="1" x14ac:dyDescent="0.25">
      <c r="A223" s="146" t="s">
        <v>6</v>
      </c>
      <c r="B223" s="2143" t="s">
        <v>7</v>
      </c>
      <c r="C223" s="2143"/>
      <c r="D223" s="1518" t="s">
        <v>121</v>
      </c>
      <c r="E223" s="278" t="s">
        <v>5282</v>
      </c>
      <c r="F223" s="1518" t="s">
        <v>31</v>
      </c>
      <c r="G223" s="1519" t="s">
        <v>122</v>
      </c>
      <c r="H223" s="1520" t="s">
        <v>123</v>
      </c>
      <c r="I223" s="1830"/>
      <c r="J223" s="1795"/>
      <c r="K223" s="1795"/>
      <c r="L223" s="169"/>
      <c r="M223" s="1783"/>
    </row>
    <row r="224" spans="1:13" s="1526" customFormat="1" ht="30" x14ac:dyDescent="0.2">
      <c r="A224" s="1882" t="str">
        <f>'Orç - Prédio'!A37</f>
        <v>02.02.321.03</v>
      </c>
      <c r="B224" s="1882" t="str">
        <f>'Orç - Prédio'!B37</f>
        <v>SCO-RJ</v>
      </c>
      <c r="C224" s="1882" t="str">
        <f>'Orç - Prédio'!C37</f>
        <v>IP 59 20 0650</v>
      </c>
      <c r="D224" s="1865" t="s">
        <v>9000</v>
      </c>
      <c r="E224" s="1866">
        <f>'Orç - Prédio'!E37</f>
        <v>4</v>
      </c>
      <c r="F224" s="1882" t="s">
        <v>9032</v>
      </c>
      <c r="G224" s="1524">
        <v>84.12</v>
      </c>
      <c r="H224" s="1525">
        <f>H230</f>
        <v>336.48</v>
      </c>
      <c r="I224" s="1910" t="s">
        <v>9481</v>
      </c>
      <c r="J224" s="1793"/>
      <c r="K224" s="1793"/>
      <c r="L224" s="141"/>
      <c r="M224" s="1515"/>
    </row>
    <row r="225" spans="1:13" s="1859" customFormat="1" ht="30" x14ac:dyDescent="0.2">
      <c r="A225" s="2144">
        <v>88279</v>
      </c>
      <c r="B225" s="2144"/>
      <c r="C225" s="1863" t="s">
        <v>4448</v>
      </c>
      <c r="D225" s="1862" t="s">
        <v>4302</v>
      </c>
      <c r="E225" s="1864">
        <v>4</v>
      </c>
      <c r="F225" s="1881" t="s">
        <v>65</v>
      </c>
      <c r="G225" s="1860">
        <v>21.03</v>
      </c>
      <c r="H225" s="1857">
        <f t="shared" ref="H225" si="27">ROUNDDOWN(G225*E225,2)</f>
        <v>84.12</v>
      </c>
      <c r="I225" s="1856"/>
      <c r="J225" s="1797"/>
      <c r="K225" s="1797"/>
      <c r="L225" s="1784"/>
      <c r="M225" s="1785"/>
    </row>
    <row r="226" spans="1:13" s="1517" customFormat="1" x14ac:dyDescent="0.25">
      <c r="A226" s="1847"/>
      <c r="B226" s="1847"/>
      <c r="C226" s="1531"/>
      <c r="D226" s="2141" t="s">
        <v>124</v>
      </c>
      <c r="E226" s="2141"/>
      <c r="F226" s="2141"/>
      <c r="G226" s="2141"/>
      <c r="H226" s="267">
        <f>SUMIF(F225:F225,("h"),H225:H225)</f>
        <v>84.12</v>
      </c>
      <c r="I226" s="1830"/>
      <c r="J226" s="1795"/>
      <c r="K226" s="1795"/>
      <c r="L226" s="169"/>
      <c r="M226" s="1783"/>
    </row>
    <row r="227" spans="1:13" s="1517" customFormat="1" x14ac:dyDescent="0.25">
      <c r="A227" s="1847"/>
      <c r="B227" s="1847"/>
      <c r="C227" s="1531"/>
      <c r="D227" s="2141" t="s">
        <v>125</v>
      </c>
      <c r="E227" s="2141"/>
      <c r="F227" s="2141"/>
      <c r="G227" s="2141"/>
      <c r="H227" s="267">
        <f>SUMIF(F225:F225,"&lt;&gt;h",H225:H225)</f>
        <v>0</v>
      </c>
      <c r="I227" s="1830"/>
      <c r="J227" s="1795"/>
      <c r="K227" s="1795"/>
      <c r="L227" s="169"/>
      <c r="M227" s="1783"/>
    </row>
    <row r="228" spans="1:13" s="1517" customFormat="1" x14ac:dyDescent="0.25">
      <c r="A228" s="1847"/>
      <c r="B228" s="1847"/>
      <c r="C228" s="1531"/>
      <c r="D228" s="2142" t="s">
        <v>126</v>
      </c>
      <c r="E228" s="2142"/>
      <c r="F228" s="2142"/>
      <c r="G228" s="2142"/>
      <c r="H228" s="1532">
        <f>SUM(H226:H227)</f>
        <v>84.12</v>
      </c>
      <c r="I228" s="1830"/>
      <c r="J228" s="1795"/>
      <c r="K228" s="1795"/>
      <c r="L228" s="169"/>
      <c r="M228" s="1783"/>
    </row>
    <row r="229" spans="1:13" s="1517" customFormat="1" x14ac:dyDescent="0.25">
      <c r="A229" s="1847"/>
      <c r="B229" s="1847"/>
      <c r="C229" s="1531"/>
      <c r="D229" s="2141" t="s">
        <v>28</v>
      </c>
      <c r="E229" s="2141"/>
      <c r="F229" s="2141"/>
      <c r="G229" s="2141"/>
      <c r="H229" s="269">
        <f>E224</f>
        <v>4</v>
      </c>
      <c r="I229" s="1830"/>
      <c r="J229" s="1795"/>
      <c r="K229" s="1795"/>
      <c r="L229" s="169"/>
      <c r="M229" s="1783"/>
    </row>
    <row r="230" spans="1:13" s="1517" customFormat="1" x14ac:dyDescent="0.25">
      <c r="A230" s="1847"/>
      <c r="B230" s="1847"/>
      <c r="C230" s="1531"/>
      <c r="D230" s="2142" t="s">
        <v>127</v>
      </c>
      <c r="E230" s="2142"/>
      <c r="F230" s="2142"/>
      <c r="G230" s="2142"/>
      <c r="H230" s="1532">
        <f>ROUND(H228*H229,2)</f>
        <v>336.48</v>
      </c>
      <c r="I230" s="1830"/>
      <c r="J230" s="1795"/>
      <c r="K230" s="1795"/>
      <c r="L230" s="169"/>
      <c r="M230" s="1783"/>
    </row>
    <row r="231" spans="1:13" s="1517" customFormat="1" x14ac:dyDescent="0.25">
      <c r="A231" s="1847"/>
      <c r="B231" s="1847"/>
      <c r="C231" s="1531"/>
      <c r="D231" s="2141" t="s">
        <v>15335</v>
      </c>
      <c r="E231" s="2141"/>
      <c r="F231" s="2141"/>
      <c r="G231" s="2141"/>
      <c r="H231" s="267">
        <f>ROUND(H228*$B$13,2)</f>
        <v>22.65</v>
      </c>
      <c r="I231" s="1830"/>
      <c r="J231" s="1795"/>
      <c r="K231" s="1795"/>
      <c r="L231" s="169"/>
      <c r="M231" s="1783"/>
    </row>
    <row r="232" spans="1:13" x14ac:dyDescent="0.25">
      <c r="A232" s="1847"/>
      <c r="B232" s="1847"/>
      <c r="C232" s="1531"/>
      <c r="D232" s="2142" t="s">
        <v>7898</v>
      </c>
      <c r="E232" s="2142"/>
      <c r="F232" s="2142"/>
      <c r="G232" s="2142"/>
      <c r="H232" s="1532">
        <f>H231+H228</f>
        <v>106.77000000000001</v>
      </c>
    </row>
    <row r="233" spans="1:13" x14ac:dyDescent="0.25">
      <c r="A233" s="1514"/>
      <c r="B233" s="1514"/>
      <c r="C233" s="1514"/>
      <c r="F233" s="1533"/>
      <c r="G233" s="1534"/>
      <c r="H233" s="1514"/>
    </row>
    <row r="234" spans="1:13" s="1517" customFormat="1" x14ac:dyDescent="0.25">
      <c r="A234" s="146" t="s">
        <v>6</v>
      </c>
      <c r="B234" s="2143" t="s">
        <v>7</v>
      </c>
      <c r="C234" s="2143"/>
      <c r="D234" s="1518" t="s">
        <v>121</v>
      </c>
      <c r="E234" s="278" t="s">
        <v>5282</v>
      </c>
      <c r="F234" s="1518" t="s">
        <v>31</v>
      </c>
      <c r="G234" s="1519" t="s">
        <v>122</v>
      </c>
      <c r="H234" s="1520" t="s">
        <v>123</v>
      </c>
      <c r="I234" s="1830"/>
      <c r="J234" s="1795"/>
      <c r="K234" s="1795"/>
      <c r="L234" s="169"/>
      <c r="M234" s="1783"/>
    </row>
    <row r="235" spans="1:13" s="1526" customFormat="1" ht="30" x14ac:dyDescent="0.2">
      <c r="A235" s="1882" t="str">
        <f>'Orç - Prédio'!A38</f>
        <v>02.02.321.04</v>
      </c>
      <c r="B235" s="1882" t="str">
        <f>'Orç - Prédio'!B38</f>
        <v>SCO-RJ</v>
      </c>
      <c r="C235" s="1882" t="str">
        <f>'Orç - Prédio'!C38</f>
        <v>IP 59 20 0600</v>
      </c>
      <c r="D235" s="1865" t="s">
        <v>9001</v>
      </c>
      <c r="E235" s="1866">
        <f>'Orç - Prédio'!E38</f>
        <v>2</v>
      </c>
      <c r="F235" s="1882" t="s">
        <v>9032</v>
      </c>
      <c r="G235" s="1524">
        <v>31.54</v>
      </c>
      <c r="H235" s="1525">
        <f>H241</f>
        <v>63.08</v>
      </c>
      <c r="I235" s="1910" t="s">
        <v>9481</v>
      </c>
      <c r="J235" s="1793"/>
      <c r="K235" s="1793"/>
      <c r="L235" s="141"/>
      <c r="M235" s="1515"/>
    </row>
    <row r="236" spans="1:13" s="1859" customFormat="1" ht="30" x14ac:dyDescent="0.2">
      <c r="A236" s="2144">
        <v>88279</v>
      </c>
      <c r="B236" s="2144"/>
      <c r="C236" s="1863" t="s">
        <v>4448</v>
      </c>
      <c r="D236" s="1862" t="s">
        <v>4302</v>
      </c>
      <c r="E236" s="1864">
        <v>1.5</v>
      </c>
      <c r="F236" s="1881" t="s">
        <v>65</v>
      </c>
      <c r="G236" s="1860">
        <v>21.03</v>
      </c>
      <c r="H236" s="1857">
        <f t="shared" ref="H236" si="28">ROUNDDOWN(G236*E236,2)</f>
        <v>31.54</v>
      </c>
      <c r="I236" s="1856"/>
      <c r="J236" s="1797"/>
      <c r="K236" s="1797"/>
      <c r="L236" s="1784"/>
      <c r="M236" s="1785"/>
    </row>
    <row r="237" spans="1:13" s="1517" customFormat="1" x14ac:dyDescent="0.25">
      <c r="A237" s="1847"/>
      <c r="B237" s="1847"/>
      <c r="C237" s="1531"/>
      <c r="D237" s="2141" t="s">
        <v>124</v>
      </c>
      <c r="E237" s="2141"/>
      <c r="F237" s="2141"/>
      <c r="G237" s="2141"/>
      <c r="H237" s="267">
        <f>SUMIF(F236:F236,("h"),H236:H236)</f>
        <v>31.54</v>
      </c>
      <c r="I237" s="1830"/>
      <c r="J237" s="1795"/>
      <c r="K237" s="1795"/>
      <c r="L237" s="169"/>
      <c r="M237" s="1783"/>
    </row>
    <row r="238" spans="1:13" s="1517" customFormat="1" x14ac:dyDescent="0.25">
      <c r="A238" s="1847"/>
      <c r="B238" s="1847"/>
      <c r="C238" s="1531"/>
      <c r="D238" s="2141" t="s">
        <v>125</v>
      </c>
      <c r="E238" s="2141"/>
      <c r="F238" s="2141"/>
      <c r="G238" s="2141"/>
      <c r="H238" s="267">
        <f>SUMIF(F236:F236,"&lt;&gt;h",H236:H236)</f>
        <v>0</v>
      </c>
      <c r="I238" s="1830"/>
      <c r="J238" s="1795"/>
      <c r="K238" s="1795"/>
      <c r="L238" s="169"/>
      <c r="M238" s="1783"/>
    </row>
    <row r="239" spans="1:13" s="1517" customFormat="1" x14ac:dyDescent="0.25">
      <c r="A239" s="1847"/>
      <c r="B239" s="1847"/>
      <c r="C239" s="1531"/>
      <c r="D239" s="2142" t="s">
        <v>126</v>
      </c>
      <c r="E239" s="2142"/>
      <c r="F239" s="2142"/>
      <c r="G239" s="2142"/>
      <c r="H239" s="1532">
        <f>SUM(H237:H238)</f>
        <v>31.54</v>
      </c>
      <c r="I239" s="1830"/>
      <c r="J239" s="1795"/>
      <c r="K239" s="1795"/>
      <c r="L239" s="169"/>
      <c r="M239" s="1783"/>
    </row>
    <row r="240" spans="1:13" s="1517" customFormat="1" x14ac:dyDescent="0.25">
      <c r="A240" s="1847"/>
      <c r="B240" s="1847"/>
      <c r="C240" s="1531"/>
      <c r="D240" s="2141" t="s">
        <v>28</v>
      </c>
      <c r="E240" s="2141"/>
      <c r="F240" s="2141"/>
      <c r="G240" s="2141"/>
      <c r="H240" s="269">
        <f>E235</f>
        <v>2</v>
      </c>
      <c r="I240" s="1830"/>
      <c r="J240" s="1795"/>
      <c r="K240" s="1795"/>
      <c r="L240" s="169"/>
      <c r="M240" s="1783"/>
    </row>
    <row r="241" spans="1:13" s="1517" customFormat="1" x14ac:dyDescent="0.25">
      <c r="A241" s="1847"/>
      <c r="B241" s="1847"/>
      <c r="C241" s="1531"/>
      <c r="D241" s="2142" t="s">
        <v>127</v>
      </c>
      <c r="E241" s="2142"/>
      <c r="F241" s="2142"/>
      <c r="G241" s="2142"/>
      <c r="H241" s="1532">
        <f>ROUND(H239*H240,2)</f>
        <v>63.08</v>
      </c>
      <c r="I241" s="1830"/>
      <c r="J241" s="1795"/>
      <c r="K241" s="1795"/>
      <c r="L241" s="169"/>
      <c r="M241" s="1783"/>
    </row>
    <row r="242" spans="1:13" s="1517" customFormat="1" x14ac:dyDescent="0.25">
      <c r="A242" s="1847"/>
      <c r="B242" s="1847"/>
      <c r="C242" s="1531"/>
      <c r="D242" s="2141" t="s">
        <v>15335</v>
      </c>
      <c r="E242" s="2141"/>
      <c r="F242" s="2141"/>
      <c r="G242" s="2141"/>
      <c r="H242" s="267">
        <f>ROUND(H239*$B$13,2)</f>
        <v>8.49</v>
      </c>
      <c r="I242" s="1830"/>
      <c r="J242" s="1795"/>
      <c r="K242" s="1795"/>
      <c r="L242" s="169"/>
      <c r="M242" s="1783"/>
    </row>
    <row r="243" spans="1:13" x14ac:dyDescent="0.25">
      <c r="A243" s="1847"/>
      <c r="B243" s="1847"/>
      <c r="C243" s="1531"/>
      <c r="D243" s="2142" t="s">
        <v>7898</v>
      </c>
      <c r="E243" s="2142"/>
      <c r="F243" s="2142"/>
      <c r="G243" s="2142"/>
      <c r="H243" s="1532">
        <f>H242+H239</f>
        <v>40.03</v>
      </c>
    </row>
    <row r="244" spans="1:13" x14ac:dyDescent="0.25">
      <c r="A244" s="1514"/>
      <c r="B244" s="1514"/>
      <c r="C244" s="1514"/>
      <c r="F244" s="1533"/>
      <c r="G244" s="1534"/>
      <c r="H244" s="1514"/>
    </row>
    <row r="245" spans="1:13" s="1517" customFormat="1" x14ac:dyDescent="0.25">
      <c r="A245" s="146" t="s">
        <v>6</v>
      </c>
      <c r="B245" s="2143" t="s">
        <v>7</v>
      </c>
      <c r="C245" s="2143"/>
      <c r="D245" s="1518" t="s">
        <v>121</v>
      </c>
      <c r="E245" s="278" t="s">
        <v>5282</v>
      </c>
      <c r="F245" s="1518" t="s">
        <v>31</v>
      </c>
      <c r="G245" s="1519" t="s">
        <v>122</v>
      </c>
      <c r="H245" s="1520" t="s">
        <v>123</v>
      </c>
      <c r="I245" s="1830"/>
      <c r="J245" s="1795"/>
      <c r="K245" s="1795"/>
      <c r="L245" s="169"/>
      <c r="M245" s="1783"/>
    </row>
    <row r="246" spans="1:13" s="1526" customFormat="1" ht="30" x14ac:dyDescent="0.2">
      <c r="A246" s="1908" t="str">
        <f>'Orç - Prédio'!A39</f>
        <v>02.02.321.05</v>
      </c>
      <c r="B246" s="1908" t="str">
        <f>'Orç - Prédio'!B39</f>
        <v>SCO-RJ</v>
      </c>
      <c r="C246" s="1908" t="str">
        <f>'Orç - Prédio'!C39</f>
        <v>IP 59 20 0150</v>
      </c>
      <c r="D246" s="1865" t="s">
        <v>9514</v>
      </c>
      <c r="E246" s="1908">
        <f>'Orç - Prédio'!E39</f>
        <v>79.94</v>
      </c>
      <c r="F246" s="1908" t="s">
        <v>5713</v>
      </c>
      <c r="G246" s="1524">
        <v>4.2</v>
      </c>
      <c r="H246" s="1525">
        <f>H252</f>
        <v>335.75</v>
      </c>
      <c r="I246" s="1910" t="s">
        <v>9481</v>
      </c>
      <c r="J246" s="1793"/>
      <c r="K246" s="1793"/>
      <c r="L246" s="141"/>
      <c r="M246" s="1515"/>
    </row>
    <row r="247" spans="1:13" s="1859" customFormat="1" ht="30" x14ac:dyDescent="0.2">
      <c r="A247" s="2144">
        <v>88279</v>
      </c>
      <c r="B247" s="2144"/>
      <c r="C247" s="1863" t="s">
        <v>4448</v>
      </c>
      <c r="D247" s="1862" t="s">
        <v>4302</v>
      </c>
      <c r="E247" s="1864">
        <v>0.2</v>
      </c>
      <c r="F247" s="1906" t="s">
        <v>65</v>
      </c>
      <c r="G247" s="1860">
        <v>21.03</v>
      </c>
      <c r="H247" s="1857">
        <f t="shared" ref="H247" si="29">ROUNDDOWN(G247*E247,2)</f>
        <v>4.2</v>
      </c>
      <c r="I247" s="1856"/>
      <c r="J247" s="1797"/>
      <c r="K247" s="1797"/>
      <c r="L247" s="1784"/>
      <c r="M247" s="1785"/>
    </row>
    <row r="248" spans="1:13" s="1517" customFormat="1" x14ac:dyDescent="0.25">
      <c r="A248" s="1907"/>
      <c r="B248" s="1907"/>
      <c r="C248" s="1531"/>
      <c r="D248" s="2141" t="s">
        <v>124</v>
      </c>
      <c r="E248" s="2141"/>
      <c r="F248" s="2141"/>
      <c r="G248" s="2141"/>
      <c r="H248" s="267">
        <f>SUMIF(F247:F247,("h"),H247:H247)</f>
        <v>4.2</v>
      </c>
      <c r="I248" s="1830"/>
      <c r="J248" s="1795"/>
      <c r="K248" s="1795"/>
      <c r="L248" s="169"/>
      <c r="M248" s="1783"/>
    </row>
    <row r="249" spans="1:13" s="1517" customFormat="1" x14ac:dyDescent="0.25">
      <c r="A249" s="1907"/>
      <c r="B249" s="1907"/>
      <c r="C249" s="1531"/>
      <c r="D249" s="2141" t="s">
        <v>125</v>
      </c>
      <c r="E249" s="2141"/>
      <c r="F249" s="2141"/>
      <c r="G249" s="2141"/>
      <c r="H249" s="267">
        <f>SUMIF(F247:F247,"&lt;&gt;h",H247:H247)</f>
        <v>0</v>
      </c>
      <c r="I249" s="1830"/>
      <c r="J249" s="1795"/>
      <c r="K249" s="1795"/>
      <c r="L249" s="169"/>
      <c r="M249" s="1783"/>
    </row>
    <row r="250" spans="1:13" s="1517" customFormat="1" x14ac:dyDescent="0.25">
      <c r="A250" s="1907"/>
      <c r="B250" s="1907"/>
      <c r="C250" s="1531"/>
      <c r="D250" s="2142" t="s">
        <v>126</v>
      </c>
      <c r="E250" s="2142"/>
      <c r="F250" s="2142"/>
      <c r="G250" s="2142"/>
      <c r="H250" s="1532">
        <f>SUM(H248:H249)</f>
        <v>4.2</v>
      </c>
      <c r="I250" s="1830"/>
      <c r="J250" s="1795"/>
      <c r="K250" s="1795"/>
      <c r="L250" s="169"/>
      <c r="M250" s="1783"/>
    </row>
    <row r="251" spans="1:13" s="1517" customFormat="1" x14ac:dyDescent="0.25">
      <c r="A251" s="1907"/>
      <c r="B251" s="1907"/>
      <c r="C251" s="1531"/>
      <c r="D251" s="2141" t="s">
        <v>28</v>
      </c>
      <c r="E251" s="2141"/>
      <c r="F251" s="2141"/>
      <c r="G251" s="2141"/>
      <c r="H251" s="269">
        <f>E246</f>
        <v>79.94</v>
      </c>
      <c r="I251" s="1830"/>
      <c r="J251" s="1795"/>
      <c r="K251" s="1795"/>
      <c r="L251" s="169"/>
      <c r="M251" s="1783"/>
    </row>
    <row r="252" spans="1:13" s="1517" customFormat="1" x14ac:dyDescent="0.25">
      <c r="A252" s="1907"/>
      <c r="B252" s="1907"/>
      <c r="C252" s="1531"/>
      <c r="D252" s="2142" t="s">
        <v>127</v>
      </c>
      <c r="E252" s="2142"/>
      <c r="F252" s="2142"/>
      <c r="G252" s="2142"/>
      <c r="H252" s="1532">
        <f>ROUND(H250*H251,2)</f>
        <v>335.75</v>
      </c>
      <c r="I252" s="1830"/>
      <c r="J252" s="1795"/>
      <c r="K252" s="1795"/>
      <c r="L252" s="169"/>
      <c r="M252" s="1783"/>
    </row>
    <row r="253" spans="1:13" s="1517" customFormat="1" x14ac:dyDescent="0.25">
      <c r="A253" s="1907"/>
      <c r="B253" s="1907"/>
      <c r="C253" s="1531"/>
      <c r="D253" s="2141" t="s">
        <v>15335</v>
      </c>
      <c r="E253" s="2141"/>
      <c r="F253" s="2141"/>
      <c r="G253" s="2141"/>
      <c r="H253" s="267">
        <f>ROUND(H250*$B$13,2)</f>
        <v>1.1299999999999999</v>
      </c>
      <c r="I253" s="1830"/>
      <c r="J253" s="1795"/>
      <c r="K253" s="1795"/>
      <c r="L253" s="169"/>
      <c r="M253" s="1783"/>
    </row>
    <row r="254" spans="1:13" x14ac:dyDescent="0.25">
      <c r="A254" s="1907"/>
      <c r="B254" s="1907"/>
      <c r="C254" s="1531"/>
      <c r="D254" s="2142" t="s">
        <v>7898</v>
      </c>
      <c r="E254" s="2142"/>
      <c r="F254" s="2142"/>
      <c r="G254" s="2142"/>
      <c r="H254" s="1532">
        <f>H253+H250</f>
        <v>5.33</v>
      </c>
    </row>
    <row r="255" spans="1:13" x14ac:dyDescent="0.25">
      <c r="A255" s="1514"/>
      <c r="B255" s="1514"/>
      <c r="C255" s="1514"/>
      <c r="F255" s="1533"/>
      <c r="G255" s="1534"/>
      <c r="H255" s="1514"/>
    </row>
    <row r="256" spans="1:13" s="1517" customFormat="1" x14ac:dyDescent="0.25">
      <c r="A256" s="146" t="s">
        <v>6</v>
      </c>
      <c r="B256" s="2143" t="s">
        <v>7</v>
      </c>
      <c r="C256" s="2143"/>
      <c r="D256" s="1518" t="s">
        <v>121</v>
      </c>
      <c r="E256" s="1886" t="s">
        <v>5282</v>
      </c>
      <c r="F256" s="1518" t="s">
        <v>31</v>
      </c>
      <c r="G256" s="1519" t="s">
        <v>122</v>
      </c>
      <c r="H256" s="1520" t="s">
        <v>123</v>
      </c>
      <c r="I256" s="1830"/>
      <c r="J256" s="1795"/>
      <c r="K256" s="1795"/>
      <c r="L256" s="169"/>
      <c r="M256" s="1783"/>
    </row>
    <row r="257" spans="1:13" s="1526" customFormat="1" ht="30" x14ac:dyDescent="0.2">
      <c r="A257" s="1882" t="str">
        <f>'Orç - Prédio'!A40</f>
        <v>02.02.321.06</v>
      </c>
      <c r="B257" s="1882" t="str">
        <f>'Orç - Prédio'!B40</f>
        <v>SCO-RJ</v>
      </c>
      <c r="C257" s="1882" t="str">
        <f>'Orç - Prédio'!C40</f>
        <v>IP 59 20 0112</v>
      </c>
      <c r="D257" s="1865" t="s">
        <v>9002</v>
      </c>
      <c r="E257" s="1866">
        <f>'Orç - Prédio'!E40</f>
        <v>5</v>
      </c>
      <c r="F257" s="1882" t="s">
        <v>5284</v>
      </c>
      <c r="G257" s="1524">
        <v>42.06</v>
      </c>
      <c r="H257" s="1525">
        <f>H263</f>
        <v>210.3</v>
      </c>
      <c r="I257" s="1910" t="s">
        <v>9481</v>
      </c>
      <c r="J257" s="1793"/>
      <c r="K257" s="1793"/>
      <c r="L257" s="141"/>
      <c r="M257" s="1515"/>
    </row>
    <row r="258" spans="1:13" s="1859" customFormat="1" ht="30" x14ac:dyDescent="0.2">
      <c r="A258" s="2144">
        <v>88279</v>
      </c>
      <c r="B258" s="2144"/>
      <c r="C258" s="1863" t="s">
        <v>4448</v>
      </c>
      <c r="D258" s="1862" t="s">
        <v>4302</v>
      </c>
      <c r="E258" s="1864">
        <v>2</v>
      </c>
      <c r="F258" s="1881" t="s">
        <v>65</v>
      </c>
      <c r="G258" s="1860">
        <v>21.03</v>
      </c>
      <c r="H258" s="1857">
        <f t="shared" ref="H258" si="30">ROUNDDOWN(G258*E258,2)</f>
        <v>42.06</v>
      </c>
      <c r="I258" s="1856"/>
      <c r="J258" s="1797"/>
      <c r="K258" s="1797"/>
      <c r="L258" s="1784"/>
      <c r="M258" s="1785"/>
    </row>
    <row r="259" spans="1:13" s="1517" customFormat="1" x14ac:dyDescent="0.25">
      <c r="A259" s="1847"/>
      <c r="B259" s="1847"/>
      <c r="C259" s="1531"/>
      <c r="D259" s="2141" t="s">
        <v>124</v>
      </c>
      <c r="E259" s="2141"/>
      <c r="F259" s="2141"/>
      <c r="G259" s="2141"/>
      <c r="H259" s="267">
        <f>SUMIF(F258:F258,("h"),H258:H258)</f>
        <v>42.06</v>
      </c>
      <c r="I259" s="1830"/>
      <c r="J259" s="1795"/>
      <c r="K259" s="1795"/>
      <c r="L259" s="169"/>
      <c r="M259" s="1783"/>
    </row>
    <row r="260" spans="1:13" s="1517" customFormat="1" x14ac:dyDescent="0.25">
      <c r="A260" s="1847"/>
      <c r="B260" s="1847"/>
      <c r="C260" s="1531"/>
      <c r="D260" s="2141" t="s">
        <v>125</v>
      </c>
      <c r="E260" s="2141"/>
      <c r="F260" s="2141"/>
      <c r="G260" s="2141"/>
      <c r="H260" s="267">
        <f>SUMIF(F258:F258,"&lt;&gt;h",H258:H258)</f>
        <v>0</v>
      </c>
      <c r="I260" s="1830"/>
      <c r="J260" s="1795"/>
      <c r="K260" s="1795"/>
      <c r="L260" s="169"/>
      <c r="M260" s="1783"/>
    </row>
    <row r="261" spans="1:13" s="1517" customFormat="1" x14ac:dyDescent="0.25">
      <c r="A261" s="1847"/>
      <c r="B261" s="1847"/>
      <c r="C261" s="1531"/>
      <c r="D261" s="2142" t="s">
        <v>126</v>
      </c>
      <c r="E261" s="2142"/>
      <c r="F261" s="2142"/>
      <c r="G261" s="2142"/>
      <c r="H261" s="1532">
        <f>SUM(H259:H260)</f>
        <v>42.06</v>
      </c>
      <c r="I261" s="1830"/>
      <c r="J261" s="1795"/>
      <c r="K261" s="1795"/>
      <c r="L261" s="169"/>
      <c r="M261" s="1783"/>
    </row>
    <row r="262" spans="1:13" s="1517" customFormat="1" x14ac:dyDescent="0.25">
      <c r="A262" s="1847"/>
      <c r="B262" s="1847"/>
      <c r="C262" s="1531"/>
      <c r="D262" s="2141" t="s">
        <v>28</v>
      </c>
      <c r="E262" s="2141"/>
      <c r="F262" s="2141"/>
      <c r="G262" s="2141"/>
      <c r="H262" s="269">
        <f>E257</f>
        <v>5</v>
      </c>
      <c r="I262" s="1830"/>
      <c r="J262" s="1795"/>
      <c r="K262" s="1795"/>
      <c r="L262" s="169"/>
      <c r="M262" s="1783"/>
    </row>
    <row r="263" spans="1:13" s="1517" customFormat="1" x14ac:dyDescent="0.25">
      <c r="A263" s="1847"/>
      <c r="B263" s="1847"/>
      <c r="C263" s="1531"/>
      <c r="D263" s="2142" t="s">
        <v>127</v>
      </c>
      <c r="E263" s="2142"/>
      <c r="F263" s="2142"/>
      <c r="G263" s="2142"/>
      <c r="H263" s="1532">
        <f>ROUND(H261*H262,2)</f>
        <v>210.3</v>
      </c>
      <c r="I263" s="1830"/>
      <c r="J263" s="1795"/>
      <c r="K263" s="1795"/>
      <c r="L263" s="169"/>
      <c r="M263" s="1783"/>
    </row>
    <row r="264" spans="1:13" s="1517" customFormat="1" x14ac:dyDescent="0.25">
      <c r="A264" s="1847"/>
      <c r="B264" s="1847"/>
      <c r="C264" s="1531"/>
      <c r="D264" s="2141" t="s">
        <v>15335</v>
      </c>
      <c r="E264" s="2141"/>
      <c r="F264" s="2141"/>
      <c r="G264" s="2141"/>
      <c r="H264" s="267">
        <f>ROUND(H261*$B$13,2)</f>
        <v>11.33</v>
      </c>
      <c r="I264" s="1830"/>
      <c r="J264" s="1795"/>
      <c r="K264" s="1795"/>
      <c r="L264" s="169"/>
      <c r="M264" s="1783"/>
    </row>
    <row r="265" spans="1:13" x14ac:dyDescent="0.25">
      <c r="A265" s="1847"/>
      <c r="B265" s="1847"/>
      <c r="C265" s="1531"/>
      <c r="D265" s="2142" t="s">
        <v>7898</v>
      </c>
      <c r="E265" s="2142"/>
      <c r="F265" s="2142"/>
      <c r="G265" s="2142"/>
      <c r="H265" s="1532">
        <f>H264+H261</f>
        <v>53.39</v>
      </c>
    </row>
    <row r="266" spans="1:13" x14ac:dyDescent="0.25">
      <c r="A266" s="1514"/>
      <c r="B266" s="1514"/>
      <c r="C266" s="1514"/>
      <c r="F266" s="1533"/>
      <c r="G266" s="1534"/>
      <c r="H266" s="1514"/>
    </row>
    <row r="267" spans="1:13" s="1517" customFormat="1" x14ac:dyDescent="0.25">
      <c r="A267" s="146" t="s">
        <v>6</v>
      </c>
      <c r="B267" s="2143" t="s">
        <v>7</v>
      </c>
      <c r="C267" s="2143"/>
      <c r="D267" s="1518" t="s">
        <v>121</v>
      </c>
      <c r="E267" s="1886" t="s">
        <v>5282</v>
      </c>
      <c r="F267" s="1518" t="s">
        <v>31</v>
      </c>
      <c r="G267" s="1519" t="s">
        <v>122</v>
      </c>
      <c r="H267" s="1520" t="s">
        <v>123</v>
      </c>
      <c r="I267" s="1830"/>
      <c r="J267" s="1795"/>
      <c r="K267" s="1795"/>
      <c r="L267" s="169"/>
      <c r="M267" s="1783"/>
    </row>
    <row r="268" spans="1:13" s="1526" customFormat="1" ht="30" x14ac:dyDescent="0.2">
      <c r="A268" s="1882" t="str">
        <f>'Orç - Prédio'!A41</f>
        <v>02.02.321.07</v>
      </c>
      <c r="B268" s="1882" t="str">
        <f>'Orç - Prédio'!B41</f>
        <v>SCO-RJ</v>
      </c>
      <c r="C268" s="1882" t="str">
        <f>'Orç - Prédio'!C41</f>
        <v>IP 59 20 0106</v>
      </c>
      <c r="D268" s="1865" t="s">
        <v>9003</v>
      </c>
      <c r="E268" s="1866">
        <f>'Orç - Prédio'!E41</f>
        <v>3</v>
      </c>
      <c r="F268" s="1882" t="s">
        <v>5284</v>
      </c>
      <c r="G268" s="1524">
        <v>10.51</v>
      </c>
      <c r="H268" s="1525">
        <f>H274</f>
        <v>31.53</v>
      </c>
      <c r="I268" s="1910" t="s">
        <v>9481</v>
      </c>
      <c r="J268" s="1793"/>
      <c r="K268" s="1793"/>
      <c r="L268" s="141"/>
      <c r="M268" s="1515"/>
    </row>
    <row r="269" spans="1:13" s="1859" customFormat="1" ht="30" x14ac:dyDescent="0.2">
      <c r="A269" s="2144">
        <v>88279</v>
      </c>
      <c r="B269" s="2144"/>
      <c r="C269" s="1863" t="s">
        <v>4448</v>
      </c>
      <c r="D269" s="1862" t="s">
        <v>4302</v>
      </c>
      <c r="E269" s="1864">
        <v>0.5</v>
      </c>
      <c r="F269" s="1881" t="s">
        <v>65</v>
      </c>
      <c r="G269" s="1860">
        <v>21.03</v>
      </c>
      <c r="H269" s="1857">
        <f t="shared" ref="H269" si="31">ROUNDDOWN(G269*E269,2)</f>
        <v>10.51</v>
      </c>
      <c r="I269" s="1856"/>
      <c r="J269" s="1797"/>
      <c r="K269" s="1797"/>
      <c r="L269" s="1784"/>
      <c r="M269" s="1785"/>
    </row>
    <row r="270" spans="1:13" s="1517" customFormat="1" x14ac:dyDescent="0.25">
      <c r="A270" s="1847"/>
      <c r="B270" s="1847"/>
      <c r="C270" s="1531"/>
      <c r="D270" s="2141" t="s">
        <v>124</v>
      </c>
      <c r="E270" s="2141"/>
      <c r="F270" s="2141"/>
      <c r="G270" s="2141"/>
      <c r="H270" s="267">
        <f>SUMIF(F269:F269,("h"),H269:H269)</f>
        <v>10.51</v>
      </c>
      <c r="I270" s="1830"/>
      <c r="J270" s="1795"/>
      <c r="K270" s="1795"/>
      <c r="L270" s="169"/>
      <c r="M270" s="1783"/>
    </row>
    <row r="271" spans="1:13" s="1517" customFormat="1" x14ac:dyDescent="0.25">
      <c r="A271" s="1847"/>
      <c r="B271" s="1847"/>
      <c r="C271" s="1531"/>
      <c r="D271" s="2141" t="s">
        <v>125</v>
      </c>
      <c r="E271" s="2141"/>
      <c r="F271" s="2141"/>
      <c r="G271" s="2141"/>
      <c r="H271" s="267">
        <f>SUMIF(F269:F269,"&lt;&gt;h",H269:H269)</f>
        <v>0</v>
      </c>
      <c r="I271" s="1830"/>
      <c r="J271" s="1795"/>
      <c r="K271" s="1795"/>
      <c r="L271" s="169"/>
      <c r="M271" s="1783"/>
    </row>
    <row r="272" spans="1:13" s="1517" customFormat="1" x14ac:dyDescent="0.25">
      <c r="A272" s="1847"/>
      <c r="B272" s="1847"/>
      <c r="C272" s="1531"/>
      <c r="D272" s="2142" t="s">
        <v>126</v>
      </c>
      <c r="E272" s="2142"/>
      <c r="F272" s="2142"/>
      <c r="G272" s="2142"/>
      <c r="H272" s="1532">
        <f>SUM(H270:H271)</f>
        <v>10.51</v>
      </c>
      <c r="I272" s="1830"/>
      <c r="J272" s="1795"/>
      <c r="K272" s="1795"/>
      <c r="L272" s="169"/>
      <c r="M272" s="1783"/>
    </row>
    <row r="273" spans="1:13" s="1517" customFormat="1" x14ac:dyDescent="0.25">
      <c r="A273" s="1847"/>
      <c r="B273" s="1847"/>
      <c r="C273" s="1531"/>
      <c r="D273" s="2141" t="s">
        <v>28</v>
      </c>
      <c r="E273" s="2141"/>
      <c r="F273" s="2141"/>
      <c r="G273" s="2141"/>
      <c r="H273" s="269">
        <f>E268</f>
        <v>3</v>
      </c>
      <c r="I273" s="1830"/>
      <c r="J273" s="1795"/>
      <c r="K273" s="1795"/>
      <c r="L273" s="169"/>
      <c r="M273" s="1783"/>
    </row>
    <row r="274" spans="1:13" s="1517" customFormat="1" x14ac:dyDescent="0.25">
      <c r="A274" s="1847"/>
      <c r="B274" s="1847"/>
      <c r="C274" s="1531"/>
      <c r="D274" s="2142" t="s">
        <v>127</v>
      </c>
      <c r="E274" s="2142"/>
      <c r="F274" s="2142"/>
      <c r="G274" s="2142"/>
      <c r="H274" s="1532">
        <f>ROUND(H272*H273,2)</f>
        <v>31.53</v>
      </c>
      <c r="I274" s="1830"/>
      <c r="J274" s="1795"/>
      <c r="K274" s="1795"/>
      <c r="L274" s="169"/>
      <c r="M274" s="1783"/>
    </row>
    <row r="275" spans="1:13" s="1517" customFormat="1" x14ac:dyDescent="0.25">
      <c r="A275" s="1847"/>
      <c r="B275" s="1847"/>
      <c r="C275" s="1531"/>
      <c r="D275" s="2141" t="s">
        <v>15335</v>
      </c>
      <c r="E275" s="2141"/>
      <c r="F275" s="2141"/>
      <c r="G275" s="2141"/>
      <c r="H275" s="267">
        <f>ROUND(H272*$B$13,2)</f>
        <v>2.83</v>
      </c>
      <c r="I275" s="1830"/>
      <c r="J275" s="1795"/>
      <c r="K275" s="1795"/>
      <c r="L275" s="169"/>
      <c r="M275" s="1783"/>
    </row>
    <row r="276" spans="1:13" x14ac:dyDescent="0.25">
      <c r="A276" s="1847"/>
      <c r="B276" s="1847"/>
      <c r="C276" s="1531"/>
      <c r="D276" s="2142" t="s">
        <v>7898</v>
      </c>
      <c r="E276" s="2142"/>
      <c r="F276" s="2142"/>
      <c r="G276" s="2142"/>
      <c r="H276" s="1532">
        <f>H275+H272</f>
        <v>13.34</v>
      </c>
    </row>
    <row r="277" spans="1:13" x14ac:dyDescent="0.25">
      <c r="A277" s="1514"/>
      <c r="B277" s="1514"/>
      <c r="C277" s="1514"/>
      <c r="F277" s="1533"/>
      <c r="G277" s="1534"/>
      <c r="H277" s="1514"/>
    </row>
    <row r="278" spans="1:13" s="1517" customFormat="1" x14ac:dyDescent="0.25">
      <c r="A278" s="146" t="s">
        <v>6</v>
      </c>
      <c r="B278" s="2143" t="s">
        <v>7</v>
      </c>
      <c r="C278" s="2143"/>
      <c r="D278" s="1518" t="s">
        <v>121</v>
      </c>
      <c r="E278" s="1886" t="s">
        <v>5282</v>
      </c>
      <c r="F278" s="1518" t="s">
        <v>31</v>
      </c>
      <c r="G278" s="1519" t="s">
        <v>122</v>
      </c>
      <c r="H278" s="1520" t="s">
        <v>123</v>
      </c>
      <c r="I278" s="1830"/>
      <c r="J278" s="1795"/>
      <c r="K278" s="1795"/>
      <c r="L278" s="169"/>
      <c r="M278" s="1783"/>
    </row>
    <row r="279" spans="1:13" s="1526" customFormat="1" ht="30" x14ac:dyDescent="0.2">
      <c r="A279" s="1908" t="str">
        <f>'Orç - Prédio'!A42</f>
        <v>02.02.321.08</v>
      </c>
      <c r="B279" s="1908" t="str">
        <f>'Orç - Prédio'!B42</f>
        <v>SCO-RJ</v>
      </c>
      <c r="C279" s="1908" t="str">
        <f>'Orç - Prédio'!C42</f>
        <v>IP 59 20 0500</v>
      </c>
      <c r="D279" s="1865" t="s">
        <v>9507</v>
      </c>
      <c r="E279" s="1866">
        <f>'Orç - Prédio'!E42</f>
        <v>5</v>
      </c>
      <c r="F279" s="1908" t="s">
        <v>5284</v>
      </c>
      <c r="G279" s="1524">
        <v>168.24</v>
      </c>
      <c r="H279" s="1525">
        <f>H285</f>
        <v>841.2</v>
      </c>
      <c r="I279" s="1910" t="s">
        <v>9481</v>
      </c>
      <c r="J279" s="1793"/>
      <c r="K279" s="1793"/>
      <c r="L279" s="141"/>
      <c r="M279" s="1515"/>
    </row>
    <row r="280" spans="1:13" s="1859" customFormat="1" ht="30" x14ac:dyDescent="0.2">
      <c r="A280" s="2144">
        <v>88279</v>
      </c>
      <c r="B280" s="2144"/>
      <c r="C280" s="1863" t="s">
        <v>4448</v>
      </c>
      <c r="D280" s="1862" t="s">
        <v>4302</v>
      </c>
      <c r="E280" s="1864">
        <v>8</v>
      </c>
      <c r="F280" s="1906" t="s">
        <v>65</v>
      </c>
      <c r="G280" s="1860">
        <v>21.03</v>
      </c>
      <c r="H280" s="1857">
        <f t="shared" ref="H280" si="32">ROUNDDOWN(G280*E280,2)</f>
        <v>168.24</v>
      </c>
      <c r="I280" s="1856"/>
      <c r="J280" s="1797"/>
      <c r="K280" s="1797"/>
      <c r="L280" s="1784"/>
      <c r="M280" s="1785"/>
    </row>
    <row r="281" spans="1:13" s="1517" customFormat="1" x14ac:dyDescent="0.25">
      <c r="A281" s="1907"/>
      <c r="B281" s="1907"/>
      <c r="C281" s="1531"/>
      <c r="D281" s="2141" t="s">
        <v>124</v>
      </c>
      <c r="E281" s="2141"/>
      <c r="F281" s="2141"/>
      <c r="G281" s="2141"/>
      <c r="H281" s="267">
        <f>SUMIF(F280:F280,("h"),H280:H280)</f>
        <v>168.24</v>
      </c>
      <c r="I281" s="1830"/>
      <c r="J281" s="1795"/>
      <c r="K281" s="1795"/>
      <c r="L281" s="169"/>
      <c r="M281" s="1783"/>
    </row>
    <row r="282" spans="1:13" s="1517" customFormat="1" x14ac:dyDescent="0.25">
      <c r="A282" s="1907"/>
      <c r="B282" s="1907"/>
      <c r="C282" s="1531"/>
      <c r="D282" s="2141" t="s">
        <v>125</v>
      </c>
      <c r="E282" s="2141"/>
      <c r="F282" s="2141"/>
      <c r="G282" s="2141"/>
      <c r="H282" s="267">
        <f>SUMIF(F280:F280,"&lt;&gt;h",H280:H280)</f>
        <v>0</v>
      </c>
      <c r="I282" s="1830"/>
      <c r="J282" s="1795"/>
      <c r="K282" s="1795"/>
      <c r="L282" s="169"/>
      <c r="M282" s="1783"/>
    </row>
    <row r="283" spans="1:13" s="1517" customFormat="1" x14ac:dyDescent="0.25">
      <c r="A283" s="1907"/>
      <c r="B283" s="1907"/>
      <c r="C283" s="1531"/>
      <c r="D283" s="2142" t="s">
        <v>126</v>
      </c>
      <c r="E283" s="2142"/>
      <c r="F283" s="2142"/>
      <c r="G283" s="2142"/>
      <c r="H283" s="1532">
        <f>SUM(H281:H282)</f>
        <v>168.24</v>
      </c>
      <c r="I283" s="1830"/>
      <c r="J283" s="1795"/>
      <c r="K283" s="1795"/>
      <c r="L283" s="169"/>
      <c r="M283" s="1783"/>
    </row>
    <row r="284" spans="1:13" s="1517" customFormat="1" x14ac:dyDescent="0.25">
      <c r="A284" s="1907"/>
      <c r="B284" s="1907"/>
      <c r="C284" s="1531"/>
      <c r="D284" s="2141" t="s">
        <v>28</v>
      </c>
      <c r="E284" s="2141"/>
      <c r="F284" s="2141"/>
      <c r="G284" s="2141"/>
      <c r="H284" s="269">
        <f>E279</f>
        <v>5</v>
      </c>
      <c r="I284" s="1830"/>
      <c r="J284" s="1795"/>
      <c r="K284" s="1795"/>
      <c r="L284" s="169"/>
      <c r="M284" s="1783"/>
    </row>
    <row r="285" spans="1:13" s="1517" customFormat="1" x14ac:dyDescent="0.25">
      <c r="A285" s="1907"/>
      <c r="B285" s="1907"/>
      <c r="C285" s="1531"/>
      <c r="D285" s="2142" t="s">
        <v>127</v>
      </c>
      <c r="E285" s="2142"/>
      <c r="F285" s="2142"/>
      <c r="G285" s="2142"/>
      <c r="H285" s="1532">
        <f>ROUND(H283*H284,2)</f>
        <v>841.2</v>
      </c>
      <c r="I285" s="1830"/>
      <c r="J285" s="1795"/>
      <c r="K285" s="1795"/>
      <c r="L285" s="169"/>
      <c r="M285" s="1783"/>
    </row>
    <row r="286" spans="1:13" s="1517" customFormat="1" x14ac:dyDescent="0.25">
      <c r="A286" s="1907"/>
      <c r="B286" s="1907"/>
      <c r="C286" s="1531"/>
      <c r="D286" s="2141" t="s">
        <v>15335</v>
      </c>
      <c r="E286" s="2141"/>
      <c r="F286" s="2141"/>
      <c r="G286" s="2141"/>
      <c r="H286" s="267">
        <f>ROUND(H283*$B$13,2)</f>
        <v>45.31</v>
      </c>
      <c r="I286" s="1830"/>
      <c r="J286" s="1795"/>
      <c r="K286" s="1795"/>
      <c r="L286" s="169"/>
      <c r="M286" s="1783"/>
    </row>
    <row r="287" spans="1:13" x14ac:dyDescent="0.25">
      <c r="A287" s="1907"/>
      <c r="B287" s="1907"/>
      <c r="C287" s="1531"/>
      <c r="D287" s="2142" t="s">
        <v>7898</v>
      </c>
      <c r="E287" s="2142"/>
      <c r="F287" s="2142"/>
      <c r="G287" s="2142"/>
      <c r="H287" s="1532">
        <f>H286+H283</f>
        <v>213.55</v>
      </c>
    </row>
    <row r="288" spans="1:13" x14ac:dyDescent="0.25">
      <c r="A288" s="1514"/>
      <c r="B288" s="1514"/>
      <c r="C288" s="1514"/>
      <c r="F288" s="1533"/>
      <c r="G288" s="1534"/>
      <c r="H288" s="1514"/>
    </row>
    <row r="289" spans="1:13" s="1517" customFormat="1" x14ac:dyDescent="0.25">
      <c r="A289" s="146" t="s">
        <v>6</v>
      </c>
      <c r="B289" s="2143" t="s">
        <v>7</v>
      </c>
      <c r="C289" s="2143"/>
      <c r="D289" s="1518" t="s">
        <v>121</v>
      </c>
      <c r="E289" s="1886" t="s">
        <v>5282</v>
      </c>
      <c r="F289" s="1518" t="s">
        <v>31</v>
      </c>
      <c r="G289" s="1519" t="s">
        <v>122</v>
      </c>
      <c r="H289" s="1520" t="s">
        <v>123</v>
      </c>
      <c r="I289" s="1830"/>
      <c r="J289" s="1795"/>
      <c r="K289" s="1795"/>
      <c r="L289" s="169"/>
      <c r="M289" s="1783"/>
    </row>
    <row r="290" spans="1:13" s="1526" customFormat="1" ht="30" x14ac:dyDescent="0.2">
      <c r="A290" s="1882" t="str">
        <f>'Orç - Prédio'!A43</f>
        <v>02.02.321.09</v>
      </c>
      <c r="B290" s="1882" t="str">
        <f>'Orç - Prédio'!B43</f>
        <v>SCO-RJ</v>
      </c>
      <c r="C290" s="1882" t="str">
        <f>'Orç - Prédio'!C43</f>
        <v>IP 59 20 0506</v>
      </c>
      <c r="D290" s="1865" t="s">
        <v>9004</v>
      </c>
      <c r="E290" s="1866">
        <f>'Orç - Prédio'!E43</f>
        <v>2</v>
      </c>
      <c r="F290" s="1882" t="s">
        <v>5284</v>
      </c>
      <c r="G290" s="1524">
        <v>210.3</v>
      </c>
      <c r="H290" s="1525">
        <f>H296</f>
        <v>420.6</v>
      </c>
      <c r="I290" s="1910" t="s">
        <v>9481</v>
      </c>
      <c r="J290" s="1793"/>
      <c r="K290" s="1793"/>
      <c r="L290" s="141"/>
      <c r="M290" s="1515"/>
    </row>
    <row r="291" spans="1:13" s="1859" customFormat="1" ht="30" x14ac:dyDescent="0.2">
      <c r="A291" s="2144">
        <v>88279</v>
      </c>
      <c r="B291" s="2144"/>
      <c r="C291" s="1863" t="s">
        <v>4448</v>
      </c>
      <c r="D291" s="1862" t="s">
        <v>4302</v>
      </c>
      <c r="E291" s="1864">
        <v>10</v>
      </c>
      <c r="F291" s="1881" t="s">
        <v>65</v>
      </c>
      <c r="G291" s="1860">
        <v>21.03</v>
      </c>
      <c r="H291" s="1857">
        <f t="shared" ref="H291" si="33">ROUNDDOWN(G291*E291,2)</f>
        <v>210.3</v>
      </c>
      <c r="I291" s="1856"/>
      <c r="J291" s="1797"/>
      <c r="K291" s="1797"/>
      <c r="L291" s="1784"/>
      <c r="M291" s="1785"/>
    </row>
    <row r="292" spans="1:13" s="1517" customFormat="1" x14ac:dyDescent="0.25">
      <c r="A292" s="1847"/>
      <c r="B292" s="1847"/>
      <c r="C292" s="1531"/>
      <c r="D292" s="2141" t="s">
        <v>124</v>
      </c>
      <c r="E292" s="2141"/>
      <c r="F292" s="2141"/>
      <c r="G292" s="2141"/>
      <c r="H292" s="267">
        <f>SUMIF(F291:F291,("h"),H291:H291)</f>
        <v>210.3</v>
      </c>
      <c r="I292" s="1830"/>
      <c r="J292" s="1795"/>
      <c r="K292" s="1795"/>
      <c r="L292" s="169"/>
      <c r="M292" s="1783"/>
    </row>
    <row r="293" spans="1:13" s="1517" customFormat="1" x14ac:dyDescent="0.25">
      <c r="A293" s="1847"/>
      <c r="B293" s="1847"/>
      <c r="C293" s="1531"/>
      <c r="D293" s="2141" t="s">
        <v>125</v>
      </c>
      <c r="E293" s="2141"/>
      <c r="F293" s="2141"/>
      <c r="G293" s="2141"/>
      <c r="H293" s="267">
        <f>SUMIF(F291:F291,"&lt;&gt;h",H291:H291)</f>
        <v>0</v>
      </c>
      <c r="I293" s="1830"/>
      <c r="J293" s="1795"/>
      <c r="K293" s="1795"/>
      <c r="L293" s="169"/>
      <c r="M293" s="1783"/>
    </row>
    <row r="294" spans="1:13" s="1517" customFormat="1" x14ac:dyDescent="0.25">
      <c r="A294" s="1847"/>
      <c r="B294" s="1847"/>
      <c r="C294" s="1531"/>
      <c r="D294" s="2142" t="s">
        <v>126</v>
      </c>
      <c r="E294" s="2142"/>
      <c r="F294" s="2142"/>
      <c r="G294" s="2142"/>
      <c r="H294" s="1532">
        <f>SUM(H292:H293)</f>
        <v>210.3</v>
      </c>
      <c r="I294" s="1830"/>
      <c r="J294" s="1795"/>
      <c r="K294" s="1795"/>
      <c r="L294" s="169"/>
      <c r="M294" s="1783"/>
    </row>
    <row r="295" spans="1:13" s="1517" customFormat="1" x14ac:dyDescent="0.25">
      <c r="A295" s="1847"/>
      <c r="B295" s="1847"/>
      <c r="C295" s="1531"/>
      <c r="D295" s="2141" t="s">
        <v>28</v>
      </c>
      <c r="E295" s="2141"/>
      <c r="F295" s="2141"/>
      <c r="G295" s="2141"/>
      <c r="H295" s="269">
        <f>E290</f>
        <v>2</v>
      </c>
      <c r="I295" s="1830"/>
      <c r="J295" s="1795"/>
      <c r="K295" s="1795"/>
      <c r="L295" s="169"/>
      <c r="M295" s="1783"/>
    </row>
    <row r="296" spans="1:13" s="1517" customFormat="1" x14ac:dyDescent="0.25">
      <c r="A296" s="1847"/>
      <c r="B296" s="1847"/>
      <c r="C296" s="1531"/>
      <c r="D296" s="2142" t="s">
        <v>127</v>
      </c>
      <c r="E296" s="2142"/>
      <c r="F296" s="2142"/>
      <c r="G296" s="2142"/>
      <c r="H296" s="1532">
        <f>ROUND(H294*H295,2)</f>
        <v>420.6</v>
      </c>
      <c r="I296" s="1830"/>
      <c r="J296" s="1795"/>
      <c r="K296" s="1795"/>
      <c r="L296" s="169"/>
      <c r="M296" s="1783"/>
    </row>
    <row r="297" spans="1:13" s="1517" customFormat="1" x14ac:dyDescent="0.25">
      <c r="A297" s="1847"/>
      <c r="B297" s="1847"/>
      <c r="C297" s="1531"/>
      <c r="D297" s="2141" t="s">
        <v>15335</v>
      </c>
      <c r="E297" s="2141"/>
      <c r="F297" s="2141"/>
      <c r="G297" s="2141"/>
      <c r="H297" s="267">
        <f>ROUND(H294*$B$13,2)</f>
        <v>56.63</v>
      </c>
      <c r="I297" s="1830"/>
      <c r="J297" s="1795"/>
      <c r="K297" s="1795"/>
      <c r="L297" s="169"/>
      <c r="M297" s="1783"/>
    </row>
    <row r="298" spans="1:13" x14ac:dyDescent="0.25">
      <c r="A298" s="1847"/>
      <c r="B298" s="1847"/>
      <c r="C298" s="1531"/>
      <c r="D298" s="2142" t="s">
        <v>7898</v>
      </c>
      <c r="E298" s="2142"/>
      <c r="F298" s="2142"/>
      <c r="G298" s="2142"/>
      <c r="H298" s="1532">
        <f>H297+H294</f>
        <v>266.93</v>
      </c>
    </row>
    <row r="299" spans="1:13" x14ac:dyDescent="0.25">
      <c r="A299" s="1514"/>
      <c r="B299" s="1514"/>
      <c r="C299" s="1514"/>
      <c r="F299" s="1533"/>
      <c r="G299" s="1534"/>
      <c r="H299" s="1514"/>
    </row>
    <row r="300" spans="1:13" s="218" customFormat="1" x14ac:dyDescent="0.25">
      <c r="A300" s="161" t="str">
        <f>'Orç - Prédio'!A52</f>
        <v>03.00.000</v>
      </c>
      <c r="B300" s="161"/>
      <c r="C300" s="155"/>
      <c r="D300" s="175" t="s">
        <v>4851</v>
      </c>
      <c r="E300" s="284"/>
      <c r="F300" s="161"/>
      <c r="G300" s="149"/>
      <c r="H300" s="165"/>
      <c r="I300" s="212"/>
      <c r="J300" s="1796"/>
      <c r="K300" s="1793"/>
      <c r="L300" s="1782"/>
      <c r="M300" s="180"/>
    </row>
    <row r="301" spans="1:13" s="1517" customFormat="1" x14ac:dyDescent="0.25">
      <c r="A301" s="171"/>
      <c r="B301" s="171"/>
      <c r="C301" s="206"/>
      <c r="D301" s="159"/>
      <c r="E301" s="276"/>
      <c r="F301" s="171"/>
      <c r="G301" s="178"/>
      <c r="H301" s="148"/>
      <c r="I301" s="1830"/>
      <c r="J301" s="1795"/>
      <c r="K301" s="1795"/>
      <c r="L301" s="169"/>
      <c r="M301" s="1783"/>
    </row>
    <row r="302" spans="1:13" s="1517" customFormat="1" x14ac:dyDescent="0.25">
      <c r="A302" s="146" t="s">
        <v>6</v>
      </c>
      <c r="B302" s="2143" t="s">
        <v>7</v>
      </c>
      <c r="C302" s="2143"/>
      <c r="D302" s="1518" t="s">
        <v>121</v>
      </c>
      <c r="E302" s="278" t="s">
        <v>5282</v>
      </c>
      <c r="F302" s="1518" t="s">
        <v>31</v>
      </c>
      <c r="G302" s="1519" t="s">
        <v>122</v>
      </c>
      <c r="H302" s="1520" t="s">
        <v>123</v>
      </c>
      <c r="I302" s="1830"/>
      <c r="J302" s="1795"/>
      <c r="K302" s="1795"/>
      <c r="L302" s="169"/>
      <c r="M302" s="1783"/>
    </row>
    <row r="303" spans="1:13" s="1526" customFormat="1" ht="45" x14ac:dyDescent="0.2">
      <c r="A303" s="1924" t="str">
        <f>'Orç - Prédio'!A59</f>
        <v>03.01.425.01</v>
      </c>
      <c r="B303" s="1924" t="str">
        <f>'Orç - Prédio'!B59</f>
        <v>SINAPI</v>
      </c>
      <c r="C303" s="1924" t="str">
        <f>'Orç - Prédio'!C59</f>
        <v>100897 MOD 1</v>
      </c>
      <c r="D303" s="1865" t="s">
        <v>15156</v>
      </c>
      <c r="E303" s="1866">
        <f>'Orç - Prédio'!E59</f>
        <v>544</v>
      </c>
      <c r="F303" s="1924" t="s">
        <v>5713</v>
      </c>
      <c r="G303" s="1524">
        <v>80.3</v>
      </c>
      <c r="H303" s="1525">
        <f>H316</f>
        <v>43683.199999999997</v>
      </c>
      <c r="I303" s="1910" t="s">
        <v>15157</v>
      </c>
      <c r="J303" s="1793"/>
      <c r="K303" s="1793"/>
      <c r="L303" s="1935"/>
      <c r="M303" s="1936"/>
    </row>
    <row r="304" spans="1:13" s="1859" customFormat="1" ht="60" x14ac:dyDescent="0.2">
      <c r="A304" s="2144">
        <v>38464</v>
      </c>
      <c r="B304" s="2144"/>
      <c r="C304" s="1863" t="s">
        <v>4448</v>
      </c>
      <c r="D304" s="1862" t="s">
        <v>10952</v>
      </c>
      <c r="E304" s="1864">
        <v>0.1426</v>
      </c>
      <c r="F304" s="1922" t="s">
        <v>44</v>
      </c>
      <c r="G304" s="1860">
        <v>376.12</v>
      </c>
      <c r="H304" s="1857">
        <f t="shared" ref="H304:H311" si="34">ROUNDDOWN(G304*E304,2)</f>
        <v>53.63</v>
      </c>
      <c r="I304" s="1934"/>
      <c r="J304" s="1934"/>
      <c r="K304" s="1934"/>
      <c r="L304" s="1934"/>
      <c r="M304" s="1934"/>
    </row>
    <row r="305" spans="1:13" s="1859" customFormat="1" ht="75" x14ac:dyDescent="0.2">
      <c r="A305" s="2144" t="s">
        <v>3542</v>
      </c>
      <c r="B305" s="2144"/>
      <c r="C305" s="1863" t="s">
        <v>4448</v>
      </c>
      <c r="D305" s="1862" t="s">
        <v>3543</v>
      </c>
      <c r="E305" s="1864">
        <v>0.15709999999999999</v>
      </c>
      <c r="F305" s="1922" t="s">
        <v>1208</v>
      </c>
      <c r="G305" s="1860">
        <v>1.41</v>
      </c>
      <c r="H305" s="1857">
        <f t="shared" ref="H305:H307" si="35">ROUNDDOWN(G305*E305,2)</f>
        <v>0.22</v>
      </c>
      <c r="I305" s="1934"/>
      <c r="J305" s="1934"/>
      <c r="K305" s="1934"/>
      <c r="L305" s="1934"/>
      <c r="M305" s="1785"/>
    </row>
    <row r="306" spans="1:13" s="1859" customFormat="1" ht="30" x14ac:dyDescent="0.2">
      <c r="A306" s="2144">
        <v>88316</v>
      </c>
      <c r="B306" s="2144"/>
      <c r="C306" s="1863" t="s">
        <v>4448</v>
      </c>
      <c r="D306" s="1862" t="s">
        <v>64</v>
      </c>
      <c r="E306" s="1864">
        <v>0.27950000000000003</v>
      </c>
      <c r="F306" s="1922" t="s">
        <v>65</v>
      </c>
      <c r="G306" s="1860">
        <v>15.08</v>
      </c>
      <c r="H306" s="1857">
        <f t="shared" si="35"/>
        <v>4.21</v>
      </c>
      <c r="I306" s="1934"/>
      <c r="J306" s="1934"/>
      <c r="K306" s="1934"/>
      <c r="L306" s="1934"/>
      <c r="M306" s="1785"/>
    </row>
    <row r="307" spans="1:13" s="1859" customFormat="1" ht="105" x14ac:dyDescent="0.2">
      <c r="A307" s="2144">
        <v>90680</v>
      </c>
      <c r="B307" s="2144"/>
      <c r="C307" s="1863" t="s">
        <v>4448</v>
      </c>
      <c r="D307" s="1862" t="s">
        <v>397</v>
      </c>
      <c r="E307" s="1864">
        <v>3.4200000000000001E-2</v>
      </c>
      <c r="F307" s="1922" t="s">
        <v>97</v>
      </c>
      <c r="G307" s="1860">
        <v>215.1</v>
      </c>
      <c r="H307" s="1857">
        <f t="shared" si="35"/>
        <v>7.35</v>
      </c>
      <c r="I307" s="1934"/>
      <c r="J307" s="1934"/>
      <c r="K307" s="1934"/>
      <c r="L307" s="1934"/>
      <c r="M307" s="1785"/>
    </row>
    <row r="308" spans="1:13" s="1859" customFormat="1" ht="105" x14ac:dyDescent="0.2">
      <c r="A308" s="2144">
        <v>90681</v>
      </c>
      <c r="B308" s="2144"/>
      <c r="C308" s="1863" t="s">
        <v>4448</v>
      </c>
      <c r="D308" s="1862" t="s">
        <v>535</v>
      </c>
      <c r="E308" s="1864">
        <v>6.1199999999999997E-2</v>
      </c>
      <c r="F308" s="1922" t="s">
        <v>98</v>
      </c>
      <c r="G308" s="1860">
        <v>85.25</v>
      </c>
      <c r="H308" s="1857">
        <f t="shared" si="34"/>
        <v>5.21</v>
      </c>
      <c r="I308" s="1934"/>
      <c r="J308" s="1934"/>
      <c r="K308" s="1934"/>
      <c r="L308" s="1934"/>
      <c r="M308" s="1785"/>
    </row>
    <row r="309" spans="1:13" s="1859" customFormat="1" ht="30" x14ac:dyDescent="0.2">
      <c r="A309" s="2144">
        <v>90778</v>
      </c>
      <c r="B309" s="2144"/>
      <c r="C309" s="1863" t="s">
        <v>4448</v>
      </c>
      <c r="D309" s="1862" t="s">
        <v>4343</v>
      </c>
      <c r="E309" s="1864">
        <v>6.4000000000000003E-3</v>
      </c>
      <c r="F309" s="1922" t="s">
        <v>65</v>
      </c>
      <c r="G309" s="1860">
        <v>85.62</v>
      </c>
      <c r="H309" s="1857">
        <f t="shared" si="34"/>
        <v>0.54</v>
      </c>
      <c r="I309" s="1934"/>
      <c r="J309" s="1934"/>
      <c r="K309" s="1934"/>
      <c r="L309" s="1934"/>
      <c r="M309" s="1785"/>
    </row>
    <row r="310" spans="1:13" s="1859" customFormat="1" ht="45" x14ac:dyDescent="0.2">
      <c r="A310" s="2144">
        <v>95579</v>
      </c>
      <c r="B310" s="2144"/>
      <c r="C310" s="1863" t="s">
        <v>4448</v>
      </c>
      <c r="D310" s="1862" t="s">
        <v>1668</v>
      </c>
      <c r="E310" s="1864">
        <v>1.3913</v>
      </c>
      <c r="F310" s="1922" t="s">
        <v>305</v>
      </c>
      <c r="G310" s="1860">
        <v>6.53</v>
      </c>
      <c r="H310" s="1857">
        <f t="shared" si="34"/>
        <v>9.08</v>
      </c>
      <c r="I310" s="1934"/>
      <c r="J310" s="1934"/>
      <c r="K310" s="1934"/>
      <c r="L310" s="1934"/>
      <c r="M310" s="1785"/>
    </row>
    <row r="311" spans="1:13" s="1859" customFormat="1" ht="45" x14ac:dyDescent="0.2">
      <c r="A311" s="2144">
        <v>97913</v>
      </c>
      <c r="B311" s="2144"/>
      <c r="C311" s="1863" t="s">
        <v>4448</v>
      </c>
      <c r="D311" s="1862" t="s">
        <v>5143</v>
      </c>
      <c r="E311" s="1864">
        <v>5.2400000000000002E-2</v>
      </c>
      <c r="F311" s="1922" t="s">
        <v>3531</v>
      </c>
      <c r="G311" s="1860">
        <v>1.25</v>
      </c>
      <c r="H311" s="1857">
        <f t="shared" si="34"/>
        <v>0.06</v>
      </c>
      <c r="I311" s="1934"/>
      <c r="J311" s="1934"/>
      <c r="K311" s="1934"/>
      <c r="L311" s="1934"/>
      <c r="M311" s="1785"/>
    </row>
    <row r="312" spans="1:13" s="1517" customFormat="1" x14ac:dyDescent="0.25">
      <c r="A312" s="1923"/>
      <c r="B312" s="1923"/>
      <c r="C312" s="1531"/>
      <c r="D312" s="2141" t="s">
        <v>124</v>
      </c>
      <c r="E312" s="2141"/>
      <c r="F312" s="2141"/>
      <c r="G312" s="2141"/>
      <c r="H312" s="267">
        <f>SUMIF(F304:F311,("h"),H304:H311)</f>
        <v>4.75</v>
      </c>
      <c r="I312" s="1830"/>
      <c r="J312" s="1795"/>
      <c r="K312" s="1797"/>
      <c r="L312" s="169"/>
      <c r="M312" s="1783"/>
    </row>
    <row r="313" spans="1:13" s="1517" customFormat="1" x14ac:dyDescent="0.25">
      <c r="A313" s="1923"/>
      <c r="B313" s="1923"/>
      <c r="C313" s="1531"/>
      <c r="D313" s="2141" t="s">
        <v>125</v>
      </c>
      <c r="E313" s="2141"/>
      <c r="F313" s="2141"/>
      <c r="G313" s="2141"/>
      <c r="H313" s="267">
        <f>SUMIF(F304:F311,"&lt;&gt;h",H304:H311)</f>
        <v>75.55</v>
      </c>
      <c r="I313" s="1830"/>
      <c r="J313" s="1795"/>
      <c r="K313" s="1797"/>
      <c r="L313" s="169"/>
      <c r="M313" s="1783"/>
    </row>
    <row r="314" spans="1:13" s="1517" customFormat="1" x14ac:dyDescent="0.25">
      <c r="A314" s="1923"/>
      <c r="B314" s="1923"/>
      <c r="C314" s="1531"/>
      <c r="D314" s="2142" t="s">
        <v>126</v>
      </c>
      <c r="E314" s="2142"/>
      <c r="F314" s="2142"/>
      <c r="G314" s="2142"/>
      <c r="H314" s="1532">
        <f>SUM(H312:H313)</f>
        <v>80.3</v>
      </c>
      <c r="I314" s="1830"/>
      <c r="J314" s="1795"/>
      <c r="K314" s="1797"/>
      <c r="L314" s="169"/>
      <c r="M314" s="1783"/>
    </row>
    <row r="315" spans="1:13" s="1517" customFormat="1" x14ac:dyDescent="0.25">
      <c r="A315" s="1923"/>
      <c r="B315" s="1923"/>
      <c r="C315" s="1531"/>
      <c r="D315" s="2141" t="s">
        <v>28</v>
      </c>
      <c r="E315" s="2141"/>
      <c r="F315" s="2141"/>
      <c r="G315" s="2141"/>
      <c r="H315" s="269">
        <f>E303</f>
        <v>544</v>
      </c>
      <c r="I315" s="1830"/>
      <c r="J315" s="1795"/>
      <c r="K315" s="1797"/>
      <c r="L315" s="169"/>
      <c r="M315" s="1783"/>
    </row>
    <row r="316" spans="1:13" s="1517" customFormat="1" x14ac:dyDescent="0.25">
      <c r="A316" s="1923"/>
      <c r="B316" s="1923"/>
      <c r="C316" s="1531"/>
      <c r="D316" s="2142" t="s">
        <v>127</v>
      </c>
      <c r="E316" s="2142"/>
      <c r="F316" s="2142"/>
      <c r="G316" s="2142"/>
      <c r="H316" s="1532">
        <f>ROUND(H314*H315,2)</f>
        <v>43683.199999999997</v>
      </c>
      <c r="I316" s="1830"/>
      <c r="J316" s="1795"/>
      <c r="K316" s="1797"/>
      <c r="L316" s="169"/>
      <c r="M316" s="1783"/>
    </row>
    <row r="317" spans="1:13" s="1517" customFormat="1" x14ac:dyDescent="0.25">
      <c r="A317" s="1923"/>
      <c r="B317" s="1923"/>
      <c r="C317" s="1531"/>
      <c r="D317" s="2141" t="s">
        <v>15335</v>
      </c>
      <c r="E317" s="2141"/>
      <c r="F317" s="2141"/>
      <c r="G317" s="2141"/>
      <c r="H317" s="267">
        <f>ROUND(H314*$B$13,2)</f>
        <v>21.62</v>
      </c>
      <c r="I317" s="1830"/>
      <c r="J317" s="1795"/>
      <c r="K317" s="1797"/>
      <c r="L317" s="169"/>
      <c r="M317" s="1783"/>
    </row>
    <row r="318" spans="1:13" x14ac:dyDescent="0.25">
      <c r="A318" s="1923"/>
      <c r="B318" s="1923"/>
      <c r="C318" s="1531"/>
      <c r="D318" s="2142" t="s">
        <v>7898</v>
      </c>
      <c r="E318" s="2142"/>
      <c r="F318" s="2142"/>
      <c r="G318" s="2142"/>
      <c r="H318" s="1532">
        <f>H317+H314</f>
        <v>101.92</v>
      </c>
      <c r="K318" s="1797"/>
    </row>
    <row r="319" spans="1:13" x14ac:dyDescent="0.25">
      <c r="A319" s="2147" t="s">
        <v>15158</v>
      </c>
      <c r="B319" s="2147"/>
      <c r="C319" s="2147"/>
      <c r="D319" s="2147"/>
      <c r="E319" s="2147"/>
      <c r="F319" s="2147"/>
      <c r="G319" s="2147"/>
      <c r="H319" s="2147"/>
      <c r="K319" s="1797"/>
    </row>
    <row r="320" spans="1:13" x14ac:dyDescent="0.25">
      <c r="A320" s="1514"/>
      <c r="B320" s="1514"/>
      <c r="C320" s="1514"/>
      <c r="F320" s="1533"/>
      <c r="G320" s="1534"/>
      <c r="H320" s="1514"/>
    </row>
    <row r="321" spans="1:13" s="1517" customFormat="1" x14ac:dyDescent="0.25">
      <c r="A321" s="146" t="s">
        <v>6</v>
      </c>
      <c r="B321" s="2143" t="s">
        <v>7</v>
      </c>
      <c r="C321" s="2143"/>
      <c r="D321" s="1518" t="s">
        <v>121</v>
      </c>
      <c r="E321" s="278" t="s">
        <v>5282</v>
      </c>
      <c r="F321" s="1518" t="s">
        <v>31</v>
      </c>
      <c r="G321" s="1519" t="s">
        <v>122</v>
      </c>
      <c r="H321" s="1520" t="s">
        <v>123</v>
      </c>
      <c r="I321" s="1830" t="s">
        <v>14959</v>
      </c>
      <c r="J321" s="1795" t="s">
        <v>15162</v>
      </c>
      <c r="K321" s="1795" t="s">
        <v>8299</v>
      </c>
      <c r="L321" s="169"/>
      <c r="M321" s="1783"/>
    </row>
    <row r="322" spans="1:13" s="1526" customFormat="1" ht="45" x14ac:dyDescent="0.2">
      <c r="A322" s="1521" t="str">
        <f>'Orç - Reservatório'!A45</f>
        <v>03.01.425.01</v>
      </c>
      <c r="B322" s="1521" t="str">
        <f>'Orç - Reservatório'!B45</f>
        <v>SINAPI</v>
      </c>
      <c r="C322" s="1521" t="str">
        <f>'Orç - Reservatório'!C45</f>
        <v>100897 MOD 2</v>
      </c>
      <c r="D322" s="1522" t="s">
        <v>15159</v>
      </c>
      <c r="E322" s="1523">
        <f>'Orç - Reservatório'!E45</f>
        <v>90</v>
      </c>
      <c r="F322" s="1521" t="s">
        <v>5713</v>
      </c>
      <c r="G322" s="1524">
        <v>99.260000000000019</v>
      </c>
      <c r="H322" s="1525">
        <f>H335</f>
        <v>8933.4</v>
      </c>
      <c r="I322" s="1910" t="s">
        <v>15157</v>
      </c>
      <c r="J322" s="1793"/>
      <c r="K322" s="1793"/>
      <c r="L322" s="141"/>
      <c r="M322" s="1515"/>
    </row>
    <row r="323" spans="1:13" s="156" customFormat="1" ht="60" customHeight="1" x14ac:dyDescent="0.2">
      <c r="A323" s="2144">
        <v>38464</v>
      </c>
      <c r="B323" s="2144"/>
      <c r="C323" s="1516" t="s">
        <v>4448</v>
      </c>
      <c r="D323" s="182" t="s">
        <v>10952</v>
      </c>
      <c r="E323" s="1527">
        <v>0.18714999999999998</v>
      </c>
      <c r="F323" s="1687" t="s">
        <v>44</v>
      </c>
      <c r="G323" s="1529">
        <v>376.12</v>
      </c>
      <c r="H323" s="1530">
        <f t="shared" ref="H323:H330" si="36">ROUNDDOWN(G323*E323,2)</f>
        <v>70.39</v>
      </c>
      <c r="I323" s="2086">
        <v>0.1426</v>
      </c>
      <c r="J323" s="2086">
        <v>0.32079999999999997</v>
      </c>
      <c r="K323" s="1797">
        <f>(((J323-I323)/(60-40))*5)+I323</f>
        <v>0.18714999999999998</v>
      </c>
      <c r="L323" s="1784"/>
      <c r="M323" s="1785"/>
    </row>
    <row r="324" spans="1:13" s="156" customFormat="1" ht="75" customHeight="1" x14ac:dyDescent="0.2">
      <c r="A324" s="2144" t="s">
        <v>3542</v>
      </c>
      <c r="B324" s="2144"/>
      <c r="C324" s="1516" t="s">
        <v>4448</v>
      </c>
      <c r="D324" s="182" t="s">
        <v>3543</v>
      </c>
      <c r="E324" s="1527">
        <v>0.206175</v>
      </c>
      <c r="F324" s="1687" t="s">
        <v>1208</v>
      </c>
      <c r="G324" s="1529">
        <v>1.41</v>
      </c>
      <c r="H324" s="1530">
        <f t="shared" si="36"/>
        <v>0.28999999999999998</v>
      </c>
      <c r="I324" s="2086">
        <v>0.15709999999999999</v>
      </c>
      <c r="J324" s="2086">
        <v>0.35339999999999999</v>
      </c>
      <c r="K324" s="1797">
        <f t="shared" ref="K324:K330" si="37">(((J324-I324)/(60-40))*5)+I324</f>
        <v>0.206175</v>
      </c>
      <c r="L324" s="1784"/>
      <c r="M324" s="1785"/>
    </row>
    <row r="325" spans="1:13" s="156" customFormat="1" ht="30" customHeight="1" x14ac:dyDescent="0.2">
      <c r="A325" s="2144">
        <v>88316</v>
      </c>
      <c r="B325" s="2144"/>
      <c r="C325" s="1516" t="s">
        <v>4448</v>
      </c>
      <c r="D325" s="182" t="s">
        <v>64</v>
      </c>
      <c r="E325" s="1527">
        <v>0.29465000000000002</v>
      </c>
      <c r="F325" s="1687" t="s">
        <v>65</v>
      </c>
      <c r="G325" s="1529">
        <v>15.08</v>
      </c>
      <c r="H325" s="1530">
        <f t="shared" si="36"/>
        <v>4.4400000000000004</v>
      </c>
      <c r="I325" s="2086">
        <v>0.27950000000000003</v>
      </c>
      <c r="J325" s="2086">
        <v>0.34010000000000001</v>
      </c>
      <c r="K325" s="1797">
        <f t="shared" si="37"/>
        <v>0.29465000000000002</v>
      </c>
      <c r="L325" s="1784"/>
      <c r="M325" s="1785"/>
    </row>
    <row r="326" spans="1:13" s="156" customFormat="1" ht="105" customHeight="1" x14ac:dyDescent="0.2">
      <c r="A326" s="2144">
        <v>90680</v>
      </c>
      <c r="B326" s="2144"/>
      <c r="C326" s="1516" t="s">
        <v>4448</v>
      </c>
      <c r="D326" s="182" t="s">
        <v>397</v>
      </c>
      <c r="E326" s="1527">
        <v>3.5750000000000004E-2</v>
      </c>
      <c r="F326" s="1687" t="s">
        <v>97</v>
      </c>
      <c r="G326" s="1529">
        <v>215.1</v>
      </c>
      <c r="H326" s="1530">
        <f t="shared" si="36"/>
        <v>7.68</v>
      </c>
      <c r="I326" s="2086">
        <v>3.4200000000000001E-2</v>
      </c>
      <c r="J326" s="2086">
        <v>4.0399999999999998E-2</v>
      </c>
      <c r="K326" s="1797">
        <f t="shared" si="37"/>
        <v>3.5750000000000004E-2</v>
      </c>
      <c r="L326" s="1784"/>
      <c r="M326" s="1785"/>
    </row>
    <row r="327" spans="1:13" s="156" customFormat="1" ht="105" customHeight="1" x14ac:dyDescent="0.2">
      <c r="A327" s="2144">
        <v>90681</v>
      </c>
      <c r="B327" s="2144"/>
      <c r="C327" s="1516" t="s">
        <v>4448</v>
      </c>
      <c r="D327" s="182" t="s">
        <v>535</v>
      </c>
      <c r="E327" s="1527">
        <v>6.3975000000000004E-2</v>
      </c>
      <c r="F327" s="1687" t="s">
        <v>98</v>
      </c>
      <c r="G327" s="1529">
        <v>85.25</v>
      </c>
      <c r="H327" s="1530">
        <f t="shared" si="36"/>
        <v>5.45</v>
      </c>
      <c r="I327" s="2086">
        <v>6.1199999999999997E-2</v>
      </c>
      <c r="J327" s="2086">
        <v>7.2300000000000003E-2</v>
      </c>
      <c r="K327" s="1797">
        <f t="shared" si="37"/>
        <v>6.3975000000000004E-2</v>
      </c>
      <c r="L327" s="1784"/>
      <c r="M327" s="1785"/>
    </row>
    <row r="328" spans="1:13" s="1859" customFormat="1" ht="60" customHeight="1" x14ac:dyDescent="0.2">
      <c r="A328" s="2144">
        <v>90778</v>
      </c>
      <c r="B328" s="2144"/>
      <c r="C328" s="1863" t="s">
        <v>4448</v>
      </c>
      <c r="D328" s="1862" t="s">
        <v>4343</v>
      </c>
      <c r="E328" s="1864">
        <v>6.6750000000000004E-3</v>
      </c>
      <c r="F328" s="2082" t="s">
        <v>65</v>
      </c>
      <c r="G328" s="1860">
        <v>85.62</v>
      </c>
      <c r="H328" s="1857">
        <f t="shared" ref="H328" si="38">ROUNDDOWN(G328*E328,2)</f>
        <v>0.56999999999999995</v>
      </c>
      <c r="I328" s="2086">
        <v>6.4000000000000003E-3</v>
      </c>
      <c r="J328" s="2086">
        <v>7.4999999999999997E-3</v>
      </c>
      <c r="K328" s="1797">
        <f t="shared" si="37"/>
        <v>6.6750000000000004E-3</v>
      </c>
      <c r="L328" s="1784"/>
      <c r="M328" s="1785"/>
    </row>
    <row r="329" spans="1:13" s="156" customFormat="1" ht="60" customHeight="1" x14ac:dyDescent="0.2">
      <c r="A329" s="2144">
        <v>95579</v>
      </c>
      <c r="B329" s="2144"/>
      <c r="C329" s="1516" t="s">
        <v>4448</v>
      </c>
      <c r="D329" s="182" t="s">
        <v>1668</v>
      </c>
      <c r="E329" s="1527">
        <v>1.5870500000000001</v>
      </c>
      <c r="F329" s="1687" t="s">
        <v>305</v>
      </c>
      <c r="G329" s="1529">
        <v>6.53</v>
      </c>
      <c r="H329" s="1530">
        <f t="shared" si="36"/>
        <v>10.36</v>
      </c>
      <c r="I329" s="2086">
        <v>1.3913</v>
      </c>
      <c r="J329" s="2086">
        <v>2.1743000000000001</v>
      </c>
      <c r="K329" s="1797">
        <f t="shared" si="37"/>
        <v>1.5870500000000001</v>
      </c>
      <c r="L329" s="1784"/>
      <c r="M329" s="1785"/>
    </row>
    <row r="330" spans="1:13" s="156" customFormat="1" ht="45" customHeight="1" x14ac:dyDescent="0.2">
      <c r="A330" s="2144">
        <v>97913</v>
      </c>
      <c r="B330" s="2144"/>
      <c r="C330" s="1516" t="s">
        <v>4448</v>
      </c>
      <c r="D330" s="182" t="s">
        <v>5143</v>
      </c>
      <c r="E330" s="1527">
        <v>6.8750000000000006E-2</v>
      </c>
      <c r="F330" s="1687" t="s">
        <v>3531</v>
      </c>
      <c r="G330" s="1529">
        <v>1.25</v>
      </c>
      <c r="H330" s="1530">
        <f t="shared" si="36"/>
        <v>0.08</v>
      </c>
      <c r="I330" s="2086">
        <v>5.2400000000000002E-2</v>
      </c>
      <c r="J330" s="2086">
        <v>0.1178</v>
      </c>
      <c r="K330" s="1797">
        <f t="shared" si="37"/>
        <v>6.8750000000000006E-2</v>
      </c>
      <c r="L330" s="1784"/>
      <c r="M330" s="1785"/>
    </row>
    <row r="331" spans="1:13" s="1517" customFormat="1" x14ac:dyDescent="0.25">
      <c r="A331" s="2081"/>
      <c r="B331" s="2081"/>
      <c r="C331" s="1531"/>
      <c r="D331" s="2141" t="s">
        <v>124</v>
      </c>
      <c r="E331" s="2141"/>
      <c r="F331" s="2141"/>
      <c r="G331" s="2141"/>
      <c r="H331" s="267">
        <f>SUMIF(F323:F330,("h"),H323:H330)</f>
        <v>5.0100000000000007</v>
      </c>
      <c r="I331" s="1830"/>
      <c r="J331" s="1795"/>
      <c r="K331" s="1795"/>
      <c r="L331" s="169"/>
      <c r="M331" s="1783"/>
    </row>
    <row r="332" spans="1:13" s="1517" customFormat="1" x14ac:dyDescent="0.25">
      <c r="A332" s="179"/>
      <c r="B332" s="179"/>
      <c r="C332" s="1531"/>
      <c r="D332" s="2141" t="s">
        <v>125</v>
      </c>
      <c r="E332" s="2141"/>
      <c r="F332" s="2141"/>
      <c r="G332" s="2141"/>
      <c r="H332" s="267">
        <f>SUMIF(F323:F330,"&lt;&gt;h",H323:H330)</f>
        <v>94.250000000000014</v>
      </c>
      <c r="I332" s="1830"/>
      <c r="J332" s="1795"/>
      <c r="K332" s="1795"/>
      <c r="L332" s="169"/>
      <c r="M332" s="1783"/>
    </row>
    <row r="333" spans="1:13" s="1517" customFormat="1" x14ac:dyDescent="0.25">
      <c r="A333" s="179"/>
      <c r="B333" s="179"/>
      <c r="C333" s="1531"/>
      <c r="D333" s="2142" t="s">
        <v>126</v>
      </c>
      <c r="E333" s="2142"/>
      <c r="F333" s="2142"/>
      <c r="G333" s="2142"/>
      <c r="H333" s="1532">
        <f>SUM(H331:H332)</f>
        <v>99.260000000000019</v>
      </c>
      <c r="I333" s="1830"/>
      <c r="J333" s="1795"/>
      <c r="K333" s="1795"/>
      <c r="L333" s="169"/>
      <c r="M333" s="1783"/>
    </row>
    <row r="334" spans="1:13" s="1517" customFormat="1" x14ac:dyDescent="0.25">
      <c r="A334" s="179"/>
      <c r="B334" s="179"/>
      <c r="C334" s="1531"/>
      <c r="D334" s="2141" t="s">
        <v>28</v>
      </c>
      <c r="E334" s="2141"/>
      <c r="F334" s="2141"/>
      <c r="G334" s="2141"/>
      <c r="H334" s="269">
        <f>E322</f>
        <v>90</v>
      </c>
      <c r="I334" s="1830"/>
      <c r="J334" s="1795"/>
      <c r="K334" s="1795"/>
      <c r="L334" s="169"/>
      <c r="M334" s="1783"/>
    </row>
    <row r="335" spans="1:13" s="1517" customFormat="1" x14ac:dyDescent="0.25">
      <c r="A335" s="179"/>
      <c r="B335" s="179"/>
      <c r="C335" s="1531"/>
      <c r="D335" s="2142" t="s">
        <v>127</v>
      </c>
      <c r="E335" s="2142"/>
      <c r="F335" s="2142"/>
      <c r="G335" s="2142"/>
      <c r="H335" s="1532">
        <f>ROUND(H333*H334,2)</f>
        <v>8933.4</v>
      </c>
      <c r="I335" s="1830"/>
      <c r="J335" s="1795"/>
      <c r="K335" s="1795"/>
      <c r="L335" s="169"/>
      <c r="M335" s="1783"/>
    </row>
    <row r="336" spans="1:13" s="1517" customFormat="1" x14ac:dyDescent="0.25">
      <c r="A336" s="179"/>
      <c r="B336" s="179"/>
      <c r="C336" s="1531"/>
      <c r="D336" s="2141" t="s">
        <v>15335</v>
      </c>
      <c r="E336" s="2141"/>
      <c r="F336" s="2141"/>
      <c r="G336" s="2141"/>
      <c r="H336" s="267">
        <f>ROUND(H333*$B$13,2)</f>
        <v>26.73</v>
      </c>
      <c r="I336" s="1830"/>
      <c r="J336" s="1795"/>
      <c r="K336" s="1795"/>
      <c r="L336" s="169"/>
      <c r="M336" s="1783"/>
    </row>
    <row r="337" spans="1:13" x14ac:dyDescent="0.25">
      <c r="A337" s="179"/>
      <c r="B337" s="179"/>
      <c r="C337" s="1531"/>
      <c r="D337" s="2142" t="s">
        <v>7898</v>
      </c>
      <c r="E337" s="2142"/>
      <c r="F337" s="2142"/>
      <c r="G337" s="2142"/>
      <c r="H337" s="1532">
        <f>H336+H333</f>
        <v>125.99000000000002</v>
      </c>
    </row>
    <row r="338" spans="1:13" ht="31.5" customHeight="1" x14ac:dyDescent="0.25">
      <c r="A338" s="2147" t="s">
        <v>15163</v>
      </c>
      <c r="B338" s="2147"/>
      <c r="C338" s="2147"/>
      <c r="D338" s="2147"/>
      <c r="E338" s="2147"/>
      <c r="F338" s="2147"/>
      <c r="G338" s="2147"/>
      <c r="H338" s="2147"/>
      <c r="K338" s="1797"/>
    </row>
    <row r="339" spans="1:13" x14ac:dyDescent="0.25">
      <c r="A339" s="1514"/>
      <c r="B339" s="1514"/>
      <c r="C339" s="1514"/>
      <c r="F339" s="1533"/>
      <c r="G339" s="1534"/>
      <c r="H339" s="1514"/>
    </row>
    <row r="340" spans="1:13" s="1517" customFormat="1" x14ac:dyDescent="0.25">
      <c r="A340" s="146" t="s">
        <v>6</v>
      </c>
      <c r="B340" s="2143" t="s">
        <v>7</v>
      </c>
      <c r="C340" s="2143"/>
      <c r="D340" s="1518" t="s">
        <v>121</v>
      </c>
      <c r="E340" s="278" t="s">
        <v>5282</v>
      </c>
      <c r="F340" s="1518" t="s">
        <v>31</v>
      </c>
      <c r="G340" s="1519" t="s">
        <v>122</v>
      </c>
      <c r="H340" s="1520" t="s">
        <v>123</v>
      </c>
      <c r="I340" s="1830"/>
      <c r="J340" s="1795"/>
      <c r="K340" s="1795"/>
      <c r="L340" s="169"/>
      <c r="M340" s="1783"/>
    </row>
    <row r="341" spans="1:13" s="1526" customFormat="1" ht="60" x14ac:dyDescent="0.2">
      <c r="A341" s="1521" t="str">
        <f>'Orç - Prédio'!A69</f>
        <v>03.01.504</v>
      </c>
      <c r="B341" s="1521" t="str">
        <f>'Orç - Prédio'!B69</f>
        <v>SINAPI</v>
      </c>
      <c r="C341" s="1521" t="str">
        <f>'Orç - Prédio'!C69</f>
        <v>96557 MOD</v>
      </c>
      <c r="D341" s="1522" t="s">
        <v>7310</v>
      </c>
      <c r="E341" s="1523">
        <f>'Orç - Prédio'!E69</f>
        <v>60</v>
      </c>
      <c r="F341" s="1521" t="s">
        <v>5685</v>
      </c>
      <c r="G341" s="1524">
        <v>354.89</v>
      </c>
      <c r="H341" s="1525">
        <f>H351</f>
        <v>21293.4</v>
      </c>
      <c r="I341" s="1910" t="s">
        <v>15056</v>
      </c>
      <c r="J341" s="1793"/>
      <c r="K341" s="1793"/>
      <c r="L341" s="141"/>
      <c r="M341" s="1515"/>
    </row>
    <row r="342" spans="1:13" s="156" customFormat="1" ht="60" x14ac:dyDescent="0.2">
      <c r="A342" s="2144">
        <v>1524</v>
      </c>
      <c r="B342" s="2144"/>
      <c r="C342" s="1516" t="s">
        <v>4448</v>
      </c>
      <c r="D342" s="182" t="s">
        <v>10949</v>
      </c>
      <c r="E342" s="1527">
        <v>1.1499999999999999</v>
      </c>
      <c r="F342" s="1619" t="s">
        <v>44</v>
      </c>
      <c r="G342" s="1529">
        <v>295</v>
      </c>
      <c r="H342" s="1530">
        <f>ROUNDDOWN(G342*E342,2)</f>
        <v>339.25</v>
      </c>
      <c r="I342" s="1642"/>
      <c r="J342" s="1797"/>
      <c r="K342" s="1797"/>
      <c r="L342" s="1784"/>
      <c r="M342" s="1785"/>
    </row>
    <row r="343" spans="1:13" s="156" customFormat="1" ht="30" x14ac:dyDescent="0.2">
      <c r="A343" s="2144">
        <v>88309</v>
      </c>
      <c r="B343" s="2144"/>
      <c r="C343" s="1516" t="s">
        <v>4448</v>
      </c>
      <c r="D343" s="182" t="s">
        <v>87</v>
      </c>
      <c r="E343" s="1527">
        <v>0.36299999999999999</v>
      </c>
      <c r="F343" s="1619" t="s">
        <v>65</v>
      </c>
      <c r="G343" s="1529">
        <v>20.149999999999999</v>
      </c>
      <c r="H343" s="1530">
        <f>ROUNDDOWN(G343*E343,2)</f>
        <v>7.31</v>
      </c>
      <c r="I343" s="1642"/>
      <c r="J343" s="1797"/>
      <c r="K343" s="1797"/>
      <c r="L343" s="1784"/>
      <c r="M343" s="1785"/>
    </row>
    <row r="344" spans="1:13" s="156" customFormat="1" ht="30" x14ac:dyDescent="0.2">
      <c r="A344" s="2144">
        <v>88316</v>
      </c>
      <c r="B344" s="2144"/>
      <c r="C344" s="1516" t="s">
        <v>4448</v>
      </c>
      <c r="D344" s="182" t="s">
        <v>64</v>
      </c>
      <c r="E344" s="1527">
        <v>0.54400000000000004</v>
      </c>
      <c r="F344" s="1619" t="s">
        <v>65</v>
      </c>
      <c r="G344" s="1529">
        <v>15.08</v>
      </c>
      <c r="H344" s="1530">
        <f>ROUNDDOWN(G344*E344,2)</f>
        <v>8.1999999999999993</v>
      </c>
      <c r="I344" s="1642"/>
      <c r="J344" s="1797"/>
      <c r="K344" s="1797"/>
      <c r="L344" s="1784"/>
      <c r="M344" s="1785"/>
    </row>
    <row r="345" spans="1:13" s="156" customFormat="1" ht="45" x14ac:dyDescent="0.2">
      <c r="A345" s="2144">
        <v>90586</v>
      </c>
      <c r="B345" s="2144"/>
      <c r="C345" s="1516" t="s">
        <v>4448</v>
      </c>
      <c r="D345" s="182" t="s">
        <v>387</v>
      </c>
      <c r="E345" s="1527">
        <v>8.7999999999999995E-2</v>
      </c>
      <c r="F345" s="1619" t="s">
        <v>97</v>
      </c>
      <c r="G345" s="1529">
        <v>1.29</v>
      </c>
      <c r="H345" s="1530">
        <f>ROUNDDOWN(G345*E345,2)</f>
        <v>0.11</v>
      </c>
      <c r="I345" s="1642"/>
      <c r="J345" s="1797"/>
      <c r="K345" s="1797"/>
      <c r="L345" s="1784"/>
      <c r="M345" s="1785"/>
    </row>
    <row r="346" spans="1:13" s="156" customFormat="1" ht="45" x14ac:dyDescent="0.2">
      <c r="A346" s="2144">
        <v>90587</v>
      </c>
      <c r="B346" s="2144"/>
      <c r="C346" s="1516" t="s">
        <v>4448</v>
      </c>
      <c r="D346" s="182" t="s">
        <v>525</v>
      </c>
      <c r="E346" s="1527">
        <v>9.2999999999999999E-2</v>
      </c>
      <c r="F346" s="1619" t="s">
        <v>98</v>
      </c>
      <c r="G346" s="1529">
        <v>0.32</v>
      </c>
      <c r="H346" s="1530">
        <f>ROUNDDOWN(G346*E346,2)</f>
        <v>0.02</v>
      </c>
      <c r="I346" s="1642"/>
      <c r="J346" s="1797"/>
      <c r="K346" s="1797"/>
      <c r="L346" s="1784"/>
      <c r="M346" s="1785"/>
    </row>
    <row r="347" spans="1:13" s="1517" customFormat="1" x14ac:dyDescent="0.25">
      <c r="A347" s="179"/>
      <c r="B347" s="179"/>
      <c r="C347" s="1531"/>
      <c r="D347" s="2141" t="s">
        <v>124</v>
      </c>
      <c r="E347" s="2141"/>
      <c r="F347" s="2141"/>
      <c r="G347" s="2141"/>
      <c r="H347" s="267">
        <f>SUMIF(F342:F346,("h"),H342:H346)</f>
        <v>15.509999999999998</v>
      </c>
      <c r="I347" s="1830"/>
      <c r="J347" s="1795"/>
      <c r="K347" s="1795"/>
      <c r="L347" s="169"/>
      <c r="M347" s="1783"/>
    </row>
    <row r="348" spans="1:13" s="1517" customFormat="1" x14ac:dyDescent="0.25">
      <c r="A348" s="179"/>
      <c r="B348" s="179"/>
      <c r="C348" s="1531"/>
      <c r="D348" s="2141" t="s">
        <v>125</v>
      </c>
      <c r="E348" s="2141"/>
      <c r="F348" s="2141"/>
      <c r="G348" s="2141"/>
      <c r="H348" s="267">
        <f>SUMIF(F342:F346,"&lt;&gt;h",H342:H346)</f>
        <v>339.38</v>
      </c>
      <c r="I348" s="1830"/>
      <c r="J348" s="1795"/>
      <c r="K348" s="1795"/>
      <c r="L348" s="169"/>
      <c r="M348" s="1783"/>
    </row>
    <row r="349" spans="1:13" s="1517" customFormat="1" x14ac:dyDescent="0.25">
      <c r="A349" s="179"/>
      <c r="B349" s="179"/>
      <c r="C349" s="1531"/>
      <c r="D349" s="2142" t="s">
        <v>126</v>
      </c>
      <c r="E349" s="2142"/>
      <c r="F349" s="2142"/>
      <c r="G349" s="2142"/>
      <c r="H349" s="1532">
        <f>SUM(H347:H348)</f>
        <v>354.89</v>
      </c>
      <c r="I349" s="1830"/>
      <c r="J349" s="1795"/>
      <c r="K349" s="1795"/>
      <c r="L349" s="169"/>
      <c r="M349" s="1783"/>
    </row>
    <row r="350" spans="1:13" s="1517" customFormat="1" x14ac:dyDescent="0.25">
      <c r="A350" s="179"/>
      <c r="B350" s="179"/>
      <c r="C350" s="1531"/>
      <c r="D350" s="2141" t="s">
        <v>28</v>
      </c>
      <c r="E350" s="2141"/>
      <c r="F350" s="2141"/>
      <c r="G350" s="2141"/>
      <c r="H350" s="269">
        <f>E341</f>
        <v>60</v>
      </c>
      <c r="I350" s="1830"/>
      <c r="J350" s="1795"/>
      <c r="K350" s="1795"/>
      <c r="L350" s="169"/>
      <c r="M350" s="1783"/>
    </row>
    <row r="351" spans="1:13" s="1517" customFormat="1" x14ac:dyDescent="0.25">
      <c r="A351" s="179"/>
      <c r="B351" s="179"/>
      <c r="C351" s="1531"/>
      <c r="D351" s="2142" t="s">
        <v>127</v>
      </c>
      <c r="E351" s="2142"/>
      <c r="F351" s="2142"/>
      <c r="G351" s="2142"/>
      <c r="H351" s="1532">
        <f>ROUND(H349*H350,2)</f>
        <v>21293.4</v>
      </c>
      <c r="I351" s="1830"/>
      <c r="J351" s="1795"/>
      <c r="K351" s="1795"/>
      <c r="L351" s="169"/>
      <c r="M351" s="1783"/>
    </row>
    <row r="352" spans="1:13" s="1517" customFormat="1" x14ac:dyDescent="0.25">
      <c r="A352" s="179"/>
      <c r="B352" s="179"/>
      <c r="C352" s="1531"/>
      <c r="D352" s="2141" t="s">
        <v>15335</v>
      </c>
      <c r="E352" s="2141"/>
      <c r="F352" s="2141"/>
      <c r="G352" s="2141"/>
      <c r="H352" s="267">
        <f>ROUND(H349*$B$13,2)</f>
        <v>95.57</v>
      </c>
      <c r="I352" s="1830"/>
      <c r="J352" s="1795"/>
      <c r="K352" s="1795"/>
      <c r="L352" s="169"/>
      <c r="M352" s="1783"/>
    </row>
    <row r="353" spans="1:13" x14ac:dyDescent="0.25">
      <c r="A353" s="179"/>
      <c r="B353" s="179"/>
      <c r="C353" s="1531"/>
      <c r="D353" s="2142" t="s">
        <v>7898</v>
      </c>
      <c r="E353" s="2142"/>
      <c r="F353" s="2142"/>
      <c r="G353" s="2142"/>
      <c r="H353" s="1532">
        <f>H352+H349</f>
        <v>450.46</v>
      </c>
    </row>
    <row r="354" spans="1:13" x14ac:dyDescent="0.25">
      <c r="A354" s="1514"/>
      <c r="B354" s="1514"/>
      <c r="C354" s="1514"/>
      <c r="F354" s="1533"/>
      <c r="G354" s="1534"/>
      <c r="H354" s="1514"/>
    </row>
    <row r="355" spans="1:13" s="1517" customFormat="1" x14ac:dyDescent="0.25">
      <c r="A355" s="146" t="s">
        <v>6</v>
      </c>
      <c r="B355" s="2143" t="s">
        <v>7</v>
      </c>
      <c r="C355" s="2143"/>
      <c r="D355" s="1518" t="s">
        <v>121</v>
      </c>
      <c r="E355" s="278" t="s">
        <v>5282</v>
      </c>
      <c r="F355" s="1518" t="s">
        <v>31</v>
      </c>
      <c r="G355" s="1519" t="s">
        <v>122</v>
      </c>
      <c r="H355" s="1520" t="s">
        <v>123</v>
      </c>
      <c r="I355" s="1830"/>
      <c r="J355" s="1795"/>
      <c r="K355" s="1795"/>
      <c r="L355" s="169"/>
      <c r="M355" s="1783"/>
    </row>
    <row r="356" spans="1:13" s="1526" customFormat="1" ht="30" x14ac:dyDescent="0.2">
      <c r="A356" s="1700" t="str">
        <f>'Orç - Prédio'!A72</f>
        <v>03.01.552.01</v>
      </c>
      <c r="B356" s="1700" t="str">
        <f>'Orç - Prédio'!B72</f>
        <v>SINAPI</v>
      </c>
      <c r="C356" s="1700" t="str">
        <f>'Orç - Prédio'!C72</f>
        <v>96543 MOD</v>
      </c>
      <c r="D356" s="1522" t="s">
        <v>7826</v>
      </c>
      <c r="E356" s="1523">
        <f>'Orç - Prédio'!E72</f>
        <v>54.690909090909081</v>
      </c>
      <c r="F356" s="1700" t="s">
        <v>5688</v>
      </c>
      <c r="G356" s="1524">
        <v>13.059999999999999</v>
      </c>
      <c r="H356" s="1525">
        <f>H366</f>
        <v>714.26</v>
      </c>
      <c r="I356" s="1910" t="s">
        <v>15056</v>
      </c>
      <c r="J356" s="1793"/>
      <c r="K356" s="1793"/>
      <c r="L356" s="141"/>
      <c r="M356" s="1515"/>
    </row>
    <row r="357" spans="1:13" s="1859" customFormat="1" ht="30" x14ac:dyDescent="0.2">
      <c r="A357" s="2144">
        <v>43132</v>
      </c>
      <c r="B357" s="2144"/>
      <c r="C357" s="1863" t="s">
        <v>4448</v>
      </c>
      <c r="D357" s="1862" t="s">
        <v>9984</v>
      </c>
      <c r="E357" s="1864">
        <v>2.5000000000000001E-2</v>
      </c>
      <c r="F357" s="1927" t="s">
        <v>48</v>
      </c>
      <c r="G357" s="1860">
        <v>12.65</v>
      </c>
      <c r="H357" s="1857">
        <f>ROUNDDOWN(G357*E357,2)</f>
        <v>0.31</v>
      </c>
      <c r="I357" s="1856"/>
      <c r="J357" s="1797"/>
      <c r="K357" s="1797"/>
      <c r="L357" s="1784"/>
      <c r="M357" s="1785"/>
    </row>
    <row r="358" spans="1:13" s="156" customFormat="1" ht="60" x14ac:dyDescent="0.2">
      <c r="A358" s="2144">
        <v>39017</v>
      </c>
      <c r="B358" s="2144"/>
      <c r="C358" s="1516" t="s">
        <v>4448</v>
      </c>
      <c r="D358" s="182" t="s">
        <v>11744</v>
      </c>
      <c r="E358" s="1527">
        <v>1.9664999999999999</v>
      </c>
      <c r="F358" s="1699" t="s">
        <v>39</v>
      </c>
      <c r="G358" s="1529">
        <v>0.13</v>
      </c>
      <c r="H358" s="1530">
        <f>ROUNDDOWN(G358*E358,2)</f>
        <v>0.25</v>
      </c>
      <c r="I358" s="1642"/>
      <c r="J358" s="1797"/>
      <c r="K358" s="1797"/>
      <c r="L358" s="1784"/>
      <c r="M358" s="1785"/>
    </row>
    <row r="359" spans="1:13" s="156" customFormat="1" ht="30" x14ac:dyDescent="0.2">
      <c r="A359" s="2144">
        <v>88238</v>
      </c>
      <c r="B359" s="2144"/>
      <c r="C359" s="1516" t="s">
        <v>4448</v>
      </c>
      <c r="D359" s="182" t="s">
        <v>4277</v>
      </c>
      <c r="E359" s="1527">
        <v>6.3500000000000001E-2</v>
      </c>
      <c r="F359" s="1699" t="s">
        <v>65</v>
      </c>
      <c r="G359" s="1529">
        <v>15.72</v>
      </c>
      <c r="H359" s="1530">
        <f>ROUNDDOWN(G359*E359,2)</f>
        <v>0.99</v>
      </c>
      <c r="I359" s="1642"/>
      <c r="J359" s="1797"/>
      <c r="K359" s="1797"/>
      <c r="L359" s="1784"/>
      <c r="M359" s="1785"/>
    </row>
    <row r="360" spans="1:13" s="156" customFormat="1" ht="30" x14ac:dyDescent="0.2">
      <c r="A360" s="2144">
        <v>88245</v>
      </c>
      <c r="B360" s="2144"/>
      <c r="C360" s="1516" t="s">
        <v>4448</v>
      </c>
      <c r="D360" s="182" t="s">
        <v>67</v>
      </c>
      <c r="E360" s="1527">
        <v>0.19450000000000001</v>
      </c>
      <c r="F360" s="1699" t="s">
        <v>65</v>
      </c>
      <c r="G360" s="1529">
        <v>20.059999999999999</v>
      </c>
      <c r="H360" s="1530">
        <f>ROUNDDOWN(G360*E360,2)</f>
        <v>3.9</v>
      </c>
      <c r="I360" s="1642"/>
      <c r="J360" s="1797"/>
      <c r="K360" s="1797"/>
      <c r="L360" s="1784"/>
      <c r="M360" s="1785"/>
    </row>
    <row r="361" spans="1:13" s="156" customFormat="1" ht="30" x14ac:dyDescent="0.2">
      <c r="A361" s="2144">
        <v>92799</v>
      </c>
      <c r="B361" s="2144"/>
      <c r="C361" s="1516" t="s">
        <v>4448</v>
      </c>
      <c r="D361" s="182" t="s">
        <v>1635</v>
      </c>
      <c r="E361" s="1527">
        <v>1</v>
      </c>
      <c r="F361" s="1699" t="s">
        <v>305</v>
      </c>
      <c r="G361" s="1529">
        <v>7.61</v>
      </c>
      <c r="H361" s="1530">
        <f>ROUNDDOWN(G361*E361,2)</f>
        <v>7.61</v>
      </c>
      <c r="I361" s="1642"/>
      <c r="J361" s="1797"/>
      <c r="K361" s="1797"/>
      <c r="L361" s="1784"/>
      <c r="M361" s="1785"/>
    </row>
    <row r="362" spans="1:13" s="1517" customFormat="1" x14ac:dyDescent="0.25">
      <c r="A362" s="179"/>
      <c r="B362" s="179"/>
      <c r="C362" s="1531"/>
      <c r="D362" s="2141" t="s">
        <v>124</v>
      </c>
      <c r="E362" s="2141"/>
      <c r="F362" s="2141"/>
      <c r="G362" s="2141"/>
      <c r="H362" s="267">
        <f>SUMIF(F357:F361,("h"),H357:H361)</f>
        <v>4.8899999999999997</v>
      </c>
      <c r="I362" s="1830"/>
      <c r="J362" s="1795"/>
      <c r="K362" s="1795"/>
      <c r="L362" s="169"/>
      <c r="M362" s="1783"/>
    </row>
    <row r="363" spans="1:13" s="1517" customFormat="1" x14ac:dyDescent="0.25">
      <c r="A363" s="179"/>
      <c r="B363" s="179"/>
      <c r="C363" s="1531"/>
      <c r="D363" s="2141" t="s">
        <v>125</v>
      </c>
      <c r="E363" s="2141"/>
      <c r="F363" s="2141"/>
      <c r="G363" s="2141"/>
      <c r="H363" s="267">
        <f>SUMIF(F357:F361,"&lt;&gt;h",H357:H361)</f>
        <v>8.17</v>
      </c>
      <c r="I363" s="1830"/>
      <c r="J363" s="1795"/>
      <c r="K363" s="1795"/>
      <c r="L363" s="169"/>
      <c r="M363" s="1783"/>
    </row>
    <row r="364" spans="1:13" s="1517" customFormat="1" x14ac:dyDescent="0.25">
      <c r="A364" s="179"/>
      <c r="B364" s="179"/>
      <c r="C364" s="1531"/>
      <c r="D364" s="2142" t="s">
        <v>126</v>
      </c>
      <c r="E364" s="2142"/>
      <c r="F364" s="2142"/>
      <c r="G364" s="2142"/>
      <c r="H364" s="1532">
        <f>SUM(H362:H363)</f>
        <v>13.059999999999999</v>
      </c>
      <c r="I364" s="1830"/>
      <c r="J364" s="1795"/>
      <c r="K364" s="1795"/>
      <c r="L364" s="169"/>
      <c r="M364" s="1783"/>
    </row>
    <row r="365" spans="1:13" s="1517" customFormat="1" x14ac:dyDescent="0.25">
      <c r="A365" s="179"/>
      <c r="B365" s="179"/>
      <c r="C365" s="1531"/>
      <c r="D365" s="2141" t="s">
        <v>28</v>
      </c>
      <c r="E365" s="2141"/>
      <c r="F365" s="2141"/>
      <c r="G365" s="2141"/>
      <c r="H365" s="269">
        <f>E356</f>
        <v>54.690909090909081</v>
      </c>
      <c r="I365" s="1830"/>
      <c r="J365" s="1795"/>
      <c r="K365" s="1795"/>
      <c r="L365" s="169"/>
      <c r="M365" s="1783"/>
    </row>
    <row r="366" spans="1:13" s="1517" customFormat="1" x14ac:dyDescent="0.25">
      <c r="A366" s="179"/>
      <c r="B366" s="179"/>
      <c r="C366" s="1531"/>
      <c r="D366" s="2142" t="s">
        <v>127</v>
      </c>
      <c r="E366" s="2142"/>
      <c r="F366" s="2142"/>
      <c r="G366" s="2142"/>
      <c r="H366" s="1532">
        <f>ROUND(H364*H365,2)</f>
        <v>714.26</v>
      </c>
      <c r="I366" s="1830"/>
      <c r="J366" s="1795"/>
      <c r="K366" s="1795"/>
      <c r="L366" s="169"/>
      <c r="M366" s="1783"/>
    </row>
    <row r="367" spans="1:13" s="1517" customFormat="1" x14ac:dyDescent="0.25">
      <c r="A367" s="179"/>
      <c r="B367" s="179"/>
      <c r="C367" s="1531"/>
      <c r="D367" s="2141" t="s">
        <v>15335</v>
      </c>
      <c r="E367" s="2141"/>
      <c r="F367" s="2141"/>
      <c r="G367" s="2141"/>
      <c r="H367" s="267">
        <f>ROUND(H364*$B$13,2)</f>
        <v>3.52</v>
      </c>
      <c r="I367" s="1830"/>
      <c r="J367" s="1795"/>
      <c r="K367" s="1795"/>
      <c r="L367" s="169"/>
      <c r="M367" s="1783"/>
    </row>
    <row r="368" spans="1:13" x14ac:dyDescent="0.25">
      <c r="A368" s="179"/>
      <c r="B368" s="179"/>
      <c r="C368" s="1531"/>
      <c r="D368" s="2142" t="s">
        <v>7898</v>
      </c>
      <c r="E368" s="2142"/>
      <c r="F368" s="2142"/>
      <c r="G368" s="2142"/>
      <c r="H368" s="1532">
        <f>H367+H364</f>
        <v>16.579999999999998</v>
      </c>
    </row>
    <row r="369" spans="1:13" x14ac:dyDescent="0.25">
      <c r="A369" s="1514"/>
      <c r="B369" s="1514"/>
      <c r="C369" s="1514"/>
      <c r="F369" s="1533"/>
      <c r="G369" s="1534"/>
      <c r="H369" s="1514"/>
    </row>
    <row r="370" spans="1:13" s="1517" customFormat="1" x14ac:dyDescent="0.25">
      <c r="A370" s="146" t="s">
        <v>6</v>
      </c>
      <c r="B370" s="2143" t="s">
        <v>7</v>
      </c>
      <c r="C370" s="2143"/>
      <c r="D370" s="1518" t="s">
        <v>121</v>
      </c>
      <c r="E370" s="278" t="s">
        <v>5282</v>
      </c>
      <c r="F370" s="1518" t="s">
        <v>31</v>
      </c>
      <c r="G370" s="1519" t="s">
        <v>122</v>
      </c>
      <c r="H370" s="1520" t="s">
        <v>123</v>
      </c>
      <c r="I370" s="1830"/>
      <c r="J370" s="1795"/>
      <c r="K370" s="1795"/>
      <c r="L370" s="169"/>
      <c r="M370" s="1783"/>
    </row>
    <row r="371" spans="1:13" s="1526" customFormat="1" ht="60" x14ac:dyDescent="0.2">
      <c r="A371" s="1521" t="s">
        <v>7557</v>
      </c>
      <c r="B371" s="1521" t="str">
        <f>'Orç - Reservatório'!B60</f>
        <v>SINAPI</v>
      </c>
      <c r="C371" s="1521" t="str">
        <f>'Orç - Reservatório'!C60</f>
        <v>92719 MOD</v>
      </c>
      <c r="D371" s="1522" t="s">
        <v>7416</v>
      </c>
      <c r="E371" s="1523">
        <f>'Orç - Reservatório'!E60</f>
        <v>0.63</v>
      </c>
      <c r="F371" s="1521" t="s">
        <v>5685</v>
      </c>
      <c r="G371" s="1524">
        <v>380.87</v>
      </c>
      <c r="H371" s="1525">
        <f>H382</f>
        <v>239.95</v>
      </c>
      <c r="I371" s="1910" t="s">
        <v>15056</v>
      </c>
      <c r="J371" s="1793"/>
      <c r="K371" s="1793"/>
      <c r="L371" s="141"/>
      <c r="M371" s="1515"/>
    </row>
    <row r="372" spans="1:13" s="156" customFormat="1" ht="60" x14ac:dyDescent="0.2">
      <c r="A372" s="2144">
        <v>1525</v>
      </c>
      <c r="B372" s="2144"/>
      <c r="C372" s="1516" t="s">
        <v>4448</v>
      </c>
      <c r="D372" s="182" t="s">
        <v>10958</v>
      </c>
      <c r="E372" s="1527">
        <v>1.103</v>
      </c>
      <c r="F372" s="1626" t="s">
        <v>44</v>
      </c>
      <c r="G372" s="1529">
        <v>317.77</v>
      </c>
      <c r="H372" s="1530">
        <f t="shared" ref="H372:H377" si="39">ROUNDDOWN(G372*E372,2)</f>
        <v>350.5</v>
      </c>
      <c r="I372" s="1642"/>
      <c r="J372" s="1797"/>
      <c r="K372" s="1797"/>
      <c r="L372" s="1784"/>
      <c r="M372" s="1785"/>
    </row>
    <row r="373" spans="1:13" s="156" customFormat="1" ht="30" x14ac:dyDescent="0.2">
      <c r="A373" s="2144">
        <v>88262</v>
      </c>
      <c r="B373" s="2144"/>
      <c r="C373" s="1516" t="s">
        <v>4448</v>
      </c>
      <c r="D373" s="182" t="s">
        <v>80</v>
      </c>
      <c r="E373" s="1527">
        <v>0.35299999999999998</v>
      </c>
      <c r="F373" s="1626" t="s">
        <v>65</v>
      </c>
      <c r="G373" s="1529">
        <v>20.02</v>
      </c>
      <c r="H373" s="1530">
        <f t="shared" si="39"/>
        <v>7.06</v>
      </c>
      <c r="I373" s="1642"/>
      <c r="J373" s="1797"/>
      <c r="K373" s="1797"/>
      <c r="L373" s="1784"/>
      <c r="M373" s="1785"/>
    </row>
    <row r="374" spans="1:13" s="156" customFormat="1" ht="30" x14ac:dyDescent="0.2">
      <c r="A374" s="2144">
        <v>88309</v>
      </c>
      <c r="B374" s="2144"/>
      <c r="C374" s="1516" t="s">
        <v>4448</v>
      </c>
      <c r="D374" s="182" t="s">
        <v>87</v>
      </c>
      <c r="E374" s="1527">
        <v>0.35299999999999998</v>
      </c>
      <c r="F374" s="1626" t="s">
        <v>65</v>
      </c>
      <c r="G374" s="1529">
        <v>20.149999999999999</v>
      </c>
      <c r="H374" s="1530">
        <f t="shared" si="39"/>
        <v>7.11</v>
      </c>
      <c r="I374" s="1642"/>
      <c r="J374" s="1797"/>
      <c r="K374" s="1797"/>
      <c r="L374" s="1784"/>
      <c r="M374" s="1785"/>
    </row>
    <row r="375" spans="1:13" s="156" customFormat="1" ht="30" x14ac:dyDescent="0.2">
      <c r="A375" s="2144">
        <v>88316</v>
      </c>
      <c r="B375" s="2144"/>
      <c r="C375" s="1516" t="s">
        <v>4448</v>
      </c>
      <c r="D375" s="182" t="s">
        <v>64</v>
      </c>
      <c r="E375" s="1527">
        <v>1.0589999999999999</v>
      </c>
      <c r="F375" s="1626" t="s">
        <v>65</v>
      </c>
      <c r="G375" s="1529">
        <v>15.08</v>
      </c>
      <c r="H375" s="1530">
        <f t="shared" si="39"/>
        <v>15.96</v>
      </c>
      <c r="I375" s="1642"/>
      <c r="J375" s="1797"/>
      <c r="K375" s="1797"/>
      <c r="L375" s="1784"/>
      <c r="M375" s="1785"/>
    </row>
    <row r="376" spans="1:13" s="156" customFormat="1" ht="45" x14ac:dyDescent="0.2">
      <c r="A376" s="2144">
        <v>90586</v>
      </c>
      <c r="B376" s="2144"/>
      <c r="C376" s="1516" t="s">
        <v>4448</v>
      </c>
      <c r="D376" s="182" t="s">
        <v>387</v>
      </c>
      <c r="E376" s="1527">
        <v>0.14299999999999999</v>
      </c>
      <c r="F376" s="1626" t="s">
        <v>97</v>
      </c>
      <c r="G376" s="1529">
        <v>1.29</v>
      </c>
      <c r="H376" s="1530">
        <f t="shared" si="39"/>
        <v>0.18</v>
      </c>
      <c r="I376" s="1642"/>
      <c r="J376" s="1797"/>
      <c r="K376" s="1797"/>
      <c r="L376" s="1784"/>
      <c r="M376" s="1785"/>
    </row>
    <row r="377" spans="1:13" s="156" customFormat="1" ht="45" x14ac:dyDescent="0.2">
      <c r="A377" s="2144">
        <v>90587</v>
      </c>
      <c r="B377" s="2144"/>
      <c r="C377" s="1516" t="s">
        <v>4448</v>
      </c>
      <c r="D377" s="182" t="s">
        <v>525</v>
      </c>
      <c r="E377" s="1527">
        <v>0.21</v>
      </c>
      <c r="F377" s="1626" t="s">
        <v>98</v>
      </c>
      <c r="G377" s="1529">
        <v>0.32</v>
      </c>
      <c r="H377" s="1530">
        <f t="shared" si="39"/>
        <v>0.06</v>
      </c>
      <c r="I377" s="1642"/>
      <c r="J377" s="1797"/>
      <c r="K377" s="1797"/>
      <c r="L377" s="1784"/>
      <c r="M377" s="1785"/>
    </row>
    <row r="378" spans="1:13" s="1517" customFormat="1" x14ac:dyDescent="0.25">
      <c r="A378" s="179"/>
      <c r="B378" s="179"/>
      <c r="C378" s="1531"/>
      <c r="D378" s="2141" t="s">
        <v>124</v>
      </c>
      <c r="E378" s="2141"/>
      <c r="F378" s="2141"/>
      <c r="G378" s="2141"/>
      <c r="H378" s="267">
        <f>SUMIF(F372:F377,("h"),H372:H377)</f>
        <v>30.130000000000003</v>
      </c>
      <c r="I378" s="1830"/>
      <c r="J378" s="1795"/>
      <c r="K378" s="1795"/>
      <c r="L378" s="169"/>
      <c r="M378" s="1783"/>
    </row>
    <row r="379" spans="1:13" s="1517" customFormat="1" x14ac:dyDescent="0.25">
      <c r="A379" s="179"/>
      <c r="B379" s="179"/>
      <c r="C379" s="1531"/>
      <c r="D379" s="2141" t="s">
        <v>125</v>
      </c>
      <c r="E379" s="2141"/>
      <c r="F379" s="2141"/>
      <c r="G379" s="2141"/>
      <c r="H379" s="267">
        <f>SUMIF(F372:F377,"&lt;&gt;h",H372:H377)</f>
        <v>350.74</v>
      </c>
      <c r="I379" s="1830"/>
      <c r="J379" s="1795"/>
      <c r="K379" s="1795"/>
      <c r="L379" s="169"/>
      <c r="M379" s="1783"/>
    </row>
    <row r="380" spans="1:13" s="1517" customFormat="1" x14ac:dyDescent="0.25">
      <c r="A380" s="179"/>
      <c r="B380" s="179"/>
      <c r="C380" s="1531"/>
      <c r="D380" s="2142" t="s">
        <v>126</v>
      </c>
      <c r="E380" s="2142"/>
      <c r="F380" s="2142"/>
      <c r="G380" s="2142"/>
      <c r="H380" s="1532">
        <f>SUM(H378:H379)</f>
        <v>380.87</v>
      </c>
      <c r="I380" s="1830"/>
      <c r="J380" s="1795"/>
      <c r="K380" s="1795"/>
      <c r="L380" s="169"/>
      <c r="M380" s="1783"/>
    </row>
    <row r="381" spans="1:13" s="1517" customFormat="1" x14ac:dyDescent="0.25">
      <c r="A381" s="179"/>
      <c r="B381" s="179"/>
      <c r="C381" s="1531"/>
      <c r="D381" s="2141" t="s">
        <v>28</v>
      </c>
      <c r="E381" s="2141"/>
      <c r="F381" s="2141"/>
      <c r="G381" s="2141"/>
      <c r="H381" s="269">
        <f>E371</f>
        <v>0.63</v>
      </c>
      <c r="I381" s="1830"/>
      <c r="J381" s="1795"/>
      <c r="K381" s="1795"/>
      <c r="L381" s="169"/>
      <c r="M381" s="1783"/>
    </row>
    <row r="382" spans="1:13" s="1517" customFormat="1" x14ac:dyDescent="0.25">
      <c r="A382" s="179"/>
      <c r="B382" s="179"/>
      <c r="C382" s="1531"/>
      <c r="D382" s="2142" t="s">
        <v>127</v>
      </c>
      <c r="E382" s="2142"/>
      <c r="F382" s="2142"/>
      <c r="G382" s="2142"/>
      <c r="H382" s="1532">
        <f>ROUND(H380*H381,2)</f>
        <v>239.95</v>
      </c>
      <c r="I382" s="1830"/>
      <c r="J382" s="1795"/>
      <c r="K382" s="1795"/>
      <c r="L382" s="169"/>
      <c r="M382" s="1783"/>
    </row>
    <row r="383" spans="1:13" s="1517" customFormat="1" x14ac:dyDescent="0.25">
      <c r="A383" s="179"/>
      <c r="B383" s="179"/>
      <c r="C383" s="1531"/>
      <c r="D383" s="2141" t="s">
        <v>15335</v>
      </c>
      <c r="E383" s="2141"/>
      <c r="F383" s="2141"/>
      <c r="G383" s="2141"/>
      <c r="H383" s="267">
        <f>ROUND(H380*$B$13,2)</f>
        <v>102.57</v>
      </c>
      <c r="I383" s="1830"/>
      <c r="J383" s="1795"/>
      <c r="K383" s="1795"/>
      <c r="L383" s="169"/>
      <c r="M383" s="1783"/>
    </row>
    <row r="384" spans="1:13" x14ac:dyDescent="0.25">
      <c r="A384" s="179"/>
      <c r="B384" s="179"/>
      <c r="C384" s="1531"/>
      <c r="D384" s="2142" t="s">
        <v>7898</v>
      </c>
      <c r="E384" s="2142"/>
      <c r="F384" s="2142"/>
      <c r="G384" s="2142"/>
      <c r="H384" s="1532">
        <f>H383+H380</f>
        <v>483.44</v>
      </c>
    </row>
    <row r="385" spans="1:13" x14ac:dyDescent="0.25">
      <c r="A385" s="1514"/>
      <c r="B385" s="1514"/>
      <c r="C385" s="1514"/>
      <c r="F385" s="1533"/>
      <c r="G385" s="1534"/>
      <c r="H385" s="1514"/>
    </row>
    <row r="386" spans="1:13" s="1517" customFormat="1" x14ac:dyDescent="0.25">
      <c r="A386" s="146" t="s">
        <v>6</v>
      </c>
      <c r="B386" s="2143" t="s">
        <v>7</v>
      </c>
      <c r="C386" s="2143"/>
      <c r="D386" s="1518" t="s">
        <v>121</v>
      </c>
      <c r="E386" s="278" t="s">
        <v>5282</v>
      </c>
      <c r="F386" s="1518" t="s">
        <v>31</v>
      </c>
      <c r="G386" s="1519" t="s">
        <v>122</v>
      </c>
      <c r="H386" s="1520" t="s">
        <v>123</v>
      </c>
      <c r="I386" s="1830"/>
      <c r="J386" s="1795"/>
      <c r="K386" s="1795"/>
      <c r="L386" s="169"/>
      <c r="M386" s="1783"/>
    </row>
    <row r="387" spans="1:13" s="1526" customFormat="1" ht="60" x14ac:dyDescent="0.2">
      <c r="A387" s="1521" t="s">
        <v>7558</v>
      </c>
      <c r="B387" s="1521" t="str">
        <f>'Orç - Reservatório'!B76</f>
        <v>SINAPI</v>
      </c>
      <c r="C387" s="1521" t="str">
        <f>'Orç - Reservatório'!C76</f>
        <v>92725 MOD</v>
      </c>
      <c r="D387" s="1522" t="s">
        <v>7432</v>
      </c>
      <c r="E387" s="1523">
        <f>'Orç - Reservatório'!E76</f>
        <v>2.2400000000000002</v>
      </c>
      <c r="F387" s="1521" t="s">
        <v>5685</v>
      </c>
      <c r="G387" s="1524">
        <v>373.49</v>
      </c>
      <c r="H387" s="1525">
        <f>H398</f>
        <v>836.62</v>
      </c>
      <c r="I387" s="1910" t="s">
        <v>15056</v>
      </c>
      <c r="J387" s="1793"/>
      <c r="K387" s="1793"/>
      <c r="L387" s="141"/>
      <c r="M387" s="1515"/>
    </row>
    <row r="388" spans="1:13" s="156" customFormat="1" ht="60" x14ac:dyDescent="0.2">
      <c r="A388" s="2144">
        <v>1525</v>
      </c>
      <c r="B388" s="2144"/>
      <c r="C388" s="1516" t="s">
        <v>4448</v>
      </c>
      <c r="D388" s="182" t="s">
        <v>10958</v>
      </c>
      <c r="E388" s="1527">
        <v>1.103</v>
      </c>
      <c r="F388" s="1626" t="s">
        <v>44</v>
      </c>
      <c r="G388" s="1529">
        <v>317.77</v>
      </c>
      <c r="H388" s="1530">
        <f t="shared" ref="H388:H393" si="40">ROUNDDOWN(G388*E388,2)</f>
        <v>350.5</v>
      </c>
      <c r="I388" s="1642"/>
      <c r="J388" s="1797"/>
      <c r="K388" s="1797"/>
      <c r="L388" s="1784"/>
      <c r="M388" s="1785"/>
    </row>
    <row r="389" spans="1:13" s="156" customFormat="1" ht="30" x14ac:dyDescent="0.2">
      <c r="A389" s="2144">
        <v>88262</v>
      </c>
      <c r="B389" s="2144"/>
      <c r="C389" s="1516" t="s">
        <v>4448</v>
      </c>
      <c r="D389" s="182" t="s">
        <v>80</v>
      </c>
      <c r="E389" s="1527">
        <v>9.4E-2</v>
      </c>
      <c r="F389" s="1626" t="s">
        <v>65</v>
      </c>
      <c r="G389" s="1529">
        <v>20.02</v>
      </c>
      <c r="H389" s="1530">
        <f t="shared" si="40"/>
        <v>1.88</v>
      </c>
      <c r="I389" s="1642"/>
      <c r="J389" s="1797"/>
      <c r="K389" s="1797"/>
      <c r="L389" s="1784"/>
      <c r="M389" s="1785"/>
    </row>
    <row r="390" spans="1:13" s="156" customFormat="1" ht="30" x14ac:dyDescent="0.2">
      <c r="A390" s="2144">
        <v>88309</v>
      </c>
      <c r="B390" s="2144"/>
      <c r="C390" s="1516" t="s">
        <v>4448</v>
      </c>
      <c r="D390" s="182" t="s">
        <v>87</v>
      </c>
      <c r="E390" s="1527">
        <v>0.56499999999999995</v>
      </c>
      <c r="F390" s="1626" t="s">
        <v>65</v>
      </c>
      <c r="G390" s="1529">
        <v>20.149999999999999</v>
      </c>
      <c r="H390" s="1530">
        <f t="shared" si="40"/>
        <v>11.38</v>
      </c>
      <c r="I390" s="1642"/>
      <c r="J390" s="1797"/>
      <c r="K390" s="1797"/>
      <c r="L390" s="1784"/>
      <c r="M390" s="1785"/>
    </row>
    <row r="391" spans="1:13" s="156" customFormat="1" ht="30" x14ac:dyDescent="0.2">
      <c r="A391" s="2144">
        <v>88316</v>
      </c>
      <c r="B391" s="2144"/>
      <c r="C391" s="1516" t="s">
        <v>4448</v>
      </c>
      <c r="D391" s="182" t="s">
        <v>64</v>
      </c>
      <c r="E391" s="1527">
        <v>0.63800000000000001</v>
      </c>
      <c r="F391" s="1626" t="s">
        <v>65</v>
      </c>
      <c r="G391" s="1529">
        <v>15.08</v>
      </c>
      <c r="H391" s="1530">
        <f t="shared" si="40"/>
        <v>9.6199999999999992</v>
      </c>
      <c r="I391" s="1642"/>
      <c r="J391" s="1797"/>
      <c r="K391" s="1797"/>
      <c r="L391" s="1784"/>
      <c r="M391" s="1785"/>
    </row>
    <row r="392" spans="1:13" s="156" customFormat="1" ht="45" x14ac:dyDescent="0.2">
      <c r="A392" s="2144">
        <v>90586</v>
      </c>
      <c r="B392" s="2144"/>
      <c r="C392" s="1516" t="s">
        <v>4448</v>
      </c>
      <c r="D392" s="182" t="s">
        <v>387</v>
      </c>
      <c r="E392" s="1527">
        <v>5.6000000000000001E-2</v>
      </c>
      <c r="F392" s="1626" t="s">
        <v>97</v>
      </c>
      <c r="G392" s="1529">
        <v>1.29</v>
      </c>
      <c r="H392" s="1530">
        <f t="shared" si="40"/>
        <v>7.0000000000000007E-2</v>
      </c>
      <c r="I392" s="1642"/>
      <c r="J392" s="1797"/>
      <c r="K392" s="1797"/>
      <c r="L392" s="1784"/>
      <c r="M392" s="1785"/>
    </row>
    <row r="393" spans="1:13" s="156" customFormat="1" ht="45" x14ac:dyDescent="0.2">
      <c r="A393" s="2144">
        <v>90587</v>
      </c>
      <c r="B393" s="2144"/>
      <c r="C393" s="1516" t="s">
        <v>4448</v>
      </c>
      <c r="D393" s="182" t="s">
        <v>525</v>
      </c>
      <c r="E393" s="1527">
        <v>0.13300000000000001</v>
      </c>
      <c r="F393" s="1626" t="s">
        <v>98</v>
      </c>
      <c r="G393" s="1529">
        <v>0.32</v>
      </c>
      <c r="H393" s="1530">
        <f t="shared" si="40"/>
        <v>0.04</v>
      </c>
      <c r="I393" s="1642"/>
      <c r="J393" s="1797"/>
      <c r="K393" s="1797"/>
      <c r="L393" s="1784"/>
      <c r="M393" s="1785"/>
    </row>
    <row r="394" spans="1:13" s="1517" customFormat="1" x14ac:dyDescent="0.25">
      <c r="A394" s="179"/>
      <c r="B394" s="179"/>
      <c r="C394" s="1531"/>
      <c r="D394" s="2141" t="s">
        <v>124</v>
      </c>
      <c r="E394" s="2141"/>
      <c r="F394" s="2141"/>
      <c r="G394" s="2141"/>
      <c r="H394" s="267">
        <f>SUMIF(F388:F393,("h"),H388:H393)</f>
        <v>22.880000000000003</v>
      </c>
      <c r="I394" s="1830"/>
      <c r="J394" s="1795"/>
      <c r="K394" s="1795"/>
      <c r="L394" s="169"/>
      <c r="M394" s="1783"/>
    </row>
    <row r="395" spans="1:13" s="1517" customFormat="1" x14ac:dyDescent="0.25">
      <c r="A395" s="179"/>
      <c r="B395" s="179"/>
      <c r="C395" s="1531"/>
      <c r="D395" s="2141" t="s">
        <v>125</v>
      </c>
      <c r="E395" s="2141"/>
      <c r="F395" s="2141"/>
      <c r="G395" s="2141"/>
      <c r="H395" s="267">
        <f>SUMIF(F388:F393,"&lt;&gt;h",H388:H393)</f>
        <v>350.61</v>
      </c>
      <c r="I395" s="1830"/>
      <c r="J395" s="1795"/>
      <c r="K395" s="1795"/>
      <c r="L395" s="169"/>
      <c r="M395" s="1783"/>
    </row>
    <row r="396" spans="1:13" s="1517" customFormat="1" x14ac:dyDescent="0.25">
      <c r="A396" s="179"/>
      <c r="B396" s="179"/>
      <c r="C396" s="1531"/>
      <c r="D396" s="2142" t="s">
        <v>126</v>
      </c>
      <c r="E396" s="2142"/>
      <c r="F396" s="2142"/>
      <c r="G396" s="2142"/>
      <c r="H396" s="1532">
        <f>SUM(H394:H395)</f>
        <v>373.49</v>
      </c>
      <c r="I396" s="1830"/>
      <c r="J396" s="1795"/>
      <c r="K396" s="1795"/>
      <c r="L396" s="169"/>
      <c r="M396" s="1783"/>
    </row>
    <row r="397" spans="1:13" s="1517" customFormat="1" x14ac:dyDescent="0.25">
      <c r="A397" s="179"/>
      <c r="B397" s="179"/>
      <c r="C397" s="1531"/>
      <c r="D397" s="2141" t="s">
        <v>28</v>
      </c>
      <c r="E397" s="2141"/>
      <c r="F397" s="2141"/>
      <c r="G397" s="2141"/>
      <c r="H397" s="269">
        <f>E387</f>
        <v>2.2400000000000002</v>
      </c>
      <c r="I397" s="1830"/>
      <c r="J397" s="1795"/>
      <c r="K397" s="1795"/>
      <c r="L397" s="169"/>
      <c r="M397" s="1783"/>
    </row>
    <row r="398" spans="1:13" s="1517" customFormat="1" x14ac:dyDescent="0.25">
      <c r="A398" s="179"/>
      <c r="B398" s="179"/>
      <c r="C398" s="1531"/>
      <c r="D398" s="2142" t="s">
        <v>127</v>
      </c>
      <c r="E398" s="2142"/>
      <c r="F398" s="2142"/>
      <c r="G398" s="2142"/>
      <c r="H398" s="1532">
        <f>ROUND(H396*H397,2)</f>
        <v>836.62</v>
      </c>
      <c r="I398" s="1830"/>
      <c r="J398" s="1795"/>
      <c r="K398" s="1795"/>
      <c r="L398" s="169"/>
      <c r="M398" s="1783"/>
    </row>
    <row r="399" spans="1:13" s="1517" customFormat="1" x14ac:dyDescent="0.25">
      <c r="A399" s="179"/>
      <c r="B399" s="179"/>
      <c r="C399" s="1531"/>
      <c r="D399" s="2141" t="s">
        <v>15335</v>
      </c>
      <c r="E399" s="2141"/>
      <c r="F399" s="2141"/>
      <c r="G399" s="2141"/>
      <c r="H399" s="267">
        <f>ROUND(H396*$B$13,2)</f>
        <v>100.58</v>
      </c>
      <c r="I399" s="1830"/>
      <c r="J399" s="1795"/>
      <c r="K399" s="1795"/>
      <c r="L399" s="169"/>
      <c r="M399" s="1783"/>
    </row>
    <row r="400" spans="1:13" x14ac:dyDescent="0.25">
      <c r="A400" s="179"/>
      <c r="B400" s="179"/>
      <c r="C400" s="1531"/>
      <c r="D400" s="2142" t="s">
        <v>7898</v>
      </c>
      <c r="E400" s="2142"/>
      <c r="F400" s="2142"/>
      <c r="G400" s="2142"/>
      <c r="H400" s="1532">
        <f>H399+H396</f>
        <v>474.07</v>
      </c>
    </row>
    <row r="401" spans="1:13" x14ac:dyDescent="0.25">
      <c r="A401" s="1514"/>
      <c r="B401" s="1514"/>
      <c r="C401" s="1514"/>
      <c r="F401" s="1533"/>
      <c r="G401" s="1534"/>
      <c r="H401" s="1514"/>
    </row>
    <row r="402" spans="1:13" s="1517" customFormat="1" x14ac:dyDescent="0.25">
      <c r="A402" s="146" t="s">
        <v>6</v>
      </c>
      <c r="B402" s="2143" t="s">
        <v>7</v>
      </c>
      <c r="C402" s="2143"/>
      <c r="D402" s="1518" t="s">
        <v>121</v>
      </c>
      <c r="E402" s="278" t="s">
        <v>5282</v>
      </c>
      <c r="F402" s="1518" t="s">
        <v>31</v>
      </c>
      <c r="G402" s="1519" t="s">
        <v>122</v>
      </c>
      <c r="H402" s="1520" t="s">
        <v>123</v>
      </c>
      <c r="I402" s="1830"/>
      <c r="J402" s="1795"/>
      <c r="K402" s="1795"/>
      <c r="L402" s="169"/>
      <c r="M402" s="1783"/>
    </row>
    <row r="403" spans="1:13" s="1526" customFormat="1" ht="45" x14ac:dyDescent="0.2">
      <c r="A403" s="1521" t="str">
        <f>'Orç - Reservatório'!A81</f>
        <v>03.02.143</v>
      </c>
      <c r="B403" s="1521" t="str">
        <f>'Orç - Reservatório'!B81</f>
        <v>SINAPI</v>
      </c>
      <c r="C403" s="1521" t="str">
        <f>'Orç - Reservatório'!C81</f>
        <v>92874 MOD</v>
      </c>
      <c r="D403" s="1522" t="s">
        <v>7446</v>
      </c>
      <c r="E403" s="1523">
        <f>'Orç - Reservatório'!E81</f>
        <v>19.43</v>
      </c>
      <c r="F403" s="1521" t="s">
        <v>5685</v>
      </c>
      <c r="G403" s="1524">
        <v>341.5</v>
      </c>
      <c r="H403" s="1525">
        <f>H414</f>
        <v>6635.35</v>
      </c>
      <c r="I403" s="1910" t="s">
        <v>15056</v>
      </c>
      <c r="J403" s="1793"/>
      <c r="K403" s="1793"/>
      <c r="L403" s="141"/>
      <c r="M403" s="1515"/>
    </row>
    <row r="404" spans="1:13" s="156" customFormat="1" ht="60" x14ac:dyDescent="0.2">
      <c r="A404" s="2144">
        <v>34496</v>
      </c>
      <c r="B404" s="2144"/>
      <c r="C404" s="1516" t="s">
        <v>4448</v>
      </c>
      <c r="D404" s="182" t="s">
        <v>10963</v>
      </c>
      <c r="E404" s="1527">
        <v>1.103</v>
      </c>
      <c r="F404" s="1626" t="s">
        <v>44</v>
      </c>
      <c r="G404" s="1529">
        <v>299.64999999999998</v>
      </c>
      <c r="H404" s="1530">
        <f t="shared" ref="H404:H409" si="41">ROUNDDOWN(G404*E404,2)</f>
        <v>330.51</v>
      </c>
      <c r="I404" s="1642"/>
      <c r="J404" s="1797"/>
      <c r="K404" s="1797"/>
      <c r="L404" s="1784"/>
      <c r="M404" s="1785"/>
    </row>
    <row r="405" spans="1:13" s="156" customFormat="1" ht="30" x14ac:dyDescent="0.2">
      <c r="A405" s="2144">
        <v>88262</v>
      </c>
      <c r="B405" s="2144"/>
      <c r="C405" s="1516" t="s">
        <v>4448</v>
      </c>
      <c r="D405" s="182" t="s">
        <v>80</v>
      </c>
      <c r="E405" s="1527">
        <v>0.19900000000000001</v>
      </c>
      <c r="F405" s="1626" t="s">
        <v>65</v>
      </c>
      <c r="G405" s="1529">
        <v>20.02</v>
      </c>
      <c r="H405" s="1530">
        <f t="shared" ref="H405" si="42">ROUNDDOWN(G405*E405,2)</f>
        <v>3.98</v>
      </c>
      <c r="I405" s="1642"/>
      <c r="J405" s="1797"/>
      <c r="K405" s="1797"/>
      <c r="L405" s="1784"/>
      <c r="M405" s="1785"/>
    </row>
    <row r="406" spans="1:13" s="156" customFormat="1" ht="30" x14ac:dyDescent="0.2">
      <c r="A406" s="2144">
        <v>88309</v>
      </c>
      <c r="B406" s="2144"/>
      <c r="C406" s="1516" t="s">
        <v>4448</v>
      </c>
      <c r="D406" s="182" t="s">
        <v>87</v>
      </c>
      <c r="E406" s="1527">
        <v>0.19900000000000001</v>
      </c>
      <c r="F406" s="1626" t="s">
        <v>65</v>
      </c>
      <c r="G406" s="1529">
        <v>20.149999999999999</v>
      </c>
      <c r="H406" s="1530">
        <f t="shared" si="41"/>
        <v>4</v>
      </c>
      <c r="I406" s="1642"/>
      <c r="J406" s="1797"/>
      <c r="K406" s="1797"/>
      <c r="L406" s="1784"/>
      <c r="M406" s="1785"/>
    </row>
    <row r="407" spans="1:13" s="156" customFormat="1" ht="30" x14ac:dyDescent="0.2">
      <c r="A407" s="2144">
        <v>88316</v>
      </c>
      <c r="B407" s="2144"/>
      <c r="C407" s="1516" t="s">
        <v>4448</v>
      </c>
      <c r="D407" s="182" t="s">
        <v>64</v>
      </c>
      <c r="E407" s="1527">
        <v>0.192</v>
      </c>
      <c r="F407" s="1626" t="s">
        <v>65</v>
      </c>
      <c r="G407" s="1529">
        <v>15.08</v>
      </c>
      <c r="H407" s="1530">
        <f t="shared" si="41"/>
        <v>2.89</v>
      </c>
      <c r="I407" s="1642"/>
      <c r="J407" s="1797"/>
      <c r="K407" s="1797"/>
      <c r="L407" s="1784"/>
      <c r="M407" s="1785"/>
    </row>
    <row r="408" spans="1:13" s="156" customFormat="1" ht="45" x14ac:dyDescent="0.2">
      <c r="A408" s="2144">
        <v>90586</v>
      </c>
      <c r="B408" s="2144"/>
      <c r="C408" s="1516" t="s">
        <v>4448</v>
      </c>
      <c r="D408" s="182" t="s">
        <v>387</v>
      </c>
      <c r="E408" s="1527">
        <v>6.8000000000000005E-2</v>
      </c>
      <c r="F408" s="1626" t="s">
        <v>97</v>
      </c>
      <c r="G408" s="1529">
        <v>1.29</v>
      </c>
      <c r="H408" s="1530">
        <f t="shared" si="41"/>
        <v>0.08</v>
      </c>
      <c r="I408" s="1642"/>
      <c r="J408" s="1797"/>
      <c r="K408" s="1797"/>
      <c r="L408" s="1784"/>
      <c r="M408" s="1785"/>
    </row>
    <row r="409" spans="1:13" s="156" customFormat="1" ht="45" x14ac:dyDescent="0.2">
      <c r="A409" s="2144">
        <v>90587</v>
      </c>
      <c r="B409" s="2144"/>
      <c r="C409" s="1516" t="s">
        <v>4448</v>
      </c>
      <c r="D409" s="182" t="s">
        <v>525</v>
      </c>
      <c r="E409" s="1527">
        <v>0.13100000000000001</v>
      </c>
      <c r="F409" s="1626" t="s">
        <v>98</v>
      </c>
      <c r="G409" s="1529">
        <v>0.32</v>
      </c>
      <c r="H409" s="1530">
        <f t="shared" si="41"/>
        <v>0.04</v>
      </c>
      <c r="I409" s="1642"/>
      <c r="J409" s="1797"/>
      <c r="K409" s="1797"/>
      <c r="L409" s="1784"/>
      <c r="M409" s="1785"/>
    </row>
    <row r="410" spans="1:13" s="1517" customFormat="1" x14ac:dyDescent="0.25">
      <c r="A410" s="179"/>
      <c r="B410" s="179"/>
      <c r="C410" s="1531"/>
      <c r="D410" s="2141" t="s">
        <v>124</v>
      </c>
      <c r="E410" s="2141"/>
      <c r="F410" s="2141"/>
      <c r="G410" s="2141"/>
      <c r="H410" s="267">
        <f>SUMIF(F404:F409,("h"),H404:H409)</f>
        <v>10.870000000000001</v>
      </c>
      <c r="I410" s="1830"/>
      <c r="J410" s="1795"/>
      <c r="K410" s="1795"/>
      <c r="L410" s="169"/>
      <c r="M410" s="1783"/>
    </row>
    <row r="411" spans="1:13" s="1517" customFormat="1" x14ac:dyDescent="0.25">
      <c r="A411" s="179"/>
      <c r="B411" s="179"/>
      <c r="C411" s="1531"/>
      <c r="D411" s="2141" t="s">
        <v>125</v>
      </c>
      <c r="E411" s="2141"/>
      <c r="F411" s="2141"/>
      <c r="G411" s="2141"/>
      <c r="H411" s="267">
        <f>SUMIF(F404:F409,"&lt;&gt;h",H404:H409)</f>
        <v>330.63</v>
      </c>
      <c r="I411" s="1830"/>
      <c r="J411" s="1795"/>
      <c r="K411" s="1795"/>
      <c r="L411" s="169"/>
      <c r="M411" s="1783"/>
    </row>
    <row r="412" spans="1:13" s="1517" customFormat="1" x14ac:dyDescent="0.25">
      <c r="A412" s="179"/>
      <c r="B412" s="179"/>
      <c r="C412" s="1531"/>
      <c r="D412" s="2142" t="s">
        <v>126</v>
      </c>
      <c r="E412" s="2142"/>
      <c r="F412" s="2142"/>
      <c r="G412" s="2142"/>
      <c r="H412" s="1532">
        <f>SUM(H410:H411)</f>
        <v>341.5</v>
      </c>
      <c r="I412" s="1830"/>
      <c r="J412" s="1795"/>
      <c r="K412" s="1795"/>
      <c r="L412" s="169"/>
      <c r="M412" s="1783"/>
    </row>
    <row r="413" spans="1:13" s="1517" customFormat="1" x14ac:dyDescent="0.25">
      <c r="A413" s="179"/>
      <c r="B413" s="179"/>
      <c r="C413" s="1531"/>
      <c r="D413" s="2141" t="s">
        <v>28</v>
      </c>
      <c r="E413" s="2141"/>
      <c r="F413" s="2141"/>
      <c r="G413" s="2141"/>
      <c r="H413" s="269">
        <f>E403</f>
        <v>19.43</v>
      </c>
      <c r="I413" s="1830"/>
      <c r="J413" s="1795"/>
      <c r="K413" s="1795"/>
      <c r="L413" s="169"/>
      <c r="M413" s="1783"/>
    </row>
    <row r="414" spans="1:13" s="1517" customFormat="1" x14ac:dyDescent="0.25">
      <c r="A414" s="179"/>
      <c r="B414" s="179"/>
      <c r="C414" s="1531"/>
      <c r="D414" s="2142" t="s">
        <v>127</v>
      </c>
      <c r="E414" s="2142"/>
      <c r="F414" s="2142"/>
      <c r="G414" s="2142"/>
      <c r="H414" s="1532">
        <f>ROUND(H412*H413,2)</f>
        <v>6635.35</v>
      </c>
      <c r="I414" s="1830"/>
      <c r="J414" s="1795"/>
      <c r="K414" s="1795"/>
      <c r="L414" s="169"/>
      <c r="M414" s="1783"/>
    </row>
    <row r="415" spans="1:13" s="1517" customFormat="1" x14ac:dyDescent="0.25">
      <c r="A415" s="179"/>
      <c r="B415" s="179"/>
      <c r="C415" s="1531"/>
      <c r="D415" s="2141" t="s">
        <v>15335</v>
      </c>
      <c r="E415" s="2141"/>
      <c r="F415" s="2141"/>
      <c r="G415" s="2141"/>
      <c r="H415" s="267">
        <f>ROUND(H412*$B$13,2)</f>
        <v>91.97</v>
      </c>
      <c r="I415" s="1830"/>
      <c r="J415" s="1795"/>
      <c r="K415" s="1795"/>
      <c r="L415" s="169"/>
      <c r="M415" s="1783"/>
    </row>
    <row r="416" spans="1:13" x14ac:dyDescent="0.25">
      <c r="A416" s="179"/>
      <c r="B416" s="179"/>
      <c r="C416" s="1531"/>
      <c r="D416" s="2142" t="s">
        <v>7898</v>
      </c>
      <c r="E416" s="2142"/>
      <c r="F416" s="2142"/>
      <c r="G416" s="2142"/>
      <c r="H416" s="1532">
        <f>H415+H412</f>
        <v>433.47</v>
      </c>
    </row>
    <row r="417" spans="1:13" x14ac:dyDescent="0.25">
      <c r="A417" s="1514"/>
      <c r="B417" s="1514"/>
      <c r="C417" s="1514"/>
      <c r="F417" s="1533"/>
      <c r="G417" s="1534"/>
      <c r="H417" s="1514"/>
    </row>
    <row r="418" spans="1:13" s="1517" customFormat="1" x14ac:dyDescent="0.25">
      <c r="A418" s="146" t="s">
        <v>6</v>
      </c>
      <c r="B418" s="2143" t="s">
        <v>7</v>
      </c>
      <c r="C418" s="2143"/>
      <c r="D418" s="1518" t="s">
        <v>121</v>
      </c>
      <c r="E418" s="278" t="s">
        <v>5282</v>
      </c>
      <c r="F418" s="1518" t="s">
        <v>31</v>
      </c>
      <c r="G418" s="1519" t="s">
        <v>122</v>
      </c>
      <c r="H418" s="1520" t="s">
        <v>123</v>
      </c>
      <c r="I418" s="1830"/>
      <c r="J418" s="1795"/>
      <c r="K418" s="1795"/>
      <c r="L418" s="169"/>
      <c r="M418" s="1783"/>
    </row>
    <row r="419" spans="1:13" s="1526" customFormat="1" ht="45" x14ac:dyDescent="0.2">
      <c r="A419" s="1928" t="str">
        <f>'Orç - Prédio'!A94</f>
        <v>03.02.187</v>
      </c>
      <c r="B419" s="1928" t="str">
        <f>'Orç - Prédio'!B94</f>
        <v>SINAPI ANTIGO</v>
      </c>
      <c r="C419" s="1928">
        <f>'Orç - Prédio'!C94</f>
        <v>85662</v>
      </c>
      <c r="D419" s="1865" t="s">
        <v>8274</v>
      </c>
      <c r="E419" s="1866">
        <f>'Orç - Prédio'!E94</f>
        <v>400.24600000000004</v>
      </c>
      <c r="F419" s="1928" t="s">
        <v>5688</v>
      </c>
      <c r="G419" s="1524">
        <v>10.82</v>
      </c>
      <c r="H419" s="1525">
        <f>H428</f>
        <v>4330.66</v>
      </c>
      <c r="I419" s="1910" t="s">
        <v>14965</v>
      </c>
      <c r="J419" s="1793"/>
      <c r="K419" s="1793"/>
      <c r="L419" s="141"/>
      <c r="M419" s="1515"/>
    </row>
    <row r="420" spans="1:13" s="1859" customFormat="1" ht="60" x14ac:dyDescent="0.2">
      <c r="A420" s="2144">
        <v>21141</v>
      </c>
      <c r="B420" s="2144"/>
      <c r="C420" s="1863" t="s">
        <v>4448</v>
      </c>
      <c r="D420" s="1862" t="s">
        <v>14146</v>
      </c>
      <c r="E420" s="1864">
        <v>1.03</v>
      </c>
      <c r="F420" s="1927" t="s">
        <v>45</v>
      </c>
      <c r="G420" s="1860">
        <v>8.8800000000000008</v>
      </c>
      <c r="H420" s="1857">
        <f t="shared" ref="H420:H423" si="43">ROUNDDOWN(G420*E420,2)</f>
        <v>9.14</v>
      </c>
      <c r="I420" s="1856"/>
      <c r="J420" s="1797"/>
      <c r="K420" s="1797"/>
      <c r="L420" s="1784"/>
      <c r="M420" s="1785"/>
    </row>
    <row r="421" spans="1:13" s="1859" customFormat="1" ht="30" x14ac:dyDescent="0.2">
      <c r="A421" s="2144">
        <v>43132</v>
      </c>
      <c r="B421" s="2144"/>
      <c r="C421" s="1863" t="s">
        <v>4448</v>
      </c>
      <c r="D421" s="1862" t="s">
        <v>9984</v>
      </c>
      <c r="E421" s="1864">
        <v>1.4999999999999999E-2</v>
      </c>
      <c r="F421" s="1927" t="s">
        <v>48</v>
      </c>
      <c r="G421" s="1860">
        <v>12.65</v>
      </c>
      <c r="H421" s="1857">
        <f t="shared" ref="H421" si="44">ROUNDDOWN(G421*E421,2)</f>
        <v>0.18</v>
      </c>
      <c r="I421" s="1856"/>
      <c r="J421" s="1797"/>
      <c r="K421" s="1797"/>
      <c r="L421" s="1784"/>
      <c r="M421" s="1785"/>
    </row>
    <row r="422" spans="1:13" s="1859" customFormat="1" ht="30" x14ac:dyDescent="0.2">
      <c r="A422" s="2144">
        <v>88245</v>
      </c>
      <c r="B422" s="2144"/>
      <c r="C422" s="1863" t="s">
        <v>4448</v>
      </c>
      <c r="D422" s="1862" t="s">
        <v>67</v>
      </c>
      <c r="E422" s="1864">
        <v>0.03</v>
      </c>
      <c r="F422" s="1927" t="s">
        <v>65</v>
      </c>
      <c r="G422" s="1860">
        <v>20.059999999999999</v>
      </c>
      <c r="H422" s="1857">
        <f t="shared" si="43"/>
        <v>0.6</v>
      </c>
      <c r="I422" s="1856"/>
      <c r="J422" s="1797"/>
      <c r="K422" s="1797"/>
      <c r="L422" s="1784"/>
      <c r="M422" s="1785"/>
    </row>
    <row r="423" spans="1:13" s="1859" customFormat="1" ht="30" x14ac:dyDescent="0.2">
      <c r="A423" s="2144">
        <v>88316</v>
      </c>
      <c r="B423" s="2144"/>
      <c r="C423" s="1863" t="s">
        <v>4448</v>
      </c>
      <c r="D423" s="1862" t="s">
        <v>64</v>
      </c>
      <c r="E423" s="1864">
        <v>0.06</v>
      </c>
      <c r="F423" s="1927" t="s">
        <v>65</v>
      </c>
      <c r="G423" s="1860">
        <v>15.08</v>
      </c>
      <c r="H423" s="1857">
        <f t="shared" si="43"/>
        <v>0.9</v>
      </c>
      <c r="I423" s="1856"/>
      <c r="J423" s="1797"/>
      <c r="K423" s="1797"/>
      <c r="L423" s="1784"/>
      <c r="M423" s="1785"/>
    </row>
    <row r="424" spans="1:13" s="1517" customFormat="1" x14ac:dyDescent="0.25">
      <c r="A424" s="1929"/>
      <c r="B424" s="1929"/>
      <c r="C424" s="1531"/>
      <c r="D424" s="2141" t="s">
        <v>124</v>
      </c>
      <c r="E424" s="2141"/>
      <c r="F424" s="2141"/>
      <c r="G424" s="2141"/>
      <c r="H424" s="267">
        <f>SUMIF(F420:F423,("h"),H420:H423)</f>
        <v>1.5</v>
      </c>
      <c r="I424" s="1830"/>
      <c r="J424" s="1795"/>
      <c r="K424" s="1795"/>
      <c r="L424" s="169"/>
      <c r="M424" s="1783"/>
    </row>
    <row r="425" spans="1:13" s="1517" customFormat="1" x14ac:dyDescent="0.25">
      <c r="A425" s="1929"/>
      <c r="B425" s="1929"/>
      <c r="C425" s="1531"/>
      <c r="D425" s="2141" t="s">
        <v>125</v>
      </c>
      <c r="E425" s="2141"/>
      <c r="F425" s="2141"/>
      <c r="G425" s="2141"/>
      <c r="H425" s="267">
        <f>SUMIF(F420:F423,"&lt;&gt;h",H420:H423)</f>
        <v>9.32</v>
      </c>
      <c r="I425" s="1830"/>
      <c r="J425" s="1795"/>
      <c r="K425" s="1795"/>
      <c r="L425" s="169"/>
      <c r="M425" s="1783"/>
    </row>
    <row r="426" spans="1:13" s="1517" customFormat="1" x14ac:dyDescent="0.25">
      <c r="A426" s="1929"/>
      <c r="B426" s="1929"/>
      <c r="C426" s="1531"/>
      <c r="D426" s="2142" t="s">
        <v>126</v>
      </c>
      <c r="E426" s="2142"/>
      <c r="F426" s="2142"/>
      <c r="G426" s="2142"/>
      <c r="H426" s="1532">
        <f>SUM(H424:H425)</f>
        <v>10.82</v>
      </c>
      <c r="I426" s="1830"/>
      <c r="J426" s="1795"/>
      <c r="K426" s="1795"/>
      <c r="L426" s="169"/>
      <c r="M426" s="1783"/>
    </row>
    <row r="427" spans="1:13" s="1517" customFormat="1" x14ac:dyDescent="0.25">
      <c r="A427" s="1929"/>
      <c r="B427" s="1929"/>
      <c r="C427" s="1531"/>
      <c r="D427" s="2141" t="s">
        <v>28</v>
      </c>
      <c r="E427" s="2141"/>
      <c r="F427" s="2141"/>
      <c r="G427" s="2141"/>
      <c r="H427" s="269">
        <f>E419</f>
        <v>400.24600000000004</v>
      </c>
      <c r="I427" s="1830"/>
      <c r="J427" s="1795"/>
      <c r="K427" s="1795"/>
      <c r="L427" s="169"/>
      <c r="M427" s="1783"/>
    </row>
    <row r="428" spans="1:13" s="1517" customFormat="1" x14ac:dyDescent="0.25">
      <c r="A428" s="1929"/>
      <c r="B428" s="1929"/>
      <c r="C428" s="1531"/>
      <c r="D428" s="2142" t="s">
        <v>127</v>
      </c>
      <c r="E428" s="2142"/>
      <c r="F428" s="2142"/>
      <c r="G428" s="2142"/>
      <c r="H428" s="1532">
        <f>ROUND(H426*H427,2)</f>
        <v>4330.66</v>
      </c>
      <c r="I428" s="1830"/>
      <c r="J428" s="1795"/>
      <c r="K428" s="1795"/>
      <c r="L428" s="169"/>
      <c r="M428" s="1783"/>
    </row>
    <row r="429" spans="1:13" s="1517" customFormat="1" x14ac:dyDescent="0.25">
      <c r="A429" s="1929"/>
      <c r="B429" s="1929"/>
      <c r="C429" s="1531"/>
      <c r="D429" s="2141" t="s">
        <v>15335</v>
      </c>
      <c r="E429" s="2141"/>
      <c r="F429" s="2141"/>
      <c r="G429" s="2141"/>
      <c r="H429" s="267">
        <f>ROUND(H426*$B$13,2)</f>
        <v>2.91</v>
      </c>
      <c r="I429" s="1830"/>
      <c r="J429" s="1795"/>
      <c r="K429" s="1795"/>
      <c r="L429" s="169"/>
      <c r="M429" s="1783"/>
    </row>
    <row r="430" spans="1:13" x14ac:dyDescent="0.25">
      <c r="A430" s="1929"/>
      <c r="B430" s="1929"/>
      <c r="C430" s="1531"/>
      <c r="D430" s="2142" t="s">
        <v>7898</v>
      </c>
      <c r="E430" s="2142"/>
      <c r="F430" s="2142"/>
      <c r="G430" s="2142"/>
      <c r="H430" s="1532">
        <f>H429+H426</f>
        <v>13.73</v>
      </c>
    </row>
    <row r="431" spans="1:13" x14ac:dyDescent="0.25">
      <c r="A431" s="1514"/>
      <c r="B431" s="1514"/>
      <c r="C431" s="1514"/>
      <c r="F431" s="1533"/>
      <c r="G431" s="1534"/>
      <c r="H431" s="1514"/>
    </row>
    <row r="432" spans="1:13" s="1517" customFormat="1" x14ac:dyDescent="0.25">
      <c r="A432" s="146" t="s">
        <v>6</v>
      </c>
      <c r="B432" s="2143" t="s">
        <v>7</v>
      </c>
      <c r="C432" s="2143"/>
      <c r="D432" s="1518" t="s">
        <v>121</v>
      </c>
      <c r="E432" s="278" t="s">
        <v>5282</v>
      </c>
      <c r="F432" s="1518" t="s">
        <v>31</v>
      </c>
      <c r="G432" s="1519" t="s">
        <v>122</v>
      </c>
      <c r="H432" s="1520" t="s">
        <v>123</v>
      </c>
      <c r="I432" s="1830"/>
      <c r="J432" s="1795"/>
      <c r="K432" s="1795"/>
      <c r="L432" s="169"/>
      <c r="M432" s="1783"/>
    </row>
    <row r="433" spans="1:13" s="1526" customFormat="1" ht="30" x14ac:dyDescent="0.2">
      <c r="A433" s="1769" t="str">
        <f>'Orç - Prédio'!A97</f>
        <v>03.02.320</v>
      </c>
      <c r="B433" s="1769" t="str">
        <f>'Orç - Prédio'!B97</f>
        <v>CPOS</v>
      </c>
      <c r="C433" s="1769" t="str">
        <f>'Orç - Prédio'!C97</f>
        <v>15.05.520</v>
      </c>
      <c r="D433" s="1522" t="s">
        <v>7890</v>
      </c>
      <c r="E433" s="1769">
        <f>'Orç - Prédio'!E97</f>
        <v>31.76</v>
      </c>
      <c r="F433" s="1769" t="s">
        <v>5685</v>
      </c>
      <c r="G433" s="1524">
        <v>2427.1699999999996</v>
      </c>
      <c r="H433" s="1525">
        <f>H471</f>
        <v>77086.92</v>
      </c>
      <c r="I433" s="1910" t="s">
        <v>9481</v>
      </c>
      <c r="J433" s="1793"/>
      <c r="K433" s="1793"/>
      <c r="L433" s="141"/>
      <c r="M433" s="1515"/>
    </row>
    <row r="434" spans="1:13" s="156" customFormat="1" ht="30" x14ac:dyDescent="0.2">
      <c r="A434" s="2144">
        <v>88262</v>
      </c>
      <c r="B434" s="2144"/>
      <c r="C434" s="1516" t="s">
        <v>4448</v>
      </c>
      <c r="D434" s="182" t="s">
        <v>80</v>
      </c>
      <c r="E434" s="1527">
        <v>1.74</v>
      </c>
      <c r="F434" s="1768" t="s">
        <v>65</v>
      </c>
      <c r="G434" s="1529">
        <v>20.02</v>
      </c>
      <c r="H434" s="1530">
        <f t="shared" ref="H434:H442" si="45">ROUNDDOWN(G434*E434,2)</f>
        <v>34.83</v>
      </c>
      <c r="I434" s="1642"/>
      <c r="J434" s="1797"/>
      <c r="K434" s="1797"/>
      <c r="L434" s="1784"/>
      <c r="M434" s="1785"/>
    </row>
    <row r="435" spans="1:13" s="156" customFormat="1" ht="30" x14ac:dyDescent="0.2">
      <c r="A435" s="2144">
        <v>88245</v>
      </c>
      <c r="B435" s="2144"/>
      <c r="C435" s="1516" t="s">
        <v>4448</v>
      </c>
      <c r="D435" s="182" t="s">
        <v>67</v>
      </c>
      <c r="E435" s="1527">
        <v>7.944</v>
      </c>
      <c r="F435" s="1768" t="s">
        <v>65</v>
      </c>
      <c r="G435" s="1529">
        <v>20.059999999999999</v>
      </c>
      <c r="H435" s="1530">
        <f t="shared" si="45"/>
        <v>159.35</v>
      </c>
      <c r="I435" s="1642"/>
      <c r="J435" s="1797"/>
      <c r="K435" s="1797"/>
      <c r="L435" s="1784"/>
      <c r="M435" s="1785"/>
    </row>
    <row r="436" spans="1:13" s="156" customFormat="1" ht="30" x14ac:dyDescent="0.2">
      <c r="A436" s="2144">
        <v>88238</v>
      </c>
      <c r="B436" s="2144"/>
      <c r="C436" s="1516" t="s">
        <v>4448</v>
      </c>
      <c r="D436" s="182" t="s">
        <v>4277</v>
      </c>
      <c r="E436" s="1527">
        <v>6.3579999999999997</v>
      </c>
      <c r="F436" s="1768" t="s">
        <v>65</v>
      </c>
      <c r="G436" s="1529">
        <v>15.72</v>
      </c>
      <c r="H436" s="1530">
        <f t="shared" si="45"/>
        <v>99.94</v>
      </c>
      <c r="I436" s="1642"/>
      <c r="J436" s="1797"/>
      <c r="K436" s="1797"/>
      <c r="L436" s="1784"/>
      <c r="M436" s="1785"/>
    </row>
    <row r="437" spans="1:13" s="156" customFormat="1" ht="30" x14ac:dyDescent="0.2">
      <c r="A437" s="2144">
        <v>88309</v>
      </c>
      <c r="B437" s="2144"/>
      <c r="C437" s="1516" t="s">
        <v>4448</v>
      </c>
      <c r="D437" s="182" t="s">
        <v>87</v>
      </c>
      <c r="E437" s="1527">
        <v>6.76</v>
      </c>
      <c r="F437" s="1768" t="s">
        <v>65</v>
      </c>
      <c r="G437" s="1529">
        <v>20.149999999999999</v>
      </c>
      <c r="H437" s="1530">
        <f t="shared" si="45"/>
        <v>136.21</v>
      </c>
      <c r="I437" s="1642"/>
      <c r="J437" s="1797"/>
      <c r="K437" s="1797"/>
      <c r="L437" s="1784"/>
      <c r="M437" s="1785"/>
    </row>
    <row r="438" spans="1:13" s="156" customFormat="1" ht="30" x14ac:dyDescent="0.2">
      <c r="A438" s="2144">
        <v>88316</v>
      </c>
      <c r="B438" s="2144"/>
      <c r="C438" s="1516" t="s">
        <v>4448</v>
      </c>
      <c r="D438" s="182" t="s">
        <v>64</v>
      </c>
      <c r="E438" s="1527">
        <v>8.59</v>
      </c>
      <c r="F438" s="1768" t="s">
        <v>65</v>
      </c>
      <c r="G438" s="1529">
        <v>15.08</v>
      </c>
      <c r="H438" s="1530">
        <f t="shared" si="45"/>
        <v>129.53</v>
      </c>
      <c r="I438" s="1642"/>
      <c r="J438" s="1797"/>
      <c r="K438" s="1797"/>
      <c r="L438" s="1784"/>
      <c r="M438" s="1785"/>
    </row>
    <row r="439" spans="1:13" s="156" customFormat="1" ht="30" x14ac:dyDescent="0.2">
      <c r="A439" s="2144">
        <v>90779</v>
      </c>
      <c r="B439" s="2144"/>
      <c r="C439" s="1516" t="s">
        <v>4448</v>
      </c>
      <c r="D439" s="182" t="s">
        <v>4344</v>
      </c>
      <c r="E439" s="1527">
        <f>0.03+0.06</f>
        <v>0.09</v>
      </c>
      <c r="F439" s="1768" t="s">
        <v>65</v>
      </c>
      <c r="G439" s="1529">
        <v>116.69</v>
      </c>
      <c r="H439" s="1530">
        <f t="shared" si="45"/>
        <v>10.5</v>
      </c>
      <c r="I439" s="1642"/>
      <c r="J439" s="1797"/>
      <c r="K439" s="1797"/>
      <c r="L439" s="1784"/>
      <c r="M439" s="1785"/>
    </row>
    <row r="440" spans="1:13" s="156" customFormat="1" ht="30" x14ac:dyDescent="0.2">
      <c r="A440" s="2144">
        <v>90777</v>
      </c>
      <c r="B440" s="2144"/>
      <c r="C440" s="1516" t="s">
        <v>4448</v>
      </c>
      <c r="D440" s="182" t="s">
        <v>4342</v>
      </c>
      <c r="E440" s="1527">
        <v>0.1</v>
      </c>
      <c r="F440" s="1768" t="s">
        <v>65</v>
      </c>
      <c r="G440" s="1529">
        <v>75.36</v>
      </c>
      <c r="H440" s="1530">
        <f t="shared" si="45"/>
        <v>7.53</v>
      </c>
      <c r="I440" s="1642"/>
      <c r="J440" s="1797"/>
      <c r="K440" s="1797"/>
      <c r="L440" s="1784"/>
      <c r="M440" s="1785"/>
    </row>
    <row r="441" spans="1:13" s="156" customFormat="1" ht="30" x14ac:dyDescent="0.2">
      <c r="A441" s="2144">
        <v>90775</v>
      </c>
      <c r="B441" s="2144"/>
      <c r="C441" s="1516" t="s">
        <v>4448</v>
      </c>
      <c r="D441" s="182" t="s">
        <v>4340</v>
      </c>
      <c r="E441" s="1527">
        <v>0.4</v>
      </c>
      <c r="F441" s="1768" t="s">
        <v>65</v>
      </c>
      <c r="G441" s="1529">
        <v>21.18</v>
      </c>
      <c r="H441" s="1530">
        <f t="shared" si="45"/>
        <v>8.4700000000000006</v>
      </c>
      <c r="I441" s="1642"/>
      <c r="J441" s="1797"/>
      <c r="K441" s="1797"/>
      <c r="L441" s="1784"/>
      <c r="M441" s="1785"/>
    </row>
    <row r="442" spans="1:13" s="156" customFormat="1" ht="30" x14ac:dyDescent="0.2">
      <c r="A442" s="2144">
        <v>90773</v>
      </c>
      <c r="B442" s="2144"/>
      <c r="C442" s="1516" t="s">
        <v>4448</v>
      </c>
      <c r="D442" s="182" t="s">
        <v>4339</v>
      </c>
      <c r="E442" s="1527">
        <v>0.7</v>
      </c>
      <c r="F442" s="1768" t="s">
        <v>65</v>
      </c>
      <c r="G442" s="1529">
        <v>11.56</v>
      </c>
      <c r="H442" s="1530">
        <f t="shared" si="45"/>
        <v>8.09</v>
      </c>
      <c r="I442" s="1642"/>
      <c r="J442" s="1797"/>
      <c r="K442" s="1797"/>
      <c r="L442" s="1784"/>
      <c r="M442" s="1785"/>
    </row>
    <row r="443" spans="1:13" s="156" customFormat="1" ht="30" x14ac:dyDescent="0.2">
      <c r="A443" s="2144">
        <v>370</v>
      </c>
      <c r="B443" s="2144"/>
      <c r="C443" s="1516" t="s">
        <v>4448</v>
      </c>
      <c r="D443" s="182" t="s">
        <v>9988</v>
      </c>
      <c r="E443" s="1527">
        <v>3.2399999999999998E-2</v>
      </c>
      <c r="F443" s="1768" t="s">
        <v>44</v>
      </c>
      <c r="G443" s="1529">
        <v>95</v>
      </c>
      <c r="H443" s="1530">
        <f t="shared" ref="H443:H447" si="46">ROUNDDOWN(G443*E443,2)</f>
        <v>3.07</v>
      </c>
      <c r="I443" s="1642"/>
      <c r="J443" s="1797"/>
      <c r="K443" s="1797"/>
      <c r="L443" s="1784"/>
      <c r="M443" s="1785"/>
    </row>
    <row r="444" spans="1:13" s="156" customFormat="1" x14ac:dyDescent="0.2">
      <c r="A444" s="2144">
        <v>1379</v>
      </c>
      <c r="B444" s="2144"/>
      <c r="C444" s="1516" t="s">
        <v>4448</v>
      </c>
      <c r="D444" s="182" t="s">
        <v>10898</v>
      </c>
      <c r="E444" s="1527">
        <v>12.13</v>
      </c>
      <c r="F444" s="1768" t="s">
        <v>48</v>
      </c>
      <c r="G444" s="1529">
        <v>0.4</v>
      </c>
      <c r="H444" s="1530">
        <f t="shared" si="46"/>
        <v>4.8499999999999996</v>
      </c>
      <c r="I444" s="1642"/>
      <c r="J444" s="1797"/>
      <c r="K444" s="1797"/>
      <c r="L444" s="1784"/>
      <c r="M444" s="1785"/>
    </row>
    <row r="445" spans="1:13" s="156" customFormat="1" ht="30" x14ac:dyDescent="0.2">
      <c r="A445" s="2144">
        <v>4729</v>
      </c>
      <c r="B445" s="2144"/>
      <c r="C445" s="1516" t="s">
        <v>4448</v>
      </c>
      <c r="D445" s="182" t="s">
        <v>13194</v>
      </c>
      <c r="E445" s="1527">
        <v>5.1999999999999998E-2</v>
      </c>
      <c r="F445" s="1768" t="s">
        <v>44</v>
      </c>
      <c r="G445" s="1529">
        <v>94.48</v>
      </c>
      <c r="H445" s="1530">
        <f t="shared" si="46"/>
        <v>4.91</v>
      </c>
      <c r="I445" s="1642"/>
      <c r="J445" s="1797"/>
      <c r="K445" s="1797"/>
      <c r="L445" s="1784"/>
      <c r="M445" s="1785"/>
    </row>
    <row r="446" spans="1:13" s="156" customFormat="1" ht="45" x14ac:dyDescent="0.2">
      <c r="A446" s="2144">
        <v>4720</v>
      </c>
      <c r="B446" s="2144"/>
      <c r="C446" s="1516" t="s">
        <v>4448</v>
      </c>
      <c r="D446" s="182" t="s">
        <v>13195</v>
      </c>
      <c r="E446" s="1527">
        <v>0.01</v>
      </c>
      <c r="F446" s="1768" t="s">
        <v>44</v>
      </c>
      <c r="G446" s="1529">
        <v>103.31</v>
      </c>
      <c r="H446" s="1530">
        <f t="shared" ref="H446" si="47">ROUNDDOWN(G446*E446,2)</f>
        <v>1.03</v>
      </c>
      <c r="I446" s="1642"/>
      <c r="J446" s="1797"/>
      <c r="K446" s="1797"/>
      <c r="L446" s="1784"/>
      <c r="M446" s="1785"/>
    </row>
    <row r="447" spans="1:13" s="156" customFormat="1" ht="60" x14ac:dyDescent="0.2">
      <c r="A447" s="2144">
        <v>11145</v>
      </c>
      <c r="B447" s="2144"/>
      <c r="C447" s="1516" t="s">
        <v>4448</v>
      </c>
      <c r="D447" s="182" t="s">
        <v>10962</v>
      </c>
      <c r="E447" s="1527">
        <v>1.03</v>
      </c>
      <c r="F447" s="1768" t="s">
        <v>44</v>
      </c>
      <c r="G447" s="1529">
        <v>329.15</v>
      </c>
      <c r="H447" s="1530">
        <f t="shared" si="46"/>
        <v>339.02</v>
      </c>
      <c r="I447" s="1642"/>
      <c r="J447" s="1797"/>
      <c r="K447" s="1797"/>
      <c r="L447" s="1784"/>
      <c r="M447" s="1785"/>
    </row>
    <row r="448" spans="1:13" s="156" customFormat="1" ht="45" x14ac:dyDescent="0.2">
      <c r="A448" s="2144">
        <v>4491</v>
      </c>
      <c r="B448" s="2144"/>
      <c r="C448" s="1516" t="s">
        <v>4448</v>
      </c>
      <c r="D448" s="182" t="s">
        <v>13384</v>
      </c>
      <c r="E448" s="1527">
        <v>2.16</v>
      </c>
      <c r="F448" s="1768" t="s">
        <v>47</v>
      </c>
      <c r="G448" s="1529">
        <v>3.56</v>
      </c>
      <c r="H448" s="1530">
        <f t="shared" ref="H448" si="48">ROUNDDOWN(G448*E448,2)</f>
        <v>7.68</v>
      </c>
      <c r="I448" s="1642"/>
      <c r="J448" s="1797"/>
      <c r="K448" s="1797"/>
      <c r="L448" s="1784"/>
      <c r="M448" s="1785"/>
    </row>
    <row r="449" spans="1:13" s="156" customFormat="1" ht="45" x14ac:dyDescent="0.2">
      <c r="A449" s="2144">
        <v>4460</v>
      </c>
      <c r="B449" s="2144"/>
      <c r="C449" s="1516" t="s">
        <v>4448</v>
      </c>
      <c r="D449" s="182" t="s">
        <v>13732</v>
      </c>
      <c r="E449" s="1527">
        <v>2.35</v>
      </c>
      <c r="F449" s="1768" t="s">
        <v>47</v>
      </c>
      <c r="G449" s="1529">
        <v>9.2100000000000009</v>
      </c>
      <c r="H449" s="1530">
        <f t="shared" ref="H449" si="49">ROUNDDOWN(G449*E449,2)</f>
        <v>21.64</v>
      </c>
      <c r="I449" s="1642"/>
      <c r="J449" s="1797"/>
      <c r="K449" s="1797"/>
      <c r="L449" s="1784"/>
      <c r="M449" s="1785"/>
    </row>
    <row r="450" spans="1:13" s="156" customFormat="1" ht="60" x14ac:dyDescent="0.2">
      <c r="A450" s="2144">
        <v>6188</v>
      </c>
      <c r="B450" s="2144"/>
      <c r="C450" s="1516" t="s">
        <v>4448</v>
      </c>
      <c r="D450" s="182" t="s">
        <v>9651</v>
      </c>
      <c r="E450" s="1527">
        <v>0.52</v>
      </c>
      <c r="F450" s="1768" t="s">
        <v>45</v>
      </c>
      <c r="G450" s="1529">
        <v>23.99</v>
      </c>
      <c r="H450" s="1530">
        <f t="shared" ref="H450" si="50">ROUNDDOWN(G450*E450,2)</f>
        <v>12.47</v>
      </c>
      <c r="I450" s="1642"/>
      <c r="J450" s="1797"/>
      <c r="K450" s="1797"/>
      <c r="L450" s="1784"/>
      <c r="M450" s="1785"/>
    </row>
    <row r="451" spans="1:13" s="156" customFormat="1" ht="60" x14ac:dyDescent="0.2">
      <c r="A451" s="2144">
        <v>1357</v>
      </c>
      <c r="B451" s="2144"/>
      <c r="C451" s="1516" t="s">
        <v>4448</v>
      </c>
      <c r="D451" s="182" t="s">
        <v>9620</v>
      </c>
      <c r="E451" s="1527">
        <v>0.46</v>
      </c>
      <c r="F451" s="1768" t="s">
        <v>39</v>
      </c>
      <c r="G451" s="1529">
        <v>52.66</v>
      </c>
      <c r="H451" s="1530">
        <f t="shared" ref="H451" si="51">ROUNDDOWN(G451*E451,2)</f>
        <v>24.22</v>
      </c>
      <c r="I451" s="1642"/>
      <c r="J451" s="1797"/>
      <c r="K451" s="1797"/>
      <c r="L451" s="1784"/>
      <c r="M451" s="1785"/>
    </row>
    <row r="452" spans="1:13" s="1859" customFormat="1" ht="30" x14ac:dyDescent="0.2">
      <c r="A452" s="2148">
        <v>43058</v>
      </c>
      <c r="B452" s="2148"/>
      <c r="C452" s="1877" t="s">
        <v>4448</v>
      </c>
      <c r="D452" s="1850" t="s">
        <v>9720</v>
      </c>
      <c r="E452" s="1864">
        <v>52</v>
      </c>
      <c r="F452" s="1889" t="s">
        <v>48</v>
      </c>
      <c r="G452" s="367">
        <v>5.44</v>
      </c>
      <c r="H452" s="1852">
        <f t="shared" ref="H452" si="52">ROUNDDOWN(G452*E452,2)</f>
        <v>282.88</v>
      </c>
      <c r="I452" s="1856"/>
      <c r="J452" s="1797"/>
      <c r="K452" s="1797"/>
      <c r="L452" s="1784"/>
      <c r="M452" s="1785"/>
    </row>
    <row r="453" spans="1:13" s="1859" customFormat="1" ht="30" x14ac:dyDescent="0.2">
      <c r="A453" s="2148">
        <v>43061</v>
      </c>
      <c r="B453" s="2148"/>
      <c r="C453" s="1877" t="s">
        <v>4448</v>
      </c>
      <c r="D453" s="1850" t="s">
        <v>9728</v>
      </c>
      <c r="E453" s="1864">
        <v>5.5</v>
      </c>
      <c r="F453" s="1889" t="s">
        <v>48</v>
      </c>
      <c r="G453" s="367">
        <v>5.42</v>
      </c>
      <c r="H453" s="1852">
        <f t="shared" ref="H453" si="53">ROUNDDOWN(G453*E453,2)</f>
        <v>29.81</v>
      </c>
      <c r="I453" s="1856"/>
      <c r="J453" s="1797"/>
      <c r="K453" s="1797"/>
      <c r="L453" s="1784"/>
      <c r="M453" s="1785"/>
    </row>
    <row r="454" spans="1:13" s="156" customFormat="1" ht="60" x14ac:dyDescent="0.2">
      <c r="A454" s="2144">
        <v>7155</v>
      </c>
      <c r="B454" s="2144"/>
      <c r="C454" s="1516" t="s">
        <v>4448</v>
      </c>
      <c r="D454" s="182" t="s">
        <v>14141</v>
      </c>
      <c r="E454" s="1527">
        <v>61.4</v>
      </c>
      <c r="F454" s="1768" t="s">
        <v>45</v>
      </c>
      <c r="G454" s="1529">
        <v>13.24</v>
      </c>
      <c r="H454" s="1530">
        <f>ROUNDDOWN(G454*E454,2)</f>
        <v>812.93</v>
      </c>
      <c r="I454" s="1642"/>
      <c r="J454" s="1797"/>
      <c r="K454" s="1797"/>
      <c r="L454" s="1784"/>
      <c r="M454" s="1785"/>
    </row>
    <row r="455" spans="1:13" s="156" customFormat="1" ht="30" x14ac:dyDescent="0.2">
      <c r="A455" s="2144">
        <v>1330</v>
      </c>
      <c r="B455" s="2144"/>
      <c r="C455" s="1516" t="s">
        <v>4448</v>
      </c>
      <c r="D455" s="182" t="s">
        <v>10817</v>
      </c>
      <c r="E455" s="1527">
        <v>8.4</v>
      </c>
      <c r="F455" s="1768" t="s">
        <v>48</v>
      </c>
      <c r="G455" s="1529">
        <v>5.36</v>
      </c>
      <c r="H455" s="1530">
        <f>ROUNDDOWN(G455*E455,2)</f>
        <v>45.02</v>
      </c>
      <c r="I455" s="1642"/>
      <c r="J455" s="1797"/>
      <c r="K455" s="1797"/>
      <c r="L455" s="1784"/>
      <c r="M455" s="1785"/>
    </row>
    <row r="456" spans="1:13" s="156" customFormat="1" ht="45" x14ac:dyDescent="0.2">
      <c r="A456" s="2144" t="s">
        <v>7892</v>
      </c>
      <c r="B456" s="2144"/>
      <c r="C456" s="1496" t="s">
        <v>5696</v>
      </c>
      <c r="D456" s="1497" t="s">
        <v>7893</v>
      </c>
      <c r="E456" s="1527">
        <v>1</v>
      </c>
      <c r="F456" s="1768" t="s">
        <v>31</v>
      </c>
      <c r="G456" s="367">
        <v>14.11</v>
      </c>
      <c r="H456" s="1530">
        <f t="shared" ref="H456" si="54">ROUNDDOWN(G456*E456,2)</f>
        <v>14.11</v>
      </c>
      <c r="I456" s="1642"/>
      <c r="J456" s="1797"/>
      <c r="K456" s="1797"/>
      <c r="L456" s="1784"/>
      <c r="M456" s="1785"/>
    </row>
    <row r="457" spans="1:13" s="156" customFormat="1" ht="30" x14ac:dyDescent="0.2">
      <c r="A457" s="2144" t="s">
        <v>7894</v>
      </c>
      <c r="B457" s="2144"/>
      <c r="C457" s="1496" t="s">
        <v>5696</v>
      </c>
      <c r="D457" s="1497" t="s">
        <v>7895</v>
      </c>
      <c r="E457" s="1527">
        <v>2.5000000000000001E-3</v>
      </c>
      <c r="F457" s="1768" t="s">
        <v>31</v>
      </c>
      <c r="G457" s="367">
        <v>437.29</v>
      </c>
      <c r="H457" s="1530">
        <f t="shared" ref="H457" si="55">ROUNDDOWN(G457*E457,2)</f>
        <v>1.0900000000000001</v>
      </c>
      <c r="I457" s="1642"/>
      <c r="J457" s="1797"/>
      <c r="K457" s="1797"/>
      <c r="L457" s="1784"/>
      <c r="M457" s="1785"/>
    </row>
    <row r="458" spans="1:13" s="156" customFormat="1" ht="30" x14ac:dyDescent="0.2">
      <c r="A458" s="2144" t="s">
        <v>7896</v>
      </c>
      <c r="B458" s="2144"/>
      <c r="C458" s="1496" t="s">
        <v>5696</v>
      </c>
      <c r="D458" s="1497" t="s">
        <v>7897</v>
      </c>
      <c r="E458" s="1527">
        <v>2.5000000000000001E-3</v>
      </c>
      <c r="F458" s="1768" t="s">
        <v>31</v>
      </c>
      <c r="G458" s="367">
        <v>35.82</v>
      </c>
      <c r="H458" s="1530">
        <f t="shared" ref="H458:H459" si="56">ROUNDDOWN(G458*E458,2)</f>
        <v>0.08</v>
      </c>
      <c r="I458" s="1642"/>
      <c r="J458" s="1797"/>
      <c r="K458" s="1797"/>
      <c r="L458" s="1784"/>
      <c r="M458" s="1785"/>
    </row>
    <row r="459" spans="1:13" s="156" customFormat="1" ht="30" x14ac:dyDescent="0.2">
      <c r="A459" s="2144">
        <v>5061</v>
      </c>
      <c r="B459" s="2144"/>
      <c r="C459" s="1516" t="s">
        <v>4448</v>
      </c>
      <c r="D459" s="182" t="s">
        <v>13499</v>
      </c>
      <c r="E459" s="1527">
        <v>0.81</v>
      </c>
      <c r="F459" s="1768" t="s">
        <v>48</v>
      </c>
      <c r="G459" s="1529">
        <v>9.9</v>
      </c>
      <c r="H459" s="1530">
        <f t="shared" si="56"/>
        <v>8.01</v>
      </c>
      <c r="I459" s="1642"/>
      <c r="J459" s="1797"/>
      <c r="K459" s="1797"/>
      <c r="L459" s="1784"/>
      <c r="M459" s="1785"/>
    </row>
    <row r="460" spans="1:13" s="156" customFormat="1" ht="30" x14ac:dyDescent="0.2">
      <c r="A460" s="2144">
        <v>345</v>
      </c>
      <c r="B460" s="2144"/>
      <c r="C460" s="1516" t="s">
        <v>4448</v>
      </c>
      <c r="D460" s="182" t="s">
        <v>9981</v>
      </c>
      <c r="E460" s="1527">
        <v>1.355</v>
      </c>
      <c r="F460" s="1768" t="s">
        <v>48</v>
      </c>
      <c r="G460" s="1529">
        <v>19.18</v>
      </c>
      <c r="H460" s="1530">
        <f t="shared" ref="H460" si="57">ROUNDDOWN(G460*E460,2)</f>
        <v>25.98</v>
      </c>
      <c r="I460" s="1642"/>
      <c r="J460" s="1797"/>
      <c r="K460" s="1797"/>
      <c r="L460" s="1784"/>
      <c r="M460" s="1785"/>
    </row>
    <row r="461" spans="1:13" s="156" customFormat="1" ht="45" x14ac:dyDescent="0.2">
      <c r="A461" s="2144">
        <v>2692</v>
      </c>
      <c r="B461" s="2144"/>
      <c r="C461" s="1516" t="s">
        <v>4448</v>
      </c>
      <c r="D461" s="182" t="s">
        <v>11459</v>
      </c>
      <c r="E461" s="1527">
        <v>2.99</v>
      </c>
      <c r="F461" s="1768" t="s">
        <v>49</v>
      </c>
      <c r="G461" s="1529">
        <v>4.57</v>
      </c>
      <c r="H461" s="1530">
        <f t="shared" ref="H461" si="58">ROUNDDOWN(G461*E461,2)</f>
        <v>13.66</v>
      </c>
      <c r="I461" s="1642"/>
      <c r="J461" s="1797"/>
      <c r="K461" s="1797"/>
      <c r="L461" s="1784"/>
      <c r="M461" s="1785"/>
    </row>
    <row r="462" spans="1:13" s="156" customFormat="1" ht="60" x14ac:dyDescent="0.2">
      <c r="A462" s="2144">
        <v>87445</v>
      </c>
      <c r="B462" s="2144"/>
      <c r="C462" s="1516" t="s">
        <v>4448</v>
      </c>
      <c r="D462" s="182" t="s">
        <v>364</v>
      </c>
      <c r="E462" s="1527">
        <v>0.12</v>
      </c>
      <c r="F462" s="1768" t="s">
        <v>97</v>
      </c>
      <c r="G462" s="1529">
        <v>3.31</v>
      </c>
      <c r="H462" s="1530">
        <f>ROUNDDOWN(G462*E462,2)</f>
        <v>0.39</v>
      </c>
      <c r="I462" s="1642"/>
      <c r="J462" s="1797"/>
      <c r="K462" s="1797"/>
      <c r="L462" s="1784"/>
      <c r="M462" s="1785"/>
    </row>
    <row r="463" spans="1:13" s="156" customFormat="1" ht="90" x14ac:dyDescent="0.2">
      <c r="A463" s="2144">
        <v>93402</v>
      </c>
      <c r="B463" s="2144"/>
      <c r="C463" s="1516" t="s">
        <v>4448</v>
      </c>
      <c r="D463" s="182" t="s">
        <v>428</v>
      </c>
      <c r="E463" s="1527">
        <v>0.8</v>
      </c>
      <c r="F463" s="1768" t="s">
        <v>97</v>
      </c>
      <c r="G463" s="1529">
        <v>143.46</v>
      </c>
      <c r="H463" s="1530">
        <f>ROUNDDOWN(G463*E463,2)</f>
        <v>114.76</v>
      </c>
      <c r="I463" s="1642"/>
      <c r="J463" s="1797"/>
      <c r="K463" s="1797"/>
      <c r="L463" s="1784"/>
      <c r="M463" s="1785"/>
    </row>
    <row r="464" spans="1:13" s="156" customFormat="1" ht="60" x14ac:dyDescent="0.2">
      <c r="A464" s="2144">
        <v>1523</v>
      </c>
      <c r="B464" s="2144"/>
      <c r="C464" s="1516" t="s">
        <v>4448</v>
      </c>
      <c r="D464" s="182" t="s">
        <v>10970</v>
      </c>
      <c r="E464" s="1527">
        <v>8.3299999999999999E-2</v>
      </c>
      <c r="F464" s="1768" t="s">
        <v>44</v>
      </c>
      <c r="G464" s="1529">
        <v>255.45</v>
      </c>
      <c r="H464" s="1530">
        <f t="shared" ref="H464" si="59">ROUNDDOWN(G464*E464,2)</f>
        <v>21.27</v>
      </c>
      <c r="I464" s="1642"/>
      <c r="J464" s="1797"/>
      <c r="K464" s="1797"/>
      <c r="L464" s="1784"/>
      <c r="M464" s="1785"/>
    </row>
    <row r="465" spans="1:13" s="156" customFormat="1" ht="105" x14ac:dyDescent="0.2">
      <c r="A465" s="2144">
        <v>5875</v>
      </c>
      <c r="B465" s="2144"/>
      <c r="C465" s="1516" t="s">
        <v>4448</v>
      </c>
      <c r="D465" s="182" t="s">
        <v>338</v>
      </c>
      <c r="E465" s="1527">
        <v>1.1999999999999999E-3</v>
      </c>
      <c r="F465" s="1768" t="s">
        <v>97</v>
      </c>
      <c r="G465" s="1529">
        <v>79.11</v>
      </c>
      <c r="H465" s="1530">
        <f>ROUNDDOWN(G465*E465,2)</f>
        <v>0.09</v>
      </c>
      <c r="I465" s="1642"/>
      <c r="J465" s="1797"/>
      <c r="K465" s="1797"/>
      <c r="L465" s="1784"/>
      <c r="M465" s="1785"/>
    </row>
    <row r="466" spans="1:13" s="156" customFormat="1" ht="60" x14ac:dyDescent="0.2">
      <c r="A466" s="2144">
        <v>89272</v>
      </c>
      <c r="B466" s="2144"/>
      <c r="C466" s="1516" t="s">
        <v>4448</v>
      </c>
      <c r="D466" s="182" t="s">
        <v>382</v>
      </c>
      <c r="E466" s="1527">
        <v>0.4</v>
      </c>
      <c r="F466" s="1768" t="s">
        <v>97</v>
      </c>
      <c r="G466" s="1529">
        <v>109.39</v>
      </c>
      <c r="H466" s="1530">
        <f>ROUNDDOWN(G466*E466,2)</f>
        <v>43.75</v>
      </c>
      <c r="I466" s="1642"/>
      <c r="J466" s="1797"/>
      <c r="K466" s="1797"/>
      <c r="L466" s="1784"/>
      <c r="M466" s="1785"/>
    </row>
    <row r="467" spans="1:13" s="1517" customFormat="1" x14ac:dyDescent="0.25">
      <c r="A467" s="179"/>
      <c r="B467" s="179"/>
      <c r="C467" s="1531"/>
      <c r="D467" s="2141" t="s">
        <v>124</v>
      </c>
      <c r="E467" s="2141"/>
      <c r="F467" s="2141"/>
      <c r="G467" s="2141"/>
      <c r="H467" s="267">
        <f>SUMIF(F434:F466,("h"),H434:H466)</f>
        <v>594.45000000000005</v>
      </c>
      <c r="I467" s="1830"/>
      <c r="J467" s="1795"/>
      <c r="K467" s="1795"/>
      <c r="L467" s="169"/>
      <c r="M467" s="1783"/>
    </row>
    <row r="468" spans="1:13" s="1517" customFormat="1" x14ac:dyDescent="0.25">
      <c r="A468" s="179"/>
      <c r="B468" s="179"/>
      <c r="C468" s="1531"/>
      <c r="D468" s="2141" t="s">
        <v>125</v>
      </c>
      <c r="E468" s="2141"/>
      <c r="F468" s="2141"/>
      <c r="G468" s="2141"/>
      <c r="H468" s="267">
        <f>SUMIF(F434:F466,"&lt;&gt;h",H434:H466)</f>
        <v>1832.7199999999996</v>
      </c>
      <c r="I468" s="1830"/>
      <c r="J468" s="1795"/>
      <c r="K468" s="1795"/>
      <c r="L468" s="169"/>
      <c r="M468" s="1783"/>
    </row>
    <row r="469" spans="1:13" s="1517" customFormat="1" x14ac:dyDescent="0.25">
      <c r="A469" s="179"/>
      <c r="B469" s="179"/>
      <c r="C469" s="1531"/>
      <c r="D469" s="2142" t="s">
        <v>126</v>
      </c>
      <c r="E469" s="2142"/>
      <c r="F469" s="2142"/>
      <c r="G469" s="2142"/>
      <c r="H469" s="1532">
        <f>SUM(H467:H468)</f>
        <v>2427.1699999999996</v>
      </c>
      <c r="I469" s="1830"/>
      <c r="J469" s="1795"/>
      <c r="K469" s="1795"/>
      <c r="L469" s="169"/>
      <c r="M469" s="1783"/>
    </row>
    <row r="470" spans="1:13" s="1517" customFormat="1" x14ac:dyDescent="0.25">
      <c r="A470" s="179"/>
      <c r="B470" s="179"/>
      <c r="C470" s="1531"/>
      <c r="D470" s="2141" t="s">
        <v>28</v>
      </c>
      <c r="E470" s="2141"/>
      <c r="F470" s="2141"/>
      <c r="G470" s="2141"/>
      <c r="H470" s="269">
        <f>E433</f>
        <v>31.76</v>
      </c>
      <c r="I470" s="1830"/>
      <c r="J470" s="1795"/>
      <c r="K470" s="1795"/>
      <c r="L470" s="169"/>
      <c r="M470" s="1783"/>
    </row>
    <row r="471" spans="1:13" s="1517" customFormat="1" x14ac:dyDescent="0.25">
      <c r="A471" s="179"/>
      <c r="B471" s="179"/>
      <c r="C471" s="1531"/>
      <c r="D471" s="2142" t="s">
        <v>127</v>
      </c>
      <c r="E471" s="2142"/>
      <c r="F471" s="2142"/>
      <c r="G471" s="2142"/>
      <c r="H471" s="1532">
        <f>ROUND(H469*H470,2)</f>
        <v>77086.92</v>
      </c>
      <c r="I471" s="1830"/>
      <c r="J471" s="1795"/>
      <c r="K471" s="1795"/>
      <c r="L471" s="169"/>
      <c r="M471" s="1783"/>
    </row>
    <row r="472" spans="1:13" s="1517" customFormat="1" x14ac:dyDescent="0.25">
      <c r="A472" s="179"/>
      <c r="B472" s="179"/>
      <c r="C472" s="1531"/>
      <c r="D472" s="2141" t="s">
        <v>15335</v>
      </c>
      <c r="E472" s="2141"/>
      <c r="F472" s="2141"/>
      <c r="G472" s="2141"/>
      <c r="H472" s="267">
        <f>ROUND(H469*$B$13,2)</f>
        <v>653.64</v>
      </c>
      <c r="I472" s="1830"/>
      <c r="J472" s="1795"/>
      <c r="K472" s="1795"/>
      <c r="L472" s="169"/>
      <c r="M472" s="1783"/>
    </row>
    <row r="473" spans="1:13" x14ac:dyDescent="0.25">
      <c r="A473" s="179"/>
      <c r="B473" s="179"/>
      <c r="C473" s="1531"/>
      <c r="D473" s="2142" t="s">
        <v>7898</v>
      </c>
      <c r="E473" s="2142"/>
      <c r="F473" s="2142"/>
      <c r="G473" s="2142"/>
      <c r="H473" s="1532">
        <f>H472+H469</f>
        <v>3080.8099999999995</v>
      </c>
    </row>
    <row r="474" spans="1:13" x14ac:dyDescent="0.25">
      <c r="A474" s="1514"/>
      <c r="B474" s="1514"/>
      <c r="C474" s="1514"/>
      <c r="F474" s="1533"/>
      <c r="G474" s="1534"/>
      <c r="H474" s="1514"/>
    </row>
    <row r="475" spans="1:13" s="1517" customFormat="1" x14ac:dyDescent="0.25">
      <c r="A475" s="146" t="s">
        <v>6</v>
      </c>
      <c r="B475" s="2143" t="s">
        <v>7</v>
      </c>
      <c r="C475" s="2143"/>
      <c r="D475" s="1518" t="s">
        <v>121</v>
      </c>
      <c r="E475" s="278" t="s">
        <v>5282</v>
      </c>
      <c r="F475" s="1518" t="s">
        <v>31</v>
      </c>
      <c r="G475" s="1519" t="s">
        <v>122</v>
      </c>
      <c r="H475" s="1520" t="s">
        <v>123</v>
      </c>
      <c r="I475" s="1830"/>
      <c r="J475" s="1795"/>
      <c r="K475" s="1795"/>
      <c r="L475" s="169"/>
      <c r="M475" s="1783"/>
    </row>
    <row r="476" spans="1:13" s="1526" customFormat="1" ht="30" x14ac:dyDescent="0.2">
      <c r="A476" s="1769" t="str">
        <f>'Orç - Prédio'!A98</f>
        <v>03.02.330</v>
      </c>
      <c r="B476" s="1769" t="str">
        <f>'Orç - Prédio'!B98</f>
        <v>CPOS</v>
      </c>
      <c r="C476" s="1769" t="str">
        <f>'Orç - Prédio'!C98</f>
        <v>15.05.290</v>
      </c>
      <c r="D476" s="1522" t="s">
        <v>7889</v>
      </c>
      <c r="E476" s="1769">
        <f>'Orç - Prédio'!E98</f>
        <v>175.08</v>
      </c>
      <c r="F476" s="1769" t="s">
        <v>5685</v>
      </c>
      <c r="G476" s="1524">
        <v>2974.3800000000006</v>
      </c>
      <c r="H476" s="1525">
        <f>H514</f>
        <v>520754.45</v>
      </c>
      <c r="I476" s="1910" t="s">
        <v>9481</v>
      </c>
      <c r="J476" s="1793"/>
      <c r="K476" s="1793"/>
      <c r="L476" s="141"/>
      <c r="M476" s="1515"/>
    </row>
    <row r="477" spans="1:13" s="156" customFormat="1" ht="30" x14ac:dyDescent="0.2">
      <c r="A477" s="2144">
        <v>88262</v>
      </c>
      <c r="B477" s="2144"/>
      <c r="C477" s="1516" t="s">
        <v>4448</v>
      </c>
      <c r="D477" s="182" t="s">
        <v>80</v>
      </c>
      <c r="E477" s="1527">
        <v>1.94</v>
      </c>
      <c r="F477" s="1768" t="s">
        <v>65</v>
      </c>
      <c r="G477" s="1529">
        <v>20.02</v>
      </c>
      <c r="H477" s="1530">
        <f t="shared" ref="H477:H485" si="60">ROUNDDOWN(G477*E477,2)</f>
        <v>38.83</v>
      </c>
      <c r="I477" s="1642"/>
      <c r="J477" s="1797"/>
      <c r="K477" s="1797"/>
      <c r="L477" s="1784"/>
      <c r="M477" s="1785"/>
    </row>
    <row r="478" spans="1:13" s="156" customFormat="1" ht="30" x14ac:dyDescent="0.2">
      <c r="A478" s="2144">
        <v>88245</v>
      </c>
      <c r="B478" s="2144"/>
      <c r="C478" s="1516" t="s">
        <v>4448</v>
      </c>
      <c r="D478" s="182" t="s">
        <v>67</v>
      </c>
      <c r="E478" s="1527">
        <v>8.6280000000000001</v>
      </c>
      <c r="F478" s="1768" t="s">
        <v>65</v>
      </c>
      <c r="G478" s="1529">
        <v>20.059999999999999</v>
      </c>
      <c r="H478" s="1530">
        <f t="shared" si="60"/>
        <v>173.07</v>
      </c>
      <c r="I478" s="1642"/>
      <c r="J478" s="1797"/>
      <c r="K478" s="1797"/>
      <c r="L478" s="1784"/>
      <c r="M478" s="1785"/>
    </row>
    <row r="479" spans="1:13" s="156" customFormat="1" ht="30" x14ac:dyDescent="0.2">
      <c r="A479" s="2144">
        <v>88238</v>
      </c>
      <c r="B479" s="2144"/>
      <c r="C479" s="1516" t="s">
        <v>4448</v>
      </c>
      <c r="D479" s="182" t="s">
        <v>4277</v>
      </c>
      <c r="E479" s="1527">
        <v>7.1959999999999997</v>
      </c>
      <c r="F479" s="1768" t="s">
        <v>65</v>
      </c>
      <c r="G479" s="1529">
        <v>15.72</v>
      </c>
      <c r="H479" s="1530">
        <f t="shared" si="60"/>
        <v>113.12</v>
      </c>
      <c r="I479" s="1642"/>
      <c r="J479" s="1797"/>
      <c r="K479" s="1797"/>
      <c r="L479" s="1784"/>
      <c r="M479" s="1785"/>
    </row>
    <row r="480" spans="1:13" s="156" customFormat="1" ht="30" x14ac:dyDescent="0.2">
      <c r="A480" s="2144">
        <v>88309</v>
      </c>
      <c r="B480" s="2144"/>
      <c r="C480" s="1516" t="s">
        <v>4448</v>
      </c>
      <c r="D480" s="182" t="s">
        <v>87</v>
      </c>
      <c r="E480" s="1527">
        <v>6.75</v>
      </c>
      <c r="F480" s="1768" t="s">
        <v>65</v>
      </c>
      <c r="G480" s="1529">
        <v>20.149999999999999</v>
      </c>
      <c r="H480" s="1530">
        <f t="shared" si="60"/>
        <v>136.01</v>
      </c>
      <c r="I480" s="1642"/>
      <c r="J480" s="1797"/>
      <c r="K480" s="1797"/>
      <c r="L480" s="1784"/>
      <c r="M480" s="1785"/>
    </row>
    <row r="481" spans="1:13" s="156" customFormat="1" ht="30" x14ac:dyDescent="0.2">
      <c r="A481" s="2144">
        <v>88316</v>
      </c>
      <c r="B481" s="2144"/>
      <c r="C481" s="1516" t="s">
        <v>4448</v>
      </c>
      <c r="D481" s="182" t="s">
        <v>64</v>
      </c>
      <c r="E481" s="1527">
        <v>8.7899999999999991</v>
      </c>
      <c r="F481" s="1768" t="s">
        <v>65</v>
      </c>
      <c r="G481" s="1529">
        <v>15.08</v>
      </c>
      <c r="H481" s="1530">
        <f t="shared" si="60"/>
        <v>132.55000000000001</v>
      </c>
      <c r="I481" s="1642"/>
      <c r="J481" s="1797"/>
      <c r="K481" s="1797"/>
      <c r="L481" s="1784"/>
      <c r="M481" s="1785"/>
    </row>
    <row r="482" spans="1:13" s="156" customFormat="1" ht="30" x14ac:dyDescent="0.2">
      <c r="A482" s="2144">
        <v>90779</v>
      </c>
      <c r="B482" s="2144"/>
      <c r="C482" s="1516" t="s">
        <v>4448</v>
      </c>
      <c r="D482" s="182" t="s">
        <v>4344</v>
      </c>
      <c r="E482" s="1527">
        <f>0.03+0.06</f>
        <v>0.09</v>
      </c>
      <c r="F482" s="1768" t="s">
        <v>65</v>
      </c>
      <c r="G482" s="1529">
        <v>116.69</v>
      </c>
      <c r="H482" s="1530">
        <f t="shared" si="60"/>
        <v>10.5</v>
      </c>
      <c r="I482" s="1642"/>
      <c r="J482" s="1797"/>
      <c r="K482" s="1797"/>
      <c r="L482" s="1784"/>
      <c r="M482" s="1785"/>
    </row>
    <row r="483" spans="1:13" s="156" customFormat="1" ht="30" x14ac:dyDescent="0.2">
      <c r="A483" s="2144">
        <v>90777</v>
      </c>
      <c r="B483" s="2144"/>
      <c r="C483" s="1516" t="s">
        <v>4448</v>
      </c>
      <c r="D483" s="182" t="s">
        <v>4342</v>
      </c>
      <c r="E483" s="1527">
        <v>0.1</v>
      </c>
      <c r="F483" s="1768" t="s">
        <v>65</v>
      </c>
      <c r="G483" s="1529">
        <v>75.36</v>
      </c>
      <c r="H483" s="1530">
        <f t="shared" si="60"/>
        <v>7.53</v>
      </c>
      <c r="I483" s="1642"/>
      <c r="J483" s="1797"/>
      <c r="K483" s="1797"/>
      <c r="L483" s="1784"/>
      <c r="M483" s="1785"/>
    </row>
    <row r="484" spans="1:13" s="156" customFormat="1" ht="30" x14ac:dyDescent="0.2">
      <c r="A484" s="2144">
        <v>90775</v>
      </c>
      <c r="B484" s="2144"/>
      <c r="C484" s="1516" t="s">
        <v>4448</v>
      </c>
      <c r="D484" s="182" t="s">
        <v>4340</v>
      </c>
      <c r="E484" s="1527">
        <v>0.4</v>
      </c>
      <c r="F484" s="1768" t="s">
        <v>65</v>
      </c>
      <c r="G484" s="1529">
        <v>21.18</v>
      </c>
      <c r="H484" s="1530">
        <f t="shared" si="60"/>
        <v>8.4700000000000006</v>
      </c>
      <c r="I484" s="1642"/>
      <c r="J484" s="1797"/>
      <c r="K484" s="1797"/>
      <c r="L484" s="1784"/>
      <c r="M484" s="1785"/>
    </row>
    <row r="485" spans="1:13" s="156" customFormat="1" ht="30" x14ac:dyDescent="0.2">
      <c r="A485" s="2144">
        <v>90773</v>
      </c>
      <c r="B485" s="2144"/>
      <c r="C485" s="1516" t="s">
        <v>4448</v>
      </c>
      <c r="D485" s="182" t="s">
        <v>4339</v>
      </c>
      <c r="E485" s="1527">
        <v>0.7</v>
      </c>
      <c r="F485" s="1768" t="s">
        <v>65</v>
      </c>
      <c r="G485" s="1529">
        <v>11.56</v>
      </c>
      <c r="H485" s="1530">
        <f t="shared" si="60"/>
        <v>8.09</v>
      </c>
      <c r="I485" s="1642"/>
      <c r="J485" s="1797"/>
      <c r="K485" s="1797"/>
      <c r="L485" s="1784"/>
      <c r="M485" s="1785"/>
    </row>
    <row r="486" spans="1:13" s="156" customFormat="1" ht="30" x14ac:dyDescent="0.2">
      <c r="A486" s="2144">
        <v>370</v>
      </c>
      <c r="B486" s="2144"/>
      <c r="C486" s="1516" t="s">
        <v>4448</v>
      </c>
      <c r="D486" s="182" t="s">
        <v>9988</v>
      </c>
      <c r="E486" s="1527">
        <v>0.03</v>
      </c>
      <c r="F486" s="1768" t="s">
        <v>44</v>
      </c>
      <c r="G486" s="1529">
        <v>95</v>
      </c>
      <c r="H486" s="1530">
        <f t="shared" ref="H486:H496" si="61">ROUNDDOWN(G486*E486,2)</f>
        <v>2.85</v>
      </c>
      <c r="I486" s="1642"/>
      <c r="J486" s="1797"/>
      <c r="K486" s="1797"/>
      <c r="L486" s="1784"/>
      <c r="M486" s="1785"/>
    </row>
    <row r="487" spans="1:13" s="156" customFormat="1" x14ac:dyDescent="0.2">
      <c r="A487" s="2144">
        <v>1379</v>
      </c>
      <c r="B487" s="2144"/>
      <c r="C487" s="1516" t="s">
        <v>4448</v>
      </c>
      <c r="D487" s="182" t="s">
        <v>10898</v>
      </c>
      <c r="E487" s="1527">
        <v>12.13</v>
      </c>
      <c r="F487" s="1768" t="s">
        <v>48</v>
      </c>
      <c r="G487" s="1529">
        <v>0.4</v>
      </c>
      <c r="H487" s="1530">
        <f t="shared" si="61"/>
        <v>4.8499999999999996</v>
      </c>
      <c r="I487" s="1642"/>
      <c r="J487" s="1797"/>
      <c r="K487" s="1797"/>
      <c r="L487" s="1784"/>
      <c r="M487" s="1785"/>
    </row>
    <row r="488" spans="1:13" s="156" customFormat="1" ht="30" x14ac:dyDescent="0.2">
      <c r="A488" s="2144">
        <v>4729</v>
      </c>
      <c r="B488" s="2144"/>
      <c r="C488" s="1516" t="s">
        <v>4448</v>
      </c>
      <c r="D488" s="182" t="s">
        <v>13194</v>
      </c>
      <c r="E488" s="1527">
        <v>0.05</v>
      </c>
      <c r="F488" s="1768" t="s">
        <v>44</v>
      </c>
      <c r="G488" s="1529">
        <v>94.48</v>
      </c>
      <c r="H488" s="1530">
        <f t="shared" si="61"/>
        <v>4.72</v>
      </c>
      <c r="I488" s="1642"/>
      <c r="J488" s="1797"/>
      <c r="K488" s="1797"/>
      <c r="L488" s="1784"/>
      <c r="M488" s="1785"/>
    </row>
    <row r="489" spans="1:13" s="156" customFormat="1" ht="45" x14ac:dyDescent="0.2">
      <c r="A489" s="2144">
        <v>4720</v>
      </c>
      <c r="B489" s="2144"/>
      <c r="C489" s="1516" t="s">
        <v>4448</v>
      </c>
      <c r="D489" s="182" t="s">
        <v>13195</v>
      </c>
      <c r="E489" s="1527">
        <v>0.01</v>
      </c>
      <c r="F489" s="1768" t="s">
        <v>44</v>
      </c>
      <c r="G489" s="1529">
        <v>103.31</v>
      </c>
      <c r="H489" s="1530">
        <f t="shared" si="61"/>
        <v>1.03</v>
      </c>
      <c r="I489" s="1642"/>
      <c r="J489" s="1797"/>
      <c r="K489" s="1797"/>
      <c r="L489" s="1784"/>
      <c r="M489" s="1785"/>
    </row>
    <row r="490" spans="1:13" s="156" customFormat="1" ht="60" x14ac:dyDescent="0.2">
      <c r="A490" s="2144">
        <v>34479</v>
      </c>
      <c r="B490" s="2144"/>
      <c r="C490" s="1516" t="s">
        <v>4448</v>
      </c>
      <c r="D490" s="182" t="s">
        <v>10964</v>
      </c>
      <c r="E490" s="1527">
        <v>1.03</v>
      </c>
      <c r="F490" s="1768" t="s">
        <v>44</v>
      </c>
      <c r="G490" s="1529">
        <v>341.57</v>
      </c>
      <c r="H490" s="1530">
        <f t="shared" si="61"/>
        <v>351.81</v>
      </c>
      <c r="I490" s="1642"/>
      <c r="J490" s="1797"/>
      <c r="K490" s="1797"/>
      <c r="L490" s="1784"/>
      <c r="M490" s="1785"/>
    </row>
    <row r="491" spans="1:13" s="156" customFormat="1" ht="45" x14ac:dyDescent="0.2">
      <c r="A491" s="2144">
        <v>4491</v>
      </c>
      <c r="B491" s="2144"/>
      <c r="C491" s="1516" t="s">
        <v>4448</v>
      </c>
      <c r="D491" s="182" t="s">
        <v>13384</v>
      </c>
      <c r="E491" s="1527">
        <v>2.16</v>
      </c>
      <c r="F491" s="1768" t="s">
        <v>47</v>
      </c>
      <c r="G491" s="1529">
        <v>3.56</v>
      </c>
      <c r="H491" s="1530">
        <f t="shared" si="61"/>
        <v>7.68</v>
      </c>
      <c r="I491" s="1642"/>
      <c r="J491" s="1797"/>
      <c r="K491" s="1797"/>
      <c r="L491" s="1784"/>
      <c r="M491" s="1785"/>
    </row>
    <row r="492" spans="1:13" s="156" customFormat="1" ht="45" x14ac:dyDescent="0.2">
      <c r="A492" s="2144">
        <v>4460</v>
      </c>
      <c r="B492" s="2144"/>
      <c r="C492" s="1516" t="s">
        <v>4448</v>
      </c>
      <c r="D492" s="182" t="s">
        <v>13732</v>
      </c>
      <c r="E492" s="1527">
        <v>2.75</v>
      </c>
      <c r="F492" s="1768" t="s">
        <v>47</v>
      </c>
      <c r="G492" s="1529">
        <v>9.2100000000000009</v>
      </c>
      <c r="H492" s="1530">
        <f t="shared" si="61"/>
        <v>25.32</v>
      </c>
      <c r="I492" s="1642"/>
      <c r="J492" s="1797"/>
      <c r="K492" s="1797"/>
      <c r="L492" s="1784"/>
      <c r="M492" s="1785"/>
    </row>
    <row r="493" spans="1:13" s="156" customFormat="1" ht="60" x14ac:dyDescent="0.2">
      <c r="A493" s="2144">
        <v>6188</v>
      </c>
      <c r="B493" s="2144"/>
      <c r="C493" s="1516" t="s">
        <v>4448</v>
      </c>
      <c r="D493" s="182" t="s">
        <v>9651</v>
      </c>
      <c r="E493" s="1527">
        <v>0.52</v>
      </c>
      <c r="F493" s="1768" t="s">
        <v>45</v>
      </c>
      <c r="G493" s="1529">
        <v>23.99</v>
      </c>
      <c r="H493" s="1530">
        <f t="shared" si="61"/>
        <v>12.47</v>
      </c>
      <c r="I493" s="1642"/>
      <c r="J493" s="1797"/>
      <c r="K493" s="1797"/>
      <c r="L493" s="1784"/>
      <c r="M493" s="1785"/>
    </row>
    <row r="494" spans="1:13" s="156" customFormat="1" ht="60" x14ac:dyDescent="0.2">
      <c r="A494" s="2144">
        <v>1357</v>
      </c>
      <c r="B494" s="2144"/>
      <c r="C494" s="1516" t="s">
        <v>4448</v>
      </c>
      <c r="D494" s="182" t="s">
        <v>9620</v>
      </c>
      <c r="E494" s="1527">
        <v>0.46</v>
      </c>
      <c r="F494" s="1768" t="s">
        <v>39</v>
      </c>
      <c r="G494" s="1529">
        <v>52.66</v>
      </c>
      <c r="H494" s="1530">
        <f t="shared" si="61"/>
        <v>24.22</v>
      </c>
      <c r="I494" s="1642"/>
      <c r="J494" s="1797"/>
      <c r="K494" s="1797"/>
      <c r="L494" s="1784"/>
      <c r="M494" s="1785"/>
    </row>
    <row r="495" spans="1:13" s="1859" customFormat="1" ht="30" x14ac:dyDescent="0.2">
      <c r="A495" s="2148">
        <v>43058</v>
      </c>
      <c r="B495" s="2148"/>
      <c r="C495" s="1877" t="s">
        <v>4448</v>
      </c>
      <c r="D495" s="1850" t="s">
        <v>9720</v>
      </c>
      <c r="E495" s="1864">
        <v>27.8</v>
      </c>
      <c r="F495" s="1889" t="s">
        <v>48</v>
      </c>
      <c r="G495" s="367">
        <v>5.44</v>
      </c>
      <c r="H495" s="1852">
        <f t="shared" si="61"/>
        <v>151.22999999999999</v>
      </c>
      <c r="I495" s="1856"/>
      <c r="J495" s="1797"/>
      <c r="K495" s="1797"/>
      <c r="L495" s="1784"/>
      <c r="M495" s="1785"/>
    </row>
    <row r="496" spans="1:13" s="1859" customFormat="1" ht="30" x14ac:dyDescent="0.2">
      <c r="A496" s="2148">
        <v>43061</v>
      </c>
      <c r="B496" s="2148"/>
      <c r="C496" s="1877" t="s">
        <v>4448</v>
      </c>
      <c r="D496" s="1850" t="s">
        <v>9728</v>
      </c>
      <c r="E496" s="1864">
        <v>0.95</v>
      </c>
      <c r="F496" s="1889" t="s">
        <v>48</v>
      </c>
      <c r="G496" s="367">
        <v>5.42</v>
      </c>
      <c r="H496" s="1852">
        <f t="shared" si="61"/>
        <v>5.14</v>
      </c>
      <c r="I496" s="1856"/>
      <c r="J496" s="1797"/>
      <c r="K496" s="1797"/>
      <c r="L496" s="1784"/>
      <c r="M496" s="1785"/>
    </row>
    <row r="497" spans="1:13" s="156" customFormat="1" ht="60" x14ac:dyDescent="0.2">
      <c r="A497" s="2144">
        <v>7155</v>
      </c>
      <c r="B497" s="2144"/>
      <c r="C497" s="1516" t="s">
        <v>4448</v>
      </c>
      <c r="D497" s="182" t="s">
        <v>14141</v>
      </c>
      <c r="E497" s="1527">
        <v>108.75</v>
      </c>
      <c r="F497" s="1768" t="s">
        <v>45</v>
      </c>
      <c r="G497" s="1529">
        <v>13.24</v>
      </c>
      <c r="H497" s="1530">
        <f>ROUNDDOWN(G497*E497,2)</f>
        <v>1439.85</v>
      </c>
      <c r="I497" s="1642"/>
      <c r="J497" s="1797"/>
      <c r="K497" s="1797"/>
      <c r="L497" s="1784"/>
      <c r="M497" s="1785"/>
    </row>
    <row r="498" spans="1:13" s="156" customFormat="1" ht="30" x14ac:dyDescent="0.2">
      <c r="A498" s="2144">
        <v>1330</v>
      </c>
      <c r="B498" s="2144"/>
      <c r="C498" s="1516" t="s">
        <v>4448</v>
      </c>
      <c r="D498" s="182" t="s">
        <v>10817</v>
      </c>
      <c r="E498" s="1527">
        <v>8.92</v>
      </c>
      <c r="F498" s="1768" t="s">
        <v>48</v>
      </c>
      <c r="G498" s="1529">
        <v>5.36</v>
      </c>
      <c r="H498" s="1530">
        <f>ROUNDDOWN(G498*E498,2)</f>
        <v>47.81</v>
      </c>
      <c r="I498" s="1642"/>
      <c r="J498" s="1797"/>
      <c r="K498" s="1797"/>
      <c r="L498" s="1784"/>
      <c r="M498" s="1785"/>
    </row>
    <row r="499" spans="1:13" s="156" customFormat="1" ht="45" x14ac:dyDescent="0.2">
      <c r="A499" s="2144" t="s">
        <v>7892</v>
      </c>
      <c r="B499" s="2144"/>
      <c r="C499" s="1496" t="s">
        <v>5696</v>
      </c>
      <c r="D499" s="1497" t="s">
        <v>7893</v>
      </c>
      <c r="E499" s="1527">
        <v>1</v>
      </c>
      <c r="F499" s="1768" t="s">
        <v>31</v>
      </c>
      <c r="G499" s="367">
        <v>14.11</v>
      </c>
      <c r="H499" s="1530">
        <f t="shared" ref="H499:H504" si="62">ROUNDDOWN(G499*E499,2)</f>
        <v>14.11</v>
      </c>
      <c r="I499" s="1642"/>
      <c r="J499" s="1797"/>
      <c r="K499" s="1797"/>
      <c r="L499" s="1784"/>
      <c r="M499" s="1785"/>
    </row>
    <row r="500" spans="1:13" s="156" customFormat="1" ht="30" x14ac:dyDescent="0.2">
      <c r="A500" s="2144" t="s">
        <v>7894</v>
      </c>
      <c r="B500" s="2144"/>
      <c r="C500" s="1496" t="s">
        <v>5696</v>
      </c>
      <c r="D500" s="1497" t="s">
        <v>7895</v>
      </c>
      <c r="E500" s="1527">
        <v>0.05</v>
      </c>
      <c r="F500" s="1768" t="s">
        <v>31</v>
      </c>
      <c r="G500" s="367">
        <v>437.29</v>
      </c>
      <c r="H500" s="1530">
        <f t="shared" si="62"/>
        <v>21.86</v>
      </c>
      <c r="I500" s="1642"/>
      <c r="J500" s="1797"/>
      <c r="K500" s="1797"/>
      <c r="L500" s="1784"/>
      <c r="M500" s="1785"/>
    </row>
    <row r="501" spans="1:13" s="156" customFormat="1" ht="30" x14ac:dyDescent="0.2">
      <c r="A501" s="2144" t="s">
        <v>7896</v>
      </c>
      <c r="B501" s="2144"/>
      <c r="C501" s="1496" t="s">
        <v>5696</v>
      </c>
      <c r="D501" s="1497" t="s">
        <v>7897</v>
      </c>
      <c r="E501" s="1527">
        <v>0.05</v>
      </c>
      <c r="F501" s="1768" t="s">
        <v>31</v>
      </c>
      <c r="G501" s="367">
        <v>35.82</v>
      </c>
      <c r="H501" s="1530">
        <f t="shared" si="62"/>
        <v>1.79</v>
      </c>
      <c r="I501" s="1642"/>
      <c r="J501" s="1797"/>
      <c r="K501" s="1797"/>
      <c r="L501" s="1784"/>
      <c r="M501" s="1785"/>
    </row>
    <row r="502" spans="1:13" s="156" customFormat="1" ht="30" x14ac:dyDescent="0.2">
      <c r="A502" s="2144">
        <v>5061</v>
      </c>
      <c r="B502" s="2144"/>
      <c r="C502" s="1516" t="s">
        <v>4448</v>
      </c>
      <c r="D502" s="182" t="s">
        <v>13499</v>
      </c>
      <c r="E502" s="1527">
        <v>0.81</v>
      </c>
      <c r="F502" s="1768" t="s">
        <v>48</v>
      </c>
      <c r="G502" s="1529">
        <v>9.9</v>
      </c>
      <c r="H502" s="1530">
        <f t="shared" si="62"/>
        <v>8.01</v>
      </c>
      <c r="I502" s="1642"/>
      <c r="J502" s="1797"/>
      <c r="K502" s="1797"/>
      <c r="L502" s="1784"/>
      <c r="M502" s="1785"/>
    </row>
    <row r="503" spans="1:13" s="156" customFormat="1" ht="30" x14ac:dyDescent="0.2">
      <c r="A503" s="2144">
        <v>345</v>
      </c>
      <c r="B503" s="2144"/>
      <c r="C503" s="1516" t="s">
        <v>4448</v>
      </c>
      <c r="D503" s="182" t="s">
        <v>9981</v>
      </c>
      <c r="E503" s="1527">
        <v>1.36</v>
      </c>
      <c r="F503" s="1768" t="s">
        <v>48</v>
      </c>
      <c r="G503" s="1529">
        <v>19.18</v>
      </c>
      <c r="H503" s="1530">
        <f t="shared" si="62"/>
        <v>26.08</v>
      </c>
      <c r="I503" s="1642"/>
      <c r="J503" s="1797"/>
      <c r="K503" s="1797"/>
      <c r="L503" s="1784"/>
      <c r="M503" s="1785"/>
    </row>
    <row r="504" spans="1:13" s="156" customFormat="1" ht="45" x14ac:dyDescent="0.2">
      <c r="A504" s="2144">
        <v>2692</v>
      </c>
      <c r="B504" s="2144"/>
      <c r="C504" s="1516" t="s">
        <v>4448</v>
      </c>
      <c r="D504" s="182" t="s">
        <v>11459</v>
      </c>
      <c r="E504" s="1527">
        <v>3.31</v>
      </c>
      <c r="F504" s="1768" t="s">
        <v>49</v>
      </c>
      <c r="G504" s="1529">
        <v>4.57</v>
      </c>
      <c r="H504" s="1530">
        <f t="shared" si="62"/>
        <v>15.12</v>
      </c>
      <c r="I504" s="1642"/>
      <c r="J504" s="1797"/>
      <c r="K504" s="1797"/>
      <c r="L504" s="1784"/>
      <c r="M504" s="1785"/>
    </row>
    <row r="505" spans="1:13" s="156" customFormat="1" ht="60" x14ac:dyDescent="0.2">
      <c r="A505" s="2144">
        <v>87445</v>
      </c>
      <c r="B505" s="2144"/>
      <c r="C505" s="1516" t="s">
        <v>4448</v>
      </c>
      <c r="D505" s="182" t="s">
        <v>364</v>
      </c>
      <c r="E505" s="1527">
        <v>0.12</v>
      </c>
      <c r="F505" s="1768" t="s">
        <v>97</v>
      </c>
      <c r="G505" s="1529">
        <v>3.31</v>
      </c>
      <c r="H505" s="1530">
        <f>ROUNDDOWN(G505*E505,2)</f>
        <v>0.39</v>
      </c>
      <c r="I505" s="1642"/>
      <c r="J505" s="1797"/>
      <c r="K505" s="1797"/>
      <c r="L505" s="1784"/>
      <c r="M505" s="1785"/>
    </row>
    <row r="506" spans="1:13" s="156" customFormat="1" ht="90" x14ac:dyDescent="0.2">
      <c r="A506" s="2144">
        <v>93402</v>
      </c>
      <c r="B506" s="2144"/>
      <c r="C506" s="1516" t="s">
        <v>4448</v>
      </c>
      <c r="D506" s="182" t="s">
        <v>428</v>
      </c>
      <c r="E506" s="1527">
        <v>0.8</v>
      </c>
      <c r="F506" s="1768" t="s">
        <v>97</v>
      </c>
      <c r="G506" s="1529">
        <v>143.46</v>
      </c>
      <c r="H506" s="1530">
        <f>ROUNDDOWN(G506*E506,2)</f>
        <v>114.76</v>
      </c>
      <c r="I506" s="1642"/>
      <c r="J506" s="1797"/>
      <c r="K506" s="1797"/>
      <c r="L506" s="1784"/>
      <c r="M506" s="1785"/>
    </row>
    <row r="507" spans="1:13" s="156" customFormat="1" ht="60" x14ac:dyDescent="0.2">
      <c r="A507" s="2144">
        <v>1523</v>
      </c>
      <c r="B507" s="2144"/>
      <c r="C507" s="1516" t="s">
        <v>4448</v>
      </c>
      <c r="D507" s="182" t="s">
        <v>10970</v>
      </c>
      <c r="E507" s="1527">
        <v>8.3299999999999999E-2</v>
      </c>
      <c r="F507" s="1768" t="s">
        <v>44</v>
      </c>
      <c r="G507" s="1529">
        <v>255.45</v>
      </c>
      <c r="H507" s="1530">
        <f t="shared" ref="H507" si="63">ROUNDDOWN(G507*E507,2)</f>
        <v>21.27</v>
      </c>
      <c r="I507" s="1642"/>
      <c r="J507" s="1797"/>
      <c r="K507" s="1797"/>
      <c r="L507" s="1784"/>
      <c r="M507" s="1785"/>
    </row>
    <row r="508" spans="1:13" s="156" customFormat="1" ht="105" x14ac:dyDescent="0.2">
      <c r="A508" s="2144">
        <v>5875</v>
      </c>
      <c r="B508" s="2144"/>
      <c r="C508" s="1516" t="s">
        <v>4448</v>
      </c>
      <c r="D508" s="182" t="s">
        <v>338</v>
      </c>
      <c r="E508" s="1527">
        <v>1.1999999999999999E-3</v>
      </c>
      <c r="F508" s="1768" t="s">
        <v>97</v>
      </c>
      <c r="G508" s="1529">
        <v>79.11</v>
      </c>
      <c r="H508" s="1530">
        <f>ROUNDDOWN(G508*E508,2)</f>
        <v>0.09</v>
      </c>
      <c r="I508" s="1642"/>
      <c r="J508" s="1797"/>
      <c r="K508" s="1797"/>
      <c r="L508" s="1784"/>
      <c r="M508" s="1785"/>
    </row>
    <row r="509" spans="1:13" s="156" customFormat="1" ht="60" x14ac:dyDescent="0.2">
      <c r="A509" s="2144">
        <v>89272</v>
      </c>
      <c r="B509" s="2144"/>
      <c r="C509" s="1516" t="s">
        <v>4448</v>
      </c>
      <c r="D509" s="182" t="s">
        <v>382</v>
      </c>
      <c r="E509" s="1527">
        <v>0.4</v>
      </c>
      <c r="F509" s="1768" t="s">
        <v>97</v>
      </c>
      <c r="G509" s="1529">
        <v>109.39</v>
      </c>
      <c r="H509" s="1530">
        <f>ROUNDDOWN(G509*E509,2)</f>
        <v>43.75</v>
      </c>
      <c r="I509" s="1642"/>
      <c r="J509" s="1797"/>
      <c r="K509" s="1797"/>
      <c r="L509" s="1784"/>
      <c r="M509" s="1785"/>
    </row>
    <row r="510" spans="1:13" s="1517" customFormat="1" x14ac:dyDescent="0.25">
      <c r="A510" s="179"/>
      <c r="B510" s="179"/>
      <c r="C510" s="1531"/>
      <c r="D510" s="2141" t="s">
        <v>124</v>
      </c>
      <c r="E510" s="2141"/>
      <c r="F510" s="2141"/>
      <c r="G510" s="2141"/>
      <c r="H510" s="267">
        <f>SUMIF(F477:F509,("h"),H477:H509)</f>
        <v>628.16999999999996</v>
      </c>
      <c r="I510" s="1830"/>
      <c r="J510" s="1795"/>
      <c r="K510" s="1795"/>
      <c r="L510" s="169"/>
      <c r="M510" s="1783"/>
    </row>
    <row r="511" spans="1:13" s="1517" customFormat="1" x14ac:dyDescent="0.25">
      <c r="A511" s="179"/>
      <c r="B511" s="179"/>
      <c r="C511" s="1531"/>
      <c r="D511" s="2141" t="s">
        <v>125</v>
      </c>
      <c r="E511" s="2141"/>
      <c r="F511" s="2141"/>
      <c r="G511" s="2141"/>
      <c r="H511" s="267">
        <f>SUMIF(F477:F509,"&lt;&gt;h",H477:H509)</f>
        <v>2346.2100000000005</v>
      </c>
      <c r="I511" s="1830"/>
      <c r="J511" s="1795"/>
      <c r="K511" s="1795"/>
      <c r="L511" s="169"/>
      <c r="M511" s="1783"/>
    </row>
    <row r="512" spans="1:13" s="1517" customFormat="1" x14ac:dyDescent="0.25">
      <c r="A512" s="179"/>
      <c r="B512" s="179"/>
      <c r="C512" s="1531"/>
      <c r="D512" s="2142" t="s">
        <v>126</v>
      </c>
      <c r="E512" s="2142"/>
      <c r="F512" s="2142"/>
      <c r="G512" s="2142"/>
      <c r="H512" s="1532">
        <f>SUM(H510:H511)</f>
        <v>2974.3800000000006</v>
      </c>
      <c r="I512" s="1830"/>
      <c r="J512" s="1795"/>
      <c r="K512" s="1795"/>
      <c r="L512" s="169"/>
      <c r="M512" s="1783"/>
    </row>
    <row r="513" spans="1:13" s="1517" customFormat="1" x14ac:dyDescent="0.25">
      <c r="A513" s="179"/>
      <c r="B513" s="179"/>
      <c r="C513" s="1531"/>
      <c r="D513" s="2141" t="s">
        <v>28</v>
      </c>
      <c r="E513" s="2141"/>
      <c r="F513" s="2141"/>
      <c r="G513" s="2141"/>
      <c r="H513" s="269">
        <f>E476</f>
        <v>175.08</v>
      </c>
      <c r="I513" s="1830"/>
      <c r="J513" s="1795"/>
      <c r="K513" s="1795"/>
      <c r="L513" s="169"/>
      <c r="M513" s="1783"/>
    </row>
    <row r="514" spans="1:13" s="1517" customFormat="1" x14ac:dyDescent="0.25">
      <c r="A514" s="179"/>
      <c r="B514" s="179"/>
      <c r="C514" s="1531"/>
      <c r="D514" s="2142" t="s">
        <v>127</v>
      </c>
      <c r="E514" s="2142"/>
      <c r="F514" s="2142"/>
      <c r="G514" s="2142"/>
      <c r="H514" s="1532">
        <f>ROUND(H512*H513,2)</f>
        <v>520754.45</v>
      </c>
      <c r="I514" s="1830"/>
      <c r="J514" s="1795"/>
      <c r="K514" s="1795"/>
      <c r="L514" s="169"/>
      <c r="M514" s="1783"/>
    </row>
    <row r="515" spans="1:13" s="1517" customFormat="1" x14ac:dyDescent="0.25">
      <c r="A515" s="179"/>
      <c r="B515" s="179"/>
      <c r="C515" s="1531"/>
      <c r="D515" s="2141" t="s">
        <v>15335</v>
      </c>
      <c r="E515" s="2141"/>
      <c r="F515" s="2141"/>
      <c r="G515" s="2141"/>
      <c r="H515" s="267">
        <f>ROUND(H512*$B$13,2)</f>
        <v>801</v>
      </c>
      <c r="I515" s="1830"/>
      <c r="J515" s="1795"/>
      <c r="K515" s="1795"/>
      <c r="L515" s="169"/>
      <c r="M515" s="1783"/>
    </row>
    <row r="516" spans="1:13" x14ac:dyDescent="0.25">
      <c r="A516" s="179"/>
      <c r="B516" s="179"/>
      <c r="C516" s="1531"/>
      <c r="D516" s="2142" t="s">
        <v>7898</v>
      </c>
      <c r="E516" s="2142"/>
      <c r="F516" s="2142"/>
      <c r="G516" s="2142"/>
      <c r="H516" s="1532">
        <f>H515+H512</f>
        <v>3775.3800000000006</v>
      </c>
    </row>
    <row r="517" spans="1:13" x14ac:dyDescent="0.25">
      <c r="A517" s="1514"/>
      <c r="B517" s="1514"/>
      <c r="C517" s="1514"/>
      <c r="F517" s="1533"/>
      <c r="G517" s="1534"/>
      <c r="H517" s="1514"/>
    </row>
    <row r="518" spans="1:13" s="1517" customFormat="1" x14ac:dyDescent="0.25">
      <c r="A518" s="146" t="s">
        <v>6</v>
      </c>
      <c r="B518" s="2143" t="s">
        <v>7</v>
      </c>
      <c r="C518" s="2143"/>
      <c r="D518" s="158" t="s">
        <v>121</v>
      </c>
      <c r="E518" s="278" t="s">
        <v>5282</v>
      </c>
      <c r="F518" s="158" t="s">
        <v>31</v>
      </c>
      <c r="G518" s="153" t="s">
        <v>122</v>
      </c>
      <c r="H518" s="144" t="s">
        <v>123</v>
      </c>
      <c r="I518" s="1830"/>
      <c r="J518" s="1795"/>
      <c r="K518" s="1795"/>
      <c r="L518" s="169"/>
      <c r="M518" s="1783"/>
    </row>
    <row r="519" spans="1:13" s="1526" customFormat="1" ht="60" x14ac:dyDescent="0.2">
      <c r="A519" s="150" t="str">
        <f>'Orç - Prédio'!A99</f>
        <v>03.02.340</v>
      </c>
      <c r="B519" s="150" t="str">
        <f>'Orç - Prédio'!B99</f>
        <v>CPOS</v>
      </c>
      <c r="C519" s="150" t="str">
        <f>'Orç - Prédio'!C99</f>
        <v>13.03.150</v>
      </c>
      <c r="D519" s="163" t="s">
        <v>7891</v>
      </c>
      <c r="E519" s="292">
        <f>'Orç - Prédio'!E99</f>
        <v>1931.39</v>
      </c>
      <c r="F519" s="150" t="s">
        <v>5286</v>
      </c>
      <c r="G519" s="173">
        <v>229.09</v>
      </c>
      <c r="H519" s="151">
        <f>H533</f>
        <v>442462.14</v>
      </c>
      <c r="I519" s="1910" t="s">
        <v>9481</v>
      </c>
      <c r="J519" s="1793"/>
      <c r="K519" s="1793"/>
      <c r="L519" s="141"/>
      <c r="M519" s="1515"/>
    </row>
    <row r="520" spans="1:13" s="156" customFormat="1" ht="30" x14ac:dyDescent="0.2">
      <c r="A520" s="2144">
        <v>88309</v>
      </c>
      <c r="B520" s="2144"/>
      <c r="C520" s="209" t="s">
        <v>4448</v>
      </c>
      <c r="D520" s="182" t="s">
        <v>87</v>
      </c>
      <c r="E520" s="295">
        <v>0.16</v>
      </c>
      <c r="F520" s="171" t="s">
        <v>65</v>
      </c>
      <c r="G520" s="167">
        <v>20.149999999999999</v>
      </c>
      <c r="H520" s="148">
        <f>ROUNDDOWN(G520*E520,2)</f>
        <v>3.22</v>
      </c>
      <c r="I520" s="1642"/>
      <c r="J520" s="1797"/>
      <c r="K520" s="1797"/>
      <c r="L520" s="1784"/>
      <c r="M520" s="1785"/>
    </row>
    <row r="521" spans="1:13" s="156" customFormat="1" ht="30" x14ac:dyDescent="0.2">
      <c r="A521" s="2144">
        <v>88316</v>
      </c>
      <c r="B521" s="2144"/>
      <c r="C521" s="209" t="s">
        <v>4448</v>
      </c>
      <c r="D521" s="182" t="s">
        <v>64</v>
      </c>
      <c r="E521" s="295">
        <v>0.24</v>
      </c>
      <c r="F521" s="171" t="s">
        <v>65</v>
      </c>
      <c r="G521" s="167">
        <v>15.08</v>
      </c>
      <c r="H521" s="148">
        <f>ROUNDDOWN(G521*E521,2)</f>
        <v>3.61</v>
      </c>
      <c r="I521" s="1642"/>
      <c r="J521" s="1797"/>
      <c r="K521" s="1797"/>
      <c r="L521" s="1784"/>
      <c r="M521" s="1785"/>
    </row>
    <row r="522" spans="1:13" s="156" customFormat="1" ht="30" x14ac:dyDescent="0.2">
      <c r="A522" s="2144">
        <v>370</v>
      </c>
      <c r="B522" s="2144"/>
      <c r="C522" s="209" t="s">
        <v>4448</v>
      </c>
      <c r="D522" s="182" t="s">
        <v>9988</v>
      </c>
      <c r="E522" s="295">
        <v>6.6E-3</v>
      </c>
      <c r="F522" s="171" t="s">
        <v>44</v>
      </c>
      <c r="G522" s="167">
        <v>95</v>
      </c>
      <c r="H522" s="148">
        <f t="shared" ref="H522:H527" si="64">ROUNDDOWN(G522*E522,2)</f>
        <v>0.62</v>
      </c>
      <c r="I522" s="1642"/>
      <c r="J522" s="1797"/>
      <c r="K522" s="1797"/>
      <c r="L522" s="1784"/>
      <c r="M522" s="1785"/>
    </row>
    <row r="523" spans="1:13" s="156" customFormat="1" x14ac:dyDescent="0.2">
      <c r="A523" s="2144">
        <v>1379</v>
      </c>
      <c r="B523" s="2144"/>
      <c r="C523" s="209" t="s">
        <v>4448</v>
      </c>
      <c r="D523" s="182" t="s">
        <v>10898</v>
      </c>
      <c r="E523" s="295">
        <v>4.0209999999999999</v>
      </c>
      <c r="F523" s="171" t="s">
        <v>48</v>
      </c>
      <c r="G523" s="167">
        <v>0.4</v>
      </c>
      <c r="H523" s="148">
        <f t="shared" si="64"/>
        <v>1.6</v>
      </c>
      <c r="I523" s="1642"/>
      <c r="J523" s="1797"/>
      <c r="K523" s="1797"/>
      <c r="L523" s="1784"/>
      <c r="M523" s="1785"/>
    </row>
    <row r="524" spans="1:13" s="156" customFormat="1" ht="45" x14ac:dyDescent="0.2">
      <c r="A524" s="2144">
        <v>4720</v>
      </c>
      <c r="B524" s="2144"/>
      <c r="C524" s="209" t="s">
        <v>4448</v>
      </c>
      <c r="D524" s="182" t="s">
        <v>13195</v>
      </c>
      <c r="E524" s="295">
        <v>8.8000000000000005E-3</v>
      </c>
      <c r="F524" s="171" t="s">
        <v>44</v>
      </c>
      <c r="G524" s="167">
        <v>103.31</v>
      </c>
      <c r="H524" s="148">
        <f t="shared" si="64"/>
        <v>0.9</v>
      </c>
      <c r="I524" s="1642"/>
      <c r="J524" s="1797"/>
      <c r="K524" s="1797"/>
      <c r="L524" s="1784"/>
      <c r="M524" s="1785"/>
    </row>
    <row r="525" spans="1:13" s="156" customFormat="1" ht="60" x14ac:dyDescent="0.2">
      <c r="A525" s="2144">
        <v>7155</v>
      </c>
      <c r="B525" s="2144"/>
      <c r="C525" s="209" t="s">
        <v>4448</v>
      </c>
      <c r="D525" s="182" t="s">
        <v>14141</v>
      </c>
      <c r="E525" s="295">
        <v>1</v>
      </c>
      <c r="F525" s="171" t="s">
        <v>45</v>
      </c>
      <c r="G525" s="167">
        <v>13.24</v>
      </c>
      <c r="H525" s="148">
        <f t="shared" si="64"/>
        <v>13.24</v>
      </c>
      <c r="I525" s="1642"/>
      <c r="J525" s="1797"/>
      <c r="K525" s="1797"/>
      <c r="L525" s="1784"/>
      <c r="M525" s="1785"/>
    </row>
    <row r="526" spans="1:13" s="156" customFormat="1" ht="60" x14ac:dyDescent="0.2">
      <c r="A526" s="2144">
        <v>34493</v>
      </c>
      <c r="B526" s="2144"/>
      <c r="C526" s="209" t="s">
        <v>4448</v>
      </c>
      <c r="D526" s="182" t="s">
        <v>10953</v>
      </c>
      <c r="E526" s="295">
        <v>5.5E-2</v>
      </c>
      <c r="F526" s="171" t="s">
        <v>44</v>
      </c>
      <c r="G526" s="167">
        <v>263.42</v>
      </c>
      <c r="H526" s="148">
        <f t="shared" si="64"/>
        <v>14.48</v>
      </c>
      <c r="I526" s="1642"/>
      <c r="J526" s="1797"/>
      <c r="K526" s="1797"/>
      <c r="L526" s="1784"/>
      <c r="M526" s="1785"/>
    </row>
    <row r="527" spans="1:13" s="156" customFormat="1" ht="30" x14ac:dyDescent="0.2">
      <c r="A527" s="2144" t="s">
        <v>8570</v>
      </c>
      <c r="B527" s="2144"/>
      <c r="C527" s="210" t="s">
        <v>8563</v>
      </c>
      <c r="D527" s="152" t="s">
        <v>8571</v>
      </c>
      <c r="E527" s="295">
        <v>1</v>
      </c>
      <c r="F527" s="171" t="s">
        <v>306</v>
      </c>
      <c r="G527" s="367">
        <v>184.13</v>
      </c>
      <c r="H527" s="148">
        <f t="shared" si="64"/>
        <v>184.13</v>
      </c>
      <c r="I527" s="1642"/>
      <c r="J527" s="1797"/>
      <c r="K527" s="1797"/>
      <c r="L527" s="1784"/>
      <c r="M527" s="1785"/>
    </row>
    <row r="528" spans="1:13" s="156" customFormat="1" ht="60" x14ac:dyDescent="0.2">
      <c r="A528" s="2144">
        <v>89272</v>
      </c>
      <c r="B528" s="2144"/>
      <c r="C528" s="209" t="s">
        <v>4448</v>
      </c>
      <c r="D528" s="182" t="s">
        <v>382</v>
      </c>
      <c r="E528" s="295">
        <v>6.6699999999999995E-2</v>
      </c>
      <c r="F528" s="171" t="s">
        <v>97</v>
      </c>
      <c r="G528" s="167">
        <v>109.39</v>
      </c>
      <c r="H528" s="148">
        <f>ROUNDDOWN(G528*E528,2)</f>
        <v>7.29</v>
      </c>
      <c r="I528" s="1642"/>
      <c r="J528" s="1797"/>
      <c r="K528" s="1797"/>
      <c r="L528" s="1784"/>
      <c r="M528" s="1785"/>
    </row>
    <row r="529" spans="1:13" s="1517" customFormat="1" x14ac:dyDescent="0.25">
      <c r="A529" s="179"/>
      <c r="B529" s="179"/>
      <c r="C529" s="157"/>
      <c r="D529" s="2141" t="s">
        <v>124</v>
      </c>
      <c r="E529" s="2141"/>
      <c r="F529" s="2141"/>
      <c r="G529" s="2141"/>
      <c r="H529" s="154">
        <f>SUMIF(F520:F528,("h"),H520:H528)</f>
        <v>6.83</v>
      </c>
      <c r="I529" s="1830"/>
      <c r="J529" s="1795"/>
      <c r="K529" s="1795"/>
      <c r="L529" s="169"/>
      <c r="M529" s="1783"/>
    </row>
    <row r="530" spans="1:13" s="1517" customFormat="1" x14ac:dyDescent="0.25">
      <c r="A530" s="179"/>
      <c r="B530" s="179"/>
      <c r="C530" s="157"/>
      <c r="D530" s="2141" t="s">
        <v>125</v>
      </c>
      <c r="E530" s="2141"/>
      <c r="F530" s="2141"/>
      <c r="G530" s="2141"/>
      <c r="H530" s="154">
        <f>SUMIF(F520:F528,"&lt;&gt;h",H520:H528)</f>
        <v>222.26</v>
      </c>
      <c r="I530" s="1830"/>
      <c r="J530" s="1795"/>
      <c r="K530" s="1795"/>
      <c r="L530" s="169"/>
      <c r="M530" s="1783"/>
    </row>
    <row r="531" spans="1:13" s="1517" customFormat="1" x14ac:dyDescent="0.25">
      <c r="A531" s="179"/>
      <c r="B531" s="179"/>
      <c r="C531" s="157"/>
      <c r="D531" s="2142" t="s">
        <v>126</v>
      </c>
      <c r="E531" s="2142"/>
      <c r="F531" s="2142"/>
      <c r="G531" s="2142"/>
      <c r="H531" s="143">
        <f>SUM(H529:H530)</f>
        <v>229.09</v>
      </c>
      <c r="I531" s="1830"/>
      <c r="J531" s="1795"/>
      <c r="K531" s="1795"/>
      <c r="L531" s="169"/>
      <c r="M531" s="1783"/>
    </row>
    <row r="532" spans="1:13" s="1517" customFormat="1" x14ac:dyDescent="0.25">
      <c r="A532" s="179"/>
      <c r="B532" s="179"/>
      <c r="C532" s="157"/>
      <c r="D532" s="2141" t="s">
        <v>28</v>
      </c>
      <c r="E532" s="2141"/>
      <c r="F532" s="2141"/>
      <c r="G532" s="2141"/>
      <c r="H532" s="147">
        <f>E519</f>
        <v>1931.39</v>
      </c>
      <c r="I532" s="1830"/>
      <c r="J532" s="1795"/>
      <c r="K532" s="1795"/>
      <c r="L532" s="169"/>
      <c r="M532" s="1783"/>
    </row>
    <row r="533" spans="1:13" s="1517" customFormat="1" x14ac:dyDescent="0.25">
      <c r="A533" s="179"/>
      <c r="B533" s="179"/>
      <c r="C533" s="157"/>
      <c r="D533" s="2142" t="s">
        <v>127</v>
      </c>
      <c r="E533" s="2142"/>
      <c r="F533" s="2142"/>
      <c r="G533" s="2142"/>
      <c r="H533" s="143">
        <f>ROUND(H531*H532,2)</f>
        <v>442462.14</v>
      </c>
      <c r="I533" s="1830"/>
      <c r="J533" s="1795"/>
      <c r="K533" s="1795"/>
      <c r="L533" s="169"/>
      <c r="M533" s="1783"/>
    </row>
    <row r="534" spans="1:13" s="1517" customFormat="1" x14ac:dyDescent="0.25">
      <c r="A534" s="179"/>
      <c r="B534" s="179"/>
      <c r="C534" s="1531"/>
      <c r="D534" s="2141" t="s">
        <v>15335</v>
      </c>
      <c r="E534" s="2141"/>
      <c r="F534" s="2141"/>
      <c r="G534" s="2141"/>
      <c r="H534" s="267">
        <f>ROUND(H531*$B$13,2)</f>
        <v>61.69</v>
      </c>
      <c r="I534" s="1830"/>
      <c r="J534" s="1795"/>
      <c r="K534" s="1795"/>
      <c r="L534" s="169"/>
      <c r="M534" s="1783"/>
    </row>
    <row r="535" spans="1:13" x14ac:dyDescent="0.25">
      <c r="A535" s="179"/>
      <c r="B535" s="179"/>
      <c r="C535" s="1531"/>
      <c r="D535" s="2142" t="s">
        <v>7898</v>
      </c>
      <c r="E535" s="2142"/>
      <c r="F535" s="2142"/>
      <c r="G535" s="2142"/>
      <c r="H535" s="1532">
        <f>H534+H531</f>
        <v>290.77999999999997</v>
      </c>
    </row>
    <row r="536" spans="1:13" ht="31.5" customHeight="1" x14ac:dyDescent="0.25">
      <c r="A536" s="2147" t="s">
        <v>9511</v>
      </c>
      <c r="B536" s="2147"/>
      <c r="C536" s="2147"/>
      <c r="D536" s="2147"/>
      <c r="E536" s="2147"/>
      <c r="F536" s="2147"/>
      <c r="G536" s="2147"/>
      <c r="H536" s="2147"/>
    </row>
    <row r="537" spans="1:13" x14ac:dyDescent="0.25">
      <c r="A537" s="208"/>
      <c r="B537" s="208"/>
      <c r="C537" s="208"/>
      <c r="H537" s="208"/>
    </row>
    <row r="538" spans="1:13" s="1517" customFormat="1" x14ac:dyDescent="0.25">
      <c r="A538" s="146" t="s">
        <v>6</v>
      </c>
      <c r="B538" s="2143" t="s">
        <v>7</v>
      </c>
      <c r="C538" s="2143"/>
      <c r="D538" s="1518" t="s">
        <v>121</v>
      </c>
      <c r="E538" s="278" t="s">
        <v>5282</v>
      </c>
      <c r="F538" s="1518" t="s">
        <v>31</v>
      </c>
      <c r="G538" s="1519" t="s">
        <v>122</v>
      </c>
      <c r="H538" s="1520" t="s">
        <v>123</v>
      </c>
      <c r="I538" s="1830"/>
      <c r="J538" s="1795"/>
      <c r="K538" s="1795"/>
      <c r="L538" s="169"/>
      <c r="M538" s="1783"/>
    </row>
    <row r="539" spans="1:13" s="1526" customFormat="1" ht="30" x14ac:dyDescent="0.2">
      <c r="A539" s="1736" t="str">
        <f>'Orç - Prédio'!A105</f>
        <v>03.03.201.02</v>
      </c>
      <c r="B539" s="2151" t="str">
        <f>'Orç - Prédio'!B105</f>
        <v>Pesquisa de Mercado</v>
      </c>
      <c r="C539" s="2151"/>
      <c r="D539" s="1560" t="s">
        <v>7865</v>
      </c>
      <c r="E539" s="1523">
        <f>'Orç - Prédio'!E105</f>
        <v>527.82000000000005</v>
      </c>
      <c r="F539" s="1736" t="s">
        <v>5688</v>
      </c>
      <c r="G539" s="1524">
        <v>7.98</v>
      </c>
      <c r="H539" s="1525">
        <f>H545</f>
        <v>4212</v>
      </c>
      <c r="I539" s="1910" t="s">
        <v>9544</v>
      </c>
      <c r="J539" s="1793"/>
      <c r="K539" s="1793"/>
      <c r="L539" s="141"/>
      <c r="M539" s="1515"/>
    </row>
    <row r="540" spans="1:13" s="156" customFormat="1" ht="30" x14ac:dyDescent="0.2">
      <c r="A540" s="2148" t="s">
        <v>6257</v>
      </c>
      <c r="B540" s="2148"/>
      <c r="C540" s="2148"/>
      <c r="D540" s="1850" t="s">
        <v>7885</v>
      </c>
      <c r="E540" s="1527">
        <f>1/1.53</f>
        <v>0.65359477124183007</v>
      </c>
      <c r="F540" s="1851" t="s">
        <v>136</v>
      </c>
      <c r="G540" s="367">
        <v>12.223333333333334</v>
      </c>
      <c r="H540" s="1852">
        <f t="shared" ref="H540" si="65">ROUNDDOWN(G540*E540,2)</f>
        <v>7.98</v>
      </c>
      <c r="I540" s="1642"/>
      <c r="J540" s="1797"/>
      <c r="K540" s="1797"/>
      <c r="L540" s="1784"/>
      <c r="M540" s="1785"/>
    </row>
    <row r="541" spans="1:13" s="1517" customFormat="1" x14ac:dyDescent="0.25">
      <c r="A541" s="179"/>
      <c r="B541" s="179"/>
      <c r="C541" s="1531"/>
      <c r="D541" s="2141" t="s">
        <v>124</v>
      </c>
      <c r="E541" s="2141"/>
      <c r="F541" s="2141"/>
      <c r="G541" s="2141"/>
      <c r="H541" s="267">
        <f>SUMIF(F540:F540,("h"),H540:H540)</f>
        <v>0</v>
      </c>
      <c r="I541" s="1830"/>
      <c r="J541" s="1795"/>
      <c r="K541" s="1795"/>
      <c r="L541" s="169"/>
      <c r="M541" s="1783"/>
    </row>
    <row r="542" spans="1:13" s="1517" customFormat="1" x14ac:dyDescent="0.25">
      <c r="A542" s="179"/>
      <c r="B542" s="179"/>
      <c r="C542" s="1531"/>
      <c r="D542" s="2141" t="s">
        <v>125</v>
      </c>
      <c r="E542" s="2141"/>
      <c r="F542" s="2141"/>
      <c r="G542" s="2141"/>
      <c r="H542" s="267">
        <f>SUMIF(F540:F540,"&lt;&gt;h",H540:H540)</f>
        <v>7.98</v>
      </c>
      <c r="I542" s="1830"/>
      <c r="J542" s="1795"/>
      <c r="K542" s="1795"/>
      <c r="L542" s="169"/>
      <c r="M542" s="1783"/>
    </row>
    <row r="543" spans="1:13" s="1517" customFormat="1" x14ac:dyDescent="0.25">
      <c r="A543" s="179"/>
      <c r="B543" s="179"/>
      <c r="C543" s="1531"/>
      <c r="D543" s="2142" t="s">
        <v>126</v>
      </c>
      <c r="E543" s="2142"/>
      <c r="F543" s="2142"/>
      <c r="G543" s="2142"/>
      <c r="H543" s="1532">
        <f>SUM(H541:H542)</f>
        <v>7.98</v>
      </c>
      <c r="I543" s="1830"/>
      <c r="J543" s="1795"/>
      <c r="K543" s="1795"/>
      <c r="L543" s="169"/>
      <c r="M543" s="1783"/>
    </row>
    <row r="544" spans="1:13" s="1517" customFormat="1" x14ac:dyDescent="0.25">
      <c r="A544" s="179"/>
      <c r="B544" s="179"/>
      <c r="C544" s="1531"/>
      <c r="D544" s="2141" t="s">
        <v>28</v>
      </c>
      <c r="E544" s="2141"/>
      <c r="F544" s="2141"/>
      <c r="G544" s="2141"/>
      <c r="H544" s="269">
        <f>E539</f>
        <v>527.82000000000005</v>
      </c>
      <c r="I544" s="1830"/>
      <c r="J544" s="1795"/>
      <c r="K544" s="1795"/>
      <c r="L544" s="169"/>
      <c r="M544" s="1783"/>
    </row>
    <row r="545" spans="1:13" s="1517" customFormat="1" x14ac:dyDescent="0.25">
      <c r="A545" s="179"/>
      <c r="B545" s="179"/>
      <c r="C545" s="1531"/>
      <c r="D545" s="2142" t="s">
        <v>127</v>
      </c>
      <c r="E545" s="2142"/>
      <c r="F545" s="2142"/>
      <c r="G545" s="2142"/>
      <c r="H545" s="1532">
        <f>ROUND(H543*H544,2)</f>
        <v>4212</v>
      </c>
      <c r="I545" s="1830"/>
      <c r="J545" s="1795"/>
      <c r="K545" s="1795"/>
      <c r="L545" s="169"/>
      <c r="M545" s="1783"/>
    </row>
    <row r="546" spans="1:13" s="1517" customFormat="1" x14ac:dyDescent="0.25">
      <c r="A546" s="179"/>
      <c r="B546" s="179"/>
      <c r="C546" s="1531"/>
      <c r="D546" s="2141" t="s">
        <v>15335</v>
      </c>
      <c r="E546" s="2141"/>
      <c r="F546" s="2141"/>
      <c r="G546" s="2141"/>
      <c r="H546" s="267">
        <f>ROUND(H543*$B$13,2)</f>
        <v>2.15</v>
      </c>
      <c r="I546" s="1830"/>
      <c r="J546" s="1795"/>
      <c r="K546" s="1795"/>
      <c r="L546" s="169"/>
      <c r="M546" s="1783"/>
    </row>
    <row r="547" spans="1:13" x14ac:dyDescent="0.25">
      <c r="A547" s="179"/>
      <c r="B547" s="179"/>
      <c r="C547" s="1531"/>
      <c r="D547" s="2142" t="s">
        <v>7898</v>
      </c>
      <c r="E547" s="2142"/>
      <c r="F547" s="2142"/>
      <c r="G547" s="2142"/>
      <c r="H547" s="1532">
        <f>H546+H543</f>
        <v>10.130000000000001</v>
      </c>
    </row>
    <row r="548" spans="1:13" x14ac:dyDescent="0.25">
      <c r="A548" s="1514"/>
      <c r="B548" s="1514"/>
      <c r="C548" s="1514"/>
      <c r="F548" s="1533"/>
      <c r="G548" s="1534"/>
      <c r="H548" s="1514"/>
    </row>
    <row r="549" spans="1:13" s="1517" customFormat="1" x14ac:dyDescent="0.25">
      <c r="A549" s="146" t="s">
        <v>6</v>
      </c>
      <c r="B549" s="2143" t="s">
        <v>7</v>
      </c>
      <c r="C549" s="2143"/>
      <c r="D549" s="1518" t="s">
        <v>121</v>
      </c>
      <c r="E549" s="278" t="s">
        <v>5282</v>
      </c>
      <c r="F549" s="1518" t="s">
        <v>31</v>
      </c>
      <c r="G549" s="1519" t="s">
        <v>122</v>
      </c>
      <c r="H549" s="1520" t="s">
        <v>123</v>
      </c>
      <c r="I549" s="1830"/>
      <c r="J549" s="1795"/>
      <c r="K549" s="1795"/>
      <c r="L549" s="169"/>
      <c r="M549" s="1783"/>
    </row>
    <row r="550" spans="1:13" s="1526" customFormat="1" ht="30" x14ac:dyDescent="0.2">
      <c r="A550" s="1736" t="str">
        <f>'Orç - Prédio'!A106</f>
        <v>03.03.201.03</v>
      </c>
      <c r="B550" s="1736" t="str">
        <f>'Orç - Prédio'!B106</f>
        <v>SINAPI</v>
      </c>
      <c r="C550" s="1736" t="str">
        <f>'Orç - Prédio'!C106</f>
        <v>92580 MOD</v>
      </c>
      <c r="D550" s="1522" t="s">
        <v>7872</v>
      </c>
      <c r="E550" s="1523">
        <f>'Orç - Prédio'!E106</f>
        <v>879.5</v>
      </c>
      <c r="F550" s="1736" t="s">
        <v>5286</v>
      </c>
      <c r="G550" s="1524">
        <v>5.13</v>
      </c>
      <c r="H550" s="1525">
        <f>H559</f>
        <v>4511.84</v>
      </c>
      <c r="I550" s="1910" t="s">
        <v>9544</v>
      </c>
      <c r="J550" s="1793"/>
      <c r="K550" s="1793"/>
      <c r="L550" s="141"/>
      <c r="M550" s="1515"/>
    </row>
    <row r="551" spans="1:13" s="156" customFormat="1" ht="30" x14ac:dyDescent="0.2">
      <c r="A551" s="2144">
        <v>88278</v>
      </c>
      <c r="B551" s="2144"/>
      <c r="C551" s="1516" t="s">
        <v>4448</v>
      </c>
      <c r="D551" s="182" t="s">
        <v>4301</v>
      </c>
      <c r="E551" s="1527">
        <v>0.21299999999999999</v>
      </c>
      <c r="F551" s="1735" t="s">
        <v>65</v>
      </c>
      <c r="G551" s="1529">
        <v>15.49</v>
      </c>
      <c r="H551" s="1530">
        <f>ROUNDDOWN(G551*E551,2)</f>
        <v>3.29</v>
      </c>
      <c r="I551" s="1642"/>
      <c r="J551" s="1797"/>
      <c r="K551" s="1797"/>
      <c r="L551" s="1784"/>
      <c r="M551" s="1785"/>
    </row>
    <row r="552" spans="1:13" s="156" customFormat="1" ht="30" x14ac:dyDescent="0.2">
      <c r="A552" s="2144">
        <v>88316</v>
      </c>
      <c r="B552" s="2144"/>
      <c r="C552" s="1516" t="s">
        <v>4448</v>
      </c>
      <c r="D552" s="182" t="s">
        <v>64</v>
      </c>
      <c r="E552" s="1527">
        <v>0.105</v>
      </c>
      <c r="F552" s="1735" t="s">
        <v>65</v>
      </c>
      <c r="G552" s="1529">
        <v>15.08</v>
      </c>
      <c r="H552" s="1530">
        <f>ROUNDDOWN(G552*E552,2)</f>
        <v>1.58</v>
      </c>
      <c r="I552" s="1642"/>
      <c r="J552" s="1797"/>
      <c r="K552" s="1797"/>
      <c r="L552" s="1784"/>
      <c r="M552" s="1785"/>
    </row>
    <row r="553" spans="1:13" s="156" customFormat="1" ht="45" x14ac:dyDescent="0.2">
      <c r="A553" s="2144">
        <v>93281</v>
      </c>
      <c r="B553" s="2144"/>
      <c r="C553" s="1516" t="s">
        <v>4448</v>
      </c>
      <c r="D553" s="182" t="s">
        <v>426</v>
      </c>
      <c r="E553" s="1527">
        <v>6.7000000000000002E-3</v>
      </c>
      <c r="F553" s="1735" t="s">
        <v>97</v>
      </c>
      <c r="G553" s="1529">
        <v>16.86</v>
      </c>
      <c r="H553" s="1530">
        <f>ROUNDDOWN(G553*E553,2)</f>
        <v>0.11</v>
      </c>
      <c r="I553" s="1642"/>
      <c r="J553" s="1797"/>
      <c r="K553" s="1797"/>
      <c r="L553" s="1784"/>
      <c r="M553" s="1785"/>
    </row>
    <row r="554" spans="1:13" s="156" customFormat="1" ht="45" x14ac:dyDescent="0.2">
      <c r="A554" s="2144">
        <v>93282</v>
      </c>
      <c r="B554" s="2144"/>
      <c r="C554" s="1516" t="s">
        <v>4448</v>
      </c>
      <c r="D554" s="182" t="s">
        <v>566</v>
      </c>
      <c r="E554" s="1527">
        <v>9.2999999999999992E-3</v>
      </c>
      <c r="F554" s="1735" t="s">
        <v>98</v>
      </c>
      <c r="G554" s="1529">
        <v>16.149999999999999</v>
      </c>
      <c r="H554" s="1530">
        <f>ROUNDDOWN(G554*E554,2)</f>
        <v>0.15</v>
      </c>
      <c r="I554" s="1642"/>
      <c r="J554" s="1797"/>
      <c r="K554" s="1797"/>
      <c r="L554" s="1784"/>
      <c r="M554" s="1785"/>
    </row>
    <row r="555" spans="1:13" s="1517" customFormat="1" x14ac:dyDescent="0.25">
      <c r="A555" s="179"/>
      <c r="B555" s="179"/>
      <c r="C555" s="1531"/>
      <c r="D555" s="2141" t="s">
        <v>124</v>
      </c>
      <c r="E555" s="2141"/>
      <c r="F555" s="2141"/>
      <c r="G555" s="2141"/>
      <c r="H555" s="267">
        <f>SUMIF(F551:F554,("h"),H551:H554)</f>
        <v>4.87</v>
      </c>
      <c r="I555" s="1830"/>
      <c r="J555" s="1795"/>
      <c r="K555" s="1795"/>
      <c r="L555" s="169"/>
      <c r="M555" s="1783"/>
    </row>
    <row r="556" spans="1:13" s="1517" customFormat="1" x14ac:dyDescent="0.25">
      <c r="A556" s="179"/>
      <c r="B556" s="179"/>
      <c r="C556" s="1531"/>
      <c r="D556" s="2141" t="s">
        <v>125</v>
      </c>
      <c r="E556" s="2141"/>
      <c r="F556" s="2141"/>
      <c r="G556" s="2141"/>
      <c r="H556" s="267">
        <f>SUMIF(F551:F554,"&lt;&gt;h",H551:H554)</f>
        <v>0.26</v>
      </c>
      <c r="I556" s="1830"/>
      <c r="J556" s="1795"/>
      <c r="K556" s="1795"/>
      <c r="L556" s="169"/>
      <c r="M556" s="1783"/>
    </row>
    <row r="557" spans="1:13" s="1517" customFormat="1" x14ac:dyDescent="0.25">
      <c r="A557" s="179"/>
      <c r="B557" s="179"/>
      <c r="C557" s="1531"/>
      <c r="D557" s="2142" t="s">
        <v>126</v>
      </c>
      <c r="E557" s="2142"/>
      <c r="F557" s="2142"/>
      <c r="G557" s="2142"/>
      <c r="H557" s="1532">
        <f>SUM(H555:H556)</f>
        <v>5.13</v>
      </c>
      <c r="I557" s="1830"/>
      <c r="J557" s="1795"/>
      <c r="K557" s="1795"/>
      <c r="L557" s="169"/>
      <c r="M557" s="1783"/>
    </row>
    <row r="558" spans="1:13" s="1517" customFormat="1" x14ac:dyDescent="0.25">
      <c r="A558" s="179"/>
      <c r="B558" s="179"/>
      <c r="C558" s="1531"/>
      <c r="D558" s="2141" t="s">
        <v>28</v>
      </c>
      <c r="E558" s="2141"/>
      <c r="F558" s="2141"/>
      <c r="G558" s="2141"/>
      <c r="H558" s="269">
        <f>E550</f>
        <v>879.5</v>
      </c>
      <c r="I558" s="1830"/>
      <c r="J558" s="1795"/>
      <c r="K558" s="1795"/>
      <c r="L558" s="169"/>
      <c r="M558" s="1783"/>
    </row>
    <row r="559" spans="1:13" s="1517" customFormat="1" x14ac:dyDescent="0.25">
      <c r="A559" s="179"/>
      <c r="B559" s="179"/>
      <c r="C559" s="1531"/>
      <c r="D559" s="2142" t="s">
        <v>127</v>
      </c>
      <c r="E559" s="2142"/>
      <c r="F559" s="2142"/>
      <c r="G559" s="2142"/>
      <c r="H559" s="1532">
        <f>ROUND(H557*H558,2)</f>
        <v>4511.84</v>
      </c>
      <c r="I559" s="1830"/>
      <c r="J559" s="1795"/>
      <c r="K559" s="1795"/>
      <c r="L559" s="169"/>
      <c r="M559" s="1783"/>
    </row>
    <row r="560" spans="1:13" s="1517" customFormat="1" x14ac:dyDescent="0.25">
      <c r="A560" s="179"/>
      <c r="B560" s="179"/>
      <c r="C560" s="1531"/>
      <c r="D560" s="2141" t="s">
        <v>15335</v>
      </c>
      <c r="E560" s="2141"/>
      <c r="F560" s="2141"/>
      <c r="G560" s="2141"/>
      <c r="H560" s="267">
        <f>ROUND(H557*$B$13,2)</f>
        <v>1.38</v>
      </c>
      <c r="I560" s="1830"/>
      <c r="J560" s="1795"/>
      <c r="K560" s="1795"/>
      <c r="L560" s="169"/>
      <c r="M560" s="1783"/>
    </row>
    <row r="561" spans="1:13" x14ac:dyDescent="0.25">
      <c r="A561" s="179"/>
      <c r="B561" s="179"/>
      <c r="C561" s="1531"/>
      <c r="D561" s="2142" t="s">
        <v>7898</v>
      </c>
      <c r="E561" s="2142"/>
      <c r="F561" s="2142"/>
      <c r="G561" s="2142"/>
      <c r="H561" s="1532">
        <f>H560+H557</f>
        <v>6.51</v>
      </c>
    </row>
    <row r="562" spans="1:13" x14ac:dyDescent="0.25">
      <c r="A562" s="1514"/>
      <c r="B562" s="1514"/>
      <c r="C562" s="1514"/>
      <c r="F562" s="1533"/>
      <c r="G562" s="1534"/>
      <c r="H562" s="1514"/>
    </row>
    <row r="563" spans="1:13" s="1517" customFormat="1" x14ac:dyDescent="0.25">
      <c r="A563" s="146" t="s">
        <v>6</v>
      </c>
      <c r="B563" s="2143" t="s">
        <v>7</v>
      </c>
      <c r="C563" s="2143"/>
      <c r="D563" s="1518" t="s">
        <v>121</v>
      </c>
      <c r="E563" s="278" t="s">
        <v>5282</v>
      </c>
      <c r="F563" s="1518" t="s">
        <v>31</v>
      </c>
      <c r="G563" s="1519" t="s">
        <v>122</v>
      </c>
      <c r="H563" s="1520" t="s">
        <v>123</v>
      </c>
      <c r="I563" s="1830"/>
      <c r="J563" s="1795"/>
      <c r="K563" s="1795"/>
      <c r="L563" s="169"/>
      <c r="M563" s="1783"/>
    </row>
    <row r="564" spans="1:13" s="1526" customFormat="1" ht="60" x14ac:dyDescent="0.2">
      <c r="A564" s="1700" t="str">
        <f>'Orç - Prédio'!A107</f>
        <v>03.03.201.04</v>
      </c>
      <c r="B564" s="1700" t="str">
        <f>'Orç - Prédio'!B107</f>
        <v>SINAPI</v>
      </c>
      <c r="C564" s="1700" t="str">
        <f>'Orç - Prédio'!C107</f>
        <v>73970/1 MOD</v>
      </c>
      <c r="D564" s="1522" t="s">
        <v>15017</v>
      </c>
      <c r="E564" s="1523">
        <f>'Orç - Prédio'!E107</f>
        <v>560</v>
      </c>
      <c r="F564" s="1700" t="s">
        <v>5688</v>
      </c>
      <c r="G564" s="1524">
        <v>11.02</v>
      </c>
      <c r="H564" s="1525">
        <f>H575</f>
        <v>6171.2</v>
      </c>
      <c r="I564" s="1910" t="s">
        <v>14965</v>
      </c>
      <c r="J564" s="1793"/>
      <c r="K564" s="1793"/>
      <c r="L564" s="141"/>
      <c r="M564" s="1515"/>
    </row>
    <row r="565" spans="1:13" s="1859" customFormat="1" x14ac:dyDescent="0.2">
      <c r="A565" s="2148">
        <v>13120</v>
      </c>
      <c r="B565" s="2148"/>
      <c r="C565" s="1877" t="s">
        <v>5281</v>
      </c>
      <c r="D565" s="1850" t="s">
        <v>7821</v>
      </c>
      <c r="E565" s="1864">
        <v>1</v>
      </c>
      <c r="F565" s="1889" t="s">
        <v>305</v>
      </c>
      <c r="G565" s="367">
        <v>6.25</v>
      </c>
      <c r="H565" s="1852">
        <f t="shared" ref="H565" si="66">ROUNDDOWN(G565*E565,2)</f>
        <v>6.25</v>
      </c>
      <c r="I565" s="1856"/>
      <c r="J565" s="1797"/>
      <c r="K565" s="1797"/>
      <c r="L565" s="1784"/>
      <c r="M565" s="1785"/>
    </row>
    <row r="566" spans="1:13" s="156" customFormat="1" ht="30" x14ac:dyDescent="0.2">
      <c r="A566" s="2144">
        <v>88315</v>
      </c>
      <c r="B566" s="2144"/>
      <c r="C566" s="1516" t="s">
        <v>4448</v>
      </c>
      <c r="D566" s="182" t="s">
        <v>109</v>
      </c>
      <c r="E566" s="1527">
        <v>0.12</v>
      </c>
      <c r="F566" s="1699" t="s">
        <v>65</v>
      </c>
      <c r="G566" s="1529">
        <v>20.059999999999999</v>
      </c>
      <c r="H566" s="1530">
        <f>ROUNDDOWN(G566*E566,2)</f>
        <v>2.4</v>
      </c>
      <c r="I566" s="1642"/>
      <c r="J566" s="1797"/>
      <c r="K566" s="1797"/>
      <c r="L566" s="1784"/>
      <c r="M566" s="1785"/>
    </row>
    <row r="567" spans="1:13" s="156" customFormat="1" ht="30" x14ac:dyDescent="0.2">
      <c r="A567" s="2144">
        <v>88316</v>
      </c>
      <c r="B567" s="2144"/>
      <c r="C567" s="1516" t="s">
        <v>4448</v>
      </c>
      <c r="D567" s="182" t="s">
        <v>64</v>
      </c>
      <c r="E567" s="1527">
        <v>0.12</v>
      </c>
      <c r="F567" s="1699" t="s">
        <v>65</v>
      </c>
      <c r="G567" s="1529">
        <v>15.08</v>
      </c>
      <c r="H567" s="1530">
        <f>ROUNDDOWN(G567*E567,2)</f>
        <v>1.8</v>
      </c>
      <c r="I567" s="1642"/>
      <c r="J567" s="1797"/>
      <c r="K567" s="1797"/>
      <c r="L567" s="1784"/>
      <c r="M567" s="1785"/>
    </row>
    <row r="568" spans="1:13" s="156" customFormat="1" ht="45" x14ac:dyDescent="0.2">
      <c r="A568" s="2144">
        <v>98746</v>
      </c>
      <c r="B568" s="2144"/>
      <c r="C568" s="1516" t="s">
        <v>4448</v>
      </c>
      <c r="D568" s="182" t="s">
        <v>6399</v>
      </c>
      <c r="E568" s="1527">
        <v>6.0000000000000001E-3</v>
      </c>
      <c r="F568" s="1699" t="s">
        <v>136</v>
      </c>
      <c r="G568" s="1529">
        <v>43.49</v>
      </c>
      <c r="H568" s="1530">
        <f>ROUNDDOWN(G568*E568,2)</f>
        <v>0.26</v>
      </c>
      <c r="I568" s="1642"/>
      <c r="J568" s="1797"/>
      <c r="K568" s="1797"/>
      <c r="L568" s="1784"/>
      <c r="M568" s="1785"/>
    </row>
    <row r="569" spans="1:13" s="156" customFormat="1" ht="60" x14ac:dyDescent="0.2">
      <c r="A569" s="2144">
        <v>93287</v>
      </c>
      <c r="B569" s="2144"/>
      <c r="C569" s="1516" t="s">
        <v>4448</v>
      </c>
      <c r="D569" s="182" t="s">
        <v>427</v>
      </c>
      <c r="E569" s="1527">
        <v>8.0000000000000004E-4</v>
      </c>
      <c r="F569" s="1699" t="s">
        <v>97</v>
      </c>
      <c r="G569" s="1529">
        <v>294.16000000000003</v>
      </c>
      <c r="H569" s="1530">
        <f>ROUNDDOWN(G569*E569,2)</f>
        <v>0.23</v>
      </c>
      <c r="I569" s="1642"/>
      <c r="J569" s="1797"/>
      <c r="K569" s="1797"/>
      <c r="L569" s="1784"/>
      <c r="M569" s="1785"/>
    </row>
    <row r="570" spans="1:13" s="156" customFormat="1" ht="60" x14ac:dyDescent="0.2">
      <c r="A570" s="2144">
        <v>93288</v>
      </c>
      <c r="B570" s="2144"/>
      <c r="C570" s="1516" t="s">
        <v>4448</v>
      </c>
      <c r="D570" s="182" t="s">
        <v>567</v>
      </c>
      <c r="E570" s="1527">
        <v>1.1000000000000001E-3</v>
      </c>
      <c r="F570" s="1699" t="s">
        <v>98</v>
      </c>
      <c r="G570" s="1529">
        <v>79.87</v>
      </c>
      <c r="H570" s="1530">
        <f>ROUNDDOWN(G570*E570,2)</f>
        <v>0.08</v>
      </c>
      <c r="I570" s="1642"/>
      <c r="J570" s="1797"/>
      <c r="K570" s="1797"/>
      <c r="L570" s="1784"/>
      <c r="M570" s="1785"/>
    </row>
    <row r="571" spans="1:13" s="1517" customFormat="1" x14ac:dyDescent="0.25">
      <c r="A571" s="179"/>
      <c r="B571" s="179"/>
      <c r="C571" s="1531"/>
      <c r="D571" s="2141" t="s">
        <v>124</v>
      </c>
      <c r="E571" s="2141"/>
      <c r="F571" s="2141"/>
      <c r="G571" s="2141"/>
      <c r="H571" s="267">
        <f>SUMIF(F565:F570,("h"),H565:H570)</f>
        <v>4.2</v>
      </c>
      <c r="I571" s="1830"/>
      <c r="J571" s="1795"/>
      <c r="K571" s="1795"/>
      <c r="L571" s="169"/>
      <c r="M571" s="1783"/>
    </row>
    <row r="572" spans="1:13" s="1517" customFormat="1" x14ac:dyDescent="0.25">
      <c r="A572" s="179"/>
      <c r="B572" s="179"/>
      <c r="C572" s="1531"/>
      <c r="D572" s="2141" t="s">
        <v>125</v>
      </c>
      <c r="E572" s="2141"/>
      <c r="F572" s="2141"/>
      <c r="G572" s="2141"/>
      <c r="H572" s="267">
        <f>SUMIF(F565:F570,"&lt;&gt;h",H565:H570)</f>
        <v>6.82</v>
      </c>
      <c r="I572" s="1830"/>
      <c r="J572" s="1795"/>
      <c r="K572" s="1795"/>
      <c r="L572" s="169"/>
      <c r="M572" s="1783"/>
    </row>
    <row r="573" spans="1:13" s="1517" customFormat="1" x14ac:dyDescent="0.25">
      <c r="A573" s="179"/>
      <c r="B573" s="179"/>
      <c r="C573" s="1531"/>
      <c r="D573" s="2142" t="s">
        <v>126</v>
      </c>
      <c r="E573" s="2142"/>
      <c r="F573" s="2142"/>
      <c r="G573" s="2142"/>
      <c r="H573" s="1532">
        <f>SUM(H571:H572)</f>
        <v>11.02</v>
      </c>
      <c r="I573" s="1830"/>
      <c r="J573" s="1795"/>
      <c r="K573" s="1795"/>
      <c r="L573" s="169"/>
      <c r="M573" s="1783"/>
    </row>
    <row r="574" spans="1:13" s="1517" customFormat="1" x14ac:dyDescent="0.25">
      <c r="A574" s="179"/>
      <c r="B574" s="179"/>
      <c r="C574" s="1531"/>
      <c r="D574" s="2141" t="s">
        <v>28</v>
      </c>
      <c r="E574" s="2141"/>
      <c r="F574" s="2141"/>
      <c r="G574" s="2141"/>
      <c r="H574" s="269">
        <f>E564</f>
        <v>560</v>
      </c>
      <c r="I574" s="1830"/>
      <c r="J574" s="1795"/>
      <c r="K574" s="1795"/>
      <c r="L574" s="169"/>
      <c r="M574" s="1783"/>
    </row>
    <row r="575" spans="1:13" s="1517" customFormat="1" x14ac:dyDescent="0.25">
      <c r="A575" s="179"/>
      <c r="B575" s="179"/>
      <c r="C575" s="1531"/>
      <c r="D575" s="2142" t="s">
        <v>127</v>
      </c>
      <c r="E575" s="2142"/>
      <c r="F575" s="2142"/>
      <c r="G575" s="2142"/>
      <c r="H575" s="1532">
        <f>ROUND(H573*H574,2)</f>
        <v>6171.2</v>
      </c>
      <c r="I575" s="1830"/>
      <c r="J575" s="1795"/>
      <c r="K575" s="1795"/>
      <c r="L575" s="169"/>
      <c r="M575" s="1783"/>
    </row>
    <row r="576" spans="1:13" s="1517" customFormat="1" x14ac:dyDescent="0.25">
      <c r="A576" s="179"/>
      <c r="B576" s="179"/>
      <c r="C576" s="1531"/>
      <c r="D576" s="2141" t="s">
        <v>15335</v>
      </c>
      <c r="E576" s="2141"/>
      <c r="F576" s="2141"/>
      <c r="G576" s="2141"/>
      <c r="H576" s="267">
        <f>ROUND(H573*$B$13,2)</f>
        <v>2.97</v>
      </c>
      <c r="I576" s="1830"/>
      <c r="J576" s="1795"/>
      <c r="K576" s="1795"/>
      <c r="L576" s="169"/>
      <c r="M576" s="1783"/>
    </row>
    <row r="577" spans="1:13" x14ac:dyDescent="0.25">
      <c r="A577" s="179"/>
      <c r="B577" s="179"/>
      <c r="C577" s="1531"/>
      <c r="D577" s="2142" t="s">
        <v>7898</v>
      </c>
      <c r="E577" s="2142"/>
      <c r="F577" s="2142"/>
      <c r="G577" s="2142"/>
      <c r="H577" s="1532">
        <f>H576+H573</f>
        <v>13.99</v>
      </c>
    </row>
    <row r="578" spans="1:13" ht="43.5" customHeight="1" x14ac:dyDescent="0.25">
      <c r="A578" s="2150" t="s">
        <v>7820</v>
      </c>
      <c r="B578" s="2150"/>
      <c r="C578" s="2150"/>
      <c r="D578" s="2150"/>
      <c r="E578" s="2150"/>
      <c r="F578" s="2150"/>
      <c r="G578" s="2150"/>
      <c r="H578" s="2150"/>
    </row>
    <row r="579" spans="1:13" x14ac:dyDescent="0.25">
      <c r="A579" s="1514"/>
      <c r="B579" s="1514"/>
      <c r="C579" s="1514"/>
      <c r="F579" s="1533"/>
      <c r="G579" s="1534"/>
      <c r="H579" s="1514"/>
    </row>
    <row r="580" spans="1:13" s="1517" customFormat="1" x14ac:dyDescent="0.25">
      <c r="A580" s="146" t="s">
        <v>6</v>
      </c>
      <c r="B580" s="2143" t="s">
        <v>7</v>
      </c>
      <c r="C580" s="2143"/>
      <c r="D580" s="1518" t="s">
        <v>121</v>
      </c>
      <c r="E580" s="278" t="s">
        <v>5282</v>
      </c>
      <c r="F580" s="1518" t="s">
        <v>31</v>
      </c>
      <c r="G580" s="1519" t="s">
        <v>122</v>
      </c>
      <c r="H580" s="1520" t="s">
        <v>123</v>
      </c>
      <c r="I580" s="1830"/>
      <c r="J580" s="1795"/>
      <c r="K580" s="1795"/>
      <c r="L580" s="169"/>
      <c r="M580" s="1783"/>
    </row>
    <row r="581" spans="1:13" s="1526" customFormat="1" ht="45" x14ac:dyDescent="0.2">
      <c r="A581" s="1736" t="str">
        <f>'Orç - Prédio'!A109</f>
        <v>03.03.301</v>
      </c>
      <c r="B581" s="1736" t="str">
        <f>'Orç - Prédio'!B109</f>
        <v>Comp. Montada</v>
      </c>
      <c r="C581" s="1736">
        <f>'Orç - Prédio'!C109</f>
        <v>2</v>
      </c>
      <c r="D581" s="1522" t="s">
        <v>7879</v>
      </c>
      <c r="E581" s="1523">
        <f>'Orç - Prédio'!E109</f>
        <v>278</v>
      </c>
      <c r="F581" s="1736" t="s">
        <v>5284</v>
      </c>
      <c r="G581" s="1524">
        <v>25.59</v>
      </c>
      <c r="H581" s="1525">
        <f>H594</f>
        <v>7114.02</v>
      </c>
      <c r="I581" s="1910" t="s">
        <v>14965</v>
      </c>
      <c r="J581" s="1793"/>
      <c r="K581" s="1793"/>
      <c r="L581" s="141"/>
      <c r="M581" s="1515"/>
    </row>
    <row r="582" spans="1:13" s="156" customFormat="1" ht="30" x14ac:dyDescent="0.2">
      <c r="A582" s="2144">
        <v>3663</v>
      </c>
      <c r="B582" s="2144"/>
      <c r="C582" s="1516" t="s">
        <v>5281</v>
      </c>
      <c r="D582" s="182" t="s">
        <v>9545</v>
      </c>
      <c r="E582" s="1527">
        <f>0.15*0.08</f>
        <v>1.2E-2</v>
      </c>
      <c r="F582" s="1735" t="s">
        <v>306</v>
      </c>
      <c r="G582" s="367">
        <v>184.65</v>
      </c>
      <c r="H582" s="1530">
        <f t="shared" ref="H582" si="67">ROUNDDOWN(G582*E582,2)</f>
        <v>2.21</v>
      </c>
      <c r="I582" s="1642"/>
      <c r="J582" s="1797"/>
      <c r="K582" s="1797"/>
      <c r="L582" s="1784"/>
      <c r="M582" s="1785"/>
    </row>
    <row r="583" spans="1:13" s="156" customFormat="1" x14ac:dyDescent="0.2">
      <c r="A583" s="2144">
        <v>8212</v>
      </c>
      <c r="B583" s="2144"/>
      <c r="C583" s="1516" t="s">
        <v>5281</v>
      </c>
      <c r="D583" s="182" t="s">
        <v>7874</v>
      </c>
      <c r="E583" s="1527">
        <v>4</v>
      </c>
      <c r="F583" s="1735" t="s">
        <v>31</v>
      </c>
      <c r="G583" s="367">
        <v>0.99</v>
      </c>
      <c r="H583" s="1530">
        <f t="shared" ref="H583" si="68">ROUNDDOWN(G583*E583,2)</f>
        <v>3.96</v>
      </c>
      <c r="I583" s="1642"/>
      <c r="J583" s="1797"/>
      <c r="K583" s="1797"/>
      <c r="L583" s="1784"/>
      <c r="M583" s="1785"/>
    </row>
    <row r="584" spans="1:13" s="156" customFormat="1" x14ac:dyDescent="0.2">
      <c r="A584" s="2144">
        <v>5005</v>
      </c>
      <c r="B584" s="2144"/>
      <c r="C584" s="1516" t="s">
        <v>5281</v>
      </c>
      <c r="D584" s="182" t="s">
        <v>7875</v>
      </c>
      <c r="E584" s="1527">
        <v>4</v>
      </c>
      <c r="F584" s="1735" t="s">
        <v>31</v>
      </c>
      <c r="G584" s="367">
        <v>0.05</v>
      </c>
      <c r="H584" s="1530">
        <f t="shared" ref="H584:H585" si="69">ROUNDDOWN(G584*E584,2)</f>
        <v>0.2</v>
      </c>
      <c r="I584" s="1642"/>
      <c r="J584" s="1797"/>
      <c r="K584" s="1797"/>
      <c r="L584" s="1784"/>
      <c r="M584" s="1785"/>
    </row>
    <row r="585" spans="1:13" s="156" customFormat="1" x14ac:dyDescent="0.2">
      <c r="A585" s="2144">
        <v>39997</v>
      </c>
      <c r="B585" s="2144"/>
      <c r="C585" s="1516" t="s">
        <v>4448</v>
      </c>
      <c r="D585" s="182" t="s">
        <v>13392</v>
      </c>
      <c r="E585" s="1527">
        <v>4</v>
      </c>
      <c r="F585" s="1821" t="s">
        <v>39</v>
      </c>
      <c r="G585" s="367">
        <v>0.22</v>
      </c>
      <c r="H585" s="1530">
        <f t="shared" si="69"/>
        <v>0.88</v>
      </c>
      <c r="I585" s="1642"/>
      <c r="J585" s="1797"/>
      <c r="K585" s="1797"/>
      <c r="L585" s="1784"/>
      <c r="M585" s="1785"/>
    </row>
    <row r="586" spans="1:13" s="156" customFormat="1" x14ac:dyDescent="0.2">
      <c r="A586" s="179">
        <v>3846</v>
      </c>
      <c r="B586" s="179" t="s">
        <v>7877</v>
      </c>
      <c r="C586" s="1531" t="s">
        <v>5281</v>
      </c>
      <c r="D586" s="1737" t="s">
        <v>7876</v>
      </c>
      <c r="E586" s="1770">
        <v>32</v>
      </c>
      <c r="F586" s="179" t="s">
        <v>7878</v>
      </c>
      <c r="G586" s="1771"/>
      <c r="H586" s="1772"/>
      <c r="I586" s="1642"/>
      <c r="J586" s="1797"/>
      <c r="K586" s="1797"/>
      <c r="L586" s="1784"/>
      <c r="M586" s="1785"/>
    </row>
    <row r="587" spans="1:13" s="156" customFormat="1" ht="30" x14ac:dyDescent="0.2">
      <c r="A587" s="2144">
        <v>10997</v>
      </c>
      <c r="B587" s="2144"/>
      <c r="C587" s="1516" t="s">
        <v>4448</v>
      </c>
      <c r="D587" s="182" t="s">
        <v>11598</v>
      </c>
      <c r="E587" s="1527">
        <v>8.0000000000000002E-3</v>
      </c>
      <c r="F587" s="1735" t="s">
        <v>48</v>
      </c>
      <c r="G587" s="1529">
        <v>17.88</v>
      </c>
      <c r="H587" s="1530">
        <f>ROUNDDOWN(G587*E587*$E$586,2)</f>
        <v>4.57</v>
      </c>
      <c r="I587" s="1642"/>
      <c r="J587" s="1797"/>
      <c r="K587" s="1797"/>
      <c r="L587" s="1784"/>
      <c r="M587" s="1785"/>
    </row>
    <row r="588" spans="1:13" s="156" customFormat="1" ht="30" x14ac:dyDescent="0.2">
      <c r="A588" s="2144">
        <v>88316</v>
      </c>
      <c r="B588" s="2144"/>
      <c r="C588" s="1516" t="s">
        <v>4448</v>
      </c>
      <c r="D588" s="182" t="s">
        <v>64</v>
      </c>
      <c r="E588" s="1527">
        <v>1.2E-2</v>
      </c>
      <c r="F588" s="1735" t="s">
        <v>65</v>
      </c>
      <c r="G588" s="1529">
        <v>15.08</v>
      </c>
      <c r="H588" s="1530">
        <f>ROUNDDOWN(G588*E588*$E$586,2)</f>
        <v>5.79</v>
      </c>
      <c r="I588" s="1642"/>
      <c r="J588" s="1797"/>
      <c r="K588" s="1797"/>
      <c r="L588" s="1784"/>
      <c r="M588" s="1785"/>
    </row>
    <row r="589" spans="1:13" s="156" customFormat="1" ht="30" x14ac:dyDescent="0.2">
      <c r="A589" s="2144">
        <v>88317</v>
      </c>
      <c r="B589" s="2144"/>
      <c r="C589" s="1516" t="s">
        <v>4448</v>
      </c>
      <c r="D589" s="182" t="s">
        <v>4324</v>
      </c>
      <c r="E589" s="1527">
        <v>1.2E-2</v>
      </c>
      <c r="F589" s="1735" t="s">
        <v>65</v>
      </c>
      <c r="G589" s="1529">
        <v>20.8</v>
      </c>
      <c r="H589" s="1530">
        <f>ROUNDDOWN(G589*E589*$E$586,2)</f>
        <v>7.98</v>
      </c>
      <c r="I589" s="1642"/>
      <c r="J589" s="1797"/>
      <c r="K589" s="1797"/>
      <c r="L589" s="1784"/>
      <c r="M589" s="1785"/>
    </row>
    <row r="590" spans="1:13" s="1517" customFormat="1" x14ac:dyDescent="0.25">
      <c r="A590" s="179"/>
      <c r="B590" s="179"/>
      <c r="C590" s="1531"/>
      <c r="D590" s="2141" t="s">
        <v>124</v>
      </c>
      <c r="E590" s="2141"/>
      <c r="F590" s="2141"/>
      <c r="G590" s="2141"/>
      <c r="H590" s="267">
        <f>SUMIF(F582:F589,("h"),H582:H589)</f>
        <v>13.77</v>
      </c>
      <c r="I590" s="1830"/>
      <c r="J590" s="1795"/>
      <c r="K590" s="1795"/>
      <c r="L590" s="169"/>
      <c r="M590" s="1783"/>
    </row>
    <row r="591" spans="1:13" s="1517" customFormat="1" x14ac:dyDescent="0.25">
      <c r="A591" s="179"/>
      <c r="B591" s="179"/>
      <c r="C591" s="1531"/>
      <c r="D591" s="2141" t="s">
        <v>125</v>
      </c>
      <c r="E591" s="2141"/>
      <c r="F591" s="2141"/>
      <c r="G591" s="2141"/>
      <c r="H591" s="267">
        <f>SUMIF(F582:F589,"&lt;&gt;h",H582:H589)</f>
        <v>11.82</v>
      </c>
      <c r="I591" s="1830"/>
      <c r="J591" s="1795"/>
      <c r="K591" s="1795"/>
      <c r="L591" s="169"/>
      <c r="M591" s="1783"/>
    </row>
    <row r="592" spans="1:13" s="1517" customFormat="1" x14ac:dyDescent="0.25">
      <c r="A592" s="179"/>
      <c r="B592" s="179"/>
      <c r="C592" s="1531"/>
      <c r="D592" s="2142" t="s">
        <v>126</v>
      </c>
      <c r="E592" s="2142"/>
      <c r="F592" s="2142"/>
      <c r="G592" s="2142"/>
      <c r="H592" s="1532">
        <f>SUM(H590:H591)</f>
        <v>25.59</v>
      </c>
      <c r="I592" s="1830"/>
      <c r="J592" s="1795"/>
      <c r="K592" s="1795"/>
      <c r="L592" s="169"/>
      <c r="M592" s="1783"/>
    </row>
    <row r="593" spans="1:13" s="1517" customFormat="1" x14ac:dyDescent="0.25">
      <c r="A593" s="179"/>
      <c r="B593" s="179"/>
      <c r="C593" s="1531"/>
      <c r="D593" s="2141" t="s">
        <v>28</v>
      </c>
      <c r="E593" s="2141"/>
      <c r="F593" s="2141"/>
      <c r="G593" s="2141"/>
      <c r="H593" s="269">
        <f>E581</f>
        <v>278</v>
      </c>
      <c r="I593" s="1830"/>
      <c r="J593" s="1795"/>
      <c r="K593" s="1795"/>
      <c r="L593" s="169"/>
      <c r="M593" s="1783"/>
    </row>
    <row r="594" spans="1:13" s="1517" customFormat="1" x14ac:dyDescent="0.25">
      <c r="A594" s="179"/>
      <c r="B594" s="179"/>
      <c r="C594" s="1531"/>
      <c r="D594" s="2142" t="s">
        <v>127</v>
      </c>
      <c r="E594" s="2142"/>
      <c r="F594" s="2142"/>
      <c r="G594" s="2142"/>
      <c r="H594" s="1532">
        <f>ROUND(H592*H593,2)</f>
        <v>7114.02</v>
      </c>
      <c r="I594" s="1830"/>
      <c r="J594" s="1795"/>
      <c r="K594" s="1795"/>
      <c r="L594" s="169"/>
      <c r="M594" s="1783"/>
    </row>
    <row r="595" spans="1:13" s="1517" customFormat="1" x14ac:dyDescent="0.25">
      <c r="A595" s="179"/>
      <c r="B595" s="179"/>
      <c r="C595" s="1531"/>
      <c r="D595" s="2141" t="s">
        <v>15335</v>
      </c>
      <c r="E595" s="2141"/>
      <c r="F595" s="2141"/>
      <c r="G595" s="2141"/>
      <c r="H595" s="267">
        <f>ROUND(H592*$B$13,2)</f>
        <v>6.89</v>
      </c>
      <c r="I595" s="1830"/>
      <c r="J595" s="1795"/>
      <c r="K595" s="1795"/>
      <c r="L595" s="169"/>
      <c r="M595" s="1783"/>
    </row>
    <row r="596" spans="1:13" x14ac:dyDescent="0.25">
      <c r="A596" s="179"/>
      <c r="B596" s="179"/>
      <c r="C596" s="1531"/>
      <c r="D596" s="2142" t="s">
        <v>7898</v>
      </c>
      <c r="E596" s="2142"/>
      <c r="F596" s="2142"/>
      <c r="G596" s="2142"/>
      <c r="H596" s="1532">
        <f>H595+H592</f>
        <v>32.479999999999997</v>
      </c>
    </row>
    <row r="597" spans="1:13" x14ac:dyDescent="0.25">
      <c r="A597" s="1514"/>
      <c r="B597" s="1514"/>
      <c r="C597" s="1514"/>
      <c r="F597" s="1533"/>
      <c r="G597" s="1534"/>
      <c r="H597" s="1514"/>
    </row>
    <row r="598" spans="1:13" s="1517" customFormat="1" x14ac:dyDescent="0.25">
      <c r="A598" s="146" t="s">
        <v>6</v>
      </c>
      <c r="B598" s="2143" t="s">
        <v>7</v>
      </c>
      <c r="C598" s="2143"/>
      <c r="D598" s="1518" t="s">
        <v>121</v>
      </c>
      <c r="E598" s="278" t="s">
        <v>5282</v>
      </c>
      <c r="F598" s="1518" t="s">
        <v>31</v>
      </c>
      <c r="G598" s="1519" t="s">
        <v>122</v>
      </c>
      <c r="H598" s="1520" t="s">
        <v>123</v>
      </c>
      <c r="I598" s="1830"/>
      <c r="J598" s="1795"/>
      <c r="K598" s="1795"/>
      <c r="L598" s="169"/>
      <c r="M598" s="1783"/>
    </row>
    <row r="599" spans="1:13" s="1526" customFormat="1" ht="30" x14ac:dyDescent="0.2">
      <c r="A599" s="1736" t="str">
        <f>'Orç - Prédio'!A110</f>
        <v>03.03.302</v>
      </c>
      <c r="B599" s="1736" t="str">
        <f>'Orç - Prédio'!B110</f>
        <v>ORSE</v>
      </c>
      <c r="C599" s="1736" t="str">
        <f>'Orç - Prédio'!C110</f>
        <v>3846 MOD</v>
      </c>
      <c r="D599" s="1522" t="s">
        <v>15018</v>
      </c>
      <c r="E599" s="1523">
        <f>'Orç - Prédio'!E110</f>
        <v>7104</v>
      </c>
      <c r="F599" s="1736" t="s">
        <v>7880</v>
      </c>
      <c r="G599" s="1524">
        <v>0.56000000000000005</v>
      </c>
      <c r="H599" s="1525">
        <f>H607</f>
        <v>3978.24</v>
      </c>
      <c r="I599" s="1910" t="s">
        <v>9544</v>
      </c>
      <c r="J599" s="1793"/>
      <c r="K599" s="1793"/>
      <c r="L599" s="141"/>
      <c r="M599" s="1515"/>
    </row>
    <row r="600" spans="1:13" s="156" customFormat="1" ht="30" x14ac:dyDescent="0.2">
      <c r="A600" s="2144">
        <v>10997</v>
      </c>
      <c r="B600" s="2144"/>
      <c r="C600" s="1516" t="s">
        <v>4448</v>
      </c>
      <c r="D600" s="182" t="s">
        <v>11598</v>
      </c>
      <c r="E600" s="1527">
        <v>8.0000000000000002E-3</v>
      </c>
      <c r="F600" s="1735" t="s">
        <v>48</v>
      </c>
      <c r="G600" s="1529">
        <v>17.88</v>
      </c>
      <c r="H600" s="1530">
        <f>ROUNDDOWN(G600*E600,2)</f>
        <v>0.14000000000000001</v>
      </c>
      <c r="I600" s="1642"/>
      <c r="J600" s="1797"/>
      <c r="K600" s="1797"/>
      <c r="L600" s="1784"/>
      <c r="M600" s="1785"/>
    </row>
    <row r="601" spans="1:13" s="156" customFormat="1" ht="30" x14ac:dyDescent="0.2">
      <c r="A601" s="2144">
        <v>88316</v>
      </c>
      <c r="B601" s="2144"/>
      <c r="C601" s="1516" t="s">
        <v>4448</v>
      </c>
      <c r="D601" s="182" t="s">
        <v>64</v>
      </c>
      <c r="E601" s="1527">
        <v>1.2E-2</v>
      </c>
      <c r="F601" s="1735" t="s">
        <v>65</v>
      </c>
      <c r="G601" s="1529">
        <v>15.08</v>
      </c>
      <c r="H601" s="1530">
        <f>ROUNDDOWN(G601*E601,2)</f>
        <v>0.18</v>
      </c>
      <c r="I601" s="1642"/>
      <c r="J601" s="1797"/>
      <c r="K601" s="1797"/>
      <c r="L601" s="1784"/>
      <c r="M601" s="1785"/>
    </row>
    <row r="602" spans="1:13" s="156" customFormat="1" ht="30" x14ac:dyDescent="0.2">
      <c r="A602" s="2144">
        <v>88317</v>
      </c>
      <c r="B602" s="2144"/>
      <c r="C602" s="1516" t="s">
        <v>4448</v>
      </c>
      <c r="D602" s="182" t="s">
        <v>4324</v>
      </c>
      <c r="E602" s="1527">
        <v>1.2E-2</v>
      </c>
      <c r="F602" s="1735" t="s">
        <v>65</v>
      </c>
      <c r="G602" s="1529">
        <v>20.8</v>
      </c>
      <c r="H602" s="1530">
        <f>ROUNDDOWN(G602*E602,2)</f>
        <v>0.24</v>
      </c>
      <c r="I602" s="1642"/>
      <c r="J602" s="1797"/>
      <c r="K602" s="1797"/>
      <c r="L602" s="1784"/>
      <c r="M602" s="1785"/>
    </row>
    <row r="603" spans="1:13" s="1517" customFormat="1" x14ac:dyDescent="0.25">
      <c r="A603" s="179"/>
      <c r="B603" s="179"/>
      <c r="C603" s="1531"/>
      <c r="D603" s="2141" t="s">
        <v>124</v>
      </c>
      <c r="E603" s="2141"/>
      <c r="F603" s="2141"/>
      <c r="G603" s="2141"/>
      <c r="H603" s="267">
        <f>SUMIF(F600:F602,("h"),H600:H602)</f>
        <v>0.42</v>
      </c>
      <c r="I603" s="1830"/>
      <c r="J603" s="1795"/>
      <c r="K603" s="1795"/>
      <c r="L603" s="169"/>
      <c r="M603" s="1783"/>
    </row>
    <row r="604" spans="1:13" s="1517" customFormat="1" x14ac:dyDescent="0.25">
      <c r="A604" s="179"/>
      <c r="B604" s="179"/>
      <c r="C604" s="1531"/>
      <c r="D604" s="2141" t="s">
        <v>125</v>
      </c>
      <c r="E604" s="2141"/>
      <c r="F604" s="2141"/>
      <c r="G604" s="2141"/>
      <c r="H604" s="267">
        <f>SUMIF(F600:F602,"&lt;&gt;h",H600:H602)</f>
        <v>0.14000000000000001</v>
      </c>
      <c r="I604" s="1830"/>
      <c r="J604" s="1795"/>
      <c r="K604" s="1795"/>
      <c r="L604" s="169"/>
      <c r="M604" s="1783"/>
    </row>
    <row r="605" spans="1:13" s="1517" customFormat="1" x14ac:dyDescent="0.25">
      <c r="A605" s="179"/>
      <c r="B605" s="179"/>
      <c r="C605" s="1531"/>
      <c r="D605" s="2142" t="s">
        <v>126</v>
      </c>
      <c r="E605" s="2142"/>
      <c r="F605" s="2142"/>
      <c r="G605" s="2142"/>
      <c r="H605" s="1532">
        <f>SUM(H603:H604)</f>
        <v>0.56000000000000005</v>
      </c>
      <c r="I605" s="1830"/>
      <c r="J605" s="1795"/>
      <c r="K605" s="1795"/>
      <c r="L605" s="169"/>
      <c r="M605" s="1783"/>
    </row>
    <row r="606" spans="1:13" s="1517" customFormat="1" x14ac:dyDescent="0.25">
      <c r="A606" s="179"/>
      <c r="B606" s="179"/>
      <c r="C606" s="1531"/>
      <c r="D606" s="2141" t="s">
        <v>28</v>
      </c>
      <c r="E606" s="2141"/>
      <c r="F606" s="2141"/>
      <c r="G606" s="2141"/>
      <c r="H606" s="269">
        <f>E599</f>
        <v>7104</v>
      </c>
      <c r="I606" s="1830"/>
      <c r="J606" s="1795"/>
      <c r="K606" s="1795"/>
      <c r="L606" s="169"/>
      <c r="M606" s="1783"/>
    </row>
    <row r="607" spans="1:13" s="1517" customFormat="1" x14ac:dyDescent="0.25">
      <c r="A607" s="179"/>
      <c r="B607" s="179"/>
      <c r="C607" s="1531"/>
      <c r="D607" s="2142" t="s">
        <v>127</v>
      </c>
      <c r="E607" s="2142"/>
      <c r="F607" s="2142"/>
      <c r="G607" s="2142"/>
      <c r="H607" s="1532">
        <f>ROUND(H605*H606,2)</f>
        <v>3978.24</v>
      </c>
      <c r="I607" s="1830"/>
      <c r="J607" s="1795"/>
      <c r="K607" s="1795"/>
      <c r="L607" s="169"/>
      <c r="M607" s="1783"/>
    </row>
    <row r="608" spans="1:13" s="1517" customFormat="1" x14ac:dyDescent="0.25">
      <c r="A608" s="179"/>
      <c r="B608" s="179"/>
      <c r="C608" s="1531"/>
      <c r="D608" s="2141" t="s">
        <v>15335</v>
      </c>
      <c r="E608" s="2141"/>
      <c r="F608" s="2141"/>
      <c r="G608" s="2141"/>
      <c r="H608" s="267">
        <f>ROUND(H605*$B$13,2)</f>
        <v>0.15</v>
      </c>
      <c r="I608" s="1830"/>
      <c r="J608" s="1795"/>
      <c r="K608" s="1795"/>
      <c r="L608" s="169"/>
      <c r="M608" s="1783"/>
    </row>
    <row r="609" spans="1:13" x14ac:dyDescent="0.25">
      <c r="A609" s="179"/>
      <c r="B609" s="179"/>
      <c r="C609" s="1531"/>
      <c r="D609" s="2142" t="s">
        <v>7898</v>
      </c>
      <c r="E609" s="2142"/>
      <c r="F609" s="2142"/>
      <c r="G609" s="2142"/>
      <c r="H609" s="1532">
        <f>H608+H605</f>
        <v>0.71000000000000008</v>
      </c>
    </row>
    <row r="610" spans="1:13" x14ac:dyDescent="0.25">
      <c r="A610" s="1514"/>
      <c r="B610" s="1514"/>
      <c r="C610" s="1514"/>
      <c r="F610" s="1533"/>
      <c r="G610" s="1534"/>
      <c r="H610" s="1514"/>
    </row>
    <row r="611" spans="1:13" s="218" customFormat="1" x14ac:dyDescent="0.25">
      <c r="A611" s="214" t="str">
        <f>'Orç - Prédio'!A117</f>
        <v>04.00.000</v>
      </c>
      <c r="B611" s="214"/>
      <c r="C611" s="215"/>
      <c r="D611" s="175" t="s">
        <v>4862</v>
      </c>
      <c r="E611" s="284"/>
      <c r="F611" s="214"/>
      <c r="G611" s="216"/>
      <c r="H611" s="217"/>
      <c r="I611" s="212"/>
      <c r="J611" s="1796"/>
      <c r="K611" s="1793"/>
      <c r="L611" s="1782"/>
      <c r="M611" s="180"/>
    </row>
    <row r="612" spans="1:13" s="1517" customFormat="1" x14ac:dyDescent="0.25">
      <c r="A612" s="225"/>
      <c r="B612" s="225"/>
      <c r="C612" s="213"/>
      <c r="D612" s="159"/>
      <c r="E612" s="276"/>
      <c r="F612" s="225"/>
      <c r="G612" s="178"/>
      <c r="H612" s="227"/>
      <c r="I612" s="1830"/>
      <c r="J612" s="1795"/>
      <c r="K612" s="1795"/>
      <c r="L612" s="169"/>
      <c r="M612" s="1783"/>
    </row>
    <row r="613" spans="1:13" s="1517" customFormat="1" x14ac:dyDescent="0.25">
      <c r="A613" s="146" t="s">
        <v>6</v>
      </c>
      <c r="B613" s="2143" t="s">
        <v>7</v>
      </c>
      <c r="C613" s="2143"/>
      <c r="D613" s="219" t="s">
        <v>121</v>
      </c>
      <c r="E613" s="278" t="s">
        <v>5282</v>
      </c>
      <c r="F613" s="219" t="s">
        <v>31</v>
      </c>
      <c r="G613" s="220" t="s">
        <v>122</v>
      </c>
      <c r="H613" s="221" t="s">
        <v>123</v>
      </c>
      <c r="I613" s="1830"/>
      <c r="J613" s="1795"/>
      <c r="K613" s="1795"/>
      <c r="L613" s="169"/>
      <c r="M613" s="1783"/>
    </row>
    <row r="614" spans="1:13" s="1526" customFormat="1" ht="30" x14ac:dyDescent="0.2">
      <c r="A614" s="222" t="str">
        <f>'Orç - Prédio'!A126</f>
        <v>04.01.102.06</v>
      </c>
      <c r="B614" s="234" t="str">
        <f>'Orç - Prédio'!B126</f>
        <v>Comp. Montada</v>
      </c>
      <c r="C614" s="234">
        <f>'Orç - Prédio'!C126</f>
        <v>3</v>
      </c>
      <c r="D614" s="235" t="s">
        <v>6664</v>
      </c>
      <c r="E614" s="292">
        <f>'Orç - Prédio'!E126</f>
        <v>310.2</v>
      </c>
      <c r="F614" s="234" t="s">
        <v>5713</v>
      </c>
      <c r="G614" s="223">
        <v>63.61</v>
      </c>
      <c r="H614" s="224">
        <f>H623</f>
        <v>19731.82</v>
      </c>
      <c r="I614" s="1910" t="s">
        <v>9544</v>
      </c>
      <c r="J614" s="1793"/>
      <c r="K614" s="1793"/>
      <c r="L614" s="141"/>
      <c r="M614" s="1515"/>
    </row>
    <row r="615" spans="1:13" s="156" customFormat="1" ht="75" x14ac:dyDescent="0.2">
      <c r="A615" s="2144">
        <v>92776</v>
      </c>
      <c r="B615" s="2144"/>
      <c r="C615" s="213" t="s">
        <v>4448</v>
      </c>
      <c r="D615" s="182" t="s">
        <v>1612</v>
      </c>
      <c r="E615" s="295">
        <v>0.98</v>
      </c>
      <c r="F615" s="225" t="s">
        <v>305</v>
      </c>
      <c r="G615" s="226">
        <v>11.4</v>
      </c>
      <c r="H615" s="227">
        <f>ROUNDDOWN(G615*E615,2)</f>
        <v>11.17</v>
      </c>
      <c r="I615" s="1642"/>
      <c r="J615" s="1797"/>
      <c r="K615" s="1797"/>
      <c r="L615" s="1784"/>
      <c r="M615" s="1785"/>
    </row>
    <row r="616" spans="1:13" s="156" customFormat="1" ht="75" x14ac:dyDescent="0.2">
      <c r="A616" s="2144">
        <v>92775</v>
      </c>
      <c r="B616" s="2144"/>
      <c r="C616" s="213" t="s">
        <v>4448</v>
      </c>
      <c r="D616" s="182" t="s">
        <v>1611</v>
      </c>
      <c r="E616" s="295">
        <v>0.35727999999999999</v>
      </c>
      <c r="F616" s="225" t="s">
        <v>305</v>
      </c>
      <c r="G616" s="226">
        <v>12.77</v>
      </c>
      <c r="H616" s="227">
        <f>ROUNDDOWN(G616*E616,2)</f>
        <v>4.5599999999999996</v>
      </c>
      <c r="I616" s="1642"/>
      <c r="J616" s="1797"/>
      <c r="K616" s="1797"/>
      <c r="L616" s="1784"/>
      <c r="M616" s="1785"/>
    </row>
    <row r="617" spans="1:13" s="156" customFormat="1" ht="105" x14ac:dyDescent="0.2">
      <c r="A617" s="2144">
        <v>92426</v>
      </c>
      <c r="B617" s="2144"/>
      <c r="C617" s="213" t="s">
        <v>4448</v>
      </c>
      <c r="D617" s="182" t="s">
        <v>1449</v>
      </c>
      <c r="E617" s="295">
        <v>1</v>
      </c>
      <c r="F617" s="225" t="s">
        <v>306</v>
      </c>
      <c r="G617" s="226">
        <v>44.24</v>
      </c>
      <c r="H617" s="227">
        <f>ROUNDDOWN(G617*E617,2)</f>
        <v>44.24</v>
      </c>
      <c r="I617" s="1642"/>
      <c r="J617" s="1797"/>
      <c r="K617" s="1797"/>
      <c r="L617" s="1784"/>
      <c r="M617" s="1785"/>
    </row>
    <row r="618" spans="1:13" s="156" customFormat="1" ht="75" x14ac:dyDescent="0.2">
      <c r="A618" s="2144">
        <v>92718</v>
      </c>
      <c r="B618" s="2144"/>
      <c r="C618" s="213" t="s">
        <v>4448</v>
      </c>
      <c r="D618" s="182" t="s">
        <v>1703</v>
      </c>
      <c r="E618" s="295">
        <f>0.09*0.09</f>
        <v>8.0999999999999996E-3</v>
      </c>
      <c r="F618" s="225" t="s">
        <v>1208</v>
      </c>
      <c r="G618" s="226">
        <v>449.43</v>
      </c>
      <c r="H618" s="227">
        <f>ROUNDDOWN(G618*E618,2)</f>
        <v>3.64</v>
      </c>
      <c r="I618" s="1642"/>
      <c r="J618" s="1797"/>
      <c r="K618" s="1797"/>
      <c r="L618" s="1784"/>
      <c r="M618" s="1785"/>
    </row>
    <row r="619" spans="1:13" s="1517" customFormat="1" x14ac:dyDescent="0.25">
      <c r="A619" s="179"/>
      <c r="B619" s="179"/>
      <c r="C619" s="228"/>
      <c r="D619" s="2141" t="s">
        <v>124</v>
      </c>
      <c r="E619" s="2141"/>
      <c r="F619" s="2141"/>
      <c r="G619" s="2141"/>
      <c r="H619" s="229">
        <f>SUMIF(F615:F618,("h"),H615:H618)</f>
        <v>0</v>
      </c>
      <c r="I619" s="1830"/>
      <c r="J619" s="1795"/>
      <c r="K619" s="1795"/>
      <c r="L619" s="169"/>
      <c r="M619" s="1783"/>
    </row>
    <row r="620" spans="1:13" s="1517" customFormat="1" x14ac:dyDescent="0.25">
      <c r="A620" s="179"/>
      <c r="B620" s="179"/>
      <c r="C620" s="228"/>
      <c r="D620" s="2141" t="s">
        <v>125</v>
      </c>
      <c r="E620" s="2141"/>
      <c r="F620" s="2141"/>
      <c r="G620" s="2141"/>
      <c r="H620" s="229">
        <f>SUMIF(F615:F618,"&lt;&gt;h",H615:H618)</f>
        <v>63.61</v>
      </c>
      <c r="I620" s="1830"/>
      <c r="J620" s="1795"/>
      <c r="K620" s="1795"/>
      <c r="L620" s="169"/>
      <c r="M620" s="1783"/>
    </row>
    <row r="621" spans="1:13" s="1517" customFormat="1" x14ac:dyDescent="0.25">
      <c r="A621" s="179"/>
      <c r="B621" s="179"/>
      <c r="C621" s="228"/>
      <c r="D621" s="2142" t="s">
        <v>126</v>
      </c>
      <c r="E621" s="2142"/>
      <c r="F621" s="2142"/>
      <c r="G621" s="2142"/>
      <c r="H621" s="230">
        <f>SUM(H619:H620)</f>
        <v>63.61</v>
      </c>
      <c r="I621" s="1830"/>
      <c r="J621" s="1795"/>
      <c r="K621" s="1795"/>
      <c r="L621" s="169"/>
      <c r="M621" s="1783"/>
    </row>
    <row r="622" spans="1:13" s="1517" customFormat="1" x14ac:dyDescent="0.25">
      <c r="A622" s="179"/>
      <c r="B622" s="179"/>
      <c r="C622" s="228"/>
      <c r="D622" s="2141" t="s">
        <v>28</v>
      </c>
      <c r="E622" s="2141"/>
      <c r="F622" s="2141"/>
      <c r="G622" s="2141"/>
      <c r="H622" s="231">
        <f>E614</f>
        <v>310.2</v>
      </c>
      <c r="I622" s="1830"/>
      <c r="J622" s="1795"/>
      <c r="K622" s="1795"/>
      <c r="L622" s="169"/>
      <c r="M622" s="1783"/>
    </row>
    <row r="623" spans="1:13" s="1517" customFormat="1" x14ac:dyDescent="0.25">
      <c r="A623" s="179"/>
      <c r="B623" s="179"/>
      <c r="C623" s="228"/>
      <c r="D623" s="2142" t="s">
        <v>127</v>
      </c>
      <c r="E623" s="2142"/>
      <c r="F623" s="2142"/>
      <c r="G623" s="2142"/>
      <c r="H623" s="230">
        <f>ROUND(H621*H622,2)</f>
        <v>19731.82</v>
      </c>
      <c r="I623" s="1830"/>
      <c r="J623" s="1795"/>
      <c r="K623" s="1795"/>
      <c r="L623" s="169"/>
      <c r="M623" s="1783"/>
    </row>
    <row r="624" spans="1:13" s="1517" customFormat="1" x14ac:dyDescent="0.25">
      <c r="A624" s="179"/>
      <c r="B624" s="179"/>
      <c r="C624" s="1531"/>
      <c r="D624" s="2141" t="s">
        <v>15335</v>
      </c>
      <c r="E624" s="2141"/>
      <c r="F624" s="2141"/>
      <c r="G624" s="2141"/>
      <c r="H624" s="267">
        <f>ROUND(H621*$B$13,2)</f>
        <v>17.13</v>
      </c>
      <c r="I624" s="1830"/>
      <c r="J624" s="1795"/>
      <c r="K624" s="1795"/>
      <c r="L624" s="169"/>
      <c r="M624" s="1783"/>
    </row>
    <row r="625" spans="1:13" x14ac:dyDescent="0.25">
      <c r="A625" s="179"/>
      <c r="B625" s="179"/>
      <c r="C625" s="1531"/>
      <c r="D625" s="2142" t="s">
        <v>7898</v>
      </c>
      <c r="E625" s="2142"/>
      <c r="F625" s="2142"/>
      <c r="G625" s="2142"/>
      <c r="H625" s="1532">
        <f>H624+H621</f>
        <v>80.739999999999995</v>
      </c>
    </row>
    <row r="626" spans="1:13" x14ac:dyDescent="0.25">
      <c r="A626" s="211"/>
      <c r="B626" s="211"/>
      <c r="C626" s="211"/>
      <c r="F626" s="232"/>
      <c r="G626" s="233"/>
      <c r="H626" s="211"/>
    </row>
    <row r="627" spans="1:13" s="1517" customFormat="1" x14ac:dyDescent="0.25">
      <c r="A627" s="146" t="s">
        <v>6</v>
      </c>
      <c r="B627" s="2143" t="s">
        <v>7</v>
      </c>
      <c r="C627" s="2143"/>
      <c r="D627" s="641" t="s">
        <v>121</v>
      </c>
      <c r="E627" s="278" t="s">
        <v>5282</v>
      </c>
      <c r="F627" s="641" t="s">
        <v>31</v>
      </c>
      <c r="G627" s="642" t="s">
        <v>122</v>
      </c>
      <c r="H627" s="643" t="s">
        <v>123</v>
      </c>
      <c r="I627" s="1830"/>
      <c r="J627" s="1795"/>
      <c r="K627" s="1795"/>
      <c r="L627" s="169"/>
      <c r="M627" s="1783"/>
    </row>
    <row r="628" spans="1:13" s="1526" customFormat="1" ht="60" x14ac:dyDescent="0.2">
      <c r="A628" s="644" t="str">
        <f>'Orç - Prédio'!A129</f>
        <v>04.01.120</v>
      </c>
      <c r="B628" s="644" t="str">
        <f>'Orç - Prédio'!B129</f>
        <v>SINAPI</v>
      </c>
      <c r="C628" s="644" t="str">
        <f>'Orç - Prédio'!C129</f>
        <v>79627 MOD</v>
      </c>
      <c r="D628" s="645" t="s">
        <v>7901</v>
      </c>
      <c r="E628" s="644">
        <f>'Orç - Prédio'!E129</f>
        <v>61.15</v>
      </c>
      <c r="F628" s="644" t="s">
        <v>5286</v>
      </c>
      <c r="G628" s="646">
        <v>685.37</v>
      </c>
      <c r="H628" s="647">
        <f>H639</f>
        <v>41910.379999999997</v>
      </c>
      <c r="I628" s="1910" t="s">
        <v>9544</v>
      </c>
      <c r="J628" s="1793"/>
      <c r="K628" s="1793"/>
      <c r="L628" s="141"/>
      <c r="M628" s="1515"/>
    </row>
    <row r="629" spans="1:13" s="1859" customFormat="1" ht="30" x14ac:dyDescent="0.2">
      <c r="A629" s="2144">
        <v>4777</v>
      </c>
      <c r="B629" s="2144"/>
      <c r="C629" s="1863" t="s">
        <v>4448</v>
      </c>
      <c r="D629" s="1862" t="s">
        <v>10694</v>
      </c>
      <c r="E629" s="1864">
        <f>1.19*2.66</f>
        <v>3.1654</v>
      </c>
      <c r="F629" s="1916" t="s">
        <v>48</v>
      </c>
      <c r="G629" s="1860">
        <v>4.57</v>
      </c>
      <c r="H629" s="1857">
        <f t="shared" ref="H629" si="70">ROUNDDOWN(G629*E629,2)</f>
        <v>14.46</v>
      </c>
      <c r="I629" s="1856"/>
      <c r="J629" s="1797"/>
      <c r="K629" s="1797"/>
      <c r="L629" s="1784"/>
      <c r="M629" s="1785"/>
    </row>
    <row r="630" spans="1:13" s="156" customFormat="1" x14ac:dyDescent="0.2">
      <c r="A630" s="2144">
        <v>1380</v>
      </c>
      <c r="B630" s="2144"/>
      <c r="C630" s="640" t="s">
        <v>4448</v>
      </c>
      <c r="D630" s="182" t="s">
        <v>10896</v>
      </c>
      <c r="E630" s="648">
        <v>0.7</v>
      </c>
      <c r="F630" s="649" t="s">
        <v>48</v>
      </c>
      <c r="G630" s="650">
        <v>2.4</v>
      </c>
      <c r="H630" s="651">
        <f t="shared" ref="H630:H634" si="71">ROUNDDOWN(G630*E630,2)</f>
        <v>1.68</v>
      </c>
      <c r="I630" s="1642"/>
      <c r="J630" s="1797"/>
      <c r="K630" s="1797"/>
      <c r="L630" s="1784"/>
      <c r="M630" s="1785"/>
    </row>
    <row r="631" spans="1:13" s="156" customFormat="1" ht="60" x14ac:dyDescent="0.2">
      <c r="A631" s="2144">
        <v>25976</v>
      </c>
      <c r="B631" s="2144"/>
      <c r="C631" s="640" t="s">
        <v>4448</v>
      </c>
      <c r="D631" s="182" t="s">
        <v>11562</v>
      </c>
      <c r="E631" s="648">
        <v>1</v>
      </c>
      <c r="F631" s="649" t="s">
        <v>45</v>
      </c>
      <c r="G631" s="650">
        <v>552.07000000000005</v>
      </c>
      <c r="H631" s="651">
        <f t="shared" si="71"/>
        <v>552.07000000000005</v>
      </c>
      <c r="I631" s="1642"/>
      <c r="J631" s="1797"/>
      <c r="K631" s="1797"/>
      <c r="L631" s="1784"/>
      <c r="M631" s="1785"/>
    </row>
    <row r="632" spans="1:13" s="156" customFormat="1" ht="30" x14ac:dyDescent="0.2">
      <c r="A632" s="2144">
        <v>88274</v>
      </c>
      <c r="B632" s="2144"/>
      <c r="C632" s="640" t="s">
        <v>4448</v>
      </c>
      <c r="D632" s="182" t="s">
        <v>4298</v>
      </c>
      <c r="E632" s="648">
        <v>4.8</v>
      </c>
      <c r="F632" s="649" t="s">
        <v>65</v>
      </c>
      <c r="G632" s="650">
        <v>16.940000000000001</v>
      </c>
      <c r="H632" s="651">
        <f t="shared" si="71"/>
        <v>81.31</v>
      </c>
      <c r="I632" s="1642"/>
      <c r="J632" s="1797"/>
      <c r="K632" s="1797"/>
      <c r="L632" s="1784"/>
      <c r="M632" s="1785"/>
    </row>
    <row r="633" spans="1:13" s="156" customFormat="1" ht="30" x14ac:dyDescent="0.2">
      <c r="A633" s="2144">
        <v>88316</v>
      </c>
      <c r="B633" s="2144"/>
      <c r="C633" s="640" t="s">
        <v>4448</v>
      </c>
      <c r="D633" s="182" t="s">
        <v>64</v>
      </c>
      <c r="E633" s="648">
        <v>2.2999999999999998</v>
      </c>
      <c r="F633" s="649" t="s">
        <v>65</v>
      </c>
      <c r="G633" s="650">
        <v>15.08</v>
      </c>
      <c r="H633" s="651">
        <f t="shared" si="71"/>
        <v>34.68</v>
      </c>
      <c r="I633" s="1642"/>
      <c r="J633" s="1797"/>
      <c r="K633" s="1797"/>
      <c r="L633" s="1784"/>
      <c r="M633" s="1785"/>
    </row>
    <row r="634" spans="1:13" s="156" customFormat="1" ht="45" x14ac:dyDescent="0.2">
      <c r="A634" s="2144">
        <v>88631</v>
      </c>
      <c r="B634" s="2144"/>
      <c r="C634" s="640" t="s">
        <v>4448</v>
      </c>
      <c r="D634" s="182" t="s">
        <v>8501</v>
      </c>
      <c r="E634" s="648">
        <v>3.0000000000000001E-3</v>
      </c>
      <c r="F634" s="649" t="s">
        <v>1208</v>
      </c>
      <c r="G634" s="650">
        <v>390.07</v>
      </c>
      <c r="H634" s="651">
        <f t="shared" si="71"/>
        <v>1.17</v>
      </c>
      <c r="I634" s="1642"/>
      <c r="J634" s="1797"/>
      <c r="K634" s="1797"/>
      <c r="L634" s="1784"/>
      <c r="M634" s="1785"/>
    </row>
    <row r="635" spans="1:13" s="1517" customFormat="1" x14ac:dyDescent="0.25">
      <c r="A635" s="179"/>
      <c r="B635" s="179"/>
      <c r="C635" s="652"/>
      <c r="D635" s="2141" t="s">
        <v>124</v>
      </c>
      <c r="E635" s="2141"/>
      <c r="F635" s="2141"/>
      <c r="G635" s="2141"/>
      <c r="H635" s="267">
        <f>SUMIF(F629:F634,("h"),H629:H634)</f>
        <v>115.99000000000001</v>
      </c>
      <c r="I635" s="1830"/>
      <c r="J635" s="1795"/>
      <c r="K635" s="1795"/>
      <c r="L635" s="169"/>
      <c r="M635" s="1783"/>
    </row>
    <row r="636" spans="1:13" s="1517" customFormat="1" x14ac:dyDescent="0.25">
      <c r="A636" s="179"/>
      <c r="B636" s="179"/>
      <c r="C636" s="652"/>
      <c r="D636" s="2141" t="s">
        <v>125</v>
      </c>
      <c r="E636" s="2141"/>
      <c r="F636" s="2141"/>
      <c r="G636" s="2141"/>
      <c r="H636" s="267">
        <f>SUMIF(F629:F634,"&lt;&gt;h",H629:H634)</f>
        <v>569.38</v>
      </c>
      <c r="I636" s="1830"/>
      <c r="J636" s="1795"/>
      <c r="K636" s="1795"/>
      <c r="L636" s="169"/>
      <c r="M636" s="1783"/>
    </row>
    <row r="637" spans="1:13" s="1517" customFormat="1" x14ac:dyDescent="0.25">
      <c r="A637" s="179"/>
      <c r="B637" s="179"/>
      <c r="C637" s="652"/>
      <c r="D637" s="2142" t="s">
        <v>126</v>
      </c>
      <c r="E637" s="2142"/>
      <c r="F637" s="2142"/>
      <c r="G637" s="2142"/>
      <c r="H637" s="653">
        <f>SUM(H635:H636)</f>
        <v>685.37</v>
      </c>
      <c r="I637" s="1830"/>
      <c r="J637" s="1795"/>
      <c r="K637" s="1795"/>
      <c r="L637" s="169"/>
      <c r="M637" s="1783"/>
    </row>
    <row r="638" spans="1:13" s="1517" customFormat="1" x14ac:dyDescent="0.25">
      <c r="A638" s="179"/>
      <c r="B638" s="179"/>
      <c r="C638" s="652"/>
      <c r="D638" s="2141" t="s">
        <v>28</v>
      </c>
      <c r="E638" s="2141"/>
      <c r="F638" s="2141"/>
      <c r="G638" s="2141"/>
      <c r="H638" s="269">
        <f>E628</f>
        <v>61.15</v>
      </c>
      <c r="I638" s="1830"/>
      <c r="J638" s="1795"/>
      <c r="K638" s="1795"/>
      <c r="L638" s="169"/>
      <c r="M638" s="1783"/>
    </row>
    <row r="639" spans="1:13" s="1517" customFormat="1" x14ac:dyDescent="0.25">
      <c r="A639" s="179"/>
      <c r="B639" s="179"/>
      <c r="C639" s="652"/>
      <c r="D639" s="2142" t="s">
        <v>127</v>
      </c>
      <c r="E639" s="2142"/>
      <c r="F639" s="2142"/>
      <c r="G639" s="2142"/>
      <c r="H639" s="653">
        <f>ROUND(H637*H638,2)</f>
        <v>41910.379999999997</v>
      </c>
      <c r="I639" s="1830"/>
      <c r="J639" s="1795"/>
      <c r="K639" s="1795"/>
      <c r="L639" s="169"/>
      <c r="M639" s="1783"/>
    </row>
    <row r="640" spans="1:13" s="1517" customFormat="1" x14ac:dyDescent="0.25">
      <c r="A640" s="179"/>
      <c r="B640" s="179"/>
      <c r="C640" s="1531"/>
      <c r="D640" s="2141" t="s">
        <v>15335</v>
      </c>
      <c r="E640" s="2141"/>
      <c r="F640" s="2141"/>
      <c r="G640" s="2141"/>
      <c r="H640" s="267">
        <f>ROUND(H637*$B$13,2)</f>
        <v>184.57</v>
      </c>
      <c r="I640" s="1830"/>
      <c r="J640" s="1795"/>
      <c r="K640" s="1795"/>
      <c r="L640" s="169"/>
      <c r="M640" s="1783"/>
    </row>
    <row r="641" spans="1:13" x14ac:dyDescent="0.25">
      <c r="A641" s="179"/>
      <c r="B641" s="179"/>
      <c r="C641" s="1531"/>
      <c r="D641" s="2142" t="s">
        <v>7898</v>
      </c>
      <c r="E641" s="2142"/>
      <c r="F641" s="2142"/>
      <c r="G641" s="2142"/>
      <c r="H641" s="1532">
        <f>H640+H637</f>
        <v>869.94</v>
      </c>
    </row>
    <row r="642" spans="1:13" x14ac:dyDescent="0.25">
      <c r="A642" s="2153" t="s">
        <v>9547</v>
      </c>
      <c r="B642" s="2153"/>
      <c r="C642" s="2153"/>
      <c r="D642" s="2153"/>
      <c r="E642" s="2153"/>
      <c r="F642" s="2153"/>
      <c r="G642" s="2153"/>
      <c r="H642" s="2153"/>
    </row>
    <row r="643" spans="1:13" x14ac:dyDescent="0.25">
      <c r="A643" s="639"/>
      <c r="B643" s="639"/>
      <c r="C643" s="639"/>
      <c r="F643" s="654"/>
      <c r="G643" s="655"/>
      <c r="H643" s="639"/>
    </row>
    <row r="644" spans="1:13" s="1517" customFormat="1" x14ac:dyDescent="0.25">
      <c r="A644" s="146" t="s">
        <v>6</v>
      </c>
      <c r="B644" s="2143" t="s">
        <v>7</v>
      </c>
      <c r="C644" s="2143"/>
      <c r="D644" s="238" t="s">
        <v>121</v>
      </c>
      <c r="E644" s="278" t="s">
        <v>5282</v>
      </c>
      <c r="F644" s="238" t="s">
        <v>31</v>
      </c>
      <c r="G644" s="239" t="s">
        <v>122</v>
      </c>
      <c r="H644" s="240" t="s">
        <v>123</v>
      </c>
      <c r="I644" s="1830"/>
      <c r="J644" s="1795"/>
      <c r="K644" s="1795"/>
      <c r="L644" s="169"/>
      <c r="M644" s="1783"/>
    </row>
    <row r="645" spans="1:13" s="1526" customFormat="1" ht="60" x14ac:dyDescent="0.2">
      <c r="A645" s="241" t="str">
        <f>'Orç - Prédio'!A133</f>
        <v>04.01.220.01</v>
      </c>
      <c r="B645" s="253" t="str">
        <f>'Orç - Prédio'!B133</f>
        <v>SINAPI</v>
      </c>
      <c r="C645" s="253" t="str">
        <f>'Orç - Prédio'!C133</f>
        <v>91341 MOD 1</v>
      </c>
      <c r="D645" s="254" t="s">
        <v>5721</v>
      </c>
      <c r="E645" s="292">
        <f>'Orç - Prédio'!E133</f>
        <v>16</v>
      </c>
      <c r="F645" s="253" t="s">
        <v>5284</v>
      </c>
      <c r="G645" s="242">
        <v>1038.1200000000001</v>
      </c>
      <c r="H645" s="243">
        <f>H659</f>
        <v>16609.919999999998</v>
      </c>
      <c r="I645" s="1910" t="s">
        <v>9544</v>
      </c>
      <c r="J645" s="1793"/>
      <c r="K645" s="1793"/>
      <c r="L645" s="141"/>
      <c r="M645" s="1515"/>
    </row>
    <row r="646" spans="1:13" s="156" customFormat="1" ht="45" x14ac:dyDescent="0.2">
      <c r="A646" s="2144">
        <v>142</v>
      </c>
      <c r="B646" s="2144"/>
      <c r="C646" s="237" t="s">
        <v>4448</v>
      </c>
      <c r="D646" s="182" t="s">
        <v>13747</v>
      </c>
      <c r="E646" s="295">
        <v>1.66267728</v>
      </c>
      <c r="F646" s="244" t="s">
        <v>63</v>
      </c>
      <c r="G646" s="245">
        <v>22.83</v>
      </c>
      <c r="H646" s="246">
        <f t="shared" ref="H646:H654" si="72">ROUNDDOWN(G646*E646,2)</f>
        <v>37.950000000000003</v>
      </c>
      <c r="I646" s="1642"/>
      <c r="J646" s="1797"/>
      <c r="K646" s="1797"/>
      <c r="L646" s="1784"/>
      <c r="M646" s="1785"/>
    </row>
    <row r="647" spans="1:13" s="156" customFormat="1" ht="60" x14ac:dyDescent="0.2">
      <c r="A647" s="2144">
        <v>7568</v>
      </c>
      <c r="B647" s="2144"/>
      <c r="C647" s="237" t="s">
        <v>4448</v>
      </c>
      <c r="D647" s="182" t="s">
        <v>10260</v>
      </c>
      <c r="E647" s="295">
        <v>9</v>
      </c>
      <c r="F647" s="244" t="s">
        <v>39</v>
      </c>
      <c r="G647" s="245">
        <v>0.61</v>
      </c>
      <c r="H647" s="246">
        <f t="shared" si="72"/>
        <v>5.49</v>
      </c>
      <c r="I647" s="1642"/>
      <c r="J647" s="1797"/>
      <c r="K647" s="1797"/>
      <c r="L647" s="1784"/>
      <c r="M647" s="1785"/>
    </row>
    <row r="648" spans="1:13" s="156" customFormat="1" ht="45" x14ac:dyDescent="0.2">
      <c r="A648" s="2144">
        <v>11447</v>
      </c>
      <c r="B648" s="2144"/>
      <c r="C648" s="237" t="s">
        <v>4448</v>
      </c>
      <c r="D648" s="182" t="s">
        <v>11569</v>
      </c>
      <c r="E648" s="295">
        <v>6</v>
      </c>
      <c r="F648" s="244" t="s">
        <v>39</v>
      </c>
      <c r="G648" s="245">
        <v>18.59</v>
      </c>
      <c r="H648" s="246">
        <f t="shared" si="72"/>
        <v>111.54</v>
      </c>
      <c r="I648" s="1642"/>
      <c r="J648" s="1797"/>
      <c r="K648" s="1797"/>
      <c r="L648" s="1784"/>
      <c r="M648" s="1785"/>
    </row>
    <row r="649" spans="1:13" s="156" customFormat="1" ht="45" x14ac:dyDescent="0.2">
      <c r="A649" s="2144">
        <v>36888</v>
      </c>
      <c r="B649" s="2144"/>
      <c r="C649" s="237" t="s">
        <v>4448</v>
      </c>
      <c r="D649" s="182" t="s">
        <v>12065</v>
      </c>
      <c r="E649" s="295">
        <v>5.16</v>
      </c>
      <c r="F649" s="244" t="s">
        <v>47</v>
      </c>
      <c r="G649" s="245">
        <v>6.31</v>
      </c>
      <c r="H649" s="246">
        <f t="shared" si="72"/>
        <v>32.549999999999997</v>
      </c>
      <c r="I649" s="1642"/>
      <c r="J649" s="1797"/>
      <c r="K649" s="1797"/>
      <c r="L649" s="1784"/>
      <c r="M649" s="1785"/>
    </row>
    <row r="650" spans="1:13" s="156" customFormat="1" ht="60" x14ac:dyDescent="0.2">
      <c r="A650" s="2144">
        <v>39025</v>
      </c>
      <c r="B650" s="2144"/>
      <c r="C650" s="237" t="s">
        <v>4448</v>
      </c>
      <c r="D650" s="182" t="s">
        <v>13404</v>
      </c>
      <c r="E650" s="295">
        <v>1.03067536</v>
      </c>
      <c r="F650" s="244" t="s">
        <v>39</v>
      </c>
      <c r="G650" s="245">
        <v>577.15</v>
      </c>
      <c r="H650" s="246">
        <f t="shared" si="72"/>
        <v>594.85</v>
      </c>
      <c r="I650" s="1642"/>
      <c r="J650" s="1797"/>
      <c r="K650" s="1797"/>
      <c r="L650" s="1784"/>
      <c r="M650" s="1785"/>
    </row>
    <row r="651" spans="1:13" s="156" customFormat="1" ht="30" x14ac:dyDescent="0.2">
      <c r="A651" s="2144">
        <v>88309</v>
      </c>
      <c r="B651" s="2144"/>
      <c r="C651" s="237" t="s">
        <v>4448</v>
      </c>
      <c r="D651" s="182" t="s">
        <v>87</v>
      </c>
      <c r="E651" s="295">
        <v>0.72051231999999998</v>
      </c>
      <c r="F651" s="244" t="s">
        <v>65</v>
      </c>
      <c r="G651" s="245">
        <v>20.149999999999999</v>
      </c>
      <c r="H651" s="246">
        <f t="shared" si="72"/>
        <v>14.51</v>
      </c>
      <c r="I651" s="1642"/>
      <c r="J651" s="1797"/>
      <c r="K651" s="1797"/>
      <c r="L651" s="1784"/>
      <c r="M651" s="1785"/>
    </row>
    <row r="652" spans="1:13" s="156" customFormat="1" ht="30" x14ac:dyDescent="0.2">
      <c r="A652" s="2144">
        <v>88316</v>
      </c>
      <c r="B652" s="2144"/>
      <c r="C652" s="237" t="s">
        <v>4448</v>
      </c>
      <c r="D652" s="182" t="s">
        <v>64</v>
      </c>
      <c r="E652" s="295">
        <v>0.35969119999999999</v>
      </c>
      <c r="F652" s="244" t="s">
        <v>65</v>
      </c>
      <c r="G652" s="245">
        <v>15.08</v>
      </c>
      <c r="H652" s="246">
        <f t="shared" si="72"/>
        <v>5.42</v>
      </c>
      <c r="I652" s="1642"/>
      <c r="J652" s="1797"/>
      <c r="K652" s="1797"/>
      <c r="L652" s="1784"/>
      <c r="M652" s="1785"/>
    </row>
    <row r="653" spans="1:13" s="1859" customFormat="1" ht="75" x14ac:dyDescent="0.2">
      <c r="A653" s="2148">
        <v>100725</v>
      </c>
      <c r="B653" s="2148"/>
      <c r="C653" s="1877" t="s">
        <v>4448</v>
      </c>
      <c r="D653" s="1850" t="s">
        <v>9282</v>
      </c>
      <c r="E653" s="1864">
        <f>2*3.7664</f>
        <v>7.5327999999999999</v>
      </c>
      <c r="F653" s="1917" t="s">
        <v>306</v>
      </c>
      <c r="G653" s="367">
        <v>17.61</v>
      </c>
      <c r="H653" s="1852">
        <f t="shared" si="72"/>
        <v>132.65</v>
      </c>
      <c r="I653" s="1856"/>
      <c r="J653" s="1797"/>
      <c r="K653" s="1797"/>
      <c r="L653" s="1784"/>
      <c r="M653" s="1785"/>
    </row>
    <row r="654" spans="1:13" s="156" customFormat="1" ht="60" x14ac:dyDescent="0.2">
      <c r="A654" s="2144">
        <v>90830</v>
      </c>
      <c r="B654" s="2144"/>
      <c r="C654" s="237" t="s">
        <v>4448</v>
      </c>
      <c r="D654" s="182" t="s">
        <v>8631</v>
      </c>
      <c r="E654" s="295">
        <v>1</v>
      </c>
      <c r="F654" s="244" t="s">
        <v>168</v>
      </c>
      <c r="G654" s="245">
        <v>103.16</v>
      </c>
      <c r="H654" s="246">
        <f t="shared" si="72"/>
        <v>103.16</v>
      </c>
      <c r="I654" s="1642"/>
      <c r="J654" s="1797"/>
      <c r="K654" s="1797"/>
      <c r="L654" s="1784"/>
      <c r="M654" s="1785"/>
    </row>
    <row r="655" spans="1:13" s="1517" customFormat="1" x14ac:dyDescent="0.25">
      <c r="A655" s="179"/>
      <c r="B655" s="179"/>
      <c r="C655" s="247"/>
      <c r="D655" s="2141" t="s">
        <v>124</v>
      </c>
      <c r="E655" s="2141"/>
      <c r="F655" s="2141"/>
      <c r="G655" s="2141"/>
      <c r="H655" s="248">
        <f>SUMIF(F646:F654,("h"),H646:H654)</f>
        <v>19.93</v>
      </c>
      <c r="I655" s="1830"/>
      <c r="J655" s="1795"/>
      <c r="K655" s="1795"/>
      <c r="L655" s="169"/>
      <c r="M655" s="1783"/>
    </row>
    <row r="656" spans="1:13" s="1517" customFormat="1" x14ac:dyDescent="0.25">
      <c r="A656" s="179"/>
      <c r="B656" s="179"/>
      <c r="C656" s="247"/>
      <c r="D656" s="2141" t="s">
        <v>125</v>
      </c>
      <c r="E656" s="2141"/>
      <c r="F656" s="2141"/>
      <c r="G656" s="2141"/>
      <c r="H656" s="248">
        <f>SUMIF(F646:F654,"&lt;&gt;h",H646:H654)</f>
        <v>1018.19</v>
      </c>
      <c r="I656" s="1830"/>
      <c r="J656" s="1795"/>
      <c r="K656" s="1795"/>
      <c r="L656" s="169"/>
      <c r="M656" s="1783"/>
    </row>
    <row r="657" spans="1:13" s="1517" customFormat="1" x14ac:dyDescent="0.25">
      <c r="A657" s="179"/>
      <c r="B657" s="179"/>
      <c r="C657" s="247"/>
      <c r="D657" s="2142" t="s">
        <v>126</v>
      </c>
      <c r="E657" s="2142"/>
      <c r="F657" s="2142"/>
      <c r="G657" s="2142"/>
      <c r="H657" s="249">
        <f>SUM(H655:H656)</f>
        <v>1038.1200000000001</v>
      </c>
      <c r="I657" s="1830"/>
      <c r="J657" s="1795"/>
      <c r="K657" s="1795"/>
      <c r="L657" s="169"/>
      <c r="M657" s="1783"/>
    </row>
    <row r="658" spans="1:13" s="1517" customFormat="1" x14ac:dyDescent="0.25">
      <c r="A658" s="179"/>
      <c r="B658" s="179"/>
      <c r="C658" s="247"/>
      <c r="D658" s="2141" t="s">
        <v>28</v>
      </c>
      <c r="E658" s="2141"/>
      <c r="F658" s="2141"/>
      <c r="G658" s="2141"/>
      <c r="H658" s="250">
        <f>E645</f>
        <v>16</v>
      </c>
      <c r="I658" s="1830"/>
      <c r="J658" s="1795"/>
      <c r="K658" s="1795"/>
      <c r="L658" s="169"/>
      <c r="M658" s="1783"/>
    </row>
    <row r="659" spans="1:13" s="1517" customFormat="1" x14ac:dyDescent="0.25">
      <c r="A659" s="179"/>
      <c r="B659" s="179"/>
      <c r="C659" s="247"/>
      <c r="D659" s="2142" t="s">
        <v>127</v>
      </c>
      <c r="E659" s="2142"/>
      <c r="F659" s="2142"/>
      <c r="G659" s="2142"/>
      <c r="H659" s="249">
        <f>ROUND(H657*H658,2)</f>
        <v>16609.919999999998</v>
      </c>
      <c r="I659" s="1830"/>
      <c r="J659" s="1795"/>
      <c r="K659" s="1795"/>
      <c r="L659" s="169"/>
      <c r="M659" s="1783"/>
    </row>
    <row r="660" spans="1:13" s="1517" customFormat="1" x14ac:dyDescent="0.25">
      <c r="A660" s="179"/>
      <c r="B660" s="179"/>
      <c r="C660" s="1531"/>
      <c r="D660" s="2141" t="s">
        <v>15335</v>
      </c>
      <c r="E660" s="2141"/>
      <c r="F660" s="2141"/>
      <c r="G660" s="2141"/>
      <c r="H660" s="267">
        <f>ROUND(H657*$B$13,2)</f>
        <v>279.57</v>
      </c>
      <c r="I660" s="1830"/>
      <c r="J660" s="1795"/>
      <c r="K660" s="1795"/>
      <c r="L660" s="169"/>
      <c r="M660" s="1783"/>
    </row>
    <row r="661" spans="1:13" x14ac:dyDescent="0.25">
      <c r="A661" s="179"/>
      <c r="B661" s="179"/>
      <c r="C661" s="1531"/>
      <c r="D661" s="2142" t="s">
        <v>7898</v>
      </c>
      <c r="E661" s="2142"/>
      <c r="F661" s="2142"/>
      <c r="G661" s="2142"/>
      <c r="H661" s="1532">
        <f>H660+H657</f>
        <v>1317.69</v>
      </c>
    </row>
    <row r="662" spans="1:13" x14ac:dyDescent="0.25">
      <c r="A662" s="236"/>
      <c r="B662" s="236"/>
      <c r="C662" s="236"/>
      <c r="F662" s="251"/>
      <c r="G662" s="252"/>
      <c r="H662" s="236"/>
    </row>
    <row r="663" spans="1:13" s="1517" customFormat="1" x14ac:dyDescent="0.25">
      <c r="A663" s="146" t="s">
        <v>6</v>
      </c>
      <c r="B663" s="2143" t="s">
        <v>7</v>
      </c>
      <c r="C663" s="2143"/>
      <c r="D663" s="257" t="s">
        <v>121</v>
      </c>
      <c r="E663" s="278" t="s">
        <v>5282</v>
      </c>
      <c r="F663" s="257" t="s">
        <v>31</v>
      </c>
      <c r="G663" s="258" t="s">
        <v>122</v>
      </c>
      <c r="H663" s="259" t="s">
        <v>123</v>
      </c>
      <c r="I663" s="1830"/>
      <c r="J663" s="1795"/>
      <c r="K663" s="1795"/>
      <c r="L663" s="169"/>
      <c r="M663" s="1783"/>
    </row>
    <row r="664" spans="1:13" s="1526" customFormat="1" ht="75" x14ac:dyDescent="0.2">
      <c r="A664" s="260" t="str">
        <f>'Orç - Prédio'!A134</f>
        <v>04.01.220.02</v>
      </c>
      <c r="B664" s="272" t="str">
        <f>'Orç - Prédio'!B134</f>
        <v>SINAPI</v>
      </c>
      <c r="C664" s="272" t="str">
        <f>'Orç - Prédio'!C134</f>
        <v>91341 MOD 2</v>
      </c>
      <c r="D664" s="273" t="s">
        <v>5722</v>
      </c>
      <c r="E664" s="292">
        <f>'Orç - Prédio'!E134</f>
        <v>6</v>
      </c>
      <c r="F664" s="272" t="s">
        <v>5284</v>
      </c>
      <c r="G664" s="261">
        <v>1407.32</v>
      </c>
      <c r="H664" s="262">
        <f>H679</f>
        <v>8443.92</v>
      </c>
      <c r="I664" s="1910" t="s">
        <v>9544</v>
      </c>
      <c r="J664" s="1793"/>
      <c r="K664" s="1793"/>
      <c r="L664" s="141"/>
      <c r="M664" s="1515"/>
    </row>
    <row r="665" spans="1:13" s="156" customFormat="1" ht="45" x14ac:dyDescent="0.2">
      <c r="A665" s="2144">
        <v>142</v>
      </c>
      <c r="B665" s="2144"/>
      <c r="C665" s="256" t="s">
        <v>4448</v>
      </c>
      <c r="D665" s="182" t="s">
        <v>13747</v>
      </c>
      <c r="E665" s="295">
        <v>2.4911023499999998</v>
      </c>
      <c r="F665" s="263" t="s">
        <v>63</v>
      </c>
      <c r="G665" s="264">
        <v>22.83</v>
      </c>
      <c r="H665" s="265">
        <f t="shared" ref="H665:H674" si="73">ROUNDDOWN(G665*E665,2)</f>
        <v>56.87</v>
      </c>
      <c r="I665" s="1642"/>
      <c r="J665" s="1797"/>
      <c r="K665" s="1797"/>
      <c r="L665" s="1784"/>
      <c r="M665" s="1785"/>
    </row>
    <row r="666" spans="1:13" s="156" customFormat="1" ht="60" x14ac:dyDescent="0.2">
      <c r="A666" s="2144">
        <v>7568</v>
      </c>
      <c r="B666" s="2144"/>
      <c r="C666" s="256" t="s">
        <v>4448</v>
      </c>
      <c r="D666" s="182" t="s">
        <v>10260</v>
      </c>
      <c r="E666" s="295">
        <v>14</v>
      </c>
      <c r="F666" s="263" t="s">
        <v>39</v>
      </c>
      <c r="G666" s="264">
        <v>0.61</v>
      </c>
      <c r="H666" s="265">
        <f t="shared" si="73"/>
        <v>8.5399999999999991</v>
      </c>
      <c r="I666" s="1642"/>
      <c r="J666" s="1797"/>
      <c r="K666" s="1797"/>
      <c r="L666" s="1784"/>
      <c r="M666" s="1785"/>
    </row>
    <row r="667" spans="1:13" s="156" customFormat="1" ht="45" x14ac:dyDescent="0.2">
      <c r="A667" s="2144">
        <v>11447</v>
      </c>
      <c r="B667" s="2144"/>
      <c r="C667" s="256" t="s">
        <v>4448</v>
      </c>
      <c r="D667" s="182" t="s">
        <v>11569</v>
      </c>
      <c r="E667" s="295">
        <v>3</v>
      </c>
      <c r="F667" s="263" t="s">
        <v>39</v>
      </c>
      <c r="G667" s="264">
        <v>18.59</v>
      </c>
      <c r="H667" s="265">
        <f t="shared" si="73"/>
        <v>55.77</v>
      </c>
      <c r="I667" s="1642"/>
      <c r="J667" s="1797"/>
      <c r="K667" s="1797"/>
      <c r="L667" s="1784"/>
      <c r="M667" s="1785"/>
    </row>
    <row r="668" spans="1:13" s="156" customFormat="1" ht="45" x14ac:dyDescent="0.2">
      <c r="A668" s="2144">
        <v>36888</v>
      </c>
      <c r="B668" s="2144"/>
      <c r="C668" s="256" t="s">
        <v>4448</v>
      </c>
      <c r="D668" s="182" t="s">
        <v>12065</v>
      </c>
      <c r="E668" s="295">
        <v>4.24</v>
      </c>
      <c r="F668" s="263" t="s">
        <v>47</v>
      </c>
      <c r="G668" s="264">
        <v>6.31</v>
      </c>
      <c r="H668" s="265">
        <f t="shared" si="73"/>
        <v>26.75</v>
      </c>
      <c r="I668" s="1642"/>
      <c r="J668" s="1797"/>
      <c r="K668" s="1797"/>
      <c r="L668" s="1784"/>
      <c r="M668" s="1785"/>
    </row>
    <row r="669" spans="1:13" s="156" customFormat="1" ht="60" x14ac:dyDescent="0.2">
      <c r="A669" s="2144">
        <v>39025</v>
      </c>
      <c r="B669" s="2144"/>
      <c r="C669" s="256" t="s">
        <v>4448</v>
      </c>
      <c r="D669" s="182" t="s">
        <v>13404</v>
      </c>
      <c r="E669" s="295">
        <v>1</v>
      </c>
      <c r="F669" s="263" t="s">
        <v>39</v>
      </c>
      <c r="G669" s="264">
        <v>577.15</v>
      </c>
      <c r="H669" s="265">
        <f>ROUNDDOWN(G669*E669,2)</f>
        <v>577.15</v>
      </c>
      <c r="I669" s="1642"/>
      <c r="J669" s="1797"/>
      <c r="K669" s="1797"/>
      <c r="L669" s="1784"/>
      <c r="M669" s="1785"/>
    </row>
    <row r="670" spans="1:13" s="156" customFormat="1" ht="60" x14ac:dyDescent="0.2">
      <c r="A670" s="2144">
        <v>11067</v>
      </c>
      <c r="B670" s="2144"/>
      <c r="C670" s="256" t="s">
        <v>4448</v>
      </c>
      <c r="D670" s="182" t="s">
        <v>14213</v>
      </c>
      <c r="E670" s="295">
        <v>0.53437499999999993</v>
      </c>
      <c r="F670" s="263" t="s">
        <v>39</v>
      </c>
      <c r="G670" s="264">
        <v>655.86</v>
      </c>
      <c r="H670" s="265">
        <f t="shared" si="73"/>
        <v>350.47</v>
      </c>
      <c r="I670" s="1642"/>
      <c r="J670" s="1797"/>
      <c r="K670" s="1797"/>
      <c r="L670" s="1784"/>
      <c r="M670" s="1785"/>
    </row>
    <row r="671" spans="1:13" s="156" customFormat="1" ht="30" x14ac:dyDescent="0.2">
      <c r="A671" s="2144">
        <v>88309</v>
      </c>
      <c r="B671" s="2144"/>
      <c r="C671" s="256" t="s">
        <v>4448</v>
      </c>
      <c r="D671" s="182" t="s">
        <v>87</v>
      </c>
      <c r="E671" s="295">
        <v>1.0795059</v>
      </c>
      <c r="F671" s="263" t="s">
        <v>65</v>
      </c>
      <c r="G671" s="264">
        <v>20.149999999999999</v>
      </c>
      <c r="H671" s="265">
        <f t="shared" si="73"/>
        <v>21.75</v>
      </c>
      <c r="I671" s="1642"/>
      <c r="J671" s="1797"/>
      <c r="K671" s="1797"/>
      <c r="L671" s="1784"/>
      <c r="M671" s="1785"/>
    </row>
    <row r="672" spans="1:13" s="156" customFormat="1" ht="30" x14ac:dyDescent="0.2">
      <c r="A672" s="2144">
        <v>88316</v>
      </c>
      <c r="B672" s="2144"/>
      <c r="C672" s="256" t="s">
        <v>4448</v>
      </c>
      <c r="D672" s="182" t="s">
        <v>64</v>
      </c>
      <c r="E672" s="295">
        <v>0.53890649999999996</v>
      </c>
      <c r="F672" s="263" t="s">
        <v>65</v>
      </c>
      <c r="G672" s="264">
        <v>15.08</v>
      </c>
      <c r="H672" s="265">
        <f t="shared" si="73"/>
        <v>8.1199999999999992</v>
      </c>
      <c r="I672" s="1642"/>
      <c r="J672" s="1797"/>
      <c r="K672" s="1797"/>
      <c r="L672" s="1784"/>
      <c r="M672" s="1785"/>
    </row>
    <row r="673" spans="1:13" s="1859" customFormat="1" ht="75" x14ac:dyDescent="0.2">
      <c r="A673" s="2148">
        <v>100725</v>
      </c>
      <c r="B673" s="2148"/>
      <c r="C673" s="1877" t="s">
        <v>4448</v>
      </c>
      <c r="D673" s="1850" t="s">
        <v>9282</v>
      </c>
      <c r="E673" s="1864">
        <f>2*5.643</f>
        <v>11.286</v>
      </c>
      <c r="F673" s="1917" t="s">
        <v>306</v>
      </c>
      <c r="G673" s="367">
        <v>17.61</v>
      </c>
      <c r="H673" s="1852">
        <f t="shared" si="73"/>
        <v>198.74</v>
      </c>
      <c r="I673" s="1856"/>
      <c r="J673" s="1797"/>
      <c r="K673" s="1797"/>
      <c r="L673" s="1784"/>
      <c r="M673" s="1785"/>
    </row>
    <row r="674" spans="1:13" s="156" customFormat="1" ht="60" x14ac:dyDescent="0.2">
      <c r="A674" s="2144">
        <v>90830</v>
      </c>
      <c r="B674" s="2144"/>
      <c r="C674" s="256" t="s">
        <v>4448</v>
      </c>
      <c r="D674" s="182" t="s">
        <v>8631</v>
      </c>
      <c r="E674" s="295">
        <v>1</v>
      </c>
      <c r="F674" s="263" t="s">
        <v>168</v>
      </c>
      <c r="G674" s="264">
        <v>103.16</v>
      </c>
      <c r="H674" s="265">
        <f t="shared" si="73"/>
        <v>103.16</v>
      </c>
      <c r="I674" s="1642"/>
      <c r="J674" s="1797"/>
      <c r="K674" s="1797"/>
      <c r="L674" s="1784"/>
      <c r="M674" s="1785"/>
    </row>
    <row r="675" spans="1:13" s="1517" customFormat="1" x14ac:dyDescent="0.25">
      <c r="A675" s="179"/>
      <c r="B675" s="179"/>
      <c r="C675" s="266"/>
      <c r="D675" s="2141" t="s">
        <v>124</v>
      </c>
      <c r="E675" s="2141"/>
      <c r="F675" s="2141"/>
      <c r="G675" s="2141"/>
      <c r="H675" s="267">
        <f>SUMIF(F665:F674,("h"),H665:H674)</f>
        <v>29.869999999999997</v>
      </c>
      <c r="I675" s="1830"/>
      <c r="J675" s="1795"/>
      <c r="K675" s="1795"/>
      <c r="L675" s="169"/>
      <c r="M675" s="1783"/>
    </row>
    <row r="676" spans="1:13" s="1517" customFormat="1" x14ac:dyDescent="0.25">
      <c r="A676" s="179"/>
      <c r="B676" s="179"/>
      <c r="C676" s="266"/>
      <c r="D676" s="2141" t="s">
        <v>125</v>
      </c>
      <c r="E676" s="2141"/>
      <c r="F676" s="2141"/>
      <c r="G676" s="2141"/>
      <c r="H676" s="267">
        <f>SUMIF(F665:F674,"&lt;&gt;h",H665:H674)</f>
        <v>1377.45</v>
      </c>
      <c r="I676" s="1830"/>
      <c r="J676" s="1795"/>
      <c r="K676" s="1795"/>
      <c r="L676" s="169"/>
      <c r="M676" s="1783"/>
    </row>
    <row r="677" spans="1:13" s="1517" customFormat="1" x14ac:dyDescent="0.25">
      <c r="A677" s="179"/>
      <c r="B677" s="179"/>
      <c r="C677" s="266"/>
      <c r="D677" s="2142" t="s">
        <v>126</v>
      </c>
      <c r="E677" s="2142"/>
      <c r="F677" s="2142"/>
      <c r="G677" s="2142"/>
      <c r="H677" s="268">
        <f>SUM(H675:H676)</f>
        <v>1407.32</v>
      </c>
      <c r="I677" s="1830"/>
      <c r="J677" s="1795"/>
      <c r="K677" s="1795"/>
      <c r="L677" s="169"/>
      <c r="M677" s="1783"/>
    </row>
    <row r="678" spans="1:13" s="1517" customFormat="1" x14ac:dyDescent="0.25">
      <c r="A678" s="179"/>
      <c r="B678" s="179"/>
      <c r="C678" s="266"/>
      <c r="D678" s="2141" t="s">
        <v>28</v>
      </c>
      <c r="E678" s="2141"/>
      <c r="F678" s="2141"/>
      <c r="G678" s="2141"/>
      <c r="H678" s="269">
        <f>E664</f>
        <v>6</v>
      </c>
      <c r="I678" s="1830"/>
      <c r="J678" s="1795"/>
      <c r="K678" s="1795"/>
      <c r="L678" s="169"/>
      <c r="M678" s="1783"/>
    </row>
    <row r="679" spans="1:13" s="1517" customFormat="1" x14ac:dyDescent="0.25">
      <c r="A679" s="179"/>
      <c r="B679" s="179"/>
      <c r="C679" s="266"/>
      <c r="D679" s="2142" t="s">
        <v>127</v>
      </c>
      <c r="E679" s="2142"/>
      <c r="F679" s="2142"/>
      <c r="G679" s="2142"/>
      <c r="H679" s="268">
        <f>ROUND(H677*H678,2)</f>
        <v>8443.92</v>
      </c>
      <c r="I679" s="1830"/>
      <c r="J679" s="1795"/>
      <c r="K679" s="1795"/>
      <c r="L679" s="169"/>
      <c r="M679" s="1783"/>
    </row>
    <row r="680" spans="1:13" s="1517" customFormat="1" x14ac:dyDescent="0.25">
      <c r="A680" s="179"/>
      <c r="B680" s="179"/>
      <c r="C680" s="1531"/>
      <c r="D680" s="2141" t="s">
        <v>15335</v>
      </c>
      <c r="E680" s="2141"/>
      <c r="F680" s="2141"/>
      <c r="G680" s="2141"/>
      <c r="H680" s="267">
        <f>ROUND(H677*$B$13,2)</f>
        <v>378.99</v>
      </c>
      <c r="I680" s="1830"/>
      <c r="J680" s="1795"/>
      <c r="K680" s="1795"/>
      <c r="L680" s="169"/>
      <c r="M680" s="1783"/>
    </row>
    <row r="681" spans="1:13" x14ac:dyDescent="0.25">
      <c r="A681" s="179"/>
      <c r="B681" s="179"/>
      <c r="C681" s="1531"/>
      <c r="D681" s="2142" t="s">
        <v>7898</v>
      </c>
      <c r="E681" s="2142"/>
      <c r="F681" s="2142"/>
      <c r="G681" s="2142"/>
      <c r="H681" s="1532">
        <f>H680+H677</f>
        <v>1786.31</v>
      </c>
    </row>
    <row r="682" spans="1:13" x14ac:dyDescent="0.25">
      <c r="A682" s="255"/>
      <c r="B682" s="255"/>
      <c r="C682" s="255"/>
      <c r="F682" s="270"/>
      <c r="G682" s="271"/>
      <c r="H682" s="255"/>
    </row>
    <row r="683" spans="1:13" s="1517" customFormat="1" x14ac:dyDescent="0.25">
      <c r="A683" s="146" t="s">
        <v>6</v>
      </c>
      <c r="B683" s="2143" t="s">
        <v>7</v>
      </c>
      <c r="C683" s="2143"/>
      <c r="D683" s="257" t="s">
        <v>121</v>
      </c>
      <c r="E683" s="278" t="s">
        <v>5282</v>
      </c>
      <c r="F683" s="257" t="s">
        <v>31</v>
      </c>
      <c r="G683" s="258" t="s">
        <v>122</v>
      </c>
      <c r="H683" s="259" t="s">
        <v>123</v>
      </c>
      <c r="I683" s="1830"/>
      <c r="J683" s="1795"/>
      <c r="K683" s="1795"/>
      <c r="L683" s="169"/>
      <c r="M683" s="1783"/>
    </row>
    <row r="684" spans="1:13" s="1526" customFormat="1" ht="75" x14ac:dyDescent="0.2">
      <c r="A684" s="260" t="str">
        <f>'Orç - Prédio'!A135</f>
        <v>04.01.220.03</v>
      </c>
      <c r="B684" s="272" t="str">
        <f>'Orç - Prédio'!B135</f>
        <v>SINAPI</v>
      </c>
      <c r="C684" s="272" t="str">
        <f>'Orç - Prédio'!C135</f>
        <v>91341 MOD 3</v>
      </c>
      <c r="D684" s="273" t="s">
        <v>15026</v>
      </c>
      <c r="E684" s="292">
        <f>'Orç - Prédio'!E135</f>
        <v>1</v>
      </c>
      <c r="F684" s="272" t="s">
        <v>5284</v>
      </c>
      <c r="G684" s="261">
        <v>4675.1100000000006</v>
      </c>
      <c r="H684" s="262">
        <f>H698</f>
        <v>4675.1099999999997</v>
      </c>
      <c r="I684" s="1910" t="s">
        <v>15027</v>
      </c>
      <c r="J684" s="1793"/>
      <c r="K684" s="1793"/>
      <c r="L684" s="141"/>
      <c r="M684" s="1515"/>
    </row>
    <row r="685" spans="1:13" s="156" customFormat="1" ht="45" x14ac:dyDescent="0.2">
      <c r="A685" s="2144">
        <v>142</v>
      </c>
      <c r="B685" s="2144"/>
      <c r="C685" s="281" t="s">
        <v>4448</v>
      </c>
      <c r="D685" s="182" t="s">
        <v>13747</v>
      </c>
      <c r="E685" s="295">
        <f>(2.22*2.14+0.81*2.22)*0.8829</f>
        <v>5.7821121000000009</v>
      </c>
      <c r="F685" s="263" t="s">
        <v>63</v>
      </c>
      <c r="G685" s="264">
        <v>22.83</v>
      </c>
      <c r="H685" s="265">
        <f t="shared" ref="H685:H693" si="74">ROUNDDOWN(G685*E685,2)</f>
        <v>132</v>
      </c>
      <c r="I685" s="1642"/>
      <c r="J685" s="1856"/>
      <c r="K685" s="1797"/>
      <c r="L685" s="1784"/>
      <c r="M685" s="1785"/>
    </row>
    <row r="686" spans="1:13" s="156" customFormat="1" ht="60" x14ac:dyDescent="0.2">
      <c r="A686" s="2144">
        <v>7568</v>
      </c>
      <c r="B686" s="2144"/>
      <c r="C686" s="281" t="s">
        <v>4448</v>
      </c>
      <c r="D686" s="182" t="s">
        <v>10260</v>
      </c>
      <c r="E686" s="1864">
        <f>(2.22*2.14+0.81*2.22)*4.8166</f>
        <v>31.543913400000008</v>
      </c>
      <c r="F686" s="263" t="s">
        <v>39</v>
      </c>
      <c r="G686" s="264">
        <v>0.61</v>
      </c>
      <c r="H686" s="265">
        <f t="shared" si="74"/>
        <v>19.239999999999998</v>
      </c>
      <c r="I686" s="1642"/>
      <c r="J686" s="1856"/>
      <c r="K686" s="1797"/>
      <c r="L686" s="1784"/>
      <c r="M686" s="1785"/>
    </row>
    <row r="687" spans="1:13" s="156" customFormat="1" ht="45" x14ac:dyDescent="0.2">
      <c r="A687" s="2144">
        <v>11447</v>
      </c>
      <c r="B687" s="2144"/>
      <c r="C687" s="281" t="s">
        <v>4448</v>
      </c>
      <c r="D687" s="182" t="s">
        <v>11569</v>
      </c>
      <c r="E687" s="295">
        <v>6</v>
      </c>
      <c r="F687" s="263" t="s">
        <v>39</v>
      </c>
      <c r="G687" s="264">
        <v>18.59</v>
      </c>
      <c r="H687" s="265">
        <f t="shared" si="74"/>
        <v>111.54</v>
      </c>
      <c r="I687" s="1642"/>
      <c r="J687" s="1797"/>
      <c r="K687" s="1797"/>
      <c r="L687" s="1784"/>
      <c r="M687" s="1785"/>
    </row>
    <row r="688" spans="1:13" s="156" customFormat="1" ht="45" x14ac:dyDescent="0.2">
      <c r="A688" s="2144">
        <v>36888</v>
      </c>
      <c r="B688" s="2144"/>
      <c r="C688" s="281" t="s">
        <v>4448</v>
      </c>
      <c r="D688" s="182" t="s">
        <v>12065</v>
      </c>
      <c r="E688" s="295">
        <f>2*(2.14+0.81)+2.22</f>
        <v>8.120000000000001</v>
      </c>
      <c r="F688" s="263" t="s">
        <v>47</v>
      </c>
      <c r="G688" s="264">
        <v>6.31</v>
      </c>
      <c r="H688" s="265">
        <f t="shared" si="74"/>
        <v>51.23</v>
      </c>
      <c r="I688" s="1642"/>
      <c r="J688" s="1797"/>
      <c r="K688" s="1797"/>
      <c r="L688" s="1784"/>
      <c r="M688" s="1785"/>
    </row>
    <row r="689" spans="1:13" s="156" customFormat="1" ht="60" x14ac:dyDescent="0.2">
      <c r="A689" s="2144">
        <v>39025</v>
      </c>
      <c r="B689" s="2144"/>
      <c r="C689" s="281" t="s">
        <v>4448</v>
      </c>
      <c r="D689" s="182" t="s">
        <v>13404</v>
      </c>
      <c r="E689" s="1864">
        <f>(2.22*2.14+0.81*2.12)</f>
        <v>6.4680000000000009</v>
      </c>
      <c r="F689" s="263" t="s">
        <v>39</v>
      </c>
      <c r="G689" s="264">
        <v>577.15</v>
      </c>
      <c r="H689" s="265">
        <f t="shared" si="74"/>
        <v>3733</v>
      </c>
      <c r="I689" s="1642"/>
      <c r="J689" s="1856"/>
      <c r="K689" s="1797"/>
      <c r="L689" s="1784"/>
      <c r="M689" s="1785"/>
    </row>
    <row r="690" spans="1:13" s="156" customFormat="1" ht="30" x14ac:dyDescent="0.2">
      <c r="A690" s="2144">
        <v>88309</v>
      </c>
      <c r="B690" s="2144"/>
      <c r="C690" s="281" t="s">
        <v>4448</v>
      </c>
      <c r="D690" s="182" t="s">
        <v>87</v>
      </c>
      <c r="E690" s="1864">
        <f>(2.22*2.14+0.81*2.22)*0.3826</f>
        <v>2.5056474000000004</v>
      </c>
      <c r="F690" s="263" t="s">
        <v>65</v>
      </c>
      <c r="G690" s="264">
        <v>20.149999999999999</v>
      </c>
      <c r="H690" s="265">
        <f t="shared" si="74"/>
        <v>50.48</v>
      </c>
      <c r="I690" s="1642"/>
      <c r="J690" s="1856"/>
      <c r="K690" s="1797"/>
      <c r="L690" s="1784"/>
      <c r="M690" s="1785"/>
    </row>
    <row r="691" spans="1:13" s="156" customFormat="1" ht="30" x14ac:dyDescent="0.2">
      <c r="A691" s="2144">
        <v>88316</v>
      </c>
      <c r="B691" s="2144"/>
      <c r="C691" s="281" t="s">
        <v>4448</v>
      </c>
      <c r="D691" s="182" t="s">
        <v>64</v>
      </c>
      <c r="E691" s="1864">
        <f>(2.22*2.14+0.81*2.22)*0.191</f>
        <v>1.2508590000000002</v>
      </c>
      <c r="F691" s="263" t="s">
        <v>65</v>
      </c>
      <c r="G691" s="264">
        <v>15.08</v>
      </c>
      <c r="H691" s="265">
        <f t="shared" si="74"/>
        <v>18.86</v>
      </c>
      <c r="I691" s="1642"/>
      <c r="J691" s="1856"/>
      <c r="K691" s="1797"/>
      <c r="L691" s="1784"/>
      <c r="M691" s="1785"/>
    </row>
    <row r="692" spans="1:13" s="1859" customFormat="1" ht="75" x14ac:dyDescent="0.2">
      <c r="A692" s="2148">
        <v>100725</v>
      </c>
      <c r="B692" s="2148"/>
      <c r="C692" s="1877" t="s">
        <v>4448</v>
      </c>
      <c r="D692" s="1850" t="s">
        <v>9282</v>
      </c>
      <c r="E692" s="1864">
        <f>4*E689</f>
        <v>25.872000000000003</v>
      </c>
      <c r="F692" s="1917" t="s">
        <v>306</v>
      </c>
      <c r="G692" s="367">
        <v>17.61</v>
      </c>
      <c r="H692" s="1852">
        <f t="shared" si="74"/>
        <v>455.6</v>
      </c>
      <c r="I692" s="1856"/>
      <c r="J692" s="1856"/>
      <c r="K692" s="1797"/>
      <c r="L692" s="1784"/>
      <c r="M692" s="1785"/>
    </row>
    <row r="693" spans="1:13" s="156" customFormat="1" ht="60" x14ac:dyDescent="0.2">
      <c r="A693" s="2144">
        <v>90830</v>
      </c>
      <c r="B693" s="2144"/>
      <c r="C693" s="281" t="s">
        <v>4448</v>
      </c>
      <c r="D693" s="182" t="s">
        <v>8631</v>
      </c>
      <c r="E693" s="295">
        <v>1</v>
      </c>
      <c r="F693" s="263" t="s">
        <v>168</v>
      </c>
      <c r="G693" s="264">
        <v>103.16</v>
      </c>
      <c r="H693" s="265">
        <f t="shared" si="74"/>
        <v>103.16</v>
      </c>
      <c r="I693" s="1642"/>
      <c r="J693" s="1797"/>
      <c r="K693" s="1797"/>
      <c r="L693" s="1784"/>
      <c r="M693" s="1785"/>
    </row>
    <row r="694" spans="1:13" s="1517" customFormat="1" x14ac:dyDescent="0.25">
      <c r="A694" s="179"/>
      <c r="B694" s="179"/>
      <c r="C694" s="266"/>
      <c r="D694" s="2141" t="s">
        <v>124</v>
      </c>
      <c r="E694" s="2141"/>
      <c r="F694" s="2141"/>
      <c r="G694" s="2141"/>
      <c r="H694" s="267">
        <f>SUMIF(F685:F693,("h"),H685:H693)</f>
        <v>69.34</v>
      </c>
      <c r="I694" s="1830"/>
      <c r="J694" s="1795"/>
      <c r="K694" s="1795"/>
      <c r="L694" s="169"/>
      <c r="M694" s="1783"/>
    </row>
    <row r="695" spans="1:13" s="1517" customFormat="1" x14ac:dyDescent="0.25">
      <c r="A695" s="179"/>
      <c r="B695" s="179"/>
      <c r="C695" s="266"/>
      <c r="D695" s="2141" t="s">
        <v>125</v>
      </c>
      <c r="E695" s="2141"/>
      <c r="F695" s="2141"/>
      <c r="G695" s="2141"/>
      <c r="H695" s="267">
        <f>SUMIF(F685:F693,"&lt;&gt;h",H685:H693)</f>
        <v>4605.7700000000004</v>
      </c>
      <c r="I695" s="1830"/>
      <c r="J695" s="1795"/>
      <c r="K695" s="1795"/>
      <c r="L695" s="169"/>
      <c r="M695" s="1783"/>
    </row>
    <row r="696" spans="1:13" s="1517" customFormat="1" x14ac:dyDescent="0.25">
      <c r="A696" s="179"/>
      <c r="B696" s="179"/>
      <c r="C696" s="266"/>
      <c r="D696" s="2142" t="s">
        <v>126</v>
      </c>
      <c r="E696" s="2142"/>
      <c r="F696" s="2142"/>
      <c r="G696" s="2142"/>
      <c r="H696" s="268">
        <f>SUM(H694:H695)</f>
        <v>4675.1100000000006</v>
      </c>
      <c r="I696" s="1830"/>
      <c r="J696" s="1795"/>
      <c r="K696" s="1795"/>
      <c r="L696" s="169"/>
      <c r="M696" s="1783"/>
    </row>
    <row r="697" spans="1:13" s="1517" customFormat="1" x14ac:dyDescent="0.25">
      <c r="A697" s="179"/>
      <c r="B697" s="179"/>
      <c r="C697" s="266"/>
      <c r="D697" s="2141" t="s">
        <v>28</v>
      </c>
      <c r="E697" s="2141"/>
      <c r="F697" s="2141"/>
      <c r="G697" s="2141"/>
      <c r="H697" s="269">
        <f>E684</f>
        <v>1</v>
      </c>
      <c r="I697" s="1830"/>
      <c r="J697" s="1795"/>
      <c r="K697" s="1795"/>
      <c r="L697" s="169"/>
      <c r="M697" s="1783"/>
    </row>
    <row r="698" spans="1:13" s="1517" customFormat="1" x14ac:dyDescent="0.25">
      <c r="A698" s="179"/>
      <c r="B698" s="179"/>
      <c r="C698" s="266"/>
      <c r="D698" s="2142" t="s">
        <v>127</v>
      </c>
      <c r="E698" s="2142"/>
      <c r="F698" s="2142"/>
      <c r="G698" s="2142"/>
      <c r="H698" s="268">
        <f>ROUND(H696*H697,2)</f>
        <v>4675.1099999999997</v>
      </c>
      <c r="I698" s="1830"/>
      <c r="J698" s="1795"/>
      <c r="K698" s="1795"/>
      <c r="L698" s="169"/>
      <c r="M698" s="1783"/>
    </row>
    <row r="699" spans="1:13" s="1517" customFormat="1" x14ac:dyDescent="0.25">
      <c r="A699" s="179"/>
      <c r="B699" s="179"/>
      <c r="C699" s="1531"/>
      <c r="D699" s="2141" t="s">
        <v>15335</v>
      </c>
      <c r="E699" s="2141"/>
      <c r="F699" s="2141"/>
      <c r="G699" s="2141"/>
      <c r="H699" s="267">
        <f>ROUND(H696*$B$13,2)</f>
        <v>1259.01</v>
      </c>
      <c r="I699" s="1830"/>
      <c r="J699" s="1795"/>
      <c r="K699" s="1795"/>
      <c r="L699" s="169"/>
      <c r="M699" s="1783"/>
    </row>
    <row r="700" spans="1:13" x14ac:dyDescent="0.25">
      <c r="A700" s="179"/>
      <c r="B700" s="179"/>
      <c r="C700" s="1531"/>
      <c r="D700" s="2142" t="s">
        <v>7898</v>
      </c>
      <c r="E700" s="2142"/>
      <c r="F700" s="2142"/>
      <c r="G700" s="2142"/>
      <c r="H700" s="1532">
        <f>H699+H696</f>
        <v>5934.1200000000008</v>
      </c>
    </row>
    <row r="701" spans="1:13" x14ac:dyDescent="0.25">
      <c r="A701" s="280"/>
      <c r="B701" s="280"/>
      <c r="C701" s="280"/>
      <c r="F701" s="270"/>
      <c r="G701" s="271"/>
      <c r="H701" s="280"/>
    </row>
    <row r="702" spans="1:13" s="1517" customFormat="1" x14ac:dyDescent="0.25">
      <c r="A702" s="146" t="s">
        <v>6</v>
      </c>
      <c r="B702" s="2143" t="s">
        <v>7</v>
      </c>
      <c r="C702" s="2143"/>
      <c r="D702" s="1518" t="s">
        <v>121</v>
      </c>
      <c r="E702" s="278" t="s">
        <v>5282</v>
      </c>
      <c r="F702" s="1518" t="s">
        <v>31</v>
      </c>
      <c r="G702" s="1519" t="s">
        <v>122</v>
      </c>
      <c r="H702" s="1520" t="s">
        <v>123</v>
      </c>
      <c r="I702" s="1830"/>
      <c r="J702" s="1795"/>
      <c r="K702" s="1795"/>
      <c r="L702" s="169"/>
      <c r="M702" s="1783"/>
    </row>
    <row r="703" spans="1:13" s="1526" customFormat="1" ht="75" x14ac:dyDescent="0.2">
      <c r="A703" s="1950" t="str">
        <f>'Orç - Prédio'!A136</f>
        <v>04.01.220.04</v>
      </c>
      <c r="B703" s="1950" t="str">
        <f>'Orç - Prédio'!B136</f>
        <v>SINAPI</v>
      </c>
      <c r="C703" s="1950" t="str">
        <f>'Orç - Prédio'!C136</f>
        <v>91341 MOD 4</v>
      </c>
      <c r="D703" s="1865" t="s">
        <v>15028</v>
      </c>
      <c r="E703" s="1866">
        <f>'Orç - Prédio'!E136</f>
        <v>1</v>
      </c>
      <c r="F703" s="1950" t="s">
        <v>5284</v>
      </c>
      <c r="G703" s="1524">
        <v>5490.09</v>
      </c>
      <c r="H703" s="1525">
        <f>H717</f>
        <v>5490.09</v>
      </c>
      <c r="I703" s="1910" t="s">
        <v>15027</v>
      </c>
      <c r="J703" s="1793"/>
      <c r="K703" s="1793"/>
      <c r="L703" s="141"/>
      <c r="M703" s="1515"/>
    </row>
    <row r="704" spans="1:13" s="1859" customFormat="1" ht="45" x14ac:dyDescent="0.2">
      <c r="A704" s="2144">
        <v>142</v>
      </c>
      <c r="B704" s="2144"/>
      <c r="C704" s="1863" t="s">
        <v>4448</v>
      </c>
      <c r="D704" s="1862" t="s">
        <v>13747</v>
      </c>
      <c r="E704" s="1864">
        <f>7.659*0.8829</f>
        <v>6.7621311000000004</v>
      </c>
      <c r="F704" s="1948" t="s">
        <v>63</v>
      </c>
      <c r="G704" s="1860">
        <v>22.83</v>
      </c>
      <c r="H704" s="1857">
        <f t="shared" ref="H704:H712" si="75">ROUNDDOWN(G704*E704,2)</f>
        <v>154.37</v>
      </c>
      <c r="I704" s="1856"/>
      <c r="J704" s="1856"/>
      <c r="K704" s="1797"/>
      <c r="L704" s="1784"/>
      <c r="M704" s="1785"/>
    </row>
    <row r="705" spans="1:13" s="1859" customFormat="1" ht="60" x14ac:dyDescent="0.2">
      <c r="A705" s="2144">
        <v>7568</v>
      </c>
      <c r="B705" s="2144"/>
      <c r="C705" s="1863" t="s">
        <v>4448</v>
      </c>
      <c r="D705" s="1862" t="s">
        <v>10260</v>
      </c>
      <c r="E705" s="1864">
        <f>4.8166*7.659</f>
        <v>36.890339400000002</v>
      </c>
      <c r="F705" s="1948" t="s">
        <v>39</v>
      </c>
      <c r="G705" s="1860">
        <v>0.61</v>
      </c>
      <c r="H705" s="1857">
        <f t="shared" si="75"/>
        <v>22.5</v>
      </c>
      <c r="I705" s="1856"/>
      <c r="J705" s="1856"/>
      <c r="K705" s="1797"/>
      <c r="L705" s="1784"/>
      <c r="M705" s="1785"/>
    </row>
    <row r="706" spans="1:13" s="1859" customFormat="1" ht="45" x14ac:dyDescent="0.2">
      <c r="A706" s="2144">
        <v>11447</v>
      </c>
      <c r="B706" s="2144"/>
      <c r="C706" s="1863" t="s">
        <v>4448</v>
      </c>
      <c r="D706" s="1862" t="s">
        <v>11569</v>
      </c>
      <c r="E706" s="1864">
        <v>6</v>
      </c>
      <c r="F706" s="1948" t="s">
        <v>39</v>
      </c>
      <c r="G706" s="1860">
        <v>18.59</v>
      </c>
      <c r="H706" s="1857">
        <f t="shared" si="75"/>
        <v>111.54</v>
      </c>
      <c r="I706" s="1856"/>
      <c r="J706" s="1797"/>
      <c r="K706" s="1797"/>
      <c r="L706" s="1784"/>
      <c r="M706" s="1785"/>
    </row>
    <row r="707" spans="1:13" s="1859" customFormat="1" ht="45" x14ac:dyDescent="0.2">
      <c r="A707" s="2144">
        <v>36888</v>
      </c>
      <c r="B707" s="2144"/>
      <c r="C707" s="1863" t="s">
        <v>4448</v>
      </c>
      <c r="D707" s="1862" t="s">
        <v>12065</v>
      </c>
      <c r="E707" s="1864">
        <f>2*(2.14+1.31)+2.22</f>
        <v>9.120000000000001</v>
      </c>
      <c r="F707" s="1948" t="s">
        <v>47</v>
      </c>
      <c r="G707" s="1860">
        <v>6.31</v>
      </c>
      <c r="H707" s="1857">
        <f t="shared" si="75"/>
        <v>57.54</v>
      </c>
      <c r="I707" s="1856"/>
      <c r="J707" s="1797"/>
      <c r="K707" s="1797"/>
      <c r="L707" s="1784"/>
      <c r="M707" s="1785"/>
    </row>
    <row r="708" spans="1:13" s="1859" customFormat="1" ht="60" x14ac:dyDescent="0.2">
      <c r="A708" s="2144">
        <v>39025</v>
      </c>
      <c r="B708" s="2144"/>
      <c r="C708" s="1863" t="s">
        <v>4448</v>
      </c>
      <c r="D708" s="1862" t="s">
        <v>13404</v>
      </c>
      <c r="E708" s="1864">
        <v>7.6590000000000007</v>
      </c>
      <c r="F708" s="1948" t="s">
        <v>39</v>
      </c>
      <c r="G708" s="1860">
        <v>577.15</v>
      </c>
      <c r="H708" s="1857">
        <f t="shared" si="75"/>
        <v>4420.3900000000003</v>
      </c>
      <c r="I708" s="1856"/>
      <c r="J708" s="1797"/>
      <c r="K708" s="1797"/>
      <c r="L708" s="1784"/>
      <c r="M708" s="1785"/>
    </row>
    <row r="709" spans="1:13" s="1859" customFormat="1" ht="30" x14ac:dyDescent="0.2">
      <c r="A709" s="2144">
        <v>88309</v>
      </c>
      <c r="B709" s="2144"/>
      <c r="C709" s="1863" t="s">
        <v>4448</v>
      </c>
      <c r="D709" s="1862" t="s">
        <v>87</v>
      </c>
      <c r="E709" s="1864">
        <f>0.3826*7.659</f>
        <v>2.9303333999999999</v>
      </c>
      <c r="F709" s="1948" t="s">
        <v>65</v>
      </c>
      <c r="G709" s="1860">
        <v>20.149999999999999</v>
      </c>
      <c r="H709" s="1857">
        <f t="shared" si="75"/>
        <v>59.04</v>
      </c>
      <c r="I709" s="1856"/>
      <c r="J709" s="1856"/>
      <c r="K709" s="1797"/>
      <c r="L709" s="1784"/>
      <c r="M709" s="1785"/>
    </row>
    <row r="710" spans="1:13" s="1859" customFormat="1" ht="30" x14ac:dyDescent="0.2">
      <c r="A710" s="2144">
        <v>88316</v>
      </c>
      <c r="B710" s="2144"/>
      <c r="C710" s="1863" t="s">
        <v>4448</v>
      </c>
      <c r="D710" s="1862" t="s">
        <v>64</v>
      </c>
      <c r="E710" s="1864">
        <f>7.659*0.191</f>
        <v>1.462869</v>
      </c>
      <c r="F710" s="1948" t="s">
        <v>65</v>
      </c>
      <c r="G710" s="1860">
        <v>15.08</v>
      </c>
      <c r="H710" s="1857">
        <f t="shared" si="75"/>
        <v>22.06</v>
      </c>
      <c r="I710" s="1856"/>
      <c r="J710" s="1856"/>
      <c r="K710" s="1797"/>
      <c r="L710" s="1784"/>
      <c r="M710" s="1785"/>
    </row>
    <row r="711" spans="1:13" s="1859" customFormat="1" ht="75" x14ac:dyDescent="0.2">
      <c r="A711" s="2148">
        <v>100725</v>
      </c>
      <c r="B711" s="2148"/>
      <c r="C711" s="1877" t="s">
        <v>4448</v>
      </c>
      <c r="D711" s="1850" t="s">
        <v>9282</v>
      </c>
      <c r="E711" s="1864">
        <f>4*E708</f>
        <v>30.636000000000003</v>
      </c>
      <c r="F711" s="1949" t="s">
        <v>306</v>
      </c>
      <c r="G711" s="367">
        <v>17.61</v>
      </c>
      <c r="H711" s="1852">
        <f t="shared" si="75"/>
        <v>539.49</v>
      </c>
      <c r="I711" s="1856"/>
      <c r="J711" s="1797"/>
      <c r="K711" s="1797"/>
      <c r="L711" s="1784"/>
      <c r="M711" s="1785"/>
    </row>
    <row r="712" spans="1:13" s="1859" customFormat="1" ht="60" x14ac:dyDescent="0.2">
      <c r="A712" s="2144">
        <v>90830</v>
      </c>
      <c r="B712" s="2144"/>
      <c r="C712" s="1863" t="s">
        <v>4448</v>
      </c>
      <c r="D712" s="1862" t="s">
        <v>8631</v>
      </c>
      <c r="E712" s="1864">
        <v>1</v>
      </c>
      <c r="F712" s="1948" t="s">
        <v>168</v>
      </c>
      <c r="G712" s="1860">
        <v>103.16</v>
      </c>
      <c r="H712" s="1857">
        <f t="shared" si="75"/>
        <v>103.16</v>
      </c>
      <c r="I712" s="1856"/>
      <c r="J712" s="1797"/>
      <c r="K712" s="1797"/>
      <c r="L712" s="1784"/>
      <c r="M712" s="1785"/>
    </row>
    <row r="713" spans="1:13" s="1517" customFormat="1" x14ac:dyDescent="0.25">
      <c r="A713" s="1951"/>
      <c r="B713" s="1951"/>
      <c r="C713" s="1531"/>
      <c r="D713" s="2141" t="s">
        <v>124</v>
      </c>
      <c r="E713" s="2141"/>
      <c r="F713" s="2141"/>
      <c r="G713" s="2141"/>
      <c r="H713" s="267">
        <f>SUMIF(F704:F712,("h"),H704:H712)</f>
        <v>81.099999999999994</v>
      </c>
      <c r="I713" s="1830"/>
      <c r="J713" s="1795"/>
      <c r="K713" s="1795"/>
      <c r="L713" s="169"/>
      <c r="M713" s="1783"/>
    </row>
    <row r="714" spans="1:13" s="1517" customFormat="1" x14ac:dyDescent="0.25">
      <c r="A714" s="1951"/>
      <c r="B714" s="1951"/>
      <c r="C714" s="1531"/>
      <c r="D714" s="2141" t="s">
        <v>125</v>
      </c>
      <c r="E714" s="2141"/>
      <c r="F714" s="2141"/>
      <c r="G714" s="2141"/>
      <c r="H714" s="267">
        <f>SUMIF(F704:F712,"&lt;&gt;h",H704:H712)</f>
        <v>5408.99</v>
      </c>
      <c r="I714" s="1830"/>
      <c r="J714" s="1795"/>
      <c r="K714" s="1795"/>
      <c r="L714" s="169"/>
      <c r="M714" s="1783"/>
    </row>
    <row r="715" spans="1:13" s="1517" customFormat="1" x14ac:dyDescent="0.25">
      <c r="A715" s="1951"/>
      <c r="B715" s="1951"/>
      <c r="C715" s="1531"/>
      <c r="D715" s="2142" t="s">
        <v>126</v>
      </c>
      <c r="E715" s="2142"/>
      <c r="F715" s="2142"/>
      <c r="G715" s="2142"/>
      <c r="H715" s="1532">
        <f>SUM(H713:H714)</f>
        <v>5490.09</v>
      </c>
      <c r="I715" s="1830"/>
      <c r="J715" s="1795"/>
      <c r="K715" s="1795"/>
      <c r="L715" s="169"/>
      <c r="M715" s="1783"/>
    </row>
    <row r="716" spans="1:13" s="1517" customFormat="1" x14ac:dyDescent="0.25">
      <c r="A716" s="1951"/>
      <c r="B716" s="1951"/>
      <c r="C716" s="1531"/>
      <c r="D716" s="2141" t="s">
        <v>28</v>
      </c>
      <c r="E716" s="2141"/>
      <c r="F716" s="2141"/>
      <c r="G716" s="2141"/>
      <c r="H716" s="269">
        <f>E703</f>
        <v>1</v>
      </c>
      <c r="I716" s="1830"/>
      <c r="J716" s="1795"/>
      <c r="K716" s="1795"/>
      <c r="L716" s="169"/>
      <c r="M716" s="1783"/>
    </row>
    <row r="717" spans="1:13" s="1517" customFormat="1" x14ac:dyDescent="0.25">
      <c r="A717" s="1951"/>
      <c r="B717" s="1951"/>
      <c r="C717" s="1531"/>
      <c r="D717" s="2142" t="s">
        <v>127</v>
      </c>
      <c r="E717" s="2142"/>
      <c r="F717" s="2142"/>
      <c r="G717" s="2142"/>
      <c r="H717" s="1532">
        <f>ROUND(H715*H716,2)</f>
        <v>5490.09</v>
      </c>
      <c r="I717" s="1830"/>
      <c r="J717" s="1795"/>
      <c r="K717" s="1795"/>
      <c r="L717" s="169"/>
      <c r="M717" s="1783"/>
    </row>
    <row r="718" spans="1:13" s="1517" customFormat="1" x14ac:dyDescent="0.25">
      <c r="A718" s="1951"/>
      <c r="B718" s="1951"/>
      <c r="C718" s="1531"/>
      <c r="D718" s="2141" t="s">
        <v>15335</v>
      </c>
      <c r="E718" s="2141"/>
      <c r="F718" s="2141"/>
      <c r="G718" s="2141"/>
      <c r="H718" s="267">
        <f>ROUND(H715*$B$13,2)</f>
        <v>1478.48</v>
      </c>
      <c r="I718" s="1830"/>
      <c r="J718" s="1795"/>
      <c r="K718" s="1795"/>
      <c r="L718" s="169"/>
      <c r="M718" s="1783"/>
    </row>
    <row r="719" spans="1:13" x14ac:dyDescent="0.25">
      <c r="A719" s="1951"/>
      <c r="B719" s="1951"/>
      <c r="C719" s="1531"/>
      <c r="D719" s="2142" t="s">
        <v>7898</v>
      </c>
      <c r="E719" s="2142"/>
      <c r="F719" s="2142"/>
      <c r="G719" s="2142"/>
      <c r="H719" s="1532">
        <f>H718+H715</f>
        <v>6968.57</v>
      </c>
    </row>
    <row r="720" spans="1:13" x14ac:dyDescent="0.25">
      <c r="A720" s="1514"/>
      <c r="B720" s="1514"/>
      <c r="C720" s="1514"/>
      <c r="F720" s="1533"/>
      <c r="G720" s="1534"/>
      <c r="H720" s="1514"/>
    </row>
    <row r="721" spans="1:13" s="1517" customFormat="1" x14ac:dyDescent="0.25">
      <c r="A721" s="146" t="s">
        <v>6</v>
      </c>
      <c r="B721" s="2143" t="s">
        <v>7</v>
      </c>
      <c r="C721" s="2143"/>
      <c r="D721" s="1518" t="s">
        <v>121</v>
      </c>
      <c r="E721" s="278" t="s">
        <v>5282</v>
      </c>
      <c r="F721" s="1518" t="s">
        <v>31</v>
      </c>
      <c r="G721" s="1519" t="s">
        <v>122</v>
      </c>
      <c r="H721" s="1520" t="s">
        <v>123</v>
      </c>
      <c r="I721" s="1830"/>
      <c r="J721" s="1795"/>
      <c r="K721" s="1795"/>
      <c r="L721" s="169"/>
      <c r="M721" s="1783"/>
    </row>
    <row r="722" spans="1:13" s="1526" customFormat="1" ht="75" x14ac:dyDescent="0.2">
      <c r="A722" s="1950" t="str">
        <f>'Orç - Prédio'!A137</f>
        <v>04.01.220.05</v>
      </c>
      <c r="B722" s="1950" t="str">
        <f>'Orç - Prédio'!B137</f>
        <v>SINAPI</v>
      </c>
      <c r="C722" s="1950" t="str">
        <f>'Orç - Prédio'!C137</f>
        <v>91341 MOD 5</v>
      </c>
      <c r="D722" s="1865" t="s">
        <v>15029</v>
      </c>
      <c r="E722" s="1866">
        <f>'Orç - Prédio'!E137</f>
        <v>1</v>
      </c>
      <c r="F722" s="1950" t="s">
        <v>5284</v>
      </c>
      <c r="G722" s="1524">
        <v>5919.49</v>
      </c>
      <c r="H722" s="1525">
        <f>H736</f>
        <v>5919.49</v>
      </c>
      <c r="I722" s="1910" t="s">
        <v>15027</v>
      </c>
      <c r="J722" s="1793"/>
      <c r="K722" s="1793"/>
      <c r="L722" s="141"/>
      <c r="M722" s="1515"/>
    </row>
    <row r="723" spans="1:13" s="1859" customFormat="1" ht="45" x14ac:dyDescent="0.2">
      <c r="A723" s="2144">
        <v>142</v>
      </c>
      <c r="B723" s="2144"/>
      <c r="C723" s="1863" t="s">
        <v>4448</v>
      </c>
      <c r="D723" s="1862" t="s">
        <v>13747</v>
      </c>
      <c r="E723" s="1864">
        <f>7.659*0.8829</f>
        <v>6.7621311000000004</v>
      </c>
      <c r="F723" s="1948" t="s">
        <v>63</v>
      </c>
      <c r="G723" s="1860">
        <v>22.83</v>
      </c>
      <c r="H723" s="1857">
        <f t="shared" ref="H723:H731" si="76">ROUNDDOWN(G723*E723,2)</f>
        <v>154.37</v>
      </c>
      <c r="I723" s="1856"/>
      <c r="J723" s="1856"/>
      <c r="K723" s="1797"/>
      <c r="L723" s="1784"/>
      <c r="M723" s="1785"/>
    </row>
    <row r="724" spans="1:13" s="1859" customFormat="1" ht="60" x14ac:dyDescent="0.2">
      <c r="A724" s="2144">
        <v>7568</v>
      </c>
      <c r="B724" s="2144"/>
      <c r="C724" s="1863" t="s">
        <v>4448</v>
      </c>
      <c r="D724" s="1862" t="s">
        <v>10260</v>
      </c>
      <c r="E724" s="1864">
        <f>4.8166*7.659</f>
        <v>36.890339400000002</v>
      </c>
      <c r="F724" s="1948" t="s">
        <v>39</v>
      </c>
      <c r="G724" s="1860">
        <v>0.61</v>
      </c>
      <c r="H724" s="1857">
        <f t="shared" si="76"/>
        <v>22.5</v>
      </c>
      <c r="I724" s="1856"/>
      <c r="J724" s="1856"/>
      <c r="K724" s="1797"/>
      <c r="L724" s="1784"/>
      <c r="M724" s="1785"/>
    </row>
    <row r="725" spans="1:13" s="1859" customFormat="1" ht="45" x14ac:dyDescent="0.2">
      <c r="A725" s="2144">
        <v>11447</v>
      </c>
      <c r="B725" s="2144"/>
      <c r="C725" s="1863" t="s">
        <v>4448</v>
      </c>
      <c r="D725" s="1862" t="s">
        <v>11569</v>
      </c>
      <c r="E725" s="1864">
        <v>18</v>
      </c>
      <c r="F725" s="1948" t="s">
        <v>39</v>
      </c>
      <c r="G725" s="1860">
        <v>18.59</v>
      </c>
      <c r="H725" s="1857">
        <f t="shared" si="76"/>
        <v>334.62</v>
      </c>
      <c r="I725" s="1856"/>
      <c r="J725" s="1797"/>
      <c r="K725" s="1797"/>
      <c r="L725" s="1784"/>
      <c r="M725" s="1785"/>
    </row>
    <row r="726" spans="1:13" s="1859" customFormat="1" ht="45" x14ac:dyDescent="0.2">
      <c r="A726" s="2144">
        <v>36888</v>
      </c>
      <c r="B726" s="2144"/>
      <c r="C726" s="1863" t="s">
        <v>4448</v>
      </c>
      <c r="D726" s="1862" t="s">
        <v>12065</v>
      </c>
      <c r="E726" s="1864">
        <f>2*(2.14+1.31)+2.22</f>
        <v>9.120000000000001</v>
      </c>
      <c r="F726" s="1948" t="s">
        <v>47</v>
      </c>
      <c r="G726" s="1860">
        <v>6.31</v>
      </c>
      <c r="H726" s="1857">
        <f t="shared" si="76"/>
        <v>57.54</v>
      </c>
      <c r="I726" s="1856"/>
      <c r="J726" s="1797"/>
      <c r="K726" s="1797"/>
      <c r="L726" s="1784"/>
      <c r="M726" s="1785"/>
    </row>
    <row r="727" spans="1:13" s="1859" customFormat="1" ht="60" x14ac:dyDescent="0.2">
      <c r="A727" s="2144">
        <v>39025</v>
      </c>
      <c r="B727" s="2144"/>
      <c r="C727" s="1863" t="s">
        <v>4448</v>
      </c>
      <c r="D727" s="1862" t="s">
        <v>13404</v>
      </c>
      <c r="E727" s="1864">
        <v>7.6590000000000007</v>
      </c>
      <c r="F727" s="1948" t="s">
        <v>39</v>
      </c>
      <c r="G727" s="1860">
        <v>577.15</v>
      </c>
      <c r="H727" s="1857">
        <f t="shared" si="76"/>
        <v>4420.3900000000003</v>
      </c>
      <c r="I727" s="1856"/>
      <c r="J727" s="1797"/>
      <c r="K727" s="1797"/>
      <c r="L727" s="1784"/>
      <c r="M727" s="1785"/>
    </row>
    <row r="728" spans="1:13" s="1859" customFormat="1" ht="30" x14ac:dyDescent="0.2">
      <c r="A728" s="2144">
        <v>88309</v>
      </c>
      <c r="B728" s="2144"/>
      <c r="C728" s="1863" t="s">
        <v>4448</v>
      </c>
      <c r="D728" s="1862" t="s">
        <v>87</v>
      </c>
      <c r="E728" s="1864">
        <f>0.3826*7.659</f>
        <v>2.9303333999999999</v>
      </c>
      <c r="F728" s="1948" t="s">
        <v>65</v>
      </c>
      <c r="G728" s="1860">
        <v>20.149999999999999</v>
      </c>
      <c r="H728" s="1857">
        <f t="shared" si="76"/>
        <v>59.04</v>
      </c>
      <c r="I728" s="1856"/>
      <c r="J728" s="1856"/>
      <c r="K728" s="1797"/>
      <c r="L728" s="1784"/>
      <c r="M728" s="1785"/>
    </row>
    <row r="729" spans="1:13" s="1859" customFormat="1" ht="30" x14ac:dyDescent="0.2">
      <c r="A729" s="2144">
        <v>88316</v>
      </c>
      <c r="B729" s="2144"/>
      <c r="C729" s="1863" t="s">
        <v>4448</v>
      </c>
      <c r="D729" s="1862" t="s">
        <v>64</v>
      </c>
      <c r="E729" s="1864">
        <f>7.659*0.191</f>
        <v>1.462869</v>
      </c>
      <c r="F729" s="1948" t="s">
        <v>65</v>
      </c>
      <c r="G729" s="1860">
        <v>15.08</v>
      </c>
      <c r="H729" s="1857">
        <f t="shared" si="76"/>
        <v>22.06</v>
      </c>
      <c r="I729" s="1856"/>
      <c r="J729" s="1856"/>
      <c r="K729" s="1797"/>
      <c r="L729" s="1784"/>
      <c r="M729" s="1785"/>
    </row>
    <row r="730" spans="1:13" s="1859" customFormat="1" ht="75" x14ac:dyDescent="0.2">
      <c r="A730" s="2148">
        <v>100725</v>
      </c>
      <c r="B730" s="2148"/>
      <c r="C730" s="1877" t="s">
        <v>4448</v>
      </c>
      <c r="D730" s="1850" t="s">
        <v>9282</v>
      </c>
      <c r="E730" s="1864">
        <f>4*E727</f>
        <v>30.636000000000003</v>
      </c>
      <c r="F730" s="1949" t="s">
        <v>306</v>
      </c>
      <c r="G730" s="367">
        <v>17.61</v>
      </c>
      <c r="H730" s="1852">
        <f t="shared" si="76"/>
        <v>539.49</v>
      </c>
      <c r="I730" s="1856"/>
      <c r="J730" s="1797"/>
      <c r="K730" s="1797"/>
      <c r="L730" s="1784"/>
      <c r="M730" s="1785"/>
    </row>
    <row r="731" spans="1:13" s="1859" customFormat="1" ht="60" x14ac:dyDescent="0.2">
      <c r="A731" s="2144">
        <v>90830</v>
      </c>
      <c r="B731" s="2144"/>
      <c r="C731" s="1863" t="s">
        <v>4448</v>
      </c>
      <c r="D731" s="1862" t="s">
        <v>8631</v>
      </c>
      <c r="E731" s="1864">
        <v>3</v>
      </c>
      <c r="F731" s="1948" t="s">
        <v>168</v>
      </c>
      <c r="G731" s="1860">
        <v>103.16</v>
      </c>
      <c r="H731" s="1857">
        <f t="shared" si="76"/>
        <v>309.48</v>
      </c>
      <c r="I731" s="1856"/>
      <c r="J731" s="1797"/>
      <c r="K731" s="1797"/>
      <c r="L731" s="1784"/>
      <c r="M731" s="1785"/>
    </row>
    <row r="732" spans="1:13" s="1517" customFormat="1" x14ac:dyDescent="0.25">
      <c r="A732" s="1951"/>
      <c r="B732" s="1951"/>
      <c r="C732" s="1531"/>
      <c r="D732" s="2141" t="s">
        <v>124</v>
      </c>
      <c r="E732" s="2141"/>
      <c r="F732" s="2141"/>
      <c r="G732" s="2141"/>
      <c r="H732" s="267">
        <f>SUMIF(F723:F731,("h"),H723:H731)</f>
        <v>81.099999999999994</v>
      </c>
      <c r="I732" s="1830"/>
      <c r="J732" s="1795"/>
      <c r="K732" s="1795"/>
      <c r="L732" s="169"/>
      <c r="M732" s="1783"/>
    </row>
    <row r="733" spans="1:13" s="1517" customFormat="1" x14ac:dyDescent="0.25">
      <c r="A733" s="1951"/>
      <c r="B733" s="1951"/>
      <c r="C733" s="1531"/>
      <c r="D733" s="2141" t="s">
        <v>125</v>
      </c>
      <c r="E733" s="2141"/>
      <c r="F733" s="2141"/>
      <c r="G733" s="2141"/>
      <c r="H733" s="267">
        <f>SUMIF(F723:F731,"&lt;&gt;h",H723:H731)</f>
        <v>5838.3899999999994</v>
      </c>
      <c r="I733" s="1830"/>
      <c r="J733" s="1795"/>
      <c r="K733" s="1795"/>
      <c r="L733" s="169"/>
      <c r="M733" s="1783"/>
    </row>
    <row r="734" spans="1:13" s="1517" customFormat="1" x14ac:dyDescent="0.25">
      <c r="A734" s="1951"/>
      <c r="B734" s="1951"/>
      <c r="C734" s="1531"/>
      <c r="D734" s="2142" t="s">
        <v>126</v>
      </c>
      <c r="E734" s="2142"/>
      <c r="F734" s="2142"/>
      <c r="G734" s="2142"/>
      <c r="H734" s="1532">
        <f>SUM(H732:H733)</f>
        <v>5919.49</v>
      </c>
      <c r="I734" s="1830"/>
      <c r="J734" s="1795"/>
      <c r="K734" s="1795"/>
      <c r="L734" s="169"/>
      <c r="M734" s="1783"/>
    </row>
    <row r="735" spans="1:13" s="1517" customFormat="1" x14ac:dyDescent="0.25">
      <c r="A735" s="1951"/>
      <c r="B735" s="1951"/>
      <c r="C735" s="1531"/>
      <c r="D735" s="2141" t="s">
        <v>28</v>
      </c>
      <c r="E735" s="2141"/>
      <c r="F735" s="2141"/>
      <c r="G735" s="2141"/>
      <c r="H735" s="269">
        <f>E722</f>
        <v>1</v>
      </c>
      <c r="I735" s="1830"/>
      <c r="J735" s="1795"/>
      <c r="K735" s="1795"/>
      <c r="L735" s="169"/>
      <c r="M735" s="1783"/>
    </row>
    <row r="736" spans="1:13" s="1517" customFormat="1" x14ac:dyDescent="0.25">
      <c r="A736" s="1951"/>
      <c r="B736" s="1951"/>
      <c r="C736" s="1531"/>
      <c r="D736" s="2142" t="s">
        <v>127</v>
      </c>
      <c r="E736" s="2142"/>
      <c r="F736" s="2142"/>
      <c r="G736" s="2142"/>
      <c r="H736" s="1532">
        <f>ROUND(H734*H735,2)</f>
        <v>5919.49</v>
      </c>
      <c r="I736" s="1830"/>
      <c r="J736" s="1795"/>
      <c r="K736" s="1795"/>
      <c r="L736" s="169"/>
      <c r="M736" s="1783"/>
    </row>
    <row r="737" spans="1:13" s="1517" customFormat="1" x14ac:dyDescent="0.25">
      <c r="A737" s="1951"/>
      <c r="B737" s="1951"/>
      <c r="C737" s="1531"/>
      <c r="D737" s="2141" t="s">
        <v>15335</v>
      </c>
      <c r="E737" s="2141"/>
      <c r="F737" s="2141"/>
      <c r="G737" s="2141"/>
      <c r="H737" s="267">
        <f>ROUND(H734*$B$13,2)</f>
        <v>1594.12</v>
      </c>
      <c r="I737" s="1830"/>
      <c r="J737" s="1795"/>
      <c r="K737" s="1795"/>
      <c r="L737" s="169"/>
      <c r="M737" s="1783"/>
    </row>
    <row r="738" spans="1:13" x14ac:dyDescent="0.25">
      <c r="A738" s="1951"/>
      <c r="B738" s="1951"/>
      <c r="C738" s="1531"/>
      <c r="D738" s="2142" t="s">
        <v>7898</v>
      </c>
      <c r="E738" s="2142"/>
      <c r="F738" s="2142"/>
      <c r="G738" s="2142"/>
      <c r="H738" s="1532">
        <f>H737+H734</f>
        <v>7513.61</v>
      </c>
    </row>
    <row r="739" spans="1:13" x14ac:dyDescent="0.25">
      <c r="A739" s="1514"/>
      <c r="B739" s="1514"/>
      <c r="C739" s="1514"/>
      <c r="F739" s="1533"/>
      <c r="G739" s="1534"/>
      <c r="H739" s="1514"/>
    </row>
    <row r="740" spans="1:13" s="1517" customFormat="1" x14ac:dyDescent="0.25">
      <c r="A740" s="146" t="s">
        <v>6</v>
      </c>
      <c r="B740" s="2143" t="s">
        <v>7</v>
      </c>
      <c r="C740" s="2143"/>
      <c r="D740" s="288" t="s">
        <v>121</v>
      </c>
      <c r="E740" s="278" t="s">
        <v>5282</v>
      </c>
      <c r="F740" s="288" t="s">
        <v>31</v>
      </c>
      <c r="G740" s="289" t="s">
        <v>122</v>
      </c>
      <c r="H740" s="290" t="s">
        <v>123</v>
      </c>
      <c r="I740" s="1830"/>
      <c r="J740" s="1795"/>
      <c r="K740" s="1795"/>
      <c r="L740" s="169"/>
      <c r="M740" s="1783"/>
    </row>
    <row r="741" spans="1:13" s="1526" customFormat="1" ht="60" x14ac:dyDescent="0.2">
      <c r="A741" s="291" t="str">
        <f>'Orç - Prédio'!A138</f>
        <v>04.01.220.06</v>
      </c>
      <c r="B741" s="303" t="str">
        <f>'Orç - Prédio'!B138</f>
        <v>SINAPI</v>
      </c>
      <c r="C741" s="303" t="str">
        <f>'Orç - Prédio'!C138</f>
        <v>91341 MOD 6</v>
      </c>
      <c r="D741" s="304" t="s">
        <v>5724</v>
      </c>
      <c r="E741" s="292">
        <f>'Orç - Prédio'!E138</f>
        <v>5</v>
      </c>
      <c r="F741" s="303" t="s">
        <v>5284</v>
      </c>
      <c r="G741" s="293">
        <v>1068.22</v>
      </c>
      <c r="H741" s="294">
        <f>H755</f>
        <v>5341.1</v>
      </c>
      <c r="I741" s="1910" t="s">
        <v>9544</v>
      </c>
      <c r="J741" s="1793"/>
      <c r="K741" s="1793"/>
      <c r="L741" s="141"/>
      <c r="M741" s="1515"/>
    </row>
    <row r="742" spans="1:13" s="156" customFormat="1" ht="45" x14ac:dyDescent="0.2">
      <c r="A742" s="2144">
        <v>142</v>
      </c>
      <c r="B742" s="2144"/>
      <c r="C742" s="287" t="s">
        <v>4448</v>
      </c>
      <c r="D742" s="182" t="s">
        <v>13747</v>
      </c>
      <c r="E742" s="305">
        <v>2.5423200000000001</v>
      </c>
      <c r="F742" s="296" t="s">
        <v>63</v>
      </c>
      <c r="G742" s="297">
        <v>22.83</v>
      </c>
      <c r="H742" s="298">
        <f t="shared" ref="H742:H750" si="77">ROUNDDOWN(G742*E742,2)</f>
        <v>58.04</v>
      </c>
      <c r="I742" s="1642"/>
      <c r="J742" s="1797"/>
      <c r="K742" s="1797"/>
      <c r="L742" s="1784"/>
      <c r="M742" s="1785"/>
    </row>
    <row r="743" spans="1:13" s="156" customFormat="1" ht="60" x14ac:dyDescent="0.2">
      <c r="A743" s="2144">
        <v>7568</v>
      </c>
      <c r="B743" s="2144"/>
      <c r="C743" s="287" t="s">
        <v>4448</v>
      </c>
      <c r="D743" s="182" t="s">
        <v>10260</v>
      </c>
      <c r="E743" s="305">
        <v>7</v>
      </c>
      <c r="F743" s="296" t="s">
        <v>39</v>
      </c>
      <c r="G743" s="297">
        <v>0.61</v>
      </c>
      <c r="H743" s="298">
        <f t="shared" si="77"/>
        <v>4.2699999999999996</v>
      </c>
      <c r="I743" s="1642"/>
      <c r="J743" s="1797"/>
      <c r="K743" s="1797"/>
      <c r="L743" s="1784"/>
      <c r="M743" s="1785"/>
    </row>
    <row r="744" spans="1:13" s="156" customFormat="1" ht="45" x14ac:dyDescent="0.2">
      <c r="A744" s="2144">
        <v>11447</v>
      </c>
      <c r="B744" s="2144"/>
      <c r="C744" s="287" t="s">
        <v>4448</v>
      </c>
      <c r="D744" s="182" t="s">
        <v>11569</v>
      </c>
      <c r="E744" s="305">
        <v>2</v>
      </c>
      <c r="F744" s="296" t="s">
        <v>39</v>
      </c>
      <c r="G744" s="297">
        <v>18.59</v>
      </c>
      <c r="H744" s="298">
        <f t="shared" si="77"/>
        <v>37.18</v>
      </c>
      <c r="I744" s="1642"/>
      <c r="J744" s="1797"/>
      <c r="K744" s="1797"/>
      <c r="L744" s="1784"/>
      <c r="M744" s="1785"/>
    </row>
    <row r="745" spans="1:13" s="156" customFormat="1" ht="45" x14ac:dyDescent="0.2">
      <c r="A745" s="2144">
        <v>36888</v>
      </c>
      <c r="B745" s="2144"/>
      <c r="C745" s="287" t="s">
        <v>4448</v>
      </c>
      <c r="D745" s="182" t="s">
        <v>12065</v>
      </c>
      <c r="E745" s="305">
        <v>3.9</v>
      </c>
      <c r="F745" s="296" t="s">
        <v>47</v>
      </c>
      <c r="G745" s="297">
        <v>6.31</v>
      </c>
      <c r="H745" s="298">
        <f t="shared" si="77"/>
        <v>24.6</v>
      </c>
      <c r="I745" s="1642"/>
      <c r="J745" s="1797"/>
      <c r="K745" s="1797"/>
      <c r="L745" s="1784"/>
      <c r="M745" s="1785"/>
    </row>
    <row r="746" spans="1:13" s="156" customFormat="1" ht="60" x14ac:dyDescent="0.2">
      <c r="A746" s="2144">
        <v>39025</v>
      </c>
      <c r="B746" s="2144"/>
      <c r="C746" s="287" t="s">
        <v>4448</v>
      </c>
      <c r="D746" s="182" t="s">
        <v>13404</v>
      </c>
      <c r="E746" s="305">
        <v>1.35</v>
      </c>
      <c r="F746" s="296" t="s">
        <v>39</v>
      </c>
      <c r="G746" s="297">
        <v>577.15</v>
      </c>
      <c r="H746" s="298">
        <f t="shared" si="77"/>
        <v>779.15</v>
      </c>
      <c r="I746" s="1642"/>
      <c r="J746" s="1797"/>
      <c r="K746" s="1797"/>
      <c r="L746" s="1784"/>
      <c r="M746" s="1785"/>
    </row>
    <row r="747" spans="1:13" s="156" customFormat="1" ht="30" x14ac:dyDescent="0.2">
      <c r="A747" s="2144">
        <v>88309</v>
      </c>
      <c r="B747" s="2144"/>
      <c r="C747" s="287" t="s">
        <v>4448</v>
      </c>
      <c r="D747" s="182" t="s">
        <v>87</v>
      </c>
      <c r="E747" s="305">
        <v>0.51651000000000002</v>
      </c>
      <c r="F747" s="296" t="s">
        <v>65</v>
      </c>
      <c r="G747" s="297">
        <v>20.149999999999999</v>
      </c>
      <c r="H747" s="298">
        <f t="shared" si="77"/>
        <v>10.4</v>
      </c>
      <c r="I747" s="1642"/>
      <c r="J747" s="1797"/>
      <c r="K747" s="1797"/>
      <c r="L747" s="1784"/>
      <c r="M747" s="1785"/>
    </row>
    <row r="748" spans="1:13" s="156" customFormat="1" ht="30" x14ac:dyDescent="0.2">
      <c r="A748" s="2144">
        <v>88316</v>
      </c>
      <c r="B748" s="2144"/>
      <c r="C748" s="287" t="s">
        <v>4448</v>
      </c>
      <c r="D748" s="182" t="s">
        <v>64</v>
      </c>
      <c r="E748" s="305">
        <v>0.25785000000000002</v>
      </c>
      <c r="F748" s="296" t="s">
        <v>65</v>
      </c>
      <c r="G748" s="297">
        <v>15.08</v>
      </c>
      <c r="H748" s="298">
        <f t="shared" si="77"/>
        <v>3.88</v>
      </c>
      <c r="I748" s="1642"/>
      <c r="J748" s="1797"/>
      <c r="K748" s="1797"/>
      <c r="L748" s="1784"/>
      <c r="M748" s="1785"/>
    </row>
    <row r="749" spans="1:13" s="1859" customFormat="1" ht="75" x14ac:dyDescent="0.2">
      <c r="A749" s="2148">
        <v>100725</v>
      </c>
      <c r="B749" s="2148"/>
      <c r="C749" s="1877" t="s">
        <v>4448</v>
      </c>
      <c r="D749" s="1850" t="s">
        <v>9282</v>
      </c>
      <c r="E749" s="1864">
        <v>2.7</v>
      </c>
      <c r="F749" s="1917" t="s">
        <v>306</v>
      </c>
      <c r="G749" s="367">
        <v>17.61</v>
      </c>
      <c r="H749" s="1852">
        <f t="shared" si="77"/>
        <v>47.54</v>
      </c>
      <c r="I749" s="1856"/>
      <c r="J749" s="1797"/>
      <c r="K749" s="1797"/>
      <c r="L749" s="1784"/>
      <c r="M749" s="1785"/>
    </row>
    <row r="750" spans="1:13" s="156" customFormat="1" ht="60" x14ac:dyDescent="0.2">
      <c r="A750" s="2144">
        <v>90830</v>
      </c>
      <c r="B750" s="2144"/>
      <c r="C750" s="287" t="s">
        <v>4448</v>
      </c>
      <c r="D750" s="182" t="s">
        <v>8631</v>
      </c>
      <c r="E750" s="305">
        <v>1</v>
      </c>
      <c r="F750" s="296" t="s">
        <v>168</v>
      </c>
      <c r="G750" s="297">
        <v>103.16</v>
      </c>
      <c r="H750" s="298">
        <f t="shared" si="77"/>
        <v>103.16</v>
      </c>
      <c r="I750" s="1642"/>
      <c r="J750" s="1797"/>
      <c r="K750" s="1797"/>
      <c r="L750" s="1784"/>
      <c r="M750" s="1785"/>
    </row>
    <row r="751" spans="1:13" s="1517" customFormat="1" x14ac:dyDescent="0.25">
      <c r="A751" s="179"/>
      <c r="B751" s="179"/>
      <c r="C751" s="299"/>
      <c r="D751" s="2141" t="s">
        <v>124</v>
      </c>
      <c r="E751" s="2141"/>
      <c r="F751" s="2141"/>
      <c r="G751" s="2141"/>
      <c r="H751" s="267">
        <f>SUMIF(F742:F750,("h"),H742:H750)</f>
        <v>14.280000000000001</v>
      </c>
      <c r="I751" s="1830"/>
      <c r="J751" s="1795"/>
      <c r="K751" s="1795"/>
      <c r="L751" s="169"/>
      <c r="M751" s="1783"/>
    </row>
    <row r="752" spans="1:13" s="1517" customFormat="1" x14ac:dyDescent="0.25">
      <c r="A752" s="179"/>
      <c r="B752" s="179"/>
      <c r="C752" s="299"/>
      <c r="D752" s="2141" t="s">
        <v>125</v>
      </c>
      <c r="E752" s="2141"/>
      <c r="F752" s="2141"/>
      <c r="G752" s="2141"/>
      <c r="H752" s="267">
        <f>SUMIF(F742:F750,"&lt;&gt;h",H742:H750)</f>
        <v>1053.94</v>
      </c>
      <c r="I752" s="1830"/>
      <c r="J752" s="1795"/>
      <c r="K752" s="1795"/>
      <c r="L752" s="169"/>
      <c r="M752" s="1783"/>
    </row>
    <row r="753" spans="1:13" s="1517" customFormat="1" x14ac:dyDescent="0.25">
      <c r="A753" s="179"/>
      <c r="B753" s="179"/>
      <c r="C753" s="299"/>
      <c r="D753" s="2142" t="s">
        <v>126</v>
      </c>
      <c r="E753" s="2142"/>
      <c r="F753" s="2142"/>
      <c r="G753" s="2142"/>
      <c r="H753" s="300">
        <f>SUM(H751:H752)</f>
        <v>1068.22</v>
      </c>
      <c r="I753" s="1830"/>
      <c r="J753" s="1795"/>
      <c r="K753" s="1795"/>
      <c r="L753" s="169"/>
      <c r="M753" s="1783"/>
    </row>
    <row r="754" spans="1:13" s="1517" customFormat="1" x14ac:dyDescent="0.25">
      <c r="A754" s="179"/>
      <c r="B754" s="179"/>
      <c r="C754" s="299"/>
      <c r="D754" s="2141" t="s">
        <v>28</v>
      </c>
      <c r="E754" s="2141"/>
      <c r="F754" s="2141"/>
      <c r="G754" s="2141"/>
      <c r="H754" s="269">
        <f>E741</f>
        <v>5</v>
      </c>
      <c r="I754" s="1830"/>
      <c r="J754" s="1795"/>
      <c r="K754" s="1795"/>
      <c r="L754" s="169"/>
      <c r="M754" s="1783"/>
    </row>
    <row r="755" spans="1:13" s="1517" customFormat="1" x14ac:dyDescent="0.25">
      <c r="A755" s="179"/>
      <c r="B755" s="179"/>
      <c r="C755" s="299"/>
      <c r="D755" s="2142" t="s">
        <v>127</v>
      </c>
      <c r="E755" s="2142"/>
      <c r="F755" s="2142"/>
      <c r="G755" s="2142"/>
      <c r="H755" s="300">
        <f>ROUND(H753*H754,2)</f>
        <v>5341.1</v>
      </c>
      <c r="I755" s="1830"/>
      <c r="J755" s="1795"/>
      <c r="K755" s="1795"/>
      <c r="L755" s="169"/>
      <c r="M755" s="1783"/>
    </row>
    <row r="756" spans="1:13" s="1517" customFormat="1" x14ac:dyDescent="0.25">
      <c r="A756" s="179"/>
      <c r="B756" s="179"/>
      <c r="C756" s="1531"/>
      <c r="D756" s="2141" t="s">
        <v>15335</v>
      </c>
      <c r="E756" s="2141"/>
      <c r="F756" s="2141"/>
      <c r="G756" s="2141"/>
      <c r="H756" s="267">
        <f>ROUND(H753*$B$13,2)</f>
        <v>287.67</v>
      </c>
      <c r="I756" s="1830"/>
      <c r="J756" s="1795"/>
      <c r="K756" s="1795"/>
      <c r="L756" s="169"/>
      <c r="M756" s="1783"/>
    </row>
    <row r="757" spans="1:13" x14ac:dyDescent="0.25">
      <c r="A757" s="179"/>
      <c r="B757" s="179"/>
      <c r="C757" s="1531"/>
      <c r="D757" s="2142" t="s">
        <v>7898</v>
      </c>
      <c r="E757" s="2142"/>
      <c r="F757" s="2142"/>
      <c r="G757" s="2142"/>
      <c r="H757" s="1532">
        <f>H756+H753</f>
        <v>1355.89</v>
      </c>
    </row>
    <row r="758" spans="1:13" x14ac:dyDescent="0.25">
      <c r="A758" s="286"/>
      <c r="B758" s="286"/>
      <c r="C758" s="286"/>
      <c r="F758" s="301"/>
      <c r="G758" s="302"/>
      <c r="H758" s="286"/>
    </row>
    <row r="759" spans="1:13" s="1517" customFormat="1" x14ac:dyDescent="0.25">
      <c r="A759" s="146" t="s">
        <v>6</v>
      </c>
      <c r="B759" s="2143" t="s">
        <v>7</v>
      </c>
      <c r="C759" s="2143"/>
      <c r="D759" s="308" t="s">
        <v>121</v>
      </c>
      <c r="E759" s="278" t="s">
        <v>5282</v>
      </c>
      <c r="F759" s="308" t="s">
        <v>31</v>
      </c>
      <c r="G759" s="309" t="s">
        <v>122</v>
      </c>
      <c r="H759" s="310" t="s">
        <v>123</v>
      </c>
      <c r="I759" s="1830"/>
      <c r="J759" s="1795"/>
      <c r="K759" s="1795"/>
      <c r="L759" s="169"/>
      <c r="M759" s="1783"/>
    </row>
    <row r="760" spans="1:13" s="1526" customFormat="1" ht="60" x14ac:dyDescent="0.2">
      <c r="A760" s="311" t="str">
        <f>'Orç - Prédio'!A139</f>
        <v>04.01.223.01</v>
      </c>
      <c r="B760" s="322" t="str">
        <f>'Orç - Prédio'!B139</f>
        <v>SINAPI</v>
      </c>
      <c r="C760" s="322" t="str">
        <f>'Orç - Prédio'!C139</f>
        <v>85010 MOD 1</v>
      </c>
      <c r="D760" s="323" t="s">
        <v>5730</v>
      </c>
      <c r="E760" s="312">
        <f>'Orç - Prédio'!E139</f>
        <v>1</v>
      </c>
      <c r="F760" s="322" t="s">
        <v>5284</v>
      </c>
      <c r="G760" s="313">
        <v>31733.440000000002</v>
      </c>
      <c r="H760" s="314">
        <f>H773</f>
        <v>31733.439999999999</v>
      </c>
      <c r="I760" s="1910" t="s">
        <v>9544</v>
      </c>
      <c r="J760" s="1793"/>
      <c r="K760" s="1793"/>
      <c r="L760" s="141"/>
      <c r="M760" s="1515"/>
    </row>
    <row r="761" spans="1:13" s="156" customFormat="1" x14ac:dyDescent="0.2">
      <c r="A761" s="2144" t="s">
        <v>8538</v>
      </c>
      <c r="B761" s="2144"/>
      <c r="C761" s="324" t="s">
        <v>5696</v>
      </c>
      <c r="D761" s="325" t="s">
        <v>8537</v>
      </c>
      <c r="E761" s="336">
        <v>52.089000000000006</v>
      </c>
      <c r="F761" s="326" t="s">
        <v>306</v>
      </c>
      <c r="G761" s="367">
        <v>487.77</v>
      </c>
      <c r="H761" s="317">
        <f t="shared" ref="H761:H768" si="78">ROUNDDOWN(G761*E761,2)</f>
        <v>25407.45</v>
      </c>
      <c r="I761" s="1642"/>
      <c r="J761" s="1797"/>
      <c r="K761" s="1797"/>
      <c r="L761" s="1784"/>
      <c r="M761" s="1785"/>
    </row>
    <row r="762" spans="1:13" s="156" customFormat="1" ht="45" x14ac:dyDescent="0.2">
      <c r="A762" s="2144">
        <v>142</v>
      </c>
      <c r="B762" s="2144"/>
      <c r="C762" s="307" t="s">
        <v>4448</v>
      </c>
      <c r="D762" s="182" t="s">
        <v>13747</v>
      </c>
      <c r="E762" s="336">
        <v>45.989378100000003</v>
      </c>
      <c r="F762" s="315" t="s">
        <v>63</v>
      </c>
      <c r="G762" s="316">
        <v>22.83</v>
      </c>
      <c r="H762" s="317">
        <f t="shared" si="78"/>
        <v>1049.93</v>
      </c>
      <c r="I762" s="1642"/>
      <c r="J762" s="1797"/>
      <c r="K762" s="1797"/>
      <c r="L762" s="1784"/>
      <c r="M762" s="1785"/>
    </row>
    <row r="763" spans="1:13" s="156" customFormat="1" ht="60" x14ac:dyDescent="0.2">
      <c r="A763" s="2144">
        <v>7568</v>
      </c>
      <c r="B763" s="2144"/>
      <c r="C763" s="307" t="s">
        <v>4448</v>
      </c>
      <c r="D763" s="182" t="s">
        <v>10260</v>
      </c>
      <c r="E763" s="346">
        <v>215</v>
      </c>
      <c r="F763" s="315" t="s">
        <v>39</v>
      </c>
      <c r="G763" s="316">
        <v>0.61</v>
      </c>
      <c r="H763" s="317">
        <f t="shared" si="78"/>
        <v>131.15</v>
      </c>
      <c r="I763" s="1642"/>
      <c r="J763" s="1797"/>
      <c r="K763" s="1797"/>
      <c r="L763" s="1784"/>
      <c r="M763" s="1785"/>
    </row>
    <row r="764" spans="1:13" s="156" customFormat="1" ht="45" x14ac:dyDescent="0.2">
      <c r="A764" s="2144">
        <v>11447</v>
      </c>
      <c r="B764" s="2144"/>
      <c r="C764" s="307" t="s">
        <v>4448</v>
      </c>
      <c r="D764" s="182" t="s">
        <v>11569</v>
      </c>
      <c r="E764" s="336">
        <v>12</v>
      </c>
      <c r="F764" s="315" t="s">
        <v>39</v>
      </c>
      <c r="G764" s="316">
        <v>18.59</v>
      </c>
      <c r="H764" s="317">
        <f t="shared" si="78"/>
        <v>223.08</v>
      </c>
      <c r="I764" s="1642"/>
      <c r="J764" s="1797"/>
      <c r="K764" s="1797"/>
      <c r="L764" s="1784"/>
      <c r="M764" s="1785"/>
    </row>
    <row r="765" spans="1:13" s="156" customFormat="1" ht="30" x14ac:dyDescent="0.2">
      <c r="A765" s="2144">
        <v>39623</v>
      </c>
      <c r="B765" s="2144"/>
      <c r="C765" s="307" t="s">
        <v>4448</v>
      </c>
      <c r="D765" s="182" t="s">
        <v>10101</v>
      </c>
      <c r="E765" s="336">
        <v>4</v>
      </c>
      <c r="F765" s="315" t="s">
        <v>39</v>
      </c>
      <c r="G765" s="316">
        <v>707.11</v>
      </c>
      <c r="H765" s="317">
        <f t="shared" si="78"/>
        <v>2828.44</v>
      </c>
      <c r="I765" s="1642"/>
      <c r="J765" s="1797"/>
      <c r="K765" s="1797"/>
      <c r="L765" s="1784"/>
      <c r="M765" s="1785"/>
    </row>
    <row r="766" spans="1:13" s="156" customFormat="1" ht="30" x14ac:dyDescent="0.2">
      <c r="A766" s="2144">
        <v>88309</v>
      </c>
      <c r="B766" s="2144"/>
      <c r="C766" s="307" t="s">
        <v>4448</v>
      </c>
      <c r="D766" s="182" t="s">
        <v>87</v>
      </c>
      <c r="E766" s="336">
        <v>15.626700000000001</v>
      </c>
      <c r="F766" s="315" t="s">
        <v>65</v>
      </c>
      <c r="G766" s="316">
        <v>20.149999999999999</v>
      </c>
      <c r="H766" s="317">
        <f t="shared" si="78"/>
        <v>314.87</v>
      </c>
      <c r="I766" s="1642"/>
      <c r="J766" s="1797"/>
      <c r="K766" s="1797"/>
      <c r="L766" s="1784"/>
      <c r="M766" s="1785"/>
    </row>
    <row r="767" spans="1:13" s="156" customFormat="1" ht="30" x14ac:dyDescent="0.2">
      <c r="A767" s="2144">
        <v>88315</v>
      </c>
      <c r="B767" s="2144"/>
      <c r="C767" s="307" t="s">
        <v>4448</v>
      </c>
      <c r="D767" s="182" t="s">
        <v>109</v>
      </c>
      <c r="E767" s="336">
        <v>41.671200000000006</v>
      </c>
      <c r="F767" s="315" t="s">
        <v>65</v>
      </c>
      <c r="G767" s="316">
        <v>20.059999999999999</v>
      </c>
      <c r="H767" s="317">
        <f t="shared" si="78"/>
        <v>835.92</v>
      </c>
      <c r="I767" s="1642"/>
      <c r="J767" s="1797"/>
      <c r="K767" s="1797"/>
      <c r="L767" s="1784"/>
      <c r="M767" s="1785"/>
    </row>
    <row r="768" spans="1:13" s="156" customFormat="1" ht="30" x14ac:dyDescent="0.2">
      <c r="A768" s="2144">
        <v>88316</v>
      </c>
      <c r="B768" s="2144"/>
      <c r="C768" s="307" t="s">
        <v>4448</v>
      </c>
      <c r="D768" s="182" t="s">
        <v>64</v>
      </c>
      <c r="E768" s="336">
        <v>62.506800000000005</v>
      </c>
      <c r="F768" s="315" t="s">
        <v>65</v>
      </c>
      <c r="G768" s="316">
        <v>15.08</v>
      </c>
      <c r="H768" s="317">
        <f t="shared" si="78"/>
        <v>942.6</v>
      </c>
      <c r="I768" s="1642"/>
      <c r="J768" s="1797"/>
      <c r="K768" s="1797"/>
      <c r="L768" s="1784"/>
      <c r="M768" s="1785"/>
    </row>
    <row r="769" spans="1:13" s="1517" customFormat="1" x14ac:dyDescent="0.25">
      <c r="A769" s="179"/>
      <c r="B769" s="179"/>
      <c r="C769" s="318"/>
      <c r="D769" s="2141" t="s">
        <v>124</v>
      </c>
      <c r="E769" s="2141"/>
      <c r="F769" s="2141"/>
      <c r="G769" s="2141"/>
      <c r="H769" s="267">
        <f>SUMIF(F761:F768,("h"),H761:H768)</f>
        <v>2093.39</v>
      </c>
      <c r="I769" s="1830"/>
      <c r="J769" s="1795"/>
      <c r="K769" s="1795"/>
      <c r="L769" s="169"/>
      <c r="M769" s="1783"/>
    </row>
    <row r="770" spans="1:13" s="1517" customFormat="1" x14ac:dyDescent="0.25">
      <c r="A770" s="179"/>
      <c r="B770" s="179"/>
      <c r="C770" s="318"/>
      <c r="D770" s="2141" t="s">
        <v>125</v>
      </c>
      <c r="E770" s="2141"/>
      <c r="F770" s="2141"/>
      <c r="G770" s="2141"/>
      <c r="H770" s="267">
        <f>SUMIF(F761:F768,"&lt;&gt;h",H761:H768)</f>
        <v>29640.050000000003</v>
      </c>
      <c r="I770" s="1830"/>
      <c r="J770" s="1795"/>
      <c r="K770" s="1795"/>
      <c r="L770" s="169"/>
      <c r="M770" s="1783"/>
    </row>
    <row r="771" spans="1:13" s="1517" customFormat="1" x14ac:dyDescent="0.25">
      <c r="A771" s="179"/>
      <c r="B771" s="179"/>
      <c r="C771" s="318"/>
      <c r="D771" s="2142" t="s">
        <v>126</v>
      </c>
      <c r="E771" s="2142"/>
      <c r="F771" s="2142"/>
      <c r="G771" s="2142"/>
      <c r="H771" s="319">
        <f>SUM(H769:H770)</f>
        <v>31733.440000000002</v>
      </c>
      <c r="I771" s="1830"/>
      <c r="J771" s="1795"/>
      <c r="K771" s="1795"/>
      <c r="L771" s="169"/>
      <c r="M771" s="1783"/>
    </row>
    <row r="772" spans="1:13" s="1517" customFormat="1" x14ac:dyDescent="0.25">
      <c r="A772" s="179"/>
      <c r="B772" s="179"/>
      <c r="C772" s="318"/>
      <c r="D772" s="2141" t="s">
        <v>28</v>
      </c>
      <c r="E772" s="2141"/>
      <c r="F772" s="2141"/>
      <c r="G772" s="2141"/>
      <c r="H772" s="269">
        <f>E760</f>
        <v>1</v>
      </c>
      <c r="I772" s="1830"/>
      <c r="J772" s="1795"/>
      <c r="K772" s="1795"/>
      <c r="L772" s="169"/>
      <c r="M772" s="1783"/>
    </row>
    <row r="773" spans="1:13" s="1517" customFormat="1" x14ac:dyDescent="0.25">
      <c r="A773" s="179"/>
      <c r="B773" s="179"/>
      <c r="C773" s="318"/>
      <c r="D773" s="2142" t="s">
        <v>127</v>
      </c>
      <c r="E773" s="2142"/>
      <c r="F773" s="2142"/>
      <c r="G773" s="2142"/>
      <c r="H773" s="319">
        <f>ROUND(H771*H772,2)</f>
        <v>31733.439999999999</v>
      </c>
      <c r="I773" s="1830"/>
      <c r="J773" s="1795"/>
      <c r="K773" s="1795"/>
      <c r="L773" s="169"/>
      <c r="M773" s="1783"/>
    </row>
    <row r="774" spans="1:13" s="1517" customFormat="1" x14ac:dyDescent="0.25">
      <c r="A774" s="179"/>
      <c r="B774" s="179"/>
      <c r="C774" s="1531"/>
      <c r="D774" s="2141" t="s">
        <v>15335</v>
      </c>
      <c r="E774" s="2141"/>
      <c r="F774" s="2141"/>
      <c r="G774" s="2141"/>
      <c r="H774" s="267">
        <f>ROUND(H771*$B$13,2)</f>
        <v>8545.82</v>
      </c>
      <c r="I774" s="1830"/>
      <c r="J774" s="1795"/>
      <c r="K774" s="1795"/>
      <c r="L774" s="169"/>
      <c r="M774" s="1783"/>
    </row>
    <row r="775" spans="1:13" x14ac:dyDescent="0.25">
      <c r="A775" s="179"/>
      <c r="B775" s="179"/>
      <c r="C775" s="1531"/>
      <c r="D775" s="2142" t="s">
        <v>7898</v>
      </c>
      <c r="E775" s="2142"/>
      <c r="F775" s="2142"/>
      <c r="G775" s="2142"/>
      <c r="H775" s="1532">
        <f>H774+H771</f>
        <v>40279.26</v>
      </c>
    </row>
    <row r="776" spans="1:13" x14ac:dyDescent="0.25">
      <c r="A776" s="306"/>
      <c r="B776" s="306"/>
      <c r="C776" s="306"/>
      <c r="F776" s="320"/>
      <c r="G776" s="321"/>
      <c r="H776" s="306"/>
    </row>
    <row r="777" spans="1:13" s="1517" customFormat="1" x14ac:dyDescent="0.25">
      <c r="A777" s="146" t="s">
        <v>6</v>
      </c>
      <c r="B777" s="2143" t="s">
        <v>7</v>
      </c>
      <c r="C777" s="2143"/>
      <c r="D777" s="329" t="s">
        <v>121</v>
      </c>
      <c r="E777" s="278" t="s">
        <v>5282</v>
      </c>
      <c r="F777" s="329" t="s">
        <v>31</v>
      </c>
      <c r="G777" s="330" t="s">
        <v>122</v>
      </c>
      <c r="H777" s="331" t="s">
        <v>123</v>
      </c>
      <c r="I777" s="1830"/>
      <c r="J777" s="1795"/>
      <c r="K777" s="1795"/>
      <c r="L777" s="169"/>
      <c r="M777" s="1783"/>
    </row>
    <row r="778" spans="1:13" s="1526" customFormat="1" ht="60" x14ac:dyDescent="0.2">
      <c r="A778" s="332" t="str">
        <f>'Orç - Prédio'!A140</f>
        <v>04.01.223.02</v>
      </c>
      <c r="B778" s="344" t="str">
        <f>'Orç - Prédio'!B140</f>
        <v>SINAPI</v>
      </c>
      <c r="C778" s="344" t="str">
        <f>'Orç - Prédio'!C140</f>
        <v>85010 MOD 2</v>
      </c>
      <c r="D778" s="345" t="s">
        <v>5731</v>
      </c>
      <c r="E778" s="333">
        <f>'Orç - Prédio'!E140</f>
        <v>2</v>
      </c>
      <c r="F778" s="344" t="s">
        <v>5284</v>
      </c>
      <c r="G778" s="334">
        <v>30437.890000000007</v>
      </c>
      <c r="H778" s="335">
        <f>H791</f>
        <v>60875.78</v>
      </c>
      <c r="I778" s="1910" t="s">
        <v>9544</v>
      </c>
      <c r="J778" s="1793"/>
      <c r="K778" s="1793"/>
      <c r="L778" s="141"/>
      <c r="M778" s="1515"/>
    </row>
    <row r="779" spans="1:13" s="156" customFormat="1" x14ac:dyDescent="0.2">
      <c r="A779" s="2144" t="s">
        <v>8538</v>
      </c>
      <c r="B779" s="2144"/>
      <c r="C779" s="1496" t="s">
        <v>5696</v>
      </c>
      <c r="D779" s="1497" t="s">
        <v>8537</v>
      </c>
      <c r="E779" s="366">
        <v>52.509</v>
      </c>
      <c r="F779" s="337" t="s">
        <v>306</v>
      </c>
      <c r="G779" s="367">
        <v>487.77</v>
      </c>
      <c r="H779" s="339">
        <f t="shared" ref="H779:H786" si="79">ROUNDDOWN(G779*E779,2)</f>
        <v>25612.31</v>
      </c>
      <c r="I779" s="1642"/>
      <c r="J779" s="1797"/>
      <c r="K779" s="1797"/>
      <c r="L779" s="1784"/>
      <c r="M779" s="1785"/>
    </row>
    <row r="780" spans="1:13" s="156" customFormat="1" ht="45" x14ac:dyDescent="0.2">
      <c r="A780" s="2144">
        <v>142</v>
      </c>
      <c r="B780" s="2144"/>
      <c r="C780" s="328" t="s">
        <v>4448</v>
      </c>
      <c r="D780" s="182" t="s">
        <v>13747</v>
      </c>
      <c r="E780" s="355">
        <v>46.360196100000003</v>
      </c>
      <c r="F780" s="337" t="s">
        <v>63</v>
      </c>
      <c r="G780" s="338">
        <v>22.83</v>
      </c>
      <c r="H780" s="339">
        <f t="shared" si="79"/>
        <v>1058.4000000000001</v>
      </c>
      <c r="I780" s="1642"/>
      <c r="J780" s="1797"/>
      <c r="K780" s="1797"/>
      <c r="L780" s="1784"/>
      <c r="M780" s="1785"/>
    </row>
    <row r="781" spans="1:13" s="156" customFormat="1" ht="60" x14ac:dyDescent="0.2">
      <c r="A781" s="2144">
        <v>7568</v>
      </c>
      <c r="B781" s="2144"/>
      <c r="C781" s="328" t="s">
        <v>4448</v>
      </c>
      <c r="D781" s="182" t="s">
        <v>10260</v>
      </c>
      <c r="E781" s="365">
        <v>215</v>
      </c>
      <c r="F781" s="337" t="s">
        <v>39</v>
      </c>
      <c r="G781" s="338">
        <v>0.61</v>
      </c>
      <c r="H781" s="339">
        <f t="shared" si="79"/>
        <v>131.15</v>
      </c>
      <c r="I781" s="1642"/>
      <c r="J781" s="1797"/>
      <c r="K781" s="1797"/>
      <c r="L781" s="1784"/>
      <c r="M781" s="1785"/>
    </row>
    <row r="782" spans="1:13" s="156" customFormat="1" ht="45" x14ac:dyDescent="0.2">
      <c r="A782" s="2144">
        <v>11447</v>
      </c>
      <c r="B782" s="2144"/>
      <c r="C782" s="328" t="s">
        <v>4448</v>
      </c>
      <c r="D782" s="182" t="s">
        <v>11569</v>
      </c>
      <c r="E782" s="355">
        <v>6</v>
      </c>
      <c r="F782" s="337" t="s">
        <v>39</v>
      </c>
      <c r="G782" s="338">
        <v>18.59</v>
      </c>
      <c r="H782" s="339">
        <f t="shared" si="79"/>
        <v>111.54</v>
      </c>
      <c r="I782" s="1642"/>
      <c r="J782" s="1797"/>
      <c r="K782" s="1797"/>
      <c r="L782" s="1784"/>
      <c r="M782" s="1785"/>
    </row>
    <row r="783" spans="1:13" s="156" customFormat="1" ht="30" x14ac:dyDescent="0.2">
      <c r="A783" s="2144">
        <v>39623</v>
      </c>
      <c r="B783" s="2144"/>
      <c r="C783" s="328" t="s">
        <v>4448</v>
      </c>
      <c r="D783" s="182" t="s">
        <v>10101</v>
      </c>
      <c r="E783" s="355">
        <v>2</v>
      </c>
      <c r="F783" s="337" t="s">
        <v>39</v>
      </c>
      <c r="G783" s="338">
        <v>707.11</v>
      </c>
      <c r="H783" s="339">
        <f t="shared" si="79"/>
        <v>1414.22</v>
      </c>
      <c r="I783" s="1642"/>
      <c r="J783" s="1797"/>
      <c r="K783" s="1797"/>
      <c r="L783" s="1784"/>
      <c r="M783" s="1785"/>
    </row>
    <row r="784" spans="1:13" s="156" customFormat="1" ht="30" x14ac:dyDescent="0.2">
      <c r="A784" s="2144">
        <v>88309</v>
      </c>
      <c r="B784" s="2144"/>
      <c r="C784" s="328" t="s">
        <v>4448</v>
      </c>
      <c r="D784" s="182" t="s">
        <v>87</v>
      </c>
      <c r="E784" s="355">
        <v>15.752699999999999</v>
      </c>
      <c r="F784" s="337" t="s">
        <v>65</v>
      </c>
      <c r="G784" s="338">
        <v>20.149999999999999</v>
      </c>
      <c r="H784" s="339">
        <f t="shared" si="79"/>
        <v>317.41000000000003</v>
      </c>
      <c r="I784" s="1642"/>
      <c r="J784" s="1797"/>
      <c r="K784" s="1797"/>
      <c r="L784" s="1784"/>
      <c r="M784" s="1785"/>
    </row>
    <row r="785" spans="1:13" s="156" customFormat="1" ht="30" x14ac:dyDescent="0.2">
      <c r="A785" s="2144">
        <v>88315</v>
      </c>
      <c r="B785" s="2144"/>
      <c r="C785" s="328" t="s">
        <v>4448</v>
      </c>
      <c r="D785" s="182" t="s">
        <v>109</v>
      </c>
      <c r="E785" s="355">
        <v>42.007200000000005</v>
      </c>
      <c r="F785" s="337" t="s">
        <v>65</v>
      </c>
      <c r="G785" s="338">
        <v>20.059999999999999</v>
      </c>
      <c r="H785" s="339">
        <f t="shared" si="79"/>
        <v>842.66</v>
      </c>
      <c r="I785" s="1642"/>
      <c r="J785" s="1797"/>
      <c r="K785" s="1797"/>
      <c r="L785" s="1784"/>
      <c r="M785" s="1785"/>
    </row>
    <row r="786" spans="1:13" s="156" customFormat="1" ht="30" x14ac:dyDescent="0.2">
      <c r="A786" s="2144">
        <v>88316</v>
      </c>
      <c r="B786" s="2144"/>
      <c r="C786" s="328" t="s">
        <v>4448</v>
      </c>
      <c r="D786" s="182" t="s">
        <v>64</v>
      </c>
      <c r="E786" s="355">
        <v>63.010799999999996</v>
      </c>
      <c r="F786" s="337" t="s">
        <v>65</v>
      </c>
      <c r="G786" s="338">
        <v>15.08</v>
      </c>
      <c r="H786" s="339">
        <f t="shared" si="79"/>
        <v>950.2</v>
      </c>
      <c r="I786" s="1642"/>
      <c r="J786" s="1797"/>
      <c r="K786" s="1797"/>
      <c r="L786" s="1784"/>
      <c r="M786" s="1785"/>
    </row>
    <row r="787" spans="1:13" s="1517" customFormat="1" x14ac:dyDescent="0.25">
      <c r="A787" s="179"/>
      <c r="B787" s="179"/>
      <c r="C787" s="340"/>
      <c r="D787" s="2141" t="s">
        <v>124</v>
      </c>
      <c r="E787" s="2141"/>
      <c r="F787" s="2141"/>
      <c r="G787" s="2141"/>
      <c r="H787" s="267">
        <f>SUMIF(F779:F786,("h"),H779:H786)</f>
        <v>2110.27</v>
      </c>
      <c r="I787" s="1830"/>
      <c r="J787" s="1795"/>
      <c r="K787" s="1795"/>
      <c r="L787" s="169"/>
      <c r="M787" s="1783"/>
    </row>
    <row r="788" spans="1:13" s="1517" customFormat="1" x14ac:dyDescent="0.25">
      <c r="A788" s="179"/>
      <c r="B788" s="179"/>
      <c r="C788" s="340"/>
      <c r="D788" s="2141" t="s">
        <v>125</v>
      </c>
      <c r="E788" s="2141"/>
      <c r="F788" s="2141"/>
      <c r="G788" s="2141"/>
      <c r="H788" s="267">
        <f>SUMIF(F779:F786,"&lt;&gt;h",H779:H786)</f>
        <v>28327.620000000006</v>
      </c>
      <c r="I788" s="1830"/>
      <c r="J788" s="1795"/>
      <c r="K788" s="1795"/>
      <c r="L788" s="169"/>
      <c r="M788" s="1783"/>
    </row>
    <row r="789" spans="1:13" s="1517" customFormat="1" x14ac:dyDescent="0.25">
      <c r="A789" s="179"/>
      <c r="B789" s="179"/>
      <c r="C789" s="340"/>
      <c r="D789" s="2142" t="s">
        <v>126</v>
      </c>
      <c r="E789" s="2142"/>
      <c r="F789" s="2142"/>
      <c r="G789" s="2142"/>
      <c r="H789" s="341">
        <f>SUM(H787:H788)</f>
        <v>30437.890000000007</v>
      </c>
      <c r="I789" s="1830"/>
      <c r="J789" s="1795"/>
      <c r="K789" s="1795"/>
      <c r="L789" s="169"/>
      <c r="M789" s="1783"/>
    </row>
    <row r="790" spans="1:13" s="1517" customFormat="1" x14ac:dyDescent="0.25">
      <c r="A790" s="179"/>
      <c r="B790" s="179"/>
      <c r="C790" s="340"/>
      <c r="D790" s="2141" t="s">
        <v>28</v>
      </c>
      <c r="E790" s="2141"/>
      <c r="F790" s="2141"/>
      <c r="G790" s="2141"/>
      <c r="H790" s="269">
        <f>E778</f>
        <v>2</v>
      </c>
      <c r="I790" s="1830"/>
      <c r="J790" s="1795"/>
      <c r="K790" s="1795"/>
      <c r="L790" s="169"/>
      <c r="M790" s="1783"/>
    </row>
    <row r="791" spans="1:13" s="1517" customFormat="1" x14ac:dyDescent="0.25">
      <c r="A791" s="179"/>
      <c r="B791" s="179"/>
      <c r="C791" s="340"/>
      <c r="D791" s="2142" t="s">
        <v>127</v>
      </c>
      <c r="E791" s="2142"/>
      <c r="F791" s="2142"/>
      <c r="G791" s="2142"/>
      <c r="H791" s="341">
        <f>ROUND(H789*H790,2)</f>
        <v>60875.78</v>
      </c>
      <c r="I791" s="1830"/>
      <c r="J791" s="1795"/>
      <c r="K791" s="1795"/>
      <c r="L791" s="169"/>
      <c r="M791" s="1783"/>
    </row>
    <row r="792" spans="1:13" s="1517" customFormat="1" x14ac:dyDescent="0.25">
      <c r="A792" s="179"/>
      <c r="B792" s="179"/>
      <c r="C792" s="1531"/>
      <c r="D792" s="2141" t="s">
        <v>15335</v>
      </c>
      <c r="E792" s="2141"/>
      <c r="F792" s="2141"/>
      <c r="G792" s="2141"/>
      <c r="H792" s="267">
        <f>ROUND(H789*$B$13,2)</f>
        <v>8196.92</v>
      </c>
      <c r="I792" s="1830"/>
      <c r="J792" s="1795"/>
      <c r="K792" s="1795"/>
      <c r="L792" s="169"/>
      <c r="M792" s="1783"/>
    </row>
    <row r="793" spans="1:13" x14ac:dyDescent="0.25">
      <c r="A793" s="179"/>
      <c r="B793" s="179"/>
      <c r="C793" s="1531"/>
      <c r="D793" s="2142" t="s">
        <v>7898</v>
      </c>
      <c r="E793" s="2142"/>
      <c r="F793" s="2142"/>
      <c r="G793" s="2142"/>
      <c r="H793" s="1532">
        <f>H792+H789</f>
        <v>38634.810000000005</v>
      </c>
    </row>
    <row r="794" spans="1:13" x14ac:dyDescent="0.25">
      <c r="A794" s="327"/>
      <c r="B794" s="327"/>
      <c r="C794" s="327"/>
      <c r="F794" s="342"/>
      <c r="G794" s="343"/>
      <c r="H794" s="327"/>
    </row>
    <row r="795" spans="1:13" s="1517" customFormat="1" x14ac:dyDescent="0.25">
      <c r="A795" s="146" t="s">
        <v>6</v>
      </c>
      <c r="B795" s="2143" t="s">
        <v>7</v>
      </c>
      <c r="C795" s="2143"/>
      <c r="D795" s="349" t="s">
        <v>121</v>
      </c>
      <c r="E795" s="278" t="s">
        <v>5282</v>
      </c>
      <c r="F795" s="349" t="s">
        <v>31</v>
      </c>
      <c r="G795" s="350" t="s">
        <v>122</v>
      </c>
      <c r="H795" s="351" t="s">
        <v>123</v>
      </c>
      <c r="I795" s="1830"/>
      <c r="J795" s="1795"/>
      <c r="K795" s="1795"/>
      <c r="L795" s="169"/>
      <c r="M795" s="1783"/>
    </row>
    <row r="796" spans="1:13" s="1526" customFormat="1" ht="30" x14ac:dyDescent="0.2">
      <c r="A796" s="352" t="str">
        <f>'Orç - Prédio'!A141</f>
        <v>04.01.223.03</v>
      </c>
      <c r="B796" s="363" t="str">
        <f>'Orç - Prédio'!B141</f>
        <v>SINAPI</v>
      </c>
      <c r="C796" s="363" t="str">
        <f>'Orç - Prédio'!C141</f>
        <v>85010 MOD 3</v>
      </c>
      <c r="D796" s="364" t="s">
        <v>7829</v>
      </c>
      <c r="E796" s="374">
        <f>'Orç - Prédio'!E141</f>
        <v>1</v>
      </c>
      <c r="F796" s="363" t="s">
        <v>5284</v>
      </c>
      <c r="G796" s="353">
        <v>1928.65</v>
      </c>
      <c r="H796" s="354">
        <f>H807</f>
        <v>1928.65</v>
      </c>
      <c r="I796" s="1910" t="s">
        <v>9544</v>
      </c>
      <c r="J796" s="1793"/>
      <c r="K796" s="1793"/>
      <c r="L796" s="141"/>
      <c r="M796" s="1515"/>
    </row>
    <row r="797" spans="1:13" s="156" customFormat="1" x14ac:dyDescent="0.2">
      <c r="A797" s="2144" t="s">
        <v>8538</v>
      </c>
      <c r="B797" s="2144"/>
      <c r="C797" s="1496" t="s">
        <v>5696</v>
      </c>
      <c r="D797" s="1497" t="s">
        <v>8537</v>
      </c>
      <c r="E797" s="377">
        <v>3.5</v>
      </c>
      <c r="F797" s="356" t="s">
        <v>306</v>
      </c>
      <c r="G797" s="367">
        <v>487.77</v>
      </c>
      <c r="H797" s="358">
        <f t="shared" ref="H797:H802" si="80">ROUNDDOWN(G797*E797,2)</f>
        <v>1707.19</v>
      </c>
      <c r="I797" s="1642"/>
      <c r="J797" s="1797"/>
      <c r="K797" s="1797"/>
      <c r="L797" s="1784"/>
      <c r="M797" s="1785"/>
    </row>
    <row r="798" spans="1:13" s="156" customFormat="1" ht="45" x14ac:dyDescent="0.2">
      <c r="A798" s="2144">
        <v>142</v>
      </c>
      <c r="B798" s="2144"/>
      <c r="C798" s="348" t="s">
        <v>4448</v>
      </c>
      <c r="D798" s="182" t="s">
        <v>13747</v>
      </c>
      <c r="E798" s="377">
        <v>3.09015</v>
      </c>
      <c r="F798" s="356" t="s">
        <v>63</v>
      </c>
      <c r="G798" s="357">
        <v>22.83</v>
      </c>
      <c r="H798" s="358">
        <f t="shared" si="80"/>
        <v>70.540000000000006</v>
      </c>
      <c r="I798" s="1642"/>
      <c r="J798" s="1797"/>
      <c r="K798" s="1797"/>
      <c r="L798" s="1784"/>
      <c r="M798" s="1785"/>
    </row>
    <row r="799" spans="1:13" s="156" customFormat="1" ht="60" x14ac:dyDescent="0.2">
      <c r="A799" s="2144">
        <v>7568</v>
      </c>
      <c r="B799" s="2144"/>
      <c r="C799" s="348" t="s">
        <v>4448</v>
      </c>
      <c r="D799" s="182" t="s">
        <v>10260</v>
      </c>
      <c r="E799" s="387">
        <v>16.8581</v>
      </c>
      <c r="F799" s="356" t="s">
        <v>39</v>
      </c>
      <c r="G799" s="357">
        <v>0.61</v>
      </c>
      <c r="H799" s="358">
        <f t="shared" si="80"/>
        <v>10.28</v>
      </c>
      <c r="I799" s="1642"/>
      <c r="J799" s="1797"/>
      <c r="K799" s="1797"/>
      <c r="L799" s="1784"/>
      <c r="M799" s="1785"/>
    </row>
    <row r="800" spans="1:13" s="156" customFormat="1" ht="30" x14ac:dyDescent="0.2">
      <c r="A800" s="2144">
        <v>88309</v>
      </c>
      <c r="B800" s="2144"/>
      <c r="C800" s="348" t="s">
        <v>4448</v>
      </c>
      <c r="D800" s="182" t="s">
        <v>87</v>
      </c>
      <c r="E800" s="377">
        <v>1.05</v>
      </c>
      <c r="F800" s="356" t="s">
        <v>65</v>
      </c>
      <c r="G800" s="357">
        <v>20.149999999999999</v>
      </c>
      <c r="H800" s="358">
        <f t="shared" si="80"/>
        <v>21.15</v>
      </c>
      <c r="I800" s="1642"/>
      <c r="J800" s="1797"/>
      <c r="K800" s="1797"/>
      <c r="L800" s="1784"/>
      <c r="M800" s="1785"/>
    </row>
    <row r="801" spans="1:13" s="156" customFormat="1" ht="30" x14ac:dyDescent="0.2">
      <c r="A801" s="2144">
        <v>88315</v>
      </c>
      <c r="B801" s="2144"/>
      <c r="C801" s="348" t="s">
        <v>4448</v>
      </c>
      <c r="D801" s="182" t="s">
        <v>109</v>
      </c>
      <c r="E801" s="377">
        <v>2.8000000000000003</v>
      </c>
      <c r="F801" s="356" t="s">
        <v>65</v>
      </c>
      <c r="G801" s="357">
        <v>20.059999999999999</v>
      </c>
      <c r="H801" s="358">
        <f t="shared" si="80"/>
        <v>56.16</v>
      </c>
      <c r="I801" s="1642"/>
      <c r="J801" s="1797"/>
      <c r="K801" s="1797"/>
      <c r="L801" s="1784"/>
      <c r="M801" s="1785"/>
    </row>
    <row r="802" spans="1:13" s="156" customFormat="1" ht="30" x14ac:dyDescent="0.2">
      <c r="A802" s="2144">
        <v>88316</v>
      </c>
      <c r="B802" s="2144"/>
      <c r="C802" s="348" t="s">
        <v>4448</v>
      </c>
      <c r="D802" s="182" t="s">
        <v>64</v>
      </c>
      <c r="E802" s="377">
        <v>4.2</v>
      </c>
      <c r="F802" s="356" t="s">
        <v>65</v>
      </c>
      <c r="G802" s="357">
        <v>15.08</v>
      </c>
      <c r="H802" s="358">
        <f t="shared" si="80"/>
        <v>63.33</v>
      </c>
      <c r="I802" s="1642"/>
      <c r="J802" s="1797"/>
      <c r="K802" s="1797"/>
      <c r="L802" s="1784"/>
      <c r="M802" s="1785"/>
    </row>
    <row r="803" spans="1:13" s="1517" customFormat="1" x14ac:dyDescent="0.25">
      <c r="A803" s="179"/>
      <c r="B803" s="179"/>
      <c r="C803" s="359"/>
      <c r="D803" s="2141" t="s">
        <v>124</v>
      </c>
      <c r="E803" s="2141"/>
      <c r="F803" s="2141"/>
      <c r="G803" s="2141"/>
      <c r="H803" s="267">
        <f>SUMIF(F797:F802,("h"),H797:H802)</f>
        <v>140.63999999999999</v>
      </c>
      <c r="I803" s="1830"/>
      <c r="J803" s="1795"/>
      <c r="K803" s="1795"/>
      <c r="L803" s="169"/>
      <c r="M803" s="1783"/>
    </row>
    <row r="804" spans="1:13" s="1517" customFormat="1" x14ac:dyDescent="0.25">
      <c r="A804" s="179"/>
      <c r="B804" s="179"/>
      <c r="C804" s="359"/>
      <c r="D804" s="2141" t="s">
        <v>125</v>
      </c>
      <c r="E804" s="2141"/>
      <c r="F804" s="2141"/>
      <c r="G804" s="2141"/>
      <c r="H804" s="267">
        <f>SUMIF(F797:F802,"&lt;&gt;h",H797:H802)</f>
        <v>1788.01</v>
      </c>
      <c r="I804" s="1830"/>
      <c r="J804" s="1795"/>
      <c r="K804" s="1795"/>
      <c r="L804" s="169"/>
      <c r="M804" s="1783"/>
    </row>
    <row r="805" spans="1:13" s="1517" customFormat="1" x14ac:dyDescent="0.25">
      <c r="A805" s="179"/>
      <c r="B805" s="179"/>
      <c r="C805" s="359"/>
      <c r="D805" s="2142" t="s">
        <v>126</v>
      </c>
      <c r="E805" s="2142"/>
      <c r="F805" s="2142"/>
      <c r="G805" s="2142"/>
      <c r="H805" s="360">
        <f>SUM(H803:H804)</f>
        <v>1928.65</v>
      </c>
      <c r="I805" s="1830"/>
      <c r="J805" s="1795"/>
      <c r="K805" s="1795"/>
      <c r="L805" s="169"/>
      <c r="M805" s="1783"/>
    </row>
    <row r="806" spans="1:13" s="1517" customFormat="1" x14ac:dyDescent="0.25">
      <c r="A806" s="179"/>
      <c r="B806" s="179"/>
      <c r="C806" s="359"/>
      <c r="D806" s="2141" t="s">
        <v>28</v>
      </c>
      <c r="E806" s="2141"/>
      <c r="F806" s="2141"/>
      <c r="G806" s="2141"/>
      <c r="H806" s="269">
        <f>E796</f>
        <v>1</v>
      </c>
      <c r="I806" s="1830"/>
      <c r="J806" s="1795"/>
      <c r="K806" s="1795"/>
      <c r="L806" s="169"/>
      <c r="M806" s="1783"/>
    </row>
    <row r="807" spans="1:13" s="1517" customFormat="1" x14ac:dyDescent="0.25">
      <c r="A807" s="179"/>
      <c r="B807" s="179"/>
      <c r="C807" s="359"/>
      <c r="D807" s="2142" t="s">
        <v>127</v>
      </c>
      <c r="E807" s="2142"/>
      <c r="F807" s="2142"/>
      <c r="G807" s="2142"/>
      <c r="H807" s="360">
        <f>ROUND(H805*H806,2)</f>
        <v>1928.65</v>
      </c>
      <c r="I807" s="1830"/>
      <c r="J807" s="1795"/>
      <c r="K807" s="1795"/>
      <c r="L807" s="169"/>
      <c r="M807" s="1783"/>
    </row>
    <row r="808" spans="1:13" s="1517" customFormat="1" x14ac:dyDescent="0.25">
      <c r="A808" s="179"/>
      <c r="B808" s="179"/>
      <c r="C808" s="1531"/>
      <c r="D808" s="2141" t="s">
        <v>15335</v>
      </c>
      <c r="E808" s="2141"/>
      <c r="F808" s="2141"/>
      <c r="G808" s="2141"/>
      <c r="H808" s="267">
        <f>ROUND(H805*$B$13,2)</f>
        <v>519.39</v>
      </c>
      <c r="I808" s="1830"/>
      <c r="J808" s="1795"/>
      <c r="K808" s="1795"/>
      <c r="L808" s="169"/>
      <c r="M808" s="1783"/>
    </row>
    <row r="809" spans="1:13" x14ac:dyDescent="0.25">
      <c r="A809" s="179"/>
      <c r="B809" s="179"/>
      <c r="C809" s="1531"/>
      <c r="D809" s="2142" t="s">
        <v>7898</v>
      </c>
      <c r="E809" s="2142"/>
      <c r="F809" s="2142"/>
      <c r="G809" s="2142"/>
      <c r="H809" s="1532">
        <f>H808+H805</f>
        <v>2448.04</v>
      </c>
    </row>
    <row r="810" spans="1:13" x14ac:dyDescent="0.25">
      <c r="A810" s="347"/>
      <c r="B810" s="347"/>
      <c r="C810" s="347"/>
      <c r="F810" s="361"/>
      <c r="G810" s="362"/>
      <c r="H810" s="347"/>
    </row>
    <row r="811" spans="1:13" s="1517" customFormat="1" x14ac:dyDescent="0.25">
      <c r="A811" s="146" t="s">
        <v>6</v>
      </c>
      <c r="B811" s="2143" t="s">
        <v>7</v>
      </c>
      <c r="C811" s="2143"/>
      <c r="D811" s="370" t="s">
        <v>121</v>
      </c>
      <c r="E811" s="278" t="s">
        <v>5282</v>
      </c>
      <c r="F811" s="370" t="s">
        <v>31</v>
      </c>
      <c r="G811" s="371" t="s">
        <v>122</v>
      </c>
      <c r="H811" s="372" t="s">
        <v>123</v>
      </c>
      <c r="I811" s="1830"/>
      <c r="J811" s="1795"/>
      <c r="K811" s="1795"/>
      <c r="L811" s="169"/>
      <c r="M811" s="1783"/>
    </row>
    <row r="812" spans="1:13" s="1526" customFormat="1" ht="30" x14ac:dyDescent="0.2">
      <c r="A812" s="373" t="str">
        <f>'Orç - Prédio'!A142</f>
        <v>04.01.223.04</v>
      </c>
      <c r="B812" s="385" t="str">
        <f>'Orç - Prédio'!B142</f>
        <v>SINAPI</v>
      </c>
      <c r="C812" s="385" t="str">
        <f>'Orç - Prédio'!C142</f>
        <v>85010 MOD 4</v>
      </c>
      <c r="D812" s="386" t="s">
        <v>7830</v>
      </c>
      <c r="E812" s="374">
        <f>'Orç - Prédio'!E142</f>
        <v>3</v>
      </c>
      <c r="F812" s="385" t="s">
        <v>5284</v>
      </c>
      <c r="G812" s="375">
        <v>1046.98</v>
      </c>
      <c r="H812" s="376">
        <f>H823</f>
        <v>3140.94</v>
      </c>
      <c r="I812" s="1910" t="s">
        <v>9544</v>
      </c>
      <c r="J812" s="1793"/>
      <c r="K812" s="1793"/>
      <c r="L812" s="141"/>
      <c r="M812" s="1515"/>
    </row>
    <row r="813" spans="1:13" s="156" customFormat="1" x14ac:dyDescent="0.2">
      <c r="A813" s="2144" t="s">
        <v>8538</v>
      </c>
      <c r="B813" s="2144"/>
      <c r="C813" s="1496" t="s">
        <v>5696</v>
      </c>
      <c r="D813" s="1497" t="s">
        <v>8537</v>
      </c>
      <c r="E813" s="397">
        <v>1.9</v>
      </c>
      <c r="F813" s="378" t="s">
        <v>306</v>
      </c>
      <c r="G813" s="367">
        <v>487.77</v>
      </c>
      <c r="H813" s="380">
        <f t="shared" ref="H813:H818" si="81">ROUNDDOWN(G813*E813,2)</f>
        <v>926.76</v>
      </c>
      <c r="I813" s="1642"/>
      <c r="J813" s="1797"/>
      <c r="K813" s="1797"/>
      <c r="L813" s="1784"/>
      <c r="M813" s="1785"/>
    </row>
    <row r="814" spans="1:13" s="156" customFormat="1" ht="45" x14ac:dyDescent="0.2">
      <c r="A814" s="2144">
        <v>142</v>
      </c>
      <c r="B814" s="2144"/>
      <c r="C814" s="369" t="s">
        <v>4448</v>
      </c>
      <c r="D814" s="182" t="s">
        <v>13747</v>
      </c>
      <c r="E814" s="397">
        <v>1.6775100000000001</v>
      </c>
      <c r="F814" s="378" t="s">
        <v>63</v>
      </c>
      <c r="G814" s="379">
        <v>22.83</v>
      </c>
      <c r="H814" s="380">
        <f t="shared" si="81"/>
        <v>38.29</v>
      </c>
      <c r="I814" s="1642"/>
      <c r="J814" s="1797"/>
      <c r="K814" s="1797"/>
      <c r="L814" s="1784"/>
      <c r="M814" s="1785"/>
    </row>
    <row r="815" spans="1:13" s="156" customFormat="1" ht="60" x14ac:dyDescent="0.2">
      <c r="A815" s="2144">
        <v>7568</v>
      </c>
      <c r="B815" s="2144"/>
      <c r="C815" s="369" t="s">
        <v>4448</v>
      </c>
      <c r="D815" s="182" t="s">
        <v>10260</v>
      </c>
      <c r="E815" s="407">
        <v>9.1515400000000007</v>
      </c>
      <c r="F815" s="378" t="s">
        <v>39</v>
      </c>
      <c r="G815" s="379">
        <v>0.61</v>
      </c>
      <c r="H815" s="380">
        <f t="shared" si="81"/>
        <v>5.58</v>
      </c>
      <c r="I815" s="1642"/>
      <c r="J815" s="1797"/>
      <c r="K815" s="1797"/>
      <c r="L815" s="1784"/>
      <c r="M815" s="1785"/>
    </row>
    <row r="816" spans="1:13" s="156" customFormat="1" ht="30" x14ac:dyDescent="0.2">
      <c r="A816" s="2144">
        <v>88309</v>
      </c>
      <c r="B816" s="2144"/>
      <c r="C816" s="369" t="s">
        <v>4448</v>
      </c>
      <c r="D816" s="182" t="s">
        <v>87</v>
      </c>
      <c r="E816" s="397">
        <v>0.56999999999999995</v>
      </c>
      <c r="F816" s="378" t="s">
        <v>65</v>
      </c>
      <c r="G816" s="379">
        <v>20.149999999999999</v>
      </c>
      <c r="H816" s="380">
        <f t="shared" si="81"/>
        <v>11.48</v>
      </c>
      <c r="I816" s="1642"/>
      <c r="J816" s="1797"/>
      <c r="K816" s="1797"/>
      <c r="L816" s="1784"/>
      <c r="M816" s="1785"/>
    </row>
    <row r="817" spans="1:13" s="156" customFormat="1" ht="30" x14ac:dyDescent="0.2">
      <c r="A817" s="2144">
        <v>88315</v>
      </c>
      <c r="B817" s="2144"/>
      <c r="C817" s="369" t="s">
        <v>4448</v>
      </c>
      <c r="D817" s="182" t="s">
        <v>109</v>
      </c>
      <c r="E817" s="397">
        <v>1.52</v>
      </c>
      <c r="F817" s="378" t="s">
        <v>65</v>
      </c>
      <c r="G817" s="379">
        <v>20.059999999999999</v>
      </c>
      <c r="H817" s="380">
        <f t="shared" si="81"/>
        <v>30.49</v>
      </c>
      <c r="I817" s="1642"/>
      <c r="J817" s="1797"/>
      <c r="K817" s="1797"/>
      <c r="L817" s="1784"/>
      <c r="M817" s="1785"/>
    </row>
    <row r="818" spans="1:13" s="156" customFormat="1" ht="30" x14ac:dyDescent="0.2">
      <c r="A818" s="2144">
        <v>88316</v>
      </c>
      <c r="B818" s="2144"/>
      <c r="C818" s="369" t="s">
        <v>4448</v>
      </c>
      <c r="D818" s="182" t="s">
        <v>64</v>
      </c>
      <c r="E818" s="397">
        <v>2.2799999999999998</v>
      </c>
      <c r="F818" s="378" t="s">
        <v>65</v>
      </c>
      <c r="G818" s="379">
        <v>15.08</v>
      </c>
      <c r="H818" s="380">
        <f t="shared" si="81"/>
        <v>34.380000000000003</v>
      </c>
      <c r="I818" s="1642"/>
      <c r="J818" s="1797"/>
      <c r="K818" s="1797"/>
      <c r="L818" s="1784"/>
      <c r="M818" s="1785"/>
    </row>
    <row r="819" spans="1:13" s="1517" customFormat="1" x14ac:dyDescent="0.25">
      <c r="A819" s="179"/>
      <c r="B819" s="179"/>
      <c r="C819" s="381"/>
      <c r="D819" s="2141" t="s">
        <v>124</v>
      </c>
      <c r="E819" s="2141"/>
      <c r="F819" s="2141"/>
      <c r="G819" s="2141"/>
      <c r="H819" s="267">
        <f>SUMIF(F813:F818,("h"),H813:H818)</f>
        <v>76.349999999999994</v>
      </c>
      <c r="I819" s="1830"/>
      <c r="J819" s="1795"/>
      <c r="K819" s="1795"/>
      <c r="L819" s="169"/>
      <c r="M819" s="1783"/>
    </row>
    <row r="820" spans="1:13" s="1517" customFormat="1" x14ac:dyDescent="0.25">
      <c r="A820" s="179"/>
      <c r="B820" s="179"/>
      <c r="C820" s="381"/>
      <c r="D820" s="2141" t="s">
        <v>125</v>
      </c>
      <c r="E820" s="2141"/>
      <c r="F820" s="2141"/>
      <c r="G820" s="2141"/>
      <c r="H820" s="267">
        <f>SUMIF(F813:F818,"&lt;&gt;h",H813:H818)</f>
        <v>970.63</v>
      </c>
      <c r="I820" s="1830"/>
      <c r="J820" s="1795"/>
      <c r="K820" s="1795"/>
      <c r="L820" s="169"/>
      <c r="M820" s="1783"/>
    </row>
    <row r="821" spans="1:13" s="1517" customFormat="1" x14ac:dyDescent="0.25">
      <c r="A821" s="179"/>
      <c r="B821" s="179"/>
      <c r="C821" s="381"/>
      <c r="D821" s="2142" t="s">
        <v>126</v>
      </c>
      <c r="E821" s="2142"/>
      <c r="F821" s="2142"/>
      <c r="G821" s="2142"/>
      <c r="H821" s="382">
        <f>SUM(H819:H820)</f>
        <v>1046.98</v>
      </c>
      <c r="I821" s="1830"/>
      <c r="J821" s="1795"/>
      <c r="K821" s="1795"/>
      <c r="L821" s="169"/>
      <c r="M821" s="1783"/>
    </row>
    <row r="822" spans="1:13" s="1517" customFormat="1" x14ac:dyDescent="0.25">
      <c r="A822" s="179"/>
      <c r="B822" s="179"/>
      <c r="C822" s="381"/>
      <c r="D822" s="2141" t="s">
        <v>28</v>
      </c>
      <c r="E822" s="2141"/>
      <c r="F822" s="2141"/>
      <c r="G822" s="2141"/>
      <c r="H822" s="269">
        <f>E812</f>
        <v>3</v>
      </c>
      <c r="I822" s="1830"/>
      <c r="J822" s="1795"/>
      <c r="K822" s="1795"/>
      <c r="L822" s="169"/>
      <c r="M822" s="1783"/>
    </row>
    <row r="823" spans="1:13" s="1517" customFormat="1" x14ac:dyDescent="0.25">
      <c r="A823" s="179"/>
      <c r="B823" s="179"/>
      <c r="C823" s="381"/>
      <c r="D823" s="2142" t="s">
        <v>127</v>
      </c>
      <c r="E823" s="2142"/>
      <c r="F823" s="2142"/>
      <c r="G823" s="2142"/>
      <c r="H823" s="382">
        <f>ROUND(H821*H822,2)</f>
        <v>3140.94</v>
      </c>
      <c r="I823" s="1830"/>
      <c r="J823" s="1795"/>
      <c r="K823" s="1795"/>
      <c r="L823" s="169"/>
      <c r="M823" s="1783"/>
    </row>
    <row r="824" spans="1:13" s="1517" customFormat="1" x14ac:dyDescent="0.25">
      <c r="A824" s="179"/>
      <c r="B824" s="179"/>
      <c r="C824" s="1531"/>
      <c r="D824" s="2141" t="s">
        <v>15335</v>
      </c>
      <c r="E824" s="2141"/>
      <c r="F824" s="2141"/>
      <c r="G824" s="2141"/>
      <c r="H824" s="267">
        <f>ROUND(H821*$B$13,2)</f>
        <v>281.95</v>
      </c>
      <c r="I824" s="1830"/>
      <c r="J824" s="1795"/>
      <c r="K824" s="1795"/>
      <c r="L824" s="169"/>
      <c r="M824" s="1783"/>
    </row>
    <row r="825" spans="1:13" x14ac:dyDescent="0.25">
      <c r="A825" s="179"/>
      <c r="B825" s="179"/>
      <c r="C825" s="1531"/>
      <c r="D825" s="2142" t="s">
        <v>7898</v>
      </c>
      <c r="E825" s="2142"/>
      <c r="F825" s="2142"/>
      <c r="G825" s="2142"/>
      <c r="H825" s="1532">
        <f>H824+H821</f>
        <v>1328.93</v>
      </c>
    </row>
    <row r="826" spans="1:13" x14ac:dyDescent="0.25">
      <c r="A826" s="368"/>
      <c r="B826" s="368"/>
      <c r="C826" s="368"/>
      <c r="F826" s="383"/>
      <c r="G826" s="384"/>
      <c r="H826" s="368"/>
    </row>
    <row r="827" spans="1:13" s="1517" customFormat="1" x14ac:dyDescent="0.25">
      <c r="A827" s="146" t="s">
        <v>6</v>
      </c>
      <c r="B827" s="2143" t="s">
        <v>7</v>
      </c>
      <c r="C827" s="2143"/>
      <c r="D827" s="390" t="s">
        <v>121</v>
      </c>
      <c r="E827" s="278" t="s">
        <v>5282</v>
      </c>
      <c r="F827" s="390" t="s">
        <v>31</v>
      </c>
      <c r="G827" s="391" t="s">
        <v>122</v>
      </c>
      <c r="H827" s="392" t="s">
        <v>123</v>
      </c>
      <c r="I827" s="1830"/>
      <c r="J827" s="1795"/>
      <c r="K827" s="1795"/>
      <c r="L827" s="169"/>
      <c r="M827" s="1783"/>
    </row>
    <row r="828" spans="1:13" s="1526" customFormat="1" ht="30" x14ac:dyDescent="0.2">
      <c r="A828" s="393" t="str">
        <f>'Orç - Prédio'!A143</f>
        <v>04.01.223.05</v>
      </c>
      <c r="B828" s="405" t="str">
        <f>'Orç - Prédio'!B143</f>
        <v>SINAPI</v>
      </c>
      <c r="C828" s="405" t="str">
        <f>'Orç - Prédio'!C143</f>
        <v>85010 MOD 5</v>
      </c>
      <c r="D828" s="406" t="s">
        <v>7831</v>
      </c>
      <c r="E828" s="394">
        <f>'Orç - Prédio'!E143</f>
        <v>2</v>
      </c>
      <c r="F828" s="405" t="s">
        <v>5284</v>
      </c>
      <c r="G828" s="395">
        <v>2066.42</v>
      </c>
      <c r="H828" s="396">
        <f>H839</f>
        <v>4132.84</v>
      </c>
      <c r="I828" s="1910" t="s">
        <v>9544</v>
      </c>
      <c r="J828" s="1793"/>
      <c r="K828" s="1793"/>
      <c r="L828" s="141"/>
      <c r="M828" s="1515"/>
    </row>
    <row r="829" spans="1:13" s="156" customFormat="1" x14ac:dyDescent="0.2">
      <c r="A829" s="2144" t="s">
        <v>8538</v>
      </c>
      <c r="B829" s="2144"/>
      <c r="C829" s="1496" t="s">
        <v>5696</v>
      </c>
      <c r="D829" s="1497" t="s">
        <v>8537</v>
      </c>
      <c r="E829" s="408">
        <v>3.75</v>
      </c>
      <c r="F829" s="398" t="s">
        <v>306</v>
      </c>
      <c r="G829" s="367">
        <v>487.77</v>
      </c>
      <c r="H829" s="400">
        <f t="shared" ref="H829:H834" si="82">ROUNDDOWN(G829*E829,2)</f>
        <v>1829.13</v>
      </c>
      <c r="I829" s="1642"/>
      <c r="J829" s="1797"/>
      <c r="K829" s="1797"/>
      <c r="L829" s="1784"/>
      <c r="M829" s="1785"/>
    </row>
    <row r="830" spans="1:13" s="156" customFormat="1" ht="45" x14ac:dyDescent="0.2">
      <c r="A830" s="2144">
        <v>142</v>
      </c>
      <c r="B830" s="2144"/>
      <c r="C830" s="389" t="s">
        <v>4448</v>
      </c>
      <c r="D830" s="182" t="s">
        <v>13747</v>
      </c>
      <c r="E830" s="408">
        <v>3.3108750000000002</v>
      </c>
      <c r="F830" s="398" t="s">
        <v>63</v>
      </c>
      <c r="G830" s="399">
        <v>22.83</v>
      </c>
      <c r="H830" s="400">
        <f t="shared" si="82"/>
        <v>75.58</v>
      </c>
      <c r="I830" s="1642"/>
      <c r="J830" s="1797"/>
      <c r="K830" s="1797"/>
      <c r="L830" s="1784"/>
      <c r="M830" s="1785"/>
    </row>
    <row r="831" spans="1:13" s="156" customFormat="1" ht="60" x14ac:dyDescent="0.2">
      <c r="A831" s="2144">
        <v>7568</v>
      </c>
      <c r="B831" s="2144"/>
      <c r="C831" s="389" t="s">
        <v>4448</v>
      </c>
      <c r="D831" s="182" t="s">
        <v>10260</v>
      </c>
      <c r="E831" s="409">
        <v>18.062250000000002</v>
      </c>
      <c r="F831" s="398" t="s">
        <v>39</v>
      </c>
      <c r="G831" s="399">
        <v>0.61</v>
      </c>
      <c r="H831" s="400">
        <f t="shared" si="82"/>
        <v>11.01</v>
      </c>
      <c r="I831" s="1642"/>
      <c r="J831" s="1797"/>
      <c r="K831" s="1797"/>
      <c r="L831" s="1784"/>
      <c r="M831" s="1785"/>
    </row>
    <row r="832" spans="1:13" s="156" customFormat="1" ht="30" x14ac:dyDescent="0.2">
      <c r="A832" s="2144">
        <v>88309</v>
      </c>
      <c r="B832" s="2144"/>
      <c r="C832" s="389" t="s">
        <v>4448</v>
      </c>
      <c r="D832" s="182" t="s">
        <v>87</v>
      </c>
      <c r="E832" s="408">
        <v>1.125</v>
      </c>
      <c r="F832" s="398" t="s">
        <v>65</v>
      </c>
      <c r="G832" s="399">
        <v>20.149999999999999</v>
      </c>
      <c r="H832" s="400">
        <f t="shared" si="82"/>
        <v>22.66</v>
      </c>
      <c r="I832" s="1642"/>
      <c r="J832" s="1797"/>
      <c r="K832" s="1797"/>
      <c r="L832" s="1784"/>
      <c r="M832" s="1785"/>
    </row>
    <row r="833" spans="1:13" s="156" customFormat="1" ht="30" x14ac:dyDescent="0.2">
      <c r="A833" s="2144">
        <v>88315</v>
      </c>
      <c r="B833" s="2144"/>
      <c r="C833" s="389" t="s">
        <v>4448</v>
      </c>
      <c r="D833" s="182" t="s">
        <v>109</v>
      </c>
      <c r="E833" s="408">
        <v>3</v>
      </c>
      <c r="F833" s="398" t="s">
        <v>65</v>
      </c>
      <c r="G833" s="399">
        <v>20.059999999999999</v>
      </c>
      <c r="H833" s="400">
        <f t="shared" si="82"/>
        <v>60.18</v>
      </c>
      <c r="I833" s="1642"/>
      <c r="J833" s="1797"/>
      <c r="K833" s="1797"/>
      <c r="L833" s="1784"/>
      <c r="M833" s="1785"/>
    </row>
    <row r="834" spans="1:13" s="156" customFormat="1" ht="30" x14ac:dyDescent="0.2">
      <c r="A834" s="2144">
        <v>88316</v>
      </c>
      <c r="B834" s="2144"/>
      <c r="C834" s="389" t="s">
        <v>4448</v>
      </c>
      <c r="D834" s="182" t="s">
        <v>64</v>
      </c>
      <c r="E834" s="408">
        <v>4.5</v>
      </c>
      <c r="F834" s="398" t="s">
        <v>65</v>
      </c>
      <c r="G834" s="399">
        <v>15.08</v>
      </c>
      <c r="H834" s="400">
        <f t="shared" si="82"/>
        <v>67.86</v>
      </c>
      <c r="I834" s="1642"/>
      <c r="J834" s="1797"/>
      <c r="K834" s="1797"/>
      <c r="L834" s="1784"/>
      <c r="M834" s="1785"/>
    </row>
    <row r="835" spans="1:13" s="1517" customFormat="1" x14ac:dyDescent="0.25">
      <c r="A835" s="179"/>
      <c r="B835" s="179"/>
      <c r="C835" s="401"/>
      <c r="D835" s="2141" t="s">
        <v>124</v>
      </c>
      <c r="E835" s="2141"/>
      <c r="F835" s="2141"/>
      <c r="G835" s="2141"/>
      <c r="H835" s="267">
        <f>SUMIF(F829:F834,("h"),H829:H834)</f>
        <v>150.69999999999999</v>
      </c>
      <c r="I835" s="1830"/>
      <c r="J835" s="1795"/>
      <c r="K835" s="1795"/>
      <c r="L835" s="169"/>
      <c r="M835" s="1783"/>
    </row>
    <row r="836" spans="1:13" s="1517" customFormat="1" x14ac:dyDescent="0.25">
      <c r="A836" s="179"/>
      <c r="B836" s="179"/>
      <c r="C836" s="401"/>
      <c r="D836" s="2141" t="s">
        <v>125</v>
      </c>
      <c r="E836" s="2141"/>
      <c r="F836" s="2141"/>
      <c r="G836" s="2141"/>
      <c r="H836" s="267">
        <f>SUMIF(F829:F834,"&lt;&gt;h",H829:H834)</f>
        <v>1915.72</v>
      </c>
      <c r="I836" s="1830"/>
      <c r="J836" s="1795"/>
      <c r="K836" s="1795"/>
      <c r="L836" s="169"/>
      <c r="M836" s="1783"/>
    </row>
    <row r="837" spans="1:13" s="1517" customFormat="1" x14ac:dyDescent="0.25">
      <c r="A837" s="179"/>
      <c r="B837" s="179"/>
      <c r="C837" s="401"/>
      <c r="D837" s="2142" t="s">
        <v>126</v>
      </c>
      <c r="E837" s="2142"/>
      <c r="F837" s="2142"/>
      <c r="G837" s="2142"/>
      <c r="H837" s="402">
        <f>SUM(H835:H836)</f>
        <v>2066.42</v>
      </c>
      <c r="I837" s="1830"/>
      <c r="J837" s="1795"/>
      <c r="K837" s="1795"/>
      <c r="L837" s="169"/>
      <c r="M837" s="1783"/>
    </row>
    <row r="838" spans="1:13" s="1517" customFormat="1" x14ac:dyDescent="0.25">
      <c r="A838" s="179"/>
      <c r="B838" s="179"/>
      <c r="C838" s="401"/>
      <c r="D838" s="2141" t="s">
        <v>28</v>
      </c>
      <c r="E838" s="2141"/>
      <c r="F838" s="2141"/>
      <c r="G838" s="2141"/>
      <c r="H838" s="269">
        <f>E828</f>
        <v>2</v>
      </c>
      <c r="I838" s="1830"/>
      <c r="J838" s="1795"/>
      <c r="K838" s="1795"/>
      <c r="L838" s="169"/>
      <c r="M838" s="1783"/>
    </row>
    <row r="839" spans="1:13" s="1517" customFormat="1" x14ac:dyDescent="0.25">
      <c r="A839" s="179"/>
      <c r="B839" s="179"/>
      <c r="C839" s="401"/>
      <c r="D839" s="2142" t="s">
        <v>127</v>
      </c>
      <c r="E839" s="2142"/>
      <c r="F839" s="2142"/>
      <c r="G839" s="2142"/>
      <c r="H839" s="402">
        <f>ROUND(H837*H838,2)</f>
        <v>4132.84</v>
      </c>
      <c r="I839" s="1830"/>
      <c r="J839" s="1795"/>
      <c r="K839" s="1795"/>
      <c r="L839" s="169"/>
      <c r="M839" s="1783"/>
    </row>
    <row r="840" spans="1:13" s="1517" customFormat="1" x14ac:dyDescent="0.25">
      <c r="A840" s="179"/>
      <c r="B840" s="179"/>
      <c r="C840" s="1531"/>
      <c r="D840" s="2141" t="s">
        <v>15335</v>
      </c>
      <c r="E840" s="2141"/>
      <c r="F840" s="2141"/>
      <c r="G840" s="2141"/>
      <c r="H840" s="267">
        <f>ROUND(H837*$B$13,2)</f>
        <v>556.49</v>
      </c>
      <c r="I840" s="1830"/>
      <c r="J840" s="1795"/>
      <c r="K840" s="1795"/>
      <c r="L840" s="169"/>
      <c r="M840" s="1783"/>
    </row>
    <row r="841" spans="1:13" x14ac:dyDescent="0.25">
      <c r="A841" s="179"/>
      <c r="B841" s="179"/>
      <c r="C841" s="1531"/>
      <c r="D841" s="2142" t="s">
        <v>7898</v>
      </c>
      <c r="E841" s="2142"/>
      <c r="F841" s="2142"/>
      <c r="G841" s="2142"/>
      <c r="H841" s="1532">
        <f>H840+H837</f>
        <v>2622.91</v>
      </c>
    </row>
    <row r="842" spans="1:13" x14ac:dyDescent="0.25">
      <c r="A842" s="388"/>
      <c r="B842" s="388"/>
      <c r="C842" s="388"/>
      <c r="F842" s="403"/>
      <c r="G842" s="404"/>
      <c r="H842" s="388"/>
    </row>
    <row r="843" spans="1:13" s="1517" customFormat="1" x14ac:dyDescent="0.25">
      <c r="A843" s="146" t="s">
        <v>6</v>
      </c>
      <c r="B843" s="2143" t="s">
        <v>7</v>
      </c>
      <c r="C843" s="2143"/>
      <c r="D843" s="1518" t="s">
        <v>121</v>
      </c>
      <c r="E843" s="278" t="s">
        <v>5282</v>
      </c>
      <c r="F843" s="1518" t="s">
        <v>31</v>
      </c>
      <c r="G843" s="1519" t="s">
        <v>122</v>
      </c>
      <c r="H843" s="1520" t="s">
        <v>123</v>
      </c>
      <c r="I843" s="1830"/>
      <c r="J843" s="1795"/>
      <c r="K843" s="1795"/>
      <c r="L843" s="169"/>
      <c r="M843" s="1783"/>
    </row>
    <row r="844" spans="1:13" s="1526" customFormat="1" ht="45" x14ac:dyDescent="0.2">
      <c r="A844" s="1700" t="str">
        <f>'Orç - Prédio'!A144</f>
        <v>04.01.223.06</v>
      </c>
      <c r="B844" s="1700" t="str">
        <f>'Orç - Prédio'!B144</f>
        <v>SINAPI</v>
      </c>
      <c r="C844" s="1700" t="str">
        <f>'Orç - Prédio'!C144</f>
        <v>85014 MOD</v>
      </c>
      <c r="D844" s="1522" t="s">
        <v>7832</v>
      </c>
      <c r="E844" s="1523">
        <f>'Orç - Prédio'!E144</f>
        <v>4</v>
      </c>
      <c r="F844" s="1700" t="s">
        <v>5284</v>
      </c>
      <c r="G844" s="1524">
        <v>844.3900000000001</v>
      </c>
      <c r="H844" s="1525">
        <f>H855</f>
        <v>3377.56</v>
      </c>
      <c r="I844" s="1910" t="s">
        <v>9544</v>
      </c>
      <c r="J844" s="1793"/>
      <c r="K844" s="1793"/>
      <c r="L844" s="141"/>
      <c r="M844" s="1515"/>
    </row>
    <row r="845" spans="1:13" s="156" customFormat="1" x14ac:dyDescent="0.2">
      <c r="A845" s="2144" t="s">
        <v>8538</v>
      </c>
      <c r="B845" s="2144"/>
      <c r="C845" s="1496" t="s">
        <v>5696</v>
      </c>
      <c r="D845" s="1497" t="s">
        <v>8537</v>
      </c>
      <c r="E845" s="1527">
        <f>2.15*0.4</f>
        <v>0.86</v>
      </c>
      <c r="F845" s="1699" t="s">
        <v>306</v>
      </c>
      <c r="G845" s="367">
        <v>487.77</v>
      </c>
      <c r="H845" s="1530">
        <f t="shared" ref="H845:H850" si="83">ROUNDDOWN(G845*E845,2)</f>
        <v>419.48</v>
      </c>
      <c r="I845" s="1642"/>
      <c r="J845" s="1797"/>
      <c r="K845" s="1797"/>
      <c r="L845" s="1784"/>
      <c r="M845" s="1785"/>
    </row>
    <row r="846" spans="1:13" s="156" customFormat="1" ht="30" x14ac:dyDescent="0.2">
      <c r="A846" s="2144" t="s">
        <v>7833</v>
      </c>
      <c r="B846" s="2144"/>
      <c r="C846" s="1516" t="s">
        <v>5696</v>
      </c>
      <c r="D846" s="182" t="s">
        <v>7834</v>
      </c>
      <c r="E846" s="1527">
        <f>2.15*0.4</f>
        <v>0.86</v>
      </c>
      <c r="F846" s="1699" t="s">
        <v>306</v>
      </c>
      <c r="G846" s="367">
        <v>435.67</v>
      </c>
      <c r="H846" s="1530">
        <f t="shared" si="83"/>
        <v>374.67</v>
      </c>
      <c r="I846" s="1642"/>
      <c r="J846" s="1797"/>
      <c r="K846" s="1797"/>
      <c r="L846" s="1784"/>
      <c r="M846" s="1785"/>
    </row>
    <row r="847" spans="1:13" s="156" customFormat="1" ht="60" x14ac:dyDescent="0.2">
      <c r="A847" s="2144">
        <v>88627</v>
      </c>
      <c r="B847" s="2144"/>
      <c r="C847" s="1516" t="s">
        <v>4448</v>
      </c>
      <c r="D847" s="182" t="s">
        <v>8498</v>
      </c>
      <c r="E847" s="1527">
        <f>2.15*0.4*0.006</f>
        <v>5.1599999999999997E-3</v>
      </c>
      <c r="F847" s="1699" t="s">
        <v>1208</v>
      </c>
      <c r="G847" s="1529">
        <v>432.19</v>
      </c>
      <c r="H847" s="1530">
        <f t="shared" ref="H847" si="84">ROUNDDOWN(G847*E847,2)</f>
        <v>2.23</v>
      </c>
      <c r="I847" s="1642"/>
      <c r="J847" s="1797"/>
      <c r="K847" s="1797"/>
      <c r="L847" s="1784"/>
      <c r="M847" s="1785"/>
    </row>
    <row r="848" spans="1:13" s="156" customFormat="1" ht="30" x14ac:dyDescent="0.2">
      <c r="A848" s="2144">
        <v>88309</v>
      </c>
      <c r="B848" s="2144"/>
      <c r="C848" s="1516" t="s">
        <v>4448</v>
      </c>
      <c r="D848" s="182" t="s">
        <v>87</v>
      </c>
      <c r="E848" s="1527">
        <f>2.15*0.4*0.08</f>
        <v>6.88E-2</v>
      </c>
      <c r="F848" s="1699" t="s">
        <v>65</v>
      </c>
      <c r="G848" s="1529">
        <v>20.149999999999999</v>
      </c>
      <c r="H848" s="1530">
        <f t="shared" si="83"/>
        <v>1.38</v>
      </c>
      <c r="I848" s="1642"/>
      <c r="J848" s="1797"/>
      <c r="K848" s="1797"/>
      <c r="L848" s="1784"/>
      <c r="M848" s="1785"/>
    </row>
    <row r="849" spans="1:13" s="156" customFormat="1" ht="30" x14ac:dyDescent="0.2">
      <c r="A849" s="2144">
        <v>88315</v>
      </c>
      <c r="B849" s="2144"/>
      <c r="C849" s="1516" t="s">
        <v>4448</v>
      </c>
      <c r="D849" s="182" t="s">
        <v>109</v>
      </c>
      <c r="E849" s="1527">
        <f>2.15*0.4*1.2</f>
        <v>1.032</v>
      </c>
      <c r="F849" s="1699" t="s">
        <v>65</v>
      </c>
      <c r="G849" s="1529">
        <v>20.059999999999999</v>
      </c>
      <c r="H849" s="1530">
        <f t="shared" si="83"/>
        <v>20.7</v>
      </c>
      <c r="I849" s="1642"/>
      <c r="J849" s="1797"/>
      <c r="K849" s="1797"/>
      <c r="L849" s="1784"/>
      <c r="M849" s="1785"/>
    </row>
    <row r="850" spans="1:13" s="156" customFormat="1" ht="30" x14ac:dyDescent="0.2">
      <c r="A850" s="2144">
        <v>88316</v>
      </c>
      <c r="B850" s="2144"/>
      <c r="C850" s="1516" t="s">
        <v>4448</v>
      </c>
      <c r="D850" s="182" t="s">
        <v>64</v>
      </c>
      <c r="E850" s="1527">
        <f>2.15*0.4*2</f>
        <v>1.72</v>
      </c>
      <c r="F850" s="1699" t="s">
        <v>65</v>
      </c>
      <c r="G850" s="1529">
        <v>15.08</v>
      </c>
      <c r="H850" s="1530">
        <f t="shared" si="83"/>
        <v>25.93</v>
      </c>
      <c r="I850" s="1642"/>
      <c r="J850" s="1797"/>
      <c r="K850" s="1797"/>
      <c r="L850" s="1784"/>
      <c r="M850" s="1785"/>
    </row>
    <row r="851" spans="1:13" s="1517" customFormat="1" x14ac:dyDescent="0.25">
      <c r="A851" s="179"/>
      <c r="B851" s="179"/>
      <c r="C851" s="1531"/>
      <c r="D851" s="2141" t="s">
        <v>124</v>
      </c>
      <c r="E851" s="2141"/>
      <c r="F851" s="2141"/>
      <c r="G851" s="2141"/>
      <c r="H851" s="267">
        <f>SUMIF(F845:F850,("h"),H845:H850)</f>
        <v>48.01</v>
      </c>
      <c r="I851" s="1830"/>
      <c r="J851" s="1795"/>
      <c r="K851" s="1795"/>
      <c r="L851" s="169"/>
      <c r="M851" s="1783"/>
    </row>
    <row r="852" spans="1:13" s="1517" customFormat="1" x14ac:dyDescent="0.25">
      <c r="A852" s="179"/>
      <c r="B852" s="179"/>
      <c r="C852" s="1531"/>
      <c r="D852" s="2141" t="s">
        <v>125</v>
      </c>
      <c r="E852" s="2141"/>
      <c r="F852" s="2141"/>
      <c r="G852" s="2141"/>
      <c r="H852" s="267">
        <f>SUMIF(F845:F850,"&lt;&gt;h",H845:H850)</f>
        <v>796.38000000000011</v>
      </c>
      <c r="I852" s="1830"/>
      <c r="J852" s="1795"/>
      <c r="K852" s="1795"/>
      <c r="L852" s="169"/>
      <c r="M852" s="1783"/>
    </row>
    <row r="853" spans="1:13" s="1517" customFormat="1" x14ac:dyDescent="0.25">
      <c r="A853" s="179"/>
      <c r="B853" s="179"/>
      <c r="C853" s="1531"/>
      <c r="D853" s="2142" t="s">
        <v>126</v>
      </c>
      <c r="E853" s="2142"/>
      <c r="F853" s="2142"/>
      <c r="G853" s="2142"/>
      <c r="H853" s="1532">
        <f>SUM(H851:H852)</f>
        <v>844.3900000000001</v>
      </c>
      <c r="I853" s="1830"/>
      <c r="J853" s="1795"/>
      <c r="K853" s="1795"/>
      <c r="L853" s="169"/>
      <c r="M853" s="1783"/>
    </row>
    <row r="854" spans="1:13" s="1517" customFormat="1" x14ac:dyDescent="0.25">
      <c r="A854" s="179"/>
      <c r="B854" s="179"/>
      <c r="C854" s="1531"/>
      <c r="D854" s="2141" t="s">
        <v>28</v>
      </c>
      <c r="E854" s="2141"/>
      <c r="F854" s="2141"/>
      <c r="G854" s="2141"/>
      <c r="H854" s="269">
        <f>E844</f>
        <v>4</v>
      </c>
      <c r="I854" s="1830"/>
      <c r="J854" s="1795"/>
      <c r="K854" s="1795"/>
      <c r="L854" s="169"/>
      <c r="M854" s="1783"/>
    </row>
    <row r="855" spans="1:13" s="1517" customFormat="1" x14ac:dyDescent="0.25">
      <c r="A855" s="179"/>
      <c r="B855" s="179"/>
      <c r="C855" s="1531"/>
      <c r="D855" s="2142" t="s">
        <v>127</v>
      </c>
      <c r="E855" s="2142"/>
      <c r="F855" s="2142"/>
      <c r="G855" s="2142"/>
      <c r="H855" s="1532">
        <f>ROUND(H853*H854,2)</f>
        <v>3377.56</v>
      </c>
      <c r="I855" s="1830"/>
      <c r="J855" s="1795"/>
      <c r="K855" s="1795"/>
      <c r="L855" s="169"/>
      <c r="M855" s="1783"/>
    </row>
    <row r="856" spans="1:13" s="1517" customFormat="1" x14ac:dyDescent="0.25">
      <c r="A856" s="179"/>
      <c r="B856" s="179"/>
      <c r="C856" s="1531"/>
      <c r="D856" s="2141" t="s">
        <v>15335</v>
      </c>
      <c r="E856" s="2141"/>
      <c r="F856" s="2141"/>
      <c r="G856" s="2141"/>
      <c r="H856" s="267">
        <f>ROUND(H853*$B$13,2)</f>
        <v>227.39</v>
      </c>
      <c r="I856" s="1830"/>
      <c r="J856" s="1795"/>
      <c r="K856" s="1795"/>
      <c r="L856" s="169"/>
      <c r="M856" s="1783"/>
    </row>
    <row r="857" spans="1:13" x14ac:dyDescent="0.25">
      <c r="A857" s="179"/>
      <c r="B857" s="179"/>
      <c r="C857" s="1531"/>
      <c r="D857" s="2142" t="s">
        <v>7898</v>
      </c>
      <c r="E857" s="2142"/>
      <c r="F857" s="2142"/>
      <c r="G857" s="2142"/>
      <c r="H857" s="1532">
        <f>H856+H853</f>
        <v>1071.7800000000002</v>
      </c>
    </row>
    <row r="858" spans="1:13" x14ac:dyDescent="0.25">
      <c r="A858" s="1514"/>
      <c r="B858" s="1514"/>
      <c r="C858" s="1514"/>
      <c r="F858" s="1533"/>
      <c r="G858" s="1534"/>
      <c r="H858" s="1514"/>
    </row>
    <row r="859" spans="1:13" s="1517" customFormat="1" x14ac:dyDescent="0.25">
      <c r="A859" s="146" t="s">
        <v>6</v>
      </c>
      <c r="B859" s="2143" t="s">
        <v>7</v>
      </c>
      <c r="C859" s="2143"/>
      <c r="D859" s="413" t="s">
        <v>121</v>
      </c>
      <c r="E859" s="278" t="s">
        <v>5282</v>
      </c>
      <c r="F859" s="413" t="s">
        <v>31</v>
      </c>
      <c r="G859" s="414" t="s">
        <v>122</v>
      </c>
      <c r="H859" s="415" t="s">
        <v>123</v>
      </c>
      <c r="I859" s="1830"/>
      <c r="J859" s="1795"/>
      <c r="K859" s="1795"/>
      <c r="L859" s="169"/>
      <c r="M859" s="1783"/>
    </row>
    <row r="860" spans="1:13" s="1526" customFormat="1" ht="60" x14ac:dyDescent="0.2">
      <c r="A860" s="416" t="str">
        <f>'Orç - Prédio'!A145</f>
        <v>04.01.228.01</v>
      </c>
      <c r="B860" s="428" t="str">
        <f>'Orç - Prédio'!B145</f>
        <v>Comp. Montada</v>
      </c>
      <c r="C860" s="428">
        <f>'Orç - Prédio'!C145</f>
        <v>4</v>
      </c>
      <c r="D860" s="429" t="s">
        <v>5738</v>
      </c>
      <c r="E860" s="417">
        <f>'Orç - Prédio'!E145</f>
        <v>8</v>
      </c>
      <c r="F860" s="428" t="s">
        <v>5284</v>
      </c>
      <c r="G860" s="418">
        <v>9045.85</v>
      </c>
      <c r="H860" s="419">
        <f>H874</f>
        <v>72366.8</v>
      </c>
      <c r="I860" s="1910" t="s">
        <v>9544</v>
      </c>
      <c r="J860" s="1793"/>
      <c r="K860" s="1793"/>
      <c r="L860" s="141"/>
      <c r="M860" s="1515"/>
    </row>
    <row r="861" spans="1:13" s="156" customFormat="1" x14ac:dyDescent="0.2">
      <c r="A861" s="2144" t="s">
        <v>8538</v>
      </c>
      <c r="B861" s="2144"/>
      <c r="C861" s="1496" t="s">
        <v>5696</v>
      </c>
      <c r="D861" s="1497" t="s">
        <v>8537</v>
      </c>
      <c r="E861" s="439">
        <v>2.6160000000000001</v>
      </c>
      <c r="F861" s="421" t="s">
        <v>306</v>
      </c>
      <c r="G861" s="367">
        <v>487.77</v>
      </c>
      <c r="H861" s="423">
        <f t="shared" ref="H861:H869" si="85">ROUNDDOWN(G861*E861,2)</f>
        <v>1276</v>
      </c>
      <c r="I861" s="1642"/>
      <c r="J861" s="1797"/>
      <c r="K861" s="1797"/>
      <c r="L861" s="1784"/>
      <c r="M861" s="1785"/>
    </row>
    <row r="862" spans="1:13" s="156" customFormat="1" ht="30" x14ac:dyDescent="0.2">
      <c r="A862" s="2144" t="s">
        <v>8540</v>
      </c>
      <c r="B862" s="2144"/>
      <c r="C862" s="412" t="s">
        <v>5696</v>
      </c>
      <c r="D862" s="420" t="s">
        <v>8539</v>
      </c>
      <c r="E862" s="439">
        <v>5.94</v>
      </c>
      <c r="F862" s="421" t="s">
        <v>306</v>
      </c>
      <c r="G862" s="367">
        <v>568.48</v>
      </c>
      <c r="H862" s="423">
        <f>ROUNDDOWN(G862*E862,2)</f>
        <v>3376.77</v>
      </c>
      <c r="I862" s="1642"/>
      <c r="J862" s="1797"/>
      <c r="K862" s="1797"/>
      <c r="L862" s="1784"/>
      <c r="M862" s="1785"/>
    </row>
    <row r="863" spans="1:13" s="156" customFormat="1" ht="30" x14ac:dyDescent="0.2">
      <c r="A863" s="2144" t="s">
        <v>8542</v>
      </c>
      <c r="B863" s="2144"/>
      <c r="C863" s="1496" t="s">
        <v>5696</v>
      </c>
      <c r="D863" s="420" t="s">
        <v>8541</v>
      </c>
      <c r="E863" s="439">
        <v>4.6500000000000004</v>
      </c>
      <c r="F863" s="421" t="s">
        <v>306</v>
      </c>
      <c r="G863" s="367">
        <v>694.59</v>
      </c>
      <c r="H863" s="423">
        <f>ROUNDDOWN(G863*E863,2)</f>
        <v>3229.84</v>
      </c>
      <c r="I863" s="1642"/>
      <c r="J863" s="1797"/>
      <c r="K863" s="1797"/>
      <c r="L863" s="1784"/>
      <c r="M863" s="1785"/>
    </row>
    <row r="864" spans="1:13" s="156" customFormat="1" ht="45" x14ac:dyDescent="0.2">
      <c r="A864" s="2144">
        <v>142</v>
      </c>
      <c r="B864" s="2144"/>
      <c r="C864" s="411" t="s">
        <v>4448</v>
      </c>
      <c r="D864" s="182" t="s">
        <v>13747</v>
      </c>
      <c r="E864" s="439">
        <v>11.659577400000002</v>
      </c>
      <c r="F864" s="421" t="s">
        <v>63</v>
      </c>
      <c r="G864" s="422">
        <v>22.83</v>
      </c>
      <c r="H864" s="423">
        <f t="shared" si="85"/>
        <v>266.18</v>
      </c>
      <c r="I864" s="1642"/>
      <c r="J864" s="1797"/>
      <c r="K864" s="1797"/>
      <c r="L864" s="1784"/>
      <c r="M864" s="1785"/>
    </row>
    <row r="865" spans="1:13" s="156" customFormat="1" ht="60" x14ac:dyDescent="0.2">
      <c r="A865" s="2144">
        <v>7568</v>
      </c>
      <c r="B865" s="2144"/>
      <c r="C865" s="411" t="s">
        <v>4448</v>
      </c>
      <c r="D865" s="182" t="s">
        <v>10260</v>
      </c>
      <c r="E865" s="449">
        <v>63.608019600000006</v>
      </c>
      <c r="F865" s="421" t="s">
        <v>39</v>
      </c>
      <c r="G865" s="422">
        <v>0.61</v>
      </c>
      <c r="H865" s="423">
        <f t="shared" si="85"/>
        <v>38.799999999999997</v>
      </c>
      <c r="I865" s="1642"/>
      <c r="J865" s="1797"/>
      <c r="K865" s="1797"/>
      <c r="L865" s="1784"/>
      <c r="M865" s="1785"/>
    </row>
    <row r="866" spans="1:13" s="1859" customFormat="1" ht="75" x14ac:dyDescent="0.2">
      <c r="A866" s="2148">
        <v>100725</v>
      </c>
      <c r="B866" s="2148"/>
      <c r="C866" s="1877" t="s">
        <v>4448</v>
      </c>
      <c r="D866" s="1850" t="s">
        <v>9282</v>
      </c>
      <c r="E866" s="1864">
        <f>2*9.3</f>
        <v>18.600000000000001</v>
      </c>
      <c r="F866" s="1917" t="s">
        <v>306</v>
      </c>
      <c r="G866" s="367">
        <v>17.61</v>
      </c>
      <c r="H866" s="1852">
        <f>ROUNDDOWN(G866*E866,2)</f>
        <v>327.54000000000002</v>
      </c>
      <c r="I866" s="1856"/>
      <c r="J866" s="1797"/>
      <c r="K866" s="1797"/>
      <c r="L866" s="1784"/>
      <c r="M866" s="1785"/>
    </row>
    <row r="867" spans="1:13" s="156" customFormat="1" ht="30" x14ac:dyDescent="0.2">
      <c r="A867" s="2144">
        <v>88309</v>
      </c>
      <c r="B867" s="2144"/>
      <c r="C867" s="411" t="s">
        <v>4448</v>
      </c>
      <c r="D867" s="182" t="s">
        <v>87</v>
      </c>
      <c r="E867" s="439">
        <v>3.9618000000000002</v>
      </c>
      <c r="F867" s="421" t="s">
        <v>65</v>
      </c>
      <c r="G867" s="422">
        <v>20.149999999999999</v>
      </c>
      <c r="H867" s="423">
        <f t="shared" si="85"/>
        <v>79.83</v>
      </c>
      <c r="I867" s="1642"/>
      <c r="J867" s="1797"/>
      <c r="K867" s="1797"/>
      <c r="L867" s="1784"/>
      <c r="M867" s="1785"/>
    </row>
    <row r="868" spans="1:13" s="156" customFormat="1" ht="30" x14ac:dyDescent="0.2">
      <c r="A868" s="2144">
        <v>88315</v>
      </c>
      <c r="B868" s="2144"/>
      <c r="C868" s="411" t="s">
        <v>4448</v>
      </c>
      <c r="D868" s="182" t="s">
        <v>109</v>
      </c>
      <c r="E868" s="439">
        <v>10.564800000000002</v>
      </c>
      <c r="F868" s="421" t="s">
        <v>65</v>
      </c>
      <c r="G868" s="422">
        <v>20.059999999999999</v>
      </c>
      <c r="H868" s="423">
        <f t="shared" si="85"/>
        <v>211.92</v>
      </c>
      <c r="I868" s="1642"/>
      <c r="J868" s="1797"/>
      <c r="K868" s="1797"/>
      <c r="L868" s="1784"/>
      <c r="M868" s="1785"/>
    </row>
    <row r="869" spans="1:13" s="156" customFormat="1" ht="30" x14ac:dyDescent="0.2">
      <c r="A869" s="2144">
        <v>88316</v>
      </c>
      <c r="B869" s="2144"/>
      <c r="C869" s="411" t="s">
        <v>4448</v>
      </c>
      <c r="D869" s="182" t="s">
        <v>64</v>
      </c>
      <c r="E869" s="439">
        <v>15.847200000000001</v>
      </c>
      <c r="F869" s="421" t="s">
        <v>65</v>
      </c>
      <c r="G869" s="422">
        <v>15.08</v>
      </c>
      <c r="H869" s="423">
        <f t="shared" si="85"/>
        <v>238.97</v>
      </c>
      <c r="I869" s="1642"/>
      <c r="J869" s="1797"/>
      <c r="K869" s="1797"/>
      <c r="L869" s="1784"/>
      <c r="M869" s="1785"/>
    </row>
    <row r="870" spans="1:13" s="1517" customFormat="1" x14ac:dyDescent="0.25">
      <c r="A870" s="179"/>
      <c r="B870" s="179"/>
      <c r="C870" s="424"/>
      <c r="D870" s="2141" t="s">
        <v>124</v>
      </c>
      <c r="E870" s="2141"/>
      <c r="F870" s="2141"/>
      <c r="G870" s="2141"/>
      <c r="H870" s="267">
        <f>SUMIF(F861:F869,("h"),H861:H869)</f>
        <v>530.72</v>
      </c>
      <c r="I870" s="1830"/>
      <c r="J870" s="1795"/>
      <c r="K870" s="1795"/>
      <c r="L870" s="169"/>
      <c r="M870" s="1783"/>
    </row>
    <row r="871" spans="1:13" s="1517" customFormat="1" x14ac:dyDescent="0.25">
      <c r="A871" s="179"/>
      <c r="B871" s="179"/>
      <c r="C871" s="424"/>
      <c r="D871" s="2141" t="s">
        <v>125</v>
      </c>
      <c r="E871" s="2141"/>
      <c r="F871" s="2141"/>
      <c r="G871" s="2141"/>
      <c r="H871" s="267">
        <f>SUMIF(F861:F869,"&lt;&gt;h",H861:H869)</f>
        <v>8515.130000000001</v>
      </c>
      <c r="I871" s="1830"/>
      <c r="J871" s="1795"/>
      <c r="K871" s="1795"/>
      <c r="L871" s="169"/>
      <c r="M871" s="1783"/>
    </row>
    <row r="872" spans="1:13" s="1517" customFormat="1" x14ac:dyDescent="0.25">
      <c r="A872" s="179"/>
      <c r="B872" s="179"/>
      <c r="C872" s="424"/>
      <c r="D872" s="2142" t="s">
        <v>126</v>
      </c>
      <c r="E872" s="2142"/>
      <c r="F872" s="2142"/>
      <c r="G872" s="2142"/>
      <c r="H872" s="425">
        <f>SUM(H870:H871)</f>
        <v>9045.85</v>
      </c>
      <c r="I872" s="1830"/>
      <c r="J872" s="1795"/>
      <c r="K872" s="1795"/>
      <c r="L872" s="169"/>
      <c r="M872" s="1783"/>
    </row>
    <row r="873" spans="1:13" s="1517" customFormat="1" x14ac:dyDescent="0.25">
      <c r="A873" s="179"/>
      <c r="B873" s="179"/>
      <c r="C873" s="424"/>
      <c r="D873" s="2141" t="s">
        <v>28</v>
      </c>
      <c r="E873" s="2141"/>
      <c r="F873" s="2141"/>
      <c r="G873" s="2141"/>
      <c r="H873" s="269">
        <f>E860</f>
        <v>8</v>
      </c>
      <c r="I873" s="1830"/>
      <c r="J873" s="1795"/>
      <c r="K873" s="1795"/>
      <c r="L873" s="169"/>
      <c r="M873" s="1783"/>
    </row>
    <row r="874" spans="1:13" s="1517" customFormat="1" x14ac:dyDescent="0.25">
      <c r="A874" s="179"/>
      <c r="B874" s="179"/>
      <c r="C874" s="424"/>
      <c r="D874" s="2142" t="s">
        <v>127</v>
      </c>
      <c r="E874" s="2142"/>
      <c r="F874" s="2142"/>
      <c r="G874" s="2142"/>
      <c r="H874" s="425">
        <f>ROUND(H872*H873,2)</f>
        <v>72366.8</v>
      </c>
      <c r="I874" s="1830"/>
      <c r="J874" s="1795"/>
      <c r="K874" s="1795"/>
      <c r="L874" s="169"/>
      <c r="M874" s="1783"/>
    </row>
    <row r="875" spans="1:13" s="1517" customFormat="1" x14ac:dyDescent="0.25">
      <c r="A875" s="179"/>
      <c r="B875" s="179"/>
      <c r="C875" s="1531"/>
      <c r="D875" s="2141" t="s">
        <v>15335</v>
      </c>
      <c r="E875" s="2141"/>
      <c r="F875" s="2141"/>
      <c r="G875" s="2141"/>
      <c r="H875" s="267">
        <f>ROUND(H872*$B$13,2)</f>
        <v>2436.0500000000002</v>
      </c>
      <c r="I875" s="1830"/>
      <c r="J875" s="1795"/>
      <c r="K875" s="1795"/>
      <c r="L875" s="169"/>
      <c r="M875" s="1783"/>
    </row>
    <row r="876" spans="1:13" x14ac:dyDescent="0.25">
      <c r="A876" s="179"/>
      <c r="B876" s="179"/>
      <c r="C876" s="1531"/>
      <c r="D876" s="2142" t="s">
        <v>7898</v>
      </c>
      <c r="E876" s="2142"/>
      <c r="F876" s="2142"/>
      <c r="G876" s="2142"/>
      <c r="H876" s="1532">
        <f>H875+H872</f>
        <v>11481.900000000001</v>
      </c>
    </row>
    <row r="877" spans="1:13" x14ac:dyDescent="0.25">
      <c r="A877" s="410"/>
      <c r="B877" s="410"/>
      <c r="C877" s="410"/>
      <c r="F877" s="426"/>
      <c r="G877" s="427"/>
      <c r="H877" s="410"/>
    </row>
    <row r="878" spans="1:13" s="1517" customFormat="1" x14ac:dyDescent="0.25">
      <c r="A878" s="146" t="s">
        <v>6</v>
      </c>
      <c r="B878" s="2143" t="s">
        <v>7</v>
      </c>
      <c r="C878" s="2143"/>
      <c r="D878" s="432" t="s">
        <v>121</v>
      </c>
      <c r="E878" s="278" t="s">
        <v>5282</v>
      </c>
      <c r="F878" s="432" t="s">
        <v>31</v>
      </c>
      <c r="G878" s="433" t="s">
        <v>122</v>
      </c>
      <c r="H878" s="434" t="s">
        <v>123</v>
      </c>
      <c r="I878" s="1830"/>
      <c r="J878" s="1795"/>
      <c r="K878" s="1795"/>
      <c r="L878" s="169"/>
      <c r="M878" s="1783"/>
    </row>
    <row r="879" spans="1:13" s="1526" customFormat="1" ht="60" x14ac:dyDescent="0.2">
      <c r="A879" s="435" t="str">
        <f>'Orç - Prédio'!A146</f>
        <v>04.01.228.02</v>
      </c>
      <c r="B879" s="447" t="str">
        <f>'Orç - Prédio'!B146</f>
        <v>Comp. Montada</v>
      </c>
      <c r="C879" s="447">
        <f>'Orç - Prédio'!C146</f>
        <v>5</v>
      </c>
      <c r="D879" s="448" t="s">
        <v>5739</v>
      </c>
      <c r="E879" s="436">
        <f>'Orç - Prédio'!E146</f>
        <v>8</v>
      </c>
      <c r="F879" s="447" t="s">
        <v>5284</v>
      </c>
      <c r="G879" s="437">
        <v>8882.08</v>
      </c>
      <c r="H879" s="438">
        <f>H893</f>
        <v>71056.639999999999</v>
      </c>
      <c r="I879" s="1910" t="s">
        <v>9544</v>
      </c>
      <c r="J879" s="1793"/>
      <c r="K879" s="1793"/>
      <c r="L879" s="141"/>
      <c r="M879" s="1515"/>
    </row>
    <row r="880" spans="1:13" s="156" customFormat="1" x14ac:dyDescent="0.2">
      <c r="A880" s="2144" t="s">
        <v>8538</v>
      </c>
      <c r="B880" s="2144"/>
      <c r="C880" s="1496" t="s">
        <v>5696</v>
      </c>
      <c r="D880" s="1497" t="s">
        <v>8537</v>
      </c>
      <c r="E880" s="459">
        <v>2.6160000000000001</v>
      </c>
      <c r="F880" s="440" t="s">
        <v>306</v>
      </c>
      <c r="G880" s="367">
        <v>487.77</v>
      </c>
      <c r="H880" s="442">
        <f t="shared" ref="H880:H888" si="86">ROUNDDOWN(G880*E880,2)</f>
        <v>1276</v>
      </c>
      <c r="I880" s="1642"/>
      <c r="J880" s="1797"/>
      <c r="K880" s="1797"/>
      <c r="L880" s="1784"/>
      <c r="M880" s="1785"/>
    </row>
    <row r="881" spans="1:13" s="156" customFormat="1" ht="30" x14ac:dyDescent="0.2">
      <c r="A881" s="2144" t="s">
        <v>8540</v>
      </c>
      <c r="B881" s="2144"/>
      <c r="C881" s="1496" t="s">
        <v>5696</v>
      </c>
      <c r="D881" s="1497" t="s">
        <v>8539</v>
      </c>
      <c r="E881" s="459">
        <v>5.94</v>
      </c>
      <c r="F881" s="440" t="s">
        <v>306</v>
      </c>
      <c r="G881" s="367">
        <v>568.48</v>
      </c>
      <c r="H881" s="442">
        <f t="shared" si="86"/>
        <v>3376.77</v>
      </c>
      <c r="I881" s="1642"/>
      <c r="J881" s="1797"/>
      <c r="K881" s="1797"/>
      <c r="L881" s="1784"/>
      <c r="M881" s="1785"/>
    </row>
    <row r="882" spans="1:13" s="156" customFormat="1" ht="30" x14ac:dyDescent="0.2">
      <c r="A882" s="2144" t="s">
        <v>8542</v>
      </c>
      <c r="B882" s="2144"/>
      <c r="C882" s="1496" t="s">
        <v>5696</v>
      </c>
      <c r="D882" s="1497" t="s">
        <v>8541</v>
      </c>
      <c r="E882" s="459">
        <v>4.6500000000000004</v>
      </c>
      <c r="F882" s="440" t="s">
        <v>306</v>
      </c>
      <c r="G882" s="367">
        <v>694.59</v>
      </c>
      <c r="H882" s="442">
        <f t="shared" si="86"/>
        <v>3229.84</v>
      </c>
      <c r="I882" s="1642"/>
      <c r="J882" s="1797"/>
      <c r="K882" s="1797"/>
      <c r="L882" s="1784"/>
      <c r="M882" s="1785"/>
    </row>
    <row r="883" spans="1:13" s="156" customFormat="1" ht="45" x14ac:dyDescent="0.2">
      <c r="A883" s="2144">
        <v>142</v>
      </c>
      <c r="B883" s="2144"/>
      <c r="C883" s="431" t="s">
        <v>4448</v>
      </c>
      <c r="D883" s="182" t="s">
        <v>13747</v>
      </c>
      <c r="E883" s="459">
        <v>11.659577400000002</v>
      </c>
      <c r="F883" s="440" t="s">
        <v>63</v>
      </c>
      <c r="G883" s="441">
        <v>22.83</v>
      </c>
      <c r="H883" s="442">
        <f t="shared" si="86"/>
        <v>266.18</v>
      </c>
      <c r="I883" s="1642"/>
      <c r="J883" s="1797"/>
      <c r="K883" s="1797"/>
      <c r="L883" s="1784"/>
      <c r="M883" s="1785"/>
    </row>
    <row r="884" spans="1:13" s="156" customFormat="1" ht="60" x14ac:dyDescent="0.2">
      <c r="A884" s="2144">
        <v>7568</v>
      </c>
      <c r="B884" s="2144"/>
      <c r="C884" s="431" t="s">
        <v>4448</v>
      </c>
      <c r="D884" s="182" t="s">
        <v>10260</v>
      </c>
      <c r="E884" s="469">
        <v>63.608019600000006</v>
      </c>
      <c r="F884" s="440" t="s">
        <v>39</v>
      </c>
      <c r="G884" s="441">
        <v>0.61</v>
      </c>
      <c r="H884" s="442">
        <f t="shared" si="86"/>
        <v>38.799999999999997</v>
      </c>
      <c r="I884" s="1642"/>
      <c r="J884" s="1797"/>
      <c r="K884" s="1797"/>
      <c r="L884" s="1784"/>
      <c r="M884" s="1785"/>
    </row>
    <row r="885" spans="1:13" s="1859" customFormat="1" ht="75" x14ac:dyDescent="0.2">
      <c r="A885" s="2148">
        <v>100725</v>
      </c>
      <c r="B885" s="2148"/>
      <c r="C885" s="1877" t="s">
        <v>4448</v>
      </c>
      <c r="D885" s="1850" t="s">
        <v>9282</v>
      </c>
      <c r="E885" s="1864">
        <v>9.3000000000000007</v>
      </c>
      <c r="F885" s="1917" t="s">
        <v>306</v>
      </c>
      <c r="G885" s="367">
        <v>17.61</v>
      </c>
      <c r="H885" s="1852">
        <f t="shared" si="86"/>
        <v>163.77000000000001</v>
      </c>
      <c r="I885" s="1856"/>
      <c r="J885" s="1797"/>
      <c r="K885" s="1797"/>
      <c r="L885" s="1784"/>
      <c r="M885" s="1785"/>
    </row>
    <row r="886" spans="1:13" s="156" customFormat="1" ht="30" x14ac:dyDescent="0.2">
      <c r="A886" s="2144">
        <v>88309</v>
      </c>
      <c r="B886" s="2144"/>
      <c r="C886" s="431" t="s">
        <v>4448</v>
      </c>
      <c r="D886" s="182" t="s">
        <v>87</v>
      </c>
      <c r="E886" s="459">
        <v>3.9618000000000002</v>
      </c>
      <c r="F886" s="440" t="s">
        <v>65</v>
      </c>
      <c r="G886" s="441">
        <v>20.149999999999999</v>
      </c>
      <c r="H886" s="442">
        <f t="shared" si="86"/>
        <v>79.83</v>
      </c>
      <c r="I886" s="1642"/>
      <c r="J886" s="1797"/>
      <c r="K886" s="1797"/>
      <c r="L886" s="1784"/>
      <c r="M886" s="1785"/>
    </row>
    <row r="887" spans="1:13" s="156" customFormat="1" ht="30" x14ac:dyDescent="0.2">
      <c r="A887" s="2144">
        <v>88315</v>
      </c>
      <c r="B887" s="2144"/>
      <c r="C887" s="431" t="s">
        <v>4448</v>
      </c>
      <c r="D887" s="182" t="s">
        <v>109</v>
      </c>
      <c r="E887" s="459">
        <v>10.564800000000002</v>
      </c>
      <c r="F887" s="440" t="s">
        <v>65</v>
      </c>
      <c r="G887" s="441">
        <v>20.059999999999999</v>
      </c>
      <c r="H887" s="442">
        <f t="shared" si="86"/>
        <v>211.92</v>
      </c>
      <c r="I887" s="1642"/>
      <c r="J887" s="1797"/>
      <c r="K887" s="1797"/>
      <c r="L887" s="1784"/>
      <c r="M887" s="1785"/>
    </row>
    <row r="888" spans="1:13" s="156" customFormat="1" ht="30" x14ac:dyDescent="0.2">
      <c r="A888" s="2144">
        <v>88316</v>
      </c>
      <c r="B888" s="2144"/>
      <c r="C888" s="431" t="s">
        <v>4448</v>
      </c>
      <c r="D888" s="182" t="s">
        <v>64</v>
      </c>
      <c r="E888" s="459">
        <v>15.847200000000001</v>
      </c>
      <c r="F888" s="440" t="s">
        <v>65</v>
      </c>
      <c r="G888" s="441">
        <v>15.08</v>
      </c>
      <c r="H888" s="442">
        <f t="shared" si="86"/>
        <v>238.97</v>
      </c>
      <c r="I888" s="1642"/>
      <c r="J888" s="1797"/>
      <c r="K888" s="1797"/>
      <c r="L888" s="1784"/>
      <c r="M888" s="1785"/>
    </row>
    <row r="889" spans="1:13" s="1517" customFormat="1" x14ac:dyDescent="0.25">
      <c r="A889" s="179"/>
      <c r="B889" s="179"/>
      <c r="C889" s="443"/>
      <c r="D889" s="2141" t="s">
        <v>124</v>
      </c>
      <c r="E889" s="2141"/>
      <c r="F889" s="2141"/>
      <c r="G889" s="2141"/>
      <c r="H889" s="267">
        <f>SUMIF(F880:F888,("h"),H880:H888)</f>
        <v>530.72</v>
      </c>
      <c r="I889" s="1830"/>
      <c r="J889" s="1795"/>
      <c r="K889" s="1795"/>
      <c r="L889" s="169"/>
      <c r="M889" s="1783"/>
    </row>
    <row r="890" spans="1:13" s="1517" customFormat="1" x14ac:dyDescent="0.25">
      <c r="A890" s="179"/>
      <c r="B890" s="179"/>
      <c r="C890" s="443"/>
      <c r="D890" s="2141" t="s">
        <v>125</v>
      </c>
      <c r="E890" s="2141"/>
      <c r="F890" s="2141"/>
      <c r="G890" s="2141"/>
      <c r="H890" s="267">
        <f>SUMIF(F880:F888,"&lt;&gt;h",H880:H888)</f>
        <v>8351.36</v>
      </c>
      <c r="I890" s="1830"/>
      <c r="J890" s="1795"/>
      <c r="K890" s="1795"/>
      <c r="L890" s="169"/>
      <c r="M890" s="1783"/>
    </row>
    <row r="891" spans="1:13" s="1517" customFormat="1" x14ac:dyDescent="0.25">
      <c r="A891" s="179"/>
      <c r="B891" s="179"/>
      <c r="C891" s="443"/>
      <c r="D891" s="2142" t="s">
        <v>126</v>
      </c>
      <c r="E891" s="2142"/>
      <c r="F891" s="2142"/>
      <c r="G891" s="2142"/>
      <c r="H891" s="444">
        <f>SUM(H889:H890)</f>
        <v>8882.08</v>
      </c>
      <c r="I891" s="1830"/>
      <c r="J891" s="1795"/>
      <c r="K891" s="1795"/>
      <c r="L891" s="169"/>
      <c r="M891" s="1783"/>
    </row>
    <row r="892" spans="1:13" s="1517" customFormat="1" x14ac:dyDescent="0.25">
      <c r="A892" s="179"/>
      <c r="B892" s="179"/>
      <c r="C892" s="443"/>
      <c r="D892" s="2141" t="s">
        <v>28</v>
      </c>
      <c r="E892" s="2141"/>
      <c r="F892" s="2141"/>
      <c r="G892" s="2141"/>
      <c r="H892" s="269">
        <f>E879</f>
        <v>8</v>
      </c>
      <c r="I892" s="1830"/>
      <c r="J892" s="1795"/>
      <c r="K892" s="1795"/>
      <c r="L892" s="169"/>
      <c r="M892" s="1783"/>
    </row>
    <row r="893" spans="1:13" s="1517" customFormat="1" x14ac:dyDescent="0.25">
      <c r="A893" s="179"/>
      <c r="B893" s="179"/>
      <c r="C893" s="443"/>
      <c r="D893" s="2142" t="s">
        <v>127</v>
      </c>
      <c r="E893" s="2142"/>
      <c r="F893" s="2142"/>
      <c r="G893" s="2142"/>
      <c r="H893" s="444">
        <f>ROUND(H891*H892,2)</f>
        <v>71056.639999999999</v>
      </c>
      <c r="I893" s="1830"/>
      <c r="J893" s="1795"/>
      <c r="K893" s="1795"/>
      <c r="L893" s="169"/>
      <c r="M893" s="1783"/>
    </row>
    <row r="894" spans="1:13" s="1517" customFormat="1" x14ac:dyDescent="0.25">
      <c r="A894" s="179"/>
      <c r="B894" s="179"/>
      <c r="C894" s="1531"/>
      <c r="D894" s="2141" t="s">
        <v>15335</v>
      </c>
      <c r="E894" s="2141"/>
      <c r="F894" s="2141"/>
      <c r="G894" s="2141"/>
      <c r="H894" s="267">
        <f>ROUND(H891*$B$13,2)</f>
        <v>2391.94</v>
      </c>
      <c r="I894" s="1830"/>
      <c r="J894" s="1795"/>
      <c r="K894" s="1795"/>
      <c r="L894" s="169"/>
      <c r="M894" s="1783"/>
    </row>
    <row r="895" spans="1:13" x14ac:dyDescent="0.25">
      <c r="A895" s="179"/>
      <c r="B895" s="179"/>
      <c r="C895" s="1531"/>
      <c r="D895" s="2142" t="s">
        <v>7898</v>
      </c>
      <c r="E895" s="2142"/>
      <c r="F895" s="2142"/>
      <c r="G895" s="2142"/>
      <c r="H895" s="1532">
        <f>H894+H891</f>
        <v>11274.02</v>
      </c>
    </row>
    <row r="896" spans="1:13" x14ac:dyDescent="0.25">
      <c r="A896" s="430"/>
      <c r="B896" s="430"/>
      <c r="C896" s="430"/>
      <c r="F896" s="445"/>
      <c r="G896" s="446"/>
      <c r="H896" s="430"/>
    </row>
    <row r="897" spans="1:13" s="1517" customFormat="1" x14ac:dyDescent="0.25">
      <c r="A897" s="146" t="s">
        <v>6</v>
      </c>
      <c r="B897" s="2143" t="s">
        <v>7</v>
      </c>
      <c r="C897" s="2143"/>
      <c r="D897" s="452" t="s">
        <v>121</v>
      </c>
      <c r="E897" s="278" t="s">
        <v>5282</v>
      </c>
      <c r="F897" s="452" t="s">
        <v>31</v>
      </c>
      <c r="G897" s="453" t="s">
        <v>122</v>
      </c>
      <c r="H897" s="454" t="s">
        <v>123</v>
      </c>
      <c r="I897" s="1830"/>
      <c r="J897" s="1795"/>
      <c r="K897" s="1795"/>
      <c r="L897" s="169"/>
      <c r="M897" s="1783"/>
    </row>
    <row r="898" spans="1:13" s="1526" customFormat="1" ht="60" x14ac:dyDescent="0.2">
      <c r="A898" s="455" t="str">
        <f>'Orç - Prédio'!A147</f>
        <v>04.01.228.03</v>
      </c>
      <c r="B898" s="467" t="str">
        <f>'Orç - Prédio'!B147</f>
        <v>Comp. Montada</v>
      </c>
      <c r="C898" s="467">
        <f>'Orç - Prédio'!C147</f>
        <v>6</v>
      </c>
      <c r="D898" s="468" t="s">
        <v>5740</v>
      </c>
      <c r="E898" s="456">
        <f>'Orç - Prédio'!E147</f>
        <v>6</v>
      </c>
      <c r="F898" s="467" t="s">
        <v>5284</v>
      </c>
      <c r="G898" s="457">
        <v>9241.5300000000007</v>
      </c>
      <c r="H898" s="458">
        <f>H912</f>
        <v>55449.18</v>
      </c>
      <c r="I898" s="1910" t="s">
        <v>9544</v>
      </c>
      <c r="J898" s="1793"/>
      <c r="K898" s="1793"/>
      <c r="L898" s="141"/>
      <c r="M898" s="1515"/>
    </row>
    <row r="899" spans="1:13" s="156" customFormat="1" x14ac:dyDescent="0.2">
      <c r="A899" s="2144" t="s">
        <v>8538</v>
      </c>
      <c r="B899" s="2144"/>
      <c r="C899" s="1496" t="s">
        <v>5696</v>
      </c>
      <c r="D899" s="1497" t="s">
        <v>8537</v>
      </c>
      <c r="E899" s="479">
        <v>2.3520000000000003</v>
      </c>
      <c r="F899" s="460" t="s">
        <v>306</v>
      </c>
      <c r="G899" s="367">
        <v>487.77</v>
      </c>
      <c r="H899" s="462">
        <f t="shared" ref="H899:H907" si="87">ROUNDDOWN(G899*E899,2)</f>
        <v>1147.23</v>
      </c>
      <c r="I899" s="1642"/>
      <c r="J899" s="1797"/>
      <c r="K899" s="1797"/>
      <c r="L899" s="1784"/>
      <c r="M899" s="1785"/>
    </row>
    <row r="900" spans="1:13" s="156" customFormat="1" ht="30" x14ac:dyDescent="0.2">
      <c r="A900" s="2144" t="s">
        <v>8540</v>
      </c>
      <c r="B900" s="2144"/>
      <c r="C900" s="1496" t="s">
        <v>5696</v>
      </c>
      <c r="D900" s="1497" t="s">
        <v>8539</v>
      </c>
      <c r="E900" s="479">
        <v>6.48</v>
      </c>
      <c r="F900" s="460" t="s">
        <v>306</v>
      </c>
      <c r="G900" s="367">
        <v>568.48</v>
      </c>
      <c r="H900" s="462">
        <f t="shared" si="87"/>
        <v>3683.75</v>
      </c>
      <c r="I900" s="1642"/>
      <c r="J900" s="1797"/>
      <c r="K900" s="1797"/>
      <c r="L900" s="1784"/>
      <c r="M900" s="1785"/>
    </row>
    <row r="901" spans="1:13" s="156" customFormat="1" ht="30" x14ac:dyDescent="0.2">
      <c r="A901" s="2144" t="s">
        <v>8542</v>
      </c>
      <c r="B901" s="2144"/>
      <c r="C901" s="1496" t="s">
        <v>5696</v>
      </c>
      <c r="D901" s="1497" t="s">
        <v>8541</v>
      </c>
      <c r="E901" s="479">
        <v>4.6500000000000004</v>
      </c>
      <c r="F901" s="460" t="s">
        <v>306</v>
      </c>
      <c r="G901" s="367">
        <v>694.59</v>
      </c>
      <c r="H901" s="462">
        <f t="shared" si="87"/>
        <v>3229.84</v>
      </c>
      <c r="I901" s="1642"/>
      <c r="J901" s="1797"/>
      <c r="K901" s="1797"/>
      <c r="L901" s="1784"/>
      <c r="M901" s="1785"/>
    </row>
    <row r="902" spans="1:13" s="156" customFormat="1" ht="45" x14ac:dyDescent="0.2">
      <c r="A902" s="2144">
        <v>142</v>
      </c>
      <c r="B902" s="2144"/>
      <c r="C902" s="451" t="s">
        <v>4448</v>
      </c>
      <c r="D902" s="182" t="s">
        <v>13747</v>
      </c>
      <c r="E902" s="479">
        <v>11.9032578</v>
      </c>
      <c r="F902" s="460" t="s">
        <v>63</v>
      </c>
      <c r="G902" s="461">
        <v>22.83</v>
      </c>
      <c r="H902" s="462">
        <f t="shared" si="87"/>
        <v>271.75</v>
      </c>
      <c r="I902" s="1642"/>
      <c r="J902" s="1797"/>
      <c r="K902" s="1797"/>
      <c r="L902" s="1784"/>
      <c r="M902" s="1785"/>
    </row>
    <row r="903" spans="1:13" s="156" customFormat="1" ht="60" x14ac:dyDescent="0.2">
      <c r="A903" s="2144">
        <v>7568</v>
      </c>
      <c r="B903" s="2144"/>
      <c r="C903" s="451" t="s">
        <v>4448</v>
      </c>
      <c r="D903" s="182" t="s">
        <v>10260</v>
      </c>
      <c r="E903" s="489">
        <v>64.937401200000011</v>
      </c>
      <c r="F903" s="460" t="s">
        <v>39</v>
      </c>
      <c r="G903" s="461">
        <v>0.61</v>
      </c>
      <c r="H903" s="462">
        <f t="shared" si="87"/>
        <v>39.61</v>
      </c>
      <c r="I903" s="1642"/>
      <c r="J903" s="1797"/>
      <c r="K903" s="1797"/>
      <c r="L903" s="1784"/>
      <c r="M903" s="1785"/>
    </row>
    <row r="904" spans="1:13" s="1859" customFormat="1" ht="75" x14ac:dyDescent="0.2">
      <c r="A904" s="2148">
        <v>100725</v>
      </c>
      <c r="B904" s="2148"/>
      <c r="C904" s="1877" t="s">
        <v>4448</v>
      </c>
      <c r="D904" s="1850" t="s">
        <v>9282</v>
      </c>
      <c r="E904" s="1864">
        <f>2*9.3</f>
        <v>18.600000000000001</v>
      </c>
      <c r="F904" s="1917" t="s">
        <v>306</v>
      </c>
      <c r="G904" s="367">
        <v>17.61</v>
      </c>
      <c r="H904" s="1852">
        <f t="shared" si="87"/>
        <v>327.54000000000002</v>
      </c>
      <c r="I904" s="1856"/>
      <c r="J904" s="1797"/>
      <c r="K904" s="1797"/>
      <c r="L904" s="1784"/>
      <c r="M904" s="1785"/>
    </row>
    <row r="905" spans="1:13" s="156" customFormat="1" ht="30" x14ac:dyDescent="0.2">
      <c r="A905" s="2144">
        <v>88309</v>
      </c>
      <c r="B905" s="2144"/>
      <c r="C905" s="451" t="s">
        <v>4448</v>
      </c>
      <c r="D905" s="182" t="s">
        <v>87</v>
      </c>
      <c r="E905" s="479">
        <v>4.0446</v>
      </c>
      <c r="F905" s="460" t="s">
        <v>65</v>
      </c>
      <c r="G905" s="461">
        <v>20.149999999999999</v>
      </c>
      <c r="H905" s="462">
        <f t="shared" si="87"/>
        <v>81.489999999999995</v>
      </c>
      <c r="I905" s="1642"/>
      <c r="J905" s="1797"/>
      <c r="K905" s="1797"/>
      <c r="L905" s="1784"/>
      <c r="M905" s="1785"/>
    </row>
    <row r="906" spans="1:13" s="156" customFormat="1" ht="30" x14ac:dyDescent="0.2">
      <c r="A906" s="2144">
        <v>88315</v>
      </c>
      <c r="B906" s="2144"/>
      <c r="C906" s="451" t="s">
        <v>4448</v>
      </c>
      <c r="D906" s="182" t="s">
        <v>109</v>
      </c>
      <c r="E906" s="479">
        <v>10.785600000000002</v>
      </c>
      <c r="F906" s="460" t="s">
        <v>65</v>
      </c>
      <c r="G906" s="461">
        <v>20.059999999999999</v>
      </c>
      <c r="H906" s="462">
        <f t="shared" si="87"/>
        <v>216.35</v>
      </c>
      <c r="I906" s="1642"/>
      <c r="J906" s="1797"/>
      <c r="K906" s="1797"/>
      <c r="L906" s="1784"/>
      <c r="M906" s="1785"/>
    </row>
    <row r="907" spans="1:13" s="156" customFormat="1" ht="30" x14ac:dyDescent="0.2">
      <c r="A907" s="2144">
        <v>88316</v>
      </c>
      <c r="B907" s="2144"/>
      <c r="C907" s="451" t="s">
        <v>4448</v>
      </c>
      <c r="D907" s="182" t="s">
        <v>64</v>
      </c>
      <c r="E907" s="479">
        <v>16.1784</v>
      </c>
      <c r="F907" s="460" t="s">
        <v>65</v>
      </c>
      <c r="G907" s="461">
        <v>15.08</v>
      </c>
      <c r="H907" s="462">
        <f t="shared" si="87"/>
        <v>243.97</v>
      </c>
      <c r="I907" s="1642"/>
      <c r="J907" s="1797"/>
      <c r="K907" s="1797"/>
      <c r="L907" s="1784"/>
      <c r="M907" s="1785"/>
    </row>
    <row r="908" spans="1:13" s="1517" customFormat="1" x14ac:dyDescent="0.25">
      <c r="A908" s="179"/>
      <c r="B908" s="179"/>
      <c r="C908" s="463"/>
      <c r="D908" s="2141" t="s">
        <v>124</v>
      </c>
      <c r="E908" s="2141"/>
      <c r="F908" s="2141"/>
      <c r="G908" s="2141"/>
      <c r="H908" s="267">
        <f>SUMIF(F899:F907,("h"),H899:H907)</f>
        <v>541.80999999999995</v>
      </c>
      <c r="I908" s="1830"/>
      <c r="J908" s="1795"/>
      <c r="K908" s="1795"/>
      <c r="L908" s="169"/>
      <c r="M908" s="1783"/>
    </row>
    <row r="909" spans="1:13" s="1517" customFormat="1" x14ac:dyDescent="0.25">
      <c r="A909" s="179"/>
      <c r="B909" s="179"/>
      <c r="C909" s="463"/>
      <c r="D909" s="2141" t="s">
        <v>125</v>
      </c>
      <c r="E909" s="2141"/>
      <c r="F909" s="2141"/>
      <c r="G909" s="2141"/>
      <c r="H909" s="267">
        <f>SUMIF(F899:F907,"&lt;&gt;h",H899:H907)</f>
        <v>8699.7200000000012</v>
      </c>
      <c r="I909" s="1830"/>
      <c r="J909" s="1795"/>
      <c r="K909" s="1795"/>
      <c r="L909" s="169"/>
      <c r="M909" s="1783"/>
    </row>
    <row r="910" spans="1:13" s="1517" customFormat="1" x14ac:dyDescent="0.25">
      <c r="A910" s="179"/>
      <c r="B910" s="179"/>
      <c r="C910" s="463"/>
      <c r="D910" s="2142" t="s">
        <v>126</v>
      </c>
      <c r="E910" s="2142"/>
      <c r="F910" s="2142"/>
      <c r="G910" s="2142"/>
      <c r="H910" s="464">
        <f>SUM(H908:H909)</f>
        <v>9241.5300000000007</v>
      </c>
      <c r="I910" s="1830"/>
      <c r="J910" s="1795"/>
      <c r="K910" s="1795"/>
      <c r="L910" s="169"/>
      <c r="M910" s="1783"/>
    </row>
    <row r="911" spans="1:13" s="1517" customFormat="1" x14ac:dyDescent="0.25">
      <c r="A911" s="179"/>
      <c r="B911" s="179"/>
      <c r="C911" s="463"/>
      <c r="D911" s="2141" t="s">
        <v>28</v>
      </c>
      <c r="E911" s="2141"/>
      <c r="F911" s="2141"/>
      <c r="G911" s="2141"/>
      <c r="H911" s="269">
        <f>E898</f>
        <v>6</v>
      </c>
      <c r="I911" s="1830"/>
      <c r="J911" s="1795"/>
      <c r="K911" s="1795"/>
      <c r="L911" s="169"/>
      <c r="M911" s="1783"/>
    </row>
    <row r="912" spans="1:13" s="1517" customFormat="1" x14ac:dyDescent="0.25">
      <c r="A912" s="179"/>
      <c r="B912" s="179"/>
      <c r="C912" s="463"/>
      <c r="D912" s="2142" t="s">
        <v>127</v>
      </c>
      <c r="E912" s="2142"/>
      <c r="F912" s="2142"/>
      <c r="G912" s="2142"/>
      <c r="H912" s="464">
        <f>ROUND(H910*H911,2)</f>
        <v>55449.18</v>
      </c>
      <c r="I912" s="1830"/>
      <c r="J912" s="1795"/>
      <c r="K912" s="1795"/>
      <c r="L912" s="169"/>
      <c r="M912" s="1783"/>
    </row>
    <row r="913" spans="1:13" s="1517" customFormat="1" x14ac:dyDescent="0.25">
      <c r="A913" s="179"/>
      <c r="B913" s="179"/>
      <c r="C913" s="1531"/>
      <c r="D913" s="2141" t="s">
        <v>15335</v>
      </c>
      <c r="E913" s="2141"/>
      <c r="F913" s="2141"/>
      <c r="G913" s="2141"/>
      <c r="H913" s="267">
        <f>ROUND(H910*$B$13,2)</f>
        <v>2488.7399999999998</v>
      </c>
      <c r="I913" s="1830"/>
      <c r="J913" s="1795"/>
      <c r="K913" s="1795"/>
      <c r="L913" s="169"/>
      <c r="M913" s="1783"/>
    </row>
    <row r="914" spans="1:13" x14ac:dyDescent="0.25">
      <c r="A914" s="179"/>
      <c r="B914" s="179"/>
      <c r="C914" s="1531"/>
      <c r="D914" s="2142" t="s">
        <v>7898</v>
      </c>
      <c r="E914" s="2142"/>
      <c r="F914" s="2142"/>
      <c r="G914" s="2142"/>
      <c r="H914" s="1532">
        <f>H913+H910</f>
        <v>11730.27</v>
      </c>
    </row>
    <row r="915" spans="1:13" x14ac:dyDescent="0.25">
      <c r="A915" s="450"/>
      <c r="B915" s="450"/>
      <c r="C915" s="450"/>
      <c r="F915" s="465"/>
      <c r="G915" s="466"/>
      <c r="H915" s="450"/>
    </row>
    <row r="916" spans="1:13" s="1517" customFormat="1" x14ac:dyDescent="0.25">
      <c r="A916" s="146" t="s">
        <v>6</v>
      </c>
      <c r="B916" s="2143" t="s">
        <v>7</v>
      </c>
      <c r="C916" s="2143"/>
      <c r="D916" s="472" t="s">
        <v>121</v>
      </c>
      <c r="E916" s="278" t="s">
        <v>5282</v>
      </c>
      <c r="F916" s="472" t="s">
        <v>31</v>
      </c>
      <c r="G916" s="473" t="s">
        <v>122</v>
      </c>
      <c r="H916" s="474" t="s">
        <v>123</v>
      </c>
      <c r="I916" s="1830"/>
      <c r="J916" s="1795"/>
      <c r="K916" s="1795"/>
      <c r="L916" s="169"/>
      <c r="M916" s="1783"/>
    </row>
    <row r="917" spans="1:13" s="1526" customFormat="1" ht="60" x14ac:dyDescent="0.2">
      <c r="A917" s="475" t="str">
        <f>'Orç - Prédio'!A148</f>
        <v>04.01.228.04</v>
      </c>
      <c r="B917" s="487" t="str">
        <f>'Orç - Prédio'!B148</f>
        <v>Comp. Montada</v>
      </c>
      <c r="C917" s="487">
        <f>'Orç - Prédio'!C148</f>
        <v>7</v>
      </c>
      <c r="D917" s="488" t="s">
        <v>9529</v>
      </c>
      <c r="E917" s="476">
        <f>'Orç - Prédio'!E148</f>
        <v>2</v>
      </c>
      <c r="F917" s="487" t="s">
        <v>5284</v>
      </c>
      <c r="G917" s="477">
        <v>7556.2199999999993</v>
      </c>
      <c r="H917" s="478">
        <f>H931</f>
        <v>15112.44</v>
      </c>
      <c r="I917" s="1910" t="s">
        <v>9544</v>
      </c>
      <c r="J917" s="1793"/>
      <c r="K917" s="1793"/>
      <c r="L917" s="141"/>
      <c r="M917" s="1515"/>
    </row>
    <row r="918" spans="1:13" s="1859" customFormat="1" x14ac:dyDescent="0.2">
      <c r="A918" s="2148" t="s">
        <v>8538</v>
      </c>
      <c r="B918" s="2148"/>
      <c r="C918" s="1829" t="s">
        <v>5696</v>
      </c>
      <c r="D918" s="1853" t="s">
        <v>8537</v>
      </c>
      <c r="E918" s="1864">
        <v>0.5</v>
      </c>
      <c r="F918" s="1917" t="s">
        <v>306</v>
      </c>
      <c r="G918" s="367">
        <v>487.77</v>
      </c>
      <c r="H918" s="1852">
        <f t="shared" ref="H918:H926" si="88">ROUNDDOWN(G918*E918,2)</f>
        <v>243.88</v>
      </c>
      <c r="I918" s="1856"/>
      <c r="J918" s="1797"/>
      <c r="K918" s="1797"/>
      <c r="L918" s="1784"/>
      <c r="M918" s="1785"/>
    </row>
    <row r="919" spans="1:13" s="1859" customFormat="1" ht="30" x14ac:dyDescent="0.2">
      <c r="A919" s="2148" t="s">
        <v>9549</v>
      </c>
      <c r="B919" s="2148"/>
      <c r="C919" s="1829" t="s">
        <v>5696</v>
      </c>
      <c r="D919" s="1853" t="s">
        <v>9548</v>
      </c>
      <c r="E919" s="1864">
        <v>5.4</v>
      </c>
      <c r="F919" s="1917" t="s">
        <v>306</v>
      </c>
      <c r="G919" s="367">
        <v>571.73</v>
      </c>
      <c r="H919" s="1852">
        <f t="shared" si="88"/>
        <v>3087.34</v>
      </c>
      <c r="I919" s="1856"/>
      <c r="J919" s="1797"/>
      <c r="K919" s="1797"/>
      <c r="L919" s="1784"/>
      <c r="M919" s="1785"/>
    </row>
    <row r="920" spans="1:13" s="1859" customFormat="1" ht="30" x14ac:dyDescent="0.2">
      <c r="A920" s="2148" t="s">
        <v>8542</v>
      </c>
      <c r="B920" s="2148"/>
      <c r="C920" s="1829" t="s">
        <v>5696</v>
      </c>
      <c r="D920" s="1853" t="s">
        <v>8541</v>
      </c>
      <c r="E920" s="1864">
        <v>4.6500000000000004</v>
      </c>
      <c r="F920" s="1917" t="s">
        <v>306</v>
      </c>
      <c r="G920" s="367">
        <v>694.59</v>
      </c>
      <c r="H920" s="1852">
        <f t="shared" si="88"/>
        <v>3229.84</v>
      </c>
      <c r="I920" s="1856"/>
      <c r="J920" s="1797"/>
      <c r="K920" s="1797"/>
      <c r="L920" s="1784"/>
      <c r="M920" s="1785"/>
    </row>
    <row r="921" spans="1:13" s="156" customFormat="1" ht="45" x14ac:dyDescent="0.2">
      <c r="A921" s="2144">
        <v>142</v>
      </c>
      <c r="B921" s="2144"/>
      <c r="C921" s="471" t="s">
        <v>4448</v>
      </c>
      <c r="D921" s="182" t="s">
        <v>13747</v>
      </c>
      <c r="E921" s="490">
        <v>9.3145950000000006</v>
      </c>
      <c r="F921" s="480" t="s">
        <v>63</v>
      </c>
      <c r="G921" s="367">
        <v>22.83</v>
      </c>
      <c r="H921" s="482">
        <f t="shared" si="88"/>
        <v>212.65</v>
      </c>
      <c r="I921" s="1642"/>
      <c r="J921" s="1797"/>
      <c r="K921" s="1797"/>
      <c r="L921" s="1784"/>
      <c r="M921" s="1785"/>
    </row>
    <row r="922" spans="1:13" s="156" customFormat="1" ht="60" x14ac:dyDescent="0.2">
      <c r="A922" s="2144">
        <v>7568</v>
      </c>
      <c r="B922" s="2144"/>
      <c r="C922" s="471" t="s">
        <v>4448</v>
      </c>
      <c r="D922" s="182" t="s">
        <v>10260</v>
      </c>
      <c r="E922" s="491">
        <v>50.815130000000003</v>
      </c>
      <c r="F922" s="480" t="s">
        <v>39</v>
      </c>
      <c r="G922" s="481">
        <v>0.61</v>
      </c>
      <c r="H922" s="482">
        <f t="shared" si="88"/>
        <v>30.99</v>
      </c>
      <c r="I922" s="1642"/>
      <c r="J922" s="1797"/>
      <c r="K922" s="1797"/>
      <c r="L922" s="1784"/>
      <c r="M922" s="1785"/>
    </row>
    <row r="923" spans="1:13" s="1859" customFormat="1" ht="75" x14ac:dyDescent="0.2">
      <c r="A923" s="2148">
        <v>100725</v>
      </c>
      <c r="B923" s="2148"/>
      <c r="C923" s="1877" t="s">
        <v>4448</v>
      </c>
      <c r="D923" s="1850" t="s">
        <v>9282</v>
      </c>
      <c r="E923" s="1864">
        <f>2*9.3</f>
        <v>18.600000000000001</v>
      </c>
      <c r="F923" s="1917" t="s">
        <v>306</v>
      </c>
      <c r="G923" s="367">
        <v>17.61</v>
      </c>
      <c r="H923" s="1852">
        <f t="shared" si="88"/>
        <v>327.54000000000002</v>
      </c>
      <c r="I923" s="1856"/>
      <c r="J923" s="1797"/>
      <c r="K923" s="1797"/>
      <c r="L923" s="1784"/>
      <c r="M923" s="1785"/>
    </row>
    <row r="924" spans="1:13" s="156" customFormat="1" ht="30" x14ac:dyDescent="0.2">
      <c r="A924" s="2144">
        <v>88309</v>
      </c>
      <c r="B924" s="2144"/>
      <c r="C924" s="471" t="s">
        <v>4448</v>
      </c>
      <c r="D924" s="182" t="s">
        <v>87</v>
      </c>
      <c r="E924" s="490">
        <v>3.165</v>
      </c>
      <c r="F924" s="480" t="s">
        <v>65</v>
      </c>
      <c r="G924" s="481">
        <v>20.149999999999999</v>
      </c>
      <c r="H924" s="482">
        <f t="shared" si="88"/>
        <v>63.77</v>
      </c>
      <c r="I924" s="1642"/>
      <c r="J924" s="1797"/>
      <c r="K924" s="1797"/>
      <c r="L924" s="1784"/>
      <c r="M924" s="1785"/>
    </row>
    <row r="925" spans="1:13" s="156" customFormat="1" ht="30" x14ac:dyDescent="0.2">
      <c r="A925" s="2144">
        <v>88315</v>
      </c>
      <c r="B925" s="2144"/>
      <c r="C925" s="471" t="s">
        <v>4448</v>
      </c>
      <c r="D925" s="182" t="s">
        <v>109</v>
      </c>
      <c r="E925" s="490">
        <v>8.4400000000000013</v>
      </c>
      <c r="F925" s="480" t="s">
        <v>65</v>
      </c>
      <c r="G925" s="481">
        <v>20.059999999999999</v>
      </c>
      <c r="H925" s="482">
        <f t="shared" si="88"/>
        <v>169.3</v>
      </c>
      <c r="I925" s="1642"/>
      <c r="J925" s="1797"/>
      <c r="K925" s="1797"/>
      <c r="L925" s="1784"/>
      <c r="M925" s="1785"/>
    </row>
    <row r="926" spans="1:13" s="156" customFormat="1" ht="30" x14ac:dyDescent="0.2">
      <c r="A926" s="2144">
        <v>88316</v>
      </c>
      <c r="B926" s="2144"/>
      <c r="C926" s="471" t="s">
        <v>4448</v>
      </c>
      <c r="D926" s="182" t="s">
        <v>64</v>
      </c>
      <c r="E926" s="490">
        <v>12.66</v>
      </c>
      <c r="F926" s="480" t="s">
        <v>65</v>
      </c>
      <c r="G926" s="481">
        <v>15.08</v>
      </c>
      <c r="H926" s="482">
        <f t="shared" si="88"/>
        <v>190.91</v>
      </c>
      <c r="I926" s="1642"/>
      <c r="J926" s="1797"/>
      <c r="K926" s="1797"/>
      <c r="L926" s="1784"/>
      <c r="M926" s="1785"/>
    </row>
    <row r="927" spans="1:13" s="1517" customFormat="1" x14ac:dyDescent="0.25">
      <c r="A927" s="179"/>
      <c r="B927" s="179"/>
      <c r="C927" s="483"/>
      <c r="D927" s="2141" t="s">
        <v>124</v>
      </c>
      <c r="E927" s="2141"/>
      <c r="F927" s="2141"/>
      <c r="G927" s="2141"/>
      <c r="H927" s="267">
        <f>SUMIF(F918:F926,("h"),H918:H926)</f>
        <v>423.98</v>
      </c>
      <c r="I927" s="1830"/>
      <c r="J927" s="1795"/>
      <c r="K927" s="1795"/>
      <c r="L927" s="169"/>
      <c r="M927" s="1783"/>
    </row>
    <row r="928" spans="1:13" s="1517" customFormat="1" x14ac:dyDescent="0.25">
      <c r="A928" s="179"/>
      <c r="B928" s="179"/>
      <c r="C928" s="483"/>
      <c r="D928" s="2141" t="s">
        <v>125</v>
      </c>
      <c r="E928" s="2141"/>
      <c r="F928" s="2141"/>
      <c r="G928" s="2141"/>
      <c r="H928" s="267">
        <f>SUMIF(F918:F926,"&lt;&gt;h",H918:H926)</f>
        <v>7132.24</v>
      </c>
      <c r="I928" s="1830"/>
      <c r="J928" s="1795"/>
      <c r="K928" s="1795"/>
      <c r="L928" s="169"/>
      <c r="M928" s="1783"/>
    </row>
    <row r="929" spans="1:13" s="1517" customFormat="1" x14ac:dyDescent="0.25">
      <c r="A929" s="179"/>
      <c r="B929" s="179"/>
      <c r="C929" s="483"/>
      <c r="D929" s="2142" t="s">
        <v>126</v>
      </c>
      <c r="E929" s="2142"/>
      <c r="F929" s="2142"/>
      <c r="G929" s="2142"/>
      <c r="H929" s="484">
        <f>SUM(H927:H928)</f>
        <v>7556.2199999999993</v>
      </c>
      <c r="I929" s="1830"/>
      <c r="J929" s="1795"/>
      <c r="K929" s="1795"/>
      <c r="L929" s="169"/>
      <c r="M929" s="1783"/>
    </row>
    <row r="930" spans="1:13" s="1517" customFormat="1" x14ac:dyDescent="0.25">
      <c r="A930" s="179"/>
      <c r="B930" s="179"/>
      <c r="C930" s="483"/>
      <c r="D930" s="2141" t="s">
        <v>28</v>
      </c>
      <c r="E930" s="2141"/>
      <c r="F930" s="2141"/>
      <c r="G930" s="2141"/>
      <c r="H930" s="269">
        <f>E917</f>
        <v>2</v>
      </c>
      <c r="I930" s="1830"/>
      <c r="J930" s="1795"/>
      <c r="K930" s="1795"/>
      <c r="L930" s="169"/>
      <c r="M930" s="1783"/>
    </row>
    <row r="931" spans="1:13" s="1517" customFormat="1" x14ac:dyDescent="0.25">
      <c r="A931" s="179"/>
      <c r="B931" s="179"/>
      <c r="C931" s="483"/>
      <c r="D931" s="2142" t="s">
        <v>127</v>
      </c>
      <c r="E931" s="2142"/>
      <c r="F931" s="2142"/>
      <c r="G931" s="2142"/>
      <c r="H931" s="484">
        <f>ROUND(H929*H930,2)</f>
        <v>15112.44</v>
      </c>
      <c r="I931" s="1830"/>
      <c r="J931" s="1795"/>
      <c r="K931" s="1795"/>
      <c r="L931" s="169"/>
      <c r="M931" s="1783"/>
    </row>
    <row r="932" spans="1:13" s="1517" customFormat="1" x14ac:dyDescent="0.25">
      <c r="A932" s="179"/>
      <c r="B932" s="179"/>
      <c r="C932" s="1531"/>
      <c r="D932" s="2141" t="s">
        <v>15335</v>
      </c>
      <c r="E932" s="2141"/>
      <c r="F932" s="2141"/>
      <c r="G932" s="2141"/>
      <c r="H932" s="267">
        <f>ROUND(H929*$B$13,2)</f>
        <v>2034.89</v>
      </c>
      <c r="I932" s="1830"/>
      <c r="J932" s="1795"/>
      <c r="K932" s="1795"/>
      <c r="L932" s="169"/>
      <c r="M932" s="1783"/>
    </row>
    <row r="933" spans="1:13" x14ac:dyDescent="0.25">
      <c r="A933" s="179"/>
      <c r="B933" s="179"/>
      <c r="C933" s="1531"/>
      <c r="D933" s="2142" t="s">
        <v>7898</v>
      </c>
      <c r="E933" s="2142"/>
      <c r="F933" s="2142"/>
      <c r="G933" s="2142"/>
      <c r="H933" s="1532">
        <f>H932+H929</f>
        <v>9591.1099999999988</v>
      </c>
    </row>
    <row r="934" spans="1:13" x14ac:dyDescent="0.25">
      <c r="A934" s="470"/>
      <c r="B934" s="470"/>
      <c r="C934" s="470"/>
      <c r="F934" s="485"/>
      <c r="G934" s="486"/>
      <c r="H934" s="470"/>
    </row>
    <row r="935" spans="1:13" s="1517" customFormat="1" x14ac:dyDescent="0.25">
      <c r="A935" s="146" t="s">
        <v>6</v>
      </c>
      <c r="B935" s="2143" t="s">
        <v>7</v>
      </c>
      <c r="C935" s="2143"/>
      <c r="D935" s="1482" t="s">
        <v>121</v>
      </c>
      <c r="E935" s="278" t="s">
        <v>5282</v>
      </c>
      <c r="F935" s="1482" t="s">
        <v>31</v>
      </c>
      <c r="G935" s="1483" t="s">
        <v>122</v>
      </c>
      <c r="H935" s="1484" t="s">
        <v>123</v>
      </c>
      <c r="I935" s="1830"/>
      <c r="J935" s="1795"/>
      <c r="K935" s="1795"/>
      <c r="L935" s="169"/>
      <c r="M935" s="1783"/>
    </row>
    <row r="936" spans="1:13" s="1526" customFormat="1" ht="60" x14ac:dyDescent="0.2">
      <c r="A936" s="1485" t="str">
        <f>'Orç - Prédio'!A149</f>
        <v>04.01.229</v>
      </c>
      <c r="B936" s="1485" t="str">
        <f>'Orç - Prédio'!B149</f>
        <v>ORSE</v>
      </c>
      <c r="C936" s="1485">
        <f>'Orç - Prédio'!C149</f>
        <v>12082</v>
      </c>
      <c r="D936" s="1465" t="s">
        <v>15032</v>
      </c>
      <c r="E936" s="1486">
        <f>'Orç - Prédio'!E149</f>
        <v>1</v>
      </c>
      <c r="F936" s="1485" t="s">
        <v>5284</v>
      </c>
      <c r="G936" s="1487">
        <v>4134.49</v>
      </c>
      <c r="H936" s="1488">
        <f>H944</f>
        <v>4134.49</v>
      </c>
      <c r="I936" s="1910" t="s">
        <v>14965</v>
      </c>
      <c r="J936" s="1793"/>
      <c r="K936" s="1793"/>
      <c r="L936" s="141"/>
      <c r="M936" s="1515"/>
    </row>
    <row r="937" spans="1:13" s="156" customFormat="1" ht="105" x14ac:dyDescent="0.2">
      <c r="A937" s="2144">
        <v>12919</v>
      </c>
      <c r="B937" s="2144"/>
      <c r="C937" s="1496" t="s">
        <v>5281</v>
      </c>
      <c r="D937" s="1497" t="s">
        <v>6667</v>
      </c>
      <c r="E937" s="1498">
        <v>1</v>
      </c>
      <c r="F937" s="1502" t="s">
        <v>31</v>
      </c>
      <c r="G937" s="367">
        <v>3997.61</v>
      </c>
      <c r="H937" s="1501">
        <f>ROUNDDOWN(G937*E937,2)</f>
        <v>3997.61</v>
      </c>
      <c r="I937" s="1642"/>
      <c r="J937" s="1797"/>
      <c r="K937" s="1797"/>
      <c r="L937" s="1784"/>
      <c r="M937" s="1785"/>
    </row>
    <row r="938" spans="1:13" s="156" customFormat="1" ht="30" x14ac:dyDescent="0.2">
      <c r="A938" s="2144">
        <v>88262</v>
      </c>
      <c r="B938" s="2144"/>
      <c r="C938" s="1495" t="s">
        <v>4448</v>
      </c>
      <c r="D938" s="182" t="s">
        <v>80</v>
      </c>
      <c r="E938" s="1498">
        <v>3.9</v>
      </c>
      <c r="F938" s="1502" t="s">
        <v>65</v>
      </c>
      <c r="G938" s="1500">
        <v>20.02</v>
      </c>
      <c r="H938" s="1501">
        <f>ROUNDDOWN(G938*E938,2)</f>
        <v>78.069999999999993</v>
      </c>
      <c r="I938" s="1642"/>
      <c r="J938" s="1797"/>
      <c r="K938" s="1797"/>
      <c r="L938" s="1784"/>
      <c r="M938" s="1785"/>
    </row>
    <row r="939" spans="1:13" s="156" customFormat="1" ht="30" x14ac:dyDescent="0.2">
      <c r="A939" s="2144">
        <v>88316</v>
      </c>
      <c r="B939" s="2144"/>
      <c r="C939" s="1495" t="s">
        <v>4448</v>
      </c>
      <c r="D939" s="182" t="s">
        <v>64</v>
      </c>
      <c r="E939" s="1498">
        <v>3.9</v>
      </c>
      <c r="F939" s="1502" t="s">
        <v>65</v>
      </c>
      <c r="G939" s="1500">
        <v>15.08</v>
      </c>
      <c r="H939" s="1501">
        <f>ROUNDDOWN(G939*E939,2)</f>
        <v>58.81</v>
      </c>
      <c r="I939" s="1642"/>
      <c r="J939" s="1797"/>
      <c r="K939" s="1797"/>
      <c r="L939" s="1784"/>
      <c r="M939" s="1785"/>
    </row>
    <row r="940" spans="1:13" s="1517" customFormat="1" x14ac:dyDescent="0.25">
      <c r="A940" s="179"/>
      <c r="B940" s="179"/>
      <c r="C940" s="1489"/>
      <c r="D940" s="2141" t="s">
        <v>124</v>
      </c>
      <c r="E940" s="2141"/>
      <c r="F940" s="2141"/>
      <c r="G940" s="2141"/>
      <c r="H940" s="267">
        <f>SUMIF(F937:F939,("h"),H937:H939)</f>
        <v>136.88</v>
      </c>
      <c r="I940" s="1830"/>
      <c r="J940" s="1795"/>
      <c r="K940" s="1795"/>
      <c r="L940" s="169"/>
      <c r="M940" s="1783"/>
    </row>
    <row r="941" spans="1:13" s="1517" customFormat="1" x14ac:dyDescent="0.25">
      <c r="A941" s="179"/>
      <c r="B941" s="179"/>
      <c r="C941" s="1489"/>
      <c r="D941" s="2141" t="s">
        <v>125</v>
      </c>
      <c r="E941" s="2141"/>
      <c r="F941" s="2141"/>
      <c r="G941" s="2141"/>
      <c r="H941" s="267">
        <f>SUMIF(F937:F939,"&lt;&gt;h",H937:H939)</f>
        <v>3997.61</v>
      </c>
      <c r="I941" s="1830"/>
      <c r="J941" s="1795"/>
      <c r="K941" s="1795"/>
      <c r="L941" s="169"/>
      <c r="M941" s="1783"/>
    </row>
    <row r="942" spans="1:13" s="1517" customFormat="1" x14ac:dyDescent="0.25">
      <c r="A942" s="179"/>
      <c r="B942" s="179"/>
      <c r="C942" s="1489"/>
      <c r="D942" s="2142" t="s">
        <v>126</v>
      </c>
      <c r="E942" s="2142"/>
      <c r="F942" s="2142"/>
      <c r="G942" s="2142"/>
      <c r="H942" s="1490">
        <f>SUM(H940:H941)</f>
        <v>4134.49</v>
      </c>
      <c r="I942" s="1830"/>
      <c r="J942" s="1795"/>
      <c r="K942" s="1795"/>
      <c r="L942" s="169"/>
      <c r="M942" s="1783"/>
    </row>
    <row r="943" spans="1:13" s="1517" customFormat="1" x14ac:dyDescent="0.25">
      <c r="A943" s="179"/>
      <c r="B943" s="179"/>
      <c r="C943" s="1489"/>
      <c r="D943" s="2141" t="s">
        <v>28</v>
      </c>
      <c r="E943" s="2141"/>
      <c r="F943" s="2141"/>
      <c r="G943" s="2141"/>
      <c r="H943" s="269">
        <f>E936</f>
        <v>1</v>
      </c>
      <c r="I943" s="1830"/>
      <c r="J943" s="1795"/>
      <c r="K943" s="1795"/>
      <c r="L943" s="169"/>
      <c r="M943" s="1783"/>
    </row>
    <row r="944" spans="1:13" s="1517" customFormat="1" x14ac:dyDescent="0.25">
      <c r="A944" s="179"/>
      <c r="B944" s="179"/>
      <c r="C944" s="1489"/>
      <c r="D944" s="2142" t="s">
        <v>127</v>
      </c>
      <c r="E944" s="2142"/>
      <c r="F944" s="2142"/>
      <c r="G944" s="2142"/>
      <c r="H944" s="1490">
        <f>ROUND(H942*H943,2)</f>
        <v>4134.49</v>
      </c>
      <c r="I944" s="1830"/>
      <c r="J944" s="1795"/>
      <c r="K944" s="1795"/>
      <c r="L944" s="169"/>
      <c r="M944" s="1783"/>
    </row>
    <row r="945" spans="1:13" s="1517" customFormat="1" x14ac:dyDescent="0.25">
      <c r="A945" s="179"/>
      <c r="B945" s="179"/>
      <c r="C945" s="1531"/>
      <c r="D945" s="2141" t="s">
        <v>15335</v>
      </c>
      <c r="E945" s="2141"/>
      <c r="F945" s="2141"/>
      <c r="G945" s="2141"/>
      <c r="H945" s="267">
        <f>ROUND(H942*$B$13,2)</f>
        <v>1113.42</v>
      </c>
      <c r="I945" s="1830"/>
      <c r="J945" s="1795"/>
      <c r="K945" s="1795"/>
      <c r="L945" s="169"/>
      <c r="M945" s="1783"/>
    </row>
    <row r="946" spans="1:13" x14ac:dyDescent="0.25">
      <c r="A946" s="179"/>
      <c r="B946" s="179"/>
      <c r="C946" s="1531"/>
      <c r="D946" s="2142" t="s">
        <v>7898</v>
      </c>
      <c r="E946" s="2142"/>
      <c r="F946" s="2142"/>
      <c r="G946" s="2142"/>
      <c r="H946" s="1532">
        <f>H945+H942</f>
        <v>5247.91</v>
      </c>
    </row>
    <row r="947" spans="1:13" x14ac:dyDescent="0.25">
      <c r="A947" s="1481"/>
      <c r="B947" s="1481"/>
      <c r="C947" s="1481"/>
      <c r="F947" s="1491"/>
      <c r="G947" s="1492"/>
      <c r="H947" s="1481"/>
    </row>
    <row r="948" spans="1:13" s="1517" customFormat="1" x14ac:dyDescent="0.25">
      <c r="A948" s="146" t="s">
        <v>6</v>
      </c>
      <c r="B948" s="2143" t="s">
        <v>7</v>
      </c>
      <c r="C948" s="2143"/>
      <c r="D948" s="494" t="s">
        <v>121</v>
      </c>
      <c r="E948" s="278" t="s">
        <v>5282</v>
      </c>
      <c r="F948" s="494" t="s">
        <v>31</v>
      </c>
      <c r="G948" s="495" t="s">
        <v>122</v>
      </c>
      <c r="H948" s="496" t="s">
        <v>123</v>
      </c>
      <c r="I948" s="1830"/>
      <c r="J948" s="1795"/>
      <c r="K948" s="1795"/>
      <c r="L948" s="169"/>
      <c r="M948" s="1783"/>
    </row>
    <row r="949" spans="1:13" s="1526" customFormat="1" ht="90" x14ac:dyDescent="0.2">
      <c r="A949" s="497" t="str">
        <f>'Orç - Prédio'!A150</f>
        <v>04.01.230.01</v>
      </c>
      <c r="B949" s="509" t="str">
        <f>'Orç - Prédio'!B150</f>
        <v>SINAPI</v>
      </c>
      <c r="C949" s="509" t="str">
        <f>'Orç - Prédio'!C150</f>
        <v>90844 MOD 1</v>
      </c>
      <c r="D949" s="510" t="s">
        <v>5741</v>
      </c>
      <c r="E949" s="498">
        <f>'Orç - Prédio'!E150</f>
        <v>6</v>
      </c>
      <c r="F949" s="509" t="s">
        <v>5284</v>
      </c>
      <c r="G949" s="499">
        <v>908.91999999999985</v>
      </c>
      <c r="H949" s="500">
        <f>H963</f>
        <v>5453.52</v>
      </c>
      <c r="I949" s="1910" t="s">
        <v>9544</v>
      </c>
      <c r="J949" s="1793"/>
      <c r="K949" s="1793"/>
      <c r="L949" s="141"/>
      <c r="M949" s="1515"/>
    </row>
    <row r="950" spans="1:13" s="156" customFormat="1" ht="30" x14ac:dyDescent="0.2">
      <c r="A950" s="2144" t="s">
        <v>7663</v>
      </c>
      <c r="B950" s="2144"/>
      <c r="C950" s="1496" t="s">
        <v>5696</v>
      </c>
      <c r="D950" s="1497" t="s">
        <v>8543</v>
      </c>
      <c r="E950" s="501">
        <f>0.3*0.2</f>
        <v>0.06</v>
      </c>
      <c r="F950" s="502" t="s">
        <v>306</v>
      </c>
      <c r="G950" s="367">
        <v>1868.68</v>
      </c>
      <c r="H950" s="504">
        <f t="shared" ref="H950:H958" si="89">ROUNDDOWN(G950*E950,2)</f>
        <v>112.12</v>
      </c>
      <c r="I950" s="1642"/>
      <c r="J950" s="1797"/>
      <c r="K950" s="1797"/>
      <c r="L950" s="1784"/>
      <c r="M950" s="1785"/>
    </row>
    <row r="951" spans="1:13" s="156" customFormat="1" ht="30" x14ac:dyDescent="0.2">
      <c r="A951" s="2144">
        <v>11572</v>
      </c>
      <c r="B951" s="2144"/>
      <c r="C951" s="1516" t="s">
        <v>4448</v>
      </c>
      <c r="D951" s="182" t="s">
        <v>13505</v>
      </c>
      <c r="E951" s="1527">
        <v>1</v>
      </c>
      <c r="F951" s="1661" t="s">
        <v>39</v>
      </c>
      <c r="G951" s="1529">
        <v>14.49</v>
      </c>
      <c r="H951" s="1530">
        <f>ROUNDDOWN(G951*E951,2)</f>
        <v>14.49</v>
      </c>
      <c r="I951" s="1642"/>
      <c r="J951" s="1797"/>
      <c r="K951" s="1797"/>
      <c r="L951" s="1784"/>
      <c r="M951" s="1785"/>
    </row>
    <row r="952" spans="1:13" s="156" customFormat="1" ht="30" x14ac:dyDescent="0.2">
      <c r="A952" s="2144">
        <v>11560</v>
      </c>
      <c r="B952" s="2144"/>
      <c r="C952" s="512" t="s">
        <v>4448</v>
      </c>
      <c r="D952" s="182" t="s">
        <v>12929</v>
      </c>
      <c r="E952" s="522">
        <v>1</v>
      </c>
      <c r="F952" s="523" t="s">
        <v>39</v>
      </c>
      <c r="G952" s="524">
        <v>112.39</v>
      </c>
      <c r="H952" s="525">
        <f>ROUNDDOWN(G952*E952,2)</f>
        <v>112.39</v>
      </c>
      <c r="I952" s="1642"/>
      <c r="J952" s="1797"/>
      <c r="K952" s="1797"/>
      <c r="L952" s="1784"/>
      <c r="M952" s="1785"/>
    </row>
    <row r="953" spans="1:13" s="156" customFormat="1" ht="60" x14ac:dyDescent="0.2">
      <c r="A953" s="2144">
        <v>4958</v>
      </c>
      <c r="B953" s="2144"/>
      <c r="C953" s="493" t="s">
        <v>4448</v>
      </c>
      <c r="D953" s="182" t="s">
        <v>13432</v>
      </c>
      <c r="E953" s="501">
        <f>0.9*2.1</f>
        <v>1.8900000000000001</v>
      </c>
      <c r="F953" s="502" t="s">
        <v>45</v>
      </c>
      <c r="G953" s="503">
        <v>117.82</v>
      </c>
      <c r="H953" s="504">
        <f t="shared" si="89"/>
        <v>222.67</v>
      </c>
      <c r="I953" s="1642"/>
      <c r="J953" s="1797"/>
      <c r="K953" s="1797"/>
      <c r="L953" s="1784"/>
      <c r="M953" s="1785"/>
    </row>
    <row r="954" spans="1:13" s="1859" customFormat="1" ht="58.5" customHeight="1" x14ac:dyDescent="0.2">
      <c r="A954" s="2144">
        <v>2432</v>
      </c>
      <c r="B954" s="2144"/>
      <c r="C954" s="1863" t="s">
        <v>4448</v>
      </c>
      <c r="D954" s="1862" t="s">
        <v>11566</v>
      </c>
      <c r="E954" s="1864">
        <v>3</v>
      </c>
      <c r="F954" s="1898" t="s">
        <v>39</v>
      </c>
      <c r="G954" s="1860">
        <v>16.170000000000002</v>
      </c>
      <c r="H954" s="1857">
        <f t="shared" ref="H954" si="90">ROUNDDOWN(G954*E954,2)</f>
        <v>48.51</v>
      </c>
      <c r="I954" s="1856"/>
      <c r="J954" s="1797"/>
      <c r="K954" s="1797"/>
      <c r="L954" s="1784"/>
      <c r="M954" s="1785"/>
    </row>
    <row r="955" spans="1:13" s="156" customFormat="1" ht="60" x14ac:dyDescent="0.2">
      <c r="A955" s="2144">
        <v>90830</v>
      </c>
      <c r="B955" s="2144"/>
      <c r="C955" s="493" t="s">
        <v>4448</v>
      </c>
      <c r="D955" s="182" t="s">
        <v>8631</v>
      </c>
      <c r="E955" s="501">
        <v>1</v>
      </c>
      <c r="F955" s="502" t="s">
        <v>168</v>
      </c>
      <c r="G955" s="503">
        <v>103.16</v>
      </c>
      <c r="H955" s="504">
        <f t="shared" si="89"/>
        <v>103.16</v>
      </c>
      <c r="I955" s="1642"/>
      <c r="J955" s="1797"/>
      <c r="K955" s="1797"/>
      <c r="L955" s="1784"/>
      <c r="M955" s="1785"/>
    </row>
    <row r="956" spans="1:13" s="1859" customFormat="1" ht="45" x14ac:dyDescent="0.2">
      <c r="A956" s="2144">
        <v>90801</v>
      </c>
      <c r="B956" s="2144"/>
      <c r="C956" s="1863" t="s">
        <v>4448</v>
      </c>
      <c r="D956" s="1862" t="s">
        <v>8623</v>
      </c>
      <c r="E956" s="1864">
        <v>1</v>
      </c>
      <c r="F956" s="1898" t="s">
        <v>168</v>
      </c>
      <c r="G956" s="1860">
        <v>249.29</v>
      </c>
      <c r="H956" s="1857">
        <f t="shared" si="89"/>
        <v>249.29</v>
      </c>
      <c r="I956" s="1856"/>
      <c r="J956" s="1797"/>
      <c r="K956" s="1797"/>
      <c r="L956" s="1784"/>
      <c r="M956" s="1785"/>
    </row>
    <row r="957" spans="1:13" s="1859" customFormat="1" ht="30" x14ac:dyDescent="0.2">
      <c r="A957" s="2144">
        <v>88261</v>
      </c>
      <c r="B957" s="2144"/>
      <c r="C957" s="1863" t="s">
        <v>4448</v>
      </c>
      <c r="D957" s="1862" t="s">
        <v>4291</v>
      </c>
      <c r="E957" s="1864">
        <v>1.6779999999999999</v>
      </c>
      <c r="F957" s="1898" t="s">
        <v>65</v>
      </c>
      <c r="G957" s="1860">
        <v>20.05</v>
      </c>
      <c r="H957" s="1857">
        <f t="shared" ref="H957" si="91">ROUNDDOWN(G957*E957,2)</f>
        <v>33.64</v>
      </c>
      <c r="I957" s="1856"/>
      <c r="J957" s="1797"/>
      <c r="K957" s="1797"/>
      <c r="L957" s="1784"/>
      <c r="M957" s="1785"/>
    </row>
    <row r="958" spans="1:13" s="1859" customFormat="1" ht="30" x14ac:dyDescent="0.2">
      <c r="A958" s="2148">
        <v>88316</v>
      </c>
      <c r="B958" s="2148"/>
      <c r="C958" s="1877" t="s">
        <v>4448</v>
      </c>
      <c r="D958" s="1850" t="s">
        <v>64</v>
      </c>
      <c r="E958" s="1864">
        <v>0.83899999999999997</v>
      </c>
      <c r="F958" s="1899" t="s">
        <v>65</v>
      </c>
      <c r="G958" s="367">
        <v>15.08</v>
      </c>
      <c r="H958" s="1852">
        <f t="shared" si="89"/>
        <v>12.65</v>
      </c>
      <c r="I958" s="1856"/>
      <c r="J958" s="1797"/>
      <c r="K958" s="1797"/>
      <c r="L958" s="1784"/>
      <c r="M958" s="1785"/>
    </row>
    <row r="959" spans="1:13" s="1517" customFormat="1" x14ac:dyDescent="0.25">
      <c r="A959" s="179"/>
      <c r="B959" s="179"/>
      <c r="C959" s="505"/>
      <c r="D959" s="2141" t="s">
        <v>124</v>
      </c>
      <c r="E959" s="2141"/>
      <c r="F959" s="2141"/>
      <c r="G959" s="2141"/>
      <c r="H959" s="267">
        <f>SUMIF(F950:F958,("h"),H950:H958)</f>
        <v>46.29</v>
      </c>
      <c r="I959" s="1830"/>
      <c r="J959" s="1795"/>
      <c r="K959" s="1795"/>
      <c r="L959" s="169"/>
      <c r="M959" s="1783"/>
    </row>
    <row r="960" spans="1:13" s="1517" customFormat="1" x14ac:dyDescent="0.25">
      <c r="A960" s="179"/>
      <c r="B960" s="179"/>
      <c r="C960" s="505"/>
      <c r="D960" s="2141" t="s">
        <v>125</v>
      </c>
      <c r="E960" s="2141"/>
      <c r="F960" s="2141"/>
      <c r="G960" s="2141"/>
      <c r="H960" s="267">
        <f>SUMIF(F950:F958,"&lt;&gt;h",H950:H958)</f>
        <v>862.62999999999988</v>
      </c>
      <c r="I960" s="1830"/>
      <c r="J960" s="1795"/>
      <c r="K960" s="1795"/>
      <c r="L960" s="169"/>
      <c r="M960" s="1783"/>
    </row>
    <row r="961" spans="1:13" s="1517" customFormat="1" x14ac:dyDescent="0.25">
      <c r="A961" s="179"/>
      <c r="B961" s="179"/>
      <c r="C961" s="505"/>
      <c r="D961" s="2142" t="s">
        <v>126</v>
      </c>
      <c r="E961" s="2142"/>
      <c r="F961" s="2142"/>
      <c r="G961" s="2142"/>
      <c r="H961" s="506">
        <f>SUM(H959:H960)</f>
        <v>908.91999999999985</v>
      </c>
      <c r="I961" s="1830"/>
      <c r="J961" s="1795"/>
      <c r="K961" s="1795"/>
      <c r="L961" s="169"/>
      <c r="M961" s="1783"/>
    </row>
    <row r="962" spans="1:13" s="1517" customFormat="1" x14ac:dyDescent="0.25">
      <c r="A962" s="179"/>
      <c r="B962" s="179"/>
      <c r="C962" s="505"/>
      <c r="D962" s="2141" t="s">
        <v>28</v>
      </c>
      <c r="E962" s="2141"/>
      <c r="F962" s="2141"/>
      <c r="G962" s="2141"/>
      <c r="H962" s="269">
        <f>E949</f>
        <v>6</v>
      </c>
      <c r="I962" s="1830"/>
      <c r="J962" s="1795"/>
      <c r="K962" s="1795"/>
      <c r="L962" s="169"/>
      <c r="M962" s="1783"/>
    </row>
    <row r="963" spans="1:13" s="1517" customFormat="1" x14ac:dyDescent="0.25">
      <c r="A963" s="179"/>
      <c r="B963" s="179"/>
      <c r="C963" s="505"/>
      <c r="D963" s="2142" t="s">
        <v>127</v>
      </c>
      <c r="E963" s="2142"/>
      <c r="F963" s="2142"/>
      <c r="G963" s="2142"/>
      <c r="H963" s="506">
        <f>ROUND(H961*H962,2)</f>
        <v>5453.52</v>
      </c>
      <c r="I963" s="1830"/>
      <c r="J963" s="1795"/>
      <c r="K963" s="1795"/>
      <c r="L963" s="169"/>
      <c r="M963" s="1783"/>
    </row>
    <row r="964" spans="1:13" s="1517" customFormat="1" x14ac:dyDescent="0.25">
      <c r="A964" s="179"/>
      <c r="B964" s="179"/>
      <c r="C964" s="1531"/>
      <c r="D964" s="2141" t="s">
        <v>15335</v>
      </c>
      <c r="E964" s="2141"/>
      <c r="F964" s="2141"/>
      <c r="G964" s="2141"/>
      <c r="H964" s="267">
        <f>ROUND(H961*$B$13,2)</f>
        <v>244.77</v>
      </c>
      <c r="I964" s="1830"/>
      <c r="J964" s="1795"/>
      <c r="K964" s="1795"/>
      <c r="L964" s="169"/>
      <c r="M964" s="1783"/>
    </row>
    <row r="965" spans="1:13" x14ac:dyDescent="0.25">
      <c r="A965" s="179"/>
      <c r="B965" s="179"/>
      <c r="C965" s="1531"/>
      <c r="D965" s="2142" t="s">
        <v>7898</v>
      </c>
      <c r="E965" s="2142"/>
      <c r="F965" s="2142"/>
      <c r="G965" s="2142"/>
      <c r="H965" s="1532">
        <f>H964+H961</f>
        <v>1153.6899999999998</v>
      </c>
    </row>
    <row r="966" spans="1:13" x14ac:dyDescent="0.25">
      <c r="A966" s="492"/>
      <c r="B966" s="492"/>
      <c r="C966" s="492"/>
      <c r="F966" s="507"/>
      <c r="G966" s="508"/>
      <c r="H966" s="492"/>
    </row>
    <row r="967" spans="1:13" s="1517" customFormat="1" x14ac:dyDescent="0.25">
      <c r="A967" s="146" t="s">
        <v>6</v>
      </c>
      <c r="B967" s="2143" t="s">
        <v>7</v>
      </c>
      <c r="C967" s="2143"/>
      <c r="D967" s="514" t="s">
        <v>121</v>
      </c>
      <c r="E967" s="278" t="s">
        <v>5282</v>
      </c>
      <c r="F967" s="514" t="s">
        <v>31</v>
      </c>
      <c r="G967" s="515" t="s">
        <v>122</v>
      </c>
      <c r="H967" s="516" t="s">
        <v>123</v>
      </c>
      <c r="I967" s="1830"/>
      <c r="J967" s="1795"/>
      <c r="K967" s="1795"/>
      <c r="L967" s="169"/>
      <c r="M967" s="1783"/>
    </row>
    <row r="968" spans="1:13" s="1526" customFormat="1" ht="105" x14ac:dyDescent="0.2">
      <c r="A968" s="517" t="str">
        <f>'Orç - Prédio'!A151</f>
        <v>04.01.230.02</v>
      </c>
      <c r="B968" s="530" t="str">
        <f>'Orç - Prédio'!B151</f>
        <v>SINAPI</v>
      </c>
      <c r="C968" s="530" t="str">
        <f>'Orç - Prédio'!C151</f>
        <v>90844 MOD 2</v>
      </c>
      <c r="D968" s="531" t="s">
        <v>5742</v>
      </c>
      <c r="E968" s="518">
        <f>'Orç - Prédio'!E151</f>
        <v>4</v>
      </c>
      <c r="F968" s="530" t="s">
        <v>5284</v>
      </c>
      <c r="G968" s="519">
        <v>1518.8</v>
      </c>
      <c r="H968" s="520">
        <f>H982</f>
        <v>6075.2</v>
      </c>
      <c r="I968" s="1910" t="s">
        <v>9544</v>
      </c>
      <c r="J968" s="1793"/>
      <c r="K968" s="1793"/>
      <c r="L968" s="141"/>
      <c r="M968" s="1515"/>
    </row>
    <row r="969" spans="1:13" s="156" customFormat="1" ht="30" x14ac:dyDescent="0.2">
      <c r="A969" s="2144" t="s">
        <v>7662</v>
      </c>
      <c r="B969" s="2144"/>
      <c r="C969" s="1496" t="s">
        <v>5696</v>
      </c>
      <c r="D969" s="1497" t="s">
        <v>8544</v>
      </c>
      <c r="E969" s="522">
        <f>0.5*0.3</f>
        <v>0.15</v>
      </c>
      <c r="F969" s="523" t="s">
        <v>306</v>
      </c>
      <c r="G969" s="367">
        <v>924.97</v>
      </c>
      <c r="H969" s="525">
        <f t="shared" ref="H969:H977" si="92">ROUNDDOWN(G969*E969,2)</f>
        <v>138.74</v>
      </c>
      <c r="I969" s="1642"/>
      <c r="J969" s="1797"/>
      <c r="K969" s="1797"/>
      <c r="L969" s="1784"/>
      <c r="M969" s="1785"/>
    </row>
    <row r="970" spans="1:13" s="156" customFormat="1" ht="30" x14ac:dyDescent="0.2">
      <c r="A970" s="2144">
        <v>11572</v>
      </c>
      <c r="B970" s="2144"/>
      <c r="C970" s="1516" t="s">
        <v>4448</v>
      </c>
      <c r="D970" s="182" t="s">
        <v>13505</v>
      </c>
      <c r="E970" s="1527">
        <v>1</v>
      </c>
      <c r="F970" s="1661" t="s">
        <v>39</v>
      </c>
      <c r="G970" s="1529">
        <v>14.49</v>
      </c>
      <c r="H970" s="1530">
        <f>ROUNDDOWN(G970*E970,2)</f>
        <v>14.49</v>
      </c>
      <c r="I970" s="1642"/>
      <c r="J970" s="1797"/>
      <c r="K970" s="1797"/>
      <c r="L970" s="1784"/>
      <c r="M970" s="1785"/>
    </row>
    <row r="971" spans="1:13" s="1859" customFormat="1" ht="60" x14ac:dyDescent="0.2">
      <c r="A971" s="2144">
        <v>4958</v>
      </c>
      <c r="B971" s="2144"/>
      <c r="C971" s="1863" t="s">
        <v>4448</v>
      </c>
      <c r="D971" s="1862" t="s">
        <v>13432</v>
      </c>
      <c r="E971" s="1864">
        <f>0.9*2.1</f>
        <v>1.8900000000000001</v>
      </c>
      <c r="F971" s="1898" t="s">
        <v>45</v>
      </c>
      <c r="G971" s="1860">
        <v>117.82</v>
      </c>
      <c r="H971" s="1857">
        <f t="shared" ref="H971" si="93">ROUNDDOWN(G971*E971,2)</f>
        <v>222.67</v>
      </c>
      <c r="I971" s="1856"/>
      <c r="J971" s="1797"/>
      <c r="K971" s="1797"/>
      <c r="L971" s="1784"/>
      <c r="M971" s="1785"/>
    </row>
    <row r="972" spans="1:13" s="156" customFormat="1" ht="45" x14ac:dyDescent="0.2">
      <c r="A972" s="2144">
        <v>12759</v>
      </c>
      <c r="B972" s="2144"/>
      <c r="C972" s="512" t="s">
        <v>4448</v>
      </c>
      <c r="D972" s="182" t="s">
        <v>10795</v>
      </c>
      <c r="E972" s="522">
        <v>0.84</v>
      </c>
      <c r="F972" s="523" t="s">
        <v>45</v>
      </c>
      <c r="G972" s="524">
        <v>658.63</v>
      </c>
      <c r="H972" s="525">
        <f t="shared" si="92"/>
        <v>553.24</v>
      </c>
      <c r="I972" s="1642"/>
      <c r="J972" s="1797"/>
      <c r="K972" s="1797"/>
      <c r="L972" s="1784"/>
      <c r="M972" s="1785"/>
    </row>
    <row r="973" spans="1:13" s="156" customFormat="1" ht="45" x14ac:dyDescent="0.2">
      <c r="A973" s="2144">
        <v>36218</v>
      </c>
      <c r="B973" s="2144"/>
      <c r="C973" s="512" t="s">
        <v>4448</v>
      </c>
      <c r="D973" s="182" t="s">
        <v>10109</v>
      </c>
      <c r="E973" s="522">
        <v>2</v>
      </c>
      <c r="F973" s="523" t="s">
        <v>39</v>
      </c>
      <c r="G973" s="524">
        <v>95.46</v>
      </c>
      <c r="H973" s="525">
        <f>ROUNDDOWN(G973*E973,2)</f>
        <v>190.92</v>
      </c>
      <c r="I973" s="1642"/>
      <c r="J973" s="1797"/>
      <c r="K973" s="1797"/>
      <c r="L973" s="1784"/>
      <c r="M973" s="1785"/>
    </row>
    <row r="974" spans="1:13" s="156" customFormat="1" ht="60" x14ac:dyDescent="0.2">
      <c r="A974" s="2144">
        <v>90830</v>
      </c>
      <c r="B974" s="2144"/>
      <c r="C974" s="512" t="s">
        <v>4448</v>
      </c>
      <c r="D974" s="182" t="s">
        <v>8631</v>
      </c>
      <c r="E974" s="522">
        <v>1</v>
      </c>
      <c r="F974" s="523" t="s">
        <v>168</v>
      </c>
      <c r="G974" s="524">
        <v>103.16</v>
      </c>
      <c r="H974" s="525">
        <f t="shared" si="92"/>
        <v>103.16</v>
      </c>
      <c r="I974" s="1642"/>
      <c r="J974" s="1797"/>
      <c r="K974" s="1797"/>
      <c r="L974" s="1784"/>
      <c r="M974" s="1785"/>
    </row>
    <row r="975" spans="1:13" s="1859" customFormat="1" ht="15" customHeight="1" x14ac:dyDescent="0.2">
      <c r="A975" s="2148">
        <v>90801</v>
      </c>
      <c r="B975" s="2148"/>
      <c r="C975" s="1877" t="s">
        <v>4448</v>
      </c>
      <c r="D975" s="1850" t="s">
        <v>8623</v>
      </c>
      <c r="E975" s="1864">
        <v>1</v>
      </c>
      <c r="F975" s="1899" t="s">
        <v>168</v>
      </c>
      <c r="G975" s="367">
        <v>249.29</v>
      </c>
      <c r="H975" s="1852">
        <f t="shared" ref="H975" si="94">ROUNDDOWN(G975*E975,2)</f>
        <v>249.29</v>
      </c>
      <c r="I975" s="1856"/>
      <c r="J975" s="1797"/>
      <c r="K975" s="1797"/>
      <c r="L975" s="1784"/>
      <c r="M975" s="1785"/>
    </row>
    <row r="976" spans="1:13" s="1859" customFormat="1" ht="30" x14ac:dyDescent="0.2">
      <c r="A976" s="2148">
        <v>88261</v>
      </c>
      <c r="B976" s="2148"/>
      <c r="C976" s="1877" t="s">
        <v>4448</v>
      </c>
      <c r="D976" s="1850" t="s">
        <v>4291</v>
      </c>
      <c r="E976" s="1864">
        <v>1.6779999999999999</v>
      </c>
      <c r="F976" s="1899" t="s">
        <v>65</v>
      </c>
      <c r="G976" s="367">
        <v>20.05</v>
      </c>
      <c r="H976" s="1852">
        <f t="shared" si="92"/>
        <v>33.64</v>
      </c>
      <c r="I976" s="1856"/>
      <c r="J976" s="1797"/>
      <c r="K976" s="1797"/>
      <c r="L976" s="1784"/>
      <c r="M976" s="1785"/>
    </row>
    <row r="977" spans="1:13" s="1859" customFormat="1" ht="30" x14ac:dyDescent="0.2">
      <c r="A977" s="2148">
        <v>88316</v>
      </c>
      <c r="B977" s="2148"/>
      <c r="C977" s="1877" t="s">
        <v>4448</v>
      </c>
      <c r="D977" s="1850" t="s">
        <v>64</v>
      </c>
      <c r="E977" s="1864">
        <v>0.83899999999999997</v>
      </c>
      <c r="F977" s="1899" t="s">
        <v>65</v>
      </c>
      <c r="G977" s="367">
        <v>15.08</v>
      </c>
      <c r="H977" s="1852">
        <f t="shared" si="92"/>
        <v>12.65</v>
      </c>
      <c r="I977" s="1856"/>
      <c r="J977" s="1797"/>
      <c r="K977" s="1797"/>
      <c r="L977" s="1784"/>
      <c r="M977" s="1785"/>
    </row>
    <row r="978" spans="1:13" s="1517" customFormat="1" x14ac:dyDescent="0.25">
      <c r="A978" s="179"/>
      <c r="B978" s="179"/>
      <c r="C978" s="526"/>
      <c r="D978" s="2141" t="s">
        <v>124</v>
      </c>
      <c r="E978" s="2141"/>
      <c r="F978" s="2141"/>
      <c r="G978" s="2141"/>
      <c r="H978" s="267">
        <f>SUMIF(F969:F977,("h"),H969:H977)</f>
        <v>46.29</v>
      </c>
      <c r="I978" s="1830"/>
      <c r="J978" s="1795"/>
      <c r="K978" s="1795"/>
      <c r="L978" s="169"/>
      <c r="M978" s="1783"/>
    </row>
    <row r="979" spans="1:13" s="1517" customFormat="1" x14ac:dyDescent="0.25">
      <c r="A979" s="179"/>
      <c r="B979" s="179"/>
      <c r="C979" s="526"/>
      <c r="D979" s="2141" t="s">
        <v>125</v>
      </c>
      <c r="E979" s="2141"/>
      <c r="F979" s="2141"/>
      <c r="G979" s="2141"/>
      <c r="H979" s="267">
        <f>SUMIF(F969:F977,"&lt;&gt;h",H969:H977)</f>
        <v>1472.51</v>
      </c>
      <c r="I979" s="1830"/>
      <c r="J979" s="1795"/>
      <c r="K979" s="1795"/>
      <c r="L979" s="169"/>
      <c r="M979" s="1783"/>
    </row>
    <row r="980" spans="1:13" s="1517" customFormat="1" x14ac:dyDescent="0.25">
      <c r="A980" s="179"/>
      <c r="B980" s="179"/>
      <c r="C980" s="526"/>
      <c r="D980" s="2142" t="s">
        <v>126</v>
      </c>
      <c r="E980" s="2142"/>
      <c r="F980" s="2142"/>
      <c r="G980" s="2142"/>
      <c r="H980" s="527">
        <f>SUM(H978:H979)</f>
        <v>1518.8</v>
      </c>
      <c r="I980" s="1830"/>
      <c r="J980" s="1795"/>
      <c r="K980" s="1795"/>
      <c r="L980" s="169"/>
      <c r="M980" s="1783"/>
    </row>
    <row r="981" spans="1:13" s="1517" customFormat="1" x14ac:dyDescent="0.25">
      <c r="A981" s="179"/>
      <c r="B981" s="179"/>
      <c r="C981" s="526"/>
      <c r="D981" s="2141" t="s">
        <v>28</v>
      </c>
      <c r="E981" s="2141"/>
      <c r="F981" s="2141"/>
      <c r="G981" s="2141"/>
      <c r="H981" s="269">
        <f>E968</f>
        <v>4</v>
      </c>
      <c r="I981" s="1830"/>
      <c r="J981" s="1795"/>
      <c r="K981" s="1795"/>
      <c r="L981" s="169"/>
      <c r="M981" s="1783"/>
    </row>
    <row r="982" spans="1:13" s="1517" customFormat="1" x14ac:dyDescent="0.25">
      <c r="A982" s="179"/>
      <c r="B982" s="179"/>
      <c r="C982" s="526"/>
      <c r="D982" s="2142" t="s">
        <v>127</v>
      </c>
      <c r="E982" s="2142"/>
      <c r="F982" s="2142"/>
      <c r="G982" s="2142"/>
      <c r="H982" s="527">
        <f>ROUND(H980*H981,2)</f>
        <v>6075.2</v>
      </c>
      <c r="I982" s="1830"/>
      <c r="J982" s="1795"/>
      <c r="K982" s="1795"/>
      <c r="L982" s="169"/>
      <c r="M982" s="1783"/>
    </row>
    <row r="983" spans="1:13" s="1517" customFormat="1" x14ac:dyDescent="0.25">
      <c r="A983" s="179"/>
      <c r="B983" s="179"/>
      <c r="C983" s="1531"/>
      <c r="D983" s="2141" t="s">
        <v>15335</v>
      </c>
      <c r="E983" s="2141"/>
      <c r="F983" s="2141"/>
      <c r="G983" s="2141"/>
      <c r="H983" s="267">
        <f>ROUND(H980*$B$13,2)</f>
        <v>409.01</v>
      </c>
      <c r="I983" s="1830"/>
      <c r="J983" s="1795"/>
      <c r="K983" s="1795"/>
      <c r="L983" s="169"/>
      <c r="M983" s="1783"/>
    </row>
    <row r="984" spans="1:13" x14ac:dyDescent="0.25">
      <c r="A984" s="179"/>
      <c r="B984" s="179"/>
      <c r="C984" s="1531"/>
      <c r="D984" s="2142" t="s">
        <v>7898</v>
      </c>
      <c r="E984" s="2142"/>
      <c r="F984" s="2142"/>
      <c r="G984" s="2142"/>
      <c r="H984" s="1532">
        <f>H983+H980</f>
        <v>1927.81</v>
      </c>
    </row>
    <row r="985" spans="1:13" x14ac:dyDescent="0.25">
      <c r="A985" s="511"/>
      <c r="B985" s="511"/>
      <c r="C985" s="511"/>
      <c r="F985" s="528"/>
      <c r="G985" s="529"/>
      <c r="H985" s="511"/>
    </row>
    <row r="986" spans="1:13" s="1517" customFormat="1" x14ac:dyDescent="0.25">
      <c r="A986" s="146" t="s">
        <v>6</v>
      </c>
      <c r="B986" s="2143" t="s">
        <v>7</v>
      </c>
      <c r="C986" s="2143"/>
      <c r="D986" s="514" t="s">
        <v>121</v>
      </c>
      <c r="E986" s="278" t="s">
        <v>5282</v>
      </c>
      <c r="F986" s="514" t="s">
        <v>31</v>
      </c>
      <c r="G986" s="515" t="s">
        <v>122</v>
      </c>
      <c r="H986" s="516" t="s">
        <v>123</v>
      </c>
      <c r="I986" s="1830"/>
      <c r="J986" s="1795"/>
      <c r="K986" s="1795"/>
      <c r="L986" s="169"/>
      <c r="M986" s="1783"/>
    </row>
    <row r="987" spans="1:13" s="1526" customFormat="1" ht="105" x14ac:dyDescent="0.2">
      <c r="A987" s="517" t="str">
        <f>'Orç - Prédio'!A152</f>
        <v>04.01.230.03</v>
      </c>
      <c r="B987" s="530" t="str">
        <f>'Orç - Prédio'!B152</f>
        <v>SINAPI</v>
      </c>
      <c r="C987" s="530" t="str">
        <f>'Orç - Prédio'!C152</f>
        <v>90844 MOD 3</v>
      </c>
      <c r="D987" s="531" t="s">
        <v>5743</v>
      </c>
      <c r="E987" s="518">
        <f>'Orç - Prédio'!E152</f>
        <v>18</v>
      </c>
      <c r="F987" s="530" t="s">
        <v>5284</v>
      </c>
      <c r="G987" s="519">
        <v>814.06999999999994</v>
      </c>
      <c r="H987" s="520">
        <f>H999</f>
        <v>14653.26</v>
      </c>
      <c r="I987" s="1910" t="s">
        <v>14965</v>
      </c>
      <c r="J987" s="1793"/>
      <c r="K987" s="1793"/>
      <c r="L987" s="141"/>
      <c r="M987" s="1515"/>
    </row>
    <row r="988" spans="1:13" s="156" customFormat="1" x14ac:dyDescent="0.2">
      <c r="A988" s="2144">
        <v>2445</v>
      </c>
      <c r="B988" s="2144"/>
      <c r="C988" s="513" t="s">
        <v>5281</v>
      </c>
      <c r="D988" s="521" t="s">
        <v>5752</v>
      </c>
      <c r="E988" s="522">
        <v>0.44</v>
      </c>
      <c r="F988" s="523" t="s">
        <v>306</v>
      </c>
      <c r="G988" s="367">
        <v>180</v>
      </c>
      <c r="H988" s="525">
        <f t="shared" ref="H988" si="95">ROUNDDOWN(G988*E988,2)</f>
        <v>79.2</v>
      </c>
      <c r="I988" s="1642"/>
      <c r="J988" s="1797"/>
      <c r="K988" s="1797"/>
      <c r="L988" s="1784"/>
      <c r="M988" s="1785"/>
    </row>
    <row r="989" spans="1:13" s="156" customFormat="1" ht="30" x14ac:dyDescent="0.2">
      <c r="A989" s="2144">
        <v>11572</v>
      </c>
      <c r="B989" s="2144"/>
      <c r="C989" s="1516" t="s">
        <v>4448</v>
      </c>
      <c r="D989" s="182" t="s">
        <v>13505</v>
      </c>
      <c r="E989" s="1527">
        <v>1</v>
      </c>
      <c r="F989" s="1661" t="s">
        <v>39</v>
      </c>
      <c r="G989" s="1529">
        <v>14.49</v>
      </c>
      <c r="H989" s="1530">
        <f>ROUNDDOWN(G989*E989,2)</f>
        <v>14.49</v>
      </c>
      <c r="I989" s="1642"/>
      <c r="J989" s="1797"/>
      <c r="K989" s="1797"/>
      <c r="L989" s="1784"/>
      <c r="M989" s="1785"/>
    </row>
    <row r="990" spans="1:13" s="1859" customFormat="1" ht="60" x14ac:dyDescent="0.2">
      <c r="A990" s="2144">
        <v>4958</v>
      </c>
      <c r="B990" s="2144"/>
      <c r="C990" s="1863" t="s">
        <v>4448</v>
      </c>
      <c r="D990" s="1862" t="s">
        <v>13432</v>
      </c>
      <c r="E990" s="1864">
        <f>1.3*2.1</f>
        <v>2.7300000000000004</v>
      </c>
      <c r="F990" s="1898" t="s">
        <v>45</v>
      </c>
      <c r="G990" s="1860">
        <v>117.82</v>
      </c>
      <c r="H990" s="1857">
        <f t="shared" ref="H990" si="96">ROUNDDOWN(G990*E990,2)</f>
        <v>321.64</v>
      </c>
      <c r="I990" s="1856"/>
      <c r="J990" s="1797"/>
      <c r="K990" s="1797"/>
      <c r="L990" s="1784"/>
      <c r="M990" s="1785"/>
    </row>
    <row r="991" spans="1:13" s="156" customFormat="1" ht="60" x14ac:dyDescent="0.2">
      <c r="A991" s="2144">
        <v>90830</v>
      </c>
      <c r="B991" s="2144"/>
      <c r="C991" s="512" t="s">
        <v>4448</v>
      </c>
      <c r="D991" s="182" t="s">
        <v>8631</v>
      </c>
      <c r="E991" s="522">
        <v>1</v>
      </c>
      <c r="F991" s="523" t="s">
        <v>168</v>
      </c>
      <c r="G991" s="524">
        <v>103.16</v>
      </c>
      <c r="H991" s="525">
        <f>ROUNDDOWN(G991*E991,2)</f>
        <v>103.16</v>
      </c>
      <c r="I991" s="1642"/>
      <c r="J991" s="1797"/>
      <c r="K991" s="1797"/>
      <c r="L991" s="1784"/>
      <c r="M991" s="1785"/>
    </row>
    <row r="992" spans="1:13" s="1859" customFormat="1" ht="45" x14ac:dyDescent="0.2">
      <c r="A992" s="2148">
        <v>90801</v>
      </c>
      <c r="B992" s="2148"/>
      <c r="C992" s="1877" t="s">
        <v>4448</v>
      </c>
      <c r="D992" s="1850" t="s">
        <v>8623</v>
      </c>
      <c r="E992" s="1864">
        <v>1</v>
      </c>
      <c r="F992" s="1899" t="s">
        <v>168</v>
      </c>
      <c r="G992" s="367">
        <v>249.29</v>
      </c>
      <c r="H992" s="1852">
        <f t="shared" ref="H992" si="97">ROUNDDOWN(G992*E992,2)</f>
        <v>249.29</v>
      </c>
      <c r="I992" s="1856"/>
      <c r="J992" s="1797"/>
      <c r="K992" s="1797"/>
      <c r="L992" s="1784"/>
      <c r="M992" s="1785"/>
    </row>
    <row r="993" spans="1:13" s="1859" customFormat="1" ht="30" x14ac:dyDescent="0.2">
      <c r="A993" s="2148">
        <v>88261</v>
      </c>
      <c r="B993" s="2148"/>
      <c r="C993" s="1877" t="s">
        <v>4448</v>
      </c>
      <c r="D993" s="1850" t="s">
        <v>4291</v>
      </c>
      <c r="E993" s="1864">
        <v>1.6779999999999999</v>
      </c>
      <c r="F993" s="1899" t="s">
        <v>65</v>
      </c>
      <c r="G993" s="367">
        <v>20.05</v>
      </c>
      <c r="H993" s="1852">
        <f>ROUNDDOWN(G993*E993,2)</f>
        <v>33.64</v>
      </c>
      <c r="I993" s="1856"/>
      <c r="J993" s="1797"/>
      <c r="K993" s="1797"/>
      <c r="L993" s="1784"/>
      <c r="M993" s="1785"/>
    </row>
    <row r="994" spans="1:13" s="1859" customFormat="1" ht="30" x14ac:dyDescent="0.2">
      <c r="A994" s="2148">
        <v>88316</v>
      </c>
      <c r="B994" s="2148"/>
      <c r="C994" s="1877" t="s">
        <v>4448</v>
      </c>
      <c r="D994" s="1850" t="s">
        <v>64</v>
      </c>
      <c r="E994" s="1864">
        <v>0.83899999999999997</v>
      </c>
      <c r="F994" s="1899" t="s">
        <v>65</v>
      </c>
      <c r="G994" s="367">
        <v>15.08</v>
      </c>
      <c r="H994" s="1852">
        <f>ROUNDDOWN(G994*E994,2)</f>
        <v>12.65</v>
      </c>
      <c r="I994" s="1856"/>
      <c r="J994" s="1797"/>
      <c r="K994" s="1797"/>
      <c r="L994" s="1784"/>
      <c r="M994" s="1785"/>
    </row>
    <row r="995" spans="1:13" s="1517" customFormat="1" x14ac:dyDescent="0.25">
      <c r="A995" s="179"/>
      <c r="B995" s="179"/>
      <c r="C995" s="526"/>
      <c r="D995" s="2152" t="s">
        <v>124</v>
      </c>
      <c r="E995" s="2141"/>
      <c r="F995" s="2141"/>
      <c r="G995" s="2141"/>
      <c r="H995" s="267">
        <f>SUMIF(F988:F994,("h"),H988:H994)</f>
        <v>46.29</v>
      </c>
      <c r="I995" s="1830"/>
      <c r="J995" s="1795"/>
      <c r="K995" s="1795"/>
      <c r="L995" s="169"/>
      <c r="M995" s="1783"/>
    </row>
    <row r="996" spans="1:13" s="1517" customFormat="1" x14ac:dyDescent="0.25">
      <c r="A996" s="179"/>
      <c r="B996" s="179"/>
      <c r="C996" s="526"/>
      <c r="D996" s="2141" t="s">
        <v>125</v>
      </c>
      <c r="E996" s="2141"/>
      <c r="F996" s="2141"/>
      <c r="G996" s="2141"/>
      <c r="H996" s="267">
        <f>SUMIF(F988:F994,"&lt;&gt;h",H988:H994)</f>
        <v>767.78</v>
      </c>
      <c r="I996" s="1830"/>
      <c r="J996" s="1795"/>
      <c r="K996" s="1795"/>
      <c r="L996" s="169"/>
      <c r="M996" s="1783"/>
    </row>
    <row r="997" spans="1:13" s="1517" customFormat="1" x14ac:dyDescent="0.25">
      <c r="A997" s="179"/>
      <c r="B997" s="179"/>
      <c r="C997" s="526"/>
      <c r="D997" s="2142" t="s">
        <v>126</v>
      </c>
      <c r="E997" s="2142"/>
      <c r="F997" s="2142"/>
      <c r="G997" s="2142"/>
      <c r="H997" s="527">
        <f>SUM(H995:H996)</f>
        <v>814.06999999999994</v>
      </c>
      <c r="I997" s="1830"/>
      <c r="J997" s="1795"/>
      <c r="K997" s="1795"/>
      <c r="L997" s="169"/>
      <c r="M997" s="1783"/>
    </row>
    <row r="998" spans="1:13" s="1517" customFormat="1" x14ac:dyDescent="0.25">
      <c r="A998" s="179"/>
      <c r="B998" s="179"/>
      <c r="C998" s="526"/>
      <c r="D998" s="2141" t="s">
        <v>28</v>
      </c>
      <c r="E998" s="2141"/>
      <c r="F998" s="2141"/>
      <c r="G998" s="2141"/>
      <c r="H998" s="269">
        <f>E987</f>
        <v>18</v>
      </c>
      <c r="I998" s="1830"/>
      <c r="J998" s="1795"/>
      <c r="K998" s="1795"/>
      <c r="L998" s="169"/>
      <c r="M998" s="1783"/>
    </row>
    <row r="999" spans="1:13" s="1517" customFormat="1" x14ac:dyDescent="0.25">
      <c r="A999" s="179"/>
      <c r="B999" s="179"/>
      <c r="C999" s="526"/>
      <c r="D999" s="2142" t="s">
        <v>127</v>
      </c>
      <c r="E999" s="2142"/>
      <c r="F999" s="2142"/>
      <c r="G999" s="2142"/>
      <c r="H999" s="527">
        <f>ROUND(H997*H998,2)</f>
        <v>14653.26</v>
      </c>
      <c r="I999" s="1830"/>
      <c r="J999" s="1795"/>
      <c r="K999" s="1795"/>
      <c r="L999" s="169"/>
      <c r="M999" s="1783"/>
    </row>
    <row r="1000" spans="1:13" s="1517" customFormat="1" x14ac:dyDescent="0.25">
      <c r="A1000" s="179"/>
      <c r="B1000" s="179"/>
      <c r="C1000" s="1531"/>
      <c r="D1000" s="2141" t="s">
        <v>15335</v>
      </c>
      <c r="E1000" s="2141"/>
      <c r="F1000" s="2141"/>
      <c r="G1000" s="2141"/>
      <c r="H1000" s="267">
        <f>ROUND(H997*$B$13,2)</f>
        <v>219.23</v>
      </c>
      <c r="I1000" s="1830"/>
      <c r="J1000" s="1795"/>
      <c r="K1000" s="1795"/>
      <c r="L1000" s="169"/>
      <c r="M1000" s="1783"/>
    </row>
    <row r="1001" spans="1:13" x14ac:dyDescent="0.25">
      <c r="A1001" s="179"/>
      <c r="B1001" s="179"/>
      <c r="C1001" s="1531"/>
      <c r="D1001" s="2142" t="s">
        <v>7898</v>
      </c>
      <c r="E1001" s="2142"/>
      <c r="F1001" s="2142"/>
      <c r="G1001" s="2142"/>
      <c r="H1001" s="1532">
        <f>H1000+H997</f>
        <v>1033.3</v>
      </c>
    </row>
    <row r="1002" spans="1:13" x14ac:dyDescent="0.25">
      <c r="A1002" s="511"/>
      <c r="B1002" s="511"/>
      <c r="C1002" s="511"/>
      <c r="F1002" s="528"/>
      <c r="G1002" s="529"/>
      <c r="H1002" s="511"/>
    </row>
    <row r="1003" spans="1:13" s="1517" customFormat="1" x14ac:dyDescent="0.25">
      <c r="A1003" s="146" t="s">
        <v>6</v>
      </c>
      <c r="B1003" s="2143" t="s">
        <v>7</v>
      </c>
      <c r="C1003" s="2143"/>
      <c r="D1003" s="514" t="s">
        <v>121</v>
      </c>
      <c r="E1003" s="278" t="s">
        <v>5282</v>
      </c>
      <c r="F1003" s="514" t="s">
        <v>31</v>
      </c>
      <c r="G1003" s="515" t="s">
        <v>122</v>
      </c>
      <c r="H1003" s="516" t="s">
        <v>123</v>
      </c>
      <c r="I1003" s="1830"/>
      <c r="J1003" s="1795"/>
      <c r="K1003" s="1795"/>
      <c r="L1003" s="169"/>
      <c r="M1003" s="1783"/>
    </row>
    <row r="1004" spans="1:13" s="1526" customFormat="1" ht="105" x14ac:dyDescent="0.2">
      <c r="A1004" s="517" t="str">
        <f>'Orç - Prédio'!A153</f>
        <v>04.01.230.04</v>
      </c>
      <c r="B1004" s="530" t="str">
        <f>'Orç - Prédio'!B153</f>
        <v>SINAPI</v>
      </c>
      <c r="C1004" s="530" t="str">
        <f>'Orç - Prédio'!C153</f>
        <v>90844 MOD 4</v>
      </c>
      <c r="D1004" s="531" t="s">
        <v>5744</v>
      </c>
      <c r="E1004" s="518">
        <f>'Orç - Prédio'!E153</f>
        <v>23</v>
      </c>
      <c r="F1004" s="530" t="s">
        <v>5284</v>
      </c>
      <c r="G1004" s="519">
        <v>675.49999999999989</v>
      </c>
      <c r="H1004" s="520">
        <f>H1016</f>
        <v>15536.5</v>
      </c>
      <c r="I1004" s="1910" t="s">
        <v>14965</v>
      </c>
      <c r="J1004" s="1793"/>
      <c r="K1004" s="1793"/>
      <c r="L1004" s="141"/>
      <c r="M1004" s="1515"/>
    </row>
    <row r="1005" spans="1:13" s="156" customFormat="1" x14ac:dyDescent="0.2">
      <c r="A1005" s="2144">
        <v>2445</v>
      </c>
      <c r="B1005" s="2144"/>
      <c r="C1005" s="513" t="s">
        <v>5281</v>
      </c>
      <c r="D1005" s="521" t="s">
        <v>5752</v>
      </c>
      <c r="E1005" s="522">
        <v>0.22</v>
      </c>
      <c r="F1005" s="523" t="s">
        <v>306</v>
      </c>
      <c r="G1005" s="367">
        <v>180</v>
      </c>
      <c r="H1005" s="525">
        <f t="shared" ref="H1005:H1011" si="98">ROUNDDOWN(G1005*E1005,2)</f>
        <v>39.6</v>
      </c>
      <c r="I1005" s="1642"/>
      <c r="J1005" s="1797"/>
      <c r="K1005" s="1797"/>
      <c r="L1005" s="1784"/>
      <c r="M1005" s="1785"/>
    </row>
    <row r="1006" spans="1:13" s="156" customFormat="1" ht="30" x14ac:dyDescent="0.2">
      <c r="A1006" s="2144">
        <v>11572</v>
      </c>
      <c r="B1006" s="2144"/>
      <c r="C1006" s="1516" t="s">
        <v>4448</v>
      </c>
      <c r="D1006" s="182" t="s">
        <v>13505</v>
      </c>
      <c r="E1006" s="1527">
        <v>1</v>
      </c>
      <c r="F1006" s="1824" t="s">
        <v>39</v>
      </c>
      <c r="G1006" s="1529">
        <v>14.49</v>
      </c>
      <c r="H1006" s="1530">
        <f t="shared" ref="H1006:H1007" si="99">ROUNDDOWN(G1006*E1006,2)</f>
        <v>14.49</v>
      </c>
      <c r="I1006" s="1642"/>
      <c r="J1006" s="1797"/>
      <c r="K1006" s="1797"/>
      <c r="L1006" s="1784"/>
      <c r="M1006" s="1785"/>
    </row>
    <row r="1007" spans="1:13" s="1859" customFormat="1" ht="60" x14ac:dyDescent="0.2">
      <c r="A1007" s="2144">
        <v>4958</v>
      </c>
      <c r="B1007" s="2144"/>
      <c r="C1007" s="1863" t="s">
        <v>4448</v>
      </c>
      <c r="D1007" s="1862" t="s">
        <v>13432</v>
      </c>
      <c r="E1007" s="1864">
        <f>0.9*2.1</f>
        <v>1.8900000000000001</v>
      </c>
      <c r="F1007" s="1898" t="s">
        <v>45</v>
      </c>
      <c r="G1007" s="1860">
        <v>117.82</v>
      </c>
      <c r="H1007" s="1857">
        <f t="shared" si="99"/>
        <v>222.67</v>
      </c>
      <c r="I1007" s="1856"/>
      <c r="J1007" s="1797"/>
      <c r="K1007" s="1797"/>
      <c r="L1007" s="1784"/>
      <c r="M1007" s="1785"/>
    </row>
    <row r="1008" spans="1:13" s="156" customFormat="1" ht="60" x14ac:dyDescent="0.2">
      <c r="A1008" s="2144">
        <v>90830</v>
      </c>
      <c r="B1008" s="2144"/>
      <c r="C1008" s="512" t="s">
        <v>4448</v>
      </c>
      <c r="D1008" s="182" t="s">
        <v>8631</v>
      </c>
      <c r="E1008" s="522">
        <v>1</v>
      </c>
      <c r="F1008" s="523" t="s">
        <v>168</v>
      </c>
      <c r="G1008" s="524">
        <v>103.16</v>
      </c>
      <c r="H1008" s="525">
        <f t="shared" si="98"/>
        <v>103.16</v>
      </c>
      <c r="I1008" s="1642"/>
      <c r="J1008" s="1797"/>
      <c r="K1008" s="1797"/>
      <c r="L1008" s="1784"/>
      <c r="M1008" s="1785"/>
    </row>
    <row r="1009" spans="1:13" s="1859" customFormat="1" ht="45" x14ac:dyDescent="0.2">
      <c r="A1009" s="2148">
        <v>90801</v>
      </c>
      <c r="B1009" s="2148"/>
      <c r="C1009" s="1877" t="s">
        <v>4448</v>
      </c>
      <c r="D1009" s="1850" t="s">
        <v>8623</v>
      </c>
      <c r="E1009" s="1864">
        <v>1</v>
      </c>
      <c r="F1009" s="1899" t="s">
        <v>168</v>
      </c>
      <c r="G1009" s="367">
        <v>249.29</v>
      </c>
      <c r="H1009" s="1852">
        <f t="shared" ref="H1009" si="100">ROUNDDOWN(G1009*E1009,2)</f>
        <v>249.29</v>
      </c>
      <c r="I1009" s="1856"/>
      <c r="J1009" s="1797"/>
      <c r="K1009" s="1797"/>
      <c r="L1009" s="1784"/>
      <c r="M1009" s="1785"/>
    </row>
    <row r="1010" spans="1:13" s="1859" customFormat="1" ht="30" x14ac:dyDescent="0.2">
      <c r="A1010" s="2148">
        <v>88261</v>
      </c>
      <c r="B1010" s="2148"/>
      <c r="C1010" s="1877" t="s">
        <v>4448</v>
      </c>
      <c r="D1010" s="1850" t="s">
        <v>4291</v>
      </c>
      <c r="E1010" s="1864">
        <v>1.6779999999999999</v>
      </c>
      <c r="F1010" s="1899" t="s">
        <v>65</v>
      </c>
      <c r="G1010" s="367">
        <v>20.05</v>
      </c>
      <c r="H1010" s="1852">
        <f t="shared" si="98"/>
        <v>33.64</v>
      </c>
      <c r="I1010" s="1856"/>
      <c r="J1010" s="1797"/>
      <c r="K1010" s="1797"/>
      <c r="L1010" s="1784"/>
      <c r="M1010" s="1785"/>
    </row>
    <row r="1011" spans="1:13" s="1859" customFormat="1" ht="30" x14ac:dyDescent="0.2">
      <c r="A1011" s="2148">
        <v>88316</v>
      </c>
      <c r="B1011" s="2148"/>
      <c r="C1011" s="1877" t="s">
        <v>4448</v>
      </c>
      <c r="D1011" s="1850" t="s">
        <v>64</v>
      </c>
      <c r="E1011" s="1864">
        <v>0.83899999999999997</v>
      </c>
      <c r="F1011" s="1899" t="s">
        <v>65</v>
      </c>
      <c r="G1011" s="367">
        <v>15.08</v>
      </c>
      <c r="H1011" s="1852">
        <f t="shared" si="98"/>
        <v>12.65</v>
      </c>
      <c r="I1011" s="1856"/>
      <c r="J1011" s="1797"/>
      <c r="K1011" s="1797"/>
      <c r="L1011" s="1784"/>
      <c r="M1011" s="1785"/>
    </row>
    <row r="1012" spans="1:13" s="1517" customFormat="1" x14ac:dyDescent="0.25">
      <c r="A1012" s="179"/>
      <c r="B1012" s="179"/>
      <c r="C1012" s="526"/>
      <c r="D1012" s="2141" t="s">
        <v>124</v>
      </c>
      <c r="E1012" s="2141"/>
      <c r="F1012" s="2141"/>
      <c r="G1012" s="2141"/>
      <c r="H1012" s="267">
        <f>SUMIF(F1005:F1011,("h"),H1005:H1011)</f>
        <v>46.29</v>
      </c>
      <c r="I1012" s="1830"/>
      <c r="J1012" s="1795"/>
      <c r="K1012" s="1795"/>
      <c r="L1012" s="169"/>
      <c r="M1012" s="1783"/>
    </row>
    <row r="1013" spans="1:13" s="1517" customFormat="1" x14ac:dyDescent="0.25">
      <c r="A1013" s="179"/>
      <c r="B1013" s="179"/>
      <c r="C1013" s="526"/>
      <c r="D1013" s="2141" t="s">
        <v>125</v>
      </c>
      <c r="E1013" s="2141"/>
      <c r="F1013" s="2141"/>
      <c r="G1013" s="2141"/>
      <c r="H1013" s="267">
        <f>SUMIF(F1005:F1011,"&lt;&gt;h",H1005:H1011)</f>
        <v>629.20999999999992</v>
      </c>
      <c r="I1013" s="1830"/>
      <c r="J1013" s="1795"/>
      <c r="K1013" s="1795"/>
      <c r="L1013" s="169"/>
      <c r="M1013" s="1783"/>
    </row>
    <row r="1014" spans="1:13" s="1517" customFormat="1" x14ac:dyDescent="0.25">
      <c r="A1014" s="179"/>
      <c r="B1014" s="179"/>
      <c r="C1014" s="526"/>
      <c r="D1014" s="2142" t="s">
        <v>126</v>
      </c>
      <c r="E1014" s="2142"/>
      <c r="F1014" s="2142"/>
      <c r="G1014" s="2142"/>
      <c r="H1014" s="527">
        <f>SUM(H1012:H1013)</f>
        <v>675.49999999999989</v>
      </c>
      <c r="I1014" s="1830"/>
      <c r="J1014" s="1795"/>
      <c r="K1014" s="1795"/>
      <c r="L1014" s="169"/>
      <c r="M1014" s="1783"/>
    </row>
    <row r="1015" spans="1:13" s="1517" customFormat="1" x14ac:dyDescent="0.25">
      <c r="A1015" s="179"/>
      <c r="B1015" s="179"/>
      <c r="C1015" s="526"/>
      <c r="D1015" s="2141" t="s">
        <v>28</v>
      </c>
      <c r="E1015" s="2141"/>
      <c r="F1015" s="2141"/>
      <c r="G1015" s="2141"/>
      <c r="H1015" s="269">
        <f>E1004</f>
        <v>23</v>
      </c>
      <c r="I1015" s="1830"/>
      <c r="J1015" s="1795"/>
      <c r="K1015" s="1795"/>
      <c r="L1015" s="169"/>
      <c r="M1015" s="1783"/>
    </row>
    <row r="1016" spans="1:13" s="1517" customFormat="1" x14ac:dyDescent="0.25">
      <c r="A1016" s="179"/>
      <c r="B1016" s="179"/>
      <c r="C1016" s="526"/>
      <c r="D1016" s="2142" t="s">
        <v>127</v>
      </c>
      <c r="E1016" s="2142"/>
      <c r="F1016" s="2142"/>
      <c r="G1016" s="2142"/>
      <c r="H1016" s="527">
        <f>ROUND(H1014*H1015,2)</f>
        <v>15536.5</v>
      </c>
      <c r="I1016" s="1830"/>
      <c r="J1016" s="1795"/>
      <c r="K1016" s="1795"/>
      <c r="L1016" s="169"/>
      <c r="M1016" s="1783"/>
    </row>
    <row r="1017" spans="1:13" s="1517" customFormat="1" x14ac:dyDescent="0.25">
      <c r="A1017" s="179"/>
      <c r="B1017" s="179"/>
      <c r="C1017" s="1531"/>
      <c r="D1017" s="2141" t="s">
        <v>15335</v>
      </c>
      <c r="E1017" s="2141"/>
      <c r="F1017" s="2141"/>
      <c r="G1017" s="2141"/>
      <c r="H1017" s="267">
        <f>ROUND(H1014*$B$13,2)</f>
        <v>181.91</v>
      </c>
      <c r="I1017" s="1830"/>
      <c r="J1017" s="1795"/>
      <c r="K1017" s="1795"/>
      <c r="L1017" s="169"/>
      <c r="M1017" s="1783"/>
    </row>
    <row r="1018" spans="1:13" x14ac:dyDescent="0.25">
      <c r="A1018" s="179"/>
      <c r="B1018" s="179"/>
      <c r="C1018" s="1531"/>
      <c r="D1018" s="2142" t="s">
        <v>7898</v>
      </c>
      <c r="E1018" s="2142"/>
      <c r="F1018" s="2142"/>
      <c r="G1018" s="2142"/>
      <c r="H1018" s="1532">
        <f>H1017+H1014</f>
        <v>857.40999999999985</v>
      </c>
    </row>
    <row r="1019" spans="1:13" x14ac:dyDescent="0.25">
      <c r="A1019" s="511"/>
      <c r="B1019" s="511"/>
      <c r="C1019" s="511"/>
      <c r="F1019" s="528"/>
      <c r="G1019" s="529"/>
      <c r="H1019" s="511"/>
    </row>
    <row r="1020" spans="1:13" s="1517" customFormat="1" x14ac:dyDescent="0.25">
      <c r="A1020" s="146" t="s">
        <v>6</v>
      </c>
      <c r="B1020" s="2143" t="s">
        <v>7</v>
      </c>
      <c r="C1020" s="2143"/>
      <c r="D1020" s="514" t="s">
        <v>121</v>
      </c>
      <c r="E1020" s="278" t="s">
        <v>5282</v>
      </c>
      <c r="F1020" s="514" t="s">
        <v>31</v>
      </c>
      <c r="G1020" s="515" t="s">
        <v>122</v>
      </c>
      <c r="H1020" s="516" t="s">
        <v>123</v>
      </c>
      <c r="I1020" s="1830"/>
      <c r="J1020" s="1795"/>
      <c r="K1020" s="1795"/>
      <c r="L1020" s="169"/>
      <c r="M1020" s="1783"/>
    </row>
    <row r="1021" spans="1:13" s="1526" customFormat="1" ht="75" x14ac:dyDescent="0.2">
      <c r="A1021" s="517" t="str">
        <f>'Orç - Prédio'!A150</f>
        <v>04.01.230.01</v>
      </c>
      <c r="B1021" s="530" t="str">
        <f>'Orç - Prédio'!B154</f>
        <v>SINAPI</v>
      </c>
      <c r="C1021" s="530" t="str">
        <f>'Orç - Prédio'!C154</f>
        <v>91009 MOD</v>
      </c>
      <c r="D1021" s="531" t="s">
        <v>5745</v>
      </c>
      <c r="E1021" s="532">
        <f>'Orç - Prédio'!E154</f>
        <v>18</v>
      </c>
      <c r="F1021" s="530" t="s">
        <v>5284</v>
      </c>
      <c r="G1021" s="519">
        <v>366.79</v>
      </c>
      <c r="H1021" s="520">
        <f>H1033</f>
        <v>6602.22</v>
      </c>
      <c r="I1021" s="1910" t="s">
        <v>14965</v>
      </c>
      <c r="J1021" s="1793"/>
      <c r="K1021" s="1793"/>
      <c r="L1021" s="141"/>
      <c r="M1021" s="1515"/>
    </row>
    <row r="1022" spans="1:13" s="156" customFormat="1" ht="75" x14ac:dyDescent="0.2">
      <c r="A1022" s="2144">
        <v>20322</v>
      </c>
      <c r="B1022" s="2144"/>
      <c r="C1022" s="512" t="s">
        <v>4448</v>
      </c>
      <c r="D1022" s="182" t="s">
        <v>13421</v>
      </c>
      <c r="E1022" s="533">
        <v>1</v>
      </c>
      <c r="F1022" s="523" t="s">
        <v>39</v>
      </c>
      <c r="G1022" s="524">
        <v>168.73</v>
      </c>
      <c r="H1022" s="525">
        <f t="shared" ref="H1022:H1028" si="101">ROUNDDOWN(G1022*E1022,2)</f>
        <v>168.73</v>
      </c>
      <c r="I1022" s="1642"/>
      <c r="J1022" s="1797"/>
      <c r="K1022" s="1797"/>
      <c r="L1022" s="1784"/>
      <c r="M1022" s="1785"/>
    </row>
    <row r="1023" spans="1:13" s="156" customFormat="1" ht="45" x14ac:dyDescent="0.2">
      <c r="A1023" s="2144">
        <v>2432</v>
      </c>
      <c r="B1023" s="2144"/>
      <c r="C1023" s="512" t="s">
        <v>4448</v>
      </c>
      <c r="D1023" s="182" t="s">
        <v>11566</v>
      </c>
      <c r="E1023" s="533">
        <v>2</v>
      </c>
      <c r="F1023" s="523" t="s">
        <v>39</v>
      </c>
      <c r="G1023" s="524">
        <v>16.170000000000002</v>
      </c>
      <c r="H1023" s="525">
        <f t="shared" si="101"/>
        <v>32.340000000000003</v>
      </c>
      <c r="I1023" s="1642"/>
      <c r="J1023" s="1797"/>
      <c r="K1023" s="1797"/>
      <c r="L1023" s="1784"/>
      <c r="M1023" s="1785"/>
    </row>
    <row r="1024" spans="1:13" s="156" customFormat="1" ht="30" x14ac:dyDescent="0.2">
      <c r="A1024" s="2144">
        <v>11055</v>
      </c>
      <c r="B1024" s="2144"/>
      <c r="C1024" s="512" t="s">
        <v>4448</v>
      </c>
      <c r="D1024" s="182" t="s">
        <v>13138</v>
      </c>
      <c r="E1024" s="533">
        <v>19.8</v>
      </c>
      <c r="F1024" s="523" t="s">
        <v>39</v>
      </c>
      <c r="G1024" s="524">
        <v>0.04</v>
      </c>
      <c r="H1024" s="525">
        <f t="shared" si="101"/>
        <v>0.79</v>
      </c>
      <c r="I1024" s="1642"/>
      <c r="J1024" s="1797"/>
      <c r="K1024" s="1797"/>
      <c r="L1024" s="1784"/>
      <c r="M1024" s="1785"/>
    </row>
    <row r="1025" spans="1:13" s="156" customFormat="1" ht="60" x14ac:dyDescent="0.2">
      <c r="A1025" s="2144">
        <v>90831</v>
      </c>
      <c r="B1025" s="2144"/>
      <c r="C1025" s="512" t="s">
        <v>4448</v>
      </c>
      <c r="D1025" s="182" t="s">
        <v>8632</v>
      </c>
      <c r="E1025" s="533">
        <v>1</v>
      </c>
      <c r="F1025" s="523" t="s">
        <v>168</v>
      </c>
      <c r="G1025" s="524">
        <v>80.88</v>
      </c>
      <c r="H1025" s="525">
        <f t="shared" si="101"/>
        <v>80.88</v>
      </c>
      <c r="I1025" s="1642"/>
      <c r="J1025" s="1797"/>
      <c r="K1025" s="1797"/>
      <c r="L1025" s="1784"/>
      <c r="M1025" s="1785"/>
    </row>
    <row r="1026" spans="1:13" s="156" customFormat="1" ht="30" x14ac:dyDescent="0.2">
      <c r="A1026" s="2144">
        <v>100705</v>
      </c>
      <c r="B1026" s="2144"/>
      <c r="C1026" s="512" t="s">
        <v>4448</v>
      </c>
      <c r="D1026" s="182" t="s">
        <v>8734</v>
      </c>
      <c r="E1026" s="533">
        <v>1</v>
      </c>
      <c r="F1026" s="523" t="s">
        <v>168</v>
      </c>
      <c r="G1026" s="524">
        <v>48.69</v>
      </c>
      <c r="H1026" s="525">
        <f t="shared" si="101"/>
        <v>48.69</v>
      </c>
      <c r="I1026" s="1642"/>
      <c r="J1026" s="1797"/>
      <c r="K1026" s="1797"/>
      <c r="L1026" s="1784"/>
      <c r="M1026" s="1785"/>
    </row>
    <row r="1027" spans="1:13" s="156" customFormat="1" ht="30" x14ac:dyDescent="0.2">
      <c r="A1027" s="2144">
        <v>88261</v>
      </c>
      <c r="B1027" s="2144"/>
      <c r="C1027" s="512" t="s">
        <v>4448</v>
      </c>
      <c r="D1027" s="182" t="s">
        <v>4291</v>
      </c>
      <c r="E1027" s="533">
        <v>1.282</v>
      </c>
      <c r="F1027" s="523" t="s">
        <v>65</v>
      </c>
      <c r="G1027" s="524">
        <v>20.05</v>
      </c>
      <c r="H1027" s="525">
        <f t="shared" si="101"/>
        <v>25.7</v>
      </c>
      <c r="I1027" s="1642"/>
      <c r="J1027" s="1797"/>
      <c r="K1027" s="1797"/>
      <c r="L1027" s="1784"/>
      <c r="M1027" s="1785"/>
    </row>
    <row r="1028" spans="1:13" s="156" customFormat="1" ht="30" x14ac:dyDescent="0.2">
      <c r="A1028" s="2144">
        <v>88316</v>
      </c>
      <c r="B1028" s="2144"/>
      <c r="C1028" s="512" t="s">
        <v>4448</v>
      </c>
      <c r="D1028" s="182" t="s">
        <v>64</v>
      </c>
      <c r="E1028" s="533">
        <v>0.64100000000000001</v>
      </c>
      <c r="F1028" s="523" t="s">
        <v>65</v>
      </c>
      <c r="G1028" s="524">
        <v>15.08</v>
      </c>
      <c r="H1028" s="525">
        <f t="shared" si="101"/>
        <v>9.66</v>
      </c>
      <c r="I1028" s="1642"/>
      <c r="J1028" s="1797"/>
      <c r="K1028" s="1797"/>
      <c r="L1028" s="1784"/>
      <c r="M1028" s="1785"/>
    </row>
    <row r="1029" spans="1:13" s="1517" customFormat="1" x14ac:dyDescent="0.25">
      <c r="A1029" s="179"/>
      <c r="B1029" s="179"/>
      <c r="C1029" s="526"/>
      <c r="D1029" s="2141" t="s">
        <v>124</v>
      </c>
      <c r="E1029" s="2141"/>
      <c r="F1029" s="2141"/>
      <c r="G1029" s="2141"/>
      <c r="H1029" s="267">
        <f>SUMIF(F1022:F1028,("h"),H1022:H1028)</f>
        <v>35.36</v>
      </c>
      <c r="I1029" s="1830"/>
      <c r="J1029" s="1795"/>
      <c r="K1029" s="1795"/>
      <c r="L1029" s="169"/>
      <c r="M1029" s="1783"/>
    </row>
    <row r="1030" spans="1:13" s="1517" customFormat="1" x14ac:dyDescent="0.25">
      <c r="A1030" s="179"/>
      <c r="B1030" s="179"/>
      <c r="C1030" s="526"/>
      <c r="D1030" s="2141" t="s">
        <v>125</v>
      </c>
      <c r="E1030" s="2141"/>
      <c r="F1030" s="2141"/>
      <c r="G1030" s="2141"/>
      <c r="H1030" s="267">
        <f>SUMIF(F1022:F1028,"&lt;&gt;h",H1022:H1028)</f>
        <v>331.43</v>
      </c>
      <c r="I1030" s="1830"/>
      <c r="J1030" s="1795"/>
      <c r="K1030" s="1795"/>
      <c r="L1030" s="169"/>
      <c r="M1030" s="1783"/>
    </row>
    <row r="1031" spans="1:13" s="1517" customFormat="1" x14ac:dyDescent="0.25">
      <c r="A1031" s="179"/>
      <c r="B1031" s="179"/>
      <c r="C1031" s="526"/>
      <c r="D1031" s="2142" t="s">
        <v>126</v>
      </c>
      <c r="E1031" s="2142"/>
      <c r="F1031" s="2142"/>
      <c r="G1031" s="2142"/>
      <c r="H1031" s="527">
        <f>SUM(H1029:H1030)</f>
        <v>366.79</v>
      </c>
      <c r="I1031" s="1830"/>
      <c r="J1031" s="1795"/>
      <c r="K1031" s="1795"/>
      <c r="L1031" s="169"/>
      <c r="M1031" s="1783"/>
    </row>
    <row r="1032" spans="1:13" s="1517" customFormat="1" x14ac:dyDescent="0.25">
      <c r="A1032" s="179"/>
      <c r="B1032" s="179"/>
      <c r="C1032" s="526"/>
      <c r="D1032" s="2141" t="s">
        <v>28</v>
      </c>
      <c r="E1032" s="2141"/>
      <c r="F1032" s="2141"/>
      <c r="G1032" s="2141"/>
      <c r="H1032" s="269">
        <f>E1021</f>
        <v>18</v>
      </c>
      <c r="I1032" s="1830"/>
      <c r="J1032" s="1795"/>
      <c r="K1032" s="1795"/>
      <c r="L1032" s="169"/>
      <c r="M1032" s="1783"/>
    </row>
    <row r="1033" spans="1:13" s="1517" customFormat="1" x14ac:dyDescent="0.25">
      <c r="A1033" s="179"/>
      <c r="B1033" s="179"/>
      <c r="C1033" s="526"/>
      <c r="D1033" s="2142" t="s">
        <v>127</v>
      </c>
      <c r="E1033" s="2142"/>
      <c r="F1033" s="2142"/>
      <c r="G1033" s="2142"/>
      <c r="H1033" s="527">
        <f>ROUND(H1031*H1032,2)</f>
        <v>6602.22</v>
      </c>
      <c r="I1033" s="1830"/>
      <c r="J1033" s="1795"/>
      <c r="K1033" s="1795"/>
      <c r="L1033" s="169"/>
      <c r="M1033" s="1783"/>
    </row>
    <row r="1034" spans="1:13" s="1517" customFormat="1" x14ac:dyDescent="0.25">
      <c r="A1034" s="179"/>
      <c r="B1034" s="179"/>
      <c r="C1034" s="1531"/>
      <c r="D1034" s="2141" t="s">
        <v>15335</v>
      </c>
      <c r="E1034" s="2141"/>
      <c r="F1034" s="2141"/>
      <c r="G1034" s="2141"/>
      <c r="H1034" s="267">
        <f>ROUND(H1031*$B$13,2)</f>
        <v>98.78</v>
      </c>
      <c r="I1034" s="1830"/>
      <c r="J1034" s="1795"/>
      <c r="K1034" s="1795"/>
      <c r="L1034" s="169"/>
      <c r="M1034" s="1783"/>
    </row>
    <row r="1035" spans="1:13" x14ac:dyDescent="0.25">
      <c r="A1035" s="179"/>
      <c r="B1035" s="179"/>
      <c r="C1035" s="1531"/>
      <c r="D1035" s="2142" t="s">
        <v>7898</v>
      </c>
      <c r="E1035" s="2142"/>
      <c r="F1035" s="2142"/>
      <c r="G1035" s="2142"/>
      <c r="H1035" s="1532">
        <f>H1034+H1031</f>
        <v>465.57000000000005</v>
      </c>
    </row>
    <row r="1036" spans="1:13" x14ac:dyDescent="0.25">
      <c r="A1036" s="511"/>
      <c r="B1036" s="511"/>
      <c r="C1036" s="511"/>
      <c r="F1036" s="528"/>
      <c r="G1036" s="529"/>
      <c r="H1036" s="511"/>
    </row>
    <row r="1037" spans="1:13" s="1517" customFormat="1" x14ac:dyDescent="0.25">
      <c r="A1037" s="146" t="s">
        <v>6</v>
      </c>
      <c r="B1037" s="2143" t="s">
        <v>7</v>
      </c>
      <c r="C1037" s="2143"/>
      <c r="D1037" s="536" t="s">
        <v>121</v>
      </c>
      <c r="E1037" s="278" t="s">
        <v>5282</v>
      </c>
      <c r="F1037" s="536" t="s">
        <v>31</v>
      </c>
      <c r="G1037" s="537" t="s">
        <v>122</v>
      </c>
      <c r="H1037" s="538" t="s">
        <v>123</v>
      </c>
      <c r="I1037" s="1830"/>
      <c r="J1037" s="1795"/>
      <c r="K1037" s="1795"/>
      <c r="L1037" s="169"/>
      <c r="M1037" s="1783"/>
    </row>
    <row r="1038" spans="1:13" s="1526" customFormat="1" ht="45" x14ac:dyDescent="0.2">
      <c r="A1038" s="539" t="str">
        <f>'Orç - Prédio'!A159</f>
        <v>04.01.305.04</v>
      </c>
      <c r="B1038" s="551" t="str">
        <f>'Orç - Prédio'!B159</f>
        <v>CPOS</v>
      </c>
      <c r="C1038" s="551" t="str">
        <f>'Orç - Prédio'!C159</f>
        <v>26.01.170 MOD</v>
      </c>
      <c r="D1038" s="552" t="s">
        <v>5758</v>
      </c>
      <c r="E1038" s="540">
        <f>'Orç - Prédio'!E159</f>
        <v>60.84</v>
      </c>
      <c r="F1038" s="551" t="s">
        <v>5286</v>
      </c>
      <c r="G1038" s="541">
        <v>288.13</v>
      </c>
      <c r="H1038" s="542">
        <f>H1046</f>
        <v>17529.830000000002</v>
      </c>
      <c r="I1038" s="1910" t="s">
        <v>14965</v>
      </c>
      <c r="J1038" s="1793"/>
      <c r="K1038" s="1793"/>
      <c r="L1038" s="141"/>
      <c r="M1038" s="1515"/>
    </row>
    <row r="1039" spans="1:13" s="156" customFormat="1" x14ac:dyDescent="0.2">
      <c r="A1039" s="2144" t="s">
        <v>8547</v>
      </c>
      <c r="B1039" s="2144"/>
      <c r="C1039" s="535" t="s">
        <v>5696</v>
      </c>
      <c r="D1039" s="182" t="s">
        <v>8546</v>
      </c>
      <c r="E1039" s="543">
        <v>1.1000000000000001</v>
      </c>
      <c r="F1039" s="544" t="s">
        <v>306</v>
      </c>
      <c r="G1039" s="367">
        <v>238.82</v>
      </c>
      <c r="H1039" s="546">
        <f>ROUNDDOWN(G1039*E1039,2)</f>
        <v>262.7</v>
      </c>
      <c r="I1039" s="1642"/>
      <c r="J1039" s="1797"/>
      <c r="K1039" s="1797"/>
      <c r="L1039" s="1784"/>
      <c r="M1039" s="1785"/>
    </row>
    <row r="1040" spans="1:13" s="156" customFormat="1" ht="30" x14ac:dyDescent="0.2">
      <c r="A1040" s="2144">
        <v>8475</v>
      </c>
      <c r="B1040" s="2144"/>
      <c r="C1040" s="1516" t="s">
        <v>5737</v>
      </c>
      <c r="D1040" s="182" t="s">
        <v>9550</v>
      </c>
      <c r="E1040" s="1864">
        <v>1.665</v>
      </c>
      <c r="F1040" s="1786" t="s">
        <v>136</v>
      </c>
      <c r="G1040" s="367">
        <v>3.99</v>
      </c>
      <c r="H1040" s="1530">
        <f>ROUNDDOWN(G1040*E1040,2)</f>
        <v>6.64</v>
      </c>
      <c r="I1040" s="1642"/>
      <c r="J1040" s="1797"/>
      <c r="K1040" s="1797"/>
      <c r="L1040" s="1784"/>
      <c r="M1040" s="1785"/>
    </row>
    <row r="1041" spans="1:13" s="156" customFormat="1" ht="30" x14ac:dyDescent="0.2">
      <c r="A1041" s="2144">
        <v>88325</v>
      </c>
      <c r="B1041" s="2144"/>
      <c r="C1041" s="535" t="s">
        <v>4448</v>
      </c>
      <c r="D1041" s="182" t="s">
        <v>94</v>
      </c>
      <c r="E1041" s="543">
        <v>1</v>
      </c>
      <c r="F1041" s="544" t="s">
        <v>65</v>
      </c>
      <c r="G1041" s="545">
        <v>18.79</v>
      </c>
      <c r="H1041" s="546">
        <f>ROUNDDOWN(G1041*E1041,2)</f>
        <v>18.79</v>
      </c>
      <c r="I1041" s="1642"/>
      <c r="J1041" s="1797"/>
      <c r="K1041" s="1797"/>
      <c r="L1041" s="1784"/>
      <c r="M1041" s="1785"/>
    </row>
    <row r="1042" spans="1:13" s="1517" customFormat="1" x14ac:dyDescent="0.25">
      <c r="A1042" s="179"/>
      <c r="B1042" s="179"/>
      <c r="C1042" s="547"/>
      <c r="D1042" s="2141" t="s">
        <v>124</v>
      </c>
      <c r="E1042" s="2141"/>
      <c r="F1042" s="2141"/>
      <c r="G1042" s="2141"/>
      <c r="H1042" s="267">
        <f>SUMIF(F1039:F1041,("h"),H1039:H1041)</f>
        <v>18.79</v>
      </c>
      <c r="I1042" s="1830"/>
      <c r="J1042" s="1795"/>
      <c r="K1042" s="1795"/>
      <c r="L1042" s="169"/>
      <c r="M1042" s="1783"/>
    </row>
    <row r="1043" spans="1:13" s="1517" customFormat="1" x14ac:dyDescent="0.25">
      <c r="A1043" s="179"/>
      <c r="B1043" s="179"/>
      <c r="C1043" s="547"/>
      <c r="D1043" s="2141" t="s">
        <v>125</v>
      </c>
      <c r="E1043" s="2141"/>
      <c r="F1043" s="2141"/>
      <c r="G1043" s="2141"/>
      <c r="H1043" s="267">
        <f>SUMIF(F1039:F1041,"&lt;&gt;h",H1039:H1041)</f>
        <v>269.33999999999997</v>
      </c>
      <c r="I1043" s="1830"/>
      <c r="J1043" s="1795"/>
      <c r="K1043" s="1795"/>
      <c r="L1043" s="169"/>
      <c r="M1043" s="1783"/>
    </row>
    <row r="1044" spans="1:13" s="1517" customFormat="1" x14ac:dyDescent="0.25">
      <c r="A1044" s="179"/>
      <c r="B1044" s="179"/>
      <c r="C1044" s="547"/>
      <c r="D1044" s="2142" t="s">
        <v>126</v>
      </c>
      <c r="E1044" s="2142"/>
      <c r="F1044" s="2142"/>
      <c r="G1044" s="2142"/>
      <c r="H1044" s="548">
        <f>SUM(H1042:H1043)</f>
        <v>288.13</v>
      </c>
      <c r="I1044" s="1830"/>
      <c r="J1044" s="1795"/>
      <c r="K1044" s="1795"/>
      <c r="L1044" s="169"/>
      <c r="M1044" s="1783"/>
    </row>
    <row r="1045" spans="1:13" s="1517" customFormat="1" x14ac:dyDescent="0.25">
      <c r="A1045" s="179"/>
      <c r="B1045" s="179"/>
      <c r="C1045" s="547"/>
      <c r="D1045" s="2141" t="s">
        <v>28</v>
      </c>
      <c r="E1045" s="2141"/>
      <c r="F1045" s="2141"/>
      <c r="G1045" s="2141"/>
      <c r="H1045" s="269">
        <f>E1038</f>
        <v>60.84</v>
      </c>
      <c r="I1045" s="1830"/>
      <c r="J1045" s="1795"/>
      <c r="K1045" s="1795"/>
      <c r="L1045" s="169"/>
      <c r="M1045" s="1783"/>
    </row>
    <row r="1046" spans="1:13" s="1517" customFormat="1" x14ac:dyDescent="0.25">
      <c r="A1046" s="179"/>
      <c r="B1046" s="179"/>
      <c r="C1046" s="547"/>
      <c r="D1046" s="2142" t="s">
        <v>127</v>
      </c>
      <c r="E1046" s="2142"/>
      <c r="F1046" s="2142"/>
      <c r="G1046" s="2142"/>
      <c r="H1046" s="548">
        <f>ROUND(H1044*H1045,2)</f>
        <v>17529.830000000002</v>
      </c>
      <c r="I1046" s="1830"/>
      <c r="J1046" s="1795"/>
      <c r="K1046" s="1795"/>
      <c r="L1046" s="169"/>
      <c r="M1046" s="1783"/>
    </row>
    <row r="1047" spans="1:13" s="1517" customFormat="1" x14ac:dyDescent="0.25">
      <c r="A1047" s="179"/>
      <c r="B1047" s="179"/>
      <c r="C1047" s="1531"/>
      <c r="D1047" s="2141" t="s">
        <v>15335</v>
      </c>
      <c r="E1047" s="2141"/>
      <c r="F1047" s="2141"/>
      <c r="G1047" s="2141"/>
      <c r="H1047" s="267">
        <f>ROUND(H1044*$B$13,2)</f>
        <v>77.59</v>
      </c>
      <c r="I1047" s="1830"/>
      <c r="J1047" s="1795"/>
      <c r="K1047" s="1795"/>
      <c r="L1047" s="169"/>
      <c r="M1047" s="1783"/>
    </row>
    <row r="1048" spans="1:13" x14ac:dyDescent="0.25">
      <c r="A1048" s="179"/>
      <c r="B1048" s="179"/>
      <c r="C1048" s="1531"/>
      <c r="D1048" s="2142" t="s">
        <v>7898</v>
      </c>
      <c r="E1048" s="2142"/>
      <c r="F1048" s="2142"/>
      <c r="G1048" s="2142"/>
      <c r="H1048" s="1532">
        <f>H1047+H1044</f>
        <v>365.72</v>
      </c>
    </row>
    <row r="1049" spans="1:13" x14ac:dyDescent="0.25">
      <c r="A1049" s="2149" t="s">
        <v>9551</v>
      </c>
      <c r="B1049" s="2149"/>
      <c r="C1049" s="2149"/>
      <c r="D1049" s="2149"/>
      <c r="E1049" s="2149"/>
      <c r="F1049" s="2149"/>
      <c r="G1049" s="2149"/>
      <c r="H1049" s="2149"/>
    </row>
    <row r="1050" spans="1:13" x14ac:dyDescent="0.25">
      <c r="A1050" s="534"/>
      <c r="B1050" s="534"/>
      <c r="C1050" s="534"/>
      <c r="F1050" s="549"/>
      <c r="G1050" s="550"/>
      <c r="H1050" s="534"/>
    </row>
    <row r="1051" spans="1:13" s="1517" customFormat="1" x14ac:dyDescent="0.25">
      <c r="A1051" s="146" t="s">
        <v>6</v>
      </c>
      <c r="B1051" s="2143" t="s">
        <v>7</v>
      </c>
      <c r="C1051" s="2143"/>
      <c r="D1051" s="555" t="s">
        <v>121</v>
      </c>
      <c r="E1051" s="278" t="s">
        <v>5282</v>
      </c>
      <c r="F1051" s="555" t="s">
        <v>31</v>
      </c>
      <c r="G1051" s="556" t="s">
        <v>122</v>
      </c>
      <c r="H1051" s="557" t="s">
        <v>123</v>
      </c>
      <c r="I1051" s="1830"/>
      <c r="J1051" s="1795"/>
      <c r="K1051" s="1795"/>
      <c r="L1051" s="169"/>
      <c r="M1051" s="1783"/>
    </row>
    <row r="1052" spans="1:13" s="1526" customFormat="1" ht="45" x14ac:dyDescent="0.2">
      <c r="A1052" s="558" t="str">
        <f>'Orç - Prédio'!A162</f>
        <v>04.01.407</v>
      </c>
      <c r="B1052" s="558" t="str">
        <f>'Orç - Prédio'!B162</f>
        <v>SINAPI</v>
      </c>
      <c r="C1052" s="558" t="str">
        <f>'Orç - Prédio'!C162</f>
        <v>94213 MOD</v>
      </c>
      <c r="D1052" s="559" t="s">
        <v>8278</v>
      </c>
      <c r="E1052" s="1866">
        <f>'Orç - Prédio'!E162</f>
        <v>879.5</v>
      </c>
      <c r="F1052" s="558" t="s">
        <v>5286</v>
      </c>
      <c r="G1052" s="560">
        <v>92.17</v>
      </c>
      <c r="H1052" s="561">
        <f>H1063</f>
        <v>81063.520000000004</v>
      </c>
      <c r="I1052" s="1910" t="s">
        <v>14965</v>
      </c>
      <c r="J1052" s="1793"/>
      <c r="K1052" s="1793"/>
      <c r="L1052" s="141"/>
      <c r="M1052" s="1515"/>
    </row>
    <row r="1053" spans="1:13" s="156" customFormat="1" ht="30" x14ac:dyDescent="0.2">
      <c r="A1053" s="2144" t="s">
        <v>5767</v>
      </c>
      <c r="B1053" s="2144"/>
      <c r="C1053" s="554" t="s">
        <v>5696</v>
      </c>
      <c r="D1053" s="571" t="s">
        <v>5768</v>
      </c>
      <c r="E1053" s="562">
        <v>1.6666666000000001</v>
      </c>
      <c r="F1053" s="563" t="s">
        <v>306</v>
      </c>
      <c r="G1053" s="367">
        <v>48.64</v>
      </c>
      <c r="H1053" s="565">
        <f t="shared" ref="H1053:H1057" si="102">ROUNDDOWN(G1053*E1053,2)</f>
        <v>81.06</v>
      </c>
      <c r="I1053" s="1642"/>
      <c r="J1053" s="1797"/>
      <c r="K1053" s="1797"/>
      <c r="L1053" s="1784"/>
      <c r="M1053" s="1785"/>
    </row>
    <row r="1054" spans="1:13" s="156" customFormat="1" ht="30" x14ac:dyDescent="0.2">
      <c r="A1054" s="2144">
        <v>1669</v>
      </c>
      <c r="B1054" s="2144"/>
      <c r="C1054" s="554" t="s">
        <v>5281</v>
      </c>
      <c r="D1054" s="182" t="s">
        <v>8279</v>
      </c>
      <c r="E1054" s="562">
        <v>4.1500000000000004</v>
      </c>
      <c r="F1054" s="563" t="s">
        <v>31</v>
      </c>
      <c r="G1054" s="367">
        <v>1.8</v>
      </c>
      <c r="H1054" s="565">
        <f t="shared" si="102"/>
        <v>7.47</v>
      </c>
      <c r="I1054" s="1642"/>
      <c r="J1054" s="1797"/>
      <c r="K1054" s="1797"/>
      <c r="L1054" s="1784"/>
      <c r="M1054" s="1785"/>
    </row>
    <row r="1055" spans="1:13" s="156" customFormat="1" ht="30" x14ac:dyDescent="0.2">
      <c r="A1055" s="2144">
        <v>88316</v>
      </c>
      <c r="B1055" s="2144"/>
      <c r="C1055" s="570" t="s">
        <v>4448</v>
      </c>
      <c r="D1055" s="182" t="s">
        <v>64</v>
      </c>
      <c r="E1055" s="572">
        <v>9.6000000000000002E-2</v>
      </c>
      <c r="F1055" s="573" t="s">
        <v>65</v>
      </c>
      <c r="G1055" s="574">
        <v>15.08</v>
      </c>
      <c r="H1055" s="575">
        <f>ROUNDDOWN(G1055*E1055,2)</f>
        <v>1.44</v>
      </c>
      <c r="I1055" s="1642"/>
      <c r="J1055" s="1797"/>
      <c r="K1055" s="1797"/>
      <c r="L1055" s="1784"/>
      <c r="M1055" s="1785"/>
    </row>
    <row r="1056" spans="1:13" s="156" customFormat="1" ht="30" x14ac:dyDescent="0.2">
      <c r="A1056" s="2144">
        <v>88323</v>
      </c>
      <c r="B1056" s="2144"/>
      <c r="C1056" s="570" t="s">
        <v>4448</v>
      </c>
      <c r="D1056" s="182" t="s">
        <v>91</v>
      </c>
      <c r="E1056" s="572">
        <v>9.0999999999999998E-2</v>
      </c>
      <c r="F1056" s="573" t="s">
        <v>65</v>
      </c>
      <c r="G1056" s="574">
        <v>21.31</v>
      </c>
      <c r="H1056" s="575">
        <f>ROUNDDOWN(G1056*E1056,2)</f>
        <v>1.93</v>
      </c>
      <c r="I1056" s="1642"/>
      <c r="J1056" s="1797"/>
      <c r="K1056" s="1797"/>
      <c r="L1056" s="1784"/>
      <c r="M1056" s="1785"/>
    </row>
    <row r="1057" spans="1:13" s="156" customFormat="1" ht="60" x14ac:dyDescent="0.2">
      <c r="A1057" s="2144">
        <v>93287</v>
      </c>
      <c r="B1057" s="2144"/>
      <c r="C1057" s="554" t="s">
        <v>4448</v>
      </c>
      <c r="D1057" s="182" t="s">
        <v>427</v>
      </c>
      <c r="E1057" s="562">
        <v>6.9999999999999999E-4</v>
      </c>
      <c r="F1057" s="563" t="s">
        <v>97</v>
      </c>
      <c r="G1057" s="564">
        <v>294.16000000000003</v>
      </c>
      <c r="H1057" s="565">
        <f t="shared" si="102"/>
        <v>0.2</v>
      </c>
      <c r="I1057" s="1642"/>
      <c r="J1057" s="1797"/>
      <c r="K1057" s="1797"/>
      <c r="L1057" s="1784"/>
      <c r="M1057" s="1785"/>
    </row>
    <row r="1058" spans="1:13" s="156" customFormat="1" ht="60" x14ac:dyDescent="0.2">
      <c r="A1058" s="2144">
        <v>93288</v>
      </c>
      <c r="B1058" s="2144"/>
      <c r="C1058" s="554" t="s">
        <v>4448</v>
      </c>
      <c r="D1058" s="182" t="s">
        <v>567</v>
      </c>
      <c r="E1058" s="562">
        <v>1E-3</v>
      </c>
      <c r="F1058" s="563" t="s">
        <v>98</v>
      </c>
      <c r="G1058" s="564">
        <v>79.87</v>
      </c>
      <c r="H1058" s="565">
        <f>ROUNDDOWN(G1058*E1058,2)</f>
        <v>7.0000000000000007E-2</v>
      </c>
      <c r="I1058" s="1642"/>
      <c r="J1058" s="1797"/>
      <c r="K1058" s="1797"/>
      <c r="L1058" s="1784"/>
      <c r="M1058" s="1785"/>
    </row>
    <row r="1059" spans="1:13" s="1517" customFormat="1" x14ac:dyDescent="0.25">
      <c r="A1059" s="179"/>
      <c r="B1059" s="179"/>
      <c r="C1059" s="566"/>
      <c r="D1059" s="2141" t="s">
        <v>124</v>
      </c>
      <c r="E1059" s="2141"/>
      <c r="F1059" s="2141"/>
      <c r="G1059" s="2141"/>
      <c r="H1059" s="267">
        <f>SUMIF(F1053:F1058,("h"),H1053:H1058)</f>
        <v>3.37</v>
      </c>
      <c r="I1059" s="1830"/>
      <c r="J1059" s="1795"/>
      <c r="K1059" s="1795"/>
      <c r="L1059" s="169"/>
      <c r="M1059" s="1783"/>
    </row>
    <row r="1060" spans="1:13" s="1517" customFormat="1" x14ac:dyDescent="0.25">
      <c r="A1060" s="179"/>
      <c r="B1060" s="179"/>
      <c r="C1060" s="566"/>
      <c r="D1060" s="2141" t="s">
        <v>125</v>
      </c>
      <c r="E1060" s="2141"/>
      <c r="F1060" s="2141"/>
      <c r="G1060" s="2141"/>
      <c r="H1060" s="267">
        <f>SUMIF(F1053:F1058,"&lt;&gt;h",H1053:H1058)</f>
        <v>88.8</v>
      </c>
      <c r="I1060" s="1830"/>
      <c r="J1060" s="1795"/>
      <c r="K1060" s="1795"/>
      <c r="L1060" s="169"/>
      <c r="M1060" s="1783"/>
    </row>
    <row r="1061" spans="1:13" s="1517" customFormat="1" x14ac:dyDescent="0.25">
      <c r="A1061" s="179"/>
      <c r="B1061" s="179"/>
      <c r="C1061" s="566"/>
      <c r="D1061" s="2142" t="s">
        <v>126</v>
      </c>
      <c r="E1061" s="2142"/>
      <c r="F1061" s="2142"/>
      <c r="G1061" s="2142"/>
      <c r="H1061" s="567">
        <f>SUM(H1059:H1060)</f>
        <v>92.17</v>
      </c>
      <c r="I1061" s="1830"/>
      <c r="J1061" s="1795"/>
      <c r="K1061" s="1795"/>
      <c r="L1061" s="169"/>
      <c r="M1061" s="1783"/>
    </row>
    <row r="1062" spans="1:13" s="1517" customFormat="1" x14ac:dyDescent="0.25">
      <c r="A1062" s="179"/>
      <c r="B1062" s="179"/>
      <c r="C1062" s="566"/>
      <c r="D1062" s="2141" t="s">
        <v>28</v>
      </c>
      <c r="E1062" s="2141"/>
      <c r="F1062" s="2141"/>
      <c r="G1062" s="2141"/>
      <c r="H1062" s="269">
        <f>E1052</f>
        <v>879.5</v>
      </c>
      <c r="I1062" s="1830"/>
      <c r="J1062" s="1795"/>
      <c r="K1062" s="1795"/>
      <c r="L1062" s="169"/>
      <c r="M1062" s="1783"/>
    </row>
    <row r="1063" spans="1:13" s="1517" customFormat="1" x14ac:dyDescent="0.25">
      <c r="A1063" s="179"/>
      <c r="B1063" s="179"/>
      <c r="C1063" s="566"/>
      <c r="D1063" s="2142" t="s">
        <v>127</v>
      </c>
      <c r="E1063" s="2142"/>
      <c r="F1063" s="2142"/>
      <c r="G1063" s="2142"/>
      <c r="H1063" s="567">
        <f>ROUND(H1061*H1062,2)</f>
        <v>81063.520000000004</v>
      </c>
      <c r="I1063" s="1830"/>
      <c r="J1063" s="1795"/>
      <c r="K1063" s="1795"/>
      <c r="L1063" s="169"/>
      <c r="M1063" s="1783"/>
    </row>
    <row r="1064" spans="1:13" s="1517" customFormat="1" x14ac:dyDescent="0.25">
      <c r="A1064" s="179"/>
      <c r="B1064" s="179"/>
      <c r="C1064" s="1531"/>
      <c r="D1064" s="2141" t="s">
        <v>15335</v>
      </c>
      <c r="E1064" s="2141"/>
      <c r="F1064" s="2141"/>
      <c r="G1064" s="2141"/>
      <c r="H1064" s="267">
        <f>ROUND(H1061*$B$13,2)</f>
        <v>24.82</v>
      </c>
      <c r="I1064" s="1830"/>
      <c r="J1064" s="1795"/>
      <c r="K1064" s="1795"/>
      <c r="L1064" s="169"/>
      <c r="M1064" s="1783"/>
    </row>
    <row r="1065" spans="1:13" x14ac:dyDescent="0.25">
      <c r="A1065" s="179"/>
      <c r="B1065" s="179"/>
      <c r="C1065" s="1531"/>
      <c r="D1065" s="2142" t="s">
        <v>7898</v>
      </c>
      <c r="E1065" s="2142"/>
      <c r="F1065" s="2142"/>
      <c r="G1065" s="2142"/>
      <c r="H1065" s="1532">
        <f>H1064+H1061</f>
        <v>116.99000000000001</v>
      </c>
    </row>
    <row r="1066" spans="1:13" x14ac:dyDescent="0.25">
      <c r="A1066" s="553"/>
      <c r="B1066" s="553"/>
      <c r="C1066" s="553"/>
      <c r="F1066" s="568"/>
      <c r="G1066" s="569"/>
      <c r="H1066" s="553"/>
    </row>
    <row r="1067" spans="1:13" s="1517" customFormat="1" x14ac:dyDescent="0.25">
      <c r="A1067" s="146" t="s">
        <v>6</v>
      </c>
      <c r="B1067" s="2143" t="s">
        <v>7</v>
      </c>
      <c r="C1067" s="2143"/>
      <c r="D1067" s="1518" t="s">
        <v>121</v>
      </c>
      <c r="E1067" s="278" t="s">
        <v>5282</v>
      </c>
      <c r="F1067" s="1518" t="s">
        <v>31</v>
      </c>
      <c r="G1067" s="1519" t="s">
        <v>122</v>
      </c>
      <c r="H1067" s="1520" t="s">
        <v>123</v>
      </c>
      <c r="I1067" s="1830"/>
      <c r="J1067" s="1795"/>
      <c r="K1067" s="1795"/>
      <c r="L1067" s="169"/>
      <c r="M1067" s="1783"/>
    </row>
    <row r="1068" spans="1:13" s="1526" customFormat="1" ht="30" x14ac:dyDescent="0.2">
      <c r="A1068" s="1521" t="str">
        <f>'Orç - Prédio'!A170</f>
        <v>04.01.528.01</v>
      </c>
      <c r="B1068" s="1521" t="str">
        <f>'Orç - Prédio'!B170</f>
        <v>SINAPI</v>
      </c>
      <c r="C1068" s="1521" t="str">
        <f>'Orç - Prédio'!C170</f>
        <v>72183 MOD</v>
      </c>
      <c r="D1068" s="1522" t="s">
        <v>7560</v>
      </c>
      <c r="E1068" s="1523">
        <f>'Orç - Prédio'!E170</f>
        <v>494.55</v>
      </c>
      <c r="F1068" s="1521" t="s">
        <v>5286</v>
      </c>
      <c r="G1068" s="1524">
        <v>75.47999999999999</v>
      </c>
      <c r="H1068" s="1525">
        <f>H1078</f>
        <v>37328.629999999997</v>
      </c>
      <c r="I1068" s="1910" t="s">
        <v>9544</v>
      </c>
      <c r="J1068" s="1793"/>
      <c r="K1068" s="1793"/>
      <c r="L1068" s="141"/>
      <c r="M1068" s="1515"/>
    </row>
    <row r="1069" spans="1:13" s="156" customFormat="1" ht="60" x14ac:dyDescent="0.2">
      <c r="A1069" s="2144">
        <v>1524</v>
      </c>
      <c r="B1069" s="2144"/>
      <c r="C1069" s="1516" t="s">
        <v>4448</v>
      </c>
      <c r="D1069" s="182" t="s">
        <v>10949</v>
      </c>
      <c r="E1069" s="1527">
        <v>7.0000000000000007E-2</v>
      </c>
      <c r="F1069" s="1656" t="s">
        <v>44</v>
      </c>
      <c r="G1069" s="1529">
        <v>295</v>
      </c>
      <c r="H1069" s="1530">
        <f t="shared" ref="H1069" si="103">ROUNDDOWN(G1069*E1069,2)</f>
        <v>20.65</v>
      </c>
      <c r="I1069" s="1642"/>
      <c r="J1069" s="1797"/>
      <c r="K1069" s="1797"/>
      <c r="L1069" s="1784"/>
      <c r="M1069" s="1785"/>
    </row>
    <row r="1070" spans="1:13" s="156" customFormat="1" ht="60" x14ac:dyDescent="0.2">
      <c r="A1070" s="2144">
        <v>7156</v>
      </c>
      <c r="B1070" s="2144"/>
      <c r="C1070" s="1516" t="s">
        <v>4448</v>
      </c>
      <c r="D1070" s="182" t="s">
        <v>14143</v>
      </c>
      <c r="E1070" s="1527">
        <v>1.05</v>
      </c>
      <c r="F1070" s="1656" t="s">
        <v>45</v>
      </c>
      <c r="G1070" s="1529">
        <v>19</v>
      </c>
      <c r="H1070" s="1530">
        <f t="shared" ref="H1070" si="104">ROUNDDOWN(G1070*E1070,2)</f>
        <v>19.95</v>
      </c>
      <c r="I1070" s="1642"/>
      <c r="J1070" s="1797"/>
      <c r="K1070" s="1797"/>
      <c r="L1070" s="1784"/>
      <c r="M1070" s="1785"/>
    </row>
    <row r="1071" spans="1:13" s="156" customFormat="1" ht="30" x14ac:dyDescent="0.2">
      <c r="A1071" s="2144">
        <v>88245</v>
      </c>
      <c r="B1071" s="2144"/>
      <c r="C1071" s="1516" t="s">
        <v>4448</v>
      </c>
      <c r="D1071" s="182" t="s">
        <v>67</v>
      </c>
      <c r="E1071" s="1527">
        <v>0.02</v>
      </c>
      <c r="F1071" s="1656" t="s">
        <v>65</v>
      </c>
      <c r="G1071" s="1529">
        <v>20.059999999999999</v>
      </c>
      <c r="H1071" s="1530">
        <f>ROUNDDOWN(G1071*E1071,2)</f>
        <v>0.4</v>
      </c>
      <c r="I1071" s="1642"/>
      <c r="J1071" s="1797"/>
      <c r="K1071" s="1797"/>
      <c r="L1071" s="1784"/>
      <c r="M1071" s="1785"/>
    </row>
    <row r="1072" spans="1:13" s="156" customFormat="1" ht="30" x14ac:dyDescent="0.2">
      <c r="A1072" s="2144">
        <v>88309</v>
      </c>
      <c r="B1072" s="2144"/>
      <c r="C1072" s="1516" t="s">
        <v>4448</v>
      </c>
      <c r="D1072" s="182" t="s">
        <v>87</v>
      </c>
      <c r="E1072" s="1527">
        <v>0.26</v>
      </c>
      <c r="F1072" s="1656" t="s">
        <v>65</v>
      </c>
      <c r="G1072" s="1529">
        <v>20.149999999999999</v>
      </c>
      <c r="H1072" s="1530">
        <f>ROUNDDOWN(G1072*E1072,2)</f>
        <v>5.23</v>
      </c>
      <c r="I1072" s="1642"/>
      <c r="J1072" s="1797"/>
      <c r="K1072" s="1797"/>
      <c r="L1072" s="1784"/>
      <c r="M1072" s="1785"/>
    </row>
    <row r="1073" spans="1:13" s="156" customFormat="1" ht="30" x14ac:dyDescent="0.2">
      <c r="A1073" s="2144">
        <v>88316</v>
      </c>
      <c r="B1073" s="2144"/>
      <c r="C1073" s="1516" t="s">
        <v>4448</v>
      </c>
      <c r="D1073" s="182" t="s">
        <v>64</v>
      </c>
      <c r="E1073" s="1527">
        <v>1.94</v>
      </c>
      <c r="F1073" s="1656" t="s">
        <v>65</v>
      </c>
      <c r="G1073" s="1529">
        <v>15.08</v>
      </c>
      <c r="H1073" s="1530">
        <f>ROUNDDOWN(G1073*E1073,2)</f>
        <v>29.25</v>
      </c>
      <c r="I1073" s="1642"/>
      <c r="J1073" s="1797"/>
      <c r="K1073" s="1797"/>
      <c r="L1073" s="1784"/>
      <c r="M1073" s="1785"/>
    </row>
    <row r="1074" spans="1:13" s="1517" customFormat="1" x14ac:dyDescent="0.25">
      <c r="A1074" s="179"/>
      <c r="B1074" s="179"/>
      <c r="C1074" s="1531"/>
      <c r="D1074" s="2141" t="s">
        <v>124</v>
      </c>
      <c r="E1074" s="2141"/>
      <c r="F1074" s="2141"/>
      <c r="G1074" s="2141"/>
      <c r="H1074" s="267">
        <f>SUMIF(F1069:F1073,("h"),H1069:H1073)</f>
        <v>34.880000000000003</v>
      </c>
      <c r="I1074" s="1830"/>
      <c r="J1074" s="1795"/>
      <c r="K1074" s="1795"/>
      <c r="L1074" s="169"/>
      <c r="M1074" s="1783"/>
    </row>
    <row r="1075" spans="1:13" s="1517" customFormat="1" x14ac:dyDescent="0.25">
      <c r="A1075" s="179"/>
      <c r="B1075" s="179"/>
      <c r="C1075" s="1531"/>
      <c r="D1075" s="2141" t="s">
        <v>125</v>
      </c>
      <c r="E1075" s="2141"/>
      <c r="F1075" s="2141"/>
      <c r="G1075" s="2141"/>
      <c r="H1075" s="267">
        <f>SUMIF(F1069:F1073,"&lt;&gt;h",H1069:H1073)</f>
        <v>40.599999999999994</v>
      </c>
      <c r="I1075" s="1830"/>
      <c r="J1075" s="1795"/>
      <c r="K1075" s="1795"/>
      <c r="L1075" s="169"/>
      <c r="M1075" s="1783"/>
    </row>
    <row r="1076" spans="1:13" s="1517" customFormat="1" x14ac:dyDescent="0.25">
      <c r="A1076" s="179"/>
      <c r="B1076" s="179"/>
      <c r="C1076" s="1531"/>
      <c r="D1076" s="2142" t="s">
        <v>126</v>
      </c>
      <c r="E1076" s="2142"/>
      <c r="F1076" s="2142"/>
      <c r="G1076" s="2142"/>
      <c r="H1076" s="1532">
        <f>SUM(H1074:H1075)</f>
        <v>75.47999999999999</v>
      </c>
      <c r="I1076" s="1830"/>
      <c r="J1076" s="1795"/>
      <c r="K1076" s="1795"/>
      <c r="L1076" s="169"/>
      <c r="M1076" s="1783"/>
    </row>
    <row r="1077" spans="1:13" s="1517" customFormat="1" x14ac:dyDescent="0.25">
      <c r="A1077" s="179"/>
      <c r="B1077" s="179"/>
      <c r="C1077" s="1531"/>
      <c r="D1077" s="2141" t="s">
        <v>28</v>
      </c>
      <c r="E1077" s="2141"/>
      <c r="F1077" s="2141"/>
      <c r="G1077" s="2141"/>
      <c r="H1077" s="269">
        <f>E1068</f>
        <v>494.55</v>
      </c>
      <c r="I1077" s="1830"/>
      <c r="J1077" s="1795"/>
      <c r="K1077" s="1795"/>
      <c r="L1077" s="169"/>
      <c r="M1077" s="1783"/>
    </row>
    <row r="1078" spans="1:13" s="1517" customFormat="1" x14ac:dyDescent="0.25">
      <c r="A1078" s="179"/>
      <c r="B1078" s="179"/>
      <c r="C1078" s="1531"/>
      <c r="D1078" s="2142" t="s">
        <v>127</v>
      </c>
      <c r="E1078" s="2142"/>
      <c r="F1078" s="2142"/>
      <c r="G1078" s="2142"/>
      <c r="H1078" s="1532">
        <f>ROUND(H1076*H1077,2)</f>
        <v>37328.629999999997</v>
      </c>
      <c r="I1078" s="1830"/>
      <c r="J1078" s="1795"/>
      <c r="K1078" s="1795"/>
      <c r="L1078" s="169"/>
      <c r="M1078" s="1783"/>
    </row>
    <row r="1079" spans="1:13" s="1517" customFormat="1" x14ac:dyDescent="0.25">
      <c r="A1079" s="179"/>
      <c r="B1079" s="179"/>
      <c r="C1079" s="1531"/>
      <c r="D1079" s="2141" t="s">
        <v>15335</v>
      </c>
      <c r="E1079" s="2141"/>
      <c r="F1079" s="2141"/>
      <c r="G1079" s="2141"/>
      <c r="H1079" s="267">
        <f>ROUND(H1076*$B$13,2)</f>
        <v>20.329999999999998</v>
      </c>
      <c r="I1079" s="1830"/>
      <c r="J1079" s="1795"/>
      <c r="K1079" s="1795"/>
      <c r="L1079" s="169"/>
      <c r="M1079" s="1783"/>
    </row>
    <row r="1080" spans="1:13" x14ac:dyDescent="0.25">
      <c r="A1080" s="179"/>
      <c r="B1080" s="179"/>
      <c r="C1080" s="1531"/>
      <c r="D1080" s="2142" t="s">
        <v>7898</v>
      </c>
      <c r="E1080" s="2142"/>
      <c r="F1080" s="2142"/>
      <c r="G1080" s="2142"/>
      <c r="H1080" s="1532">
        <f>H1079+H1076</f>
        <v>95.809999999999988</v>
      </c>
    </row>
    <row r="1081" spans="1:13" x14ac:dyDescent="0.25">
      <c r="A1081" s="1514"/>
      <c r="B1081" s="1514"/>
      <c r="C1081" s="1514"/>
      <c r="F1081" s="1533"/>
      <c r="G1081" s="1534"/>
      <c r="H1081" s="1514"/>
    </row>
    <row r="1082" spans="1:13" s="1517" customFormat="1" x14ac:dyDescent="0.25">
      <c r="A1082" s="146" t="s">
        <v>6</v>
      </c>
      <c r="B1082" s="2143" t="s">
        <v>7</v>
      </c>
      <c r="C1082" s="2143"/>
      <c r="D1082" s="1482" t="s">
        <v>121</v>
      </c>
      <c r="E1082" s="278" t="s">
        <v>5282</v>
      </c>
      <c r="F1082" s="1482" t="s">
        <v>31</v>
      </c>
      <c r="G1082" s="1483" t="s">
        <v>122</v>
      </c>
      <c r="H1082" s="1484" t="s">
        <v>123</v>
      </c>
      <c r="I1082" s="1830"/>
      <c r="J1082" s="1795"/>
      <c r="K1082" s="1795"/>
      <c r="L1082" s="169"/>
      <c r="M1082" s="1783"/>
    </row>
    <row r="1083" spans="1:13" s="1526" customFormat="1" ht="45" x14ac:dyDescent="0.2">
      <c r="A1083" s="1485" t="str">
        <f>'Orç - Prédio'!A172</f>
        <v>04.01.528.03</v>
      </c>
      <c r="B1083" s="1493" t="str">
        <f>'Orç - Prédio'!B172</f>
        <v>SINAPI</v>
      </c>
      <c r="C1083" s="1493" t="str">
        <f>'Orç - Prédio'!C172</f>
        <v>87623 MOD</v>
      </c>
      <c r="D1083" s="1494" t="s">
        <v>6672</v>
      </c>
      <c r="E1083" s="1486">
        <f>'Orç - Prédio'!E172</f>
        <v>5.86</v>
      </c>
      <c r="F1083" s="1493" t="s">
        <v>5286</v>
      </c>
      <c r="G1083" s="1487">
        <v>143.85</v>
      </c>
      <c r="H1083" s="1488">
        <f>H1091</f>
        <v>842.96</v>
      </c>
      <c r="I1083" s="1910" t="s">
        <v>14965</v>
      </c>
      <c r="J1083" s="1793"/>
      <c r="K1083" s="1793"/>
      <c r="L1083" s="141"/>
      <c r="M1083" s="1515"/>
    </row>
    <row r="1084" spans="1:13" s="156" customFormat="1" ht="30" x14ac:dyDescent="0.2">
      <c r="A1084" s="2144">
        <v>256</v>
      </c>
      <c r="B1084" s="2144"/>
      <c r="C1084" s="1495" t="s">
        <v>5281</v>
      </c>
      <c r="D1084" s="182" t="s">
        <v>6671</v>
      </c>
      <c r="E1084" s="1498">
        <v>90</v>
      </c>
      <c r="F1084" s="1502" t="s">
        <v>305</v>
      </c>
      <c r="G1084" s="367">
        <v>1.42</v>
      </c>
      <c r="H1084" s="1501">
        <f>ROUNDDOWN(G1084*E1084,2)</f>
        <v>127.8</v>
      </c>
      <c r="I1084" s="1642"/>
      <c r="J1084" s="1797"/>
      <c r="K1084" s="1797"/>
      <c r="L1084" s="1784"/>
      <c r="M1084" s="1785"/>
    </row>
    <row r="1085" spans="1:13" s="156" customFormat="1" ht="30" x14ac:dyDescent="0.2">
      <c r="A1085" s="2144">
        <v>88309</v>
      </c>
      <c r="B1085" s="2144"/>
      <c r="C1085" s="1495" t="s">
        <v>4448</v>
      </c>
      <c r="D1085" s="182" t="s">
        <v>87</v>
      </c>
      <c r="E1085" s="1498">
        <f>0.29*2</f>
        <v>0.57999999999999996</v>
      </c>
      <c r="F1085" s="1502" t="s">
        <v>65</v>
      </c>
      <c r="G1085" s="1500">
        <v>20.149999999999999</v>
      </c>
      <c r="H1085" s="1501">
        <f>ROUNDDOWN(G1085*E1085,2)</f>
        <v>11.68</v>
      </c>
      <c r="I1085" s="1642"/>
      <c r="J1085" s="1797"/>
      <c r="K1085" s="1797"/>
      <c r="L1085" s="1784"/>
      <c r="M1085" s="1785"/>
    </row>
    <row r="1086" spans="1:13" s="156" customFormat="1" ht="30" x14ac:dyDescent="0.2">
      <c r="A1086" s="2144">
        <v>88316</v>
      </c>
      <c r="B1086" s="2144"/>
      <c r="C1086" s="1495" t="s">
        <v>4448</v>
      </c>
      <c r="D1086" s="182" t="s">
        <v>64</v>
      </c>
      <c r="E1086" s="1498">
        <f>0.145*2</f>
        <v>0.28999999999999998</v>
      </c>
      <c r="F1086" s="1502" t="s">
        <v>65</v>
      </c>
      <c r="G1086" s="1500">
        <v>15.08</v>
      </c>
      <c r="H1086" s="1501">
        <f>ROUNDDOWN(G1086*E1086,2)</f>
        <v>4.37</v>
      </c>
      <c r="I1086" s="1642"/>
      <c r="J1086" s="1797"/>
      <c r="K1086" s="1797"/>
      <c r="L1086" s="1784"/>
      <c r="M1086" s="1785"/>
    </row>
    <row r="1087" spans="1:13" s="1517" customFormat="1" x14ac:dyDescent="0.25">
      <c r="A1087" s="179"/>
      <c r="B1087" s="179"/>
      <c r="C1087" s="1489"/>
      <c r="D1087" s="2141" t="s">
        <v>124</v>
      </c>
      <c r="E1087" s="2141"/>
      <c r="F1087" s="2141"/>
      <c r="G1087" s="2141"/>
      <c r="H1087" s="267">
        <f>SUMIF(F1084:F1086,("h"),H1084:H1086)</f>
        <v>16.05</v>
      </c>
      <c r="I1087" s="1830"/>
      <c r="J1087" s="1795"/>
      <c r="K1087" s="1795"/>
      <c r="L1087" s="169"/>
      <c r="M1087" s="1783"/>
    </row>
    <row r="1088" spans="1:13" s="1517" customFormat="1" x14ac:dyDescent="0.25">
      <c r="A1088" s="179"/>
      <c r="B1088" s="179"/>
      <c r="C1088" s="1489"/>
      <c r="D1088" s="2141" t="s">
        <v>125</v>
      </c>
      <c r="E1088" s="2141"/>
      <c r="F1088" s="2141"/>
      <c r="G1088" s="2141"/>
      <c r="H1088" s="267">
        <f>SUMIF(F1084:F1086,"&lt;&gt;h",H1084:H1086)</f>
        <v>127.8</v>
      </c>
      <c r="I1088" s="1830"/>
      <c r="J1088" s="1795"/>
      <c r="K1088" s="1795"/>
      <c r="L1088" s="169"/>
      <c r="M1088" s="1783"/>
    </row>
    <row r="1089" spans="1:13" s="1517" customFormat="1" x14ac:dyDescent="0.25">
      <c r="A1089" s="179"/>
      <c r="B1089" s="179"/>
      <c r="C1089" s="1489"/>
      <c r="D1089" s="2142" t="s">
        <v>126</v>
      </c>
      <c r="E1089" s="2142"/>
      <c r="F1089" s="2142"/>
      <c r="G1089" s="2142"/>
      <c r="H1089" s="1490">
        <f>SUM(H1087:H1088)</f>
        <v>143.85</v>
      </c>
      <c r="I1089" s="1830"/>
      <c r="J1089" s="1795"/>
      <c r="K1089" s="1795"/>
      <c r="L1089" s="169"/>
      <c r="M1089" s="1783"/>
    </row>
    <row r="1090" spans="1:13" s="1517" customFormat="1" x14ac:dyDescent="0.25">
      <c r="A1090" s="179"/>
      <c r="B1090" s="179"/>
      <c r="C1090" s="1489"/>
      <c r="D1090" s="2141" t="s">
        <v>28</v>
      </c>
      <c r="E1090" s="2141"/>
      <c r="F1090" s="2141"/>
      <c r="G1090" s="2141"/>
      <c r="H1090" s="269">
        <f>E1083</f>
        <v>5.86</v>
      </c>
      <c r="I1090" s="1830"/>
      <c r="J1090" s="1795"/>
      <c r="K1090" s="1795"/>
      <c r="L1090" s="169"/>
      <c r="M1090" s="1783"/>
    </row>
    <row r="1091" spans="1:13" s="1517" customFormat="1" x14ac:dyDescent="0.25">
      <c r="A1091" s="179"/>
      <c r="B1091" s="179"/>
      <c r="C1091" s="1489"/>
      <c r="D1091" s="2142" t="s">
        <v>127</v>
      </c>
      <c r="E1091" s="2142"/>
      <c r="F1091" s="2142"/>
      <c r="G1091" s="2142"/>
      <c r="H1091" s="1490">
        <f>ROUND(H1089*H1090,2)</f>
        <v>842.96</v>
      </c>
      <c r="I1091" s="1830"/>
      <c r="J1091" s="1795"/>
      <c r="K1091" s="1795"/>
      <c r="L1091" s="169"/>
      <c r="M1091" s="1783"/>
    </row>
    <row r="1092" spans="1:13" s="1517" customFormat="1" x14ac:dyDescent="0.25">
      <c r="A1092" s="179"/>
      <c r="B1092" s="179"/>
      <c r="C1092" s="1531"/>
      <c r="D1092" s="2141" t="s">
        <v>15335</v>
      </c>
      <c r="E1092" s="2141"/>
      <c r="F1092" s="2141"/>
      <c r="G1092" s="2141"/>
      <c r="H1092" s="267">
        <f>ROUND(H1089*$B$13,2)</f>
        <v>38.74</v>
      </c>
      <c r="I1092" s="1830"/>
      <c r="J1092" s="1795"/>
      <c r="K1092" s="1795"/>
      <c r="L1092" s="169"/>
      <c r="M1092" s="1783"/>
    </row>
    <row r="1093" spans="1:13" x14ac:dyDescent="0.25">
      <c r="A1093" s="179"/>
      <c r="B1093" s="179"/>
      <c r="C1093" s="1531"/>
      <c r="D1093" s="2142" t="s">
        <v>7898</v>
      </c>
      <c r="E1093" s="2142"/>
      <c r="F1093" s="2142"/>
      <c r="G1093" s="2142"/>
      <c r="H1093" s="1532">
        <f>H1092+H1089</f>
        <v>182.59</v>
      </c>
    </row>
    <row r="1094" spans="1:13" x14ac:dyDescent="0.25">
      <c r="A1094" s="2149" t="s">
        <v>8549</v>
      </c>
      <c r="B1094" s="2149"/>
      <c r="C1094" s="2149"/>
      <c r="D1094" s="2149"/>
      <c r="E1094" s="2149"/>
      <c r="F1094" s="2149"/>
      <c r="G1094" s="2149"/>
      <c r="H1094" s="2149"/>
    </row>
    <row r="1095" spans="1:13" x14ac:dyDescent="0.25">
      <c r="A1095" s="1481"/>
      <c r="B1095" s="1481"/>
      <c r="C1095" s="1481"/>
      <c r="F1095" s="1491"/>
      <c r="G1095" s="1492"/>
      <c r="H1095" s="1481"/>
    </row>
    <row r="1096" spans="1:13" s="1517" customFormat="1" x14ac:dyDescent="0.25">
      <c r="A1096" s="146" t="s">
        <v>6</v>
      </c>
      <c r="B1096" s="2143" t="s">
        <v>7</v>
      </c>
      <c r="C1096" s="2143"/>
      <c r="D1096" s="578" t="s">
        <v>121</v>
      </c>
      <c r="E1096" s="278" t="s">
        <v>5282</v>
      </c>
      <c r="F1096" s="578" t="s">
        <v>31</v>
      </c>
      <c r="G1096" s="579" t="s">
        <v>122</v>
      </c>
      <c r="H1096" s="580" t="s">
        <v>123</v>
      </c>
      <c r="I1096" s="1830"/>
      <c r="J1096" s="1795"/>
      <c r="K1096" s="1795"/>
      <c r="L1096" s="169"/>
      <c r="M1096" s="1783"/>
    </row>
    <row r="1097" spans="1:13" s="1526" customFormat="1" ht="60" x14ac:dyDescent="0.2">
      <c r="A1097" s="581" t="str">
        <f>'Orç - Prédio'!A173</f>
        <v>04.01.529</v>
      </c>
      <c r="B1097" s="592" t="str">
        <f>'Orç - Prédio'!B173</f>
        <v>SINAPI</v>
      </c>
      <c r="C1097" s="592" t="str">
        <f>'Orç - Prédio'!C173</f>
        <v>98670 MOD</v>
      </c>
      <c r="D1097" s="593" t="s">
        <v>7594</v>
      </c>
      <c r="E1097" s="582">
        <f>'Orç - Prédio'!E173</f>
        <v>11.06</v>
      </c>
      <c r="F1097" s="592" t="s">
        <v>5286</v>
      </c>
      <c r="G1097" s="583">
        <v>133.38</v>
      </c>
      <c r="H1097" s="584">
        <f>H1108</f>
        <v>1475.18</v>
      </c>
      <c r="I1097" s="1910" t="s">
        <v>9544</v>
      </c>
      <c r="J1097" s="1793"/>
      <c r="K1097" s="1793"/>
      <c r="L1097" s="141"/>
      <c r="M1097" s="1515"/>
    </row>
    <row r="1098" spans="1:13" s="156" customFormat="1" ht="30" x14ac:dyDescent="0.2">
      <c r="A1098" s="2144">
        <v>38135</v>
      </c>
      <c r="B1098" s="2144"/>
      <c r="C1098" s="577" t="s">
        <v>4448</v>
      </c>
      <c r="D1098" s="182" t="s">
        <v>12405</v>
      </c>
      <c r="E1098" s="594">
        <v>1.03</v>
      </c>
      <c r="F1098" s="585" t="s">
        <v>45</v>
      </c>
      <c r="G1098" s="586">
        <v>56.96</v>
      </c>
      <c r="H1098" s="587">
        <f t="shared" ref="H1098:H1103" si="105">ROUNDDOWN(G1098*E1098,2)</f>
        <v>58.66</v>
      </c>
      <c r="I1098" s="1642"/>
      <c r="J1098" s="1797"/>
      <c r="K1098" s="1797"/>
      <c r="L1098" s="1784"/>
      <c r="M1098" s="1785"/>
    </row>
    <row r="1099" spans="1:13" s="156" customFormat="1" x14ac:dyDescent="0.2">
      <c r="A1099" s="2144">
        <v>37595</v>
      </c>
      <c r="B1099" s="2144"/>
      <c r="C1099" s="577" t="s">
        <v>4448</v>
      </c>
      <c r="D1099" s="182" t="s">
        <v>9994</v>
      </c>
      <c r="E1099" s="594">
        <v>8.6199999999999992</v>
      </c>
      <c r="F1099" s="585" t="s">
        <v>48</v>
      </c>
      <c r="G1099" s="586">
        <v>1.22</v>
      </c>
      <c r="H1099" s="587">
        <f t="shared" si="105"/>
        <v>10.51</v>
      </c>
      <c r="I1099" s="1642"/>
      <c r="J1099" s="1797"/>
      <c r="K1099" s="1797"/>
      <c r="L1099" s="1784"/>
      <c r="M1099" s="1785"/>
    </row>
    <row r="1100" spans="1:13" s="156" customFormat="1" x14ac:dyDescent="0.2">
      <c r="A1100" s="2144">
        <v>7353</v>
      </c>
      <c r="B1100" s="2144"/>
      <c r="C1100" s="577" t="s">
        <v>4448</v>
      </c>
      <c r="D1100" s="182" t="s">
        <v>13665</v>
      </c>
      <c r="E1100" s="594">
        <v>0.12</v>
      </c>
      <c r="F1100" s="585" t="s">
        <v>49</v>
      </c>
      <c r="G1100" s="586">
        <v>23.88</v>
      </c>
      <c r="H1100" s="587">
        <f t="shared" si="105"/>
        <v>2.86</v>
      </c>
      <c r="I1100" s="1642"/>
      <c r="J1100" s="1797"/>
      <c r="K1100" s="1797"/>
      <c r="L1100" s="1784"/>
      <c r="M1100" s="1785"/>
    </row>
    <row r="1101" spans="1:13" s="156" customFormat="1" x14ac:dyDescent="0.2">
      <c r="A1101" s="2144">
        <v>34357</v>
      </c>
      <c r="B1101" s="2144"/>
      <c r="C1101" s="1516" t="s">
        <v>4448</v>
      </c>
      <c r="D1101" s="182" t="s">
        <v>13659</v>
      </c>
      <c r="E1101" s="1527">
        <v>0.24</v>
      </c>
      <c r="F1101" s="1661" t="s">
        <v>48</v>
      </c>
      <c r="G1101" s="1529">
        <v>2.54</v>
      </c>
      <c r="H1101" s="1530">
        <f t="shared" si="105"/>
        <v>0.6</v>
      </c>
      <c r="I1101" s="1642"/>
      <c r="J1101" s="1797"/>
      <c r="K1101" s="1797"/>
      <c r="L1101" s="1784"/>
      <c r="M1101" s="1785"/>
    </row>
    <row r="1102" spans="1:13" s="156" customFormat="1" ht="30" x14ac:dyDescent="0.2">
      <c r="A1102" s="2144">
        <v>88256</v>
      </c>
      <c r="B1102" s="2144"/>
      <c r="C1102" s="577" t="s">
        <v>4448</v>
      </c>
      <c r="D1102" s="182" t="s">
        <v>77</v>
      </c>
      <c r="E1102" s="594">
        <v>2.1989999999999998</v>
      </c>
      <c r="F1102" s="585" t="s">
        <v>65</v>
      </c>
      <c r="G1102" s="586">
        <v>20.09</v>
      </c>
      <c r="H1102" s="587">
        <f t="shared" si="105"/>
        <v>44.17</v>
      </c>
      <c r="I1102" s="1642"/>
      <c r="J1102" s="1797"/>
      <c r="K1102" s="1797"/>
      <c r="L1102" s="1784"/>
      <c r="M1102" s="1785"/>
    </row>
    <row r="1103" spans="1:13" s="156" customFormat="1" ht="30" x14ac:dyDescent="0.2">
      <c r="A1103" s="2144">
        <v>88316</v>
      </c>
      <c r="B1103" s="2144"/>
      <c r="C1103" s="577" t="s">
        <v>4448</v>
      </c>
      <c r="D1103" s="182" t="s">
        <v>64</v>
      </c>
      <c r="E1103" s="594">
        <v>1.1000000000000001</v>
      </c>
      <c r="F1103" s="585" t="s">
        <v>65</v>
      </c>
      <c r="G1103" s="586">
        <v>15.08</v>
      </c>
      <c r="H1103" s="587">
        <f t="shared" si="105"/>
        <v>16.579999999999998</v>
      </c>
      <c r="I1103" s="1642"/>
      <c r="J1103" s="1797"/>
      <c r="K1103" s="1797"/>
      <c r="L1103" s="1784"/>
      <c r="M1103" s="1785"/>
    </row>
    <row r="1104" spans="1:13" s="1517" customFormat="1" x14ac:dyDescent="0.25">
      <c r="A1104" s="179"/>
      <c r="B1104" s="179"/>
      <c r="C1104" s="588"/>
      <c r="D1104" s="2141" t="s">
        <v>124</v>
      </c>
      <c r="E1104" s="2141"/>
      <c r="F1104" s="2141"/>
      <c r="G1104" s="2141"/>
      <c r="H1104" s="267">
        <f>SUMIF(F1098:F1103,("h"),H1098:H1103)</f>
        <v>60.75</v>
      </c>
      <c r="I1104" s="1830"/>
      <c r="J1104" s="1795"/>
      <c r="K1104" s="1795"/>
      <c r="L1104" s="169"/>
      <c r="M1104" s="1783"/>
    </row>
    <row r="1105" spans="1:13" s="1517" customFormat="1" x14ac:dyDescent="0.25">
      <c r="A1105" s="179"/>
      <c r="B1105" s="179"/>
      <c r="C1105" s="588"/>
      <c r="D1105" s="2141" t="s">
        <v>125</v>
      </c>
      <c r="E1105" s="2141"/>
      <c r="F1105" s="2141"/>
      <c r="G1105" s="2141"/>
      <c r="H1105" s="267">
        <f>SUMIF(F1098:F1103,"&lt;&gt;h",H1098:H1103)</f>
        <v>72.63</v>
      </c>
      <c r="I1105" s="1830"/>
      <c r="J1105" s="1795"/>
      <c r="K1105" s="1795"/>
      <c r="L1105" s="169"/>
      <c r="M1105" s="1783"/>
    </row>
    <row r="1106" spans="1:13" s="1517" customFormat="1" x14ac:dyDescent="0.25">
      <c r="A1106" s="179"/>
      <c r="B1106" s="179"/>
      <c r="C1106" s="588"/>
      <c r="D1106" s="2142" t="s">
        <v>126</v>
      </c>
      <c r="E1106" s="2142"/>
      <c r="F1106" s="2142"/>
      <c r="G1106" s="2142"/>
      <c r="H1106" s="589">
        <f>SUM(H1104:H1105)</f>
        <v>133.38</v>
      </c>
      <c r="I1106" s="1830"/>
      <c r="J1106" s="1795"/>
      <c r="K1106" s="1795"/>
      <c r="L1106" s="169"/>
      <c r="M1106" s="1783"/>
    </row>
    <row r="1107" spans="1:13" s="1517" customFormat="1" x14ac:dyDescent="0.25">
      <c r="A1107" s="179"/>
      <c r="B1107" s="179"/>
      <c r="C1107" s="588"/>
      <c r="D1107" s="2141" t="s">
        <v>28</v>
      </c>
      <c r="E1107" s="2141"/>
      <c r="F1107" s="2141"/>
      <c r="G1107" s="2141"/>
      <c r="H1107" s="269">
        <f>E1097</f>
        <v>11.06</v>
      </c>
      <c r="I1107" s="1830"/>
      <c r="J1107" s="1795"/>
      <c r="K1107" s="1795"/>
      <c r="L1107" s="169"/>
      <c r="M1107" s="1783"/>
    </row>
    <row r="1108" spans="1:13" s="1517" customFormat="1" x14ac:dyDescent="0.25">
      <c r="A1108" s="179"/>
      <c r="B1108" s="179"/>
      <c r="C1108" s="588"/>
      <c r="D1108" s="2142" t="s">
        <v>127</v>
      </c>
      <c r="E1108" s="2142"/>
      <c r="F1108" s="2142"/>
      <c r="G1108" s="2142"/>
      <c r="H1108" s="589">
        <f>ROUND(H1106*H1107,2)</f>
        <v>1475.18</v>
      </c>
      <c r="I1108" s="1830"/>
      <c r="J1108" s="1795"/>
      <c r="K1108" s="1795"/>
      <c r="L1108" s="169"/>
      <c r="M1108" s="1783"/>
    </row>
    <row r="1109" spans="1:13" s="1517" customFormat="1" x14ac:dyDescent="0.25">
      <c r="A1109" s="179"/>
      <c r="B1109" s="179"/>
      <c r="C1109" s="1531"/>
      <c r="D1109" s="2141" t="s">
        <v>15335</v>
      </c>
      <c r="E1109" s="2141"/>
      <c r="F1109" s="2141"/>
      <c r="G1109" s="2141"/>
      <c r="H1109" s="267">
        <f>ROUND(H1106*$B$13,2)</f>
        <v>35.92</v>
      </c>
      <c r="I1109" s="1830"/>
      <c r="J1109" s="1795"/>
      <c r="K1109" s="1795"/>
      <c r="L1109" s="169"/>
      <c r="M1109" s="1783"/>
    </row>
    <row r="1110" spans="1:13" x14ac:dyDescent="0.25">
      <c r="A1110" s="179"/>
      <c r="B1110" s="179"/>
      <c r="C1110" s="1531"/>
      <c r="D1110" s="2142" t="s">
        <v>7898</v>
      </c>
      <c r="E1110" s="2142"/>
      <c r="F1110" s="2142"/>
      <c r="G1110" s="2142"/>
      <c r="H1110" s="1532">
        <f>H1109+H1106</f>
        <v>169.3</v>
      </c>
    </row>
    <row r="1111" spans="1:13" ht="27.75" customHeight="1" x14ac:dyDescent="0.25">
      <c r="A1111" s="2147" t="s">
        <v>9451</v>
      </c>
      <c r="B1111" s="2147"/>
      <c r="C1111" s="2147"/>
      <c r="D1111" s="2147"/>
      <c r="E1111" s="2147"/>
      <c r="F1111" s="2147"/>
      <c r="G1111" s="2147"/>
      <c r="H1111" s="2147"/>
    </row>
    <row r="1112" spans="1:13" x14ac:dyDescent="0.25">
      <c r="A1112" s="576"/>
      <c r="B1112" s="576"/>
      <c r="C1112" s="576"/>
      <c r="F1112" s="590"/>
      <c r="G1112" s="591"/>
      <c r="H1112" s="576"/>
    </row>
    <row r="1113" spans="1:13" s="1517" customFormat="1" x14ac:dyDescent="0.25">
      <c r="A1113" s="146" t="s">
        <v>6</v>
      </c>
      <c r="B1113" s="2143" t="s">
        <v>7</v>
      </c>
      <c r="C1113" s="2143"/>
      <c r="D1113" s="1482" t="s">
        <v>121</v>
      </c>
      <c r="E1113" s="278" t="s">
        <v>5282</v>
      </c>
      <c r="F1113" s="1482" t="s">
        <v>31</v>
      </c>
      <c r="G1113" s="1483" t="s">
        <v>122</v>
      </c>
      <c r="H1113" s="1484" t="s">
        <v>123</v>
      </c>
      <c r="I1113" s="1830"/>
      <c r="J1113" s="1795"/>
      <c r="K1113" s="1795"/>
      <c r="L1113" s="169"/>
      <c r="M1113" s="1783"/>
    </row>
    <row r="1114" spans="1:13" s="1526" customFormat="1" ht="45" x14ac:dyDescent="0.2">
      <c r="A1114" s="1485" t="str">
        <f>'Orç - Prédio'!A179</f>
        <v>04.01.546</v>
      </c>
      <c r="B1114" s="1485" t="str">
        <f>'Orç - Prédio'!B179</f>
        <v>ORSE</v>
      </c>
      <c r="C1114" s="1485" t="str">
        <f>'Orç - Prédio'!C179</f>
        <v>10716 MOD</v>
      </c>
      <c r="D1114" s="1465" t="s">
        <v>6669</v>
      </c>
      <c r="E1114" s="1486">
        <f>'Orç - Prédio'!E179</f>
        <v>32.950000000000003</v>
      </c>
      <c r="F1114" s="1485" t="s">
        <v>5286</v>
      </c>
      <c r="G1114" s="1487">
        <v>186.26</v>
      </c>
      <c r="H1114" s="1488">
        <f>H1122</f>
        <v>6137.27</v>
      </c>
      <c r="I1114" s="1910" t="s">
        <v>14965</v>
      </c>
      <c r="J1114" s="1793"/>
      <c r="K1114" s="1793"/>
      <c r="L1114" s="141"/>
      <c r="M1114" s="1515"/>
    </row>
    <row r="1115" spans="1:13" s="156" customFormat="1" ht="30" x14ac:dyDescent="0.2">
      <c r="A1115" s="2144">
        <v>256</v>
      </c>
      <c r="B1115" s="2144"/>
      <c r="C1115" s="1495" t="s">
        <v>5281</v>
      </c>
      <c r="D1115" s="182" t="s">
        <v>6671</v>
      </c>
      <c r="E1115" s="1498">
        <v>80</v>
      </c>
      <c r="F1115" s="1502" t="s">
        <v>305</v>
      </c>
      <c r="G1115" s="367">
        <v>1.42</v>
      </c>
      <c r="H1115" s="1501">
        <f>ROUNDDOWN(G1115*E1115,2)</f>
        <v>113.6</v>
      </c>
      <c r="I1115" s="1642"/>
      <c r="J1115" s="1797"/>
      <c r="K1115" s="1797"/>
      <c r="L1115" s="1784"/>
      <c r="M1115" s="1785"/>
    </row>
    <row r="1116" spans="1:13" s="156" customFormat="1" ht="30" x14ac:dyDescent="0.2">
      <c r="A1116" s="2144">
        <v>88309</v>
      </c>
      <c r="B1116" s="2144"/>
      <c r="C1116" s="1495" t="s">
        <v>4448</v>
      </c>
      <c r="D1116" s="182" t="s">
        <v>87</v>
      </c>
      <c r="E1116" s="1498">
        <f>2*0.98</f>
        <v>1.96</v>
      </c>
      <c r="F1116" s="1502" t="s">
        <v>65</v>
      </c>
      <c r="G1116" s="1500">
        <v>20.149999999999999</v>
      </c>
      <c r="H1116" s="1501">
        <f>ROUNDDOWN(G1116*E1116,2)</f>
        <v>39.49</v>
      </c>
      <c r="I1116" s="1642"/>
      <c r="J1116" s="1797"/>
      <c r="K1116" s="1797"/>
      <c r="L1116" s="1784"/>
      <c r="M1116" s="1785"/>
    </row>
    <row r="1117" spans="1:13" s="156" customFormat="1" ht="30" x14ac:dyDescent="0.2">
      <c r="A1117" s="2144">
        <v>88316</v>
      </c>
      <c r="B1117" s="2144"/>
      <c r="C1117" s="1495" t="s">
        <v>4448</v>
      </c>
      <c r="D1117" s="182" t="s">
        <v>64</v>
      </c>
      <c r="E1117" s="1498">
        <f>2*1.1</f>
        <v>2.2000000000000002</v>
      </c>
      <c r="F1117" s="1502" t="s">
        <v>65</v>
      </c>
      <c r="G1117" s="1500">
        <v>15.08</v>
      </c>
      <c r="H1117" s="1501">
        <f>ROUNDDOWN(G1117*E1117,2)</f>
        <v>33.17</v>
      </c>
      <c r="I1117" s="1642"/>
      <c r="J1117" s="1797"/>
      <c r="K1117" s="1797"/>
      <c r="L1117" s="1784"/>
      <c r="M1117" s="1785"/>
    </row>
    <row r="1118" spans="1:13" s="1517" customFormat="1" x14ac:dyDescent="0.25">
      <c r="A1118" s="179"/>
      <c r="B1118" s="179"/>
      <c r="C1118" s="1489"/>
      <c r="D1118" s="2141" t="s">
        <v>124</v>
      </c>
      <c r="E1118" s="2141"/>
      <c r="F1118" s="2141"/>
      <c r="G1118" s="2141"/>
      <c r="H1118" s="267">
        <f>SUMIF(F1115:F1117,("h"),H1115:H1117)</f>
        <v>72.66</v>
      </c>
      <c r="I1118" s="1830"/>
      <c r="J1118" s="1795"/>
      <c r="K1118" s="1795"/>
      <c r="L1118" s="169"/>
      <c r="M1118" s="1783"/>
    </row>
    <row r="1119" spans="1:13" s="1517" customFormat="1" x14ac:dyDescent="0.25">
      <c r="A1119" s="179"/>
      <c r="B1119" s="179"/>
      <c r="C1119" s="1489"/>
      <c r="D1119" s="2141" t="s">
        <v>125</v>
      </c>
      <c r="E1119" s="2141"/>
      <c r="F1119" s="2141"/>
      <c r="G1119" s="2141"/>
      <c r="H1119" s="267">
        <f>SUMIF(F1115:F1117,"&lt;&gt;h",H1115:H1117)</f>
        <v>113.6</v>
      </c>
      <c r="I1119" s="1830"/>
      <c r="J1119" s="1795"/>
      <c r="K1119" s="1795"/>
      <c r="L1119" s="169"/>
      <c r="M1119" s="1783"/>
    </row>
    <row r="1120" spans="1:13" s="1517" customFormat="1" x14ac:dyDescent="0.25">
      <c r="A1120" s="179"/>
      <c r="B1120" s="179"/>
      <c r="C1120" s="1489"/>
      <c r="D1120" s="2142" t="s">
        <v>126</v>
      </c>
      <c r="E1120" s="2142"/>
      <c r="F1120" s="2142"/>
      <c r="G1120" s="2142"/>
      <c r="H1120" s="1490">
        <f>SUM(H1118:H1119)</f>
        <v>186.26</v>
      </c>
      <c r="I1120" s="1830"/>
      <c r="J1120" s="1795"/>
      <c r="K1120" s="1795"/>
      <c r="L1120" s="169"/>
      <c r="M1120" s="1783"/>
    </row>
    <row r="1121" spans="1:13" s="1517" customFormat="1" x14ac:dyDescent="0.25">
      <c r="A1121" s="179"/>
      <c r="B1121" s="179"/>
      <c r="C1121" s="1489"/>
      <c r="D1121" s="2141" t="s">
        <v>28</v>
      </c>
      <c r="E1121" s="2141"/>
      <c r="F1121" s="2141"/>
      <c r="G1121" s="2141"/>
      <c r="H1121" s="269">
        <f>E1114</f>
        <v>32.950000000000003</v>
      </c>
      <c r="I1121" s="1830"/>
      <c r="J1121" s="1795"/>
      <c r="K1121" s="1795"/>
      <c r="L1121" s="169"/>
      <c r="M1121" s="1783"/>
    </row>
    <row r="1122" spans="1:13" s="1517" customFormat="1" x14ac:dyDescent="0.25">
      <c r="A1122" s="179"/>
      <c r="B1122" s="179"/>
      <c r="C1122" s="1489"/>
      <c r="D1122" s="2142" t="s">
        <v>127</v>
      </c>
      <c r="E1122" s="2142"/>
      <c r="F1122" s="2142"/>
      <c r="G1122" s="2142"/>
      <c r="H1122" s="1490">
        <f>ROUND(H1120*H1121,2)</f>
        <v>6137.27</v>
      </c>
      <c r="I1122" s="1830"/>
      <c r="J1122" s="1795"/>
      <c r="K1122" s="1795"/>
      <c r="L1122" s="169"/>
      <c r="M1122" s="1783"/>
    </row>
    <row r="1123" spans="1:13" s="1517" customFormat="1" x14ac:dyDescent="0.25">
      <c r="A1123" s="179"/>
      <c r="B1123" s="179"/>
      <c r="C1123" s="1531"/>
      <c r="D1123" s="2141" t="s">
        <v>15335</v>
      </c>
      <c r="E1123" s="2141"/>
      <c r="F1123" s="2141"/>
      <c r="G1123" s="2141"/>
      <c r="H1123" s="267">
        <f>ROUND(H1120*$B$13,2)</f>
        <v>50.16</v>
      </c>
      <c r="I1123" s="1830"/>
      <c r="J1123" s="1795"/>
      <c r="K1123" s="1795"/>
      <c r="L1123" s="169"/>
      <c r="M1123" s="1783"/>
    </row>
    <row r="1124" spans="1:13" x14ac:dyDescent="0.25">
      <c r="A1124" s="179"/>
      <c r="B1124" s="179"/>
      <c r="C1124" s="1531"/>
      <c r="D1124" s="2142" t="s">
        <v>7898</v>
      </c>
      <c r="E1124" s="2142"/>
      <c r="F1124" s="2142"/>
      <c r="G1124" s="2142"/>
      <c r="H1124" s="1532">
        <f>H1123+H1120</f>
        <v>236.42</v>
      </c>
    </row>
    <row r="1125" spans="1:13" x14ac:dyDescent="0.25">
      <c r="A1125" s="1481"/>
      <c r="B1125" s="1481"/>
      <c r="C1125" s="1481"/>
      <c r="F1125" s="1491"/>
      <c r="G1125" s="1492"/>
      <c r="H1125" s="1481"/>
    </row>
    <row r="1126" spans="1:13" s="1517" customFormat="1" x14ac:dyDescent="0.25">
      <c r="A1126" s="146" t="s">
        <v>6</v>
      </c>
      <c r="B1126" s="2143" t="s">
        <v>7</v>
      </c>
      <c r="C1126" s="2143"/>
      <c r="D1126" s="1518" t="s">
        <v>121</v>
      </c>
      <c r="E1126" s="278" t="s">
        <v>5282</v>
      </c>
      <c r="F1126" s="1518" t="s">
        <v>31</v>
      </c>
      <c r="G1126" s="1519" t="s">
        <v>122</v>
      </c>
      <c r="H1126" s="1520" t="s">
        <v>123</v>
      </c>
      <c r="I1126" s="1830"/>
      <c r="J1126" s="1795"/>
      <c r="K1126" s="1795"/>
      <c r="L1126" s="169"/>
      <c r="M1126" s="1783"/>
    </row>
    <row r="1127" spans="1:13" s="1526" customFormat="1" ht="60" x14ac:dyDescent="0.2">
      <c r="A1127" s="1521" t="str">
        <f>'Orç - Prédio'!A181</f>
        <v>04.01.555.01</v>
      </c>
      <c r="B1127" s="1493" t="str">
        <f>'Orç - Prédio'!B182</f>
        <v>SINAPI</v>
      </c>
      <c r="C1127" s="1535" t="str">
        <f>'Orç - Prédio'!C182</f>
        <v>01.REVE. FORR.022/ MOD</v>
      </c>
      <c r="D1127" s="1536" t="s">
        <v>6676</v>
      </c>
      <c r="E1127" s="1523">
        <f>'Orç - Prédio'!E182</f>
        <v>1587.96</v>
      </c>
      <c r="F1127" s="1535" t="s">
        <v>5286</v>
      </c>
      <c r="G1127" s="1524">
        <v>75.37</v>
      </c>
      <c r="H1127" s="1525">
        <f>H1141</f>
        <v>119684.55</v>
      </c>
      <c r="I1127" s="1910" t="s">
        <v>9544</v>
      </c>
      <c r="J1127" s="1793"/>
      <c r="K1127" s="1793"/>
      <c r="L1127" s="141"/>
      <c r="M1127" s="1515"/>
    </row>
    <row r="1128" spans="1:13" s="156" customFormat="1" ht="45" x14ac:dyDescent="0.2">
      <c r="A1128" s="2144">
        <v>39570</v>
      </c>
      <c r="B1128" s="2144"/>
      <c r="C1128" s="1516" t="s">
        <v>4448</v>
      </c>
      <c r="D1128" s="182" t="s">
        <v>13251</v>
      </c>
      <c r="E1128" s="1527">
        <v>2.9929000000000001</v>
      </c>
      <c r="F1128" s="1786" t="s">
        <v>47</v>
      </c>
      <c r="G1128" s="1529">
        <v>2.86</v>
      </c>
      <c r="H1128" s="1530">
        <f t="shared" ref="H1128:H1132" si="106">ROUNDDOWN(G1128*E1128,2)</f>
        <v>8.5500000000000007</v>
      </c>
      <c r="I1128" s="1642"/>
      <c r="J1128" s="1797"/>
      <c r="K1128" s="1797"/>
      <c r="L1128" s="1784"/>
      <c r="M1128" s="1785"/>
    </row>
    <row r="1129" spans="1:13" s="1859" customFormat="1" ht="60" x14ac:dyDescent="0.2">
      <c r="A1129" s="2148">
        <v>43131</v>
      </c>
      <c r="B1129" s="2148"/>
      <c r="C1129" s="1877" t="s">
        <v>4448</v>
      </c>
      <c r="D1129" s="1850" t="s">
        <v>9982</v>
      </c>
      <c r="E1129" s="1864">
        <v>3.27E-2</v>
      </c>
      <c r="F1129" s="1917" t="s">
        <v>48</v>
      </c>
      <c r="G1129" s="367">
        <v>15.62</v>
      </c>
      <c r="H1129" s="1852">
        <f t="shared" si="106"/>
        <v>0.51</v>
      </c>
      <c r="I1129" s="1856"/>
      <c r="J1129" s="1797"/>
      <c r="K1129" s="1797"/>
      <c r="L1129" s="1784"/>
      <c r="M1129" s="1785"/>
    </row>
    <row r="1130" spans="1:13" s="156" customFormat="1" ht="45" x14ac:dyDescent="0.2">
      <c r="A1130" s="2144">
        <v>39443</v>
      </c>
      <c r="B1130" s="2144"/>
      <c r="C1130" s="1516" t="s">
        <v>4448</v>
      </c>
      <c r="D1130" s="182" t="s">
        <v>13115</v>
      </c>
      <c r="E1130" s="1527">
        <v>1.0092000000000001</v>
      </c>
      <c r="F1130" s="1786" t="s">
        <v>39</v>
      </c>
      <c r="G1130" s="1529">
        <v>0.18</v>
      </c>
      <c r="H1130" s="1530">
        <f t="shared" si="106"/>
        <v>0.18</v>
      </c>
      <c r="I1130" s="1642"/>
      <c r="J1130" s="1797"/>
      <c r="K1130" s="1797"/>
      <c r="L1130" s="1784"/>
      <c r="M1130" s="1785"/>
    </row>
    <row r="1131" spans="1:13" s="156" customFormat="1" ht="75" x14ac:dyDescent="0.2">
      <c r="A1131" s="2144">
        <v>39567</v>
      </c>
      <c r="B1131" s="2144"/>
      <c r="C1131" s="1516" t="s">
        <v>4448</v>
      </c>
      <c r="D1131" s="182" t="s">
        <v>13321</v>
      </c>
      <c r="E1131" s="1527">
        <v>1.07</v>
      </c>
      <c r="F1131" s="1786" t="s">
        <v>45</v>
      </c>
      <c r="G1131" s="1529">
        <v>50.27</v>
      </c>
      <c r="H1131" s="1530">
        <f t="shared" si="106"/>
        <v>53.78</v>
      </c>
      <c r="I1131" s="1642"/>
      <c r="J1131" s="1797"/>
      <c r="K1131" s="1797"/>
      <c r="L1131" s="1784"/>
      <c r="M1131" s="1785"/>
    </row>
    <row r="1132" spans="1:13" s="156" customFormat="1" ht="45" x14ac:dyDescent="0.2">
      <c r="A1132" s="2144">
        <v>39571</v>
      </c>
      <c r="B1132" s="2144"/>
      <c r="C1132" s="1516" t="s">
        <v>4448</v>
      </c>
      <c r="D1132" s="182" t="s">
        <v>13243</v>
      </c>
      <c r="E1132" s="1527">
        <v>1.0092000000000001</v>
      </c>
      <c r="F1132" s="1786" t="s">
        <v>47</v>
      </c>
      <c r="G1132" s="1529">
        <v>2.91</v>
      </c>
      <c r="H1132" s="1530">
        <f t="shared" si="106"/>
        <v>2.93</v>
      </c>
      <c r="I1132" s="1642"/>
      <c r="J1132" s="1797"/>
      <c r="K1132" s="1797"/>
      <c r="L1132" s="1784"/>
      <c r="M1132" s="1785"/>
    </row>
    <row r="1133" spans="1:13" s="156" customFormat="1" ht="30" x14ac:dyDescent="0.2">
      <c r="A1133" s="2144">
        <v>40547</v>
      </c>
      <c r="B1133" s="2144"/>
      <c r="C1133" s="1516" t="s">
        <v>4448</v>
      </c>
      <c r="D1133" s="182" t="s">
        <v>13154</v>
      </c>
      <c r="E1133" s="1527">
        <v>1.01E-2</v>
      </c>
      <c r="F1133" s="1786" t="s">
        <v>60</v>
      </c>
      <c r="G1133" s="1529">
        <v>20.2</v>
      </c>
      <c r="H1133" s="1530">
        <f t="shared" ref="H1133:H1136" si="107">ROUNDDOWN(G1133*E1133,2)</f>
        <v>0.2</v>
      </c>
      <c r="I1133" s="1642"/>
      <c r="J1133" s="1797"/>
      <c r="K1133" s="1797"/>
      <c r="L1133" s="1784"/>
      <c r="M1133" s="1785"/>
    </row>
    <row r="1134" spans="1:13" s="156" customFormat="1" ht="60" x14ac:dyDescent="0.2">
      <c r="A1134" s="2144">
        <v>39430</v>
      </c>
      <c r="B1134" s="2144"/>
      <c r="C1134" s="1516" t="s">
        <v>4448</v>
      </c>
      <c r="D1134" s="182" t="s">
        <v>13217</v>
      </c>
      <c r="E1134" s="1527">
        <v>1.0183</v>
      </c>
      <c r="F1134" s="1786" t="s">
        <v>39</v>
      </c>
      <c r="G1134" s="1529">
        <v>1.21</v>
      </c>
      <c r="H1134" s="1530">
        <f t="shared" si="107"/>
        <v>1.23</v>
      </c>
      <c r="I1134" s="1642"/>
      <c r="J1134" s="1797"/>
      <c r="K1134" s="1797"/>
      <c r="L1134" s="1784"/>
      <c r="M1134" s="1785"/>
    </row>
    <row r="1135" spans="1:13" s="156" customFormat="1" ht="30" x14ac:dyDescent="0.2">
      <c r="A1135" s="2144">
        <v>88278</v>
      </c>
      <c r="B1135" s="2144"/>
      <c r="C1135" s="1516" t="s">
        <v>4448</v>
      </c>
      <c r="D1135" s="182" t="s">
        <v>4301</v>
      </c>
      <c r="E1135" s="1527">
        <v>0.2616</v>
      </c>
      <c r="F1135" s="1786" t="s">
        <v>65</v>
      </c>
      <c r="G1135" s="1529">
        <v>15.49</v>
      </c>
      <c r="H1135" s="1530">
        <f t="shared" si="107"/>
        <v>4.05</v>
      </c>
      <c r="I1135" s="1642"/>
      <c r="J1135" s="1797"/>
      <c r="K1135" s="1797"/>
      <c r="L1135" s="1784"/>
      <c r="M1135" s="1785"/>
    </row>
    <row r="1136" spans="1:13" s="156" customFormat="1" ht="30" x14ac:dyDescent="0.2">
      <c r="A1136" s="2144">
        <v>88316</v>
      </c>
      <c r="B1136" s="2144"/>
      <c r="C1136" s="1516" t="s">
        <v>4448</v>
      </c>
      <c r="D1136" s="182" t="s">
        <v>64</v>
      </c>
      <c r="E1136" s="1527">
        <v>0.2616</v>
      </c>
      <c r="F1136" s="1786" t="s">
        <v>65</v>
      </c>
      <c r="G1136" s="1529">
        <v>15.08</v>
      </c>
      <c r="H1136" s="1530">
        <f t="shared" si="107"/>
        <v>3.94</v>
      </c>
      <c r="I1136" s="1642"/>
      <c r="J1136" s="1797"/>
      <c r="K1136" s="1797"/>
      <c r="L1136" s="1784"/>
      <c r="M1136" s="1785"/>
    </row>
    <row r="1137" spans="1:13" s="1517" customFormat="1" x14ac:dyDescent="0.25">
      <c r="A1137" s="179"/>
      <c r="B1137" s="179"/>
      <c r="C1137" s="1531"/>
      <c r="D1137" s="2141" t="s">
        <v>124</v>
      </c>
      <c r="E1137" s="2141"/>
      <c r="F1137" s="2141"/>
      <c r="G1137" s="2141"/>
      <c r="H1137" s="267">
        <f>SUMIF(F1128:F1136,("h"),H1128:H1136)</f>
        <v>7.99</v>
      </c>
      <c r="I1137" s="1830"/>
      <c r="J1137" s="1795"/>
      <c r="K1137" s="1795"/>
      <c r="L1137" s="169"/>
      <c r="M1137" s="1783"/>
    </row>
    <row r="1138" spans="1:13" s="1517" customFormat="1" x14ac:dyDescent="0.25">
      <c r="A1138" s="179"/>
      <c r="B1138" s="179"/>
      <c r="C1138" s="1531"/>
      <c r="D1138" s="2141" t="s">
        <v>125</v>
      </c>
      <c r="E1138" s="2141"/>
      <c r="F1138" s="2141"/>
      <c r="G1138" s="2141"/>
      <c r="H1138" s="267">
        <f>SUMIF(F1128:F1136,"&lt;&gt;h",H1128:H1136)</f>
        <v>67.38000000000001</v>
      </c>
      <c r="I1138" s="1830"/>
      <c r="J1138" s="1795"/>
      <c r="K1138" s="1795"/>
      <c r="L1138" s="169"/>
      <c r="M1138" s="1783"/>
    </row>
    <row r="1139" spans="1:13" s="1517" customFormat="1" x14ac:dyDescent="0.25">
      <c r="A1139" s="179"/>
      <c r="B1139" s="179"/>
      <c r="C1139" s="1531"/>
      <c r="D1139" s="2142" t="s">
        <v>126</v>
      </c>
      <c r="E1139" s="2142"/>
      <c r="F1139" s="2142"/>
      <c r="G1139" s="2142"/>
      <c r="H1139" s="1532">
        <f>SUM(H1137:H1138)</f>
        <v>75.37</v>
      </c>
      <c r="I1139" s="1830"/>
      <c r="J1139" s="1795"/>
      <c r="K1139" s="1795"/>
      <c r="L1139" s="169"/>
      <c r="M1139" s="1783"/>
    </row>
    <row r="1140" spans="1:13" s="1517" customFormat="1" x14ac:dyDescent="0.25">
      <c r="A1140" s="179"/>
      <c r="B1140" s="179"/>
      <c r="C1140" s="1531"/>
      <c r="D1140" s="2141" t="s">
        <v>28</v>
      </c>
      <c r="E1140" s="2141"/>
      <c r="F1140" s="2141"/>
      <c r="G1140" s="2141"/>
      <c r="H1140" s="269">
        <f>E1127</f>
        <v>1587.96</v>
      </c>
      <c r="I1140" s="1830"/>
      <c r="J1140" s="1795"/>
      <c r="K1140" s="1795"/>
      <c r="L1140" s="169"/>
      <c r="M1140" s="1783"/>
    </row>
    <row r="1141" spans="1:13" s="1517" customFormat="1" x14ac:dyDescent="0.25">
      <c r="A1141" s="179"/>
      <c r="B1141" s="179"/>
      <c r="C1141" s="1531"/>
      <c r="D1141" s="2142" t="s">
        <v>127</v>
      </c>
      <c r="E1141" s="2142"/>
      <c r="F1141" s="2142"/>
      <c r="G1141" s="2142"/>
      <c r="H1141" s="1532">
        <f>ROUND(H1139*H1140,2)</f>
        <v>119684.55</v>
      </c>
      <c r="I1141" s="1830"/>
      <c r="J1141" s="1795"/>
      <c r="K1141" s="1795"/>
      <c r="L1141" s="169"/>
      <c r="M1141" s="1783"/>
    </row>
    <row r="1142" spans="1:13" s="1517" customFormat="1" x14ac:dyDescent="0.25">
      <c r="A1142" s="179"/>
      <c r="B1142" s="179"/>
      <c r="C1142" s="1531"/>
      <c r="D1142" s="2141" t="s">
        <v>15335</v>
      </c>
      <c r="E1142" s="2141"/>
      <c r="F1142" s="2141"/>
      <c r="G1142" s="2141"/>
      <c r="H1142" s="267">
        <f>ROUND(H1139*$B$13,2)</f>
        <v>20.3</v>
      </c>
      <c r="I1142" s="1830"/>
      <c r="J1142" s="1795"/>
      <c r="K1142" s="1795"/>
      <c r="L1142" s="169"/>
      <c r="M1142" s="1783"/>
    </row>
    <row r="1143" spans="1:13" x14ac:dyDescent="0.25">
      <c r="A1143" s="179"/>
      <c r="B1143" s="179"/>
      <c r="C1143" s="1531"/>
      <c r="D1143" s="2142" t="s">
        <v>7898</v>
      </c>
      <c r="E1143" s="2142"/>
      <c r="F1143" s="2142"/>
      <c r="G1143" s="2142"/>
      <c r="H1143" s="1532">
        <f>H1142+H1139</f>
        <v>95.67</v>
      </c>
    </row>
    <row r="1144" spans="1:13" x14ac:dyDescent="0.25">
      <c r="A1144" s="1514"/>
      <c r="B1144" s="1514"/>
      <c r="C1144" s="1514"/>
      <c r="F1144" s="1533"/>
      <c r="G1144" s="1534"/>
      <c r="H1144" s="1514"/>
    </row>
    <row r="1145" spans="1:13" s="1517" customFormat="1" x14ac:dyDescent="0.25">
      <c r="A1145" s="146" t="s">
        <v>6</v>
      </c>
      <c r="B1145" s="2143" t="s">
        <v>7</v>
      </c>
      <c r="C1145" s="2143"/>
      <c r="D1145" s="1518" t="s">
        <v>121</v>
      </c>
      <c r="E1145" s="278" t="s">
        <v>5282</v>
      </c>
      <c r="F1145" s="1518" t="s">
        <v>31</v>
      </c>
      <c r="G1145" s="1519" t="s">
        <v>122</v>
      </c>
      <c r="H1145" s="1520" t="s">
        <v>123</v>
      </c>
      <c r="I1145" s="1830"/>
      <c r="J1145" s="1795"/>
      <c r="K1145" s="1795"/>
      <c r="L1145" s="169"/>
      <c r="M1145" s="1783"/>
    </row>
    <row r="1146" spans="1:13" s="1526" customFormat="1" ht="45" x14ac:dyDescent="0.2">
      <c r="A1146" s="1521" t="str">
        <f>'Orç - Prédio'!A183</f>
        <v>04.01.558</v>
      </c>
      <c r="B1146" s="1521" t="str">
        <f>'Orç - Prédio'!B183</f>
        <v>SINAPI</v>
      </c>
      <c r="C1146" s="1521" t="str">
        <f>'Orç - Prédio'!C183</f>
        <v>90406 MOD</v>
      </c>
      <c r="D1146" s="1522" t="s">
        <v>6677</v>
      </c>
      <c r="E1146" s="1521">
        <f>'Orç - Prédio'!E183</f>
        <v>5.67</v>
      </c>
      <c r="F1146" s="1521" t="s">
        <v>5286</v>
      </c>
      <c r="G1146" s="1524">
        <v>154.13999999999999</v>
      </c>
      <c r="H1146" s="1525">
        <f>H1154</f>
        <v>873.97</v>
      </c>
      <c r="I1146" s="1910" t="s">
        <v>14965</v>
      </c>
      <c r="J1146" s="1793"/>
      <c r="K1146" s="1793"/>
      <c r="L1146" s="141"/>
      <c r="M1146" s="1515"/>
    </row>
    <row r="1147" spans="1:13" s="156" customFormat="1" ht="30" x14ac:dyDescent="0.2">
      <c r="A1147" s="2144">
        <v>256</v>
      </c>
      <c r="B1147" s="2144"/>
      <c r="C1147" s="1516" t="s">
        <v>5281</v>
      </c>
      <c r="D1147" s="182" t="s">
        <v>6671</v>
      </c>
      <c r="E1147" s="1527">
        <v>80</v>
      </c>
      <c r="F1147" s="1528" t="s">
        <v>305</v>
      </c>
      <c r="G1147" s="367">
        <v>1.42</v>
      </c>
      <c r="H1147" s="1530">
        <f>ROUNDDOWN(G1147*E1147,2)</f>
        <v>113.6</v>
      </c>
      <c r="I1147" s="1642"/>
      <c r="J1147" s="1797"/>
      <c r="K1147" s="1797"/>
      <c r="L1147" s="1784"/>
      <c r="M1147" s="1785"/>
    </row>
    <row r="1148" spans="1:13" s="156" customFormat="1" ht="30" x14ac:dyDescent="0.2">
      <c r="A1148" s="2144">
        <v>88309</v>
      </c>
      <c r="B1148" s="2144"/>
      <c r="C1148" s="1516" t="s">
        <v>4448</v>
      </c>
      <c r="D1148" s="182" t="s">
        <v>87</v>
      </c>
      <c r="E1148" s="1527">
        <f>0.79*2</f>
        <v>1.58</v>
      </c>
      <c r="F1148" s="1528" t="s">
        <v>65</v>
      </c>
      <c r="G1148" s="1529">
        <v>20.149999999999999</v>
      </c>
      <c r="H1148" s="1530">
        <f>ROUNDDOWN(G1148*E1148,2)</f>
        <v>31.83</v>
      </c>
      <c r="I1148" s="1642"/>
      <c r="J1148" s="1797"/>
      <c r="K1148" s="1797"/>
      <c r="L1148" s="1784"/>
      <c r="M1148" s="1785"/>
    </row>
    <row r="1149" spans="1:13" s="156" customFormat="1" ht="30" x14ac:dyDescent="0.2">
      <c r="A1149" s="2144">
        <v>88316</v>
      </c>
      <c r="B1149" s="2144"/>
      <c r="C1149" s="1516" t="s">
        <v>4448</v>
      </c>
      <c r="D1149" s="182" t="s">
        <v>64</v>
      </c>
      <c r="E1149" s="1527">
        <f>0.289*2</f>
        <v>0.57799999999999996</v>
      </c>
      <c r="F1149" s="1528" t="s">
        <v>65</v>
      </c>
      <c r="G1149" s="1529">
        <v>15.08</v>
      </c>
      <c r="H1149" s="1530">
        <f>ROUNDDOWN(G1149*E1149,2)</f>
        <v>8.7100000000000009</v>
      </c>
      <c r="I1149" s="1642"/>
      <c r="J1149" s="1797"/>
      <c r="K1149" s="1797"/>
      <c r="L1149" s="1784"/>
      <c r="M1149" s="1785"/>
    </row>
    <row r="1150" spans="1:13" s="1517" customFormat="1" x14ac:dyDescent="0.25">
      <c r="A1150" s="179"/>
      <c r="B1150" s="179"/>
      <c r="C1150" s="1531"/>
      <c r="D1150" s="2141" t="s">
        <v>124</v>
      </c>
      <c r="E1150" s="2141"/>
      <c r="F1150" s="2141"/>
      <c r="G1150" s="2141"/>
      <c r="H1150" s="267">
        <f>SUMIF(F1147:F1149,("h"),H1147:H1149)</f>
        <v>40.54</v>
      </c>
      <c r="I1150" s="1830"/>
      <c r="J1150" s="1795"/>
      <c r="K1150" s="1795"/>
      <c r="L1150" s="169"/>
      <c r="M1150" s="1783"/>
    </row>
    <row r="1151" spans="1:13" s="1517" customFormat="1" x14ac:dyDescent="0.25">
      <c r="A1151" s="179"/>
      <c r="B1151" s="179"/>
      <c r="C1151" s="1531"/>
      <c r="D1151" s="2141" t="s">
        <v>125</v>
      </c>
      <c r="E1151" s="2141"/>
      <c r="F1151" s="2141"/>
      <c r="G1151" s="2141"/>
      <c r="H1151" s="267">
        <f>SUMIF(F1147:F1149,"&lt;&gt;h",H1147:H1149)</f>
        <v>113.6</v>
      </c>
      <c r="I1151" s="1830"/>
      <c r="J1151" s="1795"/>
      <c r="K1151" s="1795"/>
      <c r="L1151" s="169"/>
      <c r="M1151" s="1783"/>
    </row>
    <row r="1152" spans="1:13" s="1517" customFormat="1" x14ac:dyDescent="0.25">
      <c r="A1152" s="179"/>
      <c r="B1152" s="179"/>
      <c r="C1152" s="1531"/>
      <c r="D1152" s="2142" t="s">
        <v>126</v>
      </c>
      <c r="E1152" s="2142"/>
      <c r="F1152" s="2142"/>
      <c r="G1152" s="2142"/>
      <c r="H1152" s="1532">
        <f>SUM(H1150:H1151)</f>
        <v>154.13999999999999</v>
      </c>
      <c r="I1152" s="1830"/>
      <c r="J1152" s="1795"/>
      <c r="K1152" s="1795"/>
      <c r="L1152" s="169"/>
      <c r="M1152" s="1783"/>
    </row>
    <row r="1153" spans="1:13" s="1517" customFormat="1" x14ac:dyDescent="0.25">
      <c r="A1153" s="179"/>
      <c r="B1153" s="179"/>
      <c r="C1153" s="1531"/>
      <c r="D1153" s="2141" t="s">
        <v>28</v>
      </c>
      <c r="E1153" s="2141"/>
      <c r="F1153" s="2141"/>
      <c r="G1153" s="2141"/>
      <c r="H1153" s="269">
        <f>E1146</f>
        <v>5.67</v>
      </c>
      <c r="I1153" s="1830"/>
      <c r="J1153" s="1795"/>
      <c r="K1153" s="1795"/>
      <c r="L1153" s="169"/>
      <c r="M1153" s="1783"/>
    </row>
    <row r="1154" spans="1:13" s="1517" customFormat="1" x14ac:dyDescent="0.25">
      <c r="A1154" s="179"/>
      <c r="B1154" s="179"/>
      <c r="C1154" s="1531"/>
      <c r="D1154" s="2142" t="s">
        <v>127</v>
      </c>
      <c r="E1154" s="2142"/>
      <c r="F1154" s="2142"/>
      <c r="G1154" s="2142"/>
      <c r="H1154" s="1532">
        <f>ROUND(H1152*H1153,2)</f>
        <v>873.97</v>
      </c>
      <c r="I1154" s="1830"/>
      <c r="J1154" s="1795"/>
      <c r="K1154" s="1795"/>
      <c r="L1154" s="169"/>
      <c r="M1154" s="1783"/>
    </row>
    <row r="1155" spans="1:13" s="1517" customFormat="1" x14ac:dyDescent="0.25">
      <c r="A1155" s="179"/>
      <c r="B1155" s="179"/>
      <c r="C1155" s="1531"/>
      <c r="D1155" s="2141" t="s">
        <v>15335</v>
      </c>
      <c r="E1155" s="2141"/>
      <c r="F1155" s="2141"/>
      <c r="G1155" s="2141"/>
      <c r="H1155" s="267">
        <f>ROUND(H1152*$B$13,2)</f>
        <v>41.51</v>
      </c>
      <c r="I1155" s="1830"/>
      <c r="J1155" s="1795"/>
      <c r="K1155" s="1795"/>
      <c r="L1155" s="169"/>
      <c r="M1155" s="1783"/>
    </row>
    <row r="1156" spans="1:13" x14ac:dyDescent="0.25">
      <c r="A1156" s="179"/>
      <c r="B1156" s="179"/>
      <c r="C1156" s="1531"/>
      <c r="D1156" s="2142" t="s">
        <v>7898</v>
      </c>
      <c r="E1156" s="2142"/>
      <c r="F1156" s="2142"/>
      <c r="G1156" s="2142"/>
      <c r="H1156" s="1532">
        <f>H1155+H1152</f>
        <v>195.64999999999998</v>
      </c>
    </row>
    <row r="1157" spans="1:13" x14ac:dyDescent="0.25">
      <c r="A1157" s="1514"/>
      <c r="B1157" s="1514"/>
      <c r="C1157" s="1514"/>
      <c r="F1157" s="1533"/>
      <c r="G1157" s="1534"/>
      <c r="H1157" s="1514"/>
    </row>
    <row r="1158" spans="1:13" s="1517" customFormat="1" x14ac:dyDescent="0.25">
      <c r="A1158" s="146" t="s">
        <v>6</v>
      </c>
      <c r="B1158" s="2143" t="s">
        <v>7</v>
      </c>
      <c r="C1158" s="2143"/>
      <c r="D1158" s="1518" t="s">
        <v>121</v>
      </c>
      <c r="E1158" s="278" t="s">
        <v>5282</v>
      </c>
      <c r="F1158" s="1518" t="s">
        <v>31</v>
      </c>
      <c r="G1158" s="1519" t="s">
        <v>122</v>
      </c>
      <c r="H1158" s="1520" t="s">
        <v>123</v>
      </c>
      <c r="I1158" s="1830"/>
      <c r="J1158" s="1795"/>
      <c r="K1158" s="1795"/>
      <c r="L1158" s="169"/>
      <c r="M1158" s="1783"/>
    </row>
    <row r="1159" spans="1:13" s="1526" customFormat="1" ht="45" x14ac:dyDescent="0.2">
      <c r="A1159" s="1521" t="str">
        <f>'Orç - Prédio'!A193</f>
        <v>04.01.576.02</v>
      </c>
      <c r="B1159" s="1493" t="str">
        <f>'Orç - Prédio'!B193</f>
        <v>ORSE</v>
      </c>
      <c r="C1159" s="1535">
        <f>'Orç - Prédio'!C193</f>
        <v>4934</v>
      </c>
      <c r="D1159" s="1536" t="s">
        <v>6680</v>
      </c>
      <c r="E1159" s="1523">
        <f>'Orç - Prédio'!E193</f>
        <v>2310.17</v>
      </c>
      <c r="F1159" s="1535" t="s">
        <v>5286</v>
      </c>
      <c r="G1159" s="1524">
        <v>6.73</v>
      </c>
      <c r="H1159" s="1525">
        <f>H1167</f>
        <v>15547.44</v>
      </c>
      <c r="I1159" s="1910" t="s">
        <v>14965</v>
      </c>
      <c r="J1159" s="1793"/>
      <c r="K1159" s="1793"/>
      <c r="L1159" s="141"/>
      <c r="M1159" s="1515"/>
    </row>
    <row r="1160" spans="1:13" s="156" customFormat="1" x14ac:dyDescent="0.2">
      <c r="A1160" s="2144">
        <v>4740</v>
      </c>
      <c r="B1160" s="2144"/>
      <c r="C1160" s="1516" t="s">
        <v>5281</v>
      </c>
      <c r="D1160" s="182" t="s">
        <v>6681</v>
      </c>
      <c r="E1160" s="1527">
        <v>0.08</v>
      </c>
      <c r="F1160" s="1528" t="s">
        <v>4230</v>
      </c>
      <c r="G1160" s="367">
        <v>12.31</v>
      </c>
      <c r="H1160" s="1530">
        <f>ROUNDDOWN(G1160*E1160,2)</f>
        <v>0.98</v>
      </c>
      <c r="I1160" s="1642"/>
      <c r="J1160" s="1797"/>
      <c r="K1160" s="1797"/>
      <c r="L1160" s="1784"/>
      <c r="M1160" s="1785"/>
    </row>
    <row r="1161" spans="1:13" s="156" customFormat="1" x14ac:dyDescent="0.2">
      <c r="A1161" s="2144">
        <v>88310</v>
      </c>
      <c r="B1161" s="2144"/>
      <c r="C1161" s="1516" t="s">
        <v>4448</v>
      </c>
      <c r="D1161" s="182" t="s">
        <v>89</v>
      </c>
      <c r="E1161" s="1527">
        <v>0.2</v>
      </c>
      <c r="F1161" s="1528" t="s">
        <v>65</v>
      </c>
      <c r="G1161" s="1529">
        <v>21.26</v>
      </c>
      <c r="H1161" s="1530">
        <f>ROUNDDOWN(G1161*E1161,2)</f>
        <v>4.25</v>
      </c>
      <c r="I1161" s="1642"/>
      <c r="J1161" s="1797"/>
      <c r="K1161" s="1797"/>
      <c r="L1161" s="1784"/>
      <c r="M1161" s="1785"/>
    </row>
    <row r="1162" spans="1:13" s="156" customFormat="1" ht="30" x14ac:dyDescent="0.2">
      <c r="A1162" s="2144">
        <v>88316</v>
      </c>
      <c r="B1162" s="2144"/>
      <c r="C1162" s="1516" t="s">
        <v>4448</v>
      </c>
      <c r="D1162" s="182" t="s">
        <v>64</v>
      </c>
      <c r="E1162" s="1527">
        <v>0.1</v>
      </c>
      <c r="F1162" s="1528" t="s">
        <v>65</v>
      </c>
      <c r="G1162" s="1529">
        <v>15.08</v>
      </c>
      <c r="H1162" s="1530">
        <f>ROUNDDOWN(G1162*E1162,2)</f>
        <v>1.5</v>
      </c>
      <c r="I1162" s="1642"/>
      <c r="J1162" s="1797"/>
      <c r="K1162" s="1797"/>
      <c r="L1162" s="1784"/>
      <c r="M1162" s="1785"/>
    </row>
    <row r="1163" spans="1:13" s="1517" customFormat="1" x14ac:dyDescent="0.25">
      <c r="A1163" s="179"/>
      <c r="B1163" s="179"/>
      <c r="C1163" s="1531"/>
      <c r="D1163" s="2141" t="s">
        <v>124</v>
      </c>
      <c r="E1163" s="2141"/>
      <c r="F1163" s="2141"/>
      <c r="G1163" s="2141"/>
      <c r="H1163" s="267">
        <f>SUMIF(F1160:F1162,("h"),H1160:H1162)</f>
        <v>5.75</v>
      </c>
      <c r="I1163" s="1830"/>
      <c r="J1163" s="1795"/>
      <c r="K1163" s="1795"/>
      <c r="L1163" s="169"/>
      <c r="M1163" s="1783"/>
    </row>
    <row r="1164" spans="1:13" s="1517" customFormat="1" x14ac:dyDescent="0.25">
      <c r="A1164" s="179"/>
      <c r="B1164" s="179"/>
      <c r="C1164" s="1531"/>
      <c r="D1164" s="2141" t="s">
        <v>125</v>
      </c>
      <c r="E1164" s="2141"/>
      <c r="F1164" s="2141"/>
      <c r="G1164" s="2141"/>
      <c r="H1164" s="267">
        <f>SUMIF(F1160:F1162,"&lt;&gt;h",H1160:H1162)</f>
        <v>0.98</v>
      </c>
      <c r="I1164" s="1830"/>
      <c r="J1164" s="1795"/>
      <c r="K1164" s="1795"/>
      <c r="L1164" s="169"/>
      <c r="M1164" s="1783"/>
    </row>
    <row r="1165" spans="1:13" s="1517" customFormat="1" x14ac:dyDescent="0.25">
      <c r="A1165" s="179"/>
      <c r="B1165" s="179"/>
      <c r="C1165" s="1531"/>
      <c r="D1165" s="2142" t="s">
        <v>126</v>
      </c>
      <c r="E1165" s="2142"/>
      <c r="F1165" s="2142"/>
      <c r="G1165" s="2142"/>
      <c r="H1165" s="1532">
        <f>SUM(H1163:H1164)</f>
        <v>6.73</v>
      </c>
      <c r="I1165" s="1830"/>
      <c r="J1165" s="1795"/>
      <c r="K1165" s="1795"/>
      <c r="L1165" s="169"/>
      <c r="M1165" s="1783"/>
    </row>
    <row r="1166" spans="1:13" s="1517" customFormat="1" x14ac:dyDescent="0.25">
      <c r="A1166" s="179"/>
      <c r="B1166" s="179"/>
      <c r="C1166" s="1531"/>
      <c r="D1166" s="2141" t="s">
        <v>28</v>
      </c>
      <c r="E1166" s="2141"/>
      <c r="F1166" s="2141"/>
      <c r="G1166" s="2141"/>
      <c r="H1166" s="269">
        <f>E1159</f>
        <v>2310.17</v>
      </c>
      <c r="I1166" s="1830"/>
      <c r="J1166" s="1795"/>
      <c r="K1166" s="1795"/>
      <c r="L1166" s="169"/>
      <c r="M1166" s="1783"/>
    </row>
    <row r="1167" spans="1:13" s="1517" customFormat="1" x14ac:dyDescent="0.25">
      <c r="A1167" s="179"/>
      <c r="B1167" s="179"/>
      <c r="C1167" s="1531"/>
      <c r="D1167" s="2142" t="s">
        <v>127</v>
      </c>
      <c r="E1167" s="2142"/>
      <c r="F1167" s="2142"/>
      <c r="G1167" s="2142"/>
      <c r="H1167" s="1532">
        <f>ROUND(H1165*H1166,2)</f>
        <v>15547.44</v>
      </c>
      <c r="I1167" s="1830"/>
      <c r="J1167" s="1795"/>
      <c r="K1167" s="1795"/>
      <c r="L1167" s="169"/>
      <c r="M1167" s="1783"/>
    </row>
    <row r="1168" spans="1:13" s="1517" customFormat="1" x14ac:dyDescent="0.25">
      <c r="A1168" s="179"/>
      <c r="B1168" s="179"/>
      <c r="C1168" s="1531"/>
      <c r="D1168" s="2141" t="s">
        <v>15335</v>
      </c>
      <c r="E1168" s="2141"/>
      <c r="F1168" s="2141"/>
      <c r="G1168" s="2141"/>
      <c r="H1168" s="267">
        <f>ROUND(H1165*$B$13,2)</f>
        <v>1.81</v>
      </c>
      <c r="I1168" s="1830"/>
      <c r="J1168" s="1795"/>
      <c r="K1168" s="1795"/>
      <c r="L1168" s="169"/>
      <c r="M1168" s="1783"/>
    </row>
    <row r="1169" spans="1:13" x14ac:dyDescent="0.25">
      <c r="A1169" s="179"/>
      <c r="B1169" s="179"/>
      <c r="C1169" s="1531"/>
      <c r="D1169" s="2142" t="s">
        <v>7898</v>
      </c>
      <c r="E1169" s="2142"/>
      <c r="F1169" s="2142"/>
      <c r="G1169" s="2142"/>
      <c r="H1169" s="1532">
        <f>H1168+H1165</f>
        <v>8.5400000000000009</v>
      </c>
    </row>
    <row r="1170" spans="1:13" x14ac:dyDescent="0.25">
      <c r="A1170" s="1514"/>
      <c r="B1170" s="1514"/>
      <c r="C1170" s="1514"/>
      <c r="F1170" s="1533"/>
      <c r="G1170" s="1534"/>
      <c r="H1170" s="1514"/>
    </row>
    <row r="1171" spans="1:13" s="1517" customFormat="1" x14ac:dyDescent="0.25">
      <c r="A1171" s="146" t="s">
        <v>6</v>
      </c>
      <c r="B1171" s="2143" t="s">
        <v>7</v>
      </c>
      <c r="C1171" s="2143"/>
      <c r="D1171" s="597" t="s">
        <v>121</v>
      </c>
      <c r="E1171" s="278" t="s">
        <v>5282</v>
      </c>
      <c r="F1171" s="597" t="s">
        <v>31</v>
      </c>
      <c r="G1171" s="598" t="s">
        <v>122</v>
      </c>
      <c r="H1171" s="599" t="s">
        <v>123</v>
      </c>
      <c r="I1171" s="1830"/>
      <c r="J1171" s="1795"/>
      <c r="K1171" s="1795"/>
      <c r="L1171" s="169"/>
      <c r="M1171" s="1783"/>
    </row>
    <row r="1172" spans="1:13" s="1526" customFormat="1" ht="75" x14ac:dyDescent="0.2">
      <c r="A1172" s="600" t="str">
        <f>'Orç - Prédio'!A196</f>
        <v>04.01.601.02</v>
      </c>
      <c r="B1172" s="612" t="str">
        <f>'Orç - Prédio'!B196</f>
        <v>SINAPI</v>
      </c>
      <c r="C1172" s="612" t="str">
        <f>'Orç - Prédio'!C196</f>
        <v>98546 MOD</v>
      </c>
      <c r="D1172" s="613" t="s">
        <v>5807</v>
      </c>
      <c r="E1172" s="601">
        <f>'Orç - Prédio'!E196</f>
        <v>473.02</v>
      </c>
      <c r="F1172" s="612" t="s">
        <v>5286</v>
      </c>
      <c r="G1172" s="602">
        <v>89.500000000000014</v>
      </c>
      <c r="H1172" s="603">
        <f>H1182</f>
        <v>42335.29</v>
      </c>
      <c r="I1172" s="1910" t="s">
        <v>9544</v>
      </c>
      <c r="J1172" s="1793"/>
      <c r="K1172" s="1793"/>
      <c r="L1172" s="141"/>
      <c r="M1172" s="1515"/>
    </row>
    <row r="1173" spans="1:13" s="156" customFormat="1" ht="45" x14ac:dyDescent="0.2">
      <c r="A1173" s="2144">
        <v>511</v>
      </c>
      <c r="B1173" s="2144"/>
      <c r="C1173" s="596" t="s">
        <v>4448</v>
      </c>
      <c r="D1173" s="182" t="s">
        <v>13508</v>
      </c>
      <c r="E1173" s="604">
        <v>0.61499999999999999</v>
      </c>
      <c r="F1173" s="605" t="s">
        <v>49</v>
      </c>
      <c r="G1173" s="606">
        <v>15.55</v>
      </c>
      <c r="H1173" s="607">
        <f>ROUNDDOWN(G1173*E1173,2)</f>
        <v>9.56</v>
      </c>
      <c r="I1173" s="1642"/>
      <c r="J1173" s="1797"/>
      <c r="K1173" s="1797"/>
      <c r="L1173" s="1784"/>
      <c r="M1173" s="1785"/>
    </row>
    <row r="1174" spans="1:13" s="156" customFormat="1" ht="45" x14ac:dyDescent="0.2">
      <c r="A1174" s="2144">
        <v>4015</v>
      </c>
      <c r="B1174" s="2144"/>
      <c r="C1174" s="596" t="s">
        <v>4448</v>
      </c>
      <c r="D1174" s="182" t="s">
        <v>12814</v>
      </c>
      <c r="E1174" s="604">
        <v>1.125</v>
      </c>
      <c r="F1174" s="605" t="s">
        <v>45</v>
      </c>
      <c r="G1174" s="606">
        <v>49.81</v>
      </c>
      <c r="H1174" s="607">
        <f>ROUNDDOWN(G1174*E1174,2)</f>
        <v>56.03</v>
      </c>
      <c r="I1174" s="1642"/>
      <c r="J1174" s="1797"/>
      <c r="K1174" s="1797"/>
      <c r="L1174" s="1784"/>
      <c r="M1174" s="1785"/>
    </row>
    <row r="1175" spans="1:13" s="156" customFormat="1" x14ac:dyDescent="0.2">
      <c r="A1175" s="2144">
        <v>4226</v>
      </c>
      <c r="B1175" s="2144"/>
      <c r="C1175" s="596" t="s">
        <v>4448</v>
      </c>
      <c r="D1175" s="182" t="s">
        <v>11993</v>
      </c>
      <c r="E1175" s="604">
        <v>0.26</v>
      </c>
      <c r="F1175" s="605" t="s">
        <v>48</v>
      </c>
      <c r="G1175" s="606">
        <v>5.42</v>
      </c>
      <c r="H1175" s="607">
        <f>ROUNDDOWN(G1175*E1175,2)</f>
        <v>1.4</v>
      </c>
      <c r="I1175" s="1642"/>
      <c r="J1175" s="1797"/>
      <c r="K1175" s="1797"/>
      <c r="L1175" s="1784"/>
      <c r="M1175" s="1785"/>
    </row>
    <row r="1176" spans="1:13" s="156" customFormat="1" ht="30" x14ac:dyDescent="0.2">
      <c r="A1176" s="2144">
        <v>88243</v>
      </c>
      <c r="B1176" s="2144"/>
      <c r="C1176" s="596" t="s">
        <v>4448</v>
      </c>
      <c r="D1176" s="182" t="s">
        <v>99</v>
      </c>
      <c r="E1176" s="604">
        <v>0.192</v>
      </c>
      <c r="F1176" s="605" t="s">
        <v>65</v>
      </c>
      <c r="G1176" s="606">
        <v>17.77</v>
      </c>
      <c r="H1176" s="607">
        <f>ROUNDDOWN(G1176*E1176,2)</f>
        <v>3.41</v>
      </c>
      <c r="I1176" s="1642"/>
      <c r="J1176" s="1797"/>
      <c r="K1176" s="1797"/>
      <c r="L1176" s="1784"/>
      <c r="M1176" s="1785"/>
    </row>
    <row r="1177" spans="1:13" s="156" customFormat="1" ht="30" x14ac:dyDescent="0.2">
      <c r="A1177" s="2144">
        <v>88270</v>
      </c>
      <c r="B1177" s="2144"/>
      <c r="C1177" s="596" t="s">
        <v>4448</v>
      </c>
      <c r="D1177" s="182" t="s">
        <v>100</v>
      </c>
      <c r="E1177" s="604">
        <v>0.94799999999999995</v>
      </c>
      <c r="F1177" s="605" t="s">
        <v>65</v>
      </c>
      <c r="G1177" s="606">
        <v>20.149999999999999</v>
      </c>
      <c r="H1177" s="607">
        <f>ROUNDDOWN(G1177*E1177,2)</f>
        <v>19.100000000000001</v>
      </c>
      <c r="I1177" s="1642"/>
      <c r="J1177" s="1797"/>
      <c r="K1177" s="1797"/>
      <c r="L1177" s="1784"/>
      <c r="M1177" s="1785"/>
    </row>
    <row r="1178" spans="1:13" s="1517" customFormat="1" x14ac:dyDescent="0.25">
      <c r="A1178" s="179"/>
      <c r="B1178" s="179"/>
      <c r="C1178" s="608"/>
      <c r="D1178" s="2141" t="s">
        <v>124</v>
      </c>
      <c r="E1178" s="2141"/>
      <c r="F1178" s="2141"/>
      <c r="G1178" s="2141"/>
      <c r="H1178" s="267">
        <f>SUMIF(F1173:F1177,("h"),H1173:H1177)</f>
        <v>22.51</v>
      </c>
      <c r="I1178" s="1830"/>
      <c r="J1178" s="1795"/>
      <c r="K1178" s="1795"/>
      <c r="L1178" s="169"/>
      <c r="M1178" s="1783"/>
    </row>
    <row r="1179" spans="1:13" s="1517" customFormat="1" x14ac:dyDescent="0.25">
      <c r="A1179" s="179"/>
      <c r="B1179" s="179"/>
      <c r="C1179" s="608"/>
      <c r="D1179" s="2141" t="s">
        <v>125</v>
      </c>
      <c r="E1179" s="2141"/>
      <c r="F1179" s="2141"/>
      <c r="G1179" s="2141"/>
      <c r="H1179" s="267">
        <f>SUMIF(F1173:F1177,"&lt;&gt;h",H1173:H1177)</f>
        <v>66.990000000000009</v>
      </c>
      <c r="I1179" s="1830"/>
      <c r="J1179" s="1795"/>
      <c r="K1179" s="1795"/>
      <c r="L1179" s="169"/>
      <c r="M1179" s="1783"/>
    </row>
    <row r="1180" spans="1:13" s="1517" customFormat="1" x14ac:dyDescent="0.25">
      <c r="A1180" s="179"/>
      <c r="B1180" s="179"/>
      <c r="C1180" s="608"/>
      <c r="D1180" s="2142" t="s">
        <v>126</v>
      </c>
      <c r="E1180" s="2142"/>
      <c r="F1180" s="2142"/>
      <c r="G1180" s="2142"/>
      <c r="H1180" s="609">
        <f>SUM(H1178:H1179)</f>
        <v>89.500000000000014</v>
      </c>
      <c r="I1180" s="1830"/>
      <c r="J1180" s="1795"/>
      <c r="K1180" s="1795"/>
      <c r="L1180" s="169"/>
      <c r="M1180" s="1783"/>
    </row>
    <row r="1181" spans="1:13" s="1517" customFormat="1" x14ac:dyDescent="0.25">
      <c r="A1181" s="179"/>
      <c r="B1181" s="179"/>
      <c r="C1181" s="608"/>
      <c r="D1181" s="2141" t="s">
        <v>28</v>
      </c>
      <c r="E1181" s="2141"/>
      <c r="F1181" s="2141"/>
      <c r="G1181" s="2141"/>
      <c r="H1181" s="269">
        <f>E1172</f>
        <v>473.02</v>
      </c>
      <c r="I1181" s="1830"/>
      <c r="J1181" s="1795"/>
      <c r="K1181" s="1795"/>
      <c r="L1181" s="169"/>
      <c r="M1181" s="1783"/>
    </row>
    <row r="1182" spans="1:13" s="1517" customFormat="1" x14ac:dyDescent="0.25">
      <c r="A1182" s="179"/>
      <c r="B1182" s="179"/>
      <c r="C1182" s="608"/>
      <c r="D1182" s="2142" t="s">
        <v>127</v>
      </c>
      <c r="E1182" s="2142"/>
      <c r="F1182" s="2142"/>
      <c r="G1182" s="2142"/>
      <c r="H1182" s="609">
        <f>ROUND(H1180*H1181,2)</f>
        <v>42335.29</v>
      </c>
      <c r="I1182" s="1830"/>
      <c r="J1182" s="1795"/>
      <c r="K1182" s="1795"/>
      <c r="L1182" s="169"/>
      <c r="M1182" s="1783"/>
    </row>
    <row r="1183" spans="1:13" s="1517" customFormat="1" x14ac:dyDescent="0.25">
      <c r="A1183" s="179"/>
      <c r="B1183" s="179"/>
      <c r="C1183" s="1531"/>
      <c r="D1183" s="2141" t="s">
        <v>15335</v>
      </c>
      <c r="E1183" s="2141"/>
      <c r="F1183" s="2141"/>
      <c r="G1183" s="2141"/>
      <c r="H1183" s="267">
        <f>ROUND(H1180*$B$13,2)</f>
        <v>24.1</v>
      </c>
      <c r="I1183" s="1830"/>
      <c r="J1183" s="1795"/>
      <c r="K1183" s="1795"/>
      <c r="L1183" s="169"/>
      <c r="M1183" s="1783"/>
    </row>
    <row r="1184" spans="1:13" x14ac:dyDescent="0.25">
      <c r="A1184" s="179"/>
      <c r="B1184" s="179"/>
      <c r="C1184" s="1531"/>
      <c r="D1184" s="2142" t="s">
        <v>7898</v>
      </c>
      <c r="E1184" s="2142"/>
      <c r="F1184" s="2142"/>
      <c r="G1184" s="2142"/>
      <c r="H1184" s="1532">
        <f>H1183+H1180</f>
        <v>113.60000000000002</v>
      </c>
    </row>
    <row r="1185" spans="1:13" x14ac:dyDescent="0.25">
      <c r="A1185" s="595"/>
      <c r="B1185" s="595"/>
      <c r="C1185" s="595"/>
      <c r="F1185" s="610"/>
      <c r="G1185" s="611"/>
      <c r="H1185" s="595"/>
    </row>
    <row r="1186" spans="1:13" s="1517" customFormat="1" x14ac:dyDescent="0.25">
      <c r="A1186" s="146" t="s">
        <v>6</v>
      </c>
      <c r="B1186" s="2143" t="s">
        <v>7</v>
      </c>
      <c r="C1186" s="2143"/>
      <c r="D1186" s="597" t="s">
        <v>121</v>
      </c>
      <c r="E1186" s="278" t="s">
        <v>5282</v>
      </c>
      <c r="F1186" s="597" t="s">
        <v>31</v>
      </c>
      <c r="G1186" s="598" t="s">
        <v>122</v>
      </c>
      <c r="H1186" s="599" t="s">
        <v>123</v>
      </c>
      <c r="I1186" s="1830"/>
      <c r="J1186" s="1795"/>
      <c r="K1186" s="1795"/>
      <c r="L1186" s="169"/>
      <c r="M1186" s="1783"/>
    </row>
    <row r="1187" spans="1:13" s="1526" customFormat="1" ht="75" x14ac:dyDescent="0.2">
      <c r="A1187" s="600" t="str">
        <f>'Orç - Prédio'!A197</f>
        <v>04.01.601.03</v>
      </c>
      <c r="B1187" s="612" t="str">
        <f>'Orç - Prédio'!B197</f>
        <v>SINAPI</v>
      </c>
      <c r="C1187" s="612" t="str">
        <f>'Orç - Prédio'!C197</f>
        <v>87755 MOD</v>
      </c>
      <c r="D1187" s="613" t="s">
        <v>5802</v>
      </c>
      <c r="E1187" s="601">
        <f>'Orç - Prédio'!E197</f>
        <v>473.02</v>
      </c>
      <c r="F1187" s="612" t="s">
        <v>5286</v>
      </c>
      <c r="G1187" s="602">
        <v>47.53</v>
      </c>
      <c r="H1187" s="603">
        <f>H1197</f>
        <v>22482.639999999999</v>
      </c>
      <c r="I1187" s="1910" t="s">
        <v>9544</v>
      </c>
      <c r="J1187" s="1793"/>
      <c r="K1187" s="1793"/>
      <c r="L1187" s="141"/>
      <c r="M1187" s="1515"/>
    </row>
    <row r="1188" spans="1:13" s="156" customFormat="1" x14ac:dyDescent="0.2">
      <c r="A1188" s="2144">
        <v>1379</v>
      </c>
      <c r="B1188" s="2144"/>
      <c r="C1188" s="596" t="s">
        <v>4448</v>
      </c>
      <c r="D1188" s="182" t="s">
        <v>10898</v>
      </c>
      <c r="E1188" s="604">
        <v>0.5</v>
      </c>
      <c r="F1188" s="605" t="s">
        <v>48</v>
      </c>
      <c r="G1188" s="606">
        <v>0.4</v>
      </c>
      <c r="H1188" s="607">
        <f>ROUNDDOWN(G1188*E1188,2)</f>
        <v>0.2</v>
      </c>
      <c r="I1188" s="1642"/>
      <c r="J1188" s="1797"/>
      <c r="K1188" s="1797"/>
      <c r="L1188" s="1784"/>
      <c r="M1188" s="1785"/>
    </row>
    <row r="1189" spans="1:13" s="156" customFormat="1" ht="45" x14ac:dyDescent="0.2">
      <c r="A1189" s="2144">
        <v>37411</v>
      </c>
      <c r="B1189" s="2144"/>
      <c r="C1189" s="596" t="s">
        <v>4448</v>
      </c>
      <c r="D1189" s="182" t="s">
        <v>14138</v>
      </c>
      <c r="E1189" s="604">
        <v>1</v>
      </c>
      <c r="F1189" s="605" t="s">
        <v>45</v>
      </c>
      <c r="G1189" s="606">
        <v>12.31</v>
      </c>
      <c r="H1189" s="607">
        <f>ROUNDDOWN(G1189*E1189,2)</f>
        <v>12.31</v>
      </c>
      <c r="I1189" s="1642"/>
      <c r="J1189" s="1797"/>
      <c r="K1189" s="1797"/>
      <c r="L1189" s="1784"/>
      <c r="M1189" s="1785"/>
    </row>
    <row r="1190" spans="1:13" s="156" customFormat="1" ht="60" x14ac:dyDescent="0.2">
      <c r="A1190" s="2144">
        <v>87301</v>
      </c>
      <c r="B1190" s="2144"/>
      <c r="C1190" s="596" t="s">
        <v>4448</v>
      </c>
      <c r="D1190" s="182" t="s">
        <v>8402</v>
      </c>
      <c r="E1190" s="604">
        <v>4.3099999999999999E-2</v>
      </c>
      <c r="F1190" s="605" t="s">
        <v>1208</v>
      </c>
      <c r="G1190" s="606">
        <v>389.05</v>
      </c>
      <c r="H1190" s="607">
        <f>ROUNDDOWN(G1190*E1190,2)</f>
        <v>16.760000000000002</v>
      </c>
      <c r="I1190" s="1642"/>
      <c r="J1190" s="1797"/>
      <c r="K1190" s="1797"/>
      <c r="L1190" s="1784"/>
      <c r="M1190" s="1785"/>
    </row>
    <row r="1191" spans="1:13" s="156" customFormat="1" ht="30" x14ac:dyDescent="0.2">
      <c r="A1191" s="2144">
        <v>88309</v>
      </c>
      <c r="B1191" s="2144"/>
      <c r="C1191" s="596" t="s">
        <v>4448</v>
      </c>
      <c r="D1191" s="182" t="s">
        <v>87</v>
      </c>
      <c r="E1191" s="604">
        <v>0.66</v>
      </c>
      <c r="F1191" s="605" t="s">
        <v>65</v>
      </c>
      <c r="G1191" s="606">
        <v>20.149999999999999</v>
      </c>
      <c r="H1191" s="607">
        <f>ROUNDDOWN(G1191*E1191,2)</f>
        <v>13.29</v>
      </c>
      <c r="I1191" s="1642"/>
      <c r="J1191" s="1797"/>
      <c r="K1191" s="1797"/>
      <c r="L1191" s="1784"/>
      <c r="M1191" s="1785"/>
    </row>
    <row r="1192" spans="1:13" s="156" customFormat="1" ht="30" x14ac:dyDescent="0.2">
      <c r="A1192" s="2144">
        <v>88316</v>
      </c>
      <c r="B1192" s="2144"/>
      <c r="C1192" s="596" t="s">
        <v>4448</v>
      </c>
      <c r="D1192" s="182" t="s">
        <v>64</v>
      </c>
      <c r="E1192" s="604">
        <v>0.33</v>
      </c>
      <c r="F1192" s="605" t="s">
        <v>65</v>
      </c>
      <c r="G1192" s="606">
        <v>15.08</v>
      </c>
      <c r="H1192" s="607">
        <f>ROUNDDOWN(G1192*E1192,2)</f>
        <v>4.97</v>
      </c>
      <c r="I1192" s="1642"/>
      <c r="J1192" s="1797"/>
      <c r="K1192" s="1797"/>
      <c r="L1192" s="1784"/>
      <c r="M1192" s="1785"/>
    </row>
    <row r="1193" spans="1:13" s="1517" customFormat="1" x14ac:dyDescent="0.25">
      <c r="A1193" s="179"/>
      <c r="B1193" s="179"/>
      <c r="C1193" s="608"/>
      <c r="D1193" s="2141" t="s">
        <v>124</v>
      </c>
      <c r="E1193" s="2141"/>
      <c r="F1193" s="2141"/>
      <c r="G1193" s="2141"/>
      <c r="H1193" s="267">
        <f>SUMIF(F1188:F1192,("h"),H1188:H1192)</f>
        <v>18.259999999999998</v>
      </c>
      <c r="I1193" s="1830"/>
      <c r="J1193" s="1795"/>
      <c r="K1193" s="1795"/>
      <c r="L1193" s="169"/>
      <c r="M1193" s="1783"/>
    </row>
    <row r="1194" spans="1:13" s="1517" customFormat="1" x14ac:dyDescent="0.25">
      <c r="A1194" s="179"/>
      <c r="B1194" s="179"/>
      <c r="C1194" s="608"/>
      <c r="D1194" s="2141" t="s">
        <v>125</v>
      </c>
      <c r="E1194" s="2141"/>
      <c r="F1194" s="2141"/>
      <c r="G1194" s="2141"/>
      <c r="H1194" s="267">
        <f>SUMIF(F1188:F1192,"&lt;&gt;h",H1188:H1192)</f>
        <v>29.270000000000003</v>
      </c>
      <c r="I1194" s="1830"/>
      <c r="J1194" s="1795"/>
      <c r="K1194" s="1795"/>
      <c r="L1194" s="169"/>
      <c r="M1194" s="1783"/>
    </row>
    <row r="1195" spans="1:13" s="1517" customFormat="1" x14ac:dyDescent="0.25">
      <c r="A1195" s="179"/>
      <c r="B1195" s="179"/>
      <c r="C1195" s="608"/>
      <c r="D1195" s="2142" t="s">
        <v>126</v>
      </c>
      <c r="E1195" s="2142"/>
      <c r="F1195" s="2142"/>
      <c r="G1195" s="2142"/>
      <c r="H1195" s="609">
        <f>SUM(H1193:H1194)</f>
        <v>47.53</v>
      </c>
      <c r="I1195" s="1830"/>
      <c r="J1195" s="1795"/>
      <c r="K1195" s="1795"/>
      <c r="L1195" s="169"/>
      <c r="M1195" s="1783"/>
    </row>
    <row r="1196" spans="1:13" s="1517" customFormat="1" x14ac:dyDescent="0.25">
      <c r="A1196" s="179"/>
      <c r="B1196" s="179"/>
      <c r="C1196" s="608"/>
      <c r="D1196" s="2141" t="s">
        <v>28</v>
      </c>
      <c r="E1196" s="2141"/>
      <c r="F1196" s="2141"/>
      <c r="G1196" s="2141"/>
      <c r="H1196" s="269">
        <f>E1187</f>
        <v>473.02</v>
      </c>
      <c r="I1196" s="1830"/>
      <c r="J1196" s="1795"/>
      <c r="K1196" s="1795"/>
      <c r="L1196" s="169"/>
      <c r="M1196" s="1783"/>
    </row>
    <row r="1197" spans="1:13" s="1517" customFormat="1" x14ac:dyDescent="0.25">
      <c r="A1197" s="179"/>
      <c r="B1197" s="179"/>
      <c r="C1197" s="608"/>
      <c r="D1197" s="2142" t="s">
        <v>127</v>
      </c>
      <c r="E1197" s="2142"/>
      <c r="F1197" s="2142"/>
      <c r="G1197" s="2142"/>
      <c r="H1197" s="609">
        <f>ROUND(H1195*H1196,2)</f>
        <v>22482.639999999999</v>
      </c>
      <c r="I1197" s="1830"/>
      <c r="J1197" s="1795"/>
      <c r="K1197" s="1795"/>
      <c r="L1197" s="169"/>
      <c r="M1197" s="1783"/>
    </row>
    <row r="1198" spans="1:13" s="1517" customFormat="1" x14ac:dyDescent="0.25">
      <c r="A1198" s="179"/>
      <c r="B1198" s="179"/>
      <c r="C1198" s="1531"/>
      <c r="D1198" s="2141" t="s">
        <v>15335</v>
      </c>
      <c r="E1198" s="2141"/>
      <c r="F1198" s="2141"/>
      <c r="G1198" s="2141"/>
      <c r="H1198" s="267">
        <f>ROUND(H1195*$B$13,2)</f>
        <v>12.8</v>
      </c>
      <c r="I1198" s="1830"/>
      <c r="J1198" s="1795"/>
      <c r="K1198" s="1795"/>
      <c r="L1198" s="169"/>
      <c r="M1198" s="1783"/>
    </row>
    <row r="1199" spans="1:13" x14ac:dyDescent="0.25">
      <c r="A1199" s="179"/>
      <c r="B1199" s="179"/>
      <c r="C1199" s="1531"/>
      <c r="D1199" s="2142" t="s">
        <v>7898</v>
      </c>
      <c r="E1199" s="2142"/>
      <c r="F1199" s="2142"/>
      <c r="G1199" s="2142"/>
      <c r="H1199" s="1532">
        <f>H1198+H1195</f>
        <v>60.33</v>
      </c>
    </row>
    <row r="1200" spans="1:13" x14ac:dyDescent="0.25">
      <c r="A1200" s="595"/>
      <c r="B1200" s="595"/>
      <c r="C1200" s="595"/>
      <c r="F1200" s="610"/>
      <c r="G1200" s="611"/>
      <c r="H1200" s="595"/>
    </row>
    <row r="1201" spans="1:13" s="1517" customFormat="1" x14ac:dyDescent="0.25">
      <c r="A1201" s="146" t="s">
        <v>6</v>
      </c>
      <c r="B1201" s="2143" t="s">
        <v>7</v>
      </c>
      <c r="C1201" s="2143"/>
      <c r="D1201" s="1518" t="s">
        <v>121</v>
      </c>
      <c r="E1201" s="278" t="s">
        <v>5282</v>
      </c>
      <c r="F1201" s="1518" t="s">
        <v>31</v>
      </c>
      <c r="G1201" s="1519" t="s">
        <v>122</v>
      </c>
      <c r="H1201" s="1520" t="s">
        <v>123</v>
      </c>
      <c r="I1201" s="1830"/>
      <c r="J1201" s="1795"/>
      <c r="K1201" s="1795"/>
      <c r="L1201" s="169"/>
      <c r="M1201" s="1783"/>
    </row>
    <row r="1202" spans="1:13" s="1526" customFormat="1" ht="30" x14ac:dyDescent="0.2">
      <c r="A1202" s="1522" t="str">
        <f>'Orç - Prédio'!A206</f>
        <v>04.01.703</v>
      </c>
      <c r="B1202" s="1787" t="str">
        <f>'Orç - Prédio'!B206</f>
        <v>SINAPI</v>
      </c>
      <c r="C1202" s="1787" t="str">
        <f>'Orç - Prédio'!C206</f>
        <v>97734 MOD</v>
      </c>
      <c r="D1202" s="1522" t="s">
        <v>5892</v>
      </c>
      <c r="E1202" s="1787">
        <f>'Orç - Prédio'!E206</f>
        <v>192.86</v>
      </c>
      <c r="F1202" s="1787" t="s">
        <v>5713</v>
      </c>
      <c r="G1202" s="1524">
        <v>24.96</v>
      </c>
      <c r="H1202" s="1525">
        <f>H1208</f>
        <v>4813.79</v>
      </c>
      <c r="I1202" s="1910" t="s">
        <v>9544</v>
      </c>
      <c r="J1202" s="1793"/>
      <c r="K1202" s="1793"/>
      <c r="L1202" s="141"/>
      <c r="M1202" s="1515"/>
    </row>
    <row r="1203" spans="1:13" s="156" customFormat="1" ht="45" x14ac:dyDescent="0.2">
      <c r="A1203" s="2144">
        <v>97734</v>
      </c>
      <c r="B1203" s="2144"/>
      <c r="C1203" s="1516" t="s">
        <v>4448</v>
      </c>
      <c r="D1203" s="182" t="s">
        <v>5413</v>
      </c>
      <c r="E1203" s="1527">
        <f>0.24*0.05</f>
        <v>1.2E-2</v>
      </c>
      <c r="F1203" s="1786" t="s">
        <v>1208</v>
      </c>
      <c r="G1203" s="1529">
        <v>2080.73</v>
      </c>
      <c r="H1203" s="1530">
        <f>ROUNDDOWN(G1203*E1203,2)</f>
        <v>24.96</v>
      </c>
      <c r="I1203" s="1642"/>
      <c r="J1203" s="1797"/>
      <c r="K1203" s="1797"/>
      <c r="L1203" s="1784"/>
      <c r="M1203" s="1785"/>
    </row>
    <row r="1204" spans="1:13" s="1517" customFormat="1" x14ac:dyDescent="0.25">
      <c r="A1204" s="179"/>
      <c r="B1204" s="179"/>
      <c r="C1204" s="1531"/>
      <c r="D1204" s="2141" t="s">
        <v>124</v>
      </c>
      <c r="E1204" s="2141"/>
      <c r="F1204" s="2141"/>
      <c r="G1204" s="2141"/>
      <c r="H1204" s="267">
        <f>SUMIF(F1203:F1203,("h"),H1203:H1203)</f>
        <v>0</v>
      </c>
      <c r="I1204" s="1830"/>
      <c r="J1204" s="1795"/>
      <c r="K1204" s="1795"/>
      <c r="L1204" s="169"/>
      <c r="M1204" s="1783"/>
    </row>
    <row r="1205" spans="1:13" s="1517" customFormat="1" x14ac:dyDescent="0.25">
      <c r="A1205" s="179"/>
      <c r="B1205" s="179"/>
      <c r="C1205" s="1531"/>
      <c r="D1205" s="2141" t="s">
        <v>125</v>
      </c>
      <c r="E1205" s="2141"/>
      <c r="F1205" s="2141"/>
      <c r="G1205" s="2141"/>
      <c r="H1205" s="267">
        <f>SUMIF(F1203:F1203,"&lt;&gt;h",H1203:H1203)</f>
        <v>24.96</v>
      </c>
      <c r="I1205" s="1830"/>
      <c r="J1205" s="1795"/>
      <c r="K1205" s="1795"/>
      <c r="L1205" s="169"/>
      <c r="M1205" s="1783"/>
    </row>
    <row r="1206" spans="1:13" s="1517" customFormat="1" x14ac:dyDescent="0.25">
      <c r="A1206" s="179"/>
      <c r="B1206" s="179"/>
      <c r="C1206" s="1531"/>
      <c r="D1206" s="2142" t="s">
        <v>126</v>
      </c>
      <c r="E1206" s="2142"/>
      <c r="F1206" s="2142"/>
      <c r="G1206" s="2142"/>
      <c r="H1206" s="1532">
        <f>SUM(H1204:H1205)</f>
        <v>24.96</v>
      </c>
      <c r="I1206" s="1830"/>
      <c r="J1206" s="1795"/>
      <c r="K1206" s="1795"/>
      <c r="L1206" s="169"/>
      <c r="M1206" s="1783"/>
    </row>
    <row r="1207" spans="1:13" s="1517" customFormat="1" x14ac:dyDescent="0.25">
      <c r="A1207" s="179"/>
      <c r="B1207" s="179"/>
      <c r="C1207" s="1531"/>
      <c r="D1207" s="2141" t="s">
        <v>28</v>
      </c>
      <c r="E1207" s="2141"/>
      <c r="F1207" s="2141"/>
      <c r="G1207" s="2141"/>
      <c r="H1207" s="269">
        <f>E1202</f>
        <v>192.86</v>
      </c>
      <c r="I1207" s="1830"/>
      <c r="J1207" s="1795"/>
      <c r="K1207" s="1795"/>
      <c r="L1207" s="169"/>
      <c r="M1207" s="1783"/>
    </row>
    <row r="1208" spans="1:13" s="1517" customFormat="1" x14ac:dyDescent="0.25">
      <c r="A1208" s="179"/>
      <c r="B1208" s="179"/>
      <c r="C1208" s="1531"/>
      <c r="D1208" s="2142" t="s">
        <v>127</v>
      </c>
      <c r="E1208" s="2142"/>
      <c r="F1208" s="2142"/>
      <c r="G1208" s="2142"/>
      <c r="H1208" s="1532">
        <f>ROUND(H1206*H1207,2)</f>
        <v>4813.79</v>
      </c>
      <c r="I1208" s="1830"/>
      <c r="J1208" s="1795"/>
      <c r="K1208" s="1795"/>
      <c r="L1208" s="169"/>
      <c r="M1208" s="1783"/>
    </row>
    <row r="1209" spans="1:13" s="1517" customFormat="1" x14ac:dyDescent="0.25">
      <c r="A1209" s="179"/>
      <c r="B1209" s="179"/>
      <c r="C1209" s="1531"/>
      <c r="D1209" s="2141" t="s">
        <v>15335</v>
      </c>
      <c r="E1209" s="2141"/>
      <c r="F1209" s="2141"/>
      <c r="G1209" s="2141"/>
      <c r="H1209" s="267">
        <f>ROUND(H1206*$B$13,2)</f>
        <v>6.72</v>
      </c>
      <c r="I1209" s="1830"/>
      <c r="J1209" s="1795"/>
      <c r="K1209" s="1795"/>
      <c r="L1209" s="169"/>
      <c r="M1209" s="1783"/>
    </row>
    <row r="1210" spans="1:13" x14ac:dyDescent="0.25">
      <c r="A1210" s="179"/>
      <c r="B1210" s="179"/>
      <c r="C1210" s="1531"/>
      <c r="D1210" s="2142" t="s">
        <v>7898</v>
      </c>
      <c r="E1210" s="2142"/>
      <c r="F1210" s="2142"/>
      <c r="G1210" s="2142"/>
      <c r="H1210" s="1532">
        <f>H1209+H1206</f>
        <v>31.68</v>
      </c>
    </row>
    <row r="1211" spans="1:13" x14ac:dyDescent="0.25">
      <c r="A1211" s="1514"/>
      <c r="B1211" s="1514"/>
      <c r="C1211" s="1514"/>
      <c r="F1211" s="1533"/>
      <c r="G1211" s="1534"/>
      <c r="H1211" s="1514"/>
    </row>
    <row r="1212" spans="1:13" s="1517" customFormat="1" x14ac:dyDescent="0.25">
      <c r="A1212" s="146" t="s">
        <v>6</v>
      </c>
      <c r="B1212" s="2143" t="s">
        <v>7</v>
      </c>
      <c r="C1212" s="2143"/>
      <c r="D1212" s="1518" t="s">
        <v>121</v>
      </c>
      <c r="E1212" s="278" t="s">
        <v>5282</v>
      </c>
      <c r="F1212" s="1518" t="s">
        <v>31</v>
      </c>
      <c r="G1212" s="1519" t="s">
        <v>122</v>
      </c>
      <c r="H1212" s="1520" t="s">
        <v>123</v>
      </c>
      <c r="I1212" s="1830"/>
      <c r="J1212" s="1795"/>
      <c r="K1212" s="1795"/>
      <c r="L1212" s="169"/>
      <c r="M1212" s="1783"/>
    </row>
    <row r="1213" spans="1:13" s="1526" customFormat="1" ht="30" x14ac:dyDescent="0.2">
      <c r="A1213" s="1928" t="str">
        <f>'Orç - Prédio'!A207</f>
        <v>04.01.705</v>
      </c>
      <c r="B1213" s="1928" t="str">
        <f>'Orç - Prédio'!B207</f>
        <v>SINAPI ANTIGO</v>
      </c>
      <c r="C1213" s="1928" t="str">
        <f>'Orç - Prédio'!C207</f>
        <v>73908/2</v>
      </c>
      <c r="D1213" s="1865" t="s">
        <v>7278</v>
      </c>
      <c r="E1213" s="1866">
        <f>'Orç - Prédio'!E207</f>
        <v>22</v>
      </c>
      <c r="F1213" s="1928" t="s">
        <v>5713</v>
      </c>
      <c r="G1213" s="1524">
        <v>31.19</v>
      </c>
      <c r="H1213" s="1525">
        <f>H1221</f>
        <v>686.18</v>
      </c>
      <c r="I1213" s="1910" t="s">
        <v>14965</v>
      </c>
      <c r="J1213" s="1793"/>
      <c r="K1213" s="1793"/>
      <c r="L1213" s="141"/>
      <c r="M1213" s="1515"/>
    </row>
    <row r="1214" spans="1:13" s="1859" customFormat="1" ht="30" x14ac:dyDescent="0.2">
      <c r="A1214" s="2144">
        <v>586</v>
      </c>
      <c r="B1214" s="2144"/>
      <c r="C1214" s="1863" t="s">
        <v>4448</v>
      </c>
      <c r="D1214" s="1862" t="s">
        <v>10698</v>
      </c>
      <c r="E1214" s="1864">
        <v>1</v>
      </c>
      <c r="F1214" s="1927" t="s">
        <v>47</v>
      </c>
      <c r="G1214" s="1860">
        <v>13.11</v>
      </c>
      <c r="H1214" s="1857">
        <f>ROUNDDOWN(G1214*E1214,2)</f>
        <v>13.11</v>
      </c>
      <c r="I1214" s="1856"/>
      <c r="J1214" s="1797"/>
      <c r="K1214" s="1797"/>
      <c r="L1214" s="1784"/>
      <c r="M1214" s="1785"/>
    </row>
    <row r="1215" spans="1:13" s="1859" customFormat="1" ht="30" x14ac:dyDescent="0.2">
      <c r="A1215" s="2144">
        <v>88316</v>
      </c>
      <c r="B1215" s="2144"/>
      <c r="C1215" s="1863" t="s">
        <v>4448</v>
      </c>
      <c r="D1215" s="1862" t="s">
        <v>64</v>
      </c>
      <c r="E1215" s="1864">
        <v>0.4</v>
      </c>
      <c r="F1215" s="1927" t="s">
        <v>65</v>
      </c>
      <c r="G1215" s="1860">
        <v>15.08</v>
      </c>
      <c r="H1215" s="1857">
        <f>ROUNDDOWN(G1215*E1215,2)</f>
        <v>6.03</v>
      </c>
      <c r="I1215" s="1856"/>
      <c r="J1215" s="1797"/>
      <c r="K1215" s="1797"/>
      <c r="L1215" s="1784"/>
      <c r="M1215" s="1785"/>
    </row>
    <row r="1216" spans="1:13" s="1859" customFormat="1" ht="30" x14ac:dyDescent="0.2">
      <c r="A1216" s="2144">
        <v>88256</v>
      </c>
      <c r="B1216" s="2144"/>
      <c r="C1216" s="1863" t="s">
        <v>4448</v>
      </c>
      <c r="D1216" s="1862" t="s">
        <v>77</v>
      </c>
      <c r="E1216" s="1864">
        <v>0.6</v>
      </c>
      <c r="F1216" s="1927" t="s">
        <v>65</v>
      </c>
      <c r="G1216" s="1860">
        <v>20.09</v>
      </c>
      <c r="H1216" s="1857">
        <f>ROUNDDOWN(G1216*E1216,2)</f>
        <v>12.05</v>
      </c>
      <c r="I1216" s="1856"/>
      <c r="J1216" s="1797"/>
      <c r="K1216" s="1797"/>
      <c r="L1216" s="1784"/>
      <c r="M1216" s="1785"/>
    </row>
    <row r="1217" spans="1:13" s="1517" customFormat="1" x14ac:dyDescent="0.25">
      <c r="A1217" s="1929"/>
      <c r="B1217" s="1929"/>
      <c r="C1217" s="1531"/>
      <c r="D1217" s="2141" t="s">
        <v>124</v>
      </c>
      <c r="E1217" s="2141"/>
      <c r="F1217" s="2141"/>
      <c r="G1217" s="2141"/>
      <c r="H1217" s="267">
        <f>SUMIF(F1214:F1216,("h"),H1214:H1216)</f>
        <v>18.080000000000002</v>
      </c>
      <c r="I1217" s="1830"/>
      <c r="J1217" s="1795"/>
      <c r="K1217" s="1795"/>
      <c r="L1217" s="169"/>
      <c r="M1217" s="1783"/>
    </row>
    <row r="1218" spans="1:13" s="1517" customFormat="1" x14ac:dyDescent="0.25">
      <c r="A1218" s="1929"/>
      <c r="B1218" s="1929"/>
      <c r="C1218" s="1531"/>
      <c r="D1218" s="2141" t="s">
        <v>125</v>
      </c>
      <c r="E1218" s="2141"/>
      <c r="F1218" s="2141"/>
      <c r="G1218" s="2141"/>
      <c r="H1218" s="267">
        <f>SUMIF(F1214:F1216,"&lt;&gt;h",H1214:H1216)</f>
        <v>13.11</v>
      </c>
      <c r="I1218" s="1830"/>
      <c r="J1218" s="1795"/>
      <c r="K1218" s="1795"/>
      <c r="L1218" s="169"/>
      <c r="M1218" s="1783"/>
    </row>
    <row r="1219" spans="1:13" s="1517" customFormat="1" x14ac:dyDescent="0.25">
      <c r="A1219" s="1929"/>
      <c r="B1219" s="1929"/>
      <c r="C1219" s="1531"/>
      <c r="D1219" s="2142" t="s">
        <v>126</v>
      </c>
      <c r="E1219" s="2142"/>
      <c r="F1219" s="2142"/>
      <c r="G1219" s="2142"/>
      <c r="H1219" s="1532">
        <f>SUM(H1217:H1218)</f>
        <v>31.19</v>
      </c>
      <c r="I1219" s="1830"/>
      <c r="J1219" s="1795"/>
      <c r="K1219" s="1795"/>
      <c r="L1219" s="169"/>
      <c r="M1219" s="1783"/>
    </row>
    <row r="1220" spans="1:13" s="1517" customFormat="1" x14ac:dyDescent="0.25">
      <c r="A1220" s="1929"/>
      <c r="B1220" s="1929"/>
      <c r="C1220" s="1531"/>
      <c r="D1220" s="2141" t="s">
        <v>28</v>
      </c>
      <c r="E1220" s="2141"/>
      <c r="F1220" s="2141"/>
      <c r="G1220" s="2141"/>
      <c r="H1220" s="269">
        <f>E1213</f>
        <v>22</v>
      </c>
      <c r="I1220" s="1830"/>
      <c r="J1220" s="1795"/>
      <c r="K1220" s="1795"/>
      <c r="L1220" s="169"/>
      <c r="M1220" s="1783"/>
    </row>
    <row r="1221" spans="1:13" s="1517" customFormat="1" x14ac:dyDescent="0.25">
      <c r="A1221" s="1929"/>
      <c r="B1221" s="1929"/>
      <c r="C1221" s="1531"/>
      <c r="D1221" s="2142" t="s">
        <v>127</v>
      </c>
      <c r="E1221" s="2142"/>
      <c r="F1221" s="2142"/>
      <c r="G1221" s="2142"/>
      <c r="H1221" s="1532">
        <f>ROUND(H1219*H1220,2)</f>
        <v>686.18</v>
      </c>
      <c r="I1221" s="1830"/>
      <c r="J1221" s="1795"/>
      <c r="K1221" s="1795"/>
      <c r="L1221" s="169"/>
      <c r="M1221" s="1783"/>
    </row>
    <row r="1222" spans="1:13" s="1517" customFormat="1" x14ac:dyDescent="0.25">
      <c r="A1222" s="1929"/>
      <c r="B1222" s="1929"/>
      <c r="C1222" s="1531"/>
      <c r="D1222" s="2141" t="s">
        <v>15335</v>
      </c>
      <c r="E1222" s="2141"/>
      <c r="F1222" s="2141"/>
      <c r="G1222" s="2141"/>
      <c r="H1222" s="267">
        <f>ROUND(H1219*$B$13,2)</f>
        <v>8.4</v>
      </c>
      <c r="I1222" s="1830"/>
      <c r="J1222" s="1795"/>
      <c r="K1222" s="1795"/>
      <c r="L1222" s="169"/>
      <c r="M1222" s="1783"/>
    </row>
    <row r="1223" spans="1:13" x14ac:dyDescent="0.25">
      <c r="A1223" s="1929"/>
      <c r="B1223" s="1929"/>
      <c r="C1223" s="1531"/>
      <c r="D1223" s="2142" t="s">
        <v>7898</v>
      </c>
      <c r="E1223" s="2142"/>
      <c r="F1223" s="2142"/>
      <c r="G1223" s="2142"/>
      <c r="H1223" s="1532">
        <f>H1222+H1219</f>
        <v>39.590000000000003</v>
      </c>
    </row>
    <row r="1224" spans="1:13" x14ac:dyDescent="0.25">
      <c r="A1224" s="1514"/>
      <c r="B1224" s="1514"/>
      <c r="C1224" s="1514"/>
      <c r="F1224" s="1533"/>
      <c r="G1224" s="1534"/>
      <c r="H1224" s="1514"/>
    </row>
    <row r="1225" spans="1:13" s="1517" customFormat="1" x14ac:dyDescent="0.25">
      <c r="A1225" s="146" t="s">
        <v>6</v>
      </c>
      <c r="B1225" s="2143" t="s">
        <v>7</v>
      </c>
      <c r="C1225" s="2143"/>
      <c r="D1225" s="621" t="s">
        <v>121</v>
      </c>
      <c r="E1225" s="278" t="s">
        <v>5282</v>
      </c>
      <c r="F1225" s="621" t="s">
        <v>31</v>
      </c>
      <c r="G1225" s="622" t="s">
        <v>122</v>
      </c>
      <c r="H1225" s="623" t="s">
        <v>123</v>
      </c>
      <c r="I1225" s="1830"/>
      <c r="J1225" s="1795"/>
      <c r="K1225" s="1795"/>
      <c r="L1225" s="169"/>
      <c r="M1225" s="1783"/>
    </row>
    <row r="1226" spans="1:13" s="1526" customFormat="1" ht="90" x14ac:dyDescent="0.2">
      <c r="A1226" s="624" t="str">
        <f>'Orç - Prédio'!A209</f>
        <v>04.01.801.01</v>
      </c>
      <c r="B1226" s="635" t="str">
        <f>'Orç - Prédio'!B209</f>
        <v>SINAPI</v>
      </c>
      <c r="C1226" s="635" t="str">
        <f>'Orç - Prédio'!C209</f>
        <v>01.ESQV.GCAL.005/01 MOD</v>
      </c>
      <c r="D1226" s="636" t="s">
        <v>8932</v>
      </c>
      <c r="E1226" s="625">
        <f>'Orç - Prédio'!E209</f>
        <v>67.86999999999999</v>
      </c>
      <c r="F1226" s="635" t="s">
        <v>5713</v>
      </c>
      <c r="G1226" s="626">
        <v>330.08000000000004</v>
      </c>
      <c r="H1226" s="627">
        <f>H1244</f>
        <v>22402.53</v>
      </c>
      <c r="I1226" s="1910" t="s">
        <v>9544</v>
      </c>
      <c r="J1226" s="1793"/>
      <c r="K1226" s="1793"/>
      <c r="L1226" s="141"/>
      <c r="M1226" s="1515"/>
    </row>
    <row r="1227" spans="1:13" s="156" customFormat="1" ht="30" x14ac:dyDescent="0.2">
      <c r="A1227" s="2144">
        <v>552</v>
      </c>
      <c r="B1227" s="2144"/>
      <c r="C1227" s="620" t="s">
        <v>4448</v>
      </c>
      <c r="D1227" s="182" t="s">
        <v>10115</v>
      </c>
      <c r="E1227" s="637">
        <f>2*(1.1+0.1)+0.076</f>
        <v>2.4760000000000004</v>
      </c>
      <c r="F1227" s="628" t="s">
        <v>47</v>
      </c>
      <c r="G1227" s="629">
        <v>10.48</v>
      </c>
      <c r="H1227" s="630">
        <f t="shared" ref="H1227:H1239" si="108">ROUNDDOWN(G1227*E1227,2)</f>
        <v>25.94</v>
      </c>
      <c r="I1227" s="1642"/>
      <c r="J1227" s="1797"/>
      <c r="K1227" s="1797"/>
      <c r="L1227" s="1784"/>
      <c r="M1227" s="1785"/>
    </row>
    <row r="1228" spans="1:13" s="1859" customFormat="1" ht="30" x14ac:dyDescent="0.2">
      <c r="A1228" s="2144">
        <v>565</v>
      </c>
      <c r="B1228" s="2144"/>
      <c r="C1228" s="1863" t="s">
        <v>4448</v>
      </c>
      <c r="D1228" s="1862" t="s">
        <v>10117</v>
      </c>
      <c r="E1228" s="1864">
        <f>0.02</f>
        <v>0.02</v>
      </c>
      <c r="F1228" s="1916" t="s">
        <v>47</v>
      </c>
      <c r="G1228" s="1860">
        <v>9.82</v>
      </c>
      <c r="H1228" s="1857">
        <f t="shared" ref="H1228" si="109">ROUNDDOWN(G1228*E1228,2)</f>
        <v>0.19</v>
      </c>
      <c r="I1228" s="1856"/>
      <c r="J1228" s="1797"/>
      <c r="K1228" s="1797"/>
      <c r="L1228" s="1784"/>
      <c r="M1228" s="1785"/>
    </row>
    <row r="1229" spans="1:13" s="156" customFormat="1" ht="45" x14ac:dyDescent="0.2">
      <c r="A1229" s="2144">
        <v>11964</v>
      </c>
      <c r="B1229" s="2144"/>
      <c r="C1229" s="620" t="s">
        <v>4448</v>
      </c>
      <c r="D1229" s="182" t="s">
        <v>13098</v>
      </c>
      <c r="E1229" s="637">
        <v>4</v>
      </c>
      <c r="F1229" s="628" t="s">
        <v>39</v>
      </c>
      <c r="G1229" s="629">
        <v>1.76</v>
      </c>
      <c r="H1229" s="630">
        <f t="shared" si="108"/>
        <v>7.04</v>
      </c>
      <c r="I1229" s="1642"/>
      <c r="J1229" s="1797"/>
      <c r="K1229" s="1797"/>
      <c r="L1229" s="1784"/>
      <c r="M1229" s="1785"/>
    </row>
    <row r="1230" spans="1:13" s="1859" customFormat="1" ht="60" x14ac:dyDescent="0.2">
      <c r="A1230" s="2144">
        <v>13246</v>
      </c>
      <c r="B1230" s="2144"/>
      <c r="C1230" s="1863" t="s">
        <v>4448</v>
      </c>
      <c r="D1230" s="1862" t="s">
        <v>13102</v>
      </c>
      <c r="E1230" s="1864">
        <v>4</v>
      </c>
      <c r="F1230" s="1916" t="s">
        <v>39</v>
      </c>
      <c r="G1230" s="1860">
        <v>0.33</v>
      </c>
      <c r="H1230" s="1857">
        <f t="shared" ref="H1230" si="110">ROUNDDOWN(G1230*E1230,2)</f>
        <v>1.32</v>
      </c>
      <c r="I1230" s="1856"/>
      <c r="J1230" s="1797"/>
      <c r="K1230" s="1797"/>
      <c r="L1230" s="1784"/>
      <c r="M1230" s="1785"/>
    </row>
    <row r="1231" spans="1:13" s="156" customFormat="1" ht="45" x14ac:dyDescent="0.2">
      <c r="A1231" s="2144">
        <v>21003</v>
      </c>
      <c r="B1231" s="2144"/>
      <c r="C1231" s="620" t="s">
        <v>4448</v>
      </c>
      <c r="D1231" s="182" t="s">
        <v>14374</v>
      </c>
      <c r="E1231" s="637">
        <v>2</v>
      </c>
      <c r="F1231" s="628" t="s">
        <v>47</v>
      </c>
      <c r="G1231" s="629">
        <v>20.83</v>
      </c>
      <c r="H1231" s="630">
        <f>ROUNDDOWN(G1231*E1231,2)</f>
        <v>41.66</v>
      </c>
      <c r="I1231" s="1642"/>
      <c r="J1231" s="1797"/>
      <c r="K1231" s="1797"/>
      <c r="L1231" s="1784"/>
      <c r="M1231" s="1785"/>
    </row>
    <row r="1232" spans="1:13" s="156" customFormat="1" x14ac:dyDescent="0.2">
      <c r="A1232" s="2144">
        <v>39961</v>
      </c>
      <c r="B1232" s="2144"/>
      <c r="C1232" s="620" t="s">
        <v>4448</v>
      </c>
      <c r="D1232" s="182" t="s">
        <v>13780</v>
      </c>
      <c r="E1232" s="637">
        <v>0.85499999999999998</v>
      </c>
      <c r="F1232" s="628" t="s">
        <v>39</v>
      </c>
      <c r="G1232" s="629">
        <v>15.08</v>
      </c>
      <c r="H1232" s="630">
        <f t="shared" si="108"/>
        <v>12.89</v>
      </c>
      <c r="I1232" s="1642"/>
      <c r="J1232" s="1797"/>
      <c r="K1232" s="1797"/>
      <c r="L1232" s="1784"/>
      <c r="M1232" s="1785"/>
    </row>
    <row r="1233" spans="1:13" s="1859" customFormat="1" ht="30" x14ac:dyDescent="0.2">
      <c r="A1233" s="2144">
        <v>11002</v>
      </c>
      <c r="B1233" s="2144"/>
      <c r="C1233" s="1863" t="s">
        <v>4448</v>
      </c>
      <c r="D1233" s="1862" t="s">
        <v>11596</v>
      </c>
      <c r="E1233" s="1864">
        <v>3.0000000000000001E-3</v>
      </c>
      <c r="F1233" s="1916" t="s">
        <v>48</v>
      </c>
      <c r="G1233" s="1860">
        <v>17.170000000000002</v>
      </c>
      <c r="H1233" s="1857">
        <f t="shared" ref="H1233:H1234" si="111">ROUNDDOWN(G1233*E1233,2)</f>
        <v>0.05</v>
      </c>
      <c r="I1233" s="1856"/>
      <c r="J1233" s="1797"/>
      <c r="K1233" s="1797"/>
      <c r="L1233" s="1784"/>
      <c r="M1233" s="1785"/>
    </row>
    <row r="1234" spans="1:13" s="1859" customFormat="1" x14ac:dyDescent="0.2">
      <c r="A1234" s="2144">
        <v>34360</v>
      </c>
      <c r="B1234" s="2144"/>
      <c r="C1234" s="1863" t="s">
        <v>4448</v>
      </c>
      <c r="D1234" s="1862" t="s">
        <v>13236</v>
      </c>
      <c r="E1234" s="1864">
        <v>3.4089999999999998</v>
      </c>
      <c r="F1234" s="1916" t="s">
        <v>48</v>
      </c>
      <c r="G1234" s="1860">
        <v>26.01</v>
      </c>
      <c r="H1234" s="1857">
        <f t="shared" si="111"/>
        <v>88.66</v>
      </c>
      <c r="I1234" s="1856"/>
      <c r="J1234" s="1797"/>
      <c r="K1234" s="1797"/>
      <c r="L1234" s="1784"/>
      <c r="M1234" s="1785"/>
    </row>
    <row r="1235" spans="1:13" s="1859" customFormat="1" ht="30" x14ac:dyDescent="0.2">
      <c r="A1235" s="2144">
        <v>20259</v>
      </c>
      <c r="B1235" s="2144"/>
      <c r="C1235" s="1863" t="s">
        <v>4448</v>
      </c>
      <c r="D1235" s="1862" t="s">
        <v>13237</v>
      </c>
      <c r="E1235" s="1864">
        <v>2</v>
      </c>
      <c r="F1235" s="1916" t="s">
        <v>47</v>
      </c>
      <c r="G1235" s="1860">
        <v>8</v>
      </c>
      <c r="H1235" s="1857">
        <f t="shared" ref="H1235:H1237" si="112">ROUNDDOWN(G1235*E1235,2)</f>
        <v>16</v>
      </c>
      <c r="I1235" s="1856"/>
      <c r="J1235" s="1797"/>
      <c r="K1235" s="1797"/>
      <c r="L1235" s="1784"/>
      <c r="M1235" s="1785"/>
    </row>
    <row r="1236" spans="1:13" s="1859" customFormat="1" ht="75" x14ac:dyDescent="0.2">
      <c r="A1236" s="2144">
        <v>100722</v>
      </c>
      <c r="B1236" s="2144"/>
      <c r="C1236" s="1863" t="s">
        <v>4448</v>
      </c>
      <c r="D1236" s="1862" t="s">
        <v>9279</v>
      </c>
      <c r="E1236" s="1864">
        <f>(2*0.04*E1227)+(2*0.025*E1228)+(2*3.1415*0.02*E1231)</f>
        <v>0.45040000000000008</v>
      </c>
      <c r="F1236" s="1916" t="s">
        <v>306</v>
      </c>
      <c r="G1236" s="1860">
        <v>17.34</v>
      </c>
      <c r="H1236" s="1857">
        <f t="shared" ref="H1236" si="113">ROUNDDOWN(G1236*E1236,2)</f>
        <v>7.8</v>
      </c>
      <c r="I1236" s="1856"/>
      <c r="J1236" s="1797"/>
      <c r="K1236" s="1797"/>
      <c r="L1236" s="1784"/>
      <c r="M1236" s="1785"/>
    </row>
    <row r="1237" spans="1:13" s="1859" customFormat="1" ht="90" x14ac:dyDescent="0.2">
      <c r="A1237" s="2144">
        <v>100760</v>
      </c>
      <c r="B1237" s="2144"/>
      <c r="C1237" s="1863" t="s">
        <v>4448</v>
      </c>
      <c r="D1237" s="1862" t="s">
        <v>9311</v>
      </c>
      <c r="E1237" s="1864">
        <f>E1236</f>
        <v>0.45040000000000008</v>
      </c>
      <c r="F1237" s="1916" t="s">
        <v>306</v>
      </c>
      <c r="G1237" s="1860">
        <v>35.47</v>
      </c>
      <c r="H1237" s="1857">
        <f t="shared" si="112"/>
        <v>15.97</v>
      </c>
      <c r="I1237" s="1856"/>
      <c r="J1237" s="1797"/>
      <c r="K1237" s="1797"/>
      <c r="L1237" s="1784"/>
      <c r="M1237" s="1785"/>
    </row>
    <row r="1238" spans="1:13" s="156" customFormat="1" ht="30" x14ac:dyDescent="0.2">
      <c r="A1238" s="2144">
        <v>88251</v>
      </c>
      <c r="B1238" s="2144"/>
      <c r="C1238" s="620" t="s">
        <v>4448</v>
      </c>
      <c r="D1238" s="182" t="s">
        <v>75</v>
      </c>
      <c r="E1238" s="637">
        <v>2.754</v>
      </c>
      <c r="F1238" s="628" t="s">
        <v>65</v>
      </c>
      <c r="G1238" s="629">
        <v>16.45</v>
      </c>
      <c r="H1238" s="630">
        <f t="shared" si="108"/>
        <v>45.3</v>
      </c>
      <c r="I1238" s="1642"/>
      <c r="J1238" s="1797"/>
      <c r="K1238" s="1797"/>
      <c r="L1238" s="1784"/>
      <c r="M1238" s="1785"/>
    </row>
    <row r="1239" spans="1:13" s="156" customFormat="1" ht="30" x14ac:dyDescent="0.2">
      <c r="A1239" s="2144">
        <v>88315</v>
      </c>
      <c r="B1239" s="2144"/>
      <c r="C1239" s="620" t="s">
        <v>4448</v>
      </c>
      <c r="D1239" s="182" t="s">
        <v>109</v>
      </c>
      <c r="E1239" s="637">
        <v>3.3530000000000002</v>
      </c>
      <c r="F1239" s="628" t="s">
        <v>65</v>
      </c>
      <c r="G1239" s="629">
        <v>20.059999999999999</v>
      </c>
      <c r="H1239" s="630">
        <f t="shared" si="108"/>
        <v>67.260000000000005</v>
      </c>
      <c r="I1239" s="1642"/>
      <c r="J1239" s="1797"/>
      <c r="K1239" s="1797"/>
      <c r="L1239" s="1784"/>
      <c r="M1239" s="1785"/>
    </row>
    <row r="1240" spans="1:13" s="1517" customFormat="1" x14ac:dyDescent="0.25">
      <c r="A1240" s="179"/>
      <c r="B1240" s="179"/>
      <c r="C1240" s="631"/>
      <c r="D1240" s="2141" t="s">
        <v>124</v>
      </c>
      <c r="E1240" s="2141"/>
      <c r="F1240" s="2141"/>
      <c r="G1240" s="2141"/>
      <c r="H1240" s="267">
        <f>SUMIF(F1227:F1239,("h"),H1227:H1239)</f>
        <v>112.56</v>
      </c>
      <c r="I1240" s="1830"/>
      <c r="J1240" s="1795"/>
      <c r="K1240" s="1795"/>
      <c r="L1240" s="169"/>
      <c r="M1240" s="1783"/>
    </row>
    <row r="1241" spans="1:13" s="1517" customFormat="1" x14ac:dyDescent="0.25">
      <c r="A1241" s="179"/>
      <c r="B1241" s="179"/>
      <c r="C1241" s="631"/>
      <c r="D1241" s="2141" t="s">
        <v>125</v>
      </c>
      <c r="E1241" s="2141"/>
      <c r="F1241" s="2141"/>
      <c r="G1241" s="2141"/>
      <c r="H1241" s="267">
        <f>SUMIF(F1227:F1239,"&lt;&gt;h",H1227:H1239)</f>
        <v>217.52</v>
      </c>
      <c r="I1241" s="1830"/>
      <c r="J1241" s="1795"/>
      <c r="K1241" s="1795"/>
      <c r="L1241" s="169"/>
      <c r="M1241" s="1783"/>
    </row>
    <row r="1242" spans="1:13" s="1517" customFormat="1" x14ac:dyDescent="0.25">
      <c r="A1242" s="179"/>
      <c r="B1242" s="179"/>
      <c r="C1242" s="631"/>
      <c r="D1242" s="2142" t="s">
        <v>126</v>
      </c>
      <c r="E1242" s="2142"/>
      <c r="F1242" s="2142"/>
      <c r="G1242" s="2142"/>
      <c r="H1242" s="632">
        <f>SUM(H1240:H1241)</f>
        <v>330.08000000000004</v>
      </c>
      <c r="I1242" s="1830"/>
      <c r="J1242" s="1795"/>
      <c r="K1242" s="1795"/>
      <c r="L1242" s="169"/>
      <c r="M1242" s="1783"/>
    </row>
    <row r="1243" spans="1:13" s="1517" customFormat="1" x14ac:dyDescent="0.25">
      <c r="A1243" s="179"/>
      <c r="B1243" s="179"/>
      <c r="C1243" s="631"/>
      <c r="D1243" s="2141" t="s">
        <v>28</v>
      </c>
      <c r="E1243" s="2141"/>
      <c r="F1243" s="2141"/>
      <c r="G1243" s="2141"/>
      <c r="H1243" s="269">
        <f>E1226</f>
        <v>67.86999999999999</v>
      </c>
      <c r="I1243" s="1830"/>
      <c r="J1243" s="1795"/>
      <c r="K1243" s="1795"/>
      <c r="L1243" s="169"/>
      <c r="M1243" s="1783"/>
    </row>
    <row r="1244" spans="1:13" s="1517" customFormat="1" x14ac:dyDescent="0.25">
      <c r="A1244" s="179"/>
      <c r="B1244" s="179"/>
      <c r="C1244" s="631"/>
      <c r="D1244" s="2142" t="s">
        <v>127</v>
      </c>
      <c r="E1244" s="2142"/>
      <c r="F1244" s="2142"/>
      <c r="G1244" s="2142"/>
      <c r="H1244" s="632">
        <f>ROUND(H1242*H1243,2)</f>
        <v>22402.53</v>
      </c>
      <c r="I1244" s="1830"/>
      <c r="J1244" s="1795"/>
      <c r="K1244" s="1795"/>
      <c r="L1244" s="169"/>
      <c r="M1244" s="1783"/>
    </row>
    <row r="1245" spans="1:13" s="1517" customFormat="1" x14ac:dyDescent="0.25">
      <c r="A1245" s="179"/>
      <c r="B1245" s="179"/>
      <c r="C1245" s="1531"/>
      <c r="D1245" s="2141" t="s">
        <v>15335</v>
      </c>
      <c r="E1245" s="2141"/>
      <c r="F1245" s="2141"/>
      <c r="G1245" s="2141"/>
      <c r="H1245" s="267">
        <f>ROUND(H1242*$B$13,2)</f>
        <v>88.89</v>
      </c>
      <c r="I1245" s="1830"/>
      <c r="J1245" s="1795"/>
      <c r="K1245" s="1795"/>
      <c r="L1245" s="169"/>
      <c r="M1245" s="1783"/>
    </row>
    <row r="1246" spans="1:13" x14ac:dyDescent="0.25">
      <c r="A1246" s="179"/>
      <c r="B1246" s="179"/>
      <c r="C1246" s="1531"/>
      <c r="D1246" s="2142" t="s">
        <v>7898</v>
      </c>
      <c r="E1246" s="2142"/>
      <c r="F1246" s="2142"/>
      <c r="G1246" s="2142"/>
      <c r="H1246" s="1532">
        <f>H1245+H1242</f>
        <v>418.97</v>
      </c>
    </row>
    <row r="1247" spans="1:13" ht="35.25" customHeight="1" x14ac:dyDescent="0.25">
      <c r="A1247" s="2147" t="s">
        <v>9552</v>
      </c>
      <c r="B1247" s="2147"/>
      <c r="C1247" s="2147"/>
      <c r="D1247" s="2147"/>
      <c r="E1247" s="2147"/>
      <c r="F1247" s="2147"/>
      <c r="G1247" s="2147"/>
      <c r="H1247" s="2147"/>
    </row>
    <row r="1248" spans="1:13" x14ac:dyDescent="0.25">
      <c r="A1248" s="619"/>
      <c r="B1248" s="619"/>
      <c r="C1248" s="619"/>
      <c r="F1248" s="633"/>
      <c r="G1248" s="634"/>
      <c r="H1248" s="619"/>
    </row>
    <row r="1249" spans="1:13" s="1517" customFormat="1" x14ac:dyDescent="0.25">
      <c r="A1249" s="146" t="s">
        <v>6</v>
      </c>
      <c r="B1249" s="2143" t="s">
        <v>7</v>
      </c>
      <c r="C1249" s="2143"/>
      <c r="D1249" s="1518" t="s">
        <v>121</v>
      </c>
      <c r="E1249" s="278" t="s">
        <v>5282</v>
      </c>
      <c r="F1249" s="1518" t="s">
        <v>31</v>
      </c>
      <c r="G1249" s="1519" t="s">
        <v>122</v>
      </c>
      <c r="H1249" s="1520" t="s">
        <v>123</v>
      </c>
      <c r="I1249" s="1830"/>
      <c r="J1249" s="1795"/>
      <c r="K1249" s="1795"/>
      <c r="L1249" s="169"/>
      <c r="M1249" s="1783"/>
    </row>
    <row r="1250" spans="1:13" s="1526" customFormat="1" ht="105" x14ac:dyDescent="0.2">
      <c r="A1250" s="1521" t="str">
        <f>'Orç - Prédio'!A210</f>
        <v>04.01.802.01</v>
      </c>
      <c r="B1250" s="1521" t="str">
        <f>'Orç - Prédio'!B210</f>
        <v>Pesquisa de Mercado</v>
      </c>
      <c r="C1250" s="1521">
        <f>'Orç - Prédio'!C210</f>
        <v>0</v>
      </c>
      <c r="D1250" s="1522" t="s">
        <v>8933</v>
      </c>
      <c r="E1250" s="1521">
        <f>'Orç - Prédio'!E210</f>
        <v>655.12</v>
      </c>
      <c r="F1250" s="1521" t="s">
        <v>5286</v>
      </c>
      <c r="G1250" s="1524">
        <v>71.510000000000005</v>
      </c>
      <c r="H1250" s="1525">
        <f>H1256</f>
        <v>46847.63</v>
      </c>
      <c r="I1250" s="1910" t="s">
        <v>9544</v>
      </c>
      <c r="J1250" s="1793"/>
      <c r="K1250" s="1793"/>
      <c r="L1250" s="141"/>
      <c r="M1250" s="1515"/>
    </row>
    <row r="1251" spans="1:13" s="156" customFormat="1" ht="30" x14ac:dyDescent="0.2">
      <c r="A1251" s="2144" t="s">
        <v>6257</v>
      </c>
      <c r="B1251" s="2144"/>
      <c r="C1251" s="2144"/>
      <c r="D1251" s="182" t="s">
        <v>8940</v>
      </c>
      <c r="E1251" s="1527">
        <v>1</v>
      </c>
      <c r="F1251" s="1666" t="s">
        <v>306</v>
      </c>
      <c r="G1251" s="367">
        <v>71.510000000000005</v>
      </c>
      <c r="H1251" s="1530">
        <f t="shared" ref="H1251" si="114">ROUNDDOWN(G1251*E1251,2)</f>
        <v>71.510000000000005</v>
      </c>
      <c r="I1251" s="1642"/>
      <c r="J1251" s="1797"/>
      <c r="K1251" s="1797"/>
      <c r="L1251" s="1784"/>
      <c r="M1251" s="1785"/>
    </row>
    <row r="1252" spans="1:13" s="1517" customFormat="1" x14ac:dyDescent="0.25">
      <c r="A1252" s="179"/>
      <c r="B1252" s="179"/>
      <c r="C1252" s="1531"/>
      <c r="D1252" s="2141" t="s">
        <v>124</v>
      </c>
      <c r="E1252" s="2141"/>
      <c r="F1252" s="2141"/>
      <c r="G1252" s="2141"/>
      <c r="H1252" s="267">
        <f>SUMIF(F1251:F1251,("h"),H1251:H1251)</f>
        <v>0</v>
      </c>
      <c r="I1252" s="1830"/>
      <c r="J1252" s="1795"/>
      <c r="K1252" s="1795"/>
      <c r="L1252" s="169"/>
      <c r="M1252" s="1783"/>
    </row>
    <row r="1253" spans="1:13" s="1517" customFormat="1" x14ac:dyDescent="0.25">
      <c r="A1253" s="179"/>
      <c r="B1253" s="179"/>
      <c r="C1253" s="1531"/>
      <c r="D1253" s="2141" t="s">
        <v>125</v>
      </c>
      <c r="E1253" s="2141"/>
      <c r="F1253" s="2141"/>
      <c r="G1253" s="2141"/>
      <c r="H1253" s="267">
        <f>SUMIF(F1251:F1251,"&lt;&gt;h",H1251:H1251)</f>
        <v>71.510000000000005</v>
      </c>
      <c r="I1253" s="1830"/>
      <c r="J1253" s="1795"/>
      <c r="K1253" s="1795"/>
      <c r="L1253" s="169"/>
      <c r="M1253" s="1783"/>
    </row>
    <row r="1254" spans="1:13" s="1517" customFormat="1" x14ac:dyDescent="0.25">
      <c r="A1254" s="179"/>
      <c r="B1254" s="179"/>
      <c r="C1254" s="1531"/>
      <c r="D1254" s="2142" t="s">
        <v>126</v>
      </c>
      <c r="E1254" s="2142"/>
      <c r="F1254" s="2142"/>
      <c r="G1254" s="2142"/>
      <c r="H1254" s="1532">
        <f>SUM(H1252:H1253)</f>
        <v>71.510000000000005</v>
      </c>
      <c r="I1254" s="1830"/>
      <c r="J1254" s="1795"/>
      <c r="K1254" s="1795"/>
      <c r="L1254" s="169"/>
      <c r="M1254" s="1783"/>
    </row>
    <row r="1255" spans="1:13" s="1517" customFormat="1" x14ac:dyDescent="0.25">
      <c r="A1255" s="179"/>
      <c r="B1255" s="179"/>
      <c r="C1255" s="1531"/>
      <c r="D1255" s="2141" t="s">
        <v>28</v>
      </c>
      <c r="E1255" s="2141"/>
      <c r="F1255" s="2141"/>
      <c r="G1255" s="2141"/>
      <c r="H1255" s="269">
        <f>E1250</f>
        <v>655.12</v>
      </c>
      <c r="I1255" s="1830"/>
      <c r="J1255" s="1795"/>
      <c r="K1255" s="1795"/>
      <c r="L1255" s="169"/>
      <c r="M1255" s="1783"/>
    </row>
    <row r="1256" spans="1:13" s="1517" customFormat="1" x14ac:dyDescent="0.25">
      <c r="A1256" s="179"/>
      <c r="B1256" s="179"/>
      <c r="C1256" s="1531"/>
      <c r="D1256" s="2142" t="s">
        <v>127</v>
      </c>
      <c r="E1256" s="2142"/>
      <c r="F1256" s="2142"/>
      <c r="G1256" s="2142"/>
      <c r="H1256" s="1532">
        <f>ROUND(H1254*H1255,2)</f>
        <v>46847.63</v>
      </c>
      <c r="I1256" s="1830"/>
      <c r="J1256" s="1795"/>
      <c r="K1256" s="1795"/>
      <c r="L1256" s="169"/>
      <c r="M1256" s="1783"/>
    </row>
    <row r="1257" spans="1:13" s="1517" customFormat="1" x14ac:dyDescent="0.25">
      <c r="A1257" s="179"/>
      <c r="B1257" s="179"/>
      <c r="C1257" s="1531"/>
      <c r="D1257" s="2141" t="s">
        <v>15336</v>
      </c>
      <c r="E1257" s="2141"/>
      <c r="F1257" s="2141"/>
      <c r="G1257" s="2141"/>
      <c r="H1257" s="267">
        <f>ROUND(H1254*$B$14,2)</f>
        <v>14.97</v>
      </c>
      <c r="I1257" s="1830"/>
      <c r="J1257" s="1795"/>
      <c r="K1257" s="1795"/>
      <c r="L1257" s="169"/>
      <c r="M1257" s="1783"/>
    </row>
    <row r="1258" spans="1:13" x14ac:dyDescent="0.25">
      <c r="A1258" s="179"/>
      <c r="B1258" s="179"/>
      <c r="C1258" s="1531"/>
      <c r="D1258" s="2142" t="s">
        <v>7898</v>
      </c>
      <c r="E1258" s="2142"/>
      <c r="F1258" s="2142"/>
      <c r="G1258" s="2142"/>
      <c r="H1258" s="1532">
        <f>H1257+H1254</f>
        <v>86.48</v>
      </c>
    </row>
    <row r="1259" spans="1:13" x14ac:dyDescent="0.25">
      <c r="A1259" s="1514"/>
      <c r="B1259" s="1514"/>
      <c r="C1259" s="1514"/>
      <c r="F1259" s="1533"/>
      <c r="G1259" s="1534"/>
      <c r="H1259" s="1514"/>
    </row>
    <row r="1260" spans="1:13" s="1517" customFormat="1" x14ac:dyDescent="0.25">
      <c r="A1260" s="146" t="s">
        <v>6</v>
      </c>
      <c r="B1260" s="2143" t="s">
        <v>7</v>
      </c>
      <c r="C1260" s="2143"/>
      <c r="D1260" s="1518" t="s">
        <v>121</v>
      </c>
      <c r="E1260" s="278" t="s">
        <v>5282</v>
      </c>
      <c r="F1260" s="1518" t="s">
        <v>31</v>
      </c>
      <c r="G1260" s="1519" t="s">
        <v>122</v>
      </c>
      <c r="H1260" s="1520" t="s">
        <v>123</v>
      </c>
      <c r="I1260" s="1830"/>
      <c r="J1260" s="1795"/>
      <c r="K1260" s="1795"/>
      <c r="L1260" s="169"/>
      <c r="M1260" s="1783"/>
    </row>
    <row r="1261" spans="1:13" s="1526" customFormat="1" ht="45" x14ac:dyDescent="0.2">
      <c r="A1261" s="1700" t="str">
        <f>'Orç - Prédio'!A211</f>
        <v>04.01.802.02</v>
      </c>
      <c r="B1261" s="1700" t="str">
        <f>'Orç - Prédio'!B211</f>
        <v>Comp. Montada</v>
      </c>
      <c r="C1261" s="1700">
        <f>'Orç - Prédio'!C211</f>
        <v>8</v>
      </c>
      <c r="D1261" s="1522" t="s">
        <v>9556</v>
      </c>
      <c r="E1261" s="1700">
        <f>'Orç - Prédio'!E211</f>
        <v>655.12</v>
      </c>
      <c r="F1261" s="1700" t="s">
        <v>5286</v>
      </c>
      <c r="G1261" s="1524">
        <v>104.67</v>
      </c>
      <c r="H1261" s="1525">
        <f>H1269</f>
        <v>68571.41</v>
      </c>
      <c r="I1261" s="1910" t="s">
        <v>14965</v>
      </c>
      <c r="J1261" s="1793"/>
      <c r="K1261" s="1793"/>
      <c r="L1261" s="141"/>
      <c r="M1261" s="1515"/>
    </row>
    <row r="1262" spans="1:13" s="156" customFormat="1" ht="30" x14ac:dyDescent="0.2">
      <c r="A1262" s="2144">
        <v>13123</v>
      </c>
      <c r="B1262" s="2144"/>
      <c r="C1262" s="1516" t="s">
        <v>5281</v>
      </c>
      <c r="D1262" s="182" t="s">
        <v>9554</v>
      </c>
      <c r="E1262" s="1527">
        <f>3.67*2.82</f>
        <v>10.349399999999999</v>
      </c>
      <c r="F1262" s="1699" t="s">
        <v>305</v>
      </c>
      <c r="G1262" s="367">
        <v>6.25</v>
      </c>
      <c r="H1262" s="1530">
        <f t="shared" ref="H1262:H1264" si="115">ROUNDDOWN(G1262*E1262,2)</f>
        <v>64.680000000000007</v>
      </c>
      <c r="I1262" s="1642"/>
      <c r="J1262" s="1797"/>
      <c r="K1262" s="1797"/>
      <c r="L1262" s="1784"/>
      <c r="M1262" s="1785"/>
    </row>
    <row r="1263" spans="1:13" s="156" customFormat="1" ht="30" x14ac:dyDescent="0.2">
      <c r="A1263" s="2144">
        <v>88315</v>
      </c>
      <c r="B1263" s="2144"/>
      <c r="C1263" s="1516" t="s">
        <v>4448</v>
      </c>
      <c r="D1263" s="182" t="s">
        <v>109</v>
      </c>
      <c r="E1263" s="1527">
        <f>0.11*E1262</f>
        <v>1.1384339999999999</v>
      </c>
      <c r="F1263" s="1699" t="s">
        <v>65</v>
      </c>
      <c r="G1263" s="1529">
        <v>20.059999999999999</v>
      </c>
      <c r="H1263" s="1530">
        <f t="shared" si="115"/>
        <v>22.83</v>
      </c>
      <c r="I1263" s="1642"/>
      <c r="J1263" s="1797"/>
      <c r="K1263" s="1797"/>
      <c r="L1263" s="1784"/>
      <c r="M1263" s="1785"/>
    </row>
    <row r="1264" spans="1:13" s="156" customFormat="1" ht="30" x14ac:dyDescent="0.2">
      <c r="A1264" s="2144">
        <v>88316</v>
      </c>
      <c r="B1264" s="2144"/>
      <c r="C1264" s="1516" t="s">
        <v>4448</v>
      </c>
      <c r="D1264" s="182" t="s">
        <v>64</v>
      </c>
      <c r="E1264" s="1527">
        <f>0.11*E1262</f>
        <v>1.1384339999999999</v>
      </c>
      <c r="F1264" s="1699" t="s">
        <v>65</v>
      </c>
      <c r="G1264" s="1529">
        <v>15.08</v>
      </c>
      <c r="H1264" s="1530">
        <f t="shared" si="115"/>
        <v>17.16</v>
      </c>
      <c r="I1264" s="1642"/>
      <c r="J1264" s="1797"/>
      <c r="K1264" s="1797"/>
      <c r="L1264" s="1784"/>
      <c r="M1264" s="1785"/>
    </row>
    <row r="1265" spans="1:13" s="1517" customFormat="1" x14ac:dyDescent="0.25">
      <c r="A1265" s="179"/>
      <c r="B1265" s="179"/>
      <c r="C1265" s="1531"/>
      <c r="D1265" s="2141" t="s">
        <v>124</v>
      </c>
      <c r="E1265" s="2141"/>
      <c r="F1265" s="2141"/>
      <c r="G1265" s="2141"/>
      <c r="H1265" s="267">
        <f>SUMIF(F1262:F1264,("h"),H1262:H1264)</f>
        <v>39.989999999999995</v>
      </c>
      <c r="I1265" s="1830"/>
      <c r="J1265" s="1795"/>
      <c r="K1265" s="1795"/>
      <c r="L1265" s="169"/>
      <c r="M1265" s="1783"/>
    </row>
    <row r="1266" spans="1:13" s="1517" customFormat="1" x14ac:dyDescent="0.25">
      <c r="A1266" s="179"/>
      <c r="B1266" s="179"/>
      <c r="C1266" s="1531"/>
      <c r="D1266" s="2141" t="s">
        <v>125</v>
      </c>
      <c r="E1266" s="2141"/>
      <c r="F1266" s="2141"/>
      <c r="G1266" s="2141"/>
      <c r="H1266" s="267">
        <f>SUMIF(F1262:F1264,"&lt;&gt;h",H1262:H1264)</f>
        <v>64.680000000000007</v>
      </c>
      <c r="I1266" s="1830"/>
      <c r="J1266" s="1795"/>
      <c r="K1266" s="1795"/>
      <c r="L1266" s="169"/>
      <c r="M1266" s="1783"/>
    </row>
    <row r="1267" spans="1:13" s="1517" customFormat="1" x14ac:dyDescent="0.25">
      <c r="A1267" s="179"/>
      <c r="B1267" s="179"/>
      <c r="C1267" s="1531"/>
      <c r="D1267" s="2142" t="s">
        <v>126</v>
      </c>
      <c r="E1267" s="2142"/>
      <c r="F1267" s="2142"/>
      <c r="G1267" s="2142"/>
      <c r="H1267" s="1532">
        <f>SUM(H1265:H1266)</f>
        <v>104.67</v>
      </c>
      <c r="I1267" s="1830"/>
      <c r="J1267" s="1795"/>
      <c r="K1267" s="1795"/>
      <c r="L1267" s="169"/>
      <c r="M1267" s="1783"/>
    </row>
    <row r="1268" spans="1:13" s="1517" customFormat="1" x14ac:dyDescent="0.25">
      <c r="A1268" s="179"/>
      <c r="B1268" s="179"/>
      <c r="C1268" s="1531"/>
      <c r="D1268" s="2141" t="s">
        <v>28</v>
      </c>
      <c r="E1268" s="2141"/>
      <c r="F1268" s="2141"/>
      <c r="G1268" s="2141"/>
      <c r="H1268" s="269">
        <f>E1261</f>
        <v>655.12</v>
      </c>
      <c r="I1268" s="1830"/>
      <c r="J1268" s="1795"/>
      <c r="K1268" s="1795"/>
      <c r="L1268" s="169"/>
      <c r="M1268" s="1783"/>
    </row>
    <row r="1269" spans="1:13" s="1517" customFormat="1" x14ac:dyDescent="0.25">
      <c r="A1269" s="179"/>
      <c r="B1269" s="179"/>
      <c r="C1269" s="1531"/>
      <c r="D1269" s="2142" t="s">
        <v>127</v>
      </c>
      <c r="E1269" s="2142"/>
      <c r="F1269" s="2142"/>
      <c r="G1269" s="2142"/>
      <c r="H1269" s="1532">
        <f>ROUND(H1267*H1268,2)</f>
        <v>68571.41</v>
      </c>
      <c r="I1269" s="1830"/>
      <c r="J1269" s="1795"/>
      <c r="K1269" s="1795"/>
      <c r="L1269" s="169"/>
      <c r="M1269" s="1783"/>
    </row>
    <row r="1270" spans="1:13" s="1517" customFormat="1" x14ac:dyDescent="0.25">
      <c r="A1270" s="179"/>
      <c r="B1270" s="179"/>
      <c r="C1270" s="1531"/>
      <c r="D1270" s="2141" t="s">
        <v>15335</v>
      </c>
      <c r="E1270" s="2141"/>
      <c r="F1270" s="2141"/>
      <c r="G1270" s="2141"/>
      <c r="H1270" s="267">
        <f>ROUND(H1267*$B$13,2)</f>
        <v>28.19</v>
      </c>
      <c r="I1270" s="1830"/>
      <c r="J1270" s="1795"/>
      <c r="K1270" s="1795"/>
      <c r="L1270" s="169"/>
      <c r="M1270" s="1783"/>
    </row>
    <row r="1271" spans="1:13" x14ac:dyDescent="0.25">
      <c r="A1271" s="179"/>
      <c r="B1271" s="179"/>
      <c r="C1271" s="1531"/>
      <c r="D1271" s="2142" t="s">
        <v>7898</v>
      </c>
      <c r="E1271" s="2142"/>
      <c r="F1271" s="2142"/>
      <c r="G1271" s="2142"/>
      <c r="H1271" s="1532">
        <f>H1270+H1267</f>
        <v>132.86000000000001</v>
      </c>
    </row>
    <row r="1272" spans="1:13" x14ac:dyDescent="0.25">
      <c r="A1272" s="2153" t="s">
        <v>9555</v>
      </c>
      <c r="B1272" s="2153"/>
      <c r="C1272" s="2153"/>
      <c r="D1272" s="2153"/>
      <c r="E1272" s="2153"/>
      <c r="F1272" s="2153"/>
      <c r="G1272" s="2153"/>
      <c r="H1272" s="2153"/>
    </row>
    <row r="1273" spans="1:13" x14ac:dyDescent="0.25">
      <c r="A1273" s="1514"/>
      <c r="B1273" s="1514"/>
      <c r="C1273" s="1514"/>
      <c r="F1273" s="1533"/>
      <c r="G1273" s="1534"/>
      <c r="H1273" s="1514"/>
    </row>
    <row r="1274" spans="1:13" s="1517" customFormat="1" x14ac:dyDescent="0.25">
      <c r="A1274" s="146" t="s">
        <v>6</v>
      </c>
      <c r="B1274" s="2143" t="s">
        <v>7</v>
      </c>
      <c r="C1274" s="2143"/>
      <c r="D1274" s="1518" t="s">
        <v>121</v>
      </c>
      <c r="E1274" s="278" t="s">
        <v>5282</v>
      </c>
      <c r="F1274" s="1518" t="s">
        <v>31</v>
      </c>
      <c r="G1274" s="1519" t="s">
        <v>122</v>
      </c>
      <c r="H1274" s="1520" t="s">
        <v>123</v>
      </c>
      <c r="I1274" s="1830"/>
      <c r="J1274" s="1795"/>
      <c r="K1274" s="1795"/>
      <c r="L1274" s="169"/>
      <c r="M1274" s="1783"/>
    </row>
    <row r="1275" spans="1:13" s="1526" customFormat="1" ht="30" x14ac:dyDescent="0.2">
      <c r="A1275" s="1535" t="str">
        <f>'Orç - Prédio'!A212</f>
        <v>04.01.804.01</v>
      </c>
      <c r="B1275" s="1535" t="str">
        <f>'Orç - Prédio'!B212</f>
        <v>ORSE</v>
      </c>
      <c r="C1275" s="1535" t="str">
        <f>'Orç - Prédio'!C212</f>
        <v>1845 MOD 1</v>
      </c>
      <c r="D1275" s="1536" t="s">
        <v>5899</v>
      </c>
      <c r="E1275" s="1866">
        <f>'Orç - Prédio'!E212</f>
        <v>1</v>
      </c>
      <c r="F1275" s="1535" t="s">
        <v>5284</v>
      </c>
      <c r="G1275" s="1524">
        <v>58.66</v>
      </c>
      <c r="H1275" s="1525">
        <f>H1285</f>
        <v>58.66</v>
      </c>
      <c r="I1275" s="1910" t="s">
        <v>9544</v>
      </c>
      <c r="J1275" s="1793"/>
      <c r="K1275" s="1793"/>
      <c r="L1275" s="141"/>
      <c r="M1275" s="1515"/>
    </row>
    <row r="1276" spans="1:13" s="1859" customFormat="1" ht="30" x14ac:dyDescent="0.2">
      <c r="A1276" s="2144">
        <v>11046</v>
      </c>
      <c r="B1276" s="2144"/>
      <c r="C1276" s="1863" t="s">
        <v>4448</v>
      </c>
      <c r="D1276" s="1862" t="s">
        <v>10808</v>
      </c>
      <c r="E1276" s="1864">
        <f>10*0.7*0.85</f>
        <v>5.95</v>
      </c>
      <c r="F1276" s="1901" t="s">
        <v>48</v>
      </c>
      <c r="G1276" s="1860">
        <v>6.81</v>
      </c>
      <c r="H1276" s="1857">
        <f>ROUNDDOWN(G1276*E1276,2)</f>
        <v>40.51</v>
      </c>
      <c r="I1276" s="1856"/>
      <c r="J1276" s="1797"/>
      <c r="K1276" s="1797"/>
      <c r="L1276" s="1784"/>
      <c r="M1276" s="1785"/>
    </row>
    <row r="1277" spans="1:13" s="1859" customFormat="1" ht="30" x14ac:dyDescent="0.2">
      <c r="A1277" s="2144">
        <v>370</v>
      </c>
      <c r="B1277" s="2144"/>
      <c r="C1277" s="1863" t="s">
        <v>4448</v>
      </c>
      <c r="D1277" s="1862" t="s">
        <v>9988</v>
      </c>
      <c r="E1277" s="1864">
        <f>0.003*0.7*0.85</f>
        <v>1.7849999999999999E-3</v>
      </c>
      <c r="F1277" s="1901" t="s">
        <v>44</v>
      </c>
      <c r="G1277" s="1860">
        <v>95</v>
      </c>
      <c r="H1277" s="1857">
        <f>ROUNDDOWN(G1277*E1277,2)</f>
        <v>0.16</v>
      </c>
      <c r="I1277" s="1856"/>
      <c r="J1277" s="1797"/>
      <c r="K1277" s="1797"/>
      <c r="L1277" s="1784"/>
      <c r="M1277" s="1785"/>
    </row>
    <row r="1278" spans="1:13" s="1859" customFormat="1" x14ac:dyDescent="0.2">
      <c r="A1278" s="2144">
        <v>1379</v>
      </c>
      <c r="B1278" s="2144"/>
      <c r="C1278" s="1863" t="s">
        <v>4448</v>
      </c>
      <c r="D1278" s="1862" t="s">
        <v>10898</v>
      </c>
      <c r="E1278" s="1864">
        <f>1.17*0.7*0.85</f>
        <v>0.69614999999999994</v>
      </c>
      <c r="F1278" s="1901" t="s">
        <v>48</v>
      </c>
      <c r="G1278" s="1860">
        <v>0.4</v>
      </c>
      <c r="H1278" s="1857">
        <f>ROUNDDOWN(G1278*E1278,2)</f>
        <v>0.27</v>
      </c>
      <c r="I1278" s="1856"/>
      <c r="J1278" s="1797"/>
      <c r="K1278" s="1797"/>
      <c r="L1278" s="1784"/>
      <c r="M1278" s="1785"/>
    </row>
    <row r="1279" spans="1:13" s="1859" customFormat="1" ht="30" x14ac:dyDescent="0.2">
      <c r="A1279" s="2144">
        <v>88309</v>
      </c>
      <c r="B1279" s="2144"/>
      <c r="C1279" s="1863" t="s">
        <v>4448</v>
      </c>
      <c r="D1279" s="1862" t="s">
        <v>87</v>
      </c>
      <c r="E1279" s="1864">
        <f>1*0.7*0.85</f>
        <v>0.59499999999999997</v>
      </c>
      <c r="F1279" s="1901" t="s">
        <v>65</v>
      </c>
      <c r="G1279" s="1860">
        <v>20.149999999999999</v>
      </c>
      <c r="H1279" s="1857">
        <f>ROUNDDOWN(G1279*E1279,2)</f>
        <v>11.98</v>
      </c>
      <c r="I1279" s="1856"/>
      <c r="J1279" s="1797"/>
      <c r="K1279" s="1797"/>
      <c r="L1279" s="1784"/>
      <c r="M1279" s="1785"/>
    </row>
    <row r="1280" spans="1:13" s="1859" customFormat="1" ht="30" x14ac:dyDescent="0.2">
      <c r="A1280" s="2144">
        <v>88316</v>
      </c>
      <c r="B1280" s="2144"/>
      <c r="C1280" s="1863" t="s">
        <v>4448</v>
      </c>
      <c r="D1280" s="1862" t="s">
        <v>64</v>
      </c>
      <c r="E1280" s="1864">
        <f>0.64*0.7*0.85</f>
        <v>0.38079999999999997</v>
      </c>
      <c r="F1280" s="1901" t="s">
        <v>65</v>
      </c>
      <c r="G1280" s="1860">
        <v>15.08</v>
      </c>
      <c r="H1280" s="1857">
        <f>ROUNDDOWN(G1280*E1280,2)</f>
        <v>5.74</v>
      </c>
      <c r="I1280" s="1856"/>
      <c r="J1280" s="1797"/>
      <c r="K1280" s="1797"/>
      <c r="L1280" s="1784"/>
      <c r="M1280" s="1785"/>
    </row>
    <row r="1281" spans="1:13" s="1517" customFormat="1" x14ac:dyDescent="0.25">
      <c r="A1281" s="1847"/>
      <c r="B1281" s="1847"/>
      <c r="C1281" s="1531"/>
      <c r="D1281" s="2141" t="s">
        <v>124</v>
      </c>
      <c r="E1281" s="2141"/>
      <c r="F1281" s="2141"/>
      <c r="G1281" s="2141"/>
      <c r="H1281" s="267">
        <f>SUMIF(F1276:F1280,("h"),H1276:H1280)</f>
        <v>17.72</v>
      </c>
      <c r="I1281" s="1830"/>
      <c r="J1281" s="1795"/>
      <c r="K1281" s="1795"/>
      <c r="L1281" s="169"/>
      <c r="M1281" s="1783"/>
    </row>
    <row r="1282" spans="1:13" s="1517" customFormat="1" x14ac:dyDescent="0.25">
      <c r="A1282" s="1847"/>
      <c r="B1282" s="1847"/>
      <c r="C1282" s="1531"/>
      <c r="D1282" s="2141" t="s">
        <v>125</v>
      </c>
      <c r="E1282" s="2141"/>
      <c r="F1282" s="2141"/>
      <c r="G1282" s="2141"/>
      <c r="H1282" s="267">
        <f>SUMIF(F1276:F1280,"&lt;&gt;h",H1276:H1280)</f>
        <v>40.94</v>
      </c>
      <c r="I1282" s="1830"/>
      <c r="J1282" s="1795"/>
      <c r="K1282" s="1795"/>
      <c r="L1282" s="169"/>
      <c r="M1282" s="1783"/>
    </row>
    <row r="1283" spans="1:13" s="1517" customFormat="1" x14ac:dyDescent="0.25">
      <c r="A1283" s="1847"/>
      <c r="B1283" s="1847"/>
      <c r="C1283" s="1531"/>
      <c r="D1283" s="2142" t="s">
        <v>126</v>
      </c>
      <c r="E1283" s="2142"/>
      <c r="F1283" s="2142"/>
      <c r="G1283" s="2142"/>
      <c r="H1283" s="1532">
        <f>SUM(H1281:H1282)</f>
        <v>58.66</v>
      </c>
      <c r="I1283" s="1830"/>
      <c r="J1283" s="1795"/>
      <c r="K1283" s="1795"/>
      <c r="L1283" s="169"/>
      <c r="M1283" s="1783"/>
    </row>
    <row r="1284" spans="1:13" s="1517" customFormat="1" x14ac:dyDescent="0.25">
      <c r="A1284" s="1847"/>
      <c r="B1284" s="1847"/>
      <c r="C1284" s="1531"/>
      <c r="D1284" s="2141" t="s">
        <v>28</v>
      </c>
      <c r="E1284" s="2141"/>
      <c r="F1284" s="2141"/>
      <c r="G1284" s="2141"/>
      <c r="H1284" s="269">
        <f>E1275</f>
        <v>1</v>
      </c>
      <c r="I1284" s="1830"/>
      <c r="J1284" s="1795"/>
      <c r="K1284" s="1795"/>
      <c r="L1284" s="169"/>
      <c r="M1284" s="1783"/>
    </row>
    <row r="1285" spans="1:13" s="1517" customFormat="1" x14ac:dyDescent="0.25">
      <c r="A1285" s="1847"/>
      <c r="B1285" s="1847"/>
      <c r="C1285" s="1531"/>
      <c r="D1285" s="2142" t="s">
        <v>127</v>
      </c>
      <c r="E1285" s="2142"/>
      <c r="F1285" s="2142"/>
      <c r="G1285" s="2142"/>
      <c r="H1285" s="1532">
        <f>ROUND(H1283*H1284,2)</f>
        <v>58.66</v>
      </c>
      <c r="I1285" s="1830"/>
      <c r="J1285" s="1795"/>
      <c r="K1285" s="1795"/>
      <c r="L1285" s="169"/>
      <c r="M1285" s="1783"/>
    </row>
    <row r="1286" spans="1:13" s="1517" customFormat="1" x14ac:dyDescent="0.25">
      <c r="A1286" s="1847"/>
      <c r="B1286" s="1847"/>
      <c r="C1286" s="1531"/>
      <c r="D1286" s="2141" t="s">
        <v>15335</v>
      </c>
      <c r="E1286" s="2141"/>
      <c r="F1286" s="2141"/>
      <c r="G1286" s="2141"/>
      <c r="H1286" s="267">
        <f>ROUND(H1283*$B$13,2)</f>
        <v>15.8</v>
      </c>
      <c r="I1286" s="1830"/>
      <c r="J1286" s="1795"/>
      <c r="K1286" s="1795"/>
      <c r="L1286" s="169"/>
      <c r="M1286" s="1783"/>
    </row>
    <row r="1287" spans="1:13" x14ac:dyDescent="0.25">
      <c r="A1287" s="1847"/>
      <c r="B1287" s="1847"/>
      <c r="C1287" s="1531"/>
      <c r="D1287" s="2142" t="s">
        <v>7898</v>
      </c>
      <c r="E1287" s="2142"/>
      <c r="F1287" s="2142"/>
      <c r="G1287" s="2142"/>
      <c r="H1287" s="1532">
        <f>H1286+H1283</f>
        <v>74.459999999999994</v>
      </c>
    </row>
    <row r="1288" spans="1:13" x14ac:dyDescent="0.25">
      <c r="A1288" s="1514"/>
      <c r="B1288" s="1514"/>
      <c r="C1288" s="1514"/>
      <c r="F1288" s="1533"/>
      <c r="G1288" s="1534"/>
      <c r="H1288" s="1514"/>
    </row>
    <row r="1289" spans="1:13" s="1517" customFormat="1" x14ac:dyDescent="0.25">
      <c r="A1289" s="146" t="s">
        <v>6</v>
      </c>
      <c r="B1289" s="2143" t="s">
        <v>7</v>
      </c>
      <c r="C1289" s="2143"/>
      <c r="D1289" s="1518" t="s">
        <v>121</v>
      </c>
      <c r="E1289" s="278" t="s">
        <v>5282</v>
      </c>
      <c r="F1289" s="1518" t="s">
        <v>31</v>
      </c>
      <c r="G1289" s="1519" t="s">
        <v>122</v>
      </c>
      <c r="H1289" s="1520" t="s">
        <v>123</v>
      </c>
      <c r="I1289" s="1830"/>
      <c r="J1289" s="1795"/>
      <c r="K1289" s="1795"/>
      <c r="L1289" s="169"/>
      <c r="M1289" s="1783"/>
    </row>
    <row r="1290" spans="1:13" s="1526" customFormat="1" ht="30" x14ac:dyDescent="0.2">
      <c r="A1290" s="1535" t="str">
        <f>'Orç - Reservatório'!A103</f>
        <v>04.01.804.01</v>
      </c>
      <c r="B1290" s="1535" t="str">
        <f>'Orç - Reservatório'!B103</f>
        <v>ORSE</v>
      </c>
      <c r="C1290" s="1535" t="str">
        <f>'Orç - Reservatório'!C103</f>
        <v>1845 MOD 2</v>
      </c>
      <c r="D1290" s="1536" t="s">
        <v>9463</v>
      </c>
      <c r="E1290" s="1866">
        <f>'Orç - Reservatório'!E103</f>
        <v>3</v>
      </c>
      <c r="F1290" s="1535" t="s">
        <v>5284</v>
      </c>
      <c r="G1290" s="1524">
        <v>108.75</v>
      </c>
      <c r="H1290" s="1525">
        <f>H1300</f>
        <v>326.25</v>
      </c>
      <c r="I1290" s="1910" t="s">
        <v>9544</v>
      </c>
      <c r="J1290" s="1793"/>
      <c r="K1290" s="1793"/>
      <c r="L1290" s="141"/>
      <c r="M1290" s="1515"/>
    </row>
    <row r="1291" spans="1:13" s="1859" customFormat="1" ht="30" x14ac:dyDescent="0.2">
      <c r="A1291" s="2144">
        <v>11046</v>
      </c>
      <c r="B1291" s="2144"/>
      <c r="C1291" s="1863" t="s">
        <v>4448</v>
      </c>
      <c r="D1291" s="1862" t="s">
        <v>10808</v>
      </c>
      <c r="E1291" s="1864">
        <f>10*1.05*1.05</f>
        <v>11.025</v>
      </c>
      <c r="F1291" s="1901" t="s">
        <v>48</v>
      </c>
      <c r="G1291" s="1860">
        <v>6.81</v>
      </c>
      <c r="H1291" s="1857">
        <f>ROUNDDOWN(G1291*E1291,2)</f>
        <v>75.08</v>
      </c>
      <c r="I1291" s="1856"/>
      <c r="J1291" s="1797"/>
      <c r="K1291" s="1797"/>
      <c r="L1291" s="1784"/>
      <c r="M1291" s="1785"/>
    </row>
    <row r="1292" spans="1:13" s="1859" customFormat="1" ht="30" x14ac:dyDescent="0.2">
      <c r="A1292" s="2144">
        <v>370</v>
      </c>
      <c r="B1292" s="2144"/>
      <c r="C1292" s="1863" t="s">
        <v>4448</v>
      </c>
      <c r="D1292" s="1862" t="s">
        <v>9988</v>
      </c>
      <c r="E1292" s="1864">
        <f>0.003*1.05*1.05</f>
        <v>3.3075000000000001E-3</v>
      </c>
      <c r="F1292" s="1901" t="s">
        <v>44</v>
      </c>
      <c r="G1292" s="1860">
        <v>95</v>
      </c>
      <c r="H1292" s="1857">
        <f>ROUNDDOWN(G1292*E1292,2)</f>
        <v>0.31</v>
      </c>
      <c r="I1292" s="1856"/>
      <c r="J1292" s="1797"/>
      <c r="K1292" s="1797"/>
      <c r="L1292" s="1784"/>
      <c r="M1292" s="1785"/>
    </row>
    <row r="1293" spans="1:13" s="1859" customFormat="1" x14ac:dyDescent="0.2">
      <c r="A1293" s="2144">
        <v>1379</v>
      </c>
      <c r="B1293" s="2144"/>
      <c r="C1293" s="1863" t="s">
        <v>4448</v>
      </c>
      <c r="D1293" s="1862" t="s">
        <v>10898</v>
      </c>
      <c r="E1293" s="1864">
        <f>1.17*1.05*1.05</f>
        <v>1.289925</v>
      </c>
      <c r="F1293" s="1901" t="s">
        <v>48</v>
      </c>
      <c r="G1293" s="1860">
        <v>0.4</v>
      </c>
      <c r="H1293" s="1857">
        <f>ROUNDDOWN(G1293*E1293,2)</f>
        <v>0.51</v>
      </c>
      <c r="I1293" s="1856"/>
      <c r="J1293" s="1797"/>
      <c r="K1293" s="1797"/>
      <c r="L1293" s="1784"/>
      <c r="M1293" s="1785"/>
    </row>
    <row r="1294" spans="1:13" s="1859" customFormat="1" ht="30" x14ac:dyDescent="0.2">
      <c r="A1294" s="2144">
        <v>88309</v>
      </c>
      <c r="B1294" s="2144"/>
      <c r="C1294" s="1863" t="s">
        <v>4448</v>
      </c>
      <c r="D1294" s="1862" t="s">
        <v>87</v>
      </c>
      <c r="E1294" s="1864">
        <f>1*1.05*1.05</f>
        <v>1.1025</v>
      </c>
      <c r="F1294" s="1901" t="s">
        <v>65</v>
      </c>
      <c r="G1294" s="1860">
        <v>20.149999999999999</v>
      </c>
      <c r="H1294" s="1857">
        <f>ROUNDDOWN(G1294*E1294,2)</f>
        <v>22.21</v>
      </c>
      <c r="I1294" s="1856"/>
      <c r="J1294" s="1797"/>
      <c r="K1294" s="1797"/>
      <c r="L1294" s="1784"/>
      <c r="M1294" s="1785"/>
    </row>
    <row r="1295" spans="1:13" s="1859" customFormat="1" ht="30" x14ac:dyDescent="0.2">
      <c r="A1295" s="2144">
        <v>88316</v>
      </c>
      <c r="B1295" s="2144"/>
      <c r="C1295" s="1863" t="s">
        <v>4448</v>
      </c>
      <c r="D1295" s="1862" t="s">
        <v>64</v>
      </c>
      <c r="E1295" s="1864">
        <f>0.64*1.05*1.05</f>
        <v>0.70560000000000012</v>
      </c>
      <c r="F1295" s="1901" t="s">
        <v>65</v>
      </c>
      <c r="G1295" s="1860">
        <v>15.08</v>
      </c>
      <c r="H1295" s="1857">
        <f>ROUNDDOWN(G1295*E1295,2)</f>
        <v>10.64</v>
      </c>
      <c r="I1295" s="1856"/>
      <c r="J1295" s="1797"/>
      <c r="K1295" s="1797"/>
      <c r="L1295" s="1784"/>
      <c r="M1295" s="1785"/>
    </row>
    <row r="1296" spans="1:13" s="1517" customFormat="1" x14ac:dyDescent="0.25">
      <c r="A1296" s="1847"/>
      <c r="B1296" s="1847"/>
      <c r="C1296" s="1531"/>
      <c r="D1296" s="2141" t="s">
        <v>124</v>
      </c>
      <c r="E1296" s="2141"/>
      <c r="F1296" s="2141"/>
      <c r="G1296" s="2141"/>
      <c r="H1296" s="267">
        <f>SUMIF(F1291:F1295,("h"),H1291:H1295)</f>
        <v>32.85</v>
      </c>
      <c r="I1296" s="1830"/>
      <c r="J1296" s="1795"/>
      <c r="K1296" s="1795"/>
      <c r="L1296" s="169"/>
      <c r="M1296" s="1783"/>
    </row>
    <row r="1297" spans="1:13" s="1517" customFormat="1" x14ac:dyDescent="0.25">
      <c r="A1297" s="1847"/>
      <c r="B1297" s="1847"/>
      <c r="C1297" s="1531"/>
      <c r="D1297" s="2141" t="s">
        <v>125</v>
      </c>
      <c r="E1297" s="2141"/>
      <c r="F1297" s="2141"/>
      <c r="G1297" s="2141"/>
      <c r="H1297" s="267">
        <f>SUMIF(F1291:F1295,"&lt;&gt;h",H1291:H1295)</f>
        <v>75.900000000000006</v>
      </c>
      <c r="I1297" s="1830"/>
      <c r="J1297" s="1795"/>
      <c r="K1297" s="1795"/>
      <c r="L1297" s="169"/>
      <c r="M1297" s="1783"/>
    </row>
    <row r="1298" spans="1:13" s="1517" customFormat="1" x14ac:dyDescent="0.25">
      <c r="A1298" s="1847"/>
      <c r="B1298" s="1847"/>
      <c r="C1298" s="1531"/>
      <c r="D1298" s="2142" t="s">
        <v>126</v>
      </c>
      <c r="E1298" s="2142"/>
      <c r="F1298" s="2142"/>
      <c r="G1298" s="2142"/>
      <c r="H1298" s="1532">
        <f>SUM(H1296:H1297)</f>
        <v>108.75</v>
      </c>
      <c r="I1298" s="1830"/>
      <c r="J1298" s="1795"/>
      <c r="K1298" s="1795"/>
      <c r="L1298" s="169"/>
      <c r="M1298" s="1783"/>
    </row>
    <row r="1299" spans="1:13" s="1517" customFormat="1" x14ac:dyDescent="0.25">
      <c r="A1299" s="1847"/>
      <c r="B1299" s="1847"/>
      <c r="C1299" s="1531"/>
      <c r="D1299" s="2141" t="s">
        <v>28</v>
      </c>
      <c r="E1299" s="2141"/>
      <c r="F1299" s="2141"/>
      <c r="G1299" s="2141"/>
      <c r="H1299" s="269">
        <f>E1290</f>
        <v>3</v>
      </c>
      <c r="I1299" s="1830"/>
      <c r="J1299" s="1795"/>
      <c r="K1299" s="1795"/>
      <c r="L1299" s="169"/>
      <c r="M1299" s="1783"/>
    </row>
    <row r="1300" spans="1:13" s="1517" customFormat="1" x14ac:dyDescent="0.25">
      <c r="A1300" s="1847"/>
      <c r="B1300" s="1847"/>
      <c r="C1300" s="1531"/>
      <c r="D1300" s="2142" t="s">
        <v>127</v>
      </c>
      <c r="E1300" s="2142"/>
      <c r="F1300" s="2142"/>
      <c r="G1300" s="2142"/>
      <c r="H1300" s="1532">
        <f>ROUND(H1298*H1299,2)</f>
        <v>326.25</v>
      </c>
      <c r="I1300" s="1830"/>
      <c r="J1300" s="1795"/>
      <c r="K1300" s="1795"/>
      <c r="L1300" s="169"/>
      <c r="M1300" s="1783"/>
    </row>
    <row r="1301" spans="1:13" s="1517" customFormat="1" x14ac:dyDescent="0.25">
      <c r="A1301" s="1847"/>
      <c r="B1301" s="1847"/>
      <c r="C1301" s="1531"/>
      <c r="D1301" s="2141" t="s">
        <v>15335</v>
      </c>
      <c r="E1301" s="2141"/>
      <c r="F1301" s="2141"/>
      <c r="G1301" s="2141"/>
      <c r="H1301" s="267">
        <f>ROUND(H1298*$B$13,2)</f>
        <v>29.29</v>
      </c>
      <c r="I1301" s="1830"/>
      <c r="J1301" s="1795"/>
      <c r="K1301" s="1795"/>
      <c r="L1301" s="169"/>
      <c r="M1301" s="1783"/>
    </row>
    <row r="1302" spans="1:13" x14ac:dyDescent="0.25">
      <c r="A1302" s="1847"/>
      <c r="B1302" s="1847"/>
      <c r="C1302" s="1531"/>
      <c r="D1302" s="2142" t="s">
        <v>7898</v>
      </c>
      <c r="E1302" s="2142"/>
      <c r="F1302" s="2142"/>
      <c r="G1302" s="2142"/>
      <c r="H1302" s="1532">
        <f>H1301+H1298</f>
        <v>138.04</v>
      </c>
    </row>
    <row r="1303" spans="1:13" x14ac:dyDescent="0.25">
      <c r="A1303" s="1514"/>
      <c r="B1303" s="1514"/>
      <c r="C1303" s="1514"/>
      <c r="F1303" s="1533"/>
      <c r="G1303" s="1534"/>
      <c r="H1303" s="1514"/>
    </row>
    <row r="1304" spans="1:13" s="1517" customFormat="1" x14ac:dyDescent="0.25">
      <c r="A1304" s="146" t="s">
        <v>6</v>
      </c>
      <c r="B1304" s="2143" t="s">
        <v>7</v>
      </c>
      <c r="C1304" s="2143"/>
      <c r="D1304" s="1518" t="s">
        <v>121</v>
      </c>
      <c r="E1304" s="278" t="s">
        <v>5282</v>
      </c>
      <c r="F1304" s="1518" t="s">
        <v>31</v>
      </c>
      <c r="G1304" s="1519" t="s">
        <v>122</v>
      </c>
      <c r="H1304" s="1520" t="s">
        <v>123</v>
      </c>
      <c r="I1304" s="1830"/>
      <c r="J1304" s="1795"/>
      <c r="K1304" s="1795"/>
      <c r="L1304" s="169"/>
      <c r="M1304" s="1783"/>
    </row>
    <row r="1305" spans="1:13" s="1526" customFormat="1" ht="30" x14ac:dyDescent="0.2">
      <c r="A1305" s="1535" t="str">
        <f>'Orç - Reservatório'!A104</f>
        <v>04.01.804.02</v>
      </c>
      <c r="B1305" s="1535" t="str">
        <f>'Orç - Reservatório'!B104</f>
        <v>ORSE</v>
      </c>
      <c r="C1305" s="1535" t="str">
        <f>'Orç - Reservatório'!C104</f>
        <v>1845 MOD 3</v>
      </c>
      <c r="D1305" s="1536" t="s">
        <v>9464</v>
      </c>
      <c r="E1305" s="1866">
        <f>'Orç - Reservatório'!E104</f>
        <v>1</v>
      </c>
      <c r="F1305" s="1535" t="s">
        <v>5284</v>
      </c>
      <c r="G1305" s="1524">
        <v>145.47</v>
      </c>
      <c r="H1305" s="1525">
        <f>H1315</f>
        <v>145.47</v>
      </c>
      <c r="I1305" s="1910" t="s">
        <v>9544</v>
      </c>
      <c r="J1305" s="1793"/>
      <c r="K1305" s="1793"/>
      <c r="L1305" s="141"/>
      <c r="M1305" s="1515"/>
    </row>
    <row r="1306" spans="1:13" s="1859" customFormat="1" ht="30" x14ac:dyDescent="0.2">
      <c r="A1306" s="2144">
        <v>11046</v>
      </c>
      <c r="B1306" s="2144"/>
      <c r="C1306" s="1863" t="s">
        <v>4448</v>
      </c>
      <c r="D1306" s="1862" t="s">
        <v>10808</v>
      </c>
      <c r="E1306" s="1864">
        <f>10*1.46*1.01</f>
        <v>14.746</v>
      </c>
      <c r="F1306" s="1901" t="s">
        <v>48</v>
      </c>
      <c r="G1306" s="1860">
        <v>6.81</v>
      </c>
      <c r="H1306" s="1857">
        <f>ROUNDDOWN(G1306*E1306,2)</f>
        <v>100.42</v>
      </c>
      <c r="I1306" s="1856"/>
      <c r="J1306" s="1797"/>
      <c r="K1306" s="1797"/>
      <c r="L1306" s="1784"/>
      <c r="M1306" s="1785"/>
    </row>
    <row r="1307" spans="1:13" s="1859" customFormat="1" ht="30" x14ac:dyDescent="0.2">
      <c r="A1307" s="2144">
        <v>370</v>
      </c>
      <c r="B1307" s="2144"/>
      <c r="C1307" s="1863" t="s">
        <v>4448</v>
      </c>
      <c r="D1307" s="1862" t="s">
        <v>9988</v>
      </c>
      <c r="E1307" s="1864">
        <f>0.003*1.46*1.01</f>
        <v>4.4238000000000003E-3</v>
      </c>
      <c r="F1307" s="1901" t="s">
        <v>44</v>
      </c>
      <c r="G1307" s="1860">
        <v>95</v>
      </c>
      <c r="H1307" s="1857">
        <f>ROUNDDOWN(G1307*E1307,2)</f>
        <v>0.42</v>
      </c>
      <c r="I1307" s="1856"/>
      <c r="J1307" s="1797"/>
      <c r="K1307" s="1797"/>
      <c r="L1307" s="1784"/>
      <c r="M1307" s="1785"/>
    </row>
    <row r="1308" spans="1:13" s="1859" customFormat="1" x14ac:dyDescent="0.2">
      <c r="A1308" s="2144">
        <v>1379</v>
      </c>
      <c r="B1308" s="2144"/>
      <c r="C1308" s="1863" t="s">
        <v>4448</v>
      </c>
      <c r="D1308" s="1862" t="s">
        <v>10898</v>
      </c>
      <c r="E1308" s="1864">
        <f>1.17*1.46*1.01</f>
        <v>1.725282</v>
      </c>
      <c r="F1308" s="1901" t="s">
        <v>48</v>
      </c>
      <c r="G1308" s="1860">
        <v>0.4</v>
      </c>
      <c r="H1308" s="1857">
        <f>ROUNDDOWN(G1308*E1308,2)</f>
        <v>0.69</v>
      </c>
      <c r="I1308" s="1856"/>
      <c r="J1308" s="1797"/>
      <c r="K1308" s="1797"/>
      <c r="L1308" s="1784"/>
      <c r="M1308" s="1785"/>
    </row>
    <row r="1309" spans="1:13" s="1859" customFormat="1" ht="30" x14ac:dyDescent="0.2">
      <c r="A1309" s="2144">
        <v>88309</v>
      </c>
      <c r="B1309" s="2144"/>
      <c r="C1309" s="1863" t="s">
        <v>4448</v>
      </c>
      <c r="D1309" s="1862" t="s">
        <v>87</v>
      </c>
      <c r="E1309" s="1864">
        <f>1*1.46*1.01</f>
        <v>1.4745999999999999</v>
      </c>
      <c r="F1309" s="1901" t="s">
        <v>65</v>
      </c>
      <c r="G1309" s="1860">
        <v>20.149999999999999</v>
      </c>
      <c r="H1309" s="1857">
        <f>ROUNDDOWN(G1309*E1309,2)</f>
        <v>29.71</v>
      </c>
      <c r="I1309" s="1856"/>
      <c r="J1309" s="1797"/>
      <c r="K1309" s="1797"/>
      <c r="L1309" s="1784"/>
      <c r="M1309" s="1785"/>
    </row>
    <row r="1310" spans="1:13" s="1859" customFormat="1" ht="30" x14ac:dyDescent="0.2">
      <c r="A1310" s="2144">
        <v>88316</v>
      </c>
      <c r="B1310" s="2144"/>
      <c r="C1310" s="1863" t="s">
        <v>4448</v>
      </c>
      <c r="D1310" s="1862" t="s">
        <v>64</v>
      </c>
      <c r="E1310" s="1864">
        <f>0.64*1.46*1.01</f>
        <v>0.94374400000000003</v>
      </c>
      <c r="F1310" s="1901" t="s">
        <v>65</v>
      </c>
      <c r="G1310" s="1860">
        <v>15.08</v>
      </c>
      <c r="H1310" s="1857">
        <f>ROUNDDOWN(G1310*E1310,2)</f>
        <v>14.23</v>
      </c>
      <c r="I1310" s="1856"/>
      <c r="J1310" s="1797"/>
      <c r="K1310" s="1797"/>
      <c r="L1310" s="1784"/>
      <c r="M1310" s="1785"/>
    </row>
    <row r="1311" spans="1:13" s="1517" customFormat="1" x14ac:dyDescent="0.25">
      <c r="A1311" s="1847"/>
      <c r="B1311" s="1847"/>
      <c r="C1311" s="1531"/>
      <c r="D1311" s="2141" t="s">
        <v>124</v>
      </c>
      <c r="E1311" s="2141"/>
      <c r="F1311" s="2141"/>
      <c r="G1311" s="2141"/>
      <c r="H1311" s="267">
        <f>SUMIF(F1306:F1310,("h"),H1306:H1310)</f>
        <v>43.94</v>
      </c>
      <c r="I1311" s="1830"/>
      <c r="J1311" s="1795"/>
      <c r="K1311" s="1795"/>
      <c r="L1311" s="169"/>
      <c r="M1311" s="1783"/>
    </row>
    <row r="1312" spans="1:13" s="1517" customFormat="1" x14ac:dyDescent="0.25">
      <c r="A1312" s="1847"/>
      <c r="B1312" s="1847"/>
      <c r="C1312" s="1531"/>
      <c r="D1312" s="2141" t="s">
        <v>125</v>
      </c>
      <c r="E1312" s="2141"/>
      <c r="F1312" s="2141"/>
      <c r="G1312" s="2141"/>
      <c r="H1312" s="267">
        <f>SUMIF(F1306:F1310,"&lt;&gt;h",H1306:H1310)</f>
        <v>101.53</v>
      </c>
      <c r="I1312" s="1830"/>
      <c r="J1312" s="1795"/>
      <c r="K1312" s="1795"/>
      <c r="L1312" s="169"/>
      <c r="M1312" s="1783"/>
    </row>
    <row r="1313" spans="1:13" s="1517" customFormat="1" x14ac:dyDescent="0.25">
      <c r="A1313" s="1847"/>
      <c r="B1313" s="1847"/>
      <c r="C1313" s="1531"/>
      <c r="D1313" s="2142" t="s">
        <v>126</v>
      </c>
      <c r="E1313" s="2142"/>
      <c r="F1313" s="2142"/>
      <c r="G1313" s="2142"/>
      <c r="H1313" s="1532">
        <f>SUM(H1311:H1312)</f>
        <v>145.47</v>
      </c>
      <c r="I1313" s="1830"/>
      <c r="J1313" s="1795"/>
      <c r="K1313" s="1795"/>
      <c r="L1313" s="169"/>
      <c r="M1313" s="1783"/>
    </row>
    <row r="1314" spans="1:13" s="1517" customFormat="1" x14ac:dyDescent="0.25">
      <c r="A1314" s="1847"/>
      <c r="B1314" s="1847"/>
      <c r="C1314" s="1531"/>
      <c r="D1314" s="2141" t="s">
        <v>28</v>
      </c>
      <c r="E1314" s="2141"/>
      <c r="F1314" s="2141"/>
      <c r="G1314" s="2141"/>
      <c r="H1314" s="269">
        <f>E1305</f>
        <v>1</v>
      </c>
      <c r="I1314" s="1830"/>
      <c r="J1314" s="1795"/>
      <c r="K1314" s="1795"/>
      <c r="L1314" s="169"/>
      <c r="M1314" s="1783"/>
    </row>
    <row r="1315" spans="1:13" s="1517" customFormat="1" x14ac:dyDescent="0.25">
      <c r="A1315" s="1847"/>
      <c r="B1315" s="1847"/>
      <c r="C1315" s="1531"/>
      <c r="D1315" s="2142" t="s">
        <v>127</v>
      </c>
      <c r="E1315" s="2142"/>
      <c r="F1315" s="2142"/>
      <c r="G1315" s="2142"/>
      <c r="H1315" s="1532">
        <f>ROUND(H1313*H1314,2)</f>
        <v>145.47</v>
      </c>
      <c r="I1315" s="1830"/>
      <c r="J1315" s="1795"/>
      <c r="K1315" s="1795"/>
      <c r="L1315" s="169"/>
      <c r="M1315" s="1783"/>
    </row>
    <row r="1316" spans="1:13" s="1517" customFormat="1" x14ac:dyDescent="0.25">
      <c r="A1316" s="1847"/>
      <c r="B1316" s="1847"/>
      <c r="C1316" s="1531"/>
      <c r="D1316" s="2141" t="s">
        <v>15335</v>
      </c>
      <c r="E1316" s="2141"/>
      <c r="F1316" s="2141"/>
      <c r="G1316" s="2141"/>
      <c r="H1316" s="267">
        <f>ROUND(H1313*$B$13,2)</f>
        <v>39.18</v>
      </c>
      <c r="I1316" s="1830"/>
      <c r="J1316" s="1795"/>
      <c r="K1316" s="1795"/>
      <c r="L1316" s="169"/>
      <c r="M1316" s="1783"/>
    </row>
    <row r="1317" spans="1:13" x14ac:dyDescent="0.25">
      <c r="A1317" s="1847"/>
      <c r="B1317" s="1847"/>
      <c r="C1317" s="1531"/>
      <c r="D1317" s="2142" t="s">
        <v>7898</v>
      </c>
      <c r="E1317" s="2142"/>
      <c r="F1317" s="2142"/>
      <c r="G1317" s="2142"/>
      <c r="H1317" s="1532">
        <f>H1316+H1313</f>
        <v>184.65</v>
      </c>
    </row>
    <row r="1318" spans="1:13" x14ac:dyDescent="0.25">
      <c r="A1318" s="1514"/>
      <c r="B1318" s="1514"/>
      <c r="C1318" s="1514"/>
      <c r="F1318" s="1533"/>
      <c r="G1318" s="1534"/>
      <c r="H1318" s="1514"/>
    </row>
    <row r="1319" spans="1:13" s="1517" customFormat="1" x14ac:dyDescent="0.25">
      <c r="A1319" s="146" t="s">
        <v>6</v>
      </c>
      <c r="B1319" s="2143" t="s">
        <v>7</v>
      </c>
      <c r="C1319" s="2143"/>
      <c r="D1319" s="658" t="s">
        <v>121</v>
      </c>
      <c r="E1319" s="278" t="s">
        <v>5282</v>
      </c>
      <c r="F1319" s="658" t="s">
        <v>31</v>
      </c>
      <c r="G1319" s="659" t="s">
        <v>122</v>
      </c>
      <c r="H1319" s="660" t="s">
        <v>123</v>
      </c>
      <c r="I1319" s="1830"/>
      <c r="J1319" s="1795"/>
      <c r="K1319" s="1795"/>
      <c r="L1319" s="169"/>
      <c r="M1319" s="1783"/>
    </row>
    <row r="1320" spans="1:13" s="1526" customFormat="1" ht="30" x14ac:dyDescent="0.2">
      <c r="A1320" s="661" t="str">
        <f>'Orç - Prédio'!A214</f>
        <v>04.01.808.01</v>
      </c>
      <c r="B1320" s="635" t="str">
        <f>'Orç - Prédio'!B214</f>
        <v>ORSE</v>
      </c>
      <c r="C1320" s="673">
        <f>'Orç - Prédio'!C214</f>
        <v>10759</v>
      </c>
      <c r="D1320" s="674" t="s">
        <v>5904</v>
      </c>
      <c r="E1320" s="662">
        <f>'Orç - Prédio'!E214</f>
        <v>233.88</v>
      </c>
      <c r="F1320" s="673" t="s">
        <v>5286</v>
      </c>
      <c r="G1320" s="663">
        <v>528.39</v>
      </c>
      <c r="H1320" s="664">
        <f>H1328</f>
        <v>123579.85</v>
      </c>
      <c r="I1320" s="1910" t="s">
        <v>9544</v>
      </c>
      <c r="J1320" s="1793"/>
      <c r="K1320" s="1793"/>
      <c r="L1320" s="141"/>
      <c r="M1320" s="1515"/>
    </row>
    <row r="1321" spans="1:13" s="156" customFormat="1" ht="60" x14ac:dyDescent="0.2">
      <c r="A1321" s="2144">
        <v>11795</v>
      </c>
      <c r="B1321" s="2144"/>
      <c r="C1321" s="657" t="s">
        <v>4448</v>
      </c>
      <c r="D1321" s="182" t="s">
        <v>12031</v>
      </c>
      <c r="E1321" s="665">
        <v>1</v>
      </c>
      <c r="F1321" s="666" t="s">
        <v>45</v>
      </c>
      <c r="G1321" s="667">
        <v>498.11</v>
      </c>
      <c r="H1321" s="668">
        <f>ROUNDDOWN(G1321*E1321,2)</f>
        <v>498.11</v>
      </c>
      <c r="I1321" s="1642"/>
      <c r="J1321" s="1797"/>
      <c r="K1321" s="1797"/>
      <c r="L1321" s="1784"/>
      <c r="M1321" s="1785"/>
    </row>
    <row r="1322" spans="1:13" s="156" customFormat="1" ht="30" x14ac:dyDescent="0.2">
      <c r="A1322" s="2144">
        <v>88309</v>
      </c>
      <c r="B1322" s="2144"/>
      <c r="C1322" s="657" t="s">
        <v>4448</v>
      </c>
      <c r="D1322" s="182" t="s">
        <v>87</v>
      </c>
      <c r="E1322" s="665">
        <v>0.65</v>
      </c>
      <c r="F1322" s="666" t="s">
        <v>65</v>
      </c>
      <c r="G1322" s="667">
        <v>20.149999999999999</v>
      </c>
      <c r="H1322" s="668">
        <f>ROUNDDOWN(G1322*E1322,2)</f>
        <v>13.09</v>
      </c>
      <c r="I1322" s="1642"/>
      <c r="J1322" s="1797"/>
      <c r="K1322" s="1797"/>
      <c r="L1322" s="1784"/>
      <c r="M1322" s="1785"/>
    </row>
    <row r="1323" spans="1:13" s="156" customFormat="1" ht="30" x14ac:dyDescent="0.2">
      <c r="A1323" s="2144">
        <v>88316</v>
      </c>
      <c r="B1323" s="2144"/>
      <c r="C1323" s="657" t="s">
        <v>4448</v>
      </c>
      <c r="D1323" s="182" t="s">
        <v>64</v>
      </c>
      <c r="E1323" s="665">
        <v>1.1399999999999999</v>
      </c>
      <c r="F1323" s="666" t="s">
        <v>65</v>
      </c>
      <c r="G1323" s="667">
        <v>15.08</v>
      </c>
      <c r="H1323" s="668">
        <f>ROUNDDOWN(G1323*E1323,2)</f>
        <v>17.190000000000001</v>
      </c>
      <c r="I1323" s="1642"/>
      <c r="J1323" s="1797"/>
      <c r="K1323" s="1797"/>
      <c r="L1323" s="1784"/>
      <c r="M1323" s="1785"/>
    </row>
    <row r="1324" spans="1:13" s="1517" customFormat="1" x14ac:dyDescent="0.25">
      <c r="A1324" s="179"/>
      <c r="B1324" s="179"/>
      <c r="C1324" s="669"/>
      <c r="D1324" s="2141" t="s">
        <v>124</v>
      </c>
      <c r="E1324" s="2141"/>
      <c r="F1324" s="2141"/>
      <c r="G1324" s="2141"/>
      <c r="H1324" s="267">
        <f>SUMIF(F1321:F1323,("h"),H1321:H1323)</f>
        <v>30.28</v>
      </c>
      <c r="I1324" s="1830"/>
      <c r="J1324" s="1795"/>
      <c r="K1324" s="1795"/>
      <c r="L1324" s="169"/>
      <c r="M1324" s="1783"/>
    </row>
    <row r="1325" spans="1:13" s="1517" customFormat="1" x14ac:dyDescent="0.25">
      <c r="A1325" s="179"/>
      <c r="B1325" s="179"/>
      <c r="C1325" s="669"/>
      <c r="D1325" s="2141" t="s">
        <v>125</v>
      </c>
      <c r="E1325" s="2141"/>
      <c r="F1325" s="2141"/>
      <c r="G1325" s="2141"/>
      <c r="H1325" s="267">
        <f>SUMIF(F1321:F1323,"&lt;&gt;h",H1321:H1323)</f>
        <v>498.11</v>
      </c>
      <c r="I1325" s="1830"/>
      <c r="J1325" s="1795"/>
      <c r="K1325" s="1795"/>
      <c r="L1325" s="169"/>
      <c r="M1325" s="1783"/>
    </row>
    <row r="1326" spans="1:13" s="1517" customFormat="1" x14ac:dyDescent="0.25">
      <c r="A1326" s="179"/>
      <c r="B1326" s="179"/>
      <c r="C1326" s="669"/>
      <c r="D1326" s="2142" t="s">
        <v>126</v>
      </c>
      <c r="E1326" s="2142"/>
      <c r="F1326" s="2142"/>
      <c r="G1326" s="2142"/>
      <c r="H1326" s="670">
        <f>SUM(H1324:H1325)</f>
        <v>528.39</v>
      </c>
      <c r="I1326" s="1830"/>
      <c r="J1326" s="1795"/>
      <c r="K1326" s="1795"/>
      <c r="L1326" s="169"/>
      <c r="M1326" s="1783"/>
    </row>
    <row r="1327" spans="1:13" s="1517" customFormat="1" x14ac:dyDescent="0.25">
      <c r="A1327" s="179"/>
      <c r="B1327" s="179"/>
      <c r="C1327" s="669"/>
      <c r="D1327" s="2141" t="s">
        <v>28</v>
      </c>
      <c r="E1327" s="2141"/>
      <c r="F1327" s="2141"/>
      <c r="G1327" s="2141"/>
      <c r="H1327" s="269">
        <f>E1320</f>
        <v>233.88</v>
      </c>
      <c r="I1327" s="1830"/>
      <c r="J1327" s="1795"/>
      <c r="K1327" s="1795"/>
      <c r="L1327" s="169"/>
      <c r="M1327" s="1783"/>
    </row>
    <row r="1328" spans="1:13" s="1517" customFormat="1" x14ac:dyDescent="0.25">
      <c r="A1328" s="179"/>
      <c r="B1328" s="179"/>
      <c r="C1328" s="669"/>
      <c r="D1328" s="2142" t="s">
        <v>127</v>
      </c>
      <c r="E1328" s="2142"/>
      <c r="F1328" s="2142"/>
      <c r="G1328" s="2142"/>
      <c r="H1328" s="670">
        <f>ROUND(H1326*H1327,2)</f>
        <v>123579.85</v>
      </c>
      <c r="I1328" s="1830"/>
      <c r="J1328" s="1795"/>
      <c r="K1328" s="1795"/>
      <c r="L1328" s="169"/>
      <c r="M1328" s="1783"/>
    </row>
    <row r="1329" spans="1:13" s="1517" customFormat="1" x14ac:dyDescent="0.25">
      <c r="A1329" s="179"/>
      <c r="B1329" s="179"/>
      <c r="C1329" s="1531"/>
      <c r="D1329" s="2141" t="s">
        <v>15335</v>
      </c>
      <c r="E1329" s="2141"/>
      <c r="F1329" s="2141"/>
      <c r="G1329" s="2141"/>
      <c r="H1329" s="267">
        <f>ROUND(H1326*$B$13,2)</f>
        <v>142.30000000000001</v>
      </c>
      <c r="I1329" s="1830"/>
      <c r="J1329" s="1795"/>
      <c r="K1329" s="1795"/>
      <c r="L1329" s="169"/>
      <c r="M1329" s="1783"/>
    </row>
    <row r="1330" spans="1:13" x14ac:dyDescent="0.25">
      <c r="A1330" s="179"/>
      <c r="B1330" s="179"/>
      <c r="C1330" s="1531"/>
      <c r="D1330" s="2142" t="s">
        <v>7898</v>
      </c>
      <c r="E1330" s="2142"/>
      <c r="F1330" s="2142"/>
      <c r="G1330" s="2142"/>
      <c r="H1330" s="1532">
        <f>H1329+H1326</f>
        <v>670.69</v>
      </c>
    </row>
    <row r="1331" spans="1:13" x14ac:dyDescent="0.25">
      <c r="A1331" s="656"/>
      <c r="B1331" s="656"/>
      <c r="C1331" s="656"/>
      <c r="F1331" s="671"/>
      <c r="G1331" s="672"/>
      <c r="H1331" s="656"/>
    </row>
    <row r="1332" spans="1:13" s="1517" customFormat="1" x14ac:dyDescent="0.25">
      <c r="A1332" s="146" t="s">
        <v>6</v>
      </c>
      <c r="B1332" s="2143" t="s">
        <v>7</v>
      </c>
      <c r="C1332" s="2143"/>
      <c r="D1332" s="597" t="s">
        <v>121</v>
      </c>
      <c r="E1332" s="278" t="s">
        <v>5282</v>
      </c>
      <c r="F1332" s="597" t="s">
        <v>31</v>
      </c>
      <c r="G1332" s="598" t="s">
        <v>122</v>
      </c>
      <c r="H1332" s="599" t="s">
        <v>123</v>
      </c>
      <c r="I1332" s="1830"/>
      <c r="J1332" s="1795"/>
      <c r="K1332" s="1795"/>
      <c r="L1332" s="169"/>
      <c r="M1332" s="1783"/>
    </row>
    <row r="1333" spans="1:13" s="1526" customFormat="1" ht="45" x14ac:dyDescent="0.2">
      <c r="A1333" s="600" t="str">
        <f>'Orç - Prédio'!A216</f>
        <v>04.01.808.03</v>
      </c>
      <c r="B1333" s="600" t="str">
        <f>'Orç - Prédio'!B216</f>
        <v>SINAPI</v>
      </c>
      <c r="C1333" s="600" t="str">
        <f>'Orç - Prédio'!C216</f>
        <v>86895 MOD</v>
      </c>
      <c r="D1333" s="559" t="s">
        <v>5895</v>
      </c>
      <c r="E1333" s="600">
        <f>'Orç - Prédio'!E216</f>
        <v>3.81</v>
      </c>
      <c r="F1333" s="600" t="s">
        <v>5286</v>
      </c>
      <c r="G1333" s="602">
        <v>664.55000000000007</v>
      </c>
      <c r="H1333" s="603">
        <f>H1344</f>
        <v>2531.94</v>
      </c>
      <c r="I1333" s="1910" t="s">
        <v>9544</v>
      </c>
      <c r="J1333" s="1793"/>
      <c r="K1333" s="1793"/>
      <c r="L1333" s="141"/>
      <c r="M1333" s="1515"/>
    </row>
    <row r="1334" spans="1:13" s="156" customFormat="1" x14ac:dyDescent="0.2">
      <c r="A1334" s="2144">
        <v>4823</v>
      </c>
      <c r="B1334" s="2144"/>
      <c r="C1334" s="596" t="s">
        <v>4448</v>
      </c>
      <c r="D1334" s="182" t="s">
        <v>12865</v>
      </c>
      <c r="E1334" s="604">
        <v>1.0196289999999999</v>
      </c>
      <c r="F1334" s="618" t="s">
        <v>48</v>
      </c>
      <c r="G1334" s="606">
        <v>28.31</v>
      </c>
      <c r="H1334" s="607">
        <f t="shared" ref="H1334:H1339" si="116">ROUNDDOWN(G1334*E1334,2)</f>
        <v>28.86</v>
      </c>
      <c r="I1334" s="1642"/>
      <c r="J1334" s="1797"/>
      <c r="K1334" s="1797"/>
      <c r="L1334" s="1784"/>
      <c r="M1334" s="1785"/>
    </row>
    <row r="1335" spans="1:13" s="156" customFormat="1" ht="60" x14ac:dyDescent="0.2">
      <c r="A1335" s="2144">
        <v>7568</v>
      </c>
      <c r="B1335" s="2144"/>
      <c r="C1335" s="596" t="s">
        <v>4448</v>
      </c>
      <c r="D1335" s="182" t="s">
        <v>10260</v>
      </c>
      <c r="E1335" s="604">
        <v>15.91512</v>
      </c>
      <c r="F1335" s="618" t="s">
        <v>39</v>
      </c>
      <c r="G1335" s="606">
        <v>0.61</v>
      </c>
      <c r="H1335" s="607">
        <f t="shared" si="116"/>
        <v>9.6999999999999993</v>
      </c>
      <c r="I1335" s="1642"/>
      <c r="J1335" s="1797"/>
      <c r="K1335" s="1797"/>
      <c r="L1335" s="1784"/>
      <c r="M1335" s="1785"/>
    </row>
    <row r="1336" spans="1:13" s="156" customFormat="1" ht="60" x14ac:dyDescent="0.2">
      <c r="A1336" s="2144">
        <v>11795</v>
      </c>
      <c r="B1336" s="2144"/>
      <c r="C1336" s="596" t="s">
        <v>4448</v>
      </c>
      <c r="D1336" s="182" t="s">
        <v>12031</v>
      </c>
      <c r="E1336" s="604">
        <v>1</v>
      </c>
      <c r="F1336" s="618" t="s">
        <v>45</v>
      </c>
      <c r="G1336" s="606">
        <v>498.11</v>
      </c>
      <c r="H1336" s="607">
        <f>ROUNDDOWN(G1336*E1336,2)</f>
        <v>498.11</v>
      </c>
      <c r="I1336" s="1642"/>
      <c r="J1336" s="1797"/>
      <c r="K1336" s="1797"/>
      <c r="L1336" s="1784"/>
      <c r="M1336" s="1785"/>
    </row>
    <row r="1337" spans="1:13" s="156" customFormat="1" x14ac:dyDescent="0.2">
      <c r="A1337" s="2144">
        <v>37329</v>
      </c>
      <c r="B1337" s="2144"/>
      <c r="C1337" s="596" t="s">
        <v>4448</v>
      </c>
      <c r="D1337" s="182" t="s">
        <v>13660</v>
      </c>
      <c r="E1337" s="604">
        <v>6.8169999999999994E-2</v>
      </c>
      <c r="F1337" s="618" t="s">
        <v>48</v>
      </c>
      <c r="G1337" s="606">
        <v>35.44</v>
      </c>
      <c r="H1337" s="607">
        <f>ROUNDDOWN(G1337*E1337,2)</f>
        <v>2.41</v>
      </c>
      <c r="I1337" s="1642"/>
      <c r="J1337" s="1797"/>
      <c r="K1337" s="1797"/>
      <c r="L1337" s="1784"/>
      <c r="M1337" s="1785"/>
    </row>
    <row r="1338" spans="1:13" s="156" customFormat="1" ht="30" x14ac:dyDescent="0.2">
      <c r="A1338" s="2144">
        <v>88274</v>
      </c>
      <c r="B1338" s="2144"/>
      <c r="C1338" s="596" t="s">
        <v>4448</v>
      </c>
      <c r="D1338" s="182" t="s">
        <v>4298</v>
      </c>
      <c r="E1338" s="604">
        <v>5.0928380000000004</v>
      </c>
      <c r="F1338" s="618" t="s">
        <v>65</v>
      </c>
      <c r="G1338" s="606">
        <v>16.940000000000001</v>
      </c>
      <c r="H1338" s="607">
        <f t="shared" si="116"/>
        <v>86.27</v>
      </c>
      <c r="I1338" s="1642"/>
      <c r="J1338" s="1797"/>
      <c r="K1338" s="1797"/>
      <c r="L1338" s="1784"/>
      <c r="M1338" s="1785"/>
    </row>
    <row r="1339" spans="1:13" s="156" customFormat="1" ht="30" x14ac:dyDescent="0.2">
      <c r="A1339" s="2144">
        <v>88316</v>
      </c>
      <c r="B1339" s="2144"/>
      <c r="C1339" s="596" t="s">
        <v>4448</v>
      </c>
      <c r="D1339" s="182" t="s">
        <v>64</v>
      </c>
      <c r="E1339" s="604">
        <v>2.6</v>
      </c>
      <c r="F1339" s="618" t="s">
        <v>65</v>
      </c>
      <c r="G1339" s="606">
        <v>15.08</v>
      </c>
      <c r="H1339" s="607">
        <f t="shared" si="116"/>
        <v>39.200000000000003</v>
      </c>
      <c r="I1339" s="1642"/>
      <c r="J1339" s="1797"/>
      <c r="K1339" s="1797"/>
      <c r="L1339" s="1784"/>
      <c r="M1339" s="1785"/>
    </row>
    <row r="1340" spans="1:13" s="1517" customFormat="1" x14ac:dyDescent="0.25">
      <c r="A1340" s="179"/>
      <c r="B1340" s="179"/>
      <c r="C1340" s="608"/>
      <c r="D1340" s="2141" t="s">
        <v>124</v>
      </c>
      <c r="E1340" s="2141"/>
      <c r="F1340" s="2141"/>
      <c r="G1340" s="2141"/>
      <c r="H1340" s="267">
        <f>SUMIF(F1334:F1339,("h"),H1334:H1339)</f>
        <v>125.47</v>
      </c>
      <c r="I1340" s="1830"/>
      <c r="J1340" s="1795"/>
      <c r="K1340" s="1795"/>
      <c r="L1340" s="169"/>
      <c r="M1340" s="1783"/>
    </row>
    <row r="1341" spans="1:13" s="1517" customFormat="1" x14ac:dyDescent="0.25">
      <c r="A1341" s="179"/>
      <c r="B1341" s="179"/>
      <c r="C1341" s="608"/>
      <c r="D1341" s="2141" t="s">
        <v>125</v>
      </c>
      <c r="E1341" s="2141"/>
      <c r="F1341" s="2141"/>
      <c r="G1341" s="2141"/>
      <c r="H1341" s="267">
        <f>SUMIF(F1334:F1339,"&lt;&gt;h",H1334:H1339)</f>
        <v>539.08000000000004</v>
      </c>
      <c r="I1341" s="1830"/>
      <c r="J1341" s="1795"/>
      <c r="K1341" s="1795"/>
      <c r="L1341" s="169"/>
      <c r="M1341" s="1783"/>
    </row>
    <row r="1342" spans="1:13" s="1517" customFormat="1" x14ac:dyDescent="0.25">
      <c r="A1342" s="179"/>
      <c r="B1342" s="179"/>
      <c r="C1342" s="608"/>
      <c r="D1342" s="2142" t="s">
        <v>126</v>
      </c>
      <c r="E1342" s="2142"/>
      <c r="F1342" s="2142"/>
      <c r="G1342" s="2142"/>
      <c r="H1342" s="609">
        <f>SUM(H1340:H1341)</f>
        <v>664.55000000000007</v>
      </c>
      <c r="I1342" s="1830"/>
      <c r="J1342" s="1795"/>
      <c r="K1342" s="1795"/>
      <c r="L1342" s="169"/>
      <c r="M1342" s="1783"/>
    </row>
    <row r="1343" spans="1:13" s="1517" customFormat="1" x14ac:dyDescent="0.25">
      <c r="A1343" s="179"/>
      <c r="B1343" s="179"/>
      <c r="C1343" s="608"/>
      <c r="D1343" s="2141" t="s">
        <v>28</v>
      </c>
      <c r="E1343" s="2141"/>
      <c r="F1343" s="2141"/>
      <c r="G1343" s="2141"/>
      <c r="H1343" s="269">
        <f>E1333</f>
        <v>3.81</v>
      </c>
      <c r="I1343" s="1830"/>
      <c r="J1343" s="1795"/>
      <c r="K1343" s="1795"/>
      <c r="L1343" s="169"/>
      <c r="M1343" s="1783"/>
    </row>
    <row r="1344" spans="1:13" s="1517" customFormat="1" x14ac:dyDescent="0.25">
      <c r="A1344" s="179"/>
      <c r="B1344" s="179"/>
      <c r="C1344" s="608"/>
      <c r="D1344" s="2142" t="s">
        <v>127</v>
      </c>
      <c r="E1344" s="2142"/>
      <c r="F1344" s="2142"/>
      <c r="G1344" s="2142"/>
      <c r="H1344" s="609">
        <f>ROUND(H1342*H1343,2)</f>
        <v>2531.94</v>
      </c>
      <c r="I1344" s="1830"/>
      <c r="J1344" s="1795"/>
      <c r="K1344" s="1795"/>
      <c r="L1344" s="169"/>
      <c r="M1344" s="1783"/>
    </row>
    <row r="1345" spans="1:13" s="1517" customFormat="1" x14ac:dyDescent="0.25">
      <c r="A1345" s="179"/>
      <c r="B1345" s="179"/>
      <c r="C1345" s="1531"/>
      <c r="D1345" s="2141" t="s">
        <v>15335</v>
      </c>
      <c r="E1345" s="2141"/>
      <c r="F1345" s="2141"/>
      <c r="G1345" s="2141"/>
      <c r="H1345" s="267">
        <f>ROUND(H1342*$B$13,2)</f>
        <v>178.96</v>
      </c>
      <c r="I1345" s="1830"/>
      <c r="J1345" s="1795"/>
      <c r="K1345" s="1795"/>
      <c r="L1345" s="169"/>
      <c r="M1345" s="1783"/>
    </row>
    <row r="1346" spans="1:13" x14ac:dyDescent="0.25">
      <c r="A1346" s="179"/>
      <c r="B1346" s="179"/>
      <c r="C1346" s="1531"/>
      <c r="D1346" s="2142" t="s">
        <v>7898</v>
      </c>
      <c r="E1346" s="2142"/>
      <c r="F1346" s="2142"/>
      <c r="G1346" s="2142"/>
      <c r="H1346" s="1532">
        <f>H1345+H1342</f>
        <v>843.5100000000001</v>
      </c>
    </row>
    <row r="1347" spans="1:13" x14ac:dyDescent="0.25">
      <c r="A1347" s="595"/>
      <c r="B1347" s="595"/>
      <c r="C1347" s="595"/>
      <c r="F1347" s="610"/>
      <c r="G1347" s="611"/>
      <c r="H1347" s="595"/>
    </row>
    <row r="1348" spans="1:13" s="1517" customFormat="1" x14ac:dyDescent="0.25">
      <c r="A1348" s="146" t="s">
        <v>6</v>
      </c>
      <c r="B1348" s="2143" t="s">
        <v>7</v>
      </c>
      <c r="C1348" s="2143"/>
      <c r="D1348" s="658" t="s">
        <v>121</v>
      </c>
      <c r="E1348" s="278" t="s">
        <v>5282</v>
      </c>
      <c r="F1348" s="658" t="s">
        <v>31</v>
      </c>
      <c r="G1348" s="659" t="s">
        <v>122</v>
      </c>
      <c r="H1348" s="660" t="s">
        <v>123</v>
      </c>
      <c r="I1348" s="1830"/>
      <c r="J1348" s="1795"/>
      <c r="K1348" s="1795"/>
      <c r="L1348" s="169"/>
      <c r="M1348" s="1783"/>
    </row>
    <row r="1349" spans="1:13" s="1526" customFormat="1" ht="30" x14ac:dyDescent="0.2">
      <c r="A1349" s="661" t="str">
        <f>'Orç - Prédio'!A219</f>
        <v>04.01.811</v>
      </c>
      <c r="B1349" s="673" t="str">
        <f>'Orç - Prédio'!B219</f>
        <v>ORSE</v>
      </c>
      <c r="C1349" s="673">
        <f>'Orç - Prédio'!C219</f>
        <v>2031</v>
      </c>
      <c r="D1349" s="674" t="s">
        <v>5907</v>
      </c>
      <c r="E1349" s="662">
        <f>'Orç - Prédio'!E219</f>
        <v>4</v>
      </c>
      <c r="F1349" s="673" t="s">
        <v>5284</v>
      </c>
      <c r="G1349" s="663">
        <v>32.089999999999996</v>
      </c>
      <c r="H1349" s="664">
        <f>H1358</f>
        <v>128.36000000000001</v>
      </c>
      <c r="I1349" s="1910" t="s">
        <v>14965</v>
      </c>
      <c r="J1349" s="1793"/>
      <c r="K1349" s="1793"/>
      <c r="L1349" s="141"/>
      <c r="M1349" s="1515"/>
    </row>
    <row r="1350" spans="1:13" s="156" customFormat="1" ht="30" x14ac:dyDescent="0.2">
      <c r="A1350" s="2144">
        <v>1998</v>
      </c>
      <c r="B1350" s="2144"/>
      <c r="C1350" s="657" t="s">
        <v>5281</v>
      </c>
      <c r="D1350" s="182" t="s">
        <v>5916</v>
      </c>
      <c r="E1350" s="665">
        <v>1</v>
      </c>
      <c r="F1350" s="666" t="s">
        <v>31</v>
      </c>
      <c r="G1350" s="367">
        <v>10.61</v>
      </c>
      <c r="H1350" s="668">
        <f>ROUNDDOWN(G1350*E1350,2)</f>
        <v>10.61</v>
      </c>
      <c r="I1350" s="1642"/>
      <c r="J1350" s="1797"/>
      <c r="K1350" s="1797"/>
      <c r="L1350" s="1784"/>
      <c r="M1350" s="1785"/>
    </row>
    <row r="1351" spans="1:13" s="156" customFormat="1" ht="30" x14ac:dyDescent="0.2">
      <c r="A1351" s="2144">
        <v>88309</v>
      </c>
      <c r="B1351" s="2144"/>
      <c r="C1351" s="657" t="s">
        <v>4448</v>
      </c>
      <c r="D1351" s="182" t="s">
        <v>87</v>
      </c>
      <c r="E1351" s="665">
        <v>0.6</v>
      </c>
      <c r="F1351" s="666" t="s">
        <v>65</v>
      </c>
      <c r="G1351" s="667">
        <v>20.149999999999999</v>
      </c>
      <c r="H1351" s="668">
        <f>ROUNDDOWN(G1351*E1351,2)</f>
        <v>12.09</v>
      </c>
      <c r="I1351" s="1642"/>
      <c r="J1351" s="1797"/>
      <c r="K1351" s="1797"/>
      <c r="L1351" s="1784"/>
      <c r="M1351" s="1785"/>
    </row>
    <row r="1352" spans="1:13" s="156" customFormat="1" ht="30" x14ac:dyDescent="0.2">
      <c r="A1352" s="2144">
        <v>88316</v>
      </c>
      <c r="B1352" s="2144"/>
      <c r="C1352" s="657" t="s">
        <v>4448</v>
      </c>
      <c r="D1352" s="182" t="s">
        <v>64</v>
      </c>
      <c r="E1352" s="665">
        <v>0.6</v>
      </c>
      <c r="F1352" s="666" t="s">
        <v>65</v>
      </c>
      <c r="G1352" s="667">
        <v>15.08</v>
      </c>
      <c r="H1352" s="668">
        <f>ROUNDDOWN(G1352*E1352,2)</f>
        <v>9.0399999999999991</v>
      </c>
      <c r="I1352" s="1642"/>
      <c r="J1352" s="1797"/>
      <c r="K1352" s="1797"/>
      <c r="L1352" s="1784"/>
      <c r="M1352" s="1785"/>
    </row>
    <row r="1353" spans="1:13" s="156" customFormat="1" ht="60" x14ac:dyDescent="0.2">
      <c r="A1353" s="2144">
        <v>87304</v>
      </c>
      <c r="B1353" s="2144"/>
      <c r="C1353" s="657" t="s">
        <v>4448</v>
      </c>
      <c r="D1353" s="182" t="s">
        <v>8404</v>
      </c>
      <c r="E1353" s="665">
        <v>1E-3</v>
      </c>
      <c r="F1353" s="666" t="s">
        <v>1208</v>
      </c>
      <c r="G1353" s="667">
        <v>359.6</v>
      </c>
      <c r="H1353" s="668">
        <f>ROUNDDOWN(G1353*E1353,2)</f>
        <v>0.35</v>
      </c>
      <c r="I1353" s="1642"/>
      <c r="J1353" s="1797"/>
      <c r="K1353" s="1797"/>
      <c r="L1353" s="1784"/>
      <c r="M1353" s="1785"/>
    </row>
    <row r="1354" spans="1:13" s="1517" customFormat="1" x14ac:dyDescent="0.25">
      <c r="A1354" s="179"/>
      <c r="B1354" s="179"/>
      <c r="C1354" s="669"/>
      <c r="D1354" s="2141" t="s">
        <v>124</v>
      </c>
      <c r="E1354" s="2141"/>
      <c r="F1354" s="2141"/>
      <c r="G1354" s="2141"/>
      <c r="H1354" s="267">
        <f>SUMIF(F1350:F1353,("h"),H1350:H1353)</f>
        <v>21.13</v>
      </c>
      <c r="I1354" s="1830"/>
      <c r="J1354" s="1795"/>
      <c r="K1354" s="1795"/>
      <c r="L1354" s="169"/>
      <c r="M1354" s="1783"/>
    </row>
    <row r="1355" spans="1:13" s="1517" customFormat="1" x14ac:dyDescent="0.25">
      <c r="A1355" s="179"/>
      <c r="B1355" s="179"/>
      <c r="C1355" s="669"/>
      <c r="D1355" s="2141" t="s">
        <v>125</v>
      </c>
      <c r="E1355" s="2141"/>
      <c r="F1355" s="2141"/>
      <c r="G1355" s="2141"/>
      <c r="H1355" s="267">
        <f>SUMIF(F1350:F1353,"&lt;&gt;h",H1350:H1353)</f>
        <v>10.959999999999999</v>
      </c>
      <c r="I1355" s="1830"/>
      <c r="J1355" s="1795"/>
      <c r="K1355" s="1795"/>
      <c r="L1355" s="169"/>
      <c r="M1355" s="1783"/>
    </row>
    <row r="1356" spans="1:13" s="1517" customFormat="1" x14ac:dyDescent="0.25">
      <c r="A1356" s="179"/>
      <c r="B1356" s="179"/>
      <c r="C1356" s="669"/>
      <c r="D1356" s="2142" t="s">
        <v>126</v>
      </c>
      <c r="E1356" s="2142"/>
      <c r="F1356" s="2142"/>
      <c r="G1356" s="2142"/>
      <c r="H1356" s="670">
        <f>SUM(H1354:H1355)</f>
        <v>32.089999999999996</v>
      </c>
      <c r="I1356" s="1830"/>
      <c r="J1356" s="1795"/>
      <c r="K1356" s="1795"/>
      <c r="L1356" s="169"/>
      <c r="M1356" s="1783"/>
    </row>
    <row r="1357" spans="1:13" s="1517" customFormat="1" x14ac:dyDescent="0.25">
      <c r="A1357" s="179"/>
      <c r="B1357" s="179"/>
      <c r="C1357" s="669"/>
      <c r="D1357" s="2141" t="s">
        <v>28</v>
      </c>
      <c r="E1357" s="2141"/>
      <c r="F1357" s="2141"/>
      <c r="G1357" s="2141"/>
      <c r="H1357" s="269">
        <f>E1349</f>
        <v>4</v>
      </c>
      <c r="I1357" s="1830"/>
      <c r="J1357" s="1795"/>
      <c r="K1357" s="1795"/>
      <c r="L1357" s="169"/>
      <c r="M1357" s="1783"/>
    </row>
    <row r="1358" spans="1:13" s="1517" customFormat="1" x14ac:dyDescent="0.25">
      <c r="A1358" s="179"/>
      <c r="B1358" s="179"/>
      <c r="C1358" s="669"/>
      <c r="D1358" s="2142" t="s">
        <v>127</v>
      </c>
      <c r="E1358" s="2142"/>
      <c r="F1358" s="2142"/>
      <c r="G1358" s="2142"/>
      <c r="H1358" s="670">
        <f>ROUND(H1356*H1357,2)</f>
        <v>128.36000000000001</v>
      </c>
      <c r="I1358" s="1830"/>
      <c r="J1358" s="1795"/>
      <c r="K1358" s="1795"/>
      <c r="L1358" s="169"/>
      <c r="M1358" s="1783"/>
    </row>
    <row r="1359" spans="1:13" s="1517" customFormat="1" x14ac:dyDescent="0.25">
      <c r="A1359" s="179"/>
      <c r="B1359" s="179"/>
      <c r="C1359" s="1531"/>
      <c r="D1359" s="2141" t="s">
        <v>15335</v>
      </c>
      <c r="E1359" s="2141"/>
      <c r="F1359" s="2141"/>
      <c r="G1359" s="2141"/>
      <c r="H1359" s="267">
        <f>ROUND(H1356*$B$13,2)</f>
        <v>8.64</v>
      </c>
      <c r="I1359" s="1830"/>
      <c r="J1359" s="1795"/>
      <c r="K1359" s="1795"/>
      <c r="L1359" s="169"/>
      <c r="M1359" s="1783"/>
    </row>
    <row r="1360" spans="1:13" x14ac:dyDescent="0.25">
      <c r="A1360" s="179"/>
      <c r="B1360" s="179"/>
      <c r="C1360" s="1531"/>
      <c r="D1360" s="2142" t="s">
        <v>7898</v>
      </c>
      <c r="E1360" s="2142"/>
      <c r="F1360" s="2142"/>
      <c r="G1360" s="2142"/>
      <c r="H1360" s="1532">
        <f>H1359+H1356</f>
        <v>40.729999999999997</v>
      </c>
    </row>
    <row r="1361" spans="1:13" x14ac:dyDescent="0.25">
      <c r="A1361" s="656"/>
      <c r="B1361" s="656"/>
      <c r="C1361" s="656"/>
      <c r="F1361" s="671"/>
      <c r="G1361" s="672"/>
      <c r="H1361" s="656"/>
    </row>
    <row r="1362" spans="1:13" s="1517" customFormat="1" x14ac:dyDescent="0.25">
      <c r="A1362" s="146" t="s">
        <v>6</v>
      </c>
      <c r="B1362" s="2143" t="s">
        <v>7</v>
      </c>
      <c r="C1362" s="2143"/>
      <c r="D1362" s="658" t="s">
        <v>121</v>
      </c>
      <c r="E1362" s="278" t="s">
        <v>5282</v>
      </c>
      <c r="F1362" s="658" t="s">
        <v>31</v>
      </c>
      <c r="G1362" s="659" t="s">
        <v>122</v>
      </c>
      <c r="H1362" s="660" t="s">
        <v>123</v>
      </c>
      <c r="I1362" s="1830"/>
      <c r="J1362" s="1795"/>
      <c r="K1362" s="1795"/>
      <c r="L1362" s="169"/>
      <c r="M1362" s="1783"/>
    </row>
    <row r="1363" spans="1:13" s="1526" customFormat="1" ht="30" x14ac:dyDescent="0.2">
      <c r="A1363" s="661" t="str">
        <f>'Orç - Prédio'!A220</f>
        <v>04.01.812</v>
      </c>
      <c r="B1363" s="673" t="str">
        <f>'Orç - Prédio'!B220</f>
        <v>ORSE</v>
      </c>
      <c r="C1363" s="673">
        <f>'Orç - Prédio'!C220</f>
        <v>2037</v>
      </c>
      <c r="D1363" s="674" t="s">
        <v>5908</v>
      </c>
      <c r="E1363" s="662">
        <f>'Orç - Prédio'!E220</f>
        <v>32</v>
      </c>
      <c r="F1363" s="673" t="s">
        <v>5284</v>
      </c>
      <c r="G1363" s="663">
        <v>19.84</v>
      </c>
      <c r="H1363" s="664">
        <f>H1371</f>
        <v>634.88</v>
      </c>
      <c r="I1363" s="1910" t="s">
        <v>14965</v>
      </c>
      <c r="J1363" s="1793"/>
      <c r="K1363" s="1793"/>
      <c r="L1363" s="141"/>
      <c r="M1363" s="1515"/>
    </row>
    <row r="1364" spans="1:13" s="156" customFormat="1" x14ac:dyDescent="0.2">
      <c r="A1364" s="2144">
        <v>389</v>
      </c>
      <c r="B1364" s="2144"/>
      <c r="C1364" s="657" t="s">
        <v>5281</v>
      </c>
      <c r="D1364" s="182" t="s">
        <v>5917</v>
      </c>
      <c r="E1364" s="665">
        <v>1</v>
      </c>
      <c r="F1364" s="666" t="s">
        <v>31</v>
      </c>
      <c r="G1364" s="367">
        <v>5.39</v>
      </c>
      <c r="H1364" s="668">
        <f>ROUNDDOWN(G1364*E1364,2)</f>
        <v>5.39</v>
      </c>
      <c r="I1364" s="1642"/>
      <c r="J1364" s="1797"/>
      <c r="K1364" s="1797"/>
      <c r="L1364" s="1784"/>
      <c r="M1364" s="1785"/>
    </row>
    <row r="1365" spans="1:13" s="156" customFormat="1" ht="30" x14ac:dyDescent="0.2">
      <c r="A1365" s="2144">
        <v>88309</v>
      </c>
      <c r="B1365" s="2144"/>
      <c r="C1365" s="657" t="s">
        <v>4448</v>
      </c>
      <c r="D1365" s="182" t="s">
        <v>87</v>
      </c>
      <c r="E1365" s="665">
        <v>0.7</v>
      </c>
      <c r="F1365" s="666" t="s">
        <v>65</v>
      </c>
      <c r="G1365" s="667">
        <v>20.149999999999999</v>
      </c>
      <c r="H1365" s="668">
        <f>ROUNDDOWN(G1365*E1365,2)</f>
        <v>14.1</v>
      </c>
      <c r="I1365" s="1642"/>
      <c r="J1365" s="1797"/>
      <c r="K1365" s="1797"/>
      <c r="L1365" s="1784"/>
      <c r="M1365" s="1785"/>
    </row>
    <row r="1366" spans="1:13" s="156" customFormat="1" ht="60" x14ac:dyDescent="0.2">
      <c r="A1366" s="2144">
        <v>87304</v>
      </c>
      <c r="B1366" s="2144"/>
      <c r="C1366" s="657" t="s">
        <v>4448</v>
      </c>
      <c r="D1366" s="182" t="s">
        <v>8404</v>
      </c>
      <c r="E1366" s="665">
        <v>1E-3</v>
      </c>
      <c r="F1366" s="666" t="s">
        <v>1208</v>
      </c>
      <c r="G1366" s="667">
        <v>359.6</v>
      </c>
      <c r="H1366" s="668">
        <f>ROUNDDOWN(G1366*E1366,2)</f>
        <v>0.35</v>
      </c>
      <c r="I1366" s="1642"/>
      <c r="J1366" s="1797"/>
      <c r="K1366" s="1797"/>
      <c r="L1366" s="1784"/>
      <c r="M1366" s="1785"/>
    </row>
    <row r="1367" spans="1:13" s="1517" customFormat="1" x14ac:dyDescent="0.25">
      <c r="A1367" s="179"/>
      <c r="B1367" s="179"/>
      <c r="C1367" s="669"/>
      <c r="D1367" s="2141" t="s">
        <v>124</v>
      </c>
      <c r="E1367" s="2141"/>
      <c r="F1367" s="2141"/>
      <c r="G1367" s="2141"/>
      <c r="H1367" s="267">
        <f>SUMIF(F1364:F1366,("h"),H1364:H1366)</f>
        <v>14.1</v>
      </c>
      <c r="I1367" s="1830"/>
      <c r="J1367" s="1795"/>
      <c r="K1367" s="1795"/>
      <c r="L1367" s="169"/>
      <c r="M1367" s="1783"/>
    </row>
    <row r="1368" spans="1:13" s="1517" customFormat="1" x14ac:dyDescent="0.25">
      <c r="A1368" s="179"/>
      <c r="B1368" s="179"/>
      <c r="C1368" s="669"/>
      <c r="D1368" s="2141" t="s">
        <v>125</v>
      </c>
      <c r="E1368" s="2141"/>
      <c r="F1368" s="2141"/>
      <c r="G1368" s="2141"/>
      <c r="H1368" s="267">
        <f>SUMIF(F1364:F1366,"&lt;&gt;h",H1364:H1366)</f>
        <v>5.7399999999999993</v>
      </c>
      <c r="I1368" s="1830"/>
      <c r="J1368" s="1795"/>
      <c r="K1368" s="1795"/>
      <c r="L1368" s="169"/>
      <c r="M1368" s="1783"/>
    </row>
    <row r="1369" spans="1:13" s="1517" customFormat="1" x14ac:dyDescent="0.25">
      <c r="A1369" s="179"/>
      <c r="B1369" s="179"/>
      <c r="C1369" s="669"/>
      <c r="D1369" s="2142" t="s">
        <v>126</v>
      </c>
      <c r="E1369" s="2142"/>
      <c r="F1369" s="2142"/>
      <c r="G1369" s="2142"/>
      <c r="H1369" s="670">
        <f>SUM(H1367:H1368)</f>
        <v>19.84</v>
      </c>
      <c r="I1369" s="1830"/>
      <c r="J1369" s="1795"/>
      <c r="K1369" s="1795"/>
      <c r="L1369" s="169"/>
      <c r="M1369" s="1783"/>
    </row>
    <row r="1370" spans="1:13" s="1517" customFormat="1" x14ac:dyDescent="0.25">
      <c r="A1370" s="179"/>
      <c r="B1370" s="179"/>
      <c r="C1370" s="669"/>
      <c r="D1370" s="2141" t="s">
        <v>28</v>
      </c>
      <c r="E1370" s="2141"/>
      <c r="F1370" s="2141"/>
      <c r="G1370" s="2141"/>
      <c r="H1370" s="269">
        <f>E1363</f>
        <v>32</v>
      </c>
      <c r="I1370" s="1830"/>
      <c r="J1370" s="1795"/>
      <c r="K1370" s="1795"/>
      <c r="L1370" s="169"/>
      <c r="M1370" s="1783"/>
    </row>
    <row r="1371" spans="1:13" s="1517" customFormat="1" x14ac:dyDescent="0.25">
      <c r="A1371" s="179"/>
      <c r="B1371" s="179"/>
      <c r="C1371" s="669"/>
      <c r="D1371" s="2142" t="s">
        <v>127</v>
      </c>
      <c r="E1371" s="2142"/>
      <c r="F1371" s="2142"/>
      <c r="G1371" s="2142"/>
      <c r="H1371" s="670">
        <f>ROUND(H1369*H1370,2)</f>
        <v>634.88</v>
      </c>
      <c r="I1371" s="1830"/>
      <c r="J1371" s="1795"/>
      <c r="K1371" s="1795"/>
      <c r="L1371" s="169"/>
      <c r="M1371" s="1783"/>
    </row>
    <row r="1372" spans="1:13" s="1517" customFormat="1" x14ac:dyDescent="0.25">
      <c r="A1372" s="179"/>
      <c r="B1372" s="179"/>
      <c r="C1372" s="1531"/>
      <c r="D1372" s="2141" t="s">
        <v>15335</v>
      </c>
      <c r="E1372" s="2141"/>
      <c r="F1372" s="2141"/>
      <c r="G1372" s="2141"/>
      <c r="H1372" s="267">
        <f>ROUND(H1369*$B$13,2)</f>
        <v>5.34</v>
      </c>
      <c r="I1372" s="1830"/>
      <c r="J1372" s="1795"/>
      <c r="K1372" s="1795"/>
      <c r="L1372" s="169"/>
      <c r="M1372" s="1783"/>
    </row>
    <row r="1373" spans="1:13" x14ac:dyDescent="0.25">
      <c r="A1373" s="179"/>
      <c r="B1373" s="179"/>
      <c r="C1373" s="1531"/>
      <c r="D1373" s="2142" t="s">
        <v>7898</v>
      </c>
      <c r="E1373" s="2142"/>
      <c r="F1373" s="2142"/>
      <c r="G1373" s="2142"/>
      <c r="H1373" s="1532">
        <f>H1372+H1369</f>
        <v>25.18</v>
      </c>
    </row>
    <row r="1374" spans="1:13" x14ac:dyDescent="0.25">
      <c r="A1374" s="656"/>
      <c r="B1374" s="656"/>
      <c r="C1374" s="656"/>
      <c r="F1374" s="671"/>
      <c r="G1374" s="672"/>
      <c r="H1374" s="656"/>
    </row>
    <row r="1375" spans="1:13" s="1517" customFormat="1" x14ac:dyDescent="0.25">
      <c r="A1375" s="146" t="s">
        <v>6</v>
      </c>
      <c r="B1375" s="2143" t="s">
        <v>7</v>
      </c>
      <c r="C1375" s="2143"/>
      <c r="D1375" s="658" t="s">
        <v>121</v>
      </c>
      <c r="E1375" s="278" t="s">
        <v>5282</v>
      </c>
      <c r="F1375" s="658" t="s">
        <v>31</v>
      </c>
      <c r="G1375" s="659" t="s">
        <v>122</v>
      </c>
      <c r="H1375" s="660" t="s">
        <v>123</v>
      </c>
      <c r="I1375" s="1830"/>
      <c r="J1375" s="1795"/>
      <c r="K1375" s="1795"/>
      <c r="L1375" s="169"/>
      <c r="M1375" s="1783"/>
    </row>
    <row r="1376" spans="1:13" s="1526" customFormat="1" ht="30" x14ac:dyDescent="0.2">
      <c r="A1376" s="661" t="str">
        <f>'Orç - Prédio'!A221</f>
        <v>04.01.813</v>
      </c>
      <c r="B1376" s="673" t="str">
        <f>'Orç - Prédio'!B221</f>
        <v>ORSE</v>
      </c>
      <c r="C1376" s="673">
        <f>'Orç - Prédio'!C221</f>
        <v>7611</v>
      </c>
      <c r="D1376" s="674" t="s">
        <v>5909</v>
      </c>
      <c r="E1376" s="662">
        <f>'Orç - Prédio'!E221</f>
        <v>18</v>
      </c>
      <c r="F1376" s="673" t="s">
        <v>5284</v>
      </c>
      <c r="G1376" s="663">
        <v>39.619999999999997</v>
      </c>
      <c r="H1376" s="664">
        <f>H1383</f>
        <v>713.16</v>
      </c>
      <c r="I1376" s="1910" t="s">
        <v>9544</v>
      </c>
      <c r="J1376" s="1793"/>
      <c r="K1376" s="1793"/>
      <c r="L1376" s="141"/>
      <c r="M1376" s="1515"/>
    </row>
    <row r="1377" spans="1:13" s="156" customFormat="1" ht="30" x14ac:dyDescent="0.2">
      <c r="A1377" s="2144">
        <v>37400</v>
      </c>
      <c r="B1377" s="2144"/>
      <c r="C1377" s="657" t="s">
        <v>4448</v>
      </c>
      <c r="D1377" s="182" t="s">
        <v>13090</v>
      </c>
      <c r="E1377" s="665">
        <v>1</v>
      </c>
      <c r="F1377" s="666" t="s">
        <v>39</v>
      </c>
      <c r="G1377" s="667">
        <v>33.58</v>
      </c>
      <c r="H1377" s="668">
        <f>ROUNDDOWN(G1377*E1377,2)</f>
        <v>33.58</v>
      </c>
      <c r="I1377" s="1642"/>
      <c r="J1377" s="1797"/>
      <c r="K1377" s="1797"/>
      <c r="L1377" s="1784"/>
      <c r="M1377" s="1785"/>
    </row>
    <row r="1378" spans="1:13" s="156" customFormat="1" ht="30" x14ac:dyDescent="0.2">
      <c r="A1378" s="2144">
        <v>88309</v>
      </c>
      <c r="B1378" s="2144"/>
      <c r="C1378" s="657" t="s">
        <v>4448</v>
      </c>
      <c r="D1378" s="182" t="s">
        <v>87</v>
      </c>
      <c r="E1378" s="665">
        <v>0.3</v>
      </c>
      <c r="F1378" s="666" t="s">
        <v>65</v>
      </c>
      <c r="G1378" s="667">
        <v>20.149999999999999</v>
      </c>
      <c r="H1378" s="668">
        <f>ROUNDDOWN(G1378*E1378,2)</f>
        <v>6.04</v>
      </c>
      <c r="I1378" s="1642"/>
      <c r="J1378" s="1797"/>
      <c r="K1378" s="1797"/>
      <c r="L1378" s="1784"/>
      <c r="M1378" s="1785"/>
    </row>
    <row r="1379" spans="1:13" s="1517" customFormat="1" x14ac:dyDescent="0.25">
      <c r="A1379" s="179"/>
      <c r="B1379" s="179"/>
      <c r="C1379" s="669"/>
      <c r="D1379" s="2141" t="s">
        <v>124</v>
      </c>
      <c r="E1379" s="2141"/>
      <c r="F1379" s="2141"/>
      <c r="G1379" s="2141"/>
      <c r="H1379" s="267">
        <f>SUMIF(F1377:F1378,("h"),H1377:H1378)</f>
        <v>6.04</v>
      </c>
      <c r="I1379" s="1830"/>
      <c r="J1379" s="1795"/>
      <c r="K1379" s="1795"/>
      <c r="L1379" s="169"/>
      <c r="M1379" s="1783"/>
    </row>
    <row r="1380" spans="1:13" s="1517" customFormat="1" x14ac:dyDescent="0.25">
      <c r="A1380" s="179"/>
      <c r="B1380" s="179"/>
      <c r="C1380" s="669"/>
      <c r="D1380" s="2141" t="s">
        <v>125</v>
      </c>
      <c r="E1380" s="2141"/>
      <c r="F1380" s="2141"/>
      <c r="G1380" s="2141"/>
      <c r="H1380" s="267">
        <f>SUMIF(F1377:F1378,"&lt;&gt;h",H1377:H1378)</f>
        <v>33.58</v>
      </c>
      <c r="I1380" s="1830"/>
      <c r="J1380" s="1795"/>
      <c r="K1380" s="1795"/>
      <c r="L1380" s="169"/>
      <c r="M1380" s="1783"/>
    </row>
    <row r="1381" spans="1:13" s="1517" customFormat="1" x14ac:dyDescent="0.25">
      <c r="A1381" s="179"/>
      <c r="B1381" s="179"/>
      <c r="C1381" s="669"/>
      <c r="D1381" s="2142" t="s">
        <v>126</v>
      </c>
      <c r="E1381" s="2142"/>
      <c r="F1381" s="2142"/>
      <c r="G1381" s="2142"/>
      <c r="H1381" s="670">
        <f>SUM(H1379:H1380)</f>
        <v>39.619999999999997</v>
      </c>
      <c r="I1381" s="1830"/>
      <c r="J1381" s="1795"/>
      <c r="K1381" s="1795"/>
      <c r="L1381" s="169"/>
      <c r="M1381" s="1783"/>
    </row>
    <row r="1382" spans="1:13" s="1517" customFormat="1" x14ac:dyDescent="0.25">
      <c r="A1382" s="179"/>
      <c r="B1382" s="179"/>
      <c r="C1382" s="669"/>
      <c r="D1382" s="2141" t="s">
        <v>28</v>
      </c>
      <c r="E1382" s="2141"/>
      <c r="F1382" s="2141"/>
      <c r="G1382" s="2141"/>
      <c r="H1382" s="269">
        <f>E1376</f>
        <v>18</v>
      </c>
      <c r="I1382" s="1830"/>
      <c r="J1382" s="1795"/>
      <c r="K1382" s="1795"/>
      <c r="L1382" s="169"/>
      <c r="M1382" s="1783"/>
    </row>
    <row r="1383" spans="1:13" s="1517" customFormat="1" x14ac:dyDescent="0.25">
      <c r="A1383" s="179"/>
      <c r="B1383" s="179"/>
      <c r="C1383" s="669"/>
      <c r="D1383" s="2142" t="s">
        <v>127</v>
      </c>
      <c r="E1383" s="2142"/>
      <c r="F1383" s="2142"/>
      <c r="G1383" s="2142"/>
      <c r="H1383" s="670">
        <f>ROUND(H1381*H1382,2)</f>
        <v>713.16</v>
      </c>
      <c r="I1383" s="1830"/>
      <c r="J1383" s="1795"/>
      <c r="K1383" s="1795"/>
      <c r="L1383" s="169"/>
      <c r="M1383" s="1783"/>
    </row>
    <row r="1384" spans="1:13" s="1517" customFormat="1" x14ac:dyDescent="0.25">
      <c r="A1384" s="179"/>
      <c r="B1384" s="179"/>
      <c r="C1384" s="1531"/>
      <c r="D1384" s="2141" t="s">
        <v>15335</v>
      </c>
      <c r="E1384" s="2141"/>
      <c r="F1384" s="2141"/>
      <c r="G1384" s="2141"/>
      <c r="H1384" s="267">
        <f>ROUND(H1381*$B$13,2)</f>
        <v>10.67</v>
      </c>
      <c r="I1384" s="1830"/>
      <c r="J1384" s="1795"/>
      <c r="K1384" s="1795"/>
      <c r="L1384" s="169"/>
      <c r="M1384" s="1783"/>
    </row>
    <row r="1385" spans="1:13" x14ac:dyDescent="0.25">
      <c r="A1385" s="179"/>
      <c r="B1385" s="179"/>
      <c r="C1385" s="1531"/>
      <c r="D1385" s="2142" t="s">
        <v>7898</v>
      </c>
      <c r="E1385" s="2142"/>
      <c r="F1385" s="2142"/>
      <c r="G1385" s="2142"/>
      <c r="H1385" s="1532">
        <f>H1384+H1381</f>
        <v>50.29</v>
      </c>
    </row>
    <row r="1386" spans="1:13" x14ac:dyDescent="0.25">
      <c r="A1386" s="656"/>
      <c r="B1386" s="656"/>
      <c r="C1386" s="656"/>
      <c r="F1386" s="671"/>
      <c r="G1386" s="672"/>
      <c r="H1386" s="656"/>
    </row>
    <row r="1387" spans="1:13" s="1517" customFormat="1" x14ac:dyDescent="0.25">
      <c r="A1387" s="146" t="s">
        <v>6</v>
      </c>
      <c r="B1387" s="2143" t="s">
        <v>7</v>
      </c>
      <c r="C1387" s="2143"/>
      <c r="D1387" s="658" t="s">
        <v>121</v>
      </c>
      <c r="E1387" s="278" t="s">
        <v>5282</v>
      </c>
      <c r="F1387" s="658" t="s">
        <v>31</v>
      </c>
      <c r="G1387" s="659" t="s">
        <v>122</v>
      </c>
      <c r="H1387" s="660" t="s">
        <v>123</v>
      </c>
      <c r="I1387" s="1830"/>
      <c r="J1387" s="1795"/>
      <c r="K1387" s="1795"/>
      <c r="L1387" s="169"/>
      <c r="M1387" s="1783"/>
    </row>
    <row r="1388" spans="1:13" s="1526" customFormat="1" ht="30" x14ac:dyDescent="0.2">
      <c r="A1388" s="661" t="str">
        <f>'Orç - Prédio'!A222</f>
        <v>04.01.814</v>
      </c>
      <c r="B1388" s="673" t="str">
        <f>'Orç - Prédio'!B222</f>
        <v>ORSE</v>
      </c>
      <c r="C1388" s="673">
        <f>'Orç - Prédio'!C222</f>
        <v>4287</v>
      </c>
      <c r="D1388" s="674" t="s">
        <v>5910</v>
      </c>
      <c r="E1388" s="662">
        <f>'Orç - Prédio'!E222</f>
        <v>8</v>
      </c>
      <c r="F1388" s="673" t="s">
        <v>5284</v>
      </c>
      <c r="G1388" s="663">
        <v>36.6</v>
      </c>
      <c r="H1388" s="664">
        <f>H1395</f>
        <v>292.8</v>
      </c>
      <c r="I1388" s="1910" t="s">
        <v>9544</v>
      </c>
      <c r="J1388" s="1793"/>
      <c r="K1388" s="1793"/>
      <c r="L1388" s="141"/>
      <c r="M1388" s="1515"/>
    </row>
    <row r="1389" spans="1:13" s="156" customFormat="1" ht="30" x14ac:dyDescent="0.2">
      <c r="A1389" s="2144">
        <v>37401</v>
      </c>
      <c r="B1389" s="2144"/>
      <c r="C1389" s="657" t="s">
        <v>4448</v>
      </c>
      <c r="D1389" s="182" t="s">
        <v>14286</v>
      </c>
      <c r="E1389" s="665">
        <v>1</v>
      </c>
      <c r="F1389" s="666" t="s">
        <v>39</v>
      </c>
      <c r="G1389" s="667">
        <v>33.58</v>
      </c>
      <c r="H1389" s="668">
        <f>ROUNDDOWN(G1389*E1389,2)</f>
        <v>33.58</v>
      </c>
      <c r="I1389" s="1642"/>
      <c r="J1389" s="1797"/>
      <c r="K1389" s="1797"/>
      <c r="L1389" s="1784"/>
      <c r="M1389" s="1785"/>
    </row>
    <row r="1390" spans="1:13" s="156" customFormat="1" ht="30" x14ac:dyDescent="0.2">
      <c r="A1390" s="2144">
        <v>88309</v>
      </c>
      <c r="B1390" s="2144"/>
      <c r="C1390" s="657" t="s">
        <v>4448</v>
      </c>
      <c r="D1390" s="182" t="s">
        <v>87</v>
      </c>
      <c r="E1390" s="665">
        <v>0.15</v>
      </c>
      <c r="F1390" s="666" t="s">
        <v>65</v>
      </c>
      <c r="G1390" s="667">
        <v>20.149999999999999</v>
      </c>
      <c r="H1390" s="668">
        <f>ROUNDDOWN(G1390*E1390,2)</f>
        <v>3.02</v>
      </c>
      <c r="I1390" s="1642"/>
      <c r="J1390" s="1797"/>
      <c r="K1390" s="1797"/>
      <c r="L1390" s="1784"/>
      <c r="M1390" s="1785"/>
    </row>
    <row r="1391" spans="1:13" s="1517" customFormat="1" x14ac:dyDescent="0.25">
      <c r="A1391" s="179"/>
      <c r="B1391" s="179"/>
      <c r="C1391" s="669"/>
      <c r="D1391" s="2141" t="s">
        <v>124</v>
      </c>
      <c r="E1391" s="2141"/>
      <c r="F1391" s="2141"/>
      <c r="G1391" s="2141"/>
      <c r="H1391" s="267">
        <f>SUMIF(F1389:F1390,("h"),H1389:H1390)</f>
        <v>3.02</v>
      </c>
      <c r="I1391" s="1830"/>
      <c r="J1391" s="1795"/>
      <c r="K1391" s="1795"/>
      <c r="L1391" s="169"/>
      <c r="M1391" s="1783"/>
    </row>
    <row r="1392" spans="1:13" s="1517" customFormat="1" x14ac:dyDescent="0.25">
      <c r="A1392" s="179"/>
      <c r="B1392" s="179"/>
      <c r="C1392" s="669"/>
      <c r="D1392" s="2141" t="s">
        <v>125</v>
      </c>
      <c r="E1392" s="2141"/>
      <c r="F1392" s="2141"/>
      <c r="G1392" s="2141"/>
      <c r="H1392" s="267">
        <f>SUMIF(F1389:F1390,"&lt;&gt;h",H1389:H1390)</f>
        <v>33.58</v>
      </c>
      <c r="I1392" s="1830"/>
      <c r="J1392" s="1795"/>
      <c r="K1392" s="1795"/>
      <c r="L1392" s="169"/>
      <c r="M1392" s="1783"/>
    </row>
    <row r="1393" spans="1:13" s="1517" customFormat="1" x14ac:dyDescent="0.25">
      <c r="A1393" s="179"/>
      <c r="B1393" s="179"/>
      <c r="C1393" s="669"/>
      <c r="D1393" s="2142" t="s">
        <v>126</v>
      </c>
      <c r="E1393" s="2142"/>
      <c r="F1393" s="2142"/>
      <c r="G1393" s="2142"/>
      <c r="H1393" s="670">
        <f>SUM(H1391:H1392)</f>
        <v>36.6</v>
      </c>
      <c r="I1393" s="1830"/>
      <c r="J1393" s="1795"/>
      <c r="K1393" s="1795"/>
      <c r="L1393" s="169"/>
      <c r="M1393" s="1783"/>
    </row>
    <row r="1394" spans="1:13" s="1517" customFormat="1" x14ac:dyDescent="0.25">
      <c r="A1394" s="179"/>
      <c r="B1394" s="179"/>
      <c r="C1394" s="669"/>
      <c r="D1394" s="2141" t="s">
        <v>28</v>
      </c>
      <c r="E1394" s="2141"/>
      <c r="F1394" s="2141"/>
      <c r="G1394" s="2141"/>
      <c r="H1394" s="269">
        <f>E1388</f>
        <v>8</v>
      </c>
      <c r="I1394" s="1830"/>
      <c r="J1394" s="1795"/>
      <c r="K1394" s="1795"/>
      <c r="L1394" s="169"/>
      <c r="M1394" s="1783"/>
    </row>
    <row r="1395" spans="1:13" s="1517" customFormat="1" x14ac:dyDescent="0.25">
      <c r="A1395" s="179"/>
      <c r="B1395" s="179"/>
      <c r="C1395" s="669"/>
      <c r="D1395" s="2142" t="s">
        <v>127</v>
      </c>
      <c r="E1395" s="2142"/>
      <c r="F1395" s="2142"/>
      <c r="G1395" s="2142"/>
      <c r="H1395" s="670">
        <f>ROUND(H1393*H1394,2)</f>
        <v>292.8</v>
      </c>
      <c r="I1395" s="1830"/>
      <c r="J1395" s="1795"/>
      <c r="K1395" s="1795"/>
      <c r="L1395" s="169"/>
      <c r="M1395" s="1783"/>
    </row>
    <row r="1396" spans="1:13" s="1517" customFormat="1" x14ac:dyDescent="0.25">
      <c r="A1396" s="179"/>
      <c r="B1396" s="179"/>
      <c r="C1396" s="1531"/>
      <c r="D1396" s="2141" t="s">
        <v>15335</v>
      </c>
      <c r="E1396" s="2141"/>
      <c r="F1396" s="2141"/>
      <c r="G1396" s="2141"/>
      <c r="H1396" s="267">
        <f>ROUND(H1393*$B$13,2)</f>
        <v>9.86</v>
      </c>
      <c r="I1396" s="1830"/>
      <c r="J1396" s="1795"/>
      <c r="K1396" s="1795"/>
      <c r="L1396" s="169"/>
      <c r="M1396" s="1783"/>
    </row>
    <row r="1397" spans="1:13" x14ac:dyDescent="0.25">
      <c r="A1397" s="179"/>
      <c r="B1397" s="179"/>
      <c r="C1397" s="1531"/>
      <c r="D1397" s="2142" t="s">
        <v>7898</v>
      </c>
      <c r="E1397" s="2142"/>
      <c r="F1397" s="2142"/>
      <c r="G1397" s="2142"/>
      <c r="H1397" s="1532">
        <f>H1396+H1393</f>
        <v>46.46</v>
      </c>
    </row>
    <row r="1398" spans="1:13" x14ac:dyDescent="0.25">
      <c r="A1398" s="656"/>
      <c r="B1398" s="656"/>
      <c r="C1398" s="656"/>
      <c r="F1398" s="671"/>
      <c r="G1398" s="672"/>
      <c r="H1398" s="656"/>
    </row>
    <row r="1399" spans="1:13" s="1517" customFormat="1" x14ac:dyDescent="0.25">
      <c r="A1399" s="146" t="s">
        <v>6</v>
      </c>
      <c r="B1399" s="2143" t="s">
        <v>7</v>
      </c>
      <c r="C1399" s="2143"/>
      <c r="D1399" s="658" t="s">
        <v>121</v>
      </c>
      <c r="E1399" s="278" t="s">
        <v>5282</v>
      </c>
      <c r="F1399" s="658" t="s">
        <v>31</v>
      </c>
      <c r="G1399" s="659" t="s">
        <v>122</v>
      </c>
      <c r="H1399" s="660" t="s">
        <v>123</v>
      </c>
      <c r="I1399" s="1830"/>
      <c r="J1399" s="1795"/>
      <c r="K1399" s="1795"/>
      <c r="L1399" s="169"/>
      <c r="M1399" s="1783"/>
    </row>
    <row r="1400" spans="1:13" s="1526" customFormat="1" ht="30" x14ac:dyDescent="0.2">
      <c r="A1400" s="661" t="str">
        <f>'Orç - Prédio'!A224</f>
        <v>04.01.816.01</v>
      </c>
      <c r="B1400" s="673" t="str">
        <f>'Orç - Prédio'!B224</f>
        <v>ORSE</v>
      </c>
      <c r="C1400" s="673">
        <f>'Orç - Prédio'!C224</f>
        <v>2066</v>
      </c>
      <c r="D1400" s="674" t="s">
        <v>5912</v>
      </c>
      <c r="E1400" s="662">
        <f>'Orç - Prédio'!E224</f>
        <v>14</v>
      </c>
      <c r="F1400" s="673" t="s">
        <v>5284</v>
      </c>
      <c r="G1400" s="663">
        <v>39.020000000000003</v>
      </c>
      <c r="H1400" s="664">
        <f>H1407</f>
        <v>546.28</v>
      </c>
      <c r="I1400" s="1910" t="s">
        <v>9544</v>
      </c>
      <c r="J1400" s="1793"/>
      <c r="K1400" s="1793"/>
      <c r="L1400" s="141"/>
      <c r="M1400" s="1515"/>
    </row>
    <row r="1401" spans="1:13" s="156" customFormat="1" ht="30" x14ac:dyDescent="0.2">
      <c r="A1401" s="2144">
        <v>377</v>
      </c>
      <c r="B1401" s="2144"/>
      <c r="C1401" s="657" t="s">
        <v>4448</v>
      </c>
      <c r="D1401" s="182" t="s">
        <v>10048</v>
      </c>
      <c r="E1401" s="665">
        <v>1</v>
      </c>
      <c r="F1401" s="666" t="s">
        <v>39</v>
      </c>
      <c r="G1401" s="667">
        <v>23.94</v>
      </c>
      <c r="H1401" s="668">
        <f>ROUNDDOWN(G1401*E1401,2)</f>
        <v>23.94</v>
      </c>
      <c r="I1401" s="1642"/>
      <c r="J1401" s="1797"/>
      <c r="K1401" s="1797"/>
      <c r="L1401" s="1784"/>
      <c r="M1401" s="1785"/>
    </row>
    <row r="1402" spans="1:13" s="156" customFormat="1" ht="30" x14ac:dyDescent="0.2">
      <c r="A1402" s="2144">
        <v>88316</v>
      </c>
      <c r="B1402" s="2144"/>
      <c r="C1402" s="657" t="s">
        <v>4448</v>
      </c>
      <c r="D1402" s="182" t="s">
        <v>64</v>
      </c>
      <c r="E1402" s="665">
        <v>1</v>
      </c>
      <c r="F1402" s="666" t="s">
        <v>65</v>
      </c>
      <c r="G1402" s="667">
        <v>15.08</v>
      </c>
      <c r="H1402" s="668">
        <f>ROUNDDOWN(G1402*E1402,2)</f>
        <v>15.08</v>
      </c>
      <c r="I1402" s="1642"/>
      <c r="J1402" s="1797"/>
      <c r="K1402" s="1797"/>
      <c r="L1402" s="1784"/>
      <c r="M1402" s="1785"/>
    </row>
    <row r="1403" spans="1:13" s="1517" customFormat="1" x14ac:dyDescent="0.25">
      <c r="A1403" s="179"/>
      <c r="B1403" s="179"/>
      <c r="C1403" s="669"/>
      <c r="D1403" s="2141" t="s">
        <v>124</v>
      </c>
      <c r="E1403" s="2141"/>
      <c r="F1403" s="2141"/>
      <c r="G1403" s="2141"/>
      <c r="H1403" s="267">
        <f>SUMIF(F1401:F1402,("h"),H1401:H1402)</f>
        <v>15.08</v>
      </c>
      <c r="I1403" s="1830"/>
      <c r="J1403" s="1795"/>
      <c r="K1403" s="1795"/>
      <c r="L1403" s="169"/>
      <c r="M1403" s="1783"/>
    </row>
    <row r="1404" spans="1:13" s="1517" customFormat="1" x14ac:dyDescent="0.25">
      <c r="A1404" s="179"/>
      <c r="B1404" s="179"/>
      <c r="C1404" s="669"/>
      <c r="D1404" s="2141" t="s">
        <v>125</v>
      </c>
      <c r="E1404" s="2141"/>
      <c r="F1404" s="2141"/>
      <c r="G1404" s="2141"/>
      <c r="H1404" s="267">
        <f>SUMIF(F1401:F1402,"&lt;&gt;h",H1401:H1402)</f>
        <v>23.94</v>
      </c>
      <c r="I1404" s="1830"/>
      <c r="J1404" s="1795"/>
      <c r="K1404" s="1795"/>
      <c r="L1404" s="169"/>
      <c r="M1404" s="1783"/>
    </row>
    <row r="1405" spans="1:13" s="1517" customFormat="1" x14ac:dyDescent="0.25">
      <c r="A1405" s="179"/>
      <c r="B1405" s="179"/>
      <c r="C1405" s="669"/>
      <c r="D1405" s="2142" t="s">
        <v>126</v>
      </c>
      <c r="E1405" s="2142"/>
      <c r="F1405" s="2142"/>
      <c r="G1405" s="2142"/>
      <c r="H1405" s="670">
        <f>SUM(H1403:H1404)</f>
        <v>39.020000000000003</v>
      </c>
      <c r="I1405" s="1830"/>
      <c r="J1405" s="1795"/>
      <c r="K1405" s="1795"/>
      <c r="L1405" s="169"/>
      <c r="M1405" s="1783"/>
    </row>
    <row r="1406" spans="1:13" s="1517" customFormat="1" x14ac:dyDescent="0.25">
      <c r="A1406" s="179"/>
      <c r="B1406" s="179"/>
      <c r="C1406" s="669"/>
      <c r="D1406" s="2141" t="s">
        <v>28</v>
      </c>
      <c r="E1406" s="2141"/>
      <c r="F1406" s="2141"/>
      <c r="G1406" s="2141"/>
      <c r="H1406" s="269">
        <f>E1400</f>
        <v>14</v>
      </c>
      <c r="I1406" s="1830"/>
      <c r="J1406" s="1795"/>
      <c r="K1406" s="1795"/>
      <c r="L1406" s="169"/>
      <c r="M1406" s="1783"/>
    </row>
    <row r="1407" spans="1:13" s="1517" customFormat="1" x14ac:dyDescent="0.25">
      <c r="A1407" s="179"/>
      <c r="B1407" s="179"/>
      <c r="C1407" s="669"/>
      <c r="D1407" s="2142" t="s">
        <v>127</v>
      </c>
      <c r="E1407" s="2142"/>
      <c r="F1407" s="2142"/>
      <c r="G1407" s="2142"/>
      <c r="H1407" s="670">
        <f>ROUND(H1405*H1406,2)</f>
        <v>546.28</v>
      </c>
      <c r="I1407" s="1830"/>
      <c r="J1407" s="1795"/>
      <c r="K1407" s="1795"/>
      <c r="L1407" s="169"/>
      <c r="M1407" s="1783"/>
    </row>
    <row r="1408" spans="1:13" s="1517" customFormat="1" x14ac:dyDescent="0.25">
      <c r="A1408" s="179"/>
      <c r="B1408" s="179"/>
      <c r="C1408" s="1531"/>
      <c r="D1408" s="2141" t="s">
        <v>15335</v>
      </c>
      <c r="E1408" s="2141"/>
      <c r="F1408" s="2141"/>
      <c r="G1408" s="2141"/>
      <c r="H1408" s="267">
        <f>ROUND(H1405*$B$13,2)</f>
        <v>10.51</v>
      </c>
      <c r="I1408" s="1830"/>
      <c r="J1408" s="1795"/>
      <c r="K1408" s="1795"/>
      <c r="L1408" s="169"/>
      <c r="M1408" s="1783"/>
    </row>
    <row r="1409" spans="1:13" x14ac:dyDescent="0.25">
      <c r="A1409" s="179"/>
      <c r="B1409" s="179"/>
      <c r="C1409" s="1531"/>
      <c r="D1409" s="2142" t="s">
        <v>7898</v>
      </c>
      <c r="E1409" s="2142"/>
      <c r="F1409" s="2142"/>
      <c r="G1409" s="2142"/>
      <c r="H1409" s="1532">
        <f>H1408+H1405</f>
        <v>49.53</v>
      </c>
    </row>
    <row r="1410" spans="1:13" x14ac:dyDescent="0.25">
      <c r="A1410" s="656"/>
      <c r="B1410" s="656"/>
      <c r="C1410" s="656"/>
      <c r="F1410" s="671"/>
      <c r="G1410" s="672"/>
      <c r="H1410" s="656"/>
    </row>
    <row r="1411" spans="1:13" s="1517" customFormat="1" x14ac:dyDescent="0.25">
      <c r="A1411" s="146" t="s">
        <v>6</v>
      </c>
      <c r="B1411" s="2143" t="s">
        <v>7</v>
      </c>
      <c r="C1411" s="2143"/>
      <c r="D1411" s="658" t="s">
        <v>121</v>
      </c>
      <c r="E1411" s="278" t="s">
        <v>5282</v>
      </c>
      <c r="F1411" s="658" t="s">
        <v>31</v>
      </c>
      <c r="G1411" s="659" t="s">
        <v>122</v>
      </c>
      <c r="H1411" s="660" t="s">
        <v>123</v>
      </c>
      <c r="I1411" s="1830"/>
      <c r="J1411" s="1795"/>
      <c r="K1411" s="1795"/>
      <c r="L1411" s="169"/>
      <c r="M1411" s="1783"/>
    </row>
    <row r="1412" spans="1:13" s="1526" customFormat="1" ht="30" x14ac:dyDescent="0.2">
      <c r="A1412" s="661" t="str">
        <f>'Orç - Prédio'!A225</f>
        <v>04.01.816.02</v>
      </c>
      <c r="B1412" s="673" t="str">
        <f>'Orç - Prédio'!B225</f>
        <v>SBC</v>
      </c>
      <c r="C1412" s="673">
        <f>'Orç - Prédio'!C225</f>
        <v>202151</v>
      </c>
      <c r="D1412" s="674" t="s">
        <v>5913</v>
      </c>
      <c r="E1412" s="662">
        <f>'Orç - Prédio'!E225</f>
        <v>4</v>
      </c>
      <c r="F1412" s="673" t="s">
        <v>5284</v>
      </c>
      <c r="G1412" s="663">
        <v>394.61</v>
      </c>
      <c r="H1412" s="664">
        <f>H1419</f>
        <v>1578.44</v>
      </c>
      <c r="I1412" s="1910" t="s">
        <v>14965</v>
      </c>
      <c r="J1412" s="1793"/>
      <c r="K1412" s="1793"/>
      <c r="L1412" s="141"/>
      <c r="M1412" s="1515"/>
    </row>
    <row r="1413" spans="1:13" s="156" customFormat="1" ht="30" x14ac:dyDescent="0.2">
      <c r="A1413" s="2144">
        <v>8980</v>
      </c>
      <c r="B1413" s="2144"/>
      <c r="C1413" s="657" t="s">
        <v>5737</v>
      </c>
      <c r="D1413" s="182" t="s">
        <v>9557</v>
      </c>
      <c r="E1413" s="665">
        <v>1</v>
      </c>
      <c r="F1413" s="666" t="s">
        <v>31</v>
      </c>
      <c r="G1413" s="367">
        <v>389.79</v>
      </c>
      <c r="H1413" s="668">
        <f>ROUNDDOWN(G1413*E1413,2)</f>
        <v>389.79</v>
      </c>
      <c r="I1413" s="1642"/>
      <c r="J1413" s="1797"/>
      <c r="K1413" s="1797"/>
      <c r="L1413" s="1784"/>
      <c r="M1413" s="1785"/>
    </row>
    <row r="1414" spans="1:13" s="156" customFormat="1" ht="30" x14ac:dyDescent="0.2">
      <c r="A1414" s="2144">
        <v>88316</v>
      </c>
      <c r="B1414" s="2144"/>
      <c r="C1414" s="657" t="s">
        <v>4448</v>
      </c>
      <c r="D1414" s="182" t="s">
        <v>64</v>
      </c>
      <c r="E1414" s="665">
        <v>0.32</v>
      </c>
      <c r="F1414" s="666" t="s">
        <v>65</v>
      </c>
      <c r="G1414" s="667">
        <v>15.08</v>
      </c>
      <c r="H1414" s="668">
        <f>ROUNDDOWN(G1414*E1414,2)</f>
        <v>4.82</v>
      </c>
      <c r="I1414" s="1642"/>
      <c r="J1414" s="1797"/>
      <c r="K1414" s="1797"/>
      <c r="L1414" s="1784"/>
      <c r="M1414" s="1785"/>
    </row>
    <row r="1415" spans="1:13" s="1517" customFormat="1" x14ac:dyDescent="0.25">
      <c r="A1415" s="179"/>
      <c r="B1415" s="179"/>
      <c r="C1415" s="669"/>
      <c r="D1415" s="2141" t="s">
        <v>124</v>
      </c>
      <c r="E1415" s="2141"/>
      <c r="F1415" s="2141"/>
      <c r="G1415" s="2141"/>
      <c r="H1415" s="267">
        <f>SUMIF(F1413:F1414,("h"),H1413:H1414)</f>
        <v>4.82</v>
      </c>
      <c r="I1415" s="1830"/>
      <c r="J1415" s="1795"/>
      <c r="K1415" s="1795"/>
      <c r="L1415" s="169"/>
      <c r="M1415" s="1783"/>
    </row>
    <row r="1416" spans="1:13" s="1517" customFormat="1" x14ac:dyDescent="0.25">
      <c r="A1416" s="179"/>
      <c r="B1416" s="179"/>
      <c r="C1416" s="669"/>
      <c r="D1416" s="2141" t="s">
        <v>125</v>
      </c>
      <c r="E1416" s="2141"/>
      <c r="F1416" s="2141"/>
      <c r="G1416" s="2141"/>
      <c r="H1416" s="267">
        <f>SUMIF(F1413:F1414,"&lt;&gt;h",H1413:H1414)</f>
        <v>389.79</v>
      </c>
      <c r="I1416" s="1830"/>
      <c r="J1416" s="1795"/>
      <c r="K1416" s="1795"/>
      <c r="L1416" s="169"/>
      <c r="M1416" s="1783"/>
    </row>
    <row r="1417" spans="1:13" s="1517" customFormat="1" x14ac:dyDescent="0.25">
      <c r="A1417" s="179"/>
      <c r="B1417" s="179"/>
      <c r="C1417" s="669"/>
      <c r="D1417" s="2142" t="s">
        <v>126</v>
      </c>
      <c r="E1417" s="2142"/>
      <c r="F1417" s="2142"/>
      <c r="G1417" s="2142"/>
      <c r="H1417" s="670">
        <f>SUM(H1415:H1416)</f>
        <v>394.61</v>
      </c>
      <c r="I1417" s="1830"/>
      <c r="J1417" s="1795"/>
      <c r="K1417" s="1795"/>
      <c r="L1417" s="169"/>
      <c r="M1417" s="1783"/>
    </row>
    <row r="1418" spans="1:13" s="1517" customFormat="1" x14ac:dyDescent="0.25">
      <c r="A1418" s="179"/>
      <c r="B1418" s="179"/>
      <c r="C1418" s="669"/>
      <c r="D1418" s="2141" t="s">
        <v>28</v>
      </c>
      <c r="E1418" s="2141"/>
      <c r="F1418" s="2141"/>
      <c r="G1418" s="2141"/>
      <c r="H1418" s="269">
        <f>E1412</f>
        <v>4</v>
      </c>
      <c r="I1418" s="1830"/>
      <c r="J1418" s="1795"/>
      <c r="K1418" s="1795"/>
      <c r="L1418" s="169"/>
      <c r="M1418" s="1783"/>
    </row>
    <row r="1419" spans="1:13" s="1517" customFormat="1" x14ac:dyDescent="0.25">
      <c r="A1419" s="179"/>
      <c r="B1419" s="179"/>
      <c r="C1419" s="669"/>
      <c r="D1419" s="2142" t="s">
        <v>127</v>
      </c>
      <c r="E1419" s="2142"/>
      <c r="F1419" s="2142"/>
      <c r="G1419" s="2142"/>
      <c r="H1419" s="670">
        <f>ROUND(H1417*H1418,2)</f>
        <v>1578.44</v>
      </c>
      <c r="I1419" s="1830"/>
      <c r="J1419" s="1795"/>
      <c r="K1419" s="1795"/>
      <c r="L1419" s="169"/>
      <c r="M1419" s="1783"/>
    </row>
    <row r="1420" spans="1:13" s="1517" customFormat="1" x14ac:dyDescent="0.25">
      <c r="A1420" s="179"/>
      <c r="B1420" s="179"/>
      <c r="C1420" s="1531"/>
      <c r="D1420" s="2141" t="s">
        <v>15335</v>
      </c>
      <c r="E1420" s="2141"/>
      <c r="F1420" s="2141"/>
      <c r="G1420" s="2141"/>
      <c r="H1420" s="267">
        <f>ROUND(H1417*$B$13,2)</f>
        <v>106.27</v>
      </c>
      <c r="I1420" s="1830"/>
      <c r="J1420" s="1795"/>
      <c r="K1420" s="1795"/>
      <c r="L1420" s="169"/>
      <c r="M1420" s="1783"/>
    </row>
    <row r="1421" spans="1:13" x14ac:dyDescent="0.25">
      <c r="A1421" s="179"/>
      <c r="B1421" s="179"/>
      <c r="C1421" s="1531"/>
      <c r="D1421" s="2142" t="s">
        <v>7898</v>
      </c>
      <c r="E1421" s="2142"/>
      <c r="F1421" s="2142"/>
      <c r="G1421" s="2142"/>
      <c r="H1421" s="1532">
        <f>H1420+H1417</f>
        <v>500.88</v>
      </c>
    </row>
    <row r="1422" spans="1:13" x14ac:dyDescent="0.25">
      <c r="A1422" s="656"/>
      <c r="B1422" s="656"/>
      <c r="C1422" s="656"/>
      <c r="F1422" s="671"/>
      <c r="G1422" s="672"/>
      <c r="H1422" s="656"/>
    </row>
    <row r="1423" spans="1:13" s="1517" customFormat="1" x14ac:dyDescent="0.25">
      <c r="A1423" s="146" t="s">
        <v>6</v>
      </c>
      <c r="B1423" s="2143" t="s">
        <v>7</v>
      </c>
      <c r="C1423" s="2143"/>
      <c r="D1423" s="658" t="s">
        <v>121</v>
      </c>
      <c r="E1423" s="278" t="s">
        <v>5282</v>
      </c>
      <c r="F1423" s="658" t="s">
        <v>31</v>
      </c>
      <c r="G1423" s="659" t="s">
        <v>122</v>
      </c>
      <c r="H1423" s="660" t="s">
        <v>123</v>
      </c>
      <c r="I1423" s="1830"/>
      <c r="J1423" s="1795"/>
      <c r="K1423" s="1795"/>
      <c r="L1423" s="169"/>
      <c r="M1423" s="1783"/>
    </row>
    <row r="1424" spans="1:13" s="1526" customFormat="1" ht="30" x14ac:dyDescent="0.2">
      <c r="A1424" s="661" t="str">
        <f>'Orç - Prédio'!A226</f>
        <v>04.01.817.01</v>
      </c>
      <c r="B1424" s="673" t="str">
        <f>'Orç - Prédio'!B226</f>
        <v>ORSE</v>
      </c>
      <c r="C1424" s="673">
        <f>'Orç - Prédio'!C226</f>
        <v>8492</v>
      </c>
      <c r="D1424" s="674" t="s">
        <v>5914</v>
      </c>
      <c r="E1424" s="662">
        <f>'Orç - Prédio'!E226</f>
        <v>16</v>
      </c>
      <c r="F1424" s="673" t="s">
        <v>5284</v>
      </c>
      <c r="G1424" s="663">
        <v>150.04999999999998</v>
      </c>
      <c r="H1424" s="664">
        <f>H1431</f>
        <v>2400.8000000000002</v>
      </c>
      <c r="I1424" s="1910" t="s">
        <v>9544</v>
      </c>
      <c r="J1424" s="1793"/>
      <c r="K1424" s="1793"/>
      <c r="L1424" s="141"/>
      <c r="M1424" s="1515"/>
    </row>
    <row r="1425" spans="1:13" s="156" customFormat="1" ht="45" x14ac:dyDescent="0.2">
      <c r="A1425" s="2144">
        <v>36081</v>
      </c>
      <c r="B1425" s="2144"/>
      <c r="C1425" s="1516" t="s">
        <v>4448</v>
      </c>
      <c r="D1425" s="182" t="s">
        <v>10107</v>
      </c>
      <c r="E1425" s="1527">
        <v>1</v>
      </c>
      <c r="F1425" s="1678" t="s">
        <v>39</v>
      </c>
      <c r="G1425" s="1529">
        <v>144.01</v>
      </c>
      <c r="H1425" s="1530">
        <f>ROUNDDOWN(G1425*E1425,2)</f>
        <v>144.01</v>
      </c>
      <c r="I1425" s="1642"/>
      <c r="J1425" s="1797"/>
      <c r="K1425" s="1797"/>
      <c r="L1425" s="1784"/>
      <c r="M1425" s="1785"/>
    </row>
    <row r="1426" spans="1:13" s="156" customFormat="1" ht="30" x14ac:dyDescent="0.2">
      <c r="A1426" s="2144">
        <v>88309</v>
      </c>
      <c r="B1426" s="2144"/>
      <c r="C1426" s="657" t="s">
        <v>4448</v>
      </c>
      <c r="D1426" s="182" t="s">
        <v>87</v>
      </c>
      <c r="E1426" s="665">
        <v>0.3</v>
      </c>
      <c r="F1426" s="666" t="s">
        <v>65</v>
      </c>
      <c r="G1426" s="667">
        <v>20.149999999999999</v>
      </c>
      <c r="H1426" s="668">
        <f>ROUNDDOWN(G1426*E1426,2)</f>
        <v>6.04</v>
      </c>
      <c r="I1426" s="1642"/>
      <c r="J1426" s="1797"/>
      <c r="K1426" s="1797"/>
      <c r="L1426" s="1784"/>
      <c r="M1426" s="1785"/>
    </row>
    <row r="1427" spans="1:13" s="1517" customFormat="1" x14ac:dyDescent="0.25">
      <c r="A1427" s="179"/>
      <c r="B1427" s="179"/>
      <c r="C1427" s="669"/>
      <c r="D1427" s="2141" t="s">
        <v>124</v>
      </c>
      <c r="E1427" s="2141"/>
      <c r="F1427" s="2141"/>
      <c r="G1427" s="2141"/>
      <c r="H1427" s="267">
        <f>SUMIF(F1425:F1426,("h"),H1425:H1426)</f>
        <v>6.04</v>
      </c>
      <c r="I1427" s="1830"/>
      <c r="J1427" s="1795"/>
      <c r="K1427" s="1795"/>
      <c r="L1427" s="169"/>
      <c r="M1427" s="1783"/>
    </row>
    <row r="1428" spans="1:13" s="1517" customFormat="1" x14ac:dyDescent="0.25">
      <c r="A1428" s="179"/>
      <c r="B1428" s="179"/>
      <c r="C1428" s="669"/>
      <c r="D1428" s="2141" t="s">
        <v>125</v>
      </c>
      <c r="E1428" s="2141"/>
      <c r="F1428" s="2141"/>
      <c r="G1428" s="2141"/>
      <c r="H1428" s="267">
        <f>SUMIF(F1425:F1426,"&lt;&gt;h",H1425:H1426)</f>
        <v>144.01</v>
      </c>
      <c r="I1428" s="1830"/>
      <c r="J1428" s="1795"/>
      <c r="K1428" s="1795"/>
      <c r="L1428" s="169"/>
      <c r="M1428" s="1783"/>
    </row>
    <row r="1429" spans="1:13" s="1517" customFormat="1" x14ac:dyDescent="0.25">
      <c r="A1429" s="179"/>
      <c r="B1429" s="179"/>
      <c r="C1429" s="669"/>
      <c r="D1429" s="2142" t="s">
        <v>126</v>
      </c>
      <c r="E1429" s="2142"/>
      <c r="F1429" s="2142"/>
      <c r="G1429" s="2142"/>
      <c r="H1429" s="670">
        <f>SUM(H1427:H1428)</f>
        <v>150.04999999999998</v>
      </c>
      <c r="I1429" s="1830"/>
      <c r="J1429" s="1795"/>
      <c r="K1429" s="1795"/>
      <c r="L1429" s="169"/>
      <c r="M1429" s="1783"/>
    </row>
    <row r="1430" spans="1:13" s="1517" customFormat="1" x14ac:dyDescent="0.25">
      <c r="A1430" s="179"/>
      <c r="B1430" s="179"/>
      <c r="C1430" s="669"/>
      <c r="D1430" s="2141" t="s">
        <v>28</v>
      </c>
      <c r="E1430" s="2141"/>
      <c r="F1430" s="2141"/>
      <c r="G1430" s="2141"/>
      <c r="H1430" s="269">
        <f>E1424</f>
        <v>16</v>
      </c>
      <c r="I1430" s="1830"/>
      <c r="J1430" s="1795"/>
      <c r="K1430" s="1795"/>
      <c r="L1430" s="169"/>
      <c r="M1430" s="1783"/>
    </row>
    <row r="1431" spans="1:13" s="1517" customFormat="1" x14ac:dyDescent="0.25">
      <c r="A1431" s="179"/>
      <c r="B1431" s="179"/>
      <c r="C1431" s="669"/>
      <c r="D1431" s="2142" t="s">
        <v>127</v>
      </c>
      <c r="E1431" s="2142"/>
      <c r="F1431" s="2142"/>
      <c r="G1431" s="2142"/>
      <c r="H1431" s="670">
        <f>ROUND(H1429*H1430,2)</f>
        <v>2400.8000000000002</v>
      </c>
      <c r="I1431" s="1830"/>
      <c r="J1431" s="1795"/>
      <c r="K1431" s="1795"/>
      <c r="L1431" s="169"/>
      <c r="M1431" s="1783"/>
    </row>
    <row r="1432" spans="1:13" s="1517" customFormat="1" x14ac:dyDescent="0.25">
      <c r="A1432" s="179"/>
      <c r="B1432" s="179"/>
      <c r="C1432" s="1531"/>
      <c r="D1432" s="2141" t="s">
        <v>15335</v>
      </c>
      <c r="E1432" s="2141"/>
      <c r="F1432" s="2141"/>
      <c r="G1432" s="2141"/>
      <c r="H1432" s="267">
        <f>ROUND(H1429*$B$13,2)</f>
        <v>40.409999999999997</v>
      </c>
      <c r="I1432" s="1830"/>
      <c r="J1432" s="1795"/>
      <c r="K1432" s="1795"/>
      <c r="L1432" s="169"/>
      <c r="M1432" s="1783"/>
    </row>
    <row r="1433" spans="1:13" x14ac:dyDescent="0.25">
      <c r="A1433" s="179"/>
      <c r="B1433" s="179"/>
      <c r="C1433" s="1531"/>
      <c r="D1433" s="2142" t="s">
        <v>7898</v>
      </c>
      <c r="E1433" s="2142"/>
      <c r="F1433" s="2142"/>
      <c r="G1433" s="2142"/>
      <c r="H1433" s="1532">
        <f>H1432+H1429</f>
        <v>190.45999999999998</v>
      </c>
    </row>
    <row r="1434" spans="1:13" x14ac:dyDescent="0.25">
      <c r="A1434" s="656"/>
      <c r="B1434" s="656"/>
      <c r="C1434" s="656"/>
      <c r="F1434" s="671"/>
      <c r="G1434" s="672"/>
      <c r="H1434" s="656"/>
    </row>
    <row r="1435" spans="1:13" s="1517" customFormat="1" x14ac:dyDescent="0.25">
      <c r="A1435" s="146" t="s">
        <v>6</v>
      </c>
      <c r="B1435" s="2143" t="s">
        <v>7</v>
      </c>
      <c r="C1435" s="2143"/>
      <c r="D1435" s="658" t="s">
        <v>121</v>
      </c>
      <c r="E1435" s="278" t="s">
        <v>5282</v>
      </c>
      <c r="F1435" s="658" t="s">
        <v>31</v>
      </c>
      <c r="G1435" s="659" t="s">
        <v>122</v>
      </c>
      <c r="H1435" s="660" t="s">
        <v>123</v>
      </c>
      <c r="I1435" s="1830"/>
      <c r="J1435" s="1795"/>
      <c r="K1435" s="1795"/>
      <c r="L1435" s="169"/>
      <c r="M1435" s="1783"/>
    </row>
    <row r="1436" spans="1:13" s="1526" customFormat="1" ht="30" x14ac:dyDescent="0.2">
      <c r="A1436" s="661" t="str">
        <f>'Orç - Prédio'!A227</f>
        <v>04.01.817.02</v>
      </c>
      <c r="B1436" s="1915" t="str">
        <f>'Orç - Prédio'!B227</f>
        <v>ORSE</v>
      </c>
      <c r="C1436" s="1915">
        <f>'Orç - Prédio'!C227</f>
        <v>12127</v>
      </c>
      <c r="D1436" s="1915" t="s">
        <v>5915</v>
      </c>
      <c r="E1436" s="1866">
        <f>'Orç - Prédio'!E227</f>
        <v>4</v>
      </c>
      <c r="F1436" s="1915" t="s">
        <v>5284</v>
      </c>
      <c r="G1436" s="663">
        <v>362.36</v>
      </c>
      <c r="H1436" s="664">
        <f>H1443</f>
        <v>1449.44</v>
      </c>
      <c r="I1436" s="1910" t="s">
        <v>14965</v>
      </c>
      <c r="J1436" s="1793"/>
      <c r="K1436" s="1793"/>
      <c r="L1436" s="141"/>
      <c r="M1436" s="1515"/>
    </row>
    <row r="1437" spans="1:13" s="156" customFormat="1" ht="45" x14ac:dyDescent="0.2">
      <c r="A1437" s="2144">
        <v>9408</v>
      </c>
      <c r="B1437" s="2144"/>
      <c r="C1437" s="657" t="s">
        <v>5281</v>
      </c>
      <c r="D1437" s="182" t="s">
        <v>6682</v>
      </c>
      <c r="E1437" s="665">
        <v>1</v>
      </c>
      <c r="F1437" s="666" t="s">
        <v>31</v>
      </c>
      <c r="G1437" s="367">
        <v>356.32</v>
      </c>
      <c r="H1437" s="668">
        <f>ROUNDDOWN(G1437*E1437,2)</f>
        <v>356.32</v>
      </c>
      <c r="I1437" s="1642"/>
      <c r="J1437" s="1797"/>
      <c r="K1437" s="1797"/>
      <c r="L1437" s="1784"/>
      <c r="M1437" s="1785"/>
    </row>
    <row r="1438" spans="1:13" s="156" customFormat="1" ht="30" x14ac:dyDescent="0.2">
      <c r="A1438" s="2144">
        <v>88309</v>
      </c>
      <c r="B1438" s="2144"/>
      <c r="C1438" s="657" t="s">
        <v>4448</v>
      </c>
      <c r="D1438" s="182" t="s">
        <v>87</v>
      </c>
      <c r="E1438" s="665">
        <v>0.3</v>
      </c>
      <c r="F1438" s="666" t="s">
        <v>65</v>
      </c>
      <c r="G1438" s="667">
        <v>20.149999999999999</v>
      </c>
      <c r="H1438" s="668">
        <f>ROUNDDOWN(G1438*E1438,2)</f>
        <v>6.04</v>
      </c>
      <c r="I1438" s="1642"/>
      <c r="J1438" s="1797"/>
      <c r="K1438" s="1797"/>
      <c r="L1438" s="1784"/>
      <c r="M1438" s="1785"/>
    </row>
    <row r="1439" spans="1:13" s="1517" customFormat="1" x14ac:dyDescent="0.25">
      <c r="A1439" s="179"/>
      <c r="B1439" s="179"/>
      <c r="C1439" s="669"/>
      <c r="D1439" s="2141" t="s">
        <v>124</v>
      </c>
      <c r="E1439" s="2141"/>
      <c r="F1439" s="2141"/>
      <c r="G1439" s="2141"/>
      <c r="H1439" s="267">
        <f>SUMIF(F1437:F1438,("h"),H1437:H1438)</f>
        <v>6.04</v>
      </c>
      <c r="I1439" s="1830"/>
      <c r="J1439" s="1795"/>
      <c r="K1439" s="1795"/>
      <c r="L1439" s="169"/>
      <c r="M1439" s="1783"/>
    </row>
    <row r="1440" spans="1:13" s="1517" customFormat="1" x14ac:dyDescent="0.25">
      <c r="A1440" s="179"/>
      <c r="B1440" s="179"/>
      <c r="C1440" s="669"/>
      <c r="D1440" s="2141" t="s">
        <v>125</v>
      </c>
      <c r="E1440" s="2141"/>
      <c r="F1440" s="2141"/>
      <c r="G1440" s="2141"/>
      <c r="H1440" s="267">
        <f>SUMIF(F1437:F1438,"&lt;&gt;h",H1437:H1438)</f>
        <v>356.32</v>
      </c>
      <c r="I1440" s="1830"/>
      <c r="J1440" s="1795"/>
      <c r="K1440" s="1795"/>
      <c r="L1440" s="169"/>
      <c r="M1440" s="1783"/>
    </row>
    <row r="1441" spans="1:13" s="1517" customFormat="1" x14ac:dyDescent="0.25">
      <c r="A1441" s="179"/>
      <c r="B1441" s="179"/>
      <c r="C1441" s="669"/>
      <c r="D1441" s="2142" t="s">
        <v>126</v>
      </c>
      <c r="E1441" s="2142"/>
      <c r="F1441" s="2142"/>
      <c r="G1441" s="2142"/>
      <c r="H1441" s="670">
        <f>SUM(H1439:H1440)</f>
        <v>362.36</v>
      </c>
      <c r="I1441" s="1830"/>
      <c r="J1441" s="1795"/>
      <c r="K1441" s="1795"/>
      <c r="L1441" s="169"/>
      <c r="M1441" s="1783"/>
    </row>
    <row r="1442" spans="1:13" s="1517" customFormat="1" x14ac:dyDescent="0.25">
      <c r="A1442" s="179"/>
      <c r="B1442" s="179"/>
      <c r="C1442" s="669"/>
      <c r="D1442" s="2141" t="s">
        <v>28</v>
      </c>
      <c r="E1442" s="2141"/>
      <c r="F1442" s="2141"/>
      <c r="G1442" s="2141"/>
      <c r="H1442" s="269">
        <f>E1436</f>
        <v>4</v>
      </c>
      <c r="I1442" s="1830"/>
      <c r="J1442" s="1795"/>
      <c r="K1442" s="1795"/>
      <c r="L1442" s="169"/>
      <c r="M1442" s="1783"/>
    </row>
    <row r="1443" spans="1:13" s="1517" customFormat="1" x14ac:dyDescent="0.25">
      <c r="A1443" s="179"/>
      <c r="B1443" s="179"/>
      <c r="C1443" s="669"/>
      <c r="D1443" s="2142" t="s">
        <v>127</v>
      </c>
      <c r="E1443" s="2142"/>
      <c r="F1443" s="2142"/>
      <c r="G1443" s="2142"/>
      <c r="H1443" s="670">
        <f>ROUND(H1441*H1442,2)</f>
        <v>1449.44</v>
      </c>
      <c r="I1443" s="1830"/>
      <c r="J1443" s="1795"/>
      <c r="K1443" s="1795"/>
      <c r="L1443" s="169"/>
      <c r="M1443" s="1783"/>
    </row>
    <row r="1444" spans="1:13" s="1517" customFormat="1" x14ac:dyDescent="0.25">
      <c r="A1444" s="179"/>
      <c r="B1444" s="179"/>
      <c r="C1444" s="1531"/>
      <c r="D1444" s="2141" t="s">
        <v>15335</v>
      </c>
      <c r="E1444" s="2141"/>
      <c r="F1444" s="2141"/>
      <c r="G1444" s="2141"/>
      <c r="H1444" s="267">
        <f>ROUND(H1441*$B$13,2)</f>
        <v>97.58</v>
      </c>
      <c r="I1444" s="1830"/>
      <c r="J1444" s="1795"/>
      <c r="K1444" s="1795"/>
      <c r="L1444" s="169"/>
      <c r="M1444" s="1783"/>
    </row>
    <row r="1445" spans="1:13" x14ac:dyDescent="0.25">
      <c r="A1445" s="179"/>
      <c r="B1445" s="179"/>
      <c r="C1445" s="1531"/>
      <c r="D1445" s="2142" t="s">
        <v>7898</v>
      </c>
      <c r="E1445" s="2142"/>
      <c r="F1445" s="2142"/>
      <c r="G1445" s="2142"/>
      <c r="H1445" s="1532">
        <f>H1444+H1441</f>
        <v>459.94</v>
      </c>
      <c r="I1445" s="1830"/>
    </row>
    <row r="1446" spans="1:13" x14ac:dyDescent="0.25">
      <c r="A1446" s="656"/>
      <c r="B1446" s="656"/>
      <c r="C1446" s="656"/>
      <c r="F1446" s="671"/>
      <c r="G1446" s="672"/>
      <c r="H1446" s="656"/>
    </row>
    <row r="1447" spans="1:13" s="1517" customFormat="1" x14ac:dyDescent="0.25">
      <c r="A1447" s="146" t="s">
        <v>6</v>
      </c>
      <c r="B1447" s="2143" t="s">
        <v>7</v>
      </c>
      <c r="C1447" s="2143"/>
      <c r="D1447" s="1518" t="s">
        <v>121</v>
      </c>
      <c r="E1447" s="278" t="s">
        <v>5282</v>
      </c>
      <c r="F1447" s="1518" t="s">
        <v>31</v>
      </c>
      <c r="G1447" s="1519" t="s">
        <v>122</v>
      </c>
      <c r="H1447" s="1520" t="s">
        <v>123</v>
      </c>
      <c r="I1447" s="1830"/>
      <c r="J1447" s="1795"/>
      <c r="K1447" s="1795"/>
      <c r="L1447" s="169"/>
      <c r="M1447" s="1783"/>
    </row>
    <row r="1448" spans="1:13" s="1526" customFormat="1" ht="30" x14ac:dyDescent="0.2">
      <c r="A1448" s="1914" t="str">
        <f>'Orç - Prédio'!A235</f>
        <v>04.02.105.01</v>
      </c>
      <c r="B1448" s="1914" t="str">
        <f>'Orç - Prédio'!B235</f>
        <v>SBC</v>
      </c>
      <c r="C1448" s="1914">
        <f>'Orç - Prédio'!C235</f>
        <v>202336</v>
      </c>
      <c r="D1448" s="1865" t="s">
        <v>9525</v>
      </c>
      <c r="E1448" s="1866">
        <f>'Orç - Prédio'!E235</f>
        <v>16</v>
      </c>
      <c r="F1448" s="1914" t="s">
        <v>5284</v>
      </c>
      <c r="G1448" s="1524">
        <v>73.11</v>
      </c>
      <c r="H1448" s="1525">
        <f>H1455</f>
        <v>1169.76</v>
      </c>
      <c r="I1448" s="1910" t="s">
        <v>14965</v>
      </c>
      <c r="J1448" s="1793"/>
      <c r="K1448" s="1793"/>
      <c r="L1448" s="141"/>
      <c r="M1448" s="1515"/>
    </row>
    <row r="1449" spans="1:13" s="1859" customFormat="1" ht="45" x14ac:dyDescent="0.2">
      <c r="A1449" s="2144">
        <v>25840</v>
      </c>
      <c r="B1449" s="2144"/>
      <c r="C1449" s="1863" t="s">
        <v>5737</v>
      </c>
      <c r="D1449" s="1862" t="s">
        <v>9527</v>
      </c>
      <c r="E1449" s="1864">
        <v>1</v>
      </c>
      <c r="F1449" s="1912" t="s">
        <v>9528</v>
      </c>
      <c r="G1449" s="1860">
        <v>69.900000000000006</v>
      </c>
      <c r="H1449" s="1857">
        <f>ROUNDDOWN(G1449*E1449,2)</f>
        <v>69.900000000000006</v>
      </c>
      <c r="I1449" s="1856"/>
      <c r="J1449" s="1797"/>
      <c r="K1449" s="1797"/>
      <c r="L1449" s="1784"/>
      <c r="M1449" s="1785"/>
    </row>
    <row r="1450" spans="1:13" s="1859" customFormat="1" ht="30" x14ac:dyDescent="0.2">
      <c r="A1450" s="2144">
        <v>88316</v>
      </c>
      <c r="B1450" s="2144"/>
      <c r="C1450" s="1863" t="s">
        <v>4448</v>
      </c>
      <c r="D1450" s="1862" t="s">
        <v>64</v>
      </c>
      <c r="E1450" s="1864">
        <v>0.21299999999999999</v>
      </c>
      <c r="F1450" s="1912" t="s">
        <v>65</v>
      </c>
      <c r="G1450" s="1860">
        <v>15.08</v>
      </c>
      <c r="H1450" s="1857">
        <f t="shared" ref="H1450" si="117">ROUNDDOWN(G1450*E1450,2)</f>
        <v>3.21</v>
      </c>
      <c r="I1450" s="1856"/>
      <c r="J1450" s="1797"/>
      <c r="K1450" s="1797"/>
      <c r="L1450" s="1784"/>
      <c r="M1450" s="1785"/>
    </row>
    <row r="1451" spans="1:13" s="1517" customFormat="1" x14ac:dyDescent="0.25">
      <c r="A1451" s="1913"/>
      <c r="B1451" s="1913"/>
      <c r="C1451" s="1531"/>
      <c r="D1451" s="2141" t="s">
        <v>124</v>
      </c>
      <c r="E1451" s="2141"/>
      <c r="F1451" s="2141"/>
      <c r="G1451" s="2141"/>
      <c r="H1451" s="267">
        <f>SUMIF(F1449:F1450,("h"),H1449:H1450)</f>
        <v>3.21</v>
      </c>
      <c r="I1451" s="1830"/>
      <c r="J1451" s="1795"/>
      <c r="K1451" s="1795"/>
      <c r="L1451" s="169"/>
      <c r="M1451" s="1783"/>
    </row>
    <row r="1452" spans="1:13" s="1517" customFormat="1" x14ac:dyDescent="0.25">
      <c r="A1452" s="1913"/>
      <c r="B1452" s="1913"/>
      <c r="C1452" s="1531"/>
      <c r="D1452" s="2141" t="s">
        <v>125</v>
      </c>
      <c r="E1452" s="2141"/>
      <c r="F1452" s="2141"/>
      <c r="G1452" s="2141"/>
      <c r="H1452" s="267">
        <f>SUMIF(F1449:F1450,"&lt;&gt;h",H1449:H1450)</f>
        <v>69.900000000000006</v>
      </c>
      <c r="I1452" s="1830"/>
      <c r="J1452" s="1795"/>
      <c r="K1452" s="1795"/>
      <c r="L1452" s="169"/>
      <c r="M1452" s="1783"/>
    </row>
    <row r="1453" spans="1:13" s="1517" customFormat="1" x14ac:dyDescent="0.25">
      <c r="A1453" s="1913"/>
      <c r="B1453" s="1913"/>
      <c r="C1453" s="1531"/>
      <c r="D1453" s="2142" t="s">
        <v>126</v>
      </c>
      <c r="E1453" s="2142"/>
      <c r="F1453" s="2142"/>
      <c r="G1453" s="2142"/>
      <c r="H1453" s="1532">
        <f>SUM(H1451:H1452)</f>
        <v>73.11</v>
      </c>
      <c r="I1453" s="1830"/>
      <c r="J1453" s="1795"/>
      <c r="K1453" s="1795"/>
      <c r="L1453" s="169"/>
      <c r="M1453" s="1783"/>
    </row>
    <row r="1454" spans="1:13" s="1517" customFormat="1" x14ac:dyDescent="0.25">
      <c r="A1454" s="1913"/>
      <c r="B1454" s="1913"/>
      <c r="C1454" s="1531"/>
      <c r="D1454" s="2141" t="s">
        <v>28</v>
      </c>
      <c r="E1454" s="2141"/>
      <c r="F1454" s="2141"/>
      <c r="G1454" s="2141"/>
      <c r="H1454" s="269">
        <f>E1448</f>
        <v>16</v>
      </c>
      <c r="I1454" s="1830"/>
      <c r="J1454" s="1795"/>
      <c r="K1454" s="1795"/>
      <c r="L1454" s="169"/>
      <c r="M1454" s="1783"/>
    </row>
    <row r="1455" spans="1:13" s="1517" customFormat="1" x14ac:dyDescent="0.25">
      <c r="A1455" s="1913"/>
      <c r="B1455" s="1913"/>
      <c r="C1455" s="1531"/>
      <c r="D1455" s="2142" t="s">
        <v>127</v>
      </c>
      <c r="E1455" s="2142"/>
      <c r="F1455" s="2142"/>
      <c r="G1455" s="2142"/>
      <c r="H1455" s="1532">
        <f>ROUND(H1453*H1454,2)</f>
        <v>1169.76</v>
      </c>
      <c r="I1455" s="1830"/>
      <c r="J1455" s="1795"/>
      <c r="K1455" s="1795"/>
      <c r="L1455" s="169"/>
      <c r="M1455" s="1783"/>
    </row>
    <row r="1456" spans="1:13" s="1517" customFormat="1" x14ac:dyDescent="0.25">
      <c r="A1456" s="1913"/>
      <c r="B1456" s="1913"/>
      <c r="C1456" s="1531"/>
      <c r="D1456" s="2141" t="s">
        <v>15335</v>
      </c>
      <c r="E1456" s="2141"/>
      <c r="F1456" s="2141"/>
      <c r="G1456" s="2141"/>
      <c r="H1456" s="267">
        <f>ROUND(H1453*$B$13,2)</f>
        <v>19.690000000000001</v>
      </c>
      <c r="I1456" s="1830"/>
      <c r="J1456" s="1795"/>
      <c r="K1456" s="1795"/>
      <c r="L1456" s="169"/>
      <c r="M1456" s="1783"/>
    </row>
    <row r="1457" spans="1:13" x14ac:dyDescent="0.25">
      <c r="A1457" s="1913"/>
      <c r="B1457" s="1913"/>
      <c r="C1457" s="1531"/>
      <c r="D1457" s="2142" t="s">
        <v>7898</v>
      </c>
      <c r="E1457" s="2142"/>
      <c r="F1457" s="2142"/>
      <c r="G1457" s="2142"/>
      <c r="H1457" s="1532">
        <f>H1456+H1453</f>
        <v>92.8</v>
      </c>
    </row>
    <row r="1458" spans="1:13" x14ac:dyDescent="0.25">
      <c r="A1458" s="1514"/>
      <c r="B1458" s="1514"/>
      <c r="C1458" s="1514"/>
      <c r="F1458" s="1533"/>
      <c r="G1458" s="1534"/>
      <c r="H1458" s="1514"/>
    </row>
    <row r="1459" spans="1:13" s="1517" customFormat="1" x14ac:dyDescent="0.25">
      <c r="A1459" s="146" t="s">
        <v>6</v>
      </c>
      <c r="B1459" s="2143" t="s">
        <v>7</v>
      </c>
      <c r="C1459" s="2143"/>
      <c r="D1459" s="1518" t="s">
        <v>121</v>
      </c>
      <c r="E1459" s="278" t="s">
        <v>5282</v>
      </c>
      <c r="F1459" s="1518" t="s">
        <v>31</v>
      </c>
      <c r="G1459" s="1519" t="s">
        <v>122</v>
      </c>
      <c r="H1459" s="1520" t="s">
        <v>123</v>
      </c>
      <c r="I1459" s="1830"/>
      <c r="J1459" s="1795"/>
      <c r="K1459" s="1795"/>
      <c r="L1459" s="169"/>
      <c r="M1459" s="1783"/>
    </row>
    <row r="1460" spans="1:13" s="1526" customFormat="1" ht="30" x14ac:dyDescent="0.2">
      <c r="A1460" s="1914" t="str">
        <f>'Orç - Prédio'!A236</f>
        <v>04.02.105.02</v>
      </c>
      <c r="B1460" s="1914" t="str">
        <f>'Orç - Prédio'!B236</f>
        <v>ORSE</v>
      </c>
      <c r="C1460" s="1914">
        <f>'Orç - Prédio'!C236</f>
        <v>11621</v>
      </c>
      <c r="D1460" s="1865" t="s">
        <v>9530</v>
      </c>
      <c r="E1460" s="1914">
        <f>'Orç - Prédio'!E236</f>
        <v>12.32</v>
      </c>
      <c r="F1460" s="1914" t="s">
        <v>5713</v>
      </c>
      <c r="G1460" s="1524">
        <v>19.18</v>
      </c>
      <c r="H1460" s="1525">
        <f>H1467</f>
        <v>236.3</v>
      </c>
      <c r="I1460" s="1910" t="s">
        <v>14965</v>
      </c>
      <c r="J1460" s="1793"/>
      <c r="K1460" s="1793"/>
      <c r="L1460" s="141"/>
      <c r="M1460" s="1515"/>
    </row>
    <row r="1461" spans="1:13" s="1859" customFormat="1" ht="30" x14ac:dyDescent="0.2">
      <c r="A1461" s="2144">
        <v>12514</v>
      </c>
      <c r="B1461" s="2144"/>
      <c r="C1461" s="1863" t="s">
        <v>5281</v>
      </c>
      <c r="D1461" s="1862" t="s">
        <v>9531</v>
      </c>
      <c r="E1461" s="1864">
        <v>1</v>
      </c>
      <c r="F1461" s="1912" t="s">
        <v>136</v>
      </c>
      <c r="G1461" s="1860">
        <v>17.98</v>
      </c>
      <c r="H1461" s="1857">
        <f>ROUNDDOWN(G1461*E1461,2)</f>
        <v>17.98</v>
      </c>
      <c r="I1461" s="1856"/>
      <c r="J1461" s="1797"/>
      <c r="K1461" s="1797"/>
      <c r="L1461" s="1784"/>
      <c r="M1461" s="1785"/>
    </row>
    <row r="1462" spans="1:13" s="1859" customFormat="1" ht="30" x14ac:dyDescent="0.2">
      <c r="A1462" s="2144">
        <v>88316</v>
      </c>
      <c r="B1462" s="2144"/>
      <c r="C1462" s="1863" t="s">
        <v>4448</v>
      </c>
      <c r="D1462" s="1862" t="s">
        <v>64</v>
      </c>
      <c r="E1462" s="1864">
        <v>0.08</v>
      </c>
      <c r="F1462" s="1912" t="s">
        <v>65</v>
      </c>
      <c r="G1462" s="1860">
        <v>15.08</v>
      </c>
      <c r="H1462" s="1857">
        <f t="shared" ref="H1462" si="118">ROUNDDOWN(G1462*E1462,2)</f>
        <v>1.2</v>
      </c>
      <c r="I1462" s="1856"/>
      <c r="J1462" s="1797"/>
      <c r="K1462" s="1797"/>
      <c r="L1462" s="1784"/>
      <c r="M1462" s="1785"/>
    </row>
    <row r="1463" spans="1:13" s="1517" customFormat="1" x14ac:dyDescent="0.25">
      <c r="A1463" s="1913"/>
      <c r="B1463" s="1913"/>
      <c r="C1463" s="1531"/>
      <c r="D1463" s="2141" t="s">
        <v>124</v>
      </c>
      <c r="E1463" s="2141"/>
      <c r="F1463" s="2141"/>
      <c r="G1463" s="2141"/>
      <c r="H1463" s="267">
        <f>SUMIF(F1461:F1462,("h"),H1461:H1462)</f>
        <v>1.2</v>
      </c>
      <c r="I1463" s="1830"/>
      <c r="J1463" s="1795"/>
      <c r="K1463" s="1795"/>
      <c r="L1463" s="169"/>
      <c r="M1463" s="1783"/>
    </row>
    <row r="1464" spans="1:13" s="1517" customFormat="1" x14ac:dyDescent="0.25">
      <c r="A1464" s="1913"/>
      <c r="B1464" s="1913"/>
      <c r="C1464" s="1531"/>
      <c r="D1464" s="2141" t="s">
        <v>125</v>
      </c>
      <c r="E1464" s="2141"/>
      <c r="F1464" s="2141"/>
      <c r="G1464" s="2141"/>
      <c r="H1464" s="267">
        <f>SUMIF(F1461:F1462,"&lt;&gt;h",H1461:H1462)</f>
        <v>17.98</v>
      </c>
      <c r="I1464" s="1830"/>
      <c r="J1464" s="1795"/>
      <c r="K1464" s="1795"/>
      <c r="L1464" s="169"/>
      <c r="M1464" s="1783"/>
    </row>
    <row r="1465" spans="1:13" s="1517" customFormat="1" x14ac:dyDescent="0.25">
      <c r="A1465" s="1913"/>
      <c r="B1465" s="1913"/>
      <c r="C1465" s="1531"/>
      <c r="D1465" s="2142" t="s">
        <v>126</v>
      </c>
      <c r="E1465" s="2142"/>
      <c r="F1465" s="2142"/>
      <c r="G1465" s="2142"/>
      <c r="H1465" s="1532">
        <f>SUM(H1463:H1464)</f>
        <v>19.18</v>
      </c>
      <c r="I1465" s="1830"/>
      <c r="J1465" s="1795"/>
      <c r="K1465" s="1795"/>
      <c r="L1465" s="169"/>
      <c r="M1465" s="1783"/>
    </row>
    <row r="1466" spans="1:13" s="1517" customFormat="1" x14ac:dyDescent="0.25">
      <c r="A1466" s="1913"/>
      <c r="B1466" s="1913"/>
      <c r="C1466" s="1531"/>
      <c r="D1466" s="2141" t="s">
        <v>28</v>
      </c>
      <c r="E1466" s="2141"/>
      <c r="F1466" s="2141"/>
      <c r="G1466" s="2141"/>
      <c r="H1466" s="269">
        <f>E1460</f>
        <v>12.32</v>
      </c>
      <c r="I1466" s="1830"/>
      <c r="J1466" s="1795"/>
      <c r="K1466" s="1795"/>
      <c r="L1466" s="169"/>
      <c r="M1466" s="1783"/>
    </row>
    <row r="1467" spans="1:13" s="1517" customFormat="1" x14ac:dyDescent="0.25">
      <c r="A1467" s="1913"/>
      <c r="B1467" s="1913"/>
      <c r="C1467" s="1531"/>
      <c r="D1467" s="2142" t="s">
        <v>127</v>
      </c>
      <c r="E1467" s="2142"/>
      <c r="F1467" s="2142"/>
      <c r="G1467" s="2142"/>
      <c r="H1467" s="1532">
        <f>ROUND(H1465*H1466,2)</f>
        <v>236.3</v>
      </c>
      <c r="I1467" s="1830"/>
      <c r="J1467" s="1795"/>
      <c r="K1467" s="1795"/>
      <c r="L1467" s="169"/>
      <c r="M1467" s="1783"/>
    </row>
    <row r="1468" spans="1:13" s="1517" customFormat="1" x14ac:dyDescent="0.25">
      <c r="A1468" s="1913"/>
      <c r="B1468" s="1913"/>
      <c r="C1468" s="1531"/>
      <c r="D1468" s="2141" t="s">
        <v>15335</v>
      </c>
      <c r="E1468" s="2141"/>
      <c r="F1468" s="2141"/>
      <c r="G1468" s="2141"/>
      <c r="H1468" s="267">
        <f>ROUND(H1465*$B$13,2)</f>
        <v>5.17</v>
      </c>
      <c r="I1468" s="1830"/>
      <c r="J1468" s="1795"/>
      <c r="K1468" s="1795"/>
      <c r="L1468" s="169"/>
      <c r="M1468" s="1783"/>
    </row>
    <row r="1469" spans="1:13" x14ac:dyDescent="0.25">
      <c r="A1469" s="1913"/>
      <c r="B1469" s="1913"/>
      <c r="C1469" s="1531"/>
      <c r="D1469" s="2142" t="s">
        <v>7898</v>
      </c>
      <c r="E1469" s="2142"/>
      <c r="F1469" s="2142"/>
      <c r="G1469" s="2142"/>
      <c r="H1469" s="1532">
        <f>H1468+H1465</f>
        <v>24.35</v>
      </c>
    </row>
    <row r="1470" spans="1:13" x14ac:dyDescent="0.25">
      <c r="A1470" s="1514"/>
      <c r="B1470" s="1514"/>
      <c r="C1470" s="1514"/>
      <c r="F1470" s="1533"/>
      <c r="G1470" s="1534"/>
      <c r="H1470" s="1514"/>
    </row>
    <row r="1471" spans="1:13" s="1517" customFormat="1" x14ac:dyDescent="0.25">
      <c r="A1471" s="146" t="s">
        <v>6</v>
      </c>
      <c r="B1471" s="2143" t="s">
        <v>7</v>
      </c>
      <c r="C1471" s="2143"/>
      <c r="D1471" s="1518" t="s">
        <v>121</v>
      </c>
      <c r="E1471" s="278" t="s">
        <v>5282</v>
      </c>
      <c r="F1471" s="1518" t="s">
        <v>31</v>
      </c>
      <c r="G1471" s="1519" t="s">
        <v>122</v>
      </c>
      <c r="H1471" s="1520" t="s">
        <v>123</v>
      </c>
      <c r="I1471" s="1830"/>
      <c r="J1471" s="1795"/>
      <c r="K1471" s="1795"/>
      <c r="L1471" s="169"/>
      <c r="M1471" s="1783"/>
    </row>
    <row r="1472" spans="1:13" s="1526" customFormat="1" ht="45" x14ac:dyDescent="0.2">
      <c r="A1472" s="1693" t="str">
        <f>'Orç - Prédio'!A240</f>
        <v>04.04.304</v>
      </c>
      <c r="B1472" s="1873" t="str">
        <f>'Orç - Prédio'!B240</f>
        <v>SINAPI</v>
      </c>
      <c r="C1472" s="1873" t="str">
        <f>'Orç - Prédio'!C240</f>
        <v>98504 MOD</v>
      </c>
      <c r="D1472" s="1865" t="s">
        <v>8300</v>
      </c>
      <c r="E1472" s="1873">
        <f>'Orç - Prédio'!E240</f>
        <v>1338.75</v>
      </c>
      <c r="F1472" s="1873" t="s">
        <v>5286</v>
      </c>
      <c r="G1472" s="1524">
        <v>8.1000000000000014</v>
      </c>
      <c r="H1472" s="1525">
        <f>H1480</f>
        <v>10843.88</v>
      </c>
      <c r="I1472" s="1910" t="s">
        <v>9544</v>
      </c>
      <c r="J1472" s="1793"/>
      <c r="K1472" s="1793"/>
      <c r="L1472" s="141"/>
      <c r="M1472" s="1515"/>
    </row>
    <row r="1473" spans="1:13" s="156" customFormat="1" x14ac:dyDescent="0.2">
      <c r="A1473" s="2144">
        <v>3324</v>
      </c>
      <c r="B1473" s="2144"/>
      <c r="C1473" s="1516" t="s">
        <v>4448</v>
      </c>
      <c r="D1473" s="182" t="s">
        <v>12012</v>
      </c>
      <c r="E1473" s="1527">
        <v>1</v>
      </c>
      <c r="F1473" s="1789" t="s">
        <v>45</v>
      </c>
      <c r="G1473" s="1529">
        <v>4.99</v>
      </c>
      <c r="H1473" s="1530">
        <f>ROUNDDOWN(G1473*E1473,2)</f>
        <v>4.99</v>
      </c>
      <c r="I1473" s="1642"/>
      <c r="J1473" s="1797"/>
      <c r="K1473" s="1797"/>
      <c r="L1473" s="1784"/>
      <c r="M1473" s="1785"/>
    </row>
    <row r="1474" spans="1:13" s="156" customFormat="1" ht="30" x14ac:dyDescent="0.2">
      <c r="A1474" s="2144">
        <v>88316</v>
      </c>
      <c r="B1474" s="2144"/>
      <c r="C1474" s="1516" t="s">
        <v>4448</v>
      </c>
      <c r="D1474" s="182" t="s">
        <v>64</v>
      </c>
      <c r="E1474" s="1527">
        <v>0.15640000000000001</v>
      </c>
      <c r="F1474" s="1692" t="s">
        <v>65</v>
      </c>
      <c r="G1474" s="1529">
        <v>15.08</v>
      </c>
      <c r="H1474" s="1530">
        <f t="shared" ref="H1474:H1475" si="119">ROUNDDOWN(G1474*E1474,2)</f>
        <v>2.35</v>
      </c>
      <c r="I1474" s="1642"/>
      <c r="J1474" s="1797"/>
      <c r="K1474" s="1797"/>
      <c r="L1474" s="1784"/>
      <c r="M1474" s="1785"/>
    </row>
    <row r="1475" spans="1:13" s="156" customFormat="1" ht="30" x14ac:dyDescent="0.2">
      <c r="A1475" s="2144">
        <v>88441</v>
      </c>
      <c r="B1475" s="2144"/>
      <c r="C1475" s="1516" t="s">
        <v>4448</v>
      </c>
      <c r="D1475" s="182" t="s">
        <v>4330</v>
      </c>
      <c r="E1475" s="1527">
        <v>3.9100000000000003E-2</v>
      </c>
      <c r="F1475" s="1692" t="s">
        <v>65</v>
      </c>
      <c r="G1475" s="1529">
        <v>19.53</v>
      </c>
      <c r="H1475" s="1530">
        <f t="shared" si="119"/>
        <v>0.76</v>
      </c>
      <c r="I1475" s="1642"/>
      <c r="J1475" s="1797"/>
      <c r="K1475" s="1797"/>
      <c r="L1475" s="1784"/>
      <c r="M1475" s="1785"/>
    </row>
    <row r="1476" spans="1:13" s="1517" customFormat="1" x14ac:dyDescent="0.25">
      <c r="A1476" s="179"/>
      <c r="B1476" s="179"/>
      <c r="C1476" s="1531"/>
      <c r="D1476" s="2141" t="s">
        <v>124</v>
      </c>
      <c r="E1476" s="2141"/>
      <c r="F1476" s="2141"/>
      <c r="G1476" s="2141"/>
      <c r="H1476" s="267">
        <f>SUMIF(F1473:F1475,("h"),H1473:H1475)</f>
        <v>3.1100000000000003</v>
      </c>
      <c r="I1476" s="1830"/>
      <c r="J1476" s="1795"/>
      <c r="K1476" s="1795"/>
      <c r="L1476" s="169"/>
      <c r="M1476" s="1783"/>
    </row>
    <row r="1477" spans="1:13" s="1517" customFormat="1" x14ac:dyDescent="0.25">
      <c r="A1477" s="179"/>
      <c r="B1477" s="179"/>
      <c r="C1477" s="1531"/>
      <c r="D1477" s="2141" t="s">
        <v>125</v>
      </c>
      <c r="E1477" s="2141"/>
      <c r="F1477" s="2141"/>
      <c r="G1477" s="2141"/>
      <c r="H1477" s="267">
        <f>SUMIF(F1473:F1475,"&lt;&gt;h",H1473:H1475)</f>
        <v>4.99</v>
      </c>
      <c r="I1477" s="1830"/>
      <c r="J1477" s="1795"/>
      <c r="K1477" s="1795"/>
      <c r="L1477" s="169"/>
      <c r="M1477" s="1783"/>
    </row>
    <row r="1478" spans="1:13" s="1517" customFormat="1" x14ac:dyDescent="0.25">
      <c r="A1478" s="179"/>
      <c r="B1478" s="179"/>
      <c r="C1478" s="1531"/>
      <c r="D1478" s="2142" t="s">
        <v>126</v>
      </c>
      <c r="E1478" s="2142"/>
      <c r="F1478" s="2142"/>
      <c r="G1478" s="2142"/>
      <c r="H1478" s="1532">
        <f>SUM(H1476:H1477)</f>
        <v>8.1000000000000014</v>
      </c>
      <c r="I1478" s="1830"/>
      <c r="J1478" s="1795"/>
      <c r="K1478" s="1795"/>
      <c r="L1478" s="169"/>
      <c r="M1478" s="1783"/>
    </row>
    <row r="1479" spans="1:13" s="1517" customFormat="1" x14ac:dyDescent="0.25">
      <c r="A1479" s="179"/>
      <c r="B1479" s="179"/>
      <c r="C1479" s="1531"/>
      <c r="D1479" s="2141" t="s">
        <v>28</v>
      </c>
      <c r="E1479" s="2141"/>
      <c r="F1479" s="2141"/>
      <c r="G1479" s="2141"/>
      <c r="H1479" s="269">
        <f>E1472</f>
        <v>1338.75</v>
      </c>
      <c r="I1479" s="1830"/>
      <c r="J1479" s="1795"/>
      <c r="K1479" s="1795"/>
      <c r="L1479" s="169"/>
      <c r="M1479" s="1783"/>
    </row>
    <row r="1480" spans="1:13" s="1517" customFormat="1" x14ac:dyDescent="0.25">
      <c r="A1480" s="179"/>
      <c r="B1480" s="179"/>
      <c r="C1480" s="1531"/>
      <c r="D1480" s="2142" t="s">
        <v>127</v>
      </c>
      <c r="E1480" s="2142"/>
      <c r="F1480" s="2142"/>
      <c r="G1480" s="2142"/>
      <c r="H1480" s="1532">
        <f>ROUND(H1478*H1479,2)</f>
        <v>10843.88</v>
      </c>
      <c r="I1480" s="1830"/>
      <c r="J1480" s="1795"/>
      <c r="K1480" s="1795"/>
      <c r="L1480" s="169"/>
      <c r="M1480" s="1783"/>
    </row>
    <row r="1481" spans="1:13" s="1517" customFormat="1" x14ac:dyDescent="0.25">
      <c r="A1481" s="179"/>
      <c r="B1481" s="179"/>
      <c r="C1481" s="1531"/>
      <c r="D1481" s="2141" t="s">
        <v>15335</v>
      </c>
      <c r="E1481" s="2141"/>
      <c r="F1481" s="2141"/>
      <c r="G1481" s="2141"/>
      <c r="H1481" s="267">
        <f>ROUND(H1478*$B$13,2)</f>
        <v>2.1800000000000002</v>
      </c>
      <c r="I1481" s="1830"/>
      <c r="J1481" s="1795"/>
      <c r="K1481" s="1795"/>
      <c r="L1481" s="169"/>
      <c r="M1481" s="1783"/>
    </row>
    <row r="1482" spans="1:13" x14ac:dyDescent="0.25">
      <c r="A1482" s="179"/>
      <c r="B1482" s="179"/>
      <c r="C1482" s="1531"/>
      <c r="D1482" s="2142" t="s">
        <v>7898</v>
      </c>
      <c r="E1482" s="2142"/>
      <c r="F1482" s="2142"/>
      <c r="G1482" s="2142"/>
      <c r="H1482" s="1532">
        <f>H1481+H1478</f>
        <v>10.280000000000001</v>
      </c>
    </row>
    <row r="1483" spans="1:13" x14ac:dyDescent="0.25">
      <c r="A1483" s="1514"/>
      <c r="B1483" s="1514"/>
      <c r="C1483" s="1514"/>
      <c r="F1483" s="1533"/>
      <c r="G1483" s="1534"/>
      <c r="H1483" s="1514"/>
    </row>
    <row r="1484" spans="1:13" s="1517" customFormat="1" x14ac:dyDescent="0.25">
      <c r="A1484" s="146" t="s">
        <v>6</v>
      </c>
      <c r="B1484" s="2143" t="s">
        <v>7</v>
      </c>
      <c r="C1484" s="2143"/>
      <c r="D1484" s="1518" t="s">
        <v>121</v>
      </c>
      <c r="E1484" s="278" t="s">
        <v>5282</v>
      </c>
      <c r="F1484" s="1518" t="s">
        <v>31</v>
      </c>
      <c r="G1484" s="1519" t="s">
        <v>122</v>
      </c>
      <c r="H1484" s="1520" t="s">
        <v>123</v>
      </c>
      <c r="I1484" s="1830"/>
      <c r="J1484" s="1795"/>
      <c r="K1484" s="1795"/>
      <c r="L1484" s="169"/>
      <c r="M1484" s="1783"/>
    </row>
    <row r="1485" spans="1:13" s="1526" customFormat="1" ht="45" x14ac:dyDescent="0.2">
      <c r="A1485" s="1535" t="str">
        <f>'Orç - Reservatório'!A118</f>
        <v>05.01.202.03</v>
      </c>
      <c r="B1485" s="1535" t="str">
        <f>'Orç - Reservatório'!B118</f>
        <v>SINAPI</v>
      </c>
      <c r="C1485" s="1535">
        <f>'Orç - Reservatório'!C118</f>
        <v>94658</v>
      </c>
      <c r="D1485" s="1536" t="s">
        <v>5931</v>
      </c>
      <c r="E1485" s="1866">
        <f>'Orç - Reservatório'!E118</f>
        <v>1</v>
      </c>
      <c r="F1485" s="1535" t="s">
        <v>5284</v>
      </c>
      <c r="G1485" s="1524">
        <v>405.2</v>
      </c>
      <c r="H1485" s="1525">
        <f>H1495</f>
        <v>405.2</v>
      </c>
      <c r="I1485" s="1832" t="s">
        <v>15153</v>
      </c>
      <c r="J1485" s="1793"/>
      <c r="K1485" s="1793"/>
      <c r="L1485" s="141"/>
      <c r="M1485" s="1515"/>
    </row>
    <row r="1486" spans="1:13" s="1859" customFormat="1" ht="30" x14ac:dyDescent="0.2">
      <c r="A1486" s="2144">
        <v>1337</v>
      </c>
      <c r="B1486" s="2144"/>
      <c r="C1486" s="1863" t="s">
        <v>4448</v>
      </c>
      <c r="D1486" s="1862" t="s">
        <v>10823</v>
      </c>
      <c r="E1486" s="1864">
        <f>54.53*1.05*1.05</f>
        <v>60.119325000000003</v>
      </c>
      <c r="F1486" s="1901" t="s">
        <v>48</v>
      </c>
      <c r="G1486" s="1860">
        <v>6.18</v>
      </c>
      <c r="H1486" s="1857">
        <f>ROUNDDOWN(G1486*E1486,2)</f>
        <v>371.53</v>
      </c>
      <c r="I1486" s="1856"/>
      <c r="J1486" s="1797"/>
      <c r="K1486" s="1797"/>
      <c r="L1486" s="1784"/>
      <c r="M1486" s="1785"/>
    </row>
    <row r="1487" spans="1:13" s="1859" customFormat="1" ht="30" x14ac:dyDescent="0.2">
      <c r="A1487" s="2144">
        <v>370</v>
      </c>
      <c r="B1487" s="2144"/>
      <c r="C1487" s="1863" t="s">
        <v>4448</v>
      </c>
      <c r="D1487" s="1862" t="s">
        <v>9988</v>
      </c>
      <c r="E1487" s="1864">
        <f>0.003*1.05*1.05</f>
        <v>3.3075000000000001E-3</v>
      </c>
      <c r="F1487" s="1901" t="s">
        <v>44</v>
      </c>
      <c r="G1487" s="1860">
        <v>95</v>
      </c>
      <c r="H1487" s="1857">
        <f>ROUNDDOWN(G1487*E1487,2)</f>
        <v>0.31</v>
      </c>
      <c r="I1487" s="1856"/>
      <c r="J1487" s="1797"/>
      <c r="K1487" s="1797"/>
      <c r="L1487" s="1784"/>
      <c r="M1487" s="1785"/>
    </row>
    <row r="1488" spans="1:13" s="1859" customFormat="1" x14ac:dyDescent="0.2">
      <c r="A1488" s="2144">
        <v>1379</v>
      </c>
      <c r="B1488" s="2144"/>
      <c r="C1488" s="1863" t="s">
        <v>4448</v>
      </c>
      <c r="D1488" s="1862" t="s">
        <v>10898</v>
      </c>
      <c r="E1488" s="1864">
        <f>1.17*1.05*1.05</f>
        <v>1.289925</v>
      </c>
      <c r="F1488" s="1901" t="s">
        <v>48</v>
      </c>
      <c r="G1488" s="1860">
        <v>0.4</v>
      </c>
      <c r="H1488" s="1857">
        <f>ROUNDDOWN(G1488*E1488,2)</f>
        <v>0.51</v>
      </c>
      <c r="I1488" s="1856"/>
      <c r="J1488" s="1797"/>
      <c r="K1488" s="1797"/>
      <c r="L1488" s="1784"/>
      <c r="M1488" s="1785"/>
    </row>
    <row r="1489" spans="1:13" s="1859" customFormat="1" ht="30" x14ac:dyDescent="0.2">
      <c r="A1489" s="2144">
        <v>88309</v>
      </c>
      <c r="B1489" s="2144"/>
      <c r="C1489" s="1863" t="s">
        <v>4448</v>
      </c>
      <c r="D1489" s="1862" t="s">
        <v>87</v>
      </c>
      <c r="E1489" s="1864">
        <f>1*1.05*1.05</f>
        <v>1.1025</v>
      </c>
      <c r="F1489" s="1901" t="s">
        <v>65</v>
      </c>
      <c r="G1489" s="1860">
        <v>20.149999999999999</v>
      </c>
      <c r="H1489" s="1857">
        <f>ROUNDDOWN(G1489*E1489,2)</f>
        <v>22.21</v>
      </c>
      <c r="I1489" s="1856"/>
      <c r="J1489" s="1797"/>
      <c r="K1489" s="1797"/>
      <c r="L1489" s="1784"/>
      <c r="M1489" s="1785"/>
    </row>
    <row r="1490" spans="1:13" s="1859" customFormat="1" ht="30" x14ac:dyDescent="0.2">
      <c r="A1490" s="2144">
        <v>88316</v>
      </c>
      <c r="B1490" s="2144"/>
      <c r="C1490" s="1863" t="s">
        <v>4448</v>
      </c>
      <c r="D1490" s="1862" t="s">
        <v>64</v>
      </c>
      <c r="E1490" s="1864">
        <f>0.64*1.05*1.05</f>
        <v>0.70560000000000012</v>
      </c>
      <c r="F1490" s="1901" t="s">
        <v>65</v>
      </c>
      <c r="G1490" s="1860">
        <v>15.08</v>
      </c>
      <c r="H1490" s="1857">
        <f>ROUNDDOWN(G1490*E1490,2)</f>
        <v>10.64</v>
      </c>
      <c r="I1490" s="1856"/>
      <c r="J1490" s="1797"/>
      <c r="K1490" s="1797"/>
      <c r="L1490" s="1784"/>
      <c r="M1490" s="1785"/>
    </row>
    <row r="1491" spans="1:13" s="1517" customFormat="1" x14ac:dyDescent="0.25">
      <c r="A1491" s="1847"/>
      <c r="B1491" s="1847"/>
      <c r="C1491" s="1531"/>
      <c r="D1491" s="2141" t="s">
        <v>124</v>
      </c>
      <c r="E1491" s="2141"/>
      <c r="F1491" s="2141"/>
      <c r="G1491" s="2141"/>
      <c r="H1491" s="267">
        <f>SUMIF(F1486:F1490,("h"),H1486:H1490)</f>
        <v>32.85</v>
      </c>
      <c r="I1491" s="1830"/>
      <c r="J1491" s="1795"/>
      <c r="K1491" s="1795"/>
      <c r="L1491" s="169"/>
      <c r="M1491" s="1783"/>
    </row>
    <row r="1492" spans="1:13" s="1517" customFormat="1" x14ac:dyDescent="0.25">
      <c r="A1492" s="1847"/>
      <c r="B1492" s="1847"/>
      <c r="C1492" s="1531"/>
      <c r="D1492" s="2141" t="s">
        <v>125</v>
      </c>
      <c r="E1492" s="2141"/>
      <c r="F1492" s="2141"/>
      <c r="G1492" s="2141"/>
      <c r="H1492" s="267">
        <f>SUMIF(F1486:F1490,"&lt;&gt;h",H1486:H1490)</f>
        <v>372.34999999999997</v>
      </c>
      <c r="I1492" s="1830"/>
      <c r="J1492" s="1795"/>
      <c r="K1492" s="1795"/>
      <c r="L1492" s="169"/>
      <c r="M1492" s="1783"/>
    </row>
    <row r="1493" spans="1:13" s="1517" customFormat="1" x14ac:dyDescent="0.25">
      <c r="A1493" s="1847"/>
      <c r="B1493" s="1847"/>
      <c r="C1493" s="1531"/>
      <c r="D1493" s="2142" t="s">
        <v>126</v>
      </c>
      <c r="E1493" s="2142"/>
      <c r="F1493" s="2142"/>
      <c r="G1493" s="2142"/>
      <c r="H1493" s="1532">
        <f>SUM(H1491:H1492)</f>
        <v>405.2</v>
      </c>
      <c r="I1493" s="1830"/>
      <c r="J1493" s="1795"/>
      <c r="K1493" s="1795"/>
      <c r="L1493" s="169"/>
      <c r="M1493" s="1783"/>
    </row>
    <row r="1494" spans="1:13" s="1517" customFormat="1" x14ac:dyDescent="0.25">
      <c r="A1494" s="1847"/>
      <c r="B1494" s="1847"/>
      <c r="C1494" s="1531"/>
      <c r="D1494" s="2141" t="s">
        <v>28</v>
      </c>
      <c r="E1494" s="2141"/>
      <c r="F1494" s="2141"/>
      <c r="G1494" s="2141"/>
      <c r="H1494" s="269">
        <f>E1485</f>
        <v>1</v>
      </c>
      <c r="I1494" s="1830"/>
      <c r="J1494" s="1795"/>
      <c r="K1494" s="1795"/>
      <c r="L1494" s="169"/>
      <c r="M1494" s="1783"/>
    </row>
    <row r="1495" spans="1:13" s="1517" customFormat="1" x14ac:dyDescent="0.25">
      <c r="A1495" s="1847"/>
      <c r="B1495" s="1847"/>
      <c r="C1495" s="1531"/>
      <c r="D1495" s="2142" t="s">
        <v>127</v>
      </c>
      <c r="E1495" s="2142"/>
      <c r="F1495" s="2142"/>
      <c r="G1495" s="2142"/>
      <c r="H1495" s="1532">
        <f>ROUND(H1493*H1494,2)</f>
        <v>405.2</v>
      </c>
      <c r="I1495" s="1830"/>
      <c r="J1495" s="1795"/>
      <c r="K1495" s="1795"/>
      <c r="L1495" s="169"/>
      <c r="M1495" s="1783"/>
    </row>
    <row r="1496" spans="1:13" s="1517" customFormat="1" x14ac:dyDescent="0.25">
      <c r="A1496" s="1847"/>
      <c r="B1496" s="1847"/>
      <c r="C1496" s="1531"/>
      <c r="D1496" s="2141" t="s">
        <v>15335</v>
      </c>
      <c r="E1496" s="2141"/>
      <c r="F1496" s="2141"/>
      <c r="G1496" s="2141"/>
      <c r="H1496" s="267">
        <f>ROUND(H1493*$B$13,2)</f>
        <v>109.12</v>
      </c>
      <c r="I1496" s="1830"/>
      <c r="J1496" s="1795"/>
      <c r="K1496" s="1795"/>
      <c r="L1496" s="169"/>
      <c r="M1496" s="1783"/>
    </row>
    <row r="1497" spans="1:13" x14ac:dyDescent="0.25">
      <c r="A1497" s="1847"/>
      <c r="B1497" s="1847"/>
      <c r="C1497" s="1531"/>
      <c r="D1497" s="2142" t="s">
        <v>7898</v>
      </c>
      <c r="E1497" s="2142"/>
      <c r="F1497" s="2142"/>
      <c r="G1497" s="2142"/>
      <c r="H1497" s="1532">
        <f>H1496+H1493</f>
        <v>514.31999999999994</v>
      </c>
    </row>
    <row r="1498" spans="1:13" x14ac:dyDescent="0.25">
      <c r="A1498" s="1514"/>
      <c r="B1498" s="1514"/>
      <c r="C1498" s="1514"/>
      <c r="F1498" s="1533"/>
      <c r="G1498" s="1534"/>
      <c r="H1498" s="1514"/>
    </row>
    <row r="1499" spans="1:13" s="1517" customFormat="1" x14ac:dyDescent="0.25">
      <c r="A1499" s="146" t="s">
        <v>6</v>
      </c>
      <c r="B1499" s="2143" t="s">
        <v>7</v>
      </c>
      <c r="C1499" s="2143"/>
      <c r="D1499" s="678" t="s">
        <v>121</v>
      </c>
      <c r="E1499" s="278" t="s">
        <v>5282</v>
      </c>
      <c r="F1499" s="678" t="s">
        <v>31</v>
      </c>
      <c r="G1499" s="679" t="s">
        <v>122</v>
      </c>
      <c r="H1499" s="680" t="s">
        <v>123</v>
      </c>
      <c r="I1499" s="1830"/>
      <c r="J1499" s="1795"/>
      <c r="K1499" s="1795"/>
      <c r="L1499" s="169"/>
      <c r="M1499" s="1783"/>
    </row>
    <row r="1500" spans="1:13" s="1526" customFormat="1" ht="30" x14ac:dyDescent="0.2">
      <c r="A1500" s="681" t="str">
        <f>'Orç - Prédio'!A266</f>
        <v>05.01.203.01</v>
      </c>
      <c r="B1500" s="673" t="str">
        <f>'Orç - Prédio'!B266</f>
        <v>SINAPI</v>
      </c>
      <c r="C1500" s="693" t="str">
        <f>'Orç - Prédio'!C266</f>
        <v>90375 MOD 1</v>
      </c>
      <c r="D1500" s="694" t="s">
        <v>5933</v>
      </c>
      <c r="E1500" s="682">
        <f>'Orç - Prédio'!E266</f>
        <v>3</v>
      </c>
      <c r="F1500" s="693" t="s">
        <v>5284</v>
      </c>
      <c r="G1500" s="683">
        <v>6.02</v>
      </c>
      <c r="H1500" s="684">
        <f>H1511</f>
        <v>18.059999999999999</v>
      </c>
      <c r="I1500" s="1910" t="s">
        <v>9562</v>
      </c>
      <c r="J1500" s="1793"/>
      <c r="K1500" s="1793"/>
      <c r="L1500" s="141"/>
      <c r="M1500" s="1515"/>
    </row>
    <row r="1501" spans="1:13" s="156" customFormat="1" ht="30" x14ac:dyDescent="0.2">
      <c r="A1501" s="2144">
        <v>122</v>
      </c>
      <c r="B1501" s="2144"/>
      <c r="C1501" s="677" t="s">
        <v>4448</v>
      </c>
      <c r="D1501" s="182" t="s">
        <v>9804</v>
      </c>
      <c r="E1501" s="685">
        <v>8.9999999999999993E-3</v>
      </c>
      <c r="F1501" s="686" t="s">
        <v>39</v>
      </c>
      <c r="G1501" s="687">
        <v>56.82</v>
      </c>
      <c r="H1501" s="688">
        <f t="shared" ref="H1501:H1506" si="120">ROUNDDOWN(G1501*E1501,2)</f>
        <v>0.51</v>
      </c>
      <c r="I1501" s="1642"/>
      <c r="J1501" s="1797"/>
      <c r="K1501" s="1797"/>
      <c r="L1501" s="1784"/>
      <c r="M1501" s="1785"/>
    </row>
    <row r="1502" spans="1:13" s="156" customFormat="1" ht="45" x14ac:dyDescent="0.2">
      <c r="A1502" s="2144">
        <v>829</v>
      </c>
      <c r="B1502" s="2144"/>
      <c r="C1502" s="677" t="s">
        <v>4448</v>
      </c>
      <c r="D1502" s="182" t="s">
        <v>10306</v>
      </c>
      <c r="E1502" s="685">
        <v>1</v>
      </c>
      <c r="F1502" s="686" t="s">
        <v>39</v>
      </c>
      <c r="G1502" s="687">
        <v>0.68</v>
      </c>
      <c r="H1502" s="688">
        <f t="shared" si="120"/>
        <v>0.68</v>
      </c>
      <c r="I1502" s="1642"/>
      <c r="J1502" s="1797"/>
      <c r="K1502" s="1797"/>
      <c r="L1502" s="1784"/>
      <c r="M1502" s="1785"/>
    </row>
    <row r="1503" spans="1:13" s="156" customFormat="1" ht="30" x14ac:dyDescent="0.2">
      <c r="A1503" s="2144">
        <v>20083</v>
      </c>
      <c r="B1503" s="2144"/>
      <c r="C1503" s="677" t="s">
        <v>4448</v>
      </c>
      <c r="D1503" s="182" t="s">
        <v>13801</v>
      </c>
      <c r="E1503" s="685">
        <v>1.0999999999999999E-2</v>
      </c>
      <c r="F1503" s="686" t="s">
        <v>39</v>
      </c>
      <c r="G1503" s="687">
        <v>49.34</v>
      </c>
      <c r="H1503" s="688">
        <f t="shared" si="120"/>
        <v>0.54</v>
      </c>
      <c r="I1503" s="1642"/>
      <c r="J1503" s="1797"/>
      <c r="K1503" s="1797"/>
      <c r="L1503" s="1784"/>
      <c r="M1503" s="1785"/>
    </row>
    <row r="1504" spans="1:13" s="156" customFormat="1" x14ac:dyDescent="0.2">
      <c r="A1504" s="2144">
        <v>38383</v>
      </c>
      <c r="B1504" s="2144"/>
      <c r="C1504" s="677" t="s">
        <v>4448</v>
      </c>
      <c r="D1504" s="182" t="s">
        <v>12469</v>
      </c>
      <c r="E1504" s="685">
        <v>0.06</v>
      </c>
      <c r="F1504" s="686" t="s">
        <v>39</v>
      </c>
      <c r="G1504" s="687">
        <v>1.69</v>
      </c>
      <c r="H1504" s="688">
        <f t="shared" si="120"/>
        <v>0.1</v>
      </c>
      <c r="I1504" s="1642"/>
      <c r="J1504" s="1797"/>
      <c r="K1504" s="1797"/>
      <c r="L1504" s="1784"/>
      <c r="M1504" s="1785"/>
    </row>
    <row r="1505" spans="1:13" s="156" customFormat="1" ht="45" x14ac:dyDescent="0.2">
      <c r="A1505" s="2144">
        <v>88248</v>
      </c>
      <c r="B1505" s="2144"/>
      <c r="C1505" s="677" t="s">
        <v>4448</v>
      </c>
      <c r="D1505" s="182" t="s">
        <v>73</v>
      </c>
      <c r="E1505" s="685">
        <v>0.11899999999999999</v>
      </c>
      <c r="F1505" s="686" t="s">
        <v>65</v>
      </c>
      <c r="G1505" s="687">
        <v>15.55</v>
      </c>
      <c r="H1505" s="688">
        <f t="shared" si="120"/>
        <v>1.85</v>
      </c>
      <c r="I1505" s="1642"/>
      <c r="J1505" s="1797"/>
      <c r="K1505" s="1797"/>
      <c r="L1505" s="1784"/>
      <c r="M1505" s="1785"/>
    </row>
    <row r="1506" spans="1:13" s="156" customFormat="1" ht="30" x14ac:dyDescent="0.2">
      <c r="A1506" s="2144">
        <v>88267</v>
      </c>
      <c r="B1506" s="2144"/>
      <c r="C1506" s="677" t="s">
        <v>4448</v>
      </c>
      <c r="D1506" s="182" t="s">
        <v>83</v>
      </c>
      <c r="E1506" s="685">
        <v>0.11899999999999999</v>
      </c>
      <c r="F1506" s="686" t="s">
        <v>65</v>
      </c>
      <c r="G1506" s="687">
        <v>19.73</v>
      </c>
      <c r="H1506" s="688">
        <f t="shared" si="120"/>
        <v>2.34</v>
      </c>
      <c r="I1506" s="1642"/>
      <c r="J1506" s="1797"/>
      <c r="K1506" s="1797"/>
      <c r="L1506" s="1784"/>
      <c r="M1506" s="1785"/>
    </row>
    <row r="1507" spans="1:13" s="1517" customFormat="1" x14ac:dyDescent="0.25">
      <c r="A1507" s="179"/>
      <c r="B1507" s="179"/>
      <c r="C1507" s="689"/>
      <c r="D1507" s="2141" t="s">
        <v>124</v>
      </c>
      <c r="E1507" s="2141"/>
      <c r="F1507" s="2141"/>
      <c r="G1507" s="2141"/>
      <c r="H1507" s="267">
        <f>SUMIF(F1501:F1506,("h"),H1501:H1506)</f>
        <v>4.1899999999999995</v>
      </c>
      <c r="I1507" s="1830"/>
      <c r="J1507" s="1795"/>
      <c r="K1507" s="1795"/>
      <c r="L1507" s="169"/>
      <c r="M1507" s="1783"/>
    </row>
    <row r="1508" spans="1:13" s="1517" customFormat="1" x14ac:dyDescent="0.25">
      <c r="A1508" s="179"/>
      <c r="B1508" s="179"/>
      <c r="C1508" s="689"/>
      <c r="D1508" s="2141" t="s">
        <v>125</v>
      </c>
      <c r="E1508" s="2141"/>
      <c r="F1508" s="2141"/>
      <c r="G1508" s="2141"/>
      <c r="H1508" s="267">
        <f>SUMIF(F1501:F1506,"&lt;&gt;h",H1501:H1506)</f>
        <v>1.83</v>
      </c>
      <c r="I1508" s="1830"/>
      <c r="J1508" s="1795"/>
      <c r="K1508" s="1795"/>
      <c r="L1508" s="169"/>
      <c r="M1508" s="1783"/>
    </row>
    <row r="1509" spans="1:13" s="1517" customFormat="1" x14ac:dyDescent="0.25">
      <c r="A1509" s="179"/>
      <c r="B1509" s="179"/>
      <c r="C1509" s="689"/>
      <c r="D1509" s="2142" t="s">
        <v>126</v>
      </c>
      <c r="E1509" s="2142"/>
      <c r="F1509" s="2142"/>
      <c r="G1509" s="2142"/>
      <c r="H1509" s="690">
        <f>SUM(H1507:H1508)</f>
        <v>6.02</v>
      </c>
      <c r="I1509" s="1830"/>
      <c r="J1509" s="1795"/>
      <c r="K1509" s="1795"/>
      <c r="L1509" s="169"/>
      <c r="M1509" s="1783"/>
    </row>
    <row r="1510" spans="1:13" s="1517" customFormat="1" x14ac:dyDescent="0.25">
      <c r="A1510" s="179"/>
      <c r="B1510" s="179"/>
      <c r="C1510" s="689"/>
      <c r="D1510" s="2141" t="s">
        <v>28</v>
      </c>
      <c r="E1510" s="2141"/>
      <c r="F1510" s="2141"/>
      <c r="G1510" s="2141"/>
      <c r="H1510" s="269">
        <f>E1500</f>
        <v>3</v>
      </c>
      <c r="I1510" s="1830"/>
      <c r="J1510" s="1795"/>
      <c r="K1510" s="1795"/>
      <c r="L1510" s="169"/>
      <c r="M1510" s="1783"/>
    </row>
    <row r="1511" spans="1:13" s="1517" customFormat="1" x14ac:dyDescent="0.25">
      <c r="A1511" s="179"/>
      <c r="B1511" s="179"/>
      <c r="C1511" s="689"/>
      <c r="D1511" s="2142" t="s">
        <v>127</v>
      </c>
      <c r="E1511" s="2142"/>
      <c r="F1511" s="2142"/>
      <c r="G1511" s="2142"/>
      <c r="H1511" s="690">
        <f>ROUND(H1509*H1510,2)</f>
        <v>18.059999999999999</v>
      </c>
      <c r="I1511" s="1830"/>
      <c r="J1511" s="1795"/>
      <c r="K1511" s="1795"/>
      <c r="L1511" s="169"/>
      <c r="M1511" s="1783"/>
    </row>
    <row r="1512" spans="1:13" s="1517" customFormat="1" x14ac:dyDescent="0.25">
      <c r="A1512" s="179"/>
      <c r="B1512" s="179"/>
      <c r="C1512" s="1531"/>
      <c r="D1512" s="2141" t="s">
        <v>15335</v>
      </c>
      <c r="E1512" s="2141"/>
      <c r="F1512" s="2141"/>
      <c r="G1512" s="2141"/>
      <c r="H1512" s="267">
        <f>ROUND(H1509*$B$13,2)</f>
        <v>1.62</v>
      </c>
      <c r="I1512" s="1830"/>
      <c r="J1512" s="1795"/>
      <c r="K1512" s="1795"/>
      <c r="L1512" s="169"/>
      <c r="M1512" s="1783"/>
    </row>
    <row r="1513" spans="1:13" x14ac:dyDescent="0.25">
      <c r="A1513" s="179"/>
      <c r="B1513" s="179"/>
      <c r="C1513" s="1531"/>
      <c r="D1513" s="2142" t="s">
        <v>7898</v>
      </c>
      <c r="E1513" s="2142"/>
      <c r="F1513" s="2142"/>
      <c r="G1513" s="2142"/>
      <c r="H1513" s="1532">
        <f>H1512+H1509</f>
        <v>7.64</v>
      </c>
    </row>
    <row r="1514" spans="1:13" x14ac:dyDescent="0.25">
      <c r="A1514" s="676"/>
      <c r="B1514" s="676"/>
      <c r="C1514" s="676"/>
      <c r="F1514" s="691"/>
      <c r="G1514" s="692"/>
      <c r="H1514" s="676"/>
    </row>
    <row r="1515" spans="1:13" s="1517" customFormat="1" x14ac:dyDescent="0.25">
      <c r="A1515" s="146" t="s">
        <v>6</v>
      </c>
      <c r="B1515" s="2143" t="s">
        <v>7</v>
      </c>
      <c r="C1515" s="2143"/>
      <c r="D1515" s="678" t="s">
        <v>121</v>
      </c>
      <c r="E1515" s="278" t="s">
        <v>5282</v>
      </c>
      <c r="F1515" s="678" t="s">
        <v>31</v>
      </c>
      <c r="G1515" s="679" t="s">
        <v>122</v>
      </c>
      <c r="H1515" s="680" t="s">
        <v>123</v>
      </c>
      <c r="I1515" s="1830"/>
      <c r="J1515" s="1795"/>
      <c r="K1515" s="1795"/>
      <c r="L1515" s="169"/>
      <c r="M1515" s="1783"/>
    </row>
    <row r="1516" spans="1:13" s="1526" customFormat="1" ht="30" x14ac:dyDescent="0.2">
      <c r="A1516" s="681" t="str">
        <f>'Orç - Prédio'!A268</f>
        <v>05.01.203.03</v>
      </c>
      <c r="B1516" s="693" t="str">
        <f>'Orç - Prédio'!B268</f>
        <v>SINAPI</v>
      </c>
      <c r="C1516" s="693" t="str">
        <f>'Orç - Prédio'!C268</f>
        <v>90375 MOD 2</v>
      </c>
      <c r="D1516" s="694" t="s">
        <v>5935</v>
      </c>
      <c r="E1516" s="682">
        <f>'Orç - Prédio'!E268</f>
        <v>2</v>
      </c>
      <c r="F1516" s="693" t="s">
        <v>5284</v>
      </c>
      <c r="G1516" s="683">
        <v>7.76</v>
      </c>
      <c r="H1516" s="684">
        <f>H1527</f>
        <v>15.52</v>
      </c>
      <c r="I1516" s="1910" t="s">
        <v>9562</v>
      </c>
      <c r="J1516" s="1793"/>
      <c r="K1516" s="1793"/>
      <c r="L1516" s="141"/>
      <c r="M1516" s="1515"/>
    </row>
    <row r="1517" spans="1:13" s="156" customFormat="1" ht="30" x14ac:dyDescent="0.2">
      <c r="A1517" s="2144">
        <v>122</v>
      </c>
      <c r="B1517" s="2144"/>
      <c r="C1517" s="677" t="s">
        <v>4448</v>
      </c>
      <c r="D1517" s="182" t="s">
        <v>9804</v>
      </c>
      <c r="E1517" s="685">
        <v>8.9999999999999993E-3</v>
      </c>
      <c r="F1517" s="686" t="s">
        <v>39</v>
      </c>
      <c r="G1517" s="687">
        <v>56.82</v>
      </c>
      <c r="H1517" s="688">
        <f t="shared" ref="H1517:H1522" si="121">ROUNDDOWN(G1517*E1517,2)</f>
        <v>0.51</v>
      </c>
      <c r="I1517" s="1642"/>
      <c r="J1517" s="1797"/>
      <c r="K1517" s="1797"/>
      <c r="L1517" s="1784"/>
      <c r="M1517" s="1785"/>
    </row>
    <row r="1518" spans="1:13" s="156" customFormat="1" ht="45" x14ac:dyDescent="0.2">
      <c r="A1518" s="2144">
        <v>819</v>
      </c>
      <c r="B1518" s="2144"/>
      <c r="C1518" s="677" t="s">
        <v>4448</v>
      </c>
      <c r="D1518" s="182" t="s">
        <v>10308</v>
      </c>
      <c r="E1518" s="685">
        <v>1</v>
      </c>
      <c r="F1518" s="686" t="s">
        <v>39</v>
      </c>
      <c r="G1518" s="687">
        <v>2.42</v>
      </c>
      <c r="H1518" s="688">
        <f t="shared" si="121"/>
        <v>2.42</v>
      </c>
      <c r="I1518" s="1642"/>
      <c r="J1518" s="1797"/>
      <c r="K1518" s="1797"/>
      <c r="L1518" s="1784"/>
      <c r="M1518" s="1785"/>
    </row>
    <row r="1519" spans="1:13" s="156" customFormat="1" ht="30" x14ac:dyDescent="0.2">
      <c r="A1519" s="2144">
        <v>20083</v>
      </c>
      <c r="B1519" s="2144"/>
      <c r="C1519" s="677" t="s">
        <v>4448</v>
      </c>
      <c r="D1519" s="182" t="s">
        <v>13801</v>
      </c>
      <c r="E1519" s="685">
        <v>1.0999999999999999E-2</v>
      </c>
      <c r="F1519" s="686" t="s">
        <v>39</v>
      </c>
      <c r="G1519" s="687">
        <v>49.34</v>
      </c>
      <c r="H1519" s="688">
        <f t="shared" si="121"/>
        <v>0.54</v>
      </c>
      <c r="I1519" s="1642"/>
      <c r="J1519" s="1797"/>
      <c r="K1519" s="1797"/>
      <c r="L1519" s="1784"/>
      <c r="M1519" s="1785"/>
    </row>
    <row r="1520" spans="1:13" s="156" customFormat="1" x14ac:dyDescent="0.2">
      <c r="A1520" s="2144">
        <v>38383</v>
      </c>
      <c r="B1520" s="2144"/>
      <c r="C1520" s="677" t="s">
        <v>4448</v>
      </c>
      <c r="D1520" s="182" t="s">
        <v>12469</v>
      </c>
      <c r="E1520" s="685">
        <v>0.06</v>
      </c>
      <c r="F1520" s="686" t="s">
        <v>39</v>
      </c>
      <c r="G1520" s="687">
        <v>1.69</v>
      </c>
      <c r="H1520" s="688">
        <f t="shared" si="121"/>
        <v>0.1</v>
      </c>
      <c r="I1520" s="1642"/>
      <c r="J1520" s="1797"/>
      <c r="K1520" s="1797"/>
      <c r="L1520" s="1784"/>
      <c r="M1520" s="1785"/>
    </row>
    <row r="1521" spans="1:13" s="156" customFormat="1" ht="45" x14ac:dyDescent="0.2">
      <c r="A1521" s="2144">
        <v>88248</v>
      </c>
      <c r="B1521" s="2144"/>
      <c r="C1521" s="677" t="s">
        <v>4448</v>
      </c>
      <c r="D1521" s="182" t="s">
        <v>73</v>
      </c>
      <c r="E1521" s="685">
        <v>0.11899999999999999</v>
      </c>
      <c r="F1521" s="686" t="s">
        <v>65</v>
      </c>
      <c r="G1521" s="687">
        <v>15.55</v>
      </c>
      <c r="H1521" s="688">
        <f t="shared" si="121"/>
        <v>1.85</v>
      </c>
      <c r="I1521" s="1642"/>
      <c r="J1521" s="1797"/>
      <c r="K1521" s="1797"/>
      <c r="L1521" s="1784"/>
      <c r="M1521" s="1785"/>
    </row>
    <row r="1522" spans="1:13" s="156" customFormat="1" ht="30" x14ac:dyDescent="0.2">
      <c r="A1522" s="2144">
        <v>88267</v>
      </c>
      <c r="B1522" s="2144"/>
      <c r="C1522" s="677" t="s">
        <v>4448</v>
      </c>
      <c r="D1522" s="182" t="s">
        <v>83</v>
      </c>
      <c r="E1522" s="685">
        <v>0.11899999999999999</v>
      </c>
      <c r="F1522" s="686" t="s">
        <v>65</v>
      </c>
      <c r="G1522" s="687">
        <v>19.73</v>
      </c>
      <c r="H1522" s="688">
        <f t="shared" si="121"/>
        <v>2.34</v>
      </c>
      <c r="I1522" s="1642"/>
      <c r="J1522" s="1797"/>
      <c r="K1522" s="1797"/>
      <c r="L1522" s="1784"/>
      <c r="M1522" s="1785"/>
    </row>
    <row r="1523" spans="1:13" s="1517" customFormat="1" x14ac:dyDescent="0.25">
      <c r="A1523" s="179"/>
      <c r="B1523" s="179"/>
      <c r="C1523" s="689"/>
      <c r="D1523" s="2141" t="s">
        <v>124</v>
      </c>
      <c r="E1523" s="2141"/>
      <c r="F1523" s="2141"/>
      <c r="G1523" s="2141"/>
      <c r="H1523" s="267">
        <f>SUMIF(F1517:F1522,("h"),H1517:H1522)</f>
        <v>4.1899999999999995</v>
      </c>
      <c r="I1523" s="1830"/>
      <c r="J1523" s="1795"/>
      <c r="K1523" s="1795"/>
      <c r="L1523" s="169"/>
      <c r="M1523" s="1783"/>
    </row>
    <row r="1524" spans="1:13" s="1517" customFormat="1" x14ac:dyDescent="0.25">
      <c r="A1524" s="179"/>
      <c r="B1524" s="179"/>
      <c r="C1524" s="689"/>
      <c r="D1524" s="2141" t="s">
        <v>125</v>
      </c>
      <c r="E1524" s="2141"/>
      <c r="F1524" s="2141"/>
      <c r="G1524" s="2141"/>
      <c r="H1524" s="267">
        <f>SUMIF(F1517:F1522,"&lt;&gt;h",H1517:H1522)</f>
        <v>3.57</v>
      </c>
      <c r="I1524" s="1830"/>
      <c r="J1524" s="1795"/>
      <c r="K1524" s="1795"/>
      <c r="L1524" s="169"/>
      <c r="M1524" s="1783"/>
    </row>
    <row r="1525" spans="1:13" s="1517" customFormat="1" x14ac:dyDescent="0.25">
      <c r="A1525" s="179"/>
      <c r="B1525" s="179"/>
      <c r="C1525" s="689"/>
      <c r="D1525" s="2142" t="s">
        <v>126</v>
      </c>
      <c r="E1525" s="2142"/>
      <c r="F1525" s="2142"/>
      <c r="G1525" s="2142"/>
      <c r="H1525" s="690">
        <f>SUM(H1523:H1524)</f>
        <v>7.76</v>
      </c>
      <c r="I1525" s="1830"/>
      <c r="J1525" s="1795"/>
      <c r="K1525" s="1795"/>
      <c r="L1525" s="169"/>
      <c r="M1525" s="1783"/>
    </row>
    <row r="1526" spans="1:13" s="1517" customFormat="1" x14ac:dyDescent="0.25">
      <c r="A1526" s="179"/>
      <c r="B1526" s="179"/>
      <c r="C1526" s="689"/>
      <c r="D1526" s="2141" t="s">
        <v>28</v>
      </c>
      <c r="E1526" s="2141"/>
      <c r="F1526" s="2141"/>
      <c r="G1526" s="2141"/>
      <c r="H1526" s="269">
        <f>E1516</f>
        <v>2</v>
      </c>
      <c r="I1526" s="1830"/>
      <c r="J1526" s="1795"/>
      <c r="K1526" s="1795"/>
      <c r="L1526" s="169"/>
      <c r="M1526" s="1783"/>
    </row>
    <row r="1527" spans="1:13" s="1517" customFormat="1" x14ac:dyDescent="0.25">
      <c r="A1527" s="179"/>
      <c r="B1527" s="179"/>
      <c r="C1527" s="689"/>
      <c r="D1527" s="2142" t="s">
        <v>127</v>
      </c>
      <c r="E1527" s="2142"/>
      <c r="F1527" s="2142"/>
      <c r="G1527" s="2142"/>
      <c r="H1527" s="690">
        <f>ROUND(H1525*H1526,2)</f>
        <v>15.52</v>
      </c>
      <c r="I1527" s="1830"/>
      <c r="J1527" s="1795"/>
      <c r="K1527" s="1795"/>
      <c r="L1527" s="169"/>
      <c r="M1527" s="1783"/>
    </row>
    <row r="1528" spans="1:13" s="1517" customFormat="1" x14ac:dyDescent="0.25">
      <c r="A1528" s="179"/>
      <c r="B1528" s="179"/>
      <c r="C1528" s="1531"/>
      <c r="D1528" s="2141" t="s">
        <v>15335</v>
      </c>
      <c r="E1528" s="2141"/>
      <c r="F1528" s="2141"/>
      <c r="G1528" s="2141"/>
      <c r="H1528" s="267">
        <f>ROUND(H1525*$B$13,2)</f>
        <v>2.09</v>
      </c>
      <c r="I1528" s="1830"/>
      <c r="J1528" s="1795"/>
      <c r="K1528" s="1795"/>
      <c r="L1528" s="169"/>
      <c r="M1528" s="1783"/>
    </row>
    <row r="1529" spans="1:13" x14ac:dyDescent="0.25">
      <c r="A1529" s="179"/>
      <c r="B1529" s="179"/>
      <c r="C1529" s="1531"/>
      <c r="D1529" s="2142" t="s">
        <v>7898</v>
      </c>
      <c r="E1529" s="2142"/>
      <c r="F1529" s="2142"/>
      <c r="G1529" s="2142"/>
      <c r="H1529" s="1532">
        <f>H1528+H1525</f>
        <v>9.85</v>
      </c>
    </row>
    <row r="1530" spans="1:13" x14ac:dyDescent="0.25">
      <c r="A1530" s="676"/>
      <c r="B1530" s="676"/>
      <c r="C1530" s="676"/>
      <c r="F1530" s="691"/>
      <c r="G1530" s="692"/>
      <c r="H1530" s="676"/>
    </row>
    <row r="1531" spans="1:13" s="1517" customFormat="1" x14ac:dyDescent="0.25">
      <c r="A1531" s="146" t="s">
        <v>6</v>
      </c>
      <c r="B1531" s="2143" t="s">
        <v>7</v>
      </c>
      <c r="C1531" s="2143"/>
      <c r="D1531" s="678" t="s">
        <v>121</v>
      </c>
      <c r="E1531" s="278" t="s">
        <v>5282</v>
      </c>
      <c r="F1531" s="678" t="s">
        <v>31</v>
      </c>
      <c r="G1531" s="679" t="s">
        <v>122</v>
      </c>
      <c r="H1531" s="680" t="s">
        <v>123</v>
      </c>
      <c r="I1531" s="1830"/>
      <c r="J1531" s="1795"/>
      <c r="K1531" s="1795"/>
      <c r="L1531" s="169"/>
      <c r="M1531" s="1783"/>
    </row>
    <row r="1532" spans="1:13" s="1526" customFormat="1" ht="30" x14ac:dyDescent="0.2">
      <c r="A1532" s="681" t="str">
        <f>'Orç - Prédio'!A269</f>
        <v>05.01.203.04</v>
      </c>
      <c r="B1532" s="693" t="str">
        <f>'Orç - Prédio'!B269</f>
        <v>SINAPI</v>
      </c>
      <c r="C1532" s="693" t="str">
        <f>'Orç - Prédio'!C269</f>
        <v>90375 MOD 3</v>
      </c>
      <c r="D1532" s="694" t="s">
        <v>5936</v>
      </c>
      <c r="E1532" s="682">
        <f>'Orç - Prédio'!E269</f>
        <v>20</v>
      </c>
      <c r="F1532" s="693" t="s">
        <v>5284</v>
      </c>
      <c r="G1532" s="683">
        <v>9.41</v>
      </c>
      <c r="H1532" s="684">
        <f>H1543</f>
        <v>188.2</v>
      </c>
      <c r="I1532" s="1910" t="s">
        <v>9562</v>
      </c>
      <c r="J1532" s="1793"/>
      <c r="K1532" s="1793"/>
      <c r="L1532" s="141"/>
      <c r="M1532" s="1515"/>
    </row>
    <row r="1533" spans="1:13" s="156" customFormat="1" ht="30" x14ac:dyDescent="0.2">
      <c r="A1533" s="2144">
        <v>122</v>
      </c>
      <c r="B1533" s="2144"/>
      <c r="C1533" s="677" t="s">
        <v>4448</v>
      </c>
      <c r="D1533" s="182" t="s">
        <v>9804</v>
      </c>
      <c r="E1533" s="685">
        <v>8.9999999999999993E-3</v>
      </c>
      <c r="F1533" s="686" t="s">
        <v>39</v>
      </c>
      <c r="G1533" s="687">
        <v>56.82</v>
      </c>
      <c r="H1533" s="688">
        <f t="shared" ref="H1533:H1538" si="122">ROUNDDOWN(G1533*E1533,2)</f>
        <v>0.51</v>
      </c>
      <c r="I1533" s="1642"/>
      <c r="J1533" s="1797"/>
      <c r="K1533" s="1797"/>
      <c r="L1533" s="1784"/>
      <c r="M1533" s="1785"/>
    </row>
    <row r="1534" spans="1:13" s="156" customFormat="1" ht="45" x14ac:dyDescent="0.2">
      <c r="A1534" s="2144">
        <v>818</v>
      </c>
      <c r="B1534" s="2144"/>
      <c r="C1534" s="677" t="s">
        <v>4448</v>
      </c>
      <c r="D1534" s="182" t="s">
        <v>10309</v>
      </c>
      <c r="E1534" s="685">
        <v>1</v>
      </c>
      <c r="F1534" s="686" t="s">
        <v>39</v>
      </c>
      <c r="G1534" s="687">
        <v>4.07</v>
      </c>
      <c r="H1534" s="688">
        <f t="shared" si="122"/>
        <v>4.07</v>
      </c>
      <c r="I1534" s="1642"/>
      <c r="J1534" s="1797"/>
      <c r="K1534" s="1797"/>
      <c r="L1534" s="1784"/>
      <c r="M1534" s="1785"/>
    </row>
    <row r="1535" spans="1:13" s="156" customFormat="1" ht="30" x14ac:dyDescent="0.2">
      <c r="A1535" s="2144">
        <v>20083</v>
      </c>
      <c r="B1535" s="2144"/>
      <c r="C1535" s="677" t="s">
        <v>4448</v>
      </c>
      <c r="D1535" s="182" t="s">
        <v>13801</v>
      </c>
      <c r="E1535" s="685">
        <v>1.0999999999999999E-2</v>
      </c>
      <c r="F1535" s="686" t="s">
        <v>39</v>
      </c>
      <c r="G1535" s="687">
        <v>49.34</v>
      </c>
      <c r="H1535" s="688">
        <f t="shared" si="122"/>
        <v>0.54</v>
      </c>
      <c r="I1535" s="1642"/>
      <c r="J1535" s="1797"/>
      <c r="K1535" s="1797"/>
      <c r="L1535" s="1784"/>
      <c r="M1535" s="1785"/>
    </row>
    <row r="1536" spans="1:13" s="156" customFormat="1" x14ac:dyDescent="0.2">
      <c r="A1536" s="2144">
        <v>38383</v>
      </c>
      <c r="B1536" s="2144"/>
      <c r="C1536" s="677" t="s">
        <v>4448</v>
      </c>
      <c r="D1536" s="182" t="s">
        <v>12469</v>
      </c>
      <c r="E1536" s="685">
        <v>0.06</v>
      </c>
      <c r="F1536" s="686" t="s">
        <v>39</v>
      </c>
      <c r="G1536" s="687">
        <v>1.69</v>
      </c>
      <c r="H1536" s="688">
        <f t="shared" si="122"/>
        <v>0.1</v>
      </c>
      <c r="I1536" s="1642"/>
      <c r="J1536" s="1797"/>
      <c r="K1536" s="1797"/>
      <c r="L1536" s="1784"/>
      <c r="M1536" s="1785"/>
    </row>
    <row r="1537" spans="1:13" s="156" customFormat="1" ht="45" x14ac:dyDescent="0.2">
      <c r="A1537" s="2144">
        <v>88248</v>
      </c>
      <c r="B1537" s="2144"/>
      <c r="C1537" s="677" t="s">
        <v>4448</v>
      </c>
      <c r="D1537" s="182" t="s">
        <v>73</v>
      </c>
      <c r="E1537" s="685">
        <v>0.11899999999999999</v>
      </c>
      <c r="F1537" s="686" t="s">
        <v>65</v>
      </c>
      <c r="G1537" s="687">
        <v>15.55</v>
      </c>
      <c r="H1537" s="688">
        <f t="shared" si="122"/>
        <v>1.85</v>
      </c>
      <c r="I1537" s="1642"/>
      <c r="J1537" s="1797"/>
      <c r="K1537" s="1797"/>
      <c r="L1537" s="1784"/>
      <c r="M1537" s="1785"/>
    </row>
    <row r="1538" spans="1:13" s="156" customFormat="1" ht="30" x14ac:dyDescent="0.2">
      <c r="A1538" s="2144">
        <v>88267</v>
      </c>
      <c r="B1538" s="2144"/>
      <c r="C1538" s="677" t="s">
        <v>4448</v>
      </c>
      <c r="D1538" s="182" t="s">
        <v>83</v>
      </c>
      <c r="E1538" s="685">
        <v>0.11899999999999999</v>
      </c>
      <c r="F1538" s="686" t="s">
        <v>65</v>
      </c>
      <c r="G1538" s="687">
        <v>19.73</v>
      </c>
      <c r="H1538" s="688">
        <f t="shared" si="122"/>
        <v>2.34</v>
      </c>
      <c r="I1538" s="1642"/>
      <c r="J1538" s="1797"/>
      <c r="K1538" s="1797"/>
      <c r="L1538" s="1784"/>
      <c r="M1538" s="1785"/>
    </row>
    <row r="1539" spans="1:13" s="1517" customFormat="1" x14ac:dyDescent="0.25">
      <c r="A1539" s="179"/>
      <c r="B1539" s="179"/>
      <c r="C1539" s="689"/>
      <c r="D1539" s="2141" t="s">
        <v>124</v>
      </c>
      <c r="E1539" s="2141"/>
      <c r="F1539" s="2141"/>
      <c r="G1539" s="2141"/>
      <c r="H1539" s="267">
        <f>SUMIF(F1533:F1538,("h"),H1533:H1538)</f>
        <v>4.1899999999999995</v>
      </c>
      <c r="I1539" s="1830"/>
      <c r="J1539" s="1795"/>
      <c r="K1539" s="1795"/>
      <c r="L1539" s="169"/>
      <c r="M1539" s="1783"/>
    </row>
    <row r="1540" spans="1:13" s="1517" customFormat="1" x14ac:dyDescent="0.25">
      <c r="A1540" s="179"/>
      <c r="B1540" s="179"/>
      <c r="C1540" s="689"/>
      <c r="D1540" s="2141" t="s">
        <v>125</v>
      </c>
      <c r="E1540" s="2141"/>
      <c r="F1540" s="2141"/>
      <c r="G1540" s="2141"/>
      <c r="H1540" s="267">
        <f>SUMIF(F1533:F1538,"&lt;&gt;h",H1533:H1538)</f>
        <v>5.22</v>
      </c>
      <c r="I1540" s="1830"/>
      <c r="J1540" s="1795"/>
      <c r="K1540" s="1795"/>
      <c r="L1540" s="169"/>
      <c r="M1540" s="1783"/>
    </row>
    <row r="1541" spans="1:13" s="1517" customFormat="1" x14ac:dyDescent="0.25">
      <c r="A1541" s="179"/>
      <c r="B1541" s="179"/>
      <c r="C1541" s="689"/>
      <c r="D1541" s="2142" t="s">
        <v>126</v>
      </c>
      <c r="E1541" s="2142"/>
      <c r="F1541" s="2142"/>
      <c r="G1541" s="2142"/>
      <c r="H1541" s="690">
        <f>SUM(H1539:H1540)</f>
        <v>9.41</v>
      </c>
      <c r="I1541" s="1830"/>
      <c r="J1541" s="1795"/>
      <c r="K1541" s="1795"/>
      <c r="L1541" s="169"/>
      <c r="M1541" s="1783"/>
    </row>
    <row r="1542" spans="1:13" s="1517" customFormat="1" x14ac:dyDescent="0.25">
      <c r="A1542" s="179"/>
      <c r="B1542" s="179"/>
      <c r="C1542" s="689"/>
      <c r="D1542" s="2141" t="s">
        <v>28</v>
      </c>
      <c r="E1542" s="2141"/>
      <c r="F1542" s="2141"/>
      <c r="G1542" s="2141"/>
      <c r="H1542" s="269">
        <f>E1532</f>
        <v>20</v>
      </c>
      <c r="I1542" s="1830"/>
      <c r="J1542" s="1795"/>
      <c r="K1542" s="1795"/>
      <c r="L1542" s="169"/>
      <c r="M1542" s="1783"/>
    </row>
    <row r="1543" spans="1:13" s="1517" customFormat="1" x14ac:dyDescent="0.25">
      <c r="A1543" s="179"/>
      <c r="B1543" s="179"/>
      <c r="C1543" s="689"/>
      <c r="D1543" s="2142" t="s">
        <v>127</v>
      </c>
      <c r="E1543" s="2142"/>
      <c r="F1543" s="2142"/>
      <c r="G1543" s="2142"/>
      <c r="H1543" s="690">
        <f>ROUND(H1541*H1542,2)</f>
        <v>188.2</v>
      </c>
      <c r="I1543" s="1830"/>
      <c r="J1543" s="1795"/>
      <c r="K1543" s="1795"/>
      <c r="L1543" s="169"/>
      <c r="M1543" s="1783"/>
    </row>
    <row r="1544" spans="1:13" s="1517" customFormat="1" x14ac:dyDescent="0.25">
      <c r="A1544" s="179"/>
      <c r="B1544" s="179"/>
      <c r="C1544" s="1531"/>
      <c r="D1544" s="2141" t="s">
        <v>15335</v>
      </c>
      <c r="E1544" s="2141"/>
      <c r="F1544" s="2141"/>
      <c r="G1544" s="2141"/>
      <c r="H1544" s="267">
        <f>ROUND(H1541*$B$13,2)</f>
        <v>2.5299999999999998</v>
      </c>
      <c r="I1544" s="1830"/>
      <c r="J1544" s="1795"/>
      <c r="K1544" s="1795"/>
      <c r="L1544" s="169"/>
      <c r="M1544" s="1783"/>
    </row>
    <row r="1545" spans="1:13" x14ac:dyDescent="0.25">
      <c r="A1545" s="179"/>
      <c r="B1545" s="179"/>
      <c r="C1545" s="1531"/>
      <c r="D1545" s="2142" t="s">
        <v>7898</v>
      </c>
      <c r="E1545" s="2142"/>
      <c r="F1545" s="2142"/>
      <c r="G1545" s="2142"/>
      <c r="H1545" s="1532">
        <f>H1544+H1541</f>
        <v>11.94</v>
      </c>
    </row>
    <row r="1546" spans="1:13" x14ac:dyDescent="0.25">
      <c r="A1546" s="676"/>
      <c r="B1546" s="676"/>
      <c r="C1546" s="676"/>
      <c r="F1546" s="691"/>
      <c r="G1546" s="692"/>
      <c r="H1546" s="676"/>
    </row>
    <row r="1547" spans="1:13" s="1517" customFormat="1" x14ac:dyDescent="0.25">
      <c r="A1547" s="146" t="s">
        <v>6</v>
      </c>
      <c r="B1547" s="2143" t="s">
        <v>7</v>
      </c>
      <c r="C1547" s="2143"/>
      <c r="D1547" s="678" t="s">
        <v>121</v>
      </c>
      <c r="E1547" s="278" t="s">
        <v>5282</v>
      </c>
      <c r="F1547" s="678" t="s">
        <v>31</v>
      </c>
      <c r="G1547" s="679" t="s">
        <v>122</v>
      </c>
      <c r="H1547" s="680" t="s">
        <v>123</v>
      </c>
      <c r="I1547" s="1830"/>
      <c r="J1547" s="1795"/>
      <c r="K1547" s="1795"/>
      <c r="L1547" s="169"/>
      <c r="M1547" s="1783"/>
    </row>
    <row r="1548" spans="1:13" s="1526" customFormat="1" ht="30" x14ac:dyDescent="0.2">
      <c r="A1548" s="681" t="str">
        <f>'Orç - Prédio'!A270</f>
        <v>05.01.203.05</v>
      </c>
      <c r="B1548" s="693" t="str">
        <f>'Orç - Prédio'!B270</f>
        <v>SINAPI</v>
      </c>
      <c r="C1548" s="693" t="str">
        <f>'Orç - Prédio'!C270</f>
        <v>90375 MOD 4</v>
      </c>
      <c r="D1548" s="694" t="s">
        <v>5937</v>
      </c>
      <c r="E1548" s="682">
        <f>'Orç - Prédio'!E270</f>
        <v>2</v>
      </c>
      <c r="F1548" s="693" t="s">
        <v>5284</v>
      </c>
      <c r="G1548" s="683">
        <v>17.599999999999998</v>
      </c>
      <c r="H1548" s="684">
        <f>H1559</f>
        <v>35.200000000000003</v>
      </c>
      <c r="I1548" s="1910" t="s">
        <v>9562</v>
      </c>
      <c r="J1548" s="1793"/>
      <c r="K1548" s="1793"/>
      <c r="L1548" s="141"/>
      <c r="M1548" s="1515"/>
    </row>
    <row r="1549" spans="1:13" s="156" customFormat="1" ht="30" x14ac:dyDescent="0.2">
      <c r="A1549" s="2144">
        <v>122</v>
      </c>
      <c r="B1549" s="2144"/>
      <c r="C1549" s="677" t="s">
        <v>4448</v>
      </c>
      <c r="D1549" s="182" t="s">
        <v>9804</v>
      </c>
      <c r="E1549" s="685">
        <v>8.9999999999999993E-3</v>
      </c>
      <c r="F1549" s="686" t="s">
        <v>39</v>
      </c>
      <c r="G1549" s="687">
        <v>56.82</v>
      </c>
      <c r="H1549" s="688">
        <f t="shared" ref="H1549:H1554" si="123">ROUNDDOWN(G1549*E1549,2)</f>
        <v>0.51</v>
      </c>
      <c r="I1549" s="1642"/>
      <c r="J1549" s="1797"/>
      <c r="K1549" s="1797"/>
      <c r="L1549" s="1784"/>
      <c r="M1549" s="1785"/>
    </row>
    <row r="1550" spans="1:13" s="156" customFormat="1" ht="45" x14ac:dyDescent="0.2">
      <c r="A1550" s="2144">
        <v>823</v>
      </c>
      <c r="B1550" s="2144"/>
      <c r="C1550" s="677" t="s">
        <v>4448</v>
      </c>
      <c r="D1550" s="182" t="s">
        <v>10310</v>
      </c>
      <c r="E1550" s="685">
        <v>1</v>
      </c>
      <c r="F1550" s="686" t="s">
        <v>39</v>
      </c>
      <c r="G1550" s="687">
        <v>12.26</v>
      </c>
      <c r="H1550" s="688">
        <f t="shared" si="123"/>
        <v>12.26</v>
      </c>
      <c r="I1550" s="1642"/>
      <c r="J1550" s="1797"/>
      <c r="K1550" s="1797"/>
      <c r="L1550" s="1784"/>
      <c r="M1550" s="1785"/>
    </row>
    <row r="1551" spans="1:13" s="156" customFormat="1" ht="30" x14ac:dyDescent="0.2">
      <c r="A1551" s="2144">
        <v>20083</v>
      </c>
      <c r="B1551" s="2144"/>
      <c r="C1551" s="677" t="s">
        <v>4448</v>
      </c>
      <c r="D1551" s="182" t="s">
        <v>13801</v>
      </c>
      <c r="E1551" s="685">
        <v>1.0999999999999999E-2</v>
      </c>
      <c r="F1551" s="686" t="s">
        <v>39</v>
      </c>
      <c r="G1551" s="687">
        <v>49.34</v>
      </c>
      <c r="H1551" s="688">
        <f t="shared" si="123"/>
        <v>0.54</v>
      </c>
      <c r="I1551" s="1642"/>
      <c r="J1551" s="1797"/>
      <c r="K1551" s="1797"/>
      <c r="L1551" s="1784"/>
      <c r="M1551" s="1785"/>
    </row>
    <row r="1552" spans="1:13" s="156" customFormat="1" x14ac:dyDescent="0.2">
      <c r="A1552" s="2144">
        <v>38383</v>
      </c>
      <c r="B1552" s="2144"/>
      <c r="C1552" s="677" t="s">
        <v>4448</v>
      </c>
      <c r="D1552" s="182" t="s">
        <v>12469</v>
      </c>
      <c r="E1552" s="685">
        <v>0.06</v>
      </c>
      <c r="F1552" s="686" t="s">
        <v>39</v>
      </c>
      <c r="G1552" s="687">
        <v>1.69</v>
      </c>
      <c r="H1552" s="688">
        <f t="shared" si="123"/>
        <v>0.1</v>
      </c>
      <c r="I1552" s="1642"/>
      <c r="J1552" s="1797"/>
      <c r="K1552" s="1797"/>
      <c r="L1552" s="1784"/>
      <c r="M1552" s="1785"/>
    </row>
    <row r="1553" spans="1:13" s="156" customFormat="1" ht="45" x14ac:dyDescent="0.2">
      <c r="A1553" s="2144">
        <v>88248</v>
      </c>
      <c r="B1553" s="2144"/>
      <c r="C1553" s="677" t="s">
        <v>4448</v>
      </c>
      <c r="D1553" s="182" t="s">
        <v>73</v>
      </c>
      <c r="E1553" s="685">
        <v>0.11899999999999999</v>
      </c>
      <c r="F1553" s="686" t="s">
        <v>65</v>
      </c>
      <c r="G1553" s="687">
        <v>15.55</v>
      </c>
      <c r="H1553" s="688">
        <f t="shared" si="123"/>
        <v>1.85</v>
      </c>
      <c r="I1553" s="1642"/>
      <c r="J1553" s="1797"/>
      <c r="K1553" s="1797"/>
      <c r="L1553" s="1784"/>
      <c r="M1553" s="1785"/>
    </row>
    <row r="1554" spans="1:13" s="156" customFormat="1" ht="30" x14ac:dyDescent="0.2">
      <c r="A1554" s="2144">
        <v>88267</v>
      </c>
      <c r="B1554" s="2144"/>
      <c r="C1554" s="677" t="s">
        <v>4448</v>
      </c>
      <c r="D1554" s="182" t="s">
        <v>83</v>
      </c>
      <c r="E1554" s="685">
        <v>0.11899999999999999</v>
      </c>
      <c r="F1554" s="686" t="s">
        <v>65</v>
      </c>
      <c r="G1554" s="687">
        <v>19.73</v>
      </c>
      <c r="H1554" s="688">
        <f t="shared" si="123"/>
        <v>2.34</v>
      </c>
      <c r="I1554" s="1642"/>
      <c r="J1554" s="1797"/>
      <c r="K1554" s="1797"/>
      <c r="L1554" s="1784"/>
      <c r="M1554" s="1785"/>
    </row>
    <row r="1555" spans="1:13" s="1517" customFormat="1" x14ac:dyDescent="0.25">
      <c r="A1555" s="179"/>
      <c r="B1555" s="179"/>
      <c r="C1555" s="689"/>
      <c r="D1555" s="2141" t="s">
        <v>124</v>
      </c>
      <c r="E1555" s="2141"/>
      <c r="F1555" s="2141"/>
      <c r="G1555" s="2141"/>
      <c r="H1555" s="267">
        <f>SUMIF(F1549:F1554,("h"),H1549:H1554)</f>
        <v>4.1899999999999995</v>
      </c>
      <c r="I1555" s="1830"/>
      <c r="J1555" s="1795"/>
      <c r="K1555" s="1795"/>
      <c r="L1555" s="169"/>
      <c r="M1555" s="1783"/>
    </row>
    <row r="1556" spans="1:13" s="1517" customFormat="1" x14ac:dyDescent="0.25">
      <c r="A1556" s="179"/>
      <c r="B1556" s="179"/>
      <c r="C1556" s="689"/>
      <c r="D1556" s="2141" t="s">
        <v>125</v>
      </c>
      <c r="E1556" s="2141"/>
      <c r="F1556" s="2141"/>
      <c r="G1556" s="2141"/>
      <c r="H1556" s="267">
        <f>SUMIF(F1549:F1554,"&lt;&gt;h",H1549:H1554)</f>
        <v>13.409999999999998</v>
      </c>
      <c r="I1556" s="1830"/>
      <c r="J1556" s="1795"/>
      <c r="K1556" s="1795"/>
      <c r="L1556" s="169"/>
      <c r="M1556" s="1783"/>
    </row>
    <row r="1557" spans="1:13" s="1517" customFormat="1" x14ac:dyDescent="0.25">
      <c r="A1557" s="179"/>
      <c r="B1557" s="179"/>
      <c r="C1557" s="689"/>
      <c r="D1557" s="2142" t="s">
        <v>126</v>
      </c>
      <c r="E1557" s="2142"/>
      <c r="F1557" s="2142"/>
      <c r="G1557" s="2142"/>
      <c r="H1557" s="690">
        <f>SUM(H1555:H1556)</f>
        <v>17.599999999999998</v>
      </c>
      <c r="I1557" s="1830"/>
      <c r="J1557" s="1795"/>
      <c r="K1557" s="1795"/>
      <c r="L1557" s="169"/>
      <c r="M1557" s="1783"/>
    </row>
    <row r="1558" spans="1:13" s="1517" customFormat="1" x14ac:dyDescent="0.25">
      <c r="A1558" s="179"/>
      <c r="B1558" s="179"/>
      <c r="C1558" s="689"/>
      <c r="D1558" s="2141" t="s">
        <v>28</v>
      </c>
      <c r="E1558" s="2141"/>
      <c r="F1558" s="2141"/>
      <c r="G1558" s="2141"/>
      <c r="H1558" s="269">
        <f>E1548</f>
        <v>2</v>
      </c>
      <c r="I1558" s="1830"/>
      <c r="J1558" s="1795"/>
      <c r="K1558" s="1795"/>
      <c r="L1558" s="169"/>
      <c r="M1558" s="1783"/>
    </row>
    <row r="1559" spans="1:13" s="1517" customFormat="1" x14ac:dyDescent="0.25">
      <c r="A1559" s="179"/>
      <c r="B1559" s="179"/>
      <c r="C1559" s="689"/>
      <c r="D1559" s="2142" t="s">
        <v>127</v>
      </c>
      <c r="E1559" s="2142"/>
      <c r="F1559" s="2142"/>
      <c r="G1559" s="2142"/>
      <c r="H1559" s="690">
        <f>ROUND(H1557*H1558,2)</f>
        <v>35.200000000000003</v>
      </c>
      <c r="I1559" s="1830"/>
      <c r="J1559" s="1795"/>
      <c r="K1559" s="1795"/>
      <c r="L1559" s="169"/>
      <c r="M1559" s="1783"/>
    </row>
    <row r="1560" spans="1:13" s="1517" customFormat="1" x14ac:dyDescent="0.25">
      <c r="A1560" s="179"/>
      <c r="B1560" s="179"/>
      <c r="C1560" s="1531"/>
      <c r="D1560" s="2141" t="s">
        <v>15335</v>
      </c>
      <c r="E1560" s="2141"/>
      <c r="F1560" s="2141"/>
      <c r="G1560" s="2141"/>
      <c r="H1560" s="267">
        <f>ROUND(H1557*$B$13,2)</f>
        <v>4.74</v>
      </c>
      <c r="I1560" s="1830"/>
      <c r="J1560" s="1795"/>
      <c r="K1560" s="1795"/>
      <c r="L1560" s="169"/>
      <c r="M1560" s="1783"/>
    </row>
    <row r="1561" spans="1:13" x14ac:dyDescent="0.25">
      <c r="A1561" s="179"/>
      <c r="B1561" s="179"/>
      <c r="C1561" s="1531"/>
      <c r="D1561" s="2142" t="s">
        <v>7898</v>
      </c>
      <c r="E1561" s="2142"/>
      <c r="F1561" s="2142"/>
      <c r="G1561" s="2142"/>
      <c r="H1561" s="1532">
        <f>H1560+H1557</f>
        <v>22.339999999999996</v>
      </c>
    </row>
    <row r="1562" spans="1:13" x14ac:dyDescent="0.25">
      <c r="A1562" s="676"/>
      <c r="B1562" s="676"/>
      <c r="C1562" s="676"/>
      <c r="F1562" s="691"/>
      <c r="G1562" s="692"/>
      <c r="H1562" s="676"/>
    </row>
    <row r="1563" spans="1:13" s="1517" customFormat="1" x14ac:dyDescent="0.25">
      <c r="A1563" s="146" t="s">
        <v>6</v>
      </c>
      <c r="B1563" s="2143" t="s">
        <v>7</v>
      </c>
      <c r="C1563" s="2143"/>
      <c r="D1563" s="678" t="s">
        <v>121</v>
      </c>
      <c r="E1563" s="278" t="s">
        <v>5282</v>
      </c>
      <c r="F1563" s="678" t="s">
        <v>31</v>
      </c>
      <c r="G1563" s="679" t="s">
        <v>122</v>
      </c>
      <c r="H1563" s="680" t="s">
        <v>123</v>
      </c>
      <c r="I1563" s="1830"/>
      <c r="J1563" s="1795"/>
      <c r="K1563" s="1795"/>
      <c r="L1563" s="169"/>
      <c r="M1563" s="1783"/>
    </row>
    <row r="1564" spans="1:13" s="1526" customFormat="1" ht="30" x14ac:dyDescent="0.2">
      <c r="A1564" s="681" t="str">
        <f>'Orç - Prédio'!A271</f>
        <v>05.01.203.06</v>
      </c>
      <c r="B1564" s="693" t="str">
        <f>'Orç - Prédio'!B271</f>
        <v>SINAPI</v>
      </c>
      <c r="C1564" s="693" t="str">
        <f>'Orç - Prédio'!C271</f>
        <v>90375 MOD 5</v>
      </c>
      <c r="D1564" s="694" t="s">
        <v>5938</v>
      </c>
      <c r="E1564" s="682">
        <f>'Orç - Prédio'!E271</f>
        <v>2</v>
      </c>
      <c r="F1564" s="693" t="s">
        <v>5284</v>
      </c>
      <c r="G1564" s="683">
        <v>8.1999999999999993</v>
      </c>
      <c r="H1564" s="684">
        <f>H1575</f>
        <v>16.399999999999999</v>
      </c>
      <c r="I1564" s="1910" t="s">
        <v>9562</v>
      </c>
      <c r="J1564" s="1793"/>
      <c r="K1564" s="1793"/>
      <c r="L1564" s="141"/>
      <c r="M1564" s="1515"/>
    </row>
    <row r="1565" spans="1:13" s="156" customFormat="1" ht="30" x14ac:dyDescent="0.2">
      <c r="A1565" s="2144">
        <v>122</v>
      </c>
      <c r="B1565" s="2144"/>
      <c r="C1565" s="677" t="s">
        <v>4448</v>
      </c>
      <c r="D1565" s="182" t="s">
        <v>9804</v>
      </c>
      <c r="E1565" s="685">
        <v>8.9999999999999993E-3</v>
      </c>
      <c r="F1565" s="686" t="s">
        <v>39</v>
      </c>
      <c r="G1565" s="687">
        <v>56.82</v>
      </c>
      <c r="H1565" s="688">
        <f t="shared" ref="H1565:H1570" si="124">ROUNDDOWN(G1565*E1565,2)</f>
        <v>0.51</v>
      </c>
      <c r="I1565" s="1642"/>
      <c r="J1565" s="1797"/>
      <c r="K1565" s="1797"/>
      <c r="L1565" s="1784"/>
      <c r="M1565" s="1785"/>
    </row>
    <row r="1566" spans="1:13" s="156" customFormat="1" ht="45" x14ac:dyDescent="0.2">
      <c r="A1566" s="2144">
        <v>834</v>
      </c>
      <c r="B1566" s="2144"/>
      <c r="C1566" s="677" t="s">
        <v>4448</v>
      </c>
      <c r="D1566" s="182" t="s">
        <v>10316</v>
      </c>
      <c r="E1566" s="685">
        <v>1</v>
      </c>
      <c r="F1566" s="686" t="s">
        <v>39</v>
      </c>
      <c r="G1566" s="687">
        <v>2.86</v>
      </c>
      <c r="H1566" s="688">
        <f t="shared" si="124"/>
        <v>2.86</v>
      </c>
      <c r="I1566" s="1642"/>
      <c r="J1566" s="1797"/>
      <c r="K1566" s="1797"/>
      <c r="L1566" s="1784"/>
      <c r="M1566" s="1785"/>
    </row>
    <row r="1567" spans="1:13" s="156" customFormat="1" ht="30" x14ac:dyDescent="0.2">
      <c r="A1567" s="2144">
        <v>20083</v>
      </c>
      <c r="B1567" s="2144"/>
      <c r="C1567" s="677" t="s">
        <v>4448</v>
      </c>
      <c r="D1567" s="182" t="s">
        <v>13801</v>
      </c>
      <c r="E1567" s="685">
        <v>1.0999999999999999E-2</v>
      </c>
      <c r="F1567" s="686" t="s">
        <v>39</v>
      </c>
      <c r="G1567" s="687">
        <v>49.34</v>
      </c>
      <c r="H1567" s="688">
        <f t="shared" si="124"/>
        <v>0.54</v>
      </c>
      <c r="I1567" s="1642"/>
      <c r="J1567" s="1797"/>
      <c r="K1567" s="1797"/>
      <c r="L1567" s="1784"/>
      <c r="M1567" s="1785"/>
    </row>
    <row r="1568" spans="1:13" s="156" customFormat="1" x14ac:dyDescent="0.2">
      <c r="A1568" s="2144">
        <v>38383</v>
      </c>
      <c r="B1568" s="2144"/>
      <c r="C1568" s="677" t="s">
        <v>4448</v>
      </c>
      <c r="D1568" s="182" t="s">
        <v>12469</v>
      </c>
      <c r="E1568" s="685">
        <v>0.06</v>
      </c>
      <c r="F1568" s="686" t="s">
        <v>39</v>
      </c>
      <c r="G1568" s="687">
        <v>1.69</v>
      </c>
      <c r="H1568" s="688">
        <f t="shared" si="124"/>
        <v>0.1</v>
      </c>
      <c r="I1568" s="1642"/>
      <c r="J1568" s="1797"/>
      <c r="K1568" s="1797"/>
      <c r="L1568" s="1784"/>
      <c r="M1568" s="1785"/>
    </row>
    <row r="1569" spans="1:13" s="156" customFormat="1" ht="45" x14ac:dyDescent="0.2">
      <c r="A1569" s="2144">
        <v>88248</v>
      </c>
      <c r="B1569" s="2144"/>
      <c r="C1569" s="677" t="s">
        <v>4448</v>
      </c>
      <c r="D1569" s="182" t="s">
        <v>73</v>
      </c>
      <c r="E1569" s="685">
        <v>0.11899999999999999</v>
      </c>
      <c r="F1569" s="686" t="s">
        <v>65</v>
      </c>
      <c r="G1569" s="687">
        <v>15.55</v>
      </c>
      <c r="H1569" s="688">
        <f t="shared" si="124"/>
        <v>1.85</v>
      </c>
      <c r="I1569" s="1642"/>
      <c r="J1569" s="1797"/>
      <c r="K1569" s="1797"/>
      <c r="L1569" s="1784"/>
      <c r="M1569" s="1785"/>
    </row>
    <row r="1570" spans="1:13" s="156" customFormat="1" ht="30" x14ac:dyDescent="0.2">
      <c r="A1570" s="2144">
        <v>88267</v>
      </c>
      <c r="B1570" s="2144"/>
      <c r="C1570" s="677" t="s">
        <v>4448</v>
      </c>
      <c r="D1570" s="182" t="s">
        <v>83</v>
      </c>
      <c r="E1570" s="685">
        <v>0.11899999999999999</v>
      </c>
      <c r="F1570" s="686" t="s">
        <v>65</v>
      </c>
      <c r="G1570" s="687">
        <v>19.73</v>
      </c>
      <c r="H1570" s="688">
        <f t="shared" si="124"/>
        <v>2.34</v>
      </c>
      <c r="I1570" s="1642"/>
      <c r="J1570" s="1797"/>
      <c r="K1570" s="1797"/>
      <c r="L1570" s="1784"/>
      <c r="M1570" s="1785"/>
    </row>
    <row r="1571" spans="1:13" s="1517" customFormat="1" x14ac:dyDescent="0.25">
      <c r="A1571" s="179"/>
      <c r="B1571" s="179"/>
      <c r="C1571" s="689"/>
      <c r="D1571" s="2141" t="s">
        <v>124</v>
      </c>
      <c r="E1571" s="2141"/>
      <c r="F1571" s="2141"/>
      <c r="G1571" s="2141"/>
      <c r="H1571" s="267">
        <f>SUMIF(F1565:F1570,("h"),H1565:H1570)</f>
        <v>4.1899999999999995</v>
      </c>
      <c r="I1571" s="1830"/>
      <c r="J1571" s="1795"/>
      <c r="K1571" s="1795"/>
      <c r="L1571" s="169"/>
      <c r="M1571" s="1783"/>
    </row>
    <row r="1572" spans="1:13" s="1517" customFormat="1" x14ac:dyDescent="0.25">
      <c r="A1572" s="179"/>
      <c r="B1572" s="179"/>
      <c r="C1572" s="689"/>
      <c r="D1572" s="2141" t="s">
        <v>125</v>
      </c>
      <c r="E1572" s="2141"/>
      <c r="F1572" s="2141"/>
      <c r="G1572" s="2141"/>
      <c r="H1572" s="267">
        <f>SUMIF(F1565:F1570,"&lt;&gt;h",H1565:H1570)</f>
        <v>4.01</v>
      </c>
      <c r="I1572" s="1830"/>
      <c r="J1572" s="1795"/>
      <c r="K1572" s="1795"/>
      <c r="L1572" s="169"/>
      <c r="M1572" s="1783"/>
    </row>
    <row r="1573" spans="1:13" s="1517" customFormat="1" x14ac:dyDescent="0.25">
      <c r="A1573" s="179"/>
      <c r="B1573" s="179"/>
      <c r="C1573" s="689"/>
      <c r="D1573" s="2142" t="s">
        <v>126</v>
      </c>
      <c r="E1573" s="2142"/>
      <c r="F1573" s="2142"/>
      <c r="G1573" s="2142"/>
      <c r="H1573" s="690">
        <f>SUM(H1571:H1572)</f>
        <v>8.1999999999999993</v>
      </c>
      <c r="I1573" s="1830"/>
      <c r="J1573" s="1795"/>
      <c r="K1573" s="1795"/>
      <c r="L1573" s="169"/>
      <c r="M1573" s="1783"/>
    </row>
    <row r="1574" spans="1:13" s="1517" customFormat="1" x14ac:dyDescent="0.25">
      <c r="A1574" s="179"/>
      <c r="B1574" s="179"/>
      <c r="C1574" s="689"/>
      <c r="D1574" s="2141" t="s">
        <v>28</v>
      </c>
      <c r="E1574" s="2141"/>
      <c r="F1574" s="2141"/>
      <c r="G1574" s="2141"/>
      <c r="H1574" s="269">
        <f>E1564</f>
        <v>2</v>
      </c>
      <c r="I1574" s="1830"/>
      <c r="J1574" s="1795"/>
      <c r="K1574" s="1795"/>
      <c r="L1574" s="169"/>
      <c r="M1574" s="1783"/>
    </row>
    <row r="1575" spans="1:13" s="1517" customFormat="1" x14ac:dyDescent="0.25">
      <c r="A1575" s="179"/>
      <c r="B1575" s="179"/>
      <c r="C1575" s="689"/>
      <c r="D1575" s="2142" t="s">
        <v>127</v>
      </c>
      <c r="E1575" s="2142"/>
      <c r="F1575" s="2142"/>
      <c r="G1575" s="2142"/>
      <c r="H1575" s="690">
        <f>ROUND(H1573*H1574,2)</f>
        <v>16.399999999999999</v>
      </c>
      <c r="I1575" s="1830"/>
      <c r="J1575" s="1795"/>
      <c r="K1575" s="1795"/>
      <c r="L1575" s="169"/>
      <c r="M1575" s="1783"/>
    </row>
    <row r="1576" spans="1:13" s="1517" customFormat="1" x14ac:dyDescent="0.25">
      <c r="A1576" s="179"/>
      <c r="B1576" s="179"/>
      <c r="C1576" s="1531"/>
      <c r="D1576" s="2141" t="s">
        <v>15335</v>
      </c>
      <c r="E1576" s="2141"/>
      <c r="F1576" s="2141"/>
      <c r="G1576" s="2141"/>
      <c r="H1576" s="267">
        <f>ROUND(H1573*$B$13,2)</f>
        <v>2.21</v>
      </c>
      <c r="I1576" s="1830"/>
      <c r="J1576" s="1795"/>
      <c r="K1576" s="1795"/>
      <c r="L1576" s="169"/>
      <c r="M1576" s="1783"/>
    </row>
    <row r="1577" spans="1:13" x14ac:dyDescent="0.25">
      <c r="A1577" s="179"/>
      <c r="B1577" s="179"/>
      <c r="C1577" s="1531"/>
      <c r="D1577" s="2142" t="s">
        <v>7898</v>
      </c>
      <c r="E1577" s="2142"/>
      <c r="F1577" s="2142"/>
      <c r="G1577" s="2142"/>
      <c r="H1577" s="1532">
        <f>H1576+H1573</f>
        <v>10.41</v>
      </c>
    </row>
    <row r="1578" spans="1:13" x14ac:dyDescent="0.25">
      <c r="A1578" s="676"/>
      <c r="B1578" s="676"/>
      <c r="C1578" s="676"/>
      <c r="F1578" s="691"/>
      <c r="G1578" s="692"/>
      <c r="H1578" s="676"/>
    </row>
    <row r="1579" spans="1:13" s="1517" customFormat="1" x14ac:dyDescent="0.25">
      <c r="A1579" s="146" t="s">
        <v>6</v>
      </c>
      <c r="B1579" s="2143" t="s">
        <v>7</v>
      </c>
      <c r="C1579" s="2143"/>
      <c r="D1579" s="678" t="s">
        <v>121</v>
      </c>
      <c r="E1579" s="278" t="s">
        <v>5282</v>
      </c>
      <c r="F1579" s="678" t="s">
        <v>31</v>
      </c>
      <c r="G1579" s="679" t="s">
        <v>122</v>
      </c>
      <c r="H1579" s="680" t="s">
        <v>123</v>
      </c>
      <c r="I1579" s="1830"/>
      <c r="J1579" s="1795"/>
      <c r="K1579" s="1795"/>
      <c r="L1579" s="169"/>
      <c r="M1579" s="1783"/>
    </row>
    <row r="1580" spans="1:13" s="1526" customFormat="1" ht="30" x14ac:dyDescent="0.2">
      <c r="A1580" s="681" t="str">
        <f>'Orç - Prédio'!A272</f>
        <v>05.01.203.07</v>
      </c>
      <c r="B1580" s="693" t="str">
        <f>'Orç - Prédio'!B272</f>
        <v>SINAPI</v>
      </c>
      <c r="C1580" s="693" t="str">
        <f>'Orç - Prédio'!C272</f>
        <v>90375 MOD 6</v>
      </c>
      <c r="D1580" s="694" t="s">
        <v>5939</v>
      </c>
      <c r="E1580" s="682">
        <f>'Orç - Prédio'!E272</f>
        <v>1</v>
      </c>
      <c r="F1580" s="693" t="s">
        <v>5284</v>
      </c>
      <c r="G1580" s="683">
        <v>8.4699999999999989</v>
      </c>
      <c r="H1580" s="684">
        <f>H1591</f>
        <v>8.4700000000000006</v>
      </c>
      <c r="I1580" s="1910" t="s">
        <v>9562</v>
      </c>
      <c r="J1580" s="1793"/>
      <c r="K1580" s="1793"/>
      <c r="L1580" s="141"/>
      <c r="M1580" s="1515"/>
    </row>
    <row r="1581" spans="1:13" s="156" customFormat="1" ht="30" x14ac:dyDescent="0.2">
      <c r="A1581" s="2144">
        <v>122</v>
      </c>
      <c r="B1581" s="2144"/>
      <c r="C1581" s="677" t="s">
        <v>4448</v>
      </c>
      <c r="D1581" s="182" t="s">
        <v>9804</v>
      </c>
      <c r="E1581" s="685">
        <v>8.9999999999999993E-3</v>
      </c>
      <c r="F1581" s="686" t="s">
        <v>39</v>
      </c>
      <c r="G1581" s="687">
        <v>56.82</v>
      </c>
      <c r="H1581" s="688">
        <f t="shared" ref="H1581:H1586" si="125">ROUNDDOWN(G1581*E1581,2)</f>
        <v>0.51</v>
      </c>
      <c r="I1581" s="1642"/>
      <c r="J1581" s="1797"/>
      <c r="K1581" s="1797"/>
      <c r="L1581" s="1784"/>
      <c r="M1581" s="1785"/>
    </row>
    <row r="1582" spans="1:13" s="156" customFormat="1" ht="45" x14ac:dyDescent="0.2">
      <c r="A1582" s="2144">
        <v>813</v>
      </c>
      <c r="B1582" s="2144"/>
      <c r="C1582" s="677" t="s">
        <v>4448</v>
      </c>
      <c r="D1582" s="182" t="s">
        <v>10318</v>
      </c>
      <c r="E1582" s="685">
        <v>1</v>
      </c>
      <c r="F1582" s="686" t="s">
        <v>39</v>
      </c>
      <c r="G1582" s="687">
        <v>3.13</v>
      </c>
      <c r="H1582" s="688">
        <f t="shared" si="125"/>
        <v>3.13</v>
      </c>
      <c r="I1582" s="1642"/>
      <c r="J1582" s="1797"/>
      <c r="K1582" s="1797"/>
      <c r="L1582" s="1784"/>
      <c r="M1582" s="1785"/>
    </row>
    <row r="1583" spans="1:13" s="156" customFormat="1" ht="30" x14ac:dyDescent="0.2">
      <c r="A1583" s="2144">
        <v>20083</v>
      </c>
      <c r="B1583" s="2144"/>
      <c r="C1583" s="677" t="s">
        <v>4448</v>
      </c>
      <c r="D1583" s="182" t="s">
        <v>13801</v>
      </c>
      <c r="E1583" s="685">
        <v>1.0999999999999999E-2</v>
      </c>
      <c r="F1583" s="686" t="s">
        <v>39</v>
      </c>
      <c r="G1583" s="687">
        <v>49.34</v>
      </c>
      <c r="H1583" s="688">
        <f t="shared" si="125"/>
        <v>0.54</v>
      </c>
      <c r="I1583" s="1642"/>
      <c r="J1583" s="1797"/>
      <c r="K1583" s="1797"/>
      <c r="L1583" s="1784"/>
      <c r="M1583" s="1785"/>
    </row>
    <row r="1584" spans="1:13" s="156" customFormat="1" x14ac:dyDescent="0.2">
      <c r="A1584" s="2144">
        <v>38383</v>
      </c>
      <c r="B1584" s="2144"/>
      <c r="C1584" s="677" t="s">
        <v>4448</v>
      </c>
      <c r="D1584" s="182" t="s">
        <v>12469</v>
      </c>
      <c r="E1584" s="685">
        <v>0.06</v>
      </c>
      <c r="F1584" s="686" t="s">
        <v>39</v>
      </c>
      <c r="G1584" s="687">
        <v>1.69</v>
      </c>
      <c r="H1584" s="688">
        <f t="shared" si="125"/>
        <v>0.1</v>
      </c>
      <c r="I1584" s="1642"/>
      <c r="J1584" s="1797"/>
      <c r="K1584" s="1797"/>
      <c r="L1584" s="1784"/>
      <c r="M1584" s="1785"/>
    </row>
    <row r="1585" spans="1:13" s="156" customFormat="1" ht="45" x14ac:dyDescent="0.2">
      <c r="A1585" s="2144">
        <v>88248</v>
      </c>
      <c r="B1585" s="2144"/>
      <c r="C1585" s="677" t="s">
        <v>4448</v>
      </c>
      <c r="D1585" s="182" t="s">
        <v>73</v>
      </c>
      <c r="E1585" s="685">
        <v>0.11899999999999999</v>
      </c>
      <c r="F1585" s="686" t="s">
        <v>65</v>
      </c>
      <c r="G1585" s="687">
        <v>15.55</v>
      </c>
      <c r="H1585" s="688">
        <f t="shared" si="125"/>
        <v>1.85</v>
      </c>
      <c r="I1585" s="1642"/>
      <c r="J1585" s="1797"/>
      <c r="K1585" s="1797"/>
      <c r="L1585" s="1784"/>
      <c r="M1585" s="1785"/>
    </row>
    <row r="1586" spans="1:13" s="156" customFormat="1" ht="30" x14ac:dyDescent="0.2">
      <c r="A1586" s="2144">
        <v>88267</v>
      </c>
      <c r="B1586" s="2144"/>
      <c r="C1586" s="677" t="s">
        <v>4448</v>
      </c>
      <c r="D1586" s="182" t="s">
        <v>83</v>
      </c>
      <c r="E1586" s="685">
        <v>0.11899999999999999</v>
      </c>
      <c r="F1586" s="686" t="s">
        <v>65</v>
      </c>
      <c r="G1586" s="687">
        <v>19.73</v>
      </c>
      <c r="H1586" s="688">
        <f t="shared" si="125"/>
        <v>2.34</v>
      </c>
      <c r="I1586" s="1642"/>
      <c r="J1586" s="1797"/>
      <c r="K1586" s="1797"/>
      <c r="L1586" s="1784"/>
      <c r="M1586" s="1785"/>
    </row>
    <row r="1587" spans="1:13" s="1517" customFormat="1" x14ac:dyDescent="0.25">
      <c r="A1587" s="179"/>
      <c r="B1587" s="179"/>
      <c r="C1587" s="689"/>
      <c r="D1587" s="2141" t="s">
        <v>124</v>
      </c>
      <c r="E1587" s="2141"/>
      <c r="F1587" s="2141"/>
      <c r="G1587" s="2141"/>
      <c r="H1587" s="267">
        <f>SUMIF(F1581:F1586,("h"),H1581:H1586)</f>
        <v>4.1899999999999995</v>
      </c>
      <c r="I1587" s="1830"/>
      <c r="J1587" s="1795"/>
      <c r="K1587" s="1795"/>
      <c r="L1587" s="169"/>
      <c r="M1587" s="1783"/>
    </row>
    <row r="1588" spans="1:13" s="1517" customFormat="1" x14ac:dyDescent="0.25">
      <c r="A1588" s="179"/>
      <c r="B1588" s="179"/>
      <c r="C1588" s="689"/>
      <c r="D1588" s="2141" t="s">
        <v>125</v>
      </c>
      <c r="E1588" s="2141"/>
      <c r="F1588" s="2141"/>
      <c r="G1588" s="2141"/>
      <c r="H1588" s="267">
        <f>SUMIF(F1581:F1586,"&lt;&gt;h",H1581:H1586)</f>
        <v>4.2799999999999994</v>
      </c>
      <c r="I1588" s="1830"/>
      <c r="J1588" s="1795"/>
      <c r="K1588" s="1795"/>
      <c r="L1588" s="169"/>
      <c r="M1588" s="1783"/>
    </row>
    <row r="1589" spans="1:13" s="1517" customFormat="1" x14ac:dyDescent="0.25">
      <c r="A1589" s="179"/>
      <c r="B1589" s="179"/>
      <c r="C1589" s="689"/>
      <c r="D1589" s="2142" t="s">
        <v>126</v>
      </c>
      <c r="E1589" s="2142"/>
      <c r="F1589" s="2142"/>
      <c r="G1589" s="2142"/>
      <c r="H1589" s="690">
        <f>SUM(H1587:H1588)</f>
        <v>8.4699999999999989</v>
      </c>
      <c r="I1589" s="1830"/>
      <c r="J1589" s="1795"/>
      <c r="K1589" s="1795"/>
      <c r="L1589" s="169"/>
      <c r="M1589" s="1783"/>
    </row>
    <row r="1590" spans="1:13" s="1517" customFormat="1" x14ac:dyDescent="0.25">
      <c r="A1590" s="179"/>
      <c r="B1590" s="179"/>
      <c r="C1590" s="689"/>
      <c r="D1590" s="2141" t="s">
        <v>28</v>
      </c>
      <c r="E1590" s="2141"/>
      <c r="F1590" s="2141"/>
      <c r="G1590" s="2141"/>
      <c r="H1590" s="269">
        <f>E1580</f>
        <v>1</v>
      </c>
      <c r="I1590" s="1830"/>
      <c r="J1590" s="1795"/>
      <c r="K1590" s="1795"/>
      <c r="L1590" s="169"/>
      <c r="M1590" s="1783"/>
    </row>
    <row r="1591" spans="1:13" s="1517" customFormat="1" x14ac:dyDescent="0.25">
      <c r="A1591" s="179"/>
      <c r="B1591" s="179"/>
      <c r="C1591" s="689"/>
      <c r="D1591" s="2142" t="s">
        <v>127</v>
      </c>
      <c r="E1591" s="2142"/>
      <c r="F1591" s="2142"/>
      <c r="G1591" s="2142"/>
      <c r="H1591" s="690">
        <f>ROUND(H1589*H1590,2)</f>
        <v>8.4700000000000006</v>
      </c>
      <c r="I1591" s="1830"/>
      <c r="J1591" s="1795"/>
      <c r="K1591" s="1795"/>
      <c r="L1591" s="169"/>
      <c r="M1591" s="1783"/>
    </row>
    <row r="1592" spans="1:13" s="1517" customFormat="1" x14ac:dyDescent="0.25">
      <c r="A1592" s="179"/>
      <c r="B1592" s="179"/>
      <c r="C1592" s="1531"/>
      <c r="D1592" s="2141" t="s">
        <v>15335</v>
      </c>
      <c r="E1592" s="2141"/>
      <c r="F1592" s="2141"/>
      <c r="G1592" s="2141"/>
      <c r="H1592" s="267">
        <f>ROUND(H1589*$B$13,2)</f>
        <v>2.2799999999999998</v>
      </c>
      <c r="I1592" s="1830"/>
      <c r="J1592" s="1795"/>
      <c r="K1592" s="1795"/>
      <c r="L1592" s="169"/>
      <c r="M1592" s="1783"/>
    </row>
    <row r="1593" spans="1:13" x14ac:dyDescent="0.25">
      <c r="A1593" s="179"/>
      <c r="B1593" s="179"/>
      <c r="C1593" s="1531"/>
      <c r="D1593" s="2142" t="s">
        <v>7898</v>
      </c>
      <c r="E1593" s="2142"/>
      <c r="F1593" s="2142"/>
      <c r="G1593" s="2142"/>
      <c r="H1593" s="1532">
        <f>H1592+H1589</f>
        <v>10.749999999999998</v>
      </c>
    </row>
    <row r="1594" spans="1:13" x14ac:dyDescent="0.25">
      <c r="A1594" s="676"/>
      <c r="B1594" s="676"/>
      <c r="C1594" s="676"/>
      <c r="F1594" s="691"/>
      <c r="G1594" s="692"/>
      <c r="H1594" s="676"/>
    </row>
    <row r="1595" spans="1:13" s="1517" customFormat="1" x14ac:dyDescent="0.25">
      <c r="A1595" s="146" t="s">
        <v>6</v>
      </c>
      <c r="B1595" s="2143" t="s">
        <v>7</v>
      </c>
      <c r="C1595" s="2143"/>
      <c r="D1595" s="678" t="s">
        <v>121</v>
      </c>
      <c r="E1595" s="278" t="s">
        <v>5282</v>
      </c>
      <c r="F1595" s="678" t="s">
        <v>31</v>
      </c>
      <c r="G1595" s="679" t="s">
        <v>122</v>
      </c>
      <c r="H1595" s="680" t="s">
        <v>123</v>
      </c>
      <c r="I1595" s="1830"/>
      <c r="J1595" s="1795"/>
      <c r="K1595" s="1795"/>
      <c r="L1595" s="169"/>
      <c r="M1595" s="1783"/>
    </row>
    <row r="1596" spans="1:13" s="1526" customFormat="1" ht="30" x14ac:dyDescent="0.2">
      <c r="A1596" s="681" t="str">
        <f>'Orç - Prédio'!A273</f>
        <v>05.01.203.08</v>
      </c>
      <c r="B1596" s="693" t="str">
        <f>'Orç - Prédio'!B273</f>
        <v>SINAPI</v>
      </c>
      <c r="C1596" s="693" t="str">
        <f>'Orç - Prédio'!C273</f>
        <v>90375 MOD 7</v>
      </c>
      <c r="D1596" s="694" t="s">
        <v>5940</v>
      </c>
      <c r="E1596" s="682">
        <f>'Orç - Prédio'!E273</f>
        <v>3</v>
      </c>
      <c r="F1596" s="693" t="s">
        <v>5284</v>
      </c>
      <c r="G1596" s="683">
        <v>9.3099999999999987</v>
      </c>
      <c r="H1596" s="684">
        <f>H1607</f>
        <v>27.93</v>
      </c>
      <c r="I1596" s="1910" t="s">
        <v>9562</v>
      </c>
      <c r="J1596" s="1793"/>
      <c r="K1596" s="1793"/>
      <c r="L1596" s="141"/>
      <c r="M1596" s="1515"/>
    </row>
    <row r="1597" spans="1:13" s="156" customFormat="1" ht="30" x14ac:dyDescent="0.2">
      <c r="A1597" s="2144">
        <v>122</v>
      </c>
      <c r="B1597" s="2144"/>
      <c r="C1597" s="677" t="s">
        <v>4448</v>
      </c>
      <c r="D1597" s="182" t="s">
        <v>9804</v>
      </c>
      <c r="E1597" s="685">
        <v>8.9999999999999993E-3</v>
      </c>
      <c r="F1597" s="686" t="s">
        <v>39</v>
      </c>
      <c r="G1597" s="687">
        <v>56.82</v>
      </c>
      <c r="H1597" s="688">
        <f t="shared" ref="H1597:H1602" si="126">ROUNDDOWN(G1597*E1597,2)</f>
        <v>0.51</v>
      </c>
      <c r="I1597" s="1642"/>
      <c r="J1597" s="1797"/>
      <c r="K1597" s="1797"/>
      <c r="L1597" s="1784"/>
      <c r="M1597" s="1785"/>
    </row>
    <row r="1598" spans="1:13" s="156" customFormat="1" ht="45" x14ac:dyDescent="0.2">
      <c r="A1598" s="2144">
        <v>820</v>
      </c>
      <c r="B1598" s="2144"/>
      <c r="C1598" s="677" t="s">
        <v>4448</v>
      </c>
      <c r="D1598" s="182" t="s">
        <v>10319</v>
      </c>
      <c r="E1598" s="685">
        <v>1</v>
      </c>
      <c r="F1598" s="686" t="s">
        <v>39</v>
      </c>
      <c r="G1598" s="687">
        <v>3.97</v>
      </c>
      <c r="H1598" s="688">
        <f t="shared" si="126"/>
        <v>3.97</v>
      </c>
      <c r="I1598" s="1642"/>
      <c r="J1598" s="1797"/>
      <c r="K1598" s="1797"/>
      <c r="L1598" s="1784"/>
      <c r="M1598" s="1785"/>
    </row>
    <row r="1599" spans="1:13" s="156" customFormat="1" ht="30" x14ac:dyDescent="0.2">
      <c r="A1599" s="2144">
        <v>20083</v>
      </c>
      <c r="B1599" s="2144"/>
      <c r="C1599" s="677" t="s">
        <v>4448</v>
      </c>
      <c r="D1599" s="182" t="s">
        <v>13801</v>
      </c>
      <c r="E1599" s="685">
        <v>1.0999999999999999E-2</v>
      </c>
      <c r="F1599" s="686" t="s">
        <v>39</v>
      </c>
      <c r="G1599" s="687">
        <v>49.34</v>
      </c>
      <c r="H1599" s="688">
        <f t="shared" si="126"/>
        <v>0.54</v>
      </c>
      <c r="I1599" s="1642"/>
      <c r="J1599" s="1797"/>
      <c r="K1599" s="1797"/>
      <c r="L1599" s="1784"/>
      <c r="M1599" s="1785"/>
    </row>
    <row r="1600" spans="1:13" s="156" customFormat="1" x14ac:dyDescent="0.2">
      <c r="A1600" s="2144">
        <v>38383</v>
      </c>
      <c r="B1600" s="2144"/>
      <c r="C1600" s="677" t="s">
        <v>4448</v>
      </c>
      <c r="D1600" s="182" t="s">
        <v>12469</v>
      </c>
      <c r="E1600" s="685">
        <v>0.06</v>
      </c>
      <c r="F1600" s="686" t="s">
        <v>39</v>
      </c>
      <c r="G1600" s="687">
        <v>1.69</v>
      </c>
      <c r="H1600" s="688">
        <f t="shared" si="126"/>
        <v>0.1</v>
      </c>
      <c r="I1600" s="1642"/>
      <c r="J1600" s="1797"/>
      <c r="K1600" s="1797"/>
      <c r="L1600" s="1784"/>
      <c r="M1600" s="1785"/>
    </row>
    <row r="1601" spans="1:13" s="156" customFormat="1" ht="45" x14ac:dyDescent="0.2">
      <c r="A1601" s="2144">
        <v>88248</v>
      </c>
      <c r="B1601" s="2144"/>
      <c r="C1601" s="677" t="s">
        <v>4448</v>
      </c>
      <c r="D1601" s="182" t="s">
        <v>73</v>
      </c>
      <c r="E1601" s="685">
        <v>0.11899999999999999</v>
      </c>
      <c r="F1601" s="686" t="s">
        <v>65</v>
      </c>
      <c r="G1601" s="687">
        <v>15.55</v>
      </c>
      <c r="H1601" s="688">
        <f t="shared" si="126"/>
        <v>1.85</v>
      </c>
      <c r="I1601" s="1642"/>
      <c r="J1601" s="1797"/>
      <c r="K1601" s="1797"/>
      <c r="L1601" s="1784"/>
      <c r="M1601" s="1785"/>
    </row>
    <row r="1602" spans="1:13" s="156" customFormat="1" ht="30" x14ac:dyDescent="0.2">
      <c r="A1602" s="2144">
        <v>88267</v>
      </c>
      <c r="B1602" s="2144"/>
      <c r="C1602" s="677" t="s">
        <v>4448</v>
      </c>
      <c r="D1602" s="182" t="s">
        <v>83</v>
      </c>
      <c r="E1602" s="685">
        <v>0.11899999999999999</v>
      </c>
      <c r="F1602" s="686" t="s">
        <v>65</v>
      </c>
      <c r="G1602" s="687">
        <v>19.73</v>
      </c>
      <c r="H1602" s="688">
        <f t="shared" si="126"/>
        <v>2.34</v>
      </c>
      <c r="I1602" s="1642"/>
      <c r="J1602" s="1797"/>
      <c r="K1602" s="1797"/>
      <c r="L1602" s="1784"/>
      <c r="M1602" s="1785"/>
    </row>
    <row r="1603" spans="1:13" s="1517" customFormat="1" x14ac:dyDescent="0.25">
      <c r="A1603" s="179"/>
      <c r="B1603" s="179"/>
      <c r="C1603" s="689"/>
      <c r="D1603" s="2141" t="s">
        <v>124</v>
      </c>
      <c r="E1603" s="2141"/>
      <c r="F1603" s="2141"/>
      <c r="G1603" s="2141"/>
      <c r="H1603" s="267">
        <f>SUMIF(F1597:F1602,("h"),H1597:H1602)</f>
        <v>4.1899999999999995</v>
      </c>
      <c r="I1603" s="1830"/>
      <c r="J1603" s="1795"/>
      <c r="K1603" s="1795"/>
      <c r="L1603" s="169"/>
      <c r="M1603" s="1783"/>
    </row>
    <row r="1604" spans="1:13" s="1517" customFormat="1" x14ac:dyDescent="0.25">
      <c r="A1604" s="179"/>
      <c r="B1604" s="179"/>
      <c r="C1604" s="689"/>
      <c r="D1604" s="2141" t="s">
        <v>125</v>
      </c>
      <c r="E1604" s="2141"/>
      <c r="F1604" s="2141"/>
      <c r="G1604" s="2141"/>
      <c r="H1604" s="267">
        <f>SUMIF(F1597:F1602,"&lt;&gt;h",H1597:H1602)</f>
        <v>5.12</v>
      </c>
      <c r="I1604" s="1830"/>
      <c r="J1604" s="1795"/>
      <c r="K1604" s="1795"/>
      <c r="L1604" s="169"/>
      <c r="M1604" s="1783"/>
    </row>
    <row r="1605" spans="1:13" s="1517" customFormat="1" x14ac:dyDescent="0.25">
      <c r="A1605" s="179"/>
      <c r="B1605" s="179"/>
      <c r="C1605" s="689"/>
      <c r="D1605" s="2142" t="s">
        <v>126</v>
      </c>
      <c r="E1605" s="2142"/>
      <c r="F1605" s="2142"/>
      <c r="G1605" s="2142"/>
      <c r="H1605" s="690">
        <f>SUM(H1603:H1604)</f>
        <v>9.3099999999999987</v>
      </c>
      <c r="I1605" s="1830"/>
      <c r="J1605" s="1795"/>
      <c r="K1605" s="1795"/>
      <c r="L1605" s="169"/>
      <c r="M1605" s="1783"/>
    </row>
    <row r="1606" spans="1:13" s="1517" customFormat="1" x14ac:dyDescent="0.25">
      <c r="A1606" s="179"/>
      <c r="B1606" s="179"/>
      <c r="C1606" s="689"/>
      <c r="D1606" s="2141" t="s">
        <v>28</v>
      </c>
      <c r="E1606" s="2141"/>
      <c r="F1606" s="2141"/>
      <c r="G1606" s="2141"/>
      <c r="H1606" s="269">
        <f>E1596</f>
        <v>3</v>
      </c>
      <c r="I1606" s="1830"/>
      <c r="J1606" s="1795"/>
      <c r="K1606" s="1795"/>
      <c r="L1606" s="169"/>
      <c r="M1606" s="1783"/>
    </row>
    <row r="1607" spans="1:13" s="1517" customFormat="1" x14ac:dyDescent="0.25">
      <c r="A1607" s="179"/>
      <c r="B1607" s="179"/>
      <c r="C1607" s="689"/>
      <c r="D1607" s="2142" t="s">
        <v>127</v>
      </c>
      <c r="E1607" s="2142"/>
      <c r="F1607" s="2142"/>
      <c r="G1607" s="2142"/>
      <c r="H1607" s="690">
        <f>ROUND(H1605*H1606,2)</f>
        <v>27.93</v>
      </c>
      <c r="I1607" s="1830"/>
      <c r="J1607" s="1795"/>
      <c r="K1607" s="1795"/>
      <c r="L1607" s="169"/>
      <c r="M1607" s="1783"/>
    </row>
    <row r="1608" spans="1:13" s="1517" customFormat="1" x14ac:dyDescent="0.25">
      <c r="A1608" s="179"/>
      <c r="B1608" s="179"/>
      <c r="C1608" s="1531"/>
      <c r="D1608" s="2141" t="s">
        <v>15335</v>
      </c>
      <c r="E1608" s="2141"/>
      <c r="F1608" s="2141"/>
      <c r="G1608" s="2141"/>
      <c r="H1608" s="267">
        <f>ROUND(H1605*$B$13,2)</f>
        <v>2.5099999999999998</v>
      </c>
      <c r="I1608" s="1830"/>
      <c r="J1608" s="1795"/>
      <c r="K1608" s="1795"/>
      <c r="L1608" s="169"/>
      <c r="M1608" s="1783"/>
    </row>
    <row r="1609" spans="1:13" x14ac:dyDescent="0.25">
      <c r="A1609" s="179"/>
      <c r="B1609" s="179"/>
      <c r="C1609" s="1531"/>
      <c r="D1609" s="2142" t="s">
        <v>7898</v>
      </c>
      <c r="E1609" s="2142"/>
      <c r="F1609" s="2142"/>
      <c r="G1609" s="2142"/>
      <c r="H1609" s="1532">
        <f>H1608+H1605</f>
        <v>11.819999999999999</v>
      </c>
    </row>
    <row r="1610" spans="1:13" x14ac:dyDescent="0.25">
      <c r="A1610" s="676"/>
      <c r="B1610" s="676"/>
      <c r="C1610" s="676"/>
      <c r="F1610" s="691"/>
      <c r="G1610" s="692"/>
      <c r="H1610" s="676"/>
    </row>
    <row r="1611" spans="1:13" s="1517" customFormat="1" x14ac:dyDescent="0.25">
      <c r="A1611" s="146" t="s">
        <v>6</v>
      </c>
      <c r="B1611" s="2143" t="s">
        <v>7</v>
      </c>
      <c r="C1611" s="2143"/>
      <c r="D1611" s="697" t="s">
        <v>121</v>
      </c>
      <c r="E1611" s="278" t="s">
        <v>5282</v>
      </c>
      <c r="F1611" s="697" t="s">
        <v>31</v>
      </c>
      <c r="G1611" s="698" t="s">
        <v>122</v>
      </c>
      <c r="H1611" s="699" t="s">
        <v>123</v>
      </c>
      <c r="I1611" s="1830"/>
      <c r="J1611" s="1795"/>
      <c r="K1611" s="1795"/>
      <c r="L1611" s="169"/>
      <c r="M1611" s="1783"/>
    </row>
    <row r="1612" spans="1:13" s="1526" customFormat="1" ht="30" x14ac:dyDescent="0.2">
      <c r="A1612" s="700" t="str">
        <f>'Orç - Prédio'!A274</f>
        <v>05.01.204</v>
      </c>
      <c r="B1612" s="700" t="str">
        <f>'Orç - Prédio'!B274</f>
        <v>SINAPI</v>
      </c>
      <c r="C1612" s="700" t="str">
        <f>'Orç - Prédio'!C274</f>
        <v>72293 MOD</v>
      </c>
      <c r="D1612" s="701" t="s">
        <v>5948</v>
      </c>
      <c r="E1612" s="702">
        <f>'Orç - Prédio'!E274</f>
        <v>44</v>
      </c>
      <c r="F1612" s="700" t="s">
        <v>5284</v>
      </c>
      <c r="G1612" s="703">
        <v>3.82</v>
      </c>
      <c r="H1612" s="704">
        <f>H1622</f>
        <v>168.08</v>
      </c>
      <c r="I1612" s="1910" t="s">
        <v>9562</v>
      </c>
      <c r="J1612" s="1793"/>
      <c r="K1612" s="1793"/>
      <c r="L1612" s="141"/>
      <c r="M1612" s="1515"/>
    </row>
    <row r="1613" spans="1:13" s="156" customFormat="1" ht="30" x14ac:dyDescent="0.2">
      <c r="A1613" s="2144">
        <v>122</v>
      </c>
      <c r="B1613" s="2144"/>
      <c r="C1613" s="696" t="s">
        <v>4448</v>
      </c>
      <c r="D1613" s="182" t="s">
        <v>9804</v>
      </c>
      <c r="E1613" s="705">
        <v>7.0000000000000001E-3</v>
      </c>
      <c r="F1613" s="706" t="s">
        <v>39</v>
      </c>
      <c r="G1613" s="707">
        <v>56.82</v>
      </c>
      <c r="H1613" s="708">
        <f>ROUNDDOWN(G1613*E1613,2)</f>
        <v>0.39</v>
      </c>
      <c r="I1613" s="1642"/>
      <c r="J1613" s="1797"/>
      <c r="K1613" s="1797"/>
      <c r="L1613" s="1784"/>
      <c r="M1613" s="1785"/>
    </row>
    <row r="1614" spans="1:13" s="156" customFormat="1" ht="30" x14ac:dyDescent="0.2">
      <c r="A1614" s="2144">
        <v>1185</v>
      </c>
      <c r="B1614" s="2144"/>
      <c r="C1614" s="696" t="s">
        <v>4448</v>
      </c>
      <c r="D1614" s="182" t="s">
        <v>10736</v>
      </c>
      <c r="E1614" s="705">
        <v>1</v>
      </c>
      <c r="F1614" s="706" t="s">
        <v>39</v>
      </c>
      <c r="G1614" s="707">
        <v>0.93</v>
      </c>
      <c r="H1614" s="708">
        <f>ROUNDDOWN(G1614*E1614,2)</f>
        <v>0.93</v>
      </c>
      <c r="I1614" s="1642"/>
      <c r="J1614" s="1797"/>
      <c r="K1614" s="1797"/>
      <c r="L1614" s="1784"/>
      <c r="M1614" s="1785"/>
    </row>
    <row r="1615" spans="1:13" s="156" customFormat="1" ht="30" x14ac:dyDescent="0.2">
      <c r="A1615" s="2144">
        <v>20083</v>
      </c>
      <c r="B1615" s="2144"/>
      <c r="C1615" s="696" t="s">
        <v>4448</v>
      </c>
      <c r="D1615" s="182" t="s">
        <v>13801</v>
      </c>
      <c r="E1615" s="705">
        <v>5.0000000000000001E-3</v>
      </c>
      <c r="F1615" s="706" t="s">
        <v>39</v>
      </c>
      <c r="G1615" s="707">
        <v>49.34</v>
      </c>
      <c r="H1615" s="708">
        <f>ROUNDDOWN(G1615*E1615,2)</f>
        <v>0.24</v>
      </c>
      <c r="I1615" s="1642"/>
      <c r="J1615" s="1797"/>
      <c r="K1615" s="1797"/>
      <c r="L1615" s="1784"/>
      <c r="M1615" s="1785"/>
    </row>
    <row r="1616" spans="1:13" s="156" customFormat="1" ht="30" x14ac:dyDescent="0.2">
      <c r="A1616" s="2144">
        <v>88267</v>
      </c>
      <c r="B1616" s="2144"/>
      <c r="C1616" s="696" t="s">
        <v>4448</v>
      </c>
      <c r="D1616" s="182" t="s">
        <v>83</v>
      </c>
      <c r="E1616" s="705">
        <v>6.5000000000000002E-2</v>
      </c>
      <c r="F1616" s="706" t="s">
        <v>65</v>
      </c>
      <c r="G1616" s="707">
        <v>19.73</v>
      </c>
      <c r="H1616" s="708">
        <f>ROUNDDOWN(G1616*E1616,2)</f>
        <v>1.28</v>
      </c>
      <c r="I1616" s="1642"/>
      <c r="J1616" s="1797"/>
      <c r="K1616" s="1797"/>
      <c r="L1616" s="1784"/>
      <c r="M1616" s="1785"/>
    </row>
    <row r="1617" spans="1:13" s="156" customFormat="1" ht="30" x14ac:dyDescent="0.2">
      <c r="A1617" s="2144">
        <v>88316</v>
      </c>
      <c r="B1617" s="2144"/>
      <c r="C1617" s="696" t="s">
        <v>4448</v>
      </c>
      <c r="D1617" s="182" t="s">
        <v>64</v>
      </c>
      <c r="E1617" s="705">
        <v>6.5000000000000002E-2</v>
      </c>
      <c r="F1617" s="706" t="s">
        <v>65</v>
      </c>
      <c r="G1617" s="707">
        <v>15.08</v>
      </c>
      <c r="H1617" s="708">
        <f>ROUNDDOWN(G1617*E1617,2)</f>
        <v>0.98</v>
      </c>
      <c r="I1617" s="1642"/>
      <c r="J1617" s="1797"/>
      <c r="K1617" s="1797"/>
      <c r="L1617" s="1784"/>
      <c r="M1617" s="1785"/>
    </row>
    <row r="1618" spans="1:13" s="1517" customFormat="1" x14ac:dyDescent="0.25">
      <c r="A1618" s="179"/>
      <c r="B1618" s="179"/>
      <c r="C1618" s="709"/>
      <c r="D1618" s="2141" t="s">
        <v>124</v>
      </c>
      <c r="E1618" s="2141"/>
      <c r="F1618" s="2141"/>
      <c r="G1618" s="2141"/>
      <c r="H1618" s="267">
        <f>SUMIF(F1613:F1617,("h"),H1613:H1617)</f>
        <v>2.2599999999999998</v>
      </c>
      <c r="I1618" s="1830"/>
      <c r="J1618" s="1795"/>
      <c r="K1618" s="1795"/>
      <c r="L1618" s="169"/>
      <c r="M1618" s="1783"/>
    </row>
    <row r="1619" spans="1:13" s="1517" customFormat="1" x14ac:dyDescent="0.25">
      <c r="A1619" s="179"/>
      <c r="B1619" s="179"/>
      <c r="C1619" s="709"/>
      <c r="D1619" s="2141" t="s">
        <v>125</v>
      </c>
      <c r="E1619" s="2141"/>
      <c r="F1619" s="2141"/>
      <c r="G1619" s="2141"/>
      <c r="H1619" s="267">
        <f>SUMIF(F1613:F1617,"&lt;&gt;h",H1613:H1617)</f>
        <v>1.56</v>
      </c>
      <c r="I1619" s="1830"/>
      <c r="J1619" s="1795"/>
      <c r="K1619" s="1795"/>
      <c r="L1619" s="169"/>
      <c r="M1619" s="1783"/>
    </row>
    <row r="1620" spans="1:13" s="1517" customFormat="1" x14ac:dyDescent="0.25">
      <c r="A1620" s="179"/>
      <c r="B1620" s="179"/>
      <c r="C1620" s="709"/>
      <c r="D1620" s="2142" t="s">
        <v>126</v>
      </c>
      <c r="E1620" s="2142"/>
      <c r="F1620" s="2142"/>
      <c r="G1620" s="2142"/>
      <c r="H1620" s="710">
        <f>SUM(H1618:H1619)</f>
        <v>3.82</v>
      </c>
      <c r="I1620" s="1830"/>
      <c r="J1620" s="1795"/>
      <c r="K1620" s="1795"/>
      <c r="L1620" s="169"/>
      <c r="M1620" s="1783"/>
    </row>
    <row r="1621" spans="1:13" s="1517" customFormat="1" x14ac:dyDescent="0.25">
      <c r="A1621" s="179"/>
      <c r="B1621" s="179"/>
      <c r="C1621" s="709"/>
      <c r="D1621" s="2141" t="s">
        <v>28</v>
      </c>
      <c r="E1621" s="2141"/>
      <c r="F1621" s="2141"/>
      <c r="G1621" s="2141"/>
      <c r="H1621" s="269">
        <f>E1612</f>
        <v>44</v>
      </c>
      <c r="I1621" s="1830"/>
      <c r="J1621" s="1795"/>
      <c r="K1621" s="1795"/>
      <c r="L1621" s="169"/>
      <c r="M1621" s="1783"/>
    </row>
    <row r="1622" spans="1:13" s="1517" customFormat="1" x14ac:dyDescent="0.25">
      <c r="A1622" s="179"/>
      <c r="B1622" s="179"/>
      <c r="C1622" s="709"/>
      <c r="D1622" s="2142" t="s">
        <v>127</v>
      </c>
      <c r="E1622" s="2142"/>
      <c r="F1622" s="2142"/>
      <c r="G1622" s="2142"/>
      <c r="H1622" s="710">
        <f>ROUND(H1620*H1621,2)</f>
        <v>168.08</v>
      </c>
      <c r="I1622" s="1830"/>
      <c r="J1622" s="1795"/>
      <c r="K1622" s="1795"/>
      <c r="L1622" s="169"/>
      <c r="M1622" s="1783"/>
    </row>
    <row r="1623" spans="1:13" s="1517" customFormat="1" x14ac:dyDescent="0.25">
      <c r="A1623" s="179"/>
      <c r="B1623" s="179"/>
      <c r="C1623" s="1531"/>
      <c r="D1623" s="2141" t="s">
        <v>15335</v>
      </c>
      <c r="E1623" s="2141"/>
      <c r="F1623" s="2141"/>
      <c r="G1623" s="2141"/>
      <c r="H1623" s="267">
        <f>ROUND(H1620*$B$13,2)</f>
        <v>1.03</v>
      </c>
      <c r="I1623" s="1830"/>
      <c r="J1623" s="1795"/>
      <c r="K1623" s="1795"/>
      <c r="L1623" s="169"/>
      <c r="M1623" s="1783"/>
    </row>
    <row r="1624" spans="1:13" x14ac:dyDescent="0.25">
      <c r="A1624" s="179"/>
      <c r="B1624" s="179"/>
      <c r="C1624" s="1531"/>
      <c r="D1624" s="2142" t="s">
        <v>7898</v>
      </c>
      <c r="E1624" s="2142"/>
      <c r="F1624" s="2142"/>
      <c r="G1624" s="2142"/>
      <c r="H1624" s="1532">
        <f>H1623+H1620</f>
        <v>4.8499999999999996</v>
      </c>
    </row>
    <row r="1625" spans="1:13" x14ac:dyDescent="0.25">
      <c r="A1625" s="695"/>
      <c r="B1625" s="695"/>
      <c r="C1625" s="695"/>
      <c r="F1625" s="711"/>
      <c r="G1625" s="712"/>
      <c r="H1625" s="695"/>
    </row>
    <row r="1626" spans="1:13" s="1517" customFormat="1" x14ac:dyDescent="0.25">
      <c r="A1626" s="146" t="s">
        <v>6</v>
      </c>
      <c r="B1626" s="2143" t="s">
        <v>7</v>
      </c>
      <c r="C1626" s="2143"/>
      <c r="D1626" s="1518" t="s">
        <v>121</v>
      </c>
      <c r="E1626" s="278" t="s">
        <v>5282</v>
      </c>
      <c r="F1626" s="1518" t="s">
        <v>31</v>
      </c>
      <c r="G1626" s="1519" t="s">
        <v>122</v>
      </c>
      <c r="H1626" s="1520" t="s">
        <v>123</v>
      </c>
      <c r="I1626" s="1830"/>
      <c r="J1626" s="1795"/>
      <c r="K1626" s="1795"/>
      <c r="L1626" s="169"/>
      <c r="M1626" s="1783"/>
    </row>
    <row r="1627" spans="1:13" s="1526" customFormat="1" ht="30" x14ac:dyDescent="0.2">
      <c r="A1627" s="1521" t="str">
        <f>'Orç - Reservatório'!A120</f>
        <v>05.01.206.01</v>
      </c>
      <c r="B1627" s="1521" t="str">
        <f>'Orç - Reservatório'!B120</f>
        <v>ORSE</v>
      </c>
      <c r="C1627" s="1521">
        <f>'Orç - Reservatório'!C120</f>
        <v>1257</v>
      </c>
      <c r="D1627" s="1522" t="s">
        <v>6688</v>
      </c>
      <c r="E1627" s="1523">
        <f>'Orç - Reservatório'!E120</f>
        <v>1</v>
      </c>
      <c r="F1627" s="1521" t="s">
        <v>5284</v>
      </c>
      <c r="G1627" s="1524">
        <v>14.129999999999999</v>
      </c>
      <c r="H1627" s="1525">
        <f>H1636</f>
        <v>14.13</v>
      </c>
      <c r="I1627" s="1910" t="s">
        <v>9601</v>
      </c>
      <c r="J1627" s="1793"/>
      <c r="K1627" s="1793"/>
      <c r="L1627" s="141"/>
      <c r="M1627" s="1515"/>
    </row>
    <row r="1628" spans="1:13" s="156" customFormat="1" ht="30" x14ac:dyDescent="0.2">
      <c r="A1628" s="2144">
        <v>1939</v>
      </c>
      <c r="B1628" s="2144"/>
      <c r="C1628" s="1516" t="s">
        <v>4448</v>
      </c>
      <c r="D1628" s="182" t="s">
        <v>11318</v>
      </c>
      <c r="E1628" s="1527">
        <v>1</v>
      </c>
      <c r="F1628" s="1607" t="s">
        <v>39</v>
      </c>
      <c r="G1628" s="1529">
        <v>6.22</v>
      </c>
      <c r="H1628" s="1530">
        <f>ROUNDDOWN(G1628*E1628,2)</f>
        <v>6.22</v>
      </c>
      <c r="I1628" s="1642"/>
      <c r="J1628" s="1797"/>
      <c r="K1628" s="1797"/>
      <c r="L1628" s="1784"/>
      <c r="M1628" s="1785"/>
    </row>
    <row r="1629" spans="1:13" s="156" customFormat="1" ht="30" x14ac:dyDescent="0.2">
      <c r="A1629" s="2144">
        <v>3148</v>
      </c>
      <c r="B1629" s="2144"/>
      <c r="C1629" s="1516" t="s">
        <v>4448</v>
      </c>
      <c r="D1629" s="182" t="s">
        <v>11906</v>
      </c>
      <c r="E1629" s="1527">
        <f>1/50</f>
        <v>0.02</v>
      </c>
      <c r="F1629" s="1607" t="s">
        <v>39</v>
      </c>
      <c r="G1629" s="1529">
        <v>13.2</v>
      </c>
      <c r="H1629" s="1530">
        <f>ROUNDDOWN(G1629*E1629,2)</f>
        <v>0.26</v>
      </c>
      <c r="I1629" s="1642"/>
      <c r="J1629" s="1797"/>
      <c r="K1629" s="1797"/>
      <c r="L1629" s="1784"/>
      <c r="M1629" s="1785"/>
    </row>
    <row r="1630" spans="1:13" s="156" customFormat="1" ht="30" x14ac:dyDescent="0.2">
      <c r="A1630" s="2144">
        <v>88267</v>
      </c>
      <c r="B1630" s="2144"/>
      <c r="C1630" s="1516" t="s">
        <v>4448</v>
      </c>
      <c r="D1630" s="182" t="s">
        <v>83</v>
      </c>
      <c r="E1630" s="1527">
        <v>0.22</v>
      </c>
      <c r="F1630" s="1607" t="s">
        <v>65</v>
      </c>
      <c r="G1630" s="1529">
        <v>19.73</v>
      </c>
      <c r="H1630" s="1530">
        <f>ROUNDDOWN(G1630*E1630,2)</f>
        <v>4.34</v>
      </c>
      <c r="I1630" s="1642"/>
      <c r="J1630" s="1797"/>
      <c r="K1630" s="1797"/>
      <c r="L1630" s="1784"/>
      <c r="M1630" s="1785"/>
    </row>
    <row r="1631" spans="1:13" s="156" customFormat="1" ht="30" x14ac:dyDescent="0.2">
      <c r="A1631" s="2144">
        <v>88316</v>
      </c>
      <c r="B1631" s="2144"/>
      <c r="C1631" s="1516" t="s">
        <v>4448</v>
      </c>
      <c r="D1631" s="182" t="s">
        <v>64</v>
      </c>
      <c r="E1631" s="1527">
        <v>0.22</v>
      </c>
      <c r="F1631" s="1607" t="s">
        <v>65</v>
      </c>
      <c r="G1631" s="1529">
        <v>15.08</v>
      </c>
      <c r="H1631" s="1530">
        <f>ROUNDDOWN(G1631*E1631,2)</f>
        <v>3.31</v>
      </c>
      <c r="I1631" s="1642"/>
      <c r="J1631" s="1797"/>
      <c r="K1631" s="1797"/>
      <c r="L1631" s="1784"/>
      <c r="M1631" s="1785"/>
    </row>
    <row r="1632" spans="1:13" s="1517" customFormat="1" x14ac:dyDescent="0.25">
      <c r="A1632" s="179"/>
      <c r="B1632" s="179"/>
      <c r="C1632" s="1531"/>
      <c r="D1632" s="2141" t="s">
        <v>124</v>
      </c>
      <c r="E1632" s="2141"/>
      <c r="F1632" s="2141"/>
      <c r="G1632" s="2141"/>
      <c r="H1632" s="267">
        <f>SUMIF(F1628:F1631,("h"),H1628:H1631)</f>
        <v>7.65</v>
      </c>
      <c r="I1632" s="1830"/>
      <c r="J1632" s="1795"/>
      <c r="K1632" s="1795"/>
      <c r="L1632" s="169"/>
      <c r="M1632" s="1783"/>
    </row>
    <row r="1633" spans="1:13" s="1517" customFormat="1" x14ac:dyDescent="0.25">
      <c r="A1633" s="179"/>
      <c r="B1633" s="179"/>
      <c r="C1633" s="1531"/>
      <c r="D1633" s="2141" t="s">
        <v>125</v>
      </c>
      <c r="E1633" s="2141"/>
      <c r="F1633" s="2141"/>
      <c r="G1633" s="2141"/>
      <c r="H1633" s="267">
        <f>SUMIF(F1628:F1631,"&lt;&gt;h",H1628:H1631)</f>
        <v>6.4799999999999995</v>
      </c>
      <c r="I1633" s="1830"/>
      <c r="J1633" s="1795"/>
      <c r="K1633" s="1795"/>
      <c r="L1633" s="169"/>
      <c r="M1633" s="1783"/>
    </row>
    <row r="1634" spans="1:13" s="1517" customFormat="1" x14ac:dyDescent="0.25">
      <c r="A1634" s="179"/>
      <c r="B1634" s="179"/>
      <c r="C1634" s="1531"/>
      <c r="D1634" s="2142" t="s">
        <v>126</v>
      </c>
      <c r="E1634" s="2142"/>
      <c r="F1634" s="2142"/>
      <c r="G1634" s="2142"/>
      <c r="H1634" s="1532">
        <f>SUM(H1632:H1633)</f>
        <v>14.129999999999999</v>
      </c>
      <c r="I1634" s="1830"/>
      <c r="J1634" s="1795"/>
      <c r="K1634" s="1795"/>
      <c r="L1634" s="169"/>
      <c r="M1634" s="1783"/>
    </row>
    <row r="1635" spans="1:13" s="1517" customFormat="1" x14ac:dyDescent="0.25">
      <c r="A1635" s="179"/>
      <c r="B1635" s="179"/>
      <c r="C1635" s="1531"/>
      <c r="D1635" s="2141" t="s">
        <v>28</v>
      </c>
      <c r="E1635" s="2141"/>
      <c r="F1635" s="2141"/>
      <c r="G1635" s="2141"/>
      <c r="H1635" s="269">
        <f>E1627</f>
        <v>1</v>
      </c>
      <c r="I1635" s="1830"/>
      <c r="J1635" s="1795"/>
      <c r="K1635" s="1795"/>
      <c r="L1635" s="169"/>
      <c r="M1635" s="1783"/>
    </row>
    <row r="1636" spans="1:13" s="1517" customFormat="1" x14ac:dyDescent="0.25">
      <c r="A1636" s="179"/>
      <c r="B1636" s="179"/>
      <c r="C1636" s="1531"/>
      <c r="D1636" s="2142" t="s">
        <v>127</v>
      </c>
      <c r="E1636" s="2142"/>
      <c r="F1636" s="2142"/>
      <c r="G1636" s="2142"/>
      <c r="H1636" s="1532">
        <f>ROUND(H1634*H1635,2)</f>
        <v>14.13</v>
      </c>
      <c r="I1636" s="1830"/>
      <c r="J1636" s="1795"/>
      <c r="K1636" s="1795"/>
      <c r="L1636" s="169"/>
      <c r="M1636" s="1783"/>
    </row>
    <row r="1637" spans="1:13" s="1517" customFormat="1" x14ac:dyDescent="0.25">
      <c r="A1637" s="179"/>
      <c r="B1637" s="179"/>
      <c r="C1637" s="1531"/>
      <c r="D1637" s="2141" t="s">
        <v>15335</v>
      </c>
      <c r="E1637" s="2141"/>
      <c r="F1637" s="2141"/>
      <c r="G1637" s="2141"/>
      <c r="H1637" s="267">
        <f>ROUND(H1634*$B$13,2)</f>
        <v>3.81</v>
      </c>
      <c r="I1637" s="1830"/>
      <c r="J1637" s="1795"/>
      <c r="K1637" s="1795"/>
      <c r="L1637" s="169"/>
      <c r="M1637" s="1783"/>
    </row>
    <row r="1638" spans="1:13" x14ac:dyDescent="0.25">
      <c r="A1638" s="179"/>
      <c r="B1638" s="179"/>
      <c r="C1638" s="1531"/>
      <c r="D1638" s="2142" t="s">
        <v>7898</v>
      </c>
      <c r="E1638" s="2142"/>
      <c r="F1638" s="2142"/>
      <c r="G1638" s="2142"/>
      <c r="H1638" s="1532">
        <f>H1637+H1634</f>
        <v>17.939999999999998</v>
      </c>
    </row>
    <row r="1639" spans="1:13" x14ac:dyDescent="0.25">
      <c r="A1639" s="1514"/>
      <c r="B1639" s="1514"/>
      <c r="C1639" s="1514"/>
      <c r="F1639" s="1533"/>
      <c r="G1639" s="1534"/>
      <c r="H1639" s="1514"/>
    </row>
    <row r="1640" spans="1:13" s="1517" customFormat="1" x14ac:dyDescent="0.25">
      <c r="A1640" s="146" t="s">
        <v>6</v>
      </c>
      <c r="B1640" s="2143" t="s">
        <v>7</v>
      </c>
      <c r="C1640" s="2143"/>
      <c r="D1640" s="715" t="s">
        <v>121</v>
      </c>
      <c r="E1640" s="278" t="s">
        <v>5282</v>
      </c>
      <c r="F1640" s="715" t="s">
        <v>31</v>
      </c>
      <c r="G1640" s="716" t="s">
        <v>122</v>
      </c>
      <c r="H1640" s="717" t="s">
        <v>123</v>
      </c>
      <c r="I1640" s="1830"/>
      <c r="J1640" s="1795"/>
      <c r="K1640" s="1795"/>
      <c r="L1640" s="169"/>
      <c r="M1640" s="1783"/>
    </row>
    <row r="1641" spans="1:13" s="1526" customFormat="1" ht="45" x14ac:dyDescent="0.2">
      <c r="A1641" s="718" t="str">
        <f>'Orç - Prédio'!A284</f>
        <v>05.01.207.02</v>
      </c>
      <c r="B1641" s="673" t="str">
        <f>'Orç - Prédio'!B286</f>
        <v>SINAPI</v>
      </c>
      <c r="C1641" s="730" t="str">
        <f>'Orç - Prédio'!C286</f>
        <v>89366 MOD 1</v>
      </c>
      <c r="D1641" s="731" t="s">
        <v>5960</v>
      </c>
      <c r="E1641" s="719">
        <f>'Orç - Prédio'!E286</f>
        <v>55</v>
      </c>
      <c r="F1641" s="730" t="s">
        <v>5284</v>
      </c>
      <c r="G1641" s="720">
        <v>10.73</v>
      </c>
      <c r="H1641" s="721">
        <f>H1652</f>
        <v>590.15</v>
      </c>
      <c r="I1641" s="1910" t="s">
        <v>9562</v>
      </c>
      <c r="J1641" s="1793"/>
      <c r="K1641" s="1793"/>
      <c r="L1641" s="141"/>
      <c r="M1641" s="1515"/>
    </row>
    <row r="1642" spans="1:13" s="156" customFormat="1" ht="30" x14ac:dyDescent="0.2">
      <c r="A1642" s="2144">
        <v>122</v>
      </c>
      <c r="B1642" s="2144"/>
      <c r="C1642" s="714" t="s">
        <v>4448</v>
      </c>
      <c r="D1642" s="182" t="s">
        <v>9804</v>
      </c>
      <c r="E1642" s="722">
        <v>7.0000000000000001E-3</v>
      </c>
      <c r="F1642" s="723" t="s">
        <v>39</v>
      </c>
      <c r="G1642" s="724">
        <v>56.82</v>
      </c>
      <c r="H1642" s="725">
        <f t="shared" ref="H1642:H1647" si="127">ROUNDDOWN(G1642*E1642,2)</f>
        <v>0.39</v>
      </c>
      <c r="I1642" s="1642"/>
      <c r="J1642" s="1797"/>
      <c r="K1642" s="1797"/>
      <c r="L1642" s="1784"/>
      <c r="M1642" s="1785"/>
    </row>
    <row r="1643" spans="1:13" s="156" customFormat="1" ht="45" x14ac:dyDescent="0.2">
      <c r="A1643" s="2144">
        <v>20147</v>
      </c>
      <c r="B1643" s="2144"/>
      <c r="C1643" s="714" t="s">
        <v>4448</v>
      </c>
      <c r="D1643" s="182" t="s">
        <v>12229</v>
      </c>
      <c r="E1643" s="722">
        <v>1</v>
      </c>
      <c r="F1643" s="723" t="s">
        <v>39</v>
      </c>
      <c r="G1643" s="724">
        <v>4.59</v>
      </c>
      <c r="H1643" s="725">
        <f t="shared" si="127"/>
        <v>4.59</v>
      </c>
      <c r="I1643" s="1642"/>
      <c r="J1643" s="1797"/>
      <c r="K1643" s="1797"/>
      <c r="L1643" s="1784"/>
      <c r="M1643" s="1785"/>
    </row>
    <row r="1644" spans="1:13" s="156" customFormat="1" ht="30" x14ac:dyDescent="0.2">
      <c r="A1644" s="2144">
        <v>20083</v>
      </c>
      <c r="B1644" s="2144"/>
      <c r="C1644" s="714" t="s">
        <v>4448</v>
      </c>
      <c r="D1644" s="182" t="s">
        <v>13801</v>
      </c>
      <c r="E1644" s="722">
        <v>8.0000000000000002E-3</v>
      </c>
      <c r="F1644" s="723" t="s">
        <v>39</v>
      </c>
      <c r="G1644" s="724">
        <v>49.34</v>
      </c>
      <c r="H1644" s="725">
        <f>ROUNDDOWN(G1644*E1644,2)</f>
        <v>0.39</v>
      </c>
      <c r="I1644" s="1642"/>
      <c r="J1644" s="1797"/>
      <c r="K1644" s="1797"/>
      <c r="L1644" s="1784"/>
      <c r="M1644" s="1785"/>
    </row>
    <row r="1645" spans="1:13" s="156" customFormat="1" x14ac:dyDescent="0.2">
      <c r="A1645" s="2144">
        <v>38383</v>
      </c>
      <c r="B1645" s="2144"/>
      <c r="C1645" s="714" t="s">
        <v>4448</v>
      </c>
      <c r="D1645" s="182" t="s">
        <v>12469</v>
      </c>
      <c r="E1645" s="722">
        <v>0.05</v>
      </c>
      <c r="F1645" s="723" t="s">
        <v>39</v>
      </c>
      <c r="G1645" s="724">
        <v>1.69</v>
      </c>
      <c r="H1645" s="725">
        <f t="shared" si="127"/>
        <v>0.08</v>
      </c>
      <c r="I1645" s="1642"/>
      <c r="J1645" s="1797"/>
      <c r="K1645" s="1797"/>
      <c r="L1645" s="1784"/>
      <c r="M1645" s="1785"/>
    </row>
    <row r="1646" spans="1:13" s="156" customFormat="1" ht="45" x14ac:dyDescent="0.2">
      <c r="A1646" s="2144">
        <v>88248</v>
      </c>
      <c r="B1646" s="2144"/>
      <c r="C1646" s="714" t="s">
        <v>4448</v>
      </c>
      <c r="D1646" s="182" t="s">
        <v>73</v>
      </c>
      <c r="E1646" s="722">
        <v>0.15</v>
      </c>
      <c r="F1646" s="723" t="s">
        <v>65</v>
      </c>
      <c r="G1646" s="724">
        <v>15.55</v>
      </c>
      <c r="H1646" s="725">
        <f t="shared" si="127"/>
        <v>2.33</v>
      </c>
      <c r="I1646" s="1642"/>
      <c r="J1646" s="1797"/>
      <c r="K1646" s="1797"/>
      <c r="L1646" s="1784"/>
      <c r="M1646" s="1785"/>
    </row>
    <row r="1647" spans="1:13" s="156" customFormat="1" ht="30" x14ac:dyDescent="0.2">
      <c r="A1647" s="2144">
        <v>88267</v>
      </c>
      <c r="B1647" s="2144"/>
      <c r="C1647" s="714" t="s">
        <v>4448</v>
      </c>
      <c r="D1647" s="182" t="s">
        <v>83</v>
      </c>
      <c r="E1647" s="722">
        <v>0.15</v>
      </c>
      <c r="F1647" s="723" t="s">
        <v>65</v>
      </c>
      <c r="G1647" s="724">
        <v>19.73</v>
      </c>
      <c r="H1647" s="725">
        <f t="shared" si="127"/>
        <v>2.95</v>
      </c>
      <c r="I1647" s="1642"/>
      <c r="J1647" s="1797"/>
      <c r="K1647" s="1797"/>
      <c r="L1647" s="1784"/>
      <c r="M1647" s="1785"/>
    </row>
    <row r="1648" spans="1:13" s="1517" customFormat="1" x14ac:dyDescent="0.25">
      <c r="A1648" s="179"/>
      <c r="B1648" s="179"/>
      <c r="C1648" s="726"/>
      <c r="D1648" s="2141" t="s">
        <v>124</v>
      </c>
      <c r="E1648" s="2141"/>
      <c r="F1648" s="2141"/>
      <c r="G1648" s="2141"/>
      <c r="H1648" s="267">
        <f>SUMIF(F1642:F1647,("h"),H1642:H1647)</f>
        <v>5.28</v>
      </c>
      <c r="I1648" s="1830"/>
      <c r="J1648" s="1795"/>
      <c r="K1648" s="1795"/>
      <c r="L1648" s="169"/>
      <c r="M1648" s="1783"/>
    </row>
    <row r="1649" spans="1:13" s="1517" customFormat="1" x14ac:dyDescent="0.25">
      <c r="A1649" s="179"/>
      <c r="B1649" s="179"/>
      <c r="C1649" s="726"/>
      <c r="D1649" s="2141" t="s">
        <v>125</v>
      </c>
      <c r="E1649" s="2141"/>
      <c r="F1649" s="2141"/>
      <c r="G1649" s="2141"/>
      <c r="H1649" s="267">
        <f>SUMIF(F1642:F1647,"&lt;&gt;h",H1642:H1647)</f>
        <v>5.4499999999999993</v>
      </c>
      <c r="I1649" s="1830"/>
      <c r="J1649" s="1795"/>
      <c r="K1649" s="1795"/>
      <c r="L1649" s="169"/>
      <c r="M1649" s="1783"/>
    </row>
    <row r="1650" spans="1:13" s="1517" customFormat="1" x14ac:dyDescent="0.25">
      <c r="A1650" s="179"/>
      <c r="B1650" s="179"/>
      <c r="C1650" s="726"/>
      <c r="D1650" s="2142" t="s">
        <v>126</v>
      </c>
      <c r="E1650" s="2142"/>
      <c r="F1650" s="2142"/>
      <c r="G1650" s="2142"/>
      <c r="H1650" s="727">
        <f>SUM(H1648:H1649)</f>
        <v>10.73</v>
      </c>
      <c r="I1650" s="1830"/>
      <c r="J1650" s="1795"/>
      <c r="K1650" s="1795"/>
      <c r="L1650" s="169"/>
      <c r="M1650" s="1783"/>
    </row>
    <row r="1651" spans="1:13" s="1517" customFormat="1" x14ac:dyDescent="0.25">
      <c r="A1651" s="179"/>
      <c r="B1651" s="179"/>
      <c r="C1651" s="726"/>
      <c r="D1651" s="2141" t="s">
        <v>28</v>
      </c>
      <c r="E1651" s="2141"/>
      <c r="F1651" s="2141"/>
      <c r="G1651" s="2141"/>
      <c r="H1651" s="269">
        <f>E1641</f>
        <v>55</v>
      </c>
      <c r="I1651" s="1830"/>
      <c r="J1651" s="1795"/>
      <c r="K1651" s="1795"/>
      <c r="L1651" s="169"/>
      <c r="M1651" s="1783"/>
    </row>
    <row r="1652" spans="1:13" s="1517" customFormat="1" x14ac:dyDescent="0.25">
      <c r="A1652" s="179"/>
      <c r="B1652" s="179"/>
      <c r="C1652" s="726"/>
      <c r="D1652" s="2142" t="s">
        <v>127</v>
      </c>
      <c r="E1652" s="2142"/>
      <c r="F1652" s="2142"/>
      <c r="G1652" s="2142"/>
      <c r="H1652" s="727">
        <f>ROUND(H1650*H1651,2)</f>
        <v>590.15</v>
      </c>
      <c r="I1652" s="1830"/>
      <c r="J1652" s="1795"/>
      <c r="K1652" s="1795"/>
      <c r="L1652" s="169"/>
      <c r="M1652" s="1783"/>
    </row>
    <row r="1653" spans="1:13" s="1517" customFormat="1" x14ac:dyDescent="0.25">
      <c r="A1653" s="179"/>
      <c r="B1653" s="179"/>
      <c r="C1653" s="1531"/>
      <c r="D1653" s="2141" t="s">
        <v>15335</v>
      </c>
      <c r="E1653" s="2141"/>
      <c r="F1653" s="2141"/>
      <c r="G1653" s="2141"/>
      <c r="H1653" s="267">
        <f>ROUND(H1650*$B$13,2)</f>
        <v>2.89</v>
      </c>
      <c r="I1653" s="1830"/>
      <c r="J1653" s="1795"/>
      <c r="K1653" s="1795"/>
      <c r="L1653" s="169"/>
      <c r="M1653" s="1783"/>
    </row>
    <row r="1654" spans="1:13" x14ac:dyDescent="0.25">
      <c r="A1654" s="179"/>
      <c r="B1654" s="179"/>
      <c r="C1654" s="1531"/>
      <c r="D1654" s="2142" t="s">
        <v>7898</v>
      </c>
      <c r="E1654" s="2142"/>
      <c r="F1654" s="2142"/>
      <c r="G1654" s="2142"/>
      <c r="H1654" s="1532">
        <f>H1653+H1650</f>
        <v>13.620000000000001</v>
      </c>
    </row>
    <row r="1655" spans="1:13" x14ac:dyDescent="0.25">
      <c r="A1655" s="713"/>
      <c r="B1655" s="713"/>
      <c r="C1655" s="713"/>
      <c r="F1655" s="728"/>
      <c r="G1655" s="729"/>
      <c r="H1655" s="713"/>
    </row>
    <row r="1656" spans="1:13" s="1517" customFormat="1" x14ac:dyDescent="0.25">
      <c r="A1656" s="146" t="s">
        <v>6</v>
      </c>
      <c r="B1656" s="2143" t="s">
        <v>7</v>
      </c>
      <c r="C1656" s="2143"/>
      <c r="D1656" s="715" t="s">
        <v>121</v>
      </c>
      <c r="E1656" s="278" t="s">
        <v>5282</v>
      </c>
      <c r="F1656" s="715" t="s">
        <v>31</v>
      </c>
      <c r="G1656" s="716" t="s">
        <v>122</v>
      </c>
      <c r="H1656" s="717" t="s">
        <v>123</v>
      </c>
      <c r="I1656" s="1830"/>
      <c r="J1656" s="1795"/>
      <c r="K1656" s="1795"/>
      <c r="L1656" s="169"/>
      <c r="M1656" s="1783"/>
    </row>
    <row r="1657" spans="1:13" s="1526" customFormat="1" ht="45" x14ac:dyDescent="0.2">
      <c r="A1657" s="718" t="str">
        <f>'Orç - Prédio'!A287</f>
        <v>05.01.207.05</v>
      </c>
      <c r="B1657" s="730" t="str">
        <f>'Orç - Prédio'!B287</f>
        <v>SINAPI</v>
      </c>
      <c r="C1657" s="730" t="str">
        <f>'Orç - Prédio'!C287</f>
        <v>89366 MOD 2</v>
      </c>
      <c r="D1657" s="731" t="s">
        <v>5961</v>
      </c>
      <c r="E1657" s="719">
        <f>'Orç - Prédio'!E287</f>
        <v>10</v>
      </c>
      <c r="F1657" s="730" t="s">
        <v>5284</v>
      </c>
      <c r="G1657" s="720">
        <v>16.100000000000001</v>
      </c>
      <c r="H1657" s="721">
        <f>H1668</f>
        <v>161</v>
      </c>
      <c r="I1657" s="1910" t="s">
        <v>9562</v>
      </c>
      <c r="J1657" s="1793"/>
      <c r="K1657" s="1793"/>
      <c r="L1657" s="141"/>
      <c r="M1657" s="1515"/>
    </row>
    <row r="1658" spans="1:13" s="156" customFormat="1" ht="30" x14ac:dyDescent="0.2">
      <c r="A1658" s="2144">
        <v>122</v>
      </c>
      <c r="B1658" s="2144"/>
      <c r="C1658" s="714" t="s">
        <v>4448</v>
      </c>
      <c r="D1658" s="182" t="s">
        <v>9804</v>
      </c>
      <c r="E1658" s="722">
        <v>7.0000000000000001E-3</v>
      </c>
      <c r="F1658" s="723" t="s">
        <v>39</v>
      </c>
      <c r="G1658" s="724">
        <v>56.82</v>
      </c>
      <c r="H1658" s="725">
        <f t="shared" ref="H1658:H1663" si="128">ROUNDDOWN(G1658*E1658,2)</f>
        <v>0.39</v>
      </c>
      <c r="I1658" s="1856"/>
      <c r="J1658" s="1797"/>
      <c r="K1658" s="1797"/>
      <c r="L1658" s="1784"/>
      <c r="M1658" s="1785"/>
    </row>
    <row r="1659" spans="1:13" s="156" customFormat="1" ht="45" x14ac:dyDescent="0.2">
      <c r="A1659" s="2144">
        <v>3532</v>
      </c>
      <c r="B1659" s="2144"/>
      <c r="C1659" s="714" t="s">
        <v>4448</v>
      </c>
      <c r="D1659" s="182" t="s">
        <v>12231</v>
      </c>
      <c r="E1659" s="722">
        <v>1</v>
      </c>
      <c r="F1659" s="723" t="s">
        <v>39</v>
      </c>
      <c r="G1659" s="724">
        <v>9.9600000000000009</v>
      </c>
      <c r="H1659" s="725">
        <f t="shared" si="128"/>
        <v>9.9600000000000009</v>
      </c>
      <c r="I1659" s="1642"/>
      <c r="J1659" s="1797"/>
      <c r="K1659" s="1797"/>
      <c r="L1659" s="1784"/>
      <c r="M1659" s="1785"/>
    </row>
    <row r="1660" spans="1:13" s="156" customFormat="1" ht="30" x14ac:dyDescent="0.2">
      <c r="A1660" s="2144">
        <v>20083</v>
      </c>
      <c r="B1660" s="2144"/>
      <c r="C1660" s="714" t="s">
        <v>4448</v>
      </c>
      <c r="D1660" s="182" t="s">
        <v>13801</v>
      </c>
      <c r="E1660" s="722">
        <v>8.0000000000000002E-3</v>
      </c>
      <c r="F1660" s="723" t="s">
        <v>39</v>
      </c>
      <c r="G1660" s="724">
        <v>49.34</v>
      </c>
      <c r="H1660" s="725">
        <f t="shared" si="128"/>
        <v>0.39</v>
      </c>
      <c r="I1660" s="1642"/>
      <c r="J1660" s="1797"/>
      <c r="K1660" s="1797"/>
      <c r="L1660" s="1784"/>
      <c r="M1660" s="1785"/>
    </row>
    <row r="1661" spans="1:13" s="156" customFormat="1" x14ac:dyDescent="0.2">
      <c r="A1661" s="2144">
        <v>38383</v>
      </c>
      <c r="B1661" s="2144"/>
      <c r="C1661" s="714" t="s">
        <v>4448</v>
      </c>
      <c r="D1661" s="182" t="s">
        <v>12469</v>
      </c>
      <c r="E1661" s="722">
        <v>0.05</v>
      </c>
      <c r="F1661" s="723" t="s">
        <v>39</v>
      </c>
      <c r="G1661" s="724">
        <v>1.69</v>
      </c>
      <c r="H1661" s="725">
        <f t="shared" si="128"/>
        <v>0.08</v>
      </c>
      <c r="I1661" s="1642"/>
      <c r="J1661" s="1797"/>
      <c r="K1661" s="1797"/>
      <c r="L1661" s="1784"/>
      <c r="M1661" s="1785"/>
    </row>
    <row r="1662" spans="1:13" s="156" customFormat="1" ht="45" x14ac:dyDescent="0.2">
      <c r="A1662" s="2144">
        <v>88248</v>
      </c>
      <c r="B1662" s="2144"/>
      <c r="C1662" s="714" t="s">
        <v>4448</v>
      </c>
      <c r="D1662" s="182" t="s">
        <v>73</v>
      </c>
      <c r="E1662" s="722">
        <v>0.15</v>
      </c>
      <c r="F1662" s="723" t="s">
        <v>65</v>
      </c>
      <c r="G1662" s="724">
        <v>15.55</v>
      </c>
      <c r="H1662" s="725">
        <f t="shared" si="128"/>
        <v>2.33</v>
      </c>
      <c r="I1662" s="1642"/>
      <c r="J1662" s="1797"/>
      <c r="K1662" s="1797"/>
      <c r="L1662" s="1784"/>
      <c r="M1662" s="1785"/>
    </row>
    <row r="1663" spans="1:13" s="156" customFormat="1" ht="30" x14ac:dyDescent="0.2">
      <c r="A1663" s="2144">
        <v>88267</v>
      </c>
      <c r="B1663" s="2144"/>
      <c r="C1663" s="714" t="s">
        <v>4448</v>
      </c>
      <c r="D1663" s="182" t="s">
        <v>83</v>
      </c>
      <c r="E1663" s="722">
        <v>0.15</v>
      </c>
      <c r="F1663" s="723" t="s">
        <v>65</v>
      </c>
      <c r="G1663" s="724">
        <v>19.73</v>
      </c>
      <c r="H1663" s="725">
        <f t="shared" si="128"/>
        <v>2.95</v>
      </c>
      <c r="I1663" s="1642"/>
      <c r="J1663" s="1797"/>
      <c r="K1663" s="1797"/>
      <c r="L1663" s="1784"/>
      <c r="M1663" s="1785"/>
    </row>
    <row r="1664" spans="1:13" s="1517" customFormat="1" x14ac:dyDescent="0.25">
      <c r="A1664" s="179"/>
      <c r="B1664" s="179"/>
      <c r="C1664" s="726"/>
      <c r="D1664" s="2141" t="s">
        <v>124</v>
      </c>
      <c r="E1664" s="2141"/>
      <c r="F1664" s="2141"/>
      <c r="G1664" s="2141"/>
      <c r="H1664" s="267">
        <f>SUMIF(F1658:F1663,("h"),H1658:H1663)</f>
        <v>5.28</v>
      </c>
      <c r="I1664" s="1830"/>
      <c r="J1664" s="1795"/>
      <c r="K1664" s="1795"/>
      <c r="L1664" s="169"/>
      <c r="M1664" s="1783"/>
    </row>
    <row r="1665" spans="1:13" s="1517" customFormat="1" x14ac:dyDescent="0.25">
      <c r="A1665" s="179"/>
      <c r="B1665" s="179"/>
      <c r="C1665" s="726"/>
      <c r="D1665" s="2141" t="s">
        <v>125</v>
      </c>
      <c r="E1665" s="2141"/>
      <c r="F1665" s="2141"/>
      <c r="G1665" s="2141"/>
      <c r="H1665" s="267">
        <f>SUMIF(F1658:F1663,"&lt;&gt;h",H1658:H1663)</f>
        <v>10.820000000000002</v>
      </c>
      <c r="I1665" s="1830"/>
      <c r="J1665" s="1795"/>
      <c r="K1665" s="1795"/>
      <c r="L1665" s="169"/>
      <c r="M1665" s="1783"/>
    </row>
    <row r="1666" spans="1:13" s="1517" customFormat="1" x14ac:dyDescent="0.25">
      <c r="A1666" s="179"/>
      <c r="B1666" s="179"/>
      <c r="C1666" s="726"/>
      <c r="D1666" s="2142" t="s">
        <v>126</v>
      </c>
      <c r="E1666" s="2142"/>
      <c r="F1666" s="2142"/>
      <c r="G1666" s="2142"/>
      <c r="H1666" s="727">
        <f>SUM(H1664:H1665)</f>
        <v>16.100000000000001</v>
      </c>
      <c r="I1666" s="1830"/>
      <c r="J1666" s="1795"/>
      <c r="K1666" s="1795"/>
      <c r="L1666" s="169"/>
      <c r="M1666" s="1783"/>
    </row>
    <row r="1667" spans="1:13" s="1517" customFormat="1" x14ac:dyDescent="0.25">
      <c r="A1667" s="179"/>
      <c r="B1667" s="179"/>
      <c r="C1667" s="726"/>
      <c r="D1667" s="2141" t="s">
        <v>28</v>
      </c>
      <c r="E1667" s="2141"/>
      <c r="F1667" s="2141"/>
      <c r="G1667" s="2141"/>
      <c r="H1667" s="269">
        <f>E1657</f>
        <v>10</v>
      </c>
      <c r="I1667" s="1830"/>
      <c r="J1667" s="1795"/>
      <c r="K1667" s="1795"/>
      <c r="L1667" s="169"/>
      <c r="M1667" s="1783"/>
    </row>
    <row r="1668" spans="1:13" s="1517" customFormat="1" x14ac:dyDescent="0.25">
      <c r="A1668" s="179"/>
      <c r="B1668" s="179"/>
      <c r="C1668" s="726"/>
      <c r="D1668" s="2142" t="s">
        <v>127</v>
      </c>
      <c r="E1668" s="2142"/>
      <c r="F1668" s="2142"/>
      <c r="G1668" s="2142"/>
      <c r="H1668" s="727">
        <f>ROUND(H1666*H1667,2)</f>
        <v>161</v>
      </c>
      <c r="I1668" s="1830"/>
      <c r="J1668" s="1795"/>
      <c r="K1668" s="1795"/>
      <c r="L1668" s="169"/>
      <c r="M1668" s="1783"/>
    </row>
    <row r="1669" spans="1:13" s="1517" customFormat="1" x14ac:dyDescent="0.25">
      <c r="A1669" s="179"/>
      <c r="B1669" s="179"/>
      <c r="C1669" s="1531"/>
      <c r="D1669" s="2141" t="s">
        <v>15335</v>
      </c>
      <c r="E1669" s="2141"/>
      <c r="F1669" s="2141"/>
      <c r="G1669" s="2141"/>
      <c r="H1669" s="267">
        <f>ROUND(H1666*$B$13,2)</f>
        <v>4.34</v>
      </c>
      <c r="I1669" s="1830"/>
      <c r="J1669" s="1795"/>
      <c r="K1669" s="1795"/>
      <c r="L1669" s="169"/>
      <c r="M1669" s="1783"/>
    </row>
    <row r="1670" spans="1:13" x14ac:dyDescent="0.25">
      <c r="A1670" s="179"/>
      <c r="B1670" s="179"/>
      <c r="C1670" s="1531"/>
      <c r="D1670" s="2142" t="s">
        <v>7898</v>
      </c>
      <c r="E1670" s="2142"/>
      <c r="F1670" s="2142"/>
      <c r="G1670" s="2142"/>
      <c r="H1670" s="1532">
        <f>H1669+H1666</f>
        <v>20.440000000000001</v>
      </c>
    </row>
    <row r="1671" spans="1:13" x14ac:dyDescent="0.25">
      <c r="A1671" s="713"/>
      <c r="B1671" s="713"/>
      <c r="C1671" s="713"/>
      <c r="F1671" s="728"/>
      <c r="G1671" s="729"/>
      <c r="H1671" s="713"/>
    </row>
    <row r="1672" spans="1:13" s="1517" customFormat="1" x14ac:dyDescent="0.25">
      <c r="A1672" s="146" t="s">
        <v>6</v>
      </c>
      <c r="B1672" s="2143" t="s">
        <v>7</v>
      </c>
      <c r="C1672" s="2143"/>
      <c r="D1672" s="715" t="s">
        <v>121</v>
      </c>
      <c r="E1672" s="278" t="s">
        <v>5282</v>
      </c>
      <c r="F1672" s="715" t="s">
        <v>31</v>
      </c>
      <c r="G1672" s="716" t="s">
        <v>122</v>
      </c>
      <c r="H1672" s="717" t="s">
        <v>123</v>
      </c>
      <c r="I1672" s="1830"/>
      <c r="J1672" s="1795"/>
      <c r="K1672" s="1795"/>
      <c r="L1672" s="169"/>
      <c r="M1672" s="1783"/>
    </row>
    <row r="1673" spans="1:13" s="1526" customFormat="1" ht="45" x14ac:dyDescent="0.2">
      <c r="A1673" s="718" t="str">
        <f>'Orç - Prédio'!A288</f>
        <v>05.01.207.06</v>
      </c>
      <c r="B1673" s="730" t="str">
        <f>'Orç - Prédio'!B288</f>
        <v>SINAPI</v>
      </c>
      <c r="C1673" s="730" t="str">
        <f>'Orç - Prédio'!C288</f>
        <v>89366 MOD 3</v>
      </c>
      <c r="D1673" s="731" t="s">
        <v>5962</v>
      </c>
      <c r="E1673" s="719">
        <f>'Orç - Prédio'!E288</f>
        <v>57</v>
      </c>
      <c r="F1673" s="730" t="s">
        <v>5284</v>
      </c>
      <c r="G1673" s="720">
        <v>16.150000000000002</v>
      </c>
      <c r="H1673" s="721">
        <f>H1684</f>
        <v>920.55</v>
      </c>
      <c r="I1673" s="1910" t="s">
        <v>9562</v>
      </c>
      <c r="J1673" s="1793"/>
      <c r="K1673" s="1793"/>
      <c r="L1673" s="141"/>
      <c r="M1673" s="1515"/>
    </row>
    <row r="1674" spans="1:13" s="156" customFormat="1" ht="30" x14ac:dyDescent="0.2">
      <c r="A1674" s="2144">
        <v>122</v>
      </c>
      <c r="B1674" s="2144"/>
      <c r="C1674" s="714" t="s">
        <v>4448</v>
      </c>
      <c r="D1674" s="182" t="s">
        <v>9804</v>
      </c>
      <c r="E1674" s="722">
        <v>7.0000000000000001E-3</v>
      </c>
      <c r="F1674" s="723" t="s">
        <v>39</v>
      </c>
      <c r="G1674" s="724">
        <v>56.82</v>
      </c>
      <c r="H1674" s="725">
        <f t="shared" ref="H1674:H1679" si="129">ROUNDDOWN(G1674*E1674,2)</f>
        <v>0.39</v>
      </c>
      <c r="I1674" s="1642"/>
      <c r="J1674" s="1797"/>
      <c r="K1674" s="1797"/>
      <c r="L1674" s="1784"/>
      <c r="M1674" s="1785"/>
    </row>
    <row r="1675" spans="1:13" s="156" customFormat="1" ht="30" x14ac:dyDescent="0.2">
      <c r="A1675" s="2144">
        <v>3489</v>
      </c>
      <c r="B1675" s="2144"/>
      <c r="C1675" s="714" t="s">
        <v>4448</v>
      </c>
      <c r="D1675" s="182" t="s">
        <v>12294</v>
      </c>
      <c r="E1675" s="722">
        <v>1</v>
      </c>
      <c r="F1675" s="723" t="s">
        <v>39</v>
      </c>
      <c r="G1675" s="724">
        <v>10.01</v>
      </c>
      <c r="H1675" s="725">
        <f t="shared" si="129"/>
        <v>10.01</v>
      </c>
      <c r="I1675" s="1642"/>
      <c r="J1675" s="1797"/>
      <c r="K1675" s="1797"/>
      <c r="L1675" s="1784"/>
      <c r="M1675" s="1785"/>
    </row>
    <row r="1676" spans="1:13" s="156" customFormat="1" ht="30" x14ac:dyDescent="0.2">
      <c r="A1676" s="2144">
        <v>20083</v>
      </c>
      <c r="B1676" s="2144"/>
      <c r="C1676" s="714" t="s">
        <v>4448</v>
      </c>
      <c r="D1676" s="182" t="s">
        <v>13801</v>
      </c>
      <c r="E1676" s="722">
        <v>8.0000000000000002E-3</v>
      </c>
      <c r="F1676" s="723" t="s">
        <v>39</v>
      </c>
      <c r="G1676" s="724">
        <v>49.34</v>
      </c>
      <c r="H1676" s="725">
        <f t="shared" si="129"/>
        <v>0.39</v>
      </c>
      <c r="I1676" s="1642"/>
      <c r="J1676" s="1797"/>
      <c r="K1676" s="1797"/>
      <c r="L1676" s="1784"/>
      <c r="M1676" s="1785"/>
    </row>
    <row r="1677" spans="1:13" s="156" customFormat="1" x14ac:dyDescent="0.2">
      <c r="A1677" s="2144">
        <v>38383</v>
      </c>
      <c r="B1677" s="2144"/>
      <c r="C1677" s="714" t="s">
        <v>4448</v>
      </c>
      <c r="D1677" s="182" t="s">
        <v>12469</v>
      </c>
      <c r="E1677" s="722">
        <v>0.05</v>
      </c>
      <c r="F1677" s="723" t="s">
        <v>39</v>
      </c>
      <c r="G1677" s="724">
        <v>1.69</v>
      </c>
      <c r="H1677" s="725">
        <f t="shared" si="129"/>
        <v>0.08</v>
      </c>
      <c r="I1677" s="1642"/>
      <c r="J1677" s="1797"/>
      <c r="K1677" s="1797"/>
      <c r="L1677" s="1784"/>
      <c r="M1677" s="1785"/>
    </row>
    <row r="1678" spans="1:13" s="156" customFormat="1" ht="45" x14ac:dyDescent="0.2">
      <c r="A1678" s="2144">
        <v>88248</v>
      </c>
      <c r="B1678" s="2144"/>
      <c r="C1678" s="714" t="s">
        <v>4448</v>
      </c>
      <c r="D1678" s="182" t="s">
        <v>73</v>
      </c>
      <c r="E1678" s="722">
        <v>0.15</v>
      </c>
      <c r="F1678" s="723" t="s">
        <v>65</v>
      </c>
      <c r="G1678" s="724">
        <v>15.55</v>
      </c>
      <c r="H1678" s="725">
        <f t="shared" si="129"/>
        <v>2.33</v>
      </c>
      <c r="I1678" s="1642"/>
      <c r="J1678" s="1797"/>
      <c r="K1678" s="1797"/>
      <c r="L1678" s="1784"/>
      <c r="M1678" s="1785"/>
    </row>
    <row r="1679" spans="1:13" s="156" customFormat="1" ht="30" x14ac:dyDescent="0.2">
      <c r="A1679" s="2144">
        <v>88267</v>
      </c>
      <c r="B1679" s="2144"/>
      <c r="C1679" s="714" t="s">
        <v>4448</v>
      </c>
      <c r="D1679" s="182" t="s">
        <v>83</v>
      </c>
      <c r="E1679" s="722">
        <v>0.15</v>
      </c>
      <c r="F1679" s="723" t="s">
        <v>65</v>
      </c>
      <c r="G1679" s="724">
        <v>19.73</v>
      </c>
      <c r="H1679" s="725">
        <f t="shared" si="129"/>
        <v>2.95</v>
      </c>
      <c r="I1679" s="1642"/>
      <c r="J1679" s="1797"/>
      <c r="K1679" s="1797"/>
      <c r="L1679" s="1784"/>
      <c r="M1679" s="1785"/>
    </row>
    <row r="1680" spans="1:13" s="1517" customFormat="1" x14ac:dyDescent="0.25">
      <c r="A1680" s="179"/>
      <c r="B1680" s="179"/>
      <c r="C1680" s="726"/>
      <c r="D1680" s="2141" t="s">
        <v>124</v>
      </c>
      <c r="E1680" s="2141"/>
      <c r="F1680" s="2141"/>
      <c r="G1680" s="2141"/>
      <c r="H1680" s="267">
        <f>SUMIF(F1674:F1679,("h"),H1674:H1679)</f>
        <v>5.28</v>
      </c>
      <c r="I1680" s="1830"/>
      <c r="J1680" s="1795"/>
      <c r="K1680" s="1795"/>
      <c r="L1680" s="169"/>
      <c r="M1680" s="1783"/>
    </row>
    <row r="1681" spans="1:13" s="1517" customFormat="1" x14ac:dyDescent="0.25">
      <c r="A1681" s="179"/>
      <c r="B1681" s="179"/>
      <c r="C1681" s="726"/>
      <c r="D1681" s="2141" t="s">
        <v>125</v>
      </c>
      <c r="E1681" s="2141"/>
      <c r="F1681" s="2141"/>
      <c r="G1681" s="2141"/>
      <c r="H1681" s="267">
        <f>SUMIF(F1674:F1679,"&lt;&gt;h",H1674:H1679)</f>
        <v>10.870000000000001</v>
      </c>
      <c r="I1681" s="1830"/>
      <c r="J1681" s="1795"/>
      <c r="K1681" s="1795"/>
      <c r="L1681" s="169"/>
      <c r="M1681" s="1783"/>
    </row>
    <row r="1682" spans="1:13" s="1517" customFormat="1" x14ac:dyDescent="0.25">
      <c r="A1682" s="179"/>
      <c r="B1682" s="179"/>
      <c r="C1682" s="726"/>
      <c r="D1682" s="2142" t="s">
        <v>126</v>
      </c>
      <c r="E1682" s="2142"/>
      <c r="F1682" s="2142"/>
      <c r="G1682" s="2142"/>
      <c r="H1682" s="727">
        <f>SUM(H1680:H1681)</f>
        <v>16.150000000000002</v>
      </c>
      <c r="I1682" s="1830"/>
      <c r="J1682" s="1795"/>
      <c r="K1682" s="1795"/>
      <c r="L1682" s="169"/>
      <c r="M1682" s="1783"/>
    </row>
    <row r="1683" spans="1:13" s="1517" customFormat="1" x14ac:dyDescent="0.25">
      <c r="A1683" s="179"/>
      <c r="B1683" s="179"/>
      <c r="C1683" s="726"/>
      <c r="D1683" s="2141" t="s">
        <v>28</v>
      </c>
      <c r="E1683" s="2141"/>
      <c r="F1683" s="2141"/>
      <c r="G1683" s="2141"/>
      <c r="H1683" s="269">
        <f>E1673</f>
        <v>57</v>
      </c>
      <c r="I1683" s="1830"/>
      <c r="J1683" s="1795"/>
      <c r="K1683" s="1795"/>
      <c r="L1683" s="169"/>
      <c r="M1683" s="1783"/>
    </row>
    <row r="1684" spans="1:13" s="1517" customFormat="1" x14ac:dyDescent="0.25">
      <c r="A1684" s="179"/>
      <c r="B1684" s="179"/>
      <c r="C1684" s="726"/>
      <c r="D1684" s="2142" t="s">
        <v>127</v>
      </c>
      <c r="E1684" s="2142"/>
      <c r="F1684" s="2142"/>
      <c r="G1684" s="2142"/>
      <c r="H1684" s="727">
        <f>ROUND(H1682*H1683,2)</f>
        <v>920.55</v>
      </c>
      <c r="I1684" s="1830"/>
      <c r="J1684" s="1795"/>
      <c r="K1684" s="1795"/>
      <c r="L1684" s="169"/>
      <c r="M1684" s="1783"/>
    </row>
    <row r="1685" spans="1:13" s="1517" customFormat="1" x14ac:dyDescent="0.25">
      <c r="A1685" s="179"/>
      <c r="B1685" s="179"/>
      <c r="C1685" s="1531"/>
      <c r="D1685" s="2141" t="s">
        <v>15335</v>
      </c>
      <c r="E1685" s="2141"/>
      <c r="F1685" s="2141"/>
      <c r="G1685" s="2141"/>
      <c r="H1685" s="267">
        <f>ROUND(H1682*$B$13,2)</f>
        <v>4.3499999999999996</v>
      </c>
      <c r="I1685" s="1830"/>
      <c r="J1685" s="1795"/>
      <c r="K1685" s="1795"/>
      <c r="L1685" s="169"/>
      <c r="M1685" s="1783"/>
    </row>
    <row r="1686" spans="1:13" x14ac:dyDescent="0.25">
      <c r="A1686" s="179"/>
      <c r="B1686" s="179"/>
      <c r="C1686" s="1531"/>
      <c r="D1686" s="2142" t="s">
        <v>7898</v>
      </c>
      <c r="E1686" s="2142"/>
      <c r="F1686" s="2142"/>
      <c r="G1686" s="2142"/>
      <c r="H1686" s="1532">
        <f>H1685+H1682</f>
        <v>20.5</v>
      </c>
    </row>
    <row r="1687" spans="1:13" x14ac:dyDescent="0.25">
      <c r="A1687" s="713"/>
      <c r="B1687" s="713"/>
      <c r="C1687" s="713"/>
      <c r="F1687" s="728"/>
      <c r="G1687" s="729"/>
      <c r="H1687" s="713"/>
    </row>
    <row r="1688" spans="1:13" s="1517" customFormat="1" x14ac:dyDescent="0.25">
      <c r="A1688" s="146" t="s">
        <v>6</v>
      </c>
      <c r="B1688" s="2143" t="s">
        <v>7</v>
      </c>
      <c r="C1688" s="2143"/>
      <c r="D1688" s="715" t="s">
        <v>121</v>
      </c>
      <c r="E1688" s="278" t="s">
        <v>5282</v>
      </c>
      <c r="F1688" s="715" t="s">
        <v>31</v>
      </c>
      <c r="G1688" s="716" t="s">
        <v>122</v>
      </c>
      <c r="H1688" s="717" t="s">
        <v>123</v>
      </c>
      <c r="I1688" s="1830"/>
      <c r="J1688" s="1795"/>
      <c r="K1688" s="1795"/>
      <c r="L1688" s="169"/>
      <c r="M1688" s="1783"/>
    </row>
    <row r="1689" spans="1:13" s="1526" customFormat="1" ht="30" x14ac:dyDescent="0.2">
      <c r="A1689" s="718" t="str">
        <f>'Orç - Prédio'!A289</f>
        <v>05.01.207.07</v>
      </c>
      <c r="B1689" s="730" t="str">
        <f>'Orç - Prédio'!B289</f>
        <v>SINAPI</v>
      </c>
      <c r="C1689" s="730" t="str">
        <f>'Orç - Prédio'!C289</f>
        <v>89367 MOD</v>
      </c>
      <c r="D1689" s="731" t="s">
        <v>8554</v>
      </c>
      <c r="E1689" s="719">
        <f>'Orç - Prédio'!E289</f>
        <v>28</v>
      </c>
      <c r="F1689" s="730" t="s">
        <v>5284</v>
      </c>
      <c r="G1689" s="720">
        <v>10.41</v>
      </c>
      <c r="H1689" s="721">
        <f>H1700</f>
        <v>291.48</v>
      </c>
      <c r="I1689" s="1910" t="s">
        <v>9562</v>
      </c>
      <c r="J1689" s="1793"/>
      <c r="K1689" s="1793"/>
      <c r="L1689" s="141"/>
      <c r="M1689" s="1515"/>
    </row>
    <row r="1690" spans="1:13" s="156" customFormat="1" ht="30" x14ac:dyDescent="0.2">
      <c r="A1690" s="2144">
        <v>122</v>
      </c>
      <c r="B1690" s="2144"/>
      <c r="C1690" s="714" t="s">
        <v>4448</v>
      </c>
      <c r="D1690" s="182" t="s">
        <v>9804</v>
      </c>
      <c r="E1690" s="722">
        <v>8.9999999999999993E-3</v>
      </c>
      <c r="F1690" s="723" t="s">
        <v>39</v>
      </c>
      <c r="G1690" s="724">
        <v>56.82</v>
      </c>
      <c r="H1690" s="725">
        <f t="shared" ref="H1690:H1695" si="130">ROUNDDOWN(G1690*E1690,2)</f>
        <v>0.51</v>
      </c>
      <c r="I1690" s="1642"/>
      <c r="J1690" s="1797"/>
      <c r="K1690" s="1797"/>
      <c r="L1690" s="1784"/>
      <c r="M1690" s="1785"/>
    </row>
    <row r="1691" spans="1:13" s="156" customFormat="1" ht="45" x14ac:dyDescent="0.2">
      <c r="A1691" s="2144">
        <v>3538</v>
      </c>
      <c r="B1691" s="2144"/>
      <c r="C1691" s="714" t="s">
        <v>4448</v>
      </c>
      <c r="D1691" s="182" t="s">
        <v>12193</v>
      </c>
      <c r="E1691" s="722">
        <v>1</v>
      </c>
      <c r="F1691" s="723" t="s">
        <v>39</v>
      </c>
      <c r="G1691" s="724">
        <v>2.95</v>
      </c>
      <c r="H1691" s="725">
        <f t="shared" si="130"/>
        <v>2.95</v>
      </c>
      <c r="I1691" s="1642"/>
      <c r="J1691" s="1797"/>
      <c r="K1691" s="1797"/>
      <c r="L1691" s="1784"/>
      <c r="M1691" s="1785"/>
    </row>
    <row r="1692" spans="1:13" s="156" customFormat="1" ht="30" x14ac:dyDescent="0.2">
      <c r="A1692" s="2144">
        <v>20083</v>
      </c>
      <c r="B1692" s="2144"/>
      <c r="C1692" s="714" t="s">
        <v>4448</v>
      </c>
      <c r="D1692" s="182" t="s">
        <v>13801</v>
      </c>
      <c r="E1692" s="722">
        <v>1.0999999999999999E-2</v>
      </c>
      <c r="F1692" s="723" t="s">
        <v>39</v>
      </c>
      <c r="G1692" s="724">
        <v>49.34</v>
      </c>
      <c r="H1692" s="725">
        <f t="shared" si="130"/>
        <v>0.54</v>
      </c>
      <c r="I1692" s="1642"/>
      <c r="J1692" s="1797"/>
      <c r="K1692" s="1797"/>
      <c r="L1692" s="1784"/>
      <c r="M1692" s="1785"/>
    </row>
    <row r="1693" spans="1:13" s="156" customFormat="1" x14ac:dyDescent="0.2">
      <c r="A1693" s="2144">
        <v>38383</v>
      </c>
      <c r="B1693" s="2144"/>
      <c r="C1693" s="714" t="s">
        <v>4448</v>
      </c>
      <c r="D1693" s="182" t="s">
        <v>12469</v>
      </c>
      <c r="E1693" s="722">
        <v>0.06</v>
      </c>
      <c r="F1693" s="723" t="s">
        <v>39</v>
      </c>
      <c r="G1693" s="724">
        <v>1.69</v>
      </c>
      <c r="H1693" s="725">
        <f t="shared" si="130"/>
        <v>0.1</v>
      </c>
      <c r="I1693" s="1642"/>
      <c r="J1693" s="1797"/>
      <c r="K1693" s="1797"/>
      <c r="L1693" s="1784"/>
      <c r="M1693" s="1785"/>
    </row>
    <row r="1694" spans="1:13" s="156" customFormat="1" ht="45" x14ac:dyDescent="0.2">
      <c r="A1694" s="2144">
        <v>88248</v>
      </c>
      <c r="B1694" s="2144"/>
      <c r="C1694" s="714" t="s">
        <v>4448</v>
      </c>
      <c r="D1694" s="182" t="s">
        <v>73</v>
      </c>
      <c r="E1694" s="722">
        <v>0.17899999999999999</v>
      </c>
      <c r="F1694" s="723" t="s">
        <v>65</v>
      </c>
      <c r="G1694" s="724">
        <v>15.55</v>
      </c>
      <c r="H1694" s="725">
        <f t="shared" si="130"/>
        <v>2.78</v>
      </c>
      <c r="I1694" s="1642"/>
      <c r="J1694" s="1797"/>
      <c r="K1694" s="1797"/>
      <c r="L1694" s="1784"/>
      <c r="M1694" s="1785"/>
    </row>
    <row r="1695" spans="1:13" s="156" customFormat="1" ht="30" x14ac:dyDescent="0.2">
      <c r="A1695" s="2144">
        <v>88267</v>
      </c>
      <c r="B1695" s="2144"/>
      <c r="C1695" s="714" t="s">
        <v>4448</v>
      </c>
      <c r="D1695" s="182" t="s">
        <v>83</v>
      </c>
      <c r="E1695" s="722">
        <v>0.17899999999999999</v>
      </c>
      <c r="F1695" s="723" t="s">
        <v>65</v>
      </c>
      <c r="G1695" s="724">
        <v>19.73</v>
      </c>
      <c r="H1695" s="725">
        <f t="shared" si="130"/>
        <v>3.53</v>
      </c>
      <c r="I1695" s="1642"/>
      <c r="J1695" s="1797"/>
      <c r="K1695" s="1797"/>
      <c r="L1695" s="1784"/>
      <c r="M1695" s="1785"/>
    </row>
    <row r="1696" spans="1:13" s="1517" customFormat="1" x14ac:dyDescent="0.25">
      <c r="A1696" s="179"/>
      <c r="B1696" s="179"/>
      <c r="C1696" s="726"/>
      <c r="D1696" s="2141" t="s">
        <v>124</v>
      </c>
      <c r="E1696" s="2141"/>
      <c r="F1696" s="2141"/>
      <c r="G1696" s="2141"/>
      <c r="H1696" s="267">
        <f>SUMIF(F1690:F1695,("h"),H1690:H1695)</f>
        <v>6.31</v>
      </c>
      <c r="I1696" s="1830"/>
      <c r="J1696" s="1795"/>
      <c r="K1696" s="1795"/>
      <c r="L1696" s="169"/>
      <c r="M1696" s="1783"/>
    </row>
    <row r="1697" spans="1:13" s="1517" customFormat="1" x14ac:dyDescent="0.25">
      <c r="A1697" s="179"/>
      <c r="B1697" s="179"/>
      <c r="C1697" s="726"/>
      <c r="D1697" s="2141" t="s">
        <v>125</v>
      </c>
      <c r="E1697" s="2141"/>
      <c r="F1697" s="2141"/>
      <c r="G1697" s="2141"/>
      <c r="H1697" s="267">
        <f>SUMIF(F1690:F1695,"&lt;&gt;h",H1690:H1695)</f>
        <v>4.0999999999999996</v>
      </c>
      <c r="I1697" s="1830"/>
      <c r="J1697" s="1795"/>
      <c r="K1697" s="1795"/>
      <c r="L1697" s="169"/>
      <c r="M1697" s="1783"/>
    </row>
    <row r="1698" spans="1:13" s="1517" customFormat="1" x14ac:dyDescent="0.25">
      <c r="A1698" s="179"/>
      <c r="B1698" s="179"/>
      <c r="C1698" s="726"/>
      <c r="D1698" s="2142" t="s">
        <v>126</v>
      </c>
      <c r="E1698" s="2142"/>
      <c r="F1698" s="2142"/>
      <c r="G1698" s="2142"/>
      <c r="H1698" s="727">
        <f>SUM(H1696:H1697)</f>
        <v>10.41</v>
      </c>
      <c r="I1698" s="1830"/>
      <c r="J1698" s="1795"/>
      <c r="K1698" s="1795"/>
      <c r="L1698" s="169"/>
      <c r="M1698" s="1783"/>
    </row>
    <row r="1699" spans="1:13" s="1517" customFormat="1" x14ac:dyDescent="0.25">
      <c r="A1699" s="179"/>
      <c r="B1699" s="179"/>
      <c r="C1699" s="726"/>
      <c r="D1699" s="2141" t="s">
        <v>28</v>
      </c>
      <c r="E1699" s="2141"/>
      <c r="F1699" s="2141"/>
      <c r="G1699" s="2141"/>
      <c r="H1699" s="269">
        <f>E1689</f>
        <v>28</v>
      </c>
      <c r="I1699" s="1830"/>
      <c r="J1699" s="1795"/>
      <c r="K1699" s="1795"/>
      <c r="L1699" s="169"/>
      <c r="M1699" s="1783"/>
    </row>
    <row r="1700" spans="1:13" s="1517" customFormat="1" x14ac:dyDescent="0.25">
      <c r="A1700" s="179"/>
      <c r="B1700" s="179"/>
      <c r="C1700" s="726"/>
      <c r="D1700" s="2142" t="s">
        <v>127</v>
      </c>
      <c r="E1700" s="2142"/>
      <c r="F1700" s="2142"/>
      <c r="G1700" s="2142"/>
      <c r="H1700" s="727">
        <f>ROUND(H1698*H1699,2)</f>
        <v>291.48</v>
      </c>
      <c r="I1700" s="1830"/>
      <c r="J1700" s="1795"/>
      <c r="K1700" s="1795"/>
      <c r="L1700" s="169"/>
      <c r="M1700" s="1783"/>
    </row>
    <row r="1701" spans="1:13" s="1517" customFormat="1" x14ac:dyDescent="0.25">
      <c r="A1701" s="179"/>
      <c r="B1701" s="179"/>
      <c r="C1701" s="1531"/>
      <c r="D1701" s="2141" t="s">
        <v>15335</v>
      </c>
      <c r="E1701" s="2141"/>
      <c r="F1701" s="2141"/>
      <c r="G1701" s="2141"/>
      <c r="H1701" s="267">
        <f>ROUND(H1698*$B$13,2)</f>
        <v>2.8</v>
      </c>
      <c r="I1701" s="1830"/>
      <c r="J1701" s="1795"/>
      <c r="K1701" s="1795"/>
      <c r="L1701" s="169"/>
      <c r="M1701" s="1783"/>
    </row>
    <row r="1702" spans="1:13" x14ac:dyDescent="0.25">
      <c r="A1702" s="179"/>
      <c r="B1702" s="179"/>
      <c r="C1702" s="1531"/>
      <c r="D1702" s="2142" t="s">
        <v>7898</v>
      </c>
      <c r="E1702" s="2142"/>
      <c r="F1702" s="2142"/>
      <c r="G1702" s="2142"/>
      <c r="H1702" s="1532">
        <f>H1701+H1698</f>
        <v>13.21</v>
      </c>
    </row>
    <row r="1703" spans="1:13" x14ac:dyDescent="0.25">
      <c r="A1703" s="713"/>
      <c r="B1703" s="713"/>
      <c r="C1703" s="713"/>
      <c r="F1703" s="728"/>
      <c r="G1703" s="729"/>
      <c r="H1703" s="713"/>
    </row>
    <row r="1704" spans="1:13" s="1517" customFormat="1" x14ac:dyDescent="0.25">
      <c r="A1704" s="146" t="s">
        <v>6</v>
      </c>
      <c r="B1704" s="2143" t="s">
        <v>7</v>
      </c>
      <c r="C1704" s="2143"/>
      <c r="D1704" s="734" t="s">
        <v>121</v>
      </c>
      <c r="E1704" s="278" t="s">
        <v>5282</v>
      </c>
      <c r="F1704" s="734" t="s">
        <v>31</v>
      </c>
      <c r="G1704" s="735" t="s">
        <v>122</v>
      </c>
      <c r="H1704" s="736" t="s">
        <v>123</v>
      </c>
      <c r="I1704" s="1830"/>
      <c r="J1704" s="1795"/>
      <c r="K1704" s="1795"/>
      <c r="L1704" s="169"/>
      <c r="M1704" s="1783"/>
    </row>
    <row r="1705" spans="1:13" s="1526" customFormat="1" ht="30" x14ac:dyDescent="0.2">
      <c r="A1705" s="737" t="str">
        <f>'Orç - Prédio'!A292</f>
        <v>05.01.208.03</v>
      </c>
      <c r="B1705" s="749" t="str">
        <f>'Orç - Prédio'!B292</f>
        <v>SINAPI</v>
      </c>
      <c r="C1705" s="749" t="str">
        <f>'Orç - Prédio'!C292</f>
        <v>89381 MOD</v>
      </c>
      <c r="D1705" s="750" t="s">
        <v>5969</v>
      </c>
      <c r="E1705" s="738">
        <f>'Orç - Prédio'!E292</f>
        <v>3</v>
      </c>
      <c r="F1705" s="749" t="s">
        <v>5284</v>
      </c>
      <c r="G1705" s="739">
        <v>8.4599999999999991</v>
      </c>
      <c r="H1705" s="740">
        <f>H1716</f>
        <v>25.38</v>
      </c>
      <c r="I1705" s="1910" t="s">
        <v>9562</v>
      </c>
      <c r="J1705" s="1793"/>
      <c r="K1705" s="1793"/>
      <c r="L1705" s="141"/>
      <c r="M1705" s="1515"/>
    </row>
    <row r="1706" spans="1:13" s="156" customFormat="1" ht="30" x14ac:dyDescent="0.2">
      <c r="A1706" s="2144">
        <v>122</v>
      </c>
      <c r="B1706" s="2144"/>
      <c r="C1706" s="733" t="s">
        <v>4448</v>
      </c>
      <c r="D1706" s="182" t="s">
        <v>9804</v>
      </c>
      <c r="E1706" s="741">
        <v>7.0000000000000001E-3</v>
      </c>
      <c r="F1706" s="742" t="s">
        <v>39</v>
      </c>
      <c r="G1706" s="743">
        <v>56.82</v>
      </c>
      <c r="H1706" s="744">
        <f t="shared" ref="H1706:H1711" si="131">ROUNDDOWN(G1706*E1706,2)</f>
        <v>0.39</v>
      </c>
      <c r="I1706" s="1642"/>
      <c r="J1706" s="1797"/>
      <c r="K1706" s="1797"/>
      <c r="L1706" s="1784"/>
      <c r="M1706" s="1785"/>
    </row>
    <row r="1707" spans="1:13" s="156" customFormat="1" ht="30" x14ac:dyDescent="0.2">
      <c r="A1707" s="2144">
        <v>3874</v>
      </c>
      <c r="B1707" s="2144"/>
      <c r="C1707" s="733" t="s">
        <v>4448</v>
      </c>
      <c r="D1707" s="182" t="s">
        <v>12746</v>
      </c>
      <c r="E1707" s="741">
        <v>1</v>
      </c>
      <c r="F1707" s="742" t="s">
        <v>39</v>
      </c>
      <c r="G1707" s="743">
        <v>4.08</v>
      </c>
      <c r="H1707" s="744">
        <f t="shared" si="131"/>
        <v>4.08</v>
      </c>
      <c r="I1707" s="1642"/>
      <c r="J1707" s="1797"/>
      <c r="K1707" s="1797"/>
      <c r="L1707" s="1784"/>
      <c r="M1707" s="1785"/>
    </row>
    <row r="1708" spans="1:13" s="156" customFormat="1" ht="30" x14ac:dyDescent="0.2">
      <c r="A1708" s="2144">
        <v>20083</v>
      </c>
      <c r="B1708" s="2144"/>
      <c r="C1708" s="733" t="s">
        <v>4448</v>
      </c>
      <c r="D1708" s="182" t="s">
        <v>13801</v>
      </c>
      <c r="E1708" s="741">
        <v>8.0000000000000002E-3</v>
      </c>
      <c r="F1708" s="742" t="s">
        <v>39</v>
      </c>
      <c r="G1708" s="743">
        <v>49.34</v>
      </c>
      <c r="H1708" s="744">
        <f t="shared" si="131"/>
        <v>0.39</v>
      </c>
      <c r="I1708" s="1642"/>
      <c r="J1708" s="1797"/>
      <c r="K1708" s="1797"/>
      <c r="L1708" s="1784"/>
      <c r="M1708" s="1785"/>
    </row>
    <row r="1709" spans="1:13" s="156" customFormat="1" x14ac:dyDescent="0.2">
      <c r="A1709" s="2144">
        <v>38383</v>
      </c>
      <c r="B1709" s="2144"/>
      <c r="C1709" s="733" t="s">
        <v>4448</v>
      </c>
      <c r="D1709" s="182" t="s">
        <v>12469</v>
      </c>
      <c r="E1709" s="741">
        <v>0.05</v>
      </c>
      <c r="F1709" s="742" t="s">
        <v>39</v>
      </c>
      <c r="G1709" s="743">
        <v>1.69</v>
      </c>
      <c r="H1709" s="744">
        <f t="shared" si="131"/>
        <v>0.08</v>
      </c>
      <c r="I1709" s="1642"/>
      <c r="J1709" s="1797"/>
      <c r="K1709" s="1797"/>
      <c r="L1709" s="1784"/>
      <c r="M1709" s="1785"/>
    </row>
    <row r="1710" spans="1:13" s="156" customFormat="1" ht="45" x14ac:dyDescent="0.2">
      <c r="A1710" s="2144">
        <v>88248</v>
      </c>
      <c r="B1710" s="2144"/>
      <c r="C1710" s="733" t="s">
        <v>4448</v>
      </c>
      <c r="D1710" s="182" t="s">
        <v>73</v>
      </c>
      <c r="E1710" s="741">
        <v>0.1</v>
      </c>
      <c r="F1710" s="742" t="s">
        <v>65</v>
      </c>
      <c r="G1710" s="743">
        <v>15.55</v>
      </c>
      <c r="H1710" s="744">
        <f t="shared" si="131"/>
        <v>1.55</v>
      </c>
      <c r="I1710" s="1642"/>
      <c r="J1710" s="1797"/>
      <c r="K1710" s="1797"/>
      <c r="L1710" s="1784"/>
      <c r="M1710" s="1785"/>
    </row>
    <row r="1711" spans="1:13" s="156" customFormat="1" ht="30" x14ac:dyDescent="0.2">
      <c r="A1711" s="2144">
        <v>88267</v>
      </c>
      <c r="B1711" s="2144"/>
      <c r="C1711" s="733" t="s">
        <v>4448</v>
      </c>
      <c r="D1711" s="182" t="s">
        <v>83</v>
      </c>
      <c r="E1711" s="741">
        <v>0.1</v>
      </c>
      <c r="F1711" s="742" t="s">
        <v>65</v>
      </c>
      <c r="G1711" s="743">
        <v>19.73</v>
      </c>
      <c r="H1711" s="744">
        <f t="shared" si="131"/>
        <v>1.97</v>
      </c>
      <c r="I1711" s="1642"/>
      <c r="J1711" s="1797"/>
      <c r="K1711" s="1797"/>
      <c r="L1711" s="1784"/>
      <c r="M1711" s="1785"/>
    </row>
    <row r="1712" spans="1:13" s="1517" customFormat="1" x14ac:dyDescent="0.25">
      <c r="A1712" s="179"/>
      <c r="B1712" s="179"/>
      <c r="C1712" s="745"/>
      <c r="D1712" s="2141" t="s">
        <v>124</v>
      </c>
      <c r="E1712" s="2141"/>
      <c r="F1712" s="2141"/>
      <c r="G1712" s="2141"/>
      <c r="H1712" s="267">
        <f>SUMIF(F1706:F1711,("h"),H1706:H1711)</f>
        <v>3.52</v>
      </c>
      <c r="I1712" s="1830"/>
      <c r="J1712" s="1795"/>
      <c r="K1712" s="1795"/>
      <c r="L1712" s="169"/>
      <c r="M1712" s="1783"/>
    </row>
    <row r="1713" spans="1:13" s="1517" customFormat="1" x14ac:dyDescent="0.25">
      <c r="A1713" s="179"/>
      <c r="B1713" s="179"/>
      <c r="C1713" s="745"/>
      <c r="D1713" s="2141" t="s">
        <v>125</v>
      </c>
      <c r="E1713" s="2141"/>
      <c r="F1713" s="2141"/>
      <c r="G1713" s="2141"/>
      <c r="H1713" s="267">
        <f>SUMIF(F1706:F1711,"&lt;&gt;h",H1706:H1711)</f>
        <v>4.9399999999999995</v>
      </c>
      <c r="I1713" s="1830"/>
      <c r="J1713" s="1795"/>
      <c r="K1713" s="1795"/>
      <c r="L1713" s="169"/>
      <c r="M1713" s="1783"/>
    </row>
    <row r="1714" spans="1:13" s="1517" customFormat="1" x14ac:dyDescent="0.25">
      <c r="A1714" s="179"/>
      <c r="B1714" s="179"/>
      <c r="C1714" s="745"/>
      <c r="D1714" s="2142" t="s">
        <v>126</v>
      </c>
      <c r="E1714" s="2142"/>
      <c r="F1714" s="2142"/>
      <c r="G1714" s="2142"/>
      <c r="H1714" s="746">
        <f>SUM(H1712:H1713)</f>
        <v>8.4599999999999991</v>
      </c>
      <c r="I1714" s="1830"/>
      <c r="J1714" s="1795"/>
      <c r="K1714" s="1795"/>
      <c r="L1714" s="169"/>
      <c r="M1714" s="1783"/>
    </row>
    <row r="1715" spans="1:13" s="1517" customFormat="1" x14ac:dyDescent="0.25">
      <c r="A1715" s="179"/>
      <c r="B1715" s="179"/>
      <c r="C1715" s="745"/>
      <c r="D1715" s="2141" t="s">
        <v>28</v>
      </c>
      <c r="E1715" s="2141"/>
      <c r="F1715" s="2141"/>
      <c r="G1715" s="2141"/>
      <c r="H1715" s="269">
        <f>E1705</f>
        <v>3</v>
      </c>
      <c r="I1715" s="1830"/>
      <c r="J1715" s="1795"/>
      <c r="K1715" s="1795"/>
      <c r="L1715" s="169"/>
      <c r="M1715" s="1783"/>
    </row>
    <row r="1716" spans="1:13" s="1517" customFormat="1" x14ac:dyDescent="0.25">
      <c r="A1716" s="179"/>
      <c r="B1716" s="179"/>
      <c r="C1716" s="745"/>
      <c r="D1716" s="2142" t="s">
        <v>127</v>
      </c>
      <c r="E1716" s="2142"/>
      <c r="F1716" s="2142"/>
      <c r="G1716" s="2142"/>
      <c r="H1716" s="746">
        <f>ROUND(H1714*H1715,2)</f>
        <v>25.38</v>
      </c>
      <c r="I1716" s="1830"/>
      <c r="J1716" s="1795"/>
      <c r="K1716" s="1795"/>
      <c r="L1716" s="169"/>
      <c r="M1716" s="1783"/>
    </row>
    <row r="1717" spans="1:13" s="1517" customFormat="1" x14ac:dyDescent="0.25">
      <c r="A1717" s="179"/>
      <c r="B1717" s="179"/>
      <c r="C1717" s="1531"/>
      <c r="D1717" s="2141" t="s">
        <v>15335</v>
      </c>
      <c r="E1717" s="2141"/>
      <c r="F1717" s="2141"/>
      <c r="G1717" s="2141"/>
      <c r="H1717" s="267">
        <f>ROUND(H1714*$B$13,2)</f>
        <v>2.2799999999999998</v>
      </c>
      <c r="I1717" s="1830"/>
      <c r="J1717" s="1795"/>
      <c r="K1717" s="1795"/>
      <c r="L1717" s="169"/>
      <c r="M1717" s="1783"/>
    </row>
    <row r="1718" spans="1:13" x14ac:dyDescent="0.25">
      <c r="A1718" s="179"/>
      <c r="B1718" s="179"/>
      <c r="C1718" s="1531"/>
      <c r="D1718" s="2142" t="s">
        <v>7898</v>
      </c>
      <c r="E1718" s="2142"/>
      <c r="F1718" s="2142"/>
      <c r="G1718" s="2142"/>
      <c r="H1718" s="1532">
        <f>H1717+H1714</f>
        <v>10.739999999999998</v>
      </c>
    </row>
    <row r="1719" spans="1:13" x14ac:dyDescent="0.25">
      <c r="A1719" s="732"/>
      <c r="B1719" s="732"/>
      <c r="C1719" s="732"/>
      <c r="F1719" s="747"/>
      <c r="G1719" s="748"/>
      <c r="H1719" s="732"/>
    </row>
    <row r="1720" spans="1:13" s="1517" customFormat="1" x14ac:dyDescent="0.25">
      <c r="A1720" s="146" t="s">
        <v>6</v>
      </c>
      <c r="B1720" s="2143" t="s">
        <v>7</v>
      </c>
      <c r="C1720" s="2143"/>
      <c r="D1720" s="1518" t="s">
        <v>121</v>
      </c>
      <c r="E1720" s="278" t="s">
        <v>5282</v>
      </c>
      <c r="F1720" s="1518" t="s">
        <v>31</v>
      </c>
      <c r="G1720" s="1519" t="s">
        <v>122</v>
      </c>
      <c r="H1720" s="1520" t="s">
        <v>123</v>
      </c>
      <c r="I1720" s="1830"/>
      <c r="J1720" s="1795"/>
      <c r="K1720" s="1795"/>
      <c r="L1720" s="169"/>
      <c r="M1720" s="1783"/>
    </row>
    <row r="1721" spans="1:13" s="1526" customFormat="1" ht="45" x14ac:dyDescent="0.2">
      <c r="A1721" s="1928" t="str">
        <f>'Orç - Reservatório'!A127</f>
        <v>05.01.251</v>
      </c>
      <c r="B1721" s="1928" t="str">
        <f>'Orç - Reservatório'!B127</f>
        <v>SINAPI ANTIGO</v>
      </c>
      <c r="C1721" s="1928" t="str">
        <f>'Orç - Reservatório'!C127</f>
        <v>74253/1</v>
      </c>
      <c r="D1721" s="1865" t="s">
        <v>8886</v>
      </c>
      <c r="E1721" s="1928">
        <f>'Orç - Reservatório'!E127</f>
        <v>34.35</v>
      </c>
      <c r="F1721" s="1928" t="s">
        <v>5713</v>
      </c>
      <c r="G1721" s="1524">
        <v>22.41</v>
      </c>
      <c r="H1721" s="1525">
        <f>H1731</f>
        <v>769.78</v>
      </c>
      <c r="I1721" s="1910" t="s">
        <v>14965</v>
      </c>
      <c r="J1721" s="1793"/>
      <c r="K1721" s="1793"/>
      <c r="L1721" s="141"/>
      <c r="M1721" s="1515"/>
    </row>
    <row r="1722" spans="1:13" s="1859" customFormat="1" ht="60" x14ac:dyDescent="0.2">
      <c r="A1722" s="2144">
        <v>9813</v>
      </c>
      <c r="B1722" s="2144"/>
      <c r="C1722" s="1863" t="s">
        <v>4448</v>
      </c>
      <c r="D1722" s="1862" t="s">
        <v>14568</v>
      </c>
      <c r="E1722" s="1864">
        <v>1</v>
      </c>
      <c r="F1722" s="1927" t="s">
        <v>47</v>
      </c>
      <c r="G1722" s="1860">
        <v>3.79</v>
      </c>
      <c r="H1722" s="1857">
        <f t="shared" ref="H1722:H1724" si="132">ROUNDDOWN(G1722*E1722,2)</f>
        <v>3.79</v>
      </c>
      <c r="I1722" s="1856"/>
      <c r="J1722" s="1797"/>
      <c r="K1722" s="1797"/>
      <c r="L1722" s="1784"/>
      <c r="M1722" s="1785"/>
    </row>
    <row r="1723" spans="1:13" s="1859" customFormat="1" ht="30" x14ac:dyDescent="0.2">
      <c r="A1723" s="2144">
        <v>88267</v>
      </c>
      <c r="B1723" s="2144"/>
      <c r="C1723" s="1863" t="s">
        <v>4448</v>
      </c>
      <c r="D1723" s="1862" t="s">
        <v>83</v>
      </c>
      <c r="E1723" s="1864">
        <v>0.04</v>
      </c>
      <c r="F1723" s="1927" t="s">
        <v>65</v>
      </c>
      <c r="G1723" s="1860">
        <v>19.73</v>
      </c>
      <c r="H1723" s="1857">
        <f t="shared" ref="H1723" si="133">ROUNDDOWN(G1723*E1723,2)</f>
        <v>0.78</v>
      </c>
      <c r="I1723" s="1856"/>
      <c r="J1723" s="1797"/>
      <c r="K1723" s="1797"/>
      <c r="L1723" s="1784"/>
      <c r="M1723" s="1785"/>
    </row>
    <row r="1724" spans="1:13" s="1859" customFormat="1" ht="30" x14ac:dyDescent="0.2">
      <c r="A1724" s="2144">
        <v>88316</v>
      </c>
      <c r="B1724" s="2144"/>
      <c r="C1724" s="1863" t="s">
        <v>4448</v>
      </c>
      <c r="D1724" s="1862" t="s">
        <v>64</v>
      </c>
      <c r="E1724" s="1864">
        <v>0.04</v>
      </c>
      <c r="F1724" s="1927" t="s">
        <v>65</v>
      </c>
      <c r="G1724" s="1860">
        <v>15.08</v>
      </c>
      <c r="H1724" s="1857">
        <f t="shared" si="132"/>
        <v>0.6</v>
      </c>
      <c r="I1724" s="1856"/>
      <c r="J1724" s="1797"/>
      <c r="K1724" s="1797"/>
      <c r="L1724" s="1784"/>
      <c r="M1724" s="1785"/>
    </row>
    <row r="1725" spans="1:13" s="1859" customFormat="1" ht="45" x14ac:dyDescent="0.2">
      <c r="A1725" s="2144">
        <v>93358</v>
      </c>
      <c r="B1725" s="2144"/>
      <c r="C1725" s="1863" t="s">
        <v>4448</v>
      </c>
      <c r="D1725" s="1862" t="s">
        <v>5275</v>
      </c>
      <c r="E1725" s="1864">
        <v>0.18</v>
      </c>
      <c r="F1725" s="1927" t="s">
        <v>1208</v>
      </c>
      <c r="G1725" s="1860">
        <v>59.65</v>
      </c>
      <c r="H1725" s="1857">
        <f t="shared" ref="H1725:H1726" si="134">ROUNDDOWN(G1725*E1725,2)</f>
        <v>10.73</v>
      </c>
      <c r="I1725" s="1856"/>
      <c r="J1725" s="1797"/>
      <c r="K1725" s="1797"/>
      <c r="L1725" s="1784"/>
      <c r="M1725" s="1785"/>
    </row>
    <row r="1726" spans="1:13" s="1859" customFormat="1" ht="30" x14ac:dyDescent="0.2">
      <c r="A1726" s="2144">
        <v>96995</v>
      </c>
      <c r="B1726" s="2144"/>
      <c r="C1726" s="1863" t="s">
        <v>4448</v>
      </c>
      <c r="D1726" s="1862" t="s">
        <v>4956</v>
      </c>
      <c r="E1726" s="1864">
        <v>0.18</v>
      </c>
      <c r="F1726" s="1927" t="s">
        <v>1208</v>
      </c>
      <c r="G1726" s="1860">
        <v>36.17</v>
      </c>
      <c r="H1726" s="1857">
        <f t="shared" si="134"/>
        <v>6.51</v>
      </c>
      <c r="I1726" s="1856"/>
      <c r="J1726" s="1797"/>
      <c r="K1726" s="1797"/>
      <c r="L1726" s="1784"/>
      <c r="M1726" s="1785"/>
    </row>
    <row r="1727" spans="1:13" s="1517" customFormat="1" x14ac:dyDescent="0.25">
      <c r="A1727" s="1929"/>
      <c r="B1727" s="1929"/>
      <c r="C1727" s="1531"/>
      <c r="D1727" s="2141" t="s">
        <v>124</v>
      </c>
      <c r="E1727" s="2141"/>
      <c r="F1727" s="2141"/>
      <c r="G1727" s="2141"/>
      <c r="H1727" s="267">
        <f>SUMIF(F1722:F1726,("h"),H1722:H1726)</f>
        <v>1.38</v>
      </c>
      <c r="I1727" s="1830"/>
      <c r="J1727" s="1795"/>
      <c r="K1727" s="1795"/>
      <c r="L1727" s="169"/>
      <c r="M1727" s="1783"/>
    </row>
    <row r="1728" spans="1:13" s="1517" customFormat="1" x14ac:dyDescent="0.25">
      <c r="A1728" s="1929"/>
      <c r="B1728" s="1929"/>
      <c r="C1728" s="1531"/>
      <c r="D1728" s="2141" t="s">
        <v>125</v>
      </c>
      <c r="E1728" s="2141"/>
      <c r="F1728" s="2141"/>
      <c r="G1728" s="2141"/>
      <c r="H1728" s="267">
        <f>SUMIF(F1722:F1726,"&lt;&gt;h",H1722:H1726)</f>
        <v>21.03</v>
      </c>
      <c r="I1728" s="1830"/>
      <c r="J1728" s="1795"/>
      <c r="K1728" s="1795"/>
      <c r="L1728" s="169"/>
      <c r="M1728" s="1783"/>
    </row>
    <row r="1729" spans="1:13" s="1517" customFormat="1" x14ac:dyDescent="0.25">
      <c r="A1729" s="1929"/>
      <c r="B1729" s="1929"/>
      <c r="C1729" s="1531"/>
      <c r="D1729" s="2142" t="s">
        <v>126</v>
      </c>
      <c r="E1729" s="2142"/>
      <c r="F1729" s="2142"/>
      <c r="G1729" s="2142"/>
      <c r="H1729" s="1532">
        <f>SUM(H1727:H1728)</f>
        <v>22.41</v>
      </c>
      <c r="I1729" s="1830"/>
      <c r="J1729" s="1795"/>
      <c r="K1729" s="1795"/>
      <c r="L1729" s="169"/>
      <c r="M1729" s="1783"/>
    </row>
    <row r="1730" spans="1:13" s="1517" customFormat="1" x14ac:dyDescent="0.25">
      <c r="A1730" s="1929"/>
      <c r="B1730" s="1929"/>
      <c r="C1730" s="1531"/>
      <c r="D1730" s="2141" t="s">
        <v>28</v>
      </c>
      <c r="E1730" s="2141"/>
      <c r="F1730" s="2141"/>
      <c r="G1730" s="2141"/>
      <c r="H1730" s="269">
        <f>E1721</f>
        <v>34.35</v>
      </c>
      <c r="I1730" s="1830"/>
      <c r="J1730" s="1795"/>
      <c r="K1730" s="1795"/>
      <c r="L1730" s="169"/>
      <c r="M1730" s="1783"/>
    </row>
    <row r="1731" spans="1:13" s="1517" customFormat="1" x14ac:dyDescent="0.25">
      <c r="A1731" s="1929"/>
      <c r="B1731" s="1929"/>
      <c r="C1731" s="1531"/>
      <c r="D1731" s="2142" t="s">
        <v>127</v>
      </c>
      <c r="E1731" s="2142"/>
      <c r="F1731" s="2142"/>
      <c r="G1731" s="2142"/>
      <c r="H1731" s="1532">
        <f>ROUND(H1729*H1730,2)</f>
        <v>769.78</v>
      </c>
      <c r="I1731" s="1830"/>
      <c r="J1731" s="1795"/>
      <c r="K1731" s="1795"/>
      <c r="L1731" s="169"/>
      <c r="M1731" s="1783"/>
    </row>
    <row r="1732" spans="1:13" s="1517" customFormat="1" x14ac:dyDescent="0.25">
      <c r="A1732" s="1929"/>
      <c r="B1732" s="1929"/>
      <c r="C1732" s="1531"/>
      <c r="D1732" s="2141" t="s">
        <v>15335</v>
      </c>
      <c r="E1732" s="2141"/>
      <c r="F1732" s="2141"/>
      <c r="G1732" s="2141"/>
      <c r="H1732" s="267">
        <f>ROUND(H1729*$B$13,2)</f>
        <v>6.04</v>
      </c>
      <c r="I1732" s="1830"/>
      <c r="J1732" s="1795"/>
      <c r="K1732" s="1795"/>
      <c r="L1732" s="169"/>
      <c r="M1732" s="1783"/>
    </row>
    <row r="1733" spans="1:13" x14ac:dyDescent="0.25">
      <c r="A1733" s="1929"/>
      <c r="B1733" s="1929"/>
      <c r="C1733" s="1531"/>
      <c r="D1733" s="2142" t="s">
        <v>7898</v>
      </c>
      <c r="E1733" s="2142"/>
      <c r="F1733" s="2142"/>
      <c r="G1733" s="2142"/>
      <c r="H1733" s="1532">
        <f>H1732+H1729</f>
        <v>28.45</v>
      </c>
    </row>
    <row r="1734" spans="1:13" x14ac:dyDescent="0.25">
      <c r="A1734" s="1514"/>
      <c r="B1734" s="1514"/>
      <c r="C1734" s="1514"/>
      <c r="F1734" s="1533"/>
      <c r="G1734" s="1534"/>
      <c r="H1734" s="1514"/>
    </row>
    <row r="1735" spans="1:13" s="1517" customFormat="1" x14ac:dyDescent="0.25">
      <c r="A1735" s="146" t="s">
        <v>6</v>
      </c>
      <c r="B1735" s="2143" t="s">
        <v>7</v>
      </c>
      <c r="C1735" s="2143"/>
      <c r="D1735" s="1518" t="s">
        <v>121</v>
      </c>
      <c r="E1735" s="278" t="s">
        <v>5282</v>
      </c>
      <c r="F1735" s="1518" t="s">
        <v>31</v>
      </c>
      <c r="G1735" s="1519" t="s">
        <v>122</v>
      </c>
      <c r="H1735" s="1520" t="s">
        <v>123</v>
      </c>
      <c r="I1735" s="1830"/>
      <c r="J1735" s="1795"/>
      <c r="K1735" s="1795"/>
      <c r="L1735" s="169"/>
      <c r="M1735" s="1783"/>
    </row>
    <row r="1736" spans="1:13" s="1526" customFormat="1" ht="30" x14ac:dyDescent="0.2">
      <c r="A1736" s="1868" t="str">
        <f>'Orç - Reservatório'!A128</f>
        <v>05.01.252</v>
      </c>
      <c r="B1736" s="1868" t="str">
        <f>'Orç - Reservatório'!B128</f>
        <v>ORSE</v>
      </c>
      <c r="C1736" s="1868">
        <f>'Orç - Reservatório'!C128</f>
        <v>1351</v>
      </c>
      <c r="D1736" s="1865" t="s">
        <v>8882</v>
      </c>
      <c r="E1736" s="1866">
        <f>'Orç - Reservatório'!E128</f>
        <v>1</v>
      </c>
      <c r="F1736" s="1868" t="s">
        <v>5284</v>
      </c>
      <c r="G1736" s="1524">
        <v>13.84</v>
      </c>
      <c r="H1736" s="1525">
        <f>H1745</f>
        <v>13.84</v>
      </c>
      <c r="I1736" s="1910" t="s">
        <v>9601</v>
      </c>
      <c r="J1736" s="1793"/>
      <c r="K1736" s="1793"/>
      <c r="L1736" s="141"/>
      <c r="M1736" s="1515"/>
    </row>
    <row r="1737" spans="1:13" s="1859" customFormat="1" ht="60" x14ac:dyDescent="0.2">
      <c r="A1737" s="2144">
        <v>61</v>
      </c>
      <c r="B1737" s="2144"/>
      <c r="C1737" s="1863" t="s">
        <v>4448</v>
      </c>
      <c r="D1737" s="1862" t="s">
        <v>9739</v>
      </c>
      <c r="E1737" s="1864">
        <v>1</v>
      </c>
      <c r="F1737" s="1867" t="s">
        <v>39</v>
      </c>
      <c r="G1737" s="1860">
        <v>3.31</v>
      </c>
      <c r="H1737" s="1857">
        <f t="shared" ref="H1737:H1740" si="135">ROUNDDOWN(G1737*E1737,2)</f>
        <v>3.31</v>
      </c>
      <c r="I1737" s="1856"/>
      <c r="J1737" s="1797"/>
      <c r="K1737" s="1797"/>
      <c r="L1737" s="1784"/>
      <c r="M1737" s="1785"/>
    </row>
    <row r="1738" spans="1:13" s="1859" customFormat="1" ht="30" x14ac:dyDescent="0.2">
      <c r="A1738" s="2144">
        <v>3148</v>
      </c>
      <c r="B1738" s="2144"/>
      <c r="C1738" s="1863" t="s">
        <v>4448</v>
      </c>
      <c r="D1738" s="1862" t="s">
        <v>11906</v>
      </c>
      <c r="E1738" s="1864">
        <f>0.4/50</f>
        <v>8.0000000000000002E-3</v>
      </c>
      <c r="F1738" s="1867" t="s">
        <v>39</v>
      </c>
      <c r="G1738" s="1860">
        <v>13.2</v>
      </c>
      <c r="H1738" s="1857">
        <f>ROUNDDOWN(G1738*E1738,2)</f>
        <v>0.1</v>
      </c>
      <c r="I1738" s="1856"/>
      <c r="J1738" s="1797"/>
      <c r="K1738" s="1797"/>
      <c r="L1738" s="1784"/>
      <c r="M1738" s="1785"/>
    </row>
    <row r="1739" spans="1:13" s="1859" customFormat="1" ht="30" x14ac:dyDescent="0.2">
      <c r="A1739" s="2144">
        <v>88267</v>
      </c>
      <c r="B1739" s="2144"/>
      <c r="C1739" s="1863" t="s">
        <v>4448</v>
      </c>
      <c r="D1739" s="1862" t="s">
        <v>83</v>
      </c>
      <c r="E1739" s="1864">
        <v>0.3</v>
      </c>
      <c r="F1739" s="1867" t="s">
        <v>65</v>
      </c>
      <c r="G1739" s="1860">
        <v>19.73</v>
      </c>
      <c r="H1739" s="1857">
        <f t="shared" si="135"/>
        <v>5.91</v>
      </c>
      <c r="I1739" s="1856"/>
      <c r="J1739" s="1797"/>
      <c r="K1739" s="1797"/>
      <c r="L1739" s="1784"/>
      <c r="M1739" s="1785"/>
    </row>
    <row r="1740" spans="1:13" s="1859" customFormat="1" ht="30" x14ac:dyDescent="0.2">
      <c r="A1740" s="2144">
        <v>88316</v>
      </c>
      <c r="B1740" s="2144"/>
      <c r="C1740" s="1863" t="s">
        <v>4448</v>
      </c>
      <c r="D1740" s="1862" t="s">
        <v>64</v>
      </c>
      <c r="E1740" s="1864">
        <v>0.3</v>
      </c>
      <c r="F1740" s="1867" t="s">
        <v>65</v>
      </c>
      <c r="G1740" s="1860">
        <v>15.08</v>
      </c>
      <c r="H1740" s="1857">
        <f t="shared" si="135"/>
        <v>4.5199999999999996</v>
      </c>
      <c r="I1740" s="1856"/>
      <c r="J1740" s="1797"/>
      <c r="K1740" s="1797"/>
      <c r="L1740" s="1784"/>
      <c r="M1740" s="1785"/>
    </row>
    <row r="1741" spans="1:13" s="1517" customFormat="1" x14ac:dyDescent="0.25">
      <c r="A1741" s="1847"/>
      <c r="B1741" s="1847"/>
      <c r="C1741" s="1531"/>
      <c r="D1741" s="2141" t="s">
        <v>124</v>
      </c>
      <c r="E1741" s="2141"/>
      <c r="F1741" s="2141"/>
      <c r="G1741" s="2141"/>
      <c r="H1741" s="267">
        <f>SUMIF(F1737:F1740,("h"),H1737:H1740)</f>
        <v>10.43</v>
      </c>
      <c r="I1741" s="1830"/>
      <c r="J1741" s="1795"/>
      <c r="K1741" s="1795"/>
      <c r="L1741" s="169"/>
      <c r="M1741" s="1783"/>
    </row>
    <row r="1742" spans="1:13" s="1517" customFormat="1" x14ac:dyDescent="0.25">
      <c r="A1742" s="1847"/>
      <c r="B1742" s="1847"/>
      <c r="C1742" s="1531"/>
      <c r="D1742" s="2141" t="s">
        <v>125</v>
      </c>
      <c r="E1742" s="2141"/>
      <c r="F1742" s="2141"/>
      <c r="G1742" s="2141"/>
      <c r="H1742" s="267">
        <f>SUMIF(F1737:F1740,"&lt;&gt;h",H1737:H1740)</f>
        <v>3.41</v>
      </c>
      <c r="I1742" s="1830"/>
      <c r="J1742" s="1795"/>
      <c r="K1742" s="1795"/>
      <c r="L1742" s="169"/>
      <c r="M1742" s="1783"/>
    </row>
    <row r="1743" spans="1:13" s="1517" customFormat="1" x14ac:dyDescent="0.25">
      <c r="A1743" s="1847"/>
      <c r="B1743" s="1847"/>
      <c r="C1743" s="1531"/>
      <c r="D1743" s="2142" t="s">
        <v>126</v>
      </c>
      <c r="E1743" s="2142"/>
      <c r="F1743" s="2142"/>
      <c r="G1743" s="2142"/>
      <c r="H1743" s="1532">
        <f>SUM(H1741:H1742)</f>
        <v>13.84</v>
      </c>
      <c r="I1743" s="1830"/>
      <c r="J1743" s="1795"/>
      <c r="K1743" s="1795"/>
      <c r="L1743" s="169"/>
      <c r="M1743" s="1783"/>
    </row>
    <row r="1744" spans="1:13" s="1517" customFormat="1" x14ac:dyDescent="0.25">
      <c r="A1744" s="1847"/>
      <c r="B1744" s="1847"/>
      <c r="C1744" s="1531"/>
      <c r="D1744" s="2141" t="s">
        <v>28</v>
      </c>
      <c r="E1744" s="2141"/>
      <c r="F1744" s="2141"/>
      <c r="G1744" s="2141"/>
      <c r="H1744" s="269">
        <f>E1736</f>
        <v>1</v>
      </c>
      <c r="I1744" s="1830"/>
      <c r="J1744" s="1795"/>
      <c r="K1744" s="1795"/>
      <c r="L1744" s="169"/>
      <c r="M1744" s="1783"/>
    </row>
    <row r="1745" spans="1:13" s="1517" customFormat="1" x14ac:dyDescent="0.25">
      <c r="A1745" s="1847"/>
      <c r="B1745" s="1847"/>
      <c r="C1745" s="1531"/>
      <c r="D1745" s="2142" t="s">
        <v>127</v>
      </c>
      <c r="E1745" s="2142"/>
      <c r="F1745" s="2142"/>
      <c r="G1745" s="2142"/>
      <c r="H1745" s="1532">
        <f>ROUND(H1743*H1744,2)</f>
        <v>13.84</v>
      </c>
      <c r="I1745" s="1830"/>
      <c r="J1745" s="1795"/>
      <c r="K1745" s="1795"/>
      <c r="L1745" s="169"/>
      <c r="M1745" s="1783"/>
    </row>
    <row r="1746" spans="1:13" s="1517" customFormat="1" x14ac:dyDescent="0.25">
      <c r="A1746" s="1847"/>
      <c r="B1746" s="1847"/>
      <c r="C1746" s="1531"/>
      <c r="D1746" s="2141" t="s">
        <v>15335</v>
      </c>
      <c r="E1746" s="2141"/>
      <c r="F1746" s="2141"/>
      <c r="G1746" s="2141"/>
      <c r="H1746" s="267">
        <f>ROUND(H1743*$B$13,2)</f>
        <v>3.73</v>
      </c>
      <c r="I1746" s="1830"/>
      <c r="J1746" s="1795"/>
      <c r="K1746" s="1795"/>
      <c r="L1746" s="169"/>
      <c r="M1746" s="1783"/>
    </row>
    <row r="1747" spans="1:13" x14ac:dyDescent="0.25">
      <c r="A1747" s="1847"/>
      <c r="B1747" s="1847"/>
      <c r="C1747" s="1531"/>
      <c r="D1747" s="2142" t="s">
        <v>7898</v>
      </c>
      <c r="E1747" s="2142"/>
      <c r="F1747" s="2142"/>
      <c r="G1747" s="2142"/>
      <c r="H1747" s="1532">
        <f>H1746+H1743</f>
        <v>17.57</v>
      </c>
    </row>
    <row r="1748" spans="1:13" x14ac:dyDescent="0.25">
      <c r="A1748" s="1514"/>
      <c r="B1748" s="1514"/>
      <c r="C1748" s="1514"/>
      <c r="F1748" s="1533"/>
      <c r="G1748" s="1534"/>
      <c r="H1748" s="1514"/>
    </row>
    <row r="1749" spans="1:13" s="1517" customFormat="1" x14ac:dyDescent="0.25">
      <c r="A1749" s="146" t="s">
        <v>6</v>
      </c>
      <c r="B1749" s="2143" t="s">
        <v>7</v>
      </c>
      <c r="C1749" s="2143"/>
      <c r="D1749" s="912" t="s">
        <v>121</v>
      </c>
      <c r="E1749" s="278" t="s">
        <v>5282</v>
      </c>
      <c r="F1749" s="912" t="s">
        <v>31</v>
      </c>
      <c r="G1749" s="913" t="s">
        <v>122</v>
      </c>
      <c r="H1749" s="914" t="s">
        <v>123</v>
      </c>
      <c r="I1749" s="1830"/>
      <c r="J1749" s="1795"/>
      <c r="K1749" s="1795"/>
      <c r="L1749" s="169"/>
      <c r="M1749" s="1783"/>
    </row>
    <row r="1750" spans="1:13" s="1526" customFormat="1" ht="45" x14ac:dyDescent="0.2">
      <c r="A1750" s="915" t="str">
        <f>'Orç - Prédio'!A309</f>
        <v>05.01.501.01</v>
      </c>
      <c r="B1750" s="927" t="str">
        <f>'Orç - Prédio'!B309</f>
        <v>SINAPI</v>
      </c>
      <c r="C1750" s="927" t="str">
        <f>'Orç - Prédio'!C309</f>
        <v>86901 MOD</v>
      </c>
      <c r="D1750" s="928" t="s">
        <v>6152</v>
      </c>
      <c r="E1750" s="916">
        <f>'Orç - Prédio'!E309</f>
        <v>16</v>
      </c>
      <c r="F1750" s="927" t="s">
        <v>5284</v>
      </c>
      <c r="G1750" s="917">
        <v>266.33999999999997</v>
      </c>
      <c r="H1750" s="918">
        <f>H1761</f>
        <v>4261.4399999999996</v>
      </c>
      <c r="I1750" s="1910" t="s">
        <v>9562</v>
      </c>
      <c r="J1750" s="1793"/>
      <c r="K1750" s="1793"/>
      <c r="L1750" s="141"/>
      <c r="M1750" s="1515"/>
    </row>
    <row r="1751" spans="1:13" s="156" customFormat="1" x14ac:dyDescent="0.2">
      <c r="A1751" s="2144">
        <v>4823</v>
      </c>
      <c r="B1751" s="2144"/>
      <c r="C1751" s="911" t="s">
        <v>4448</v>
      </c>
      <c r="D1751" s="182" t="s">
        <v>12865</v>
      </c>
      <c r="E1751" s="919">
        <v>0.52710000000000001</v>
      </c>
      <c r="F1751" s="920" t="s">
        <v>48</v>
      </c>
      <c r="G1751" s="921">
        <v>28.31</v>
      </c>
      <c r="H1751" s="922">
        <f t="shared" ref="H1751:H1756" si="136">ROUNDDOWN(G1751*E1751,2)</f>
        <v>14.92</v>
      </c>
      <c r="I1751" s="1642"/>
      <c r="J1751" s="1797"/>
      <c r="K1751" s="1797"/>
      <c r="L1751" s="1784"/>
      <c r="M1751" s="1785"/>
    </row>
    <row r="1752" spans="1:13" s="156" customFormat="1" ht="30" x14ac:dyDescent="0.2">
      <c r="A1752" s="2144">
        <v>20269</v>
      </c>
      <c r="B1752" s="2144"/>
      <c r="C1752" s="911" t="s">
        <v>4448</v>
      </c>
      <c r="D1752" s="182" t="s">
        <v>12454</v>
      </c>
      <c r="E1752" s="919">
        <v>1</v>
      </c>
      <c r="F1752" s="920" t="s">
        <v>39</v>
      </c>
      <c r="G1752" s="921">
        <v>71.91</v>
      </c>
      <c r="H1752" s="922">
        <f t="shared" si="136"/>
        <v>71.91</v>
      </c>
      <c r="I1752" s="1642"/>
      <c r="J1752" s="1797"/>
      <c r="K1752" s="1797"/>
      <c r="L1752" s="1784"/>
      <c r="M1752" s="1785"/>
    </row>
    <row r="1753" spans="1:13" s="156" customFormat="1" ht="45" x14ac:dyDescent="0.2">
      <c r="A1753" s="2144">
        <v>86881</v>
      </c>
      <c r="B1753" s="2144"/>
      <c r="C1753" s="911" t="s">
        <v>4448</v>
      </c>
      <c r="D1753" s="182" t="s">
        <v>9179</v>
      </c>
      <c r="E1753" s="919">
        <v>1</v>
      </c>
      <c r="F1753" s="920" t="s">
        <v>168</v>
      </c>
      <c r="G1753" s="921">
        <v>118.49</v>
      </c>
      <c r="H1753" s="922">
        <f t="shared" si="136"/>
        <v>118.49</v>
      </c>
      <c r="I1753" s="1642"/>
      <c r="J1753" s="1797"/>
      <c r="K1753" s="1797"/>
      <c r="L1753" s="1784"/>
      <c r="M1753" s="1785"/>
    </row>
    <row r="1754" spans="1:13" s="156" customFormat="1" ht="45" x14ac:dyDescent="0.2">
      <c r="A1754" s="2144">
        <v>86878</v>
      </c>
      <c r="B1754" s="2144"/>
      <c r="C1754" s="911" t="s">
        <v>4448</v>
      </c>
      <c r="D1754" s="182" t="s">
        <v>9176</v>
      </c>
      <c r="E1754" s="919">
        <v>1</v>
      </c>
      <c r="F1754" s="920" t="s">
        <v>168</v>
      </c>
      <c r="G1754" s="921">
        <v>42.56</v>
      </c>
      <c r="H1754" s="922">
        <f t="shared" si="136"/>
        <v>42.56</v>
      </c>
      <c r="I1754" s="1642"/>
      <c r="J1754" s="1797"/>
      <c r="K1754" s="1797"/>
      <c r="L1754" s="1784"/>
      <c r="M1754" s="1785"/>
    </row>
    <row r="1755" spans="1:13" s="156" customFormat="1" ht="30" x14ac:dyDescent="0.2">
      <c r="A1755" s="2144">
        <v>88274</v>
      </c>
      <c r="B1755" s="2144"/>
      <c r="C1755" s="911" t="s">
        <v>4448</v>
      </c>
      <c r="D1755" s="182" t="s">
        <v>4298</v>
      </c>
      <c r="E1755" s="919">
        <v>0.85</v>
      </c>
      <c r="F1755" s="920" t="s">
        <v>65</v>
      </c>
      <c r="G1755" s="921">
        <v>16.940000000000001</v>
      </c>
      <c r="H1755" s="922">
        <f t="shared" si="136"/>
        <v>14.39</v>
      </c>
      <c r="I1755" s="1642"/>
      <c r="J1755" s="1797"/>
      <c r="K1755" s="1797"/>
      <c r="L1755" s="1784"/>
      <c r="M1755" s="1785"/>
    </row>
    <row r="1756" spans="1:13" s="156" customFormat="1" ht="30" x14ac:dyDescent="0.2">
      <c r="A1756" s="2144">
        <v>88316</v>
      </c>
      <c r="B1756" s="2144"/>
      <c r="C1756" s="911" t="s">
        <v>4448</v>
      </c>
      <c r="D1756" s="182" t="s">
        <v>64</v>
      </c>
      <c r="E1756" s="919">
        <v>0.27</v>
      </c>
      <c r="F1756" s="920" t="s">
        <v>65</v>
      </c>
      <c r="G1756" s="921">
        <v>15.08</v>
      </c>
      <c r="H1756" s="922">
        <f t="shared" si="136"/>
        <v>4.07</v>
      </c>
      <c r="I1756" s="1642"/>
      <c r="J1756" s="1797"/>
      <c r="K1756" s="1797"/>
      <c r="L1756" s="1784"/>
      <c r="M1756" s="1785"/>
    </row>
    <row r="1757" spans="1:13" s="1517" customFormat="1" x14ac:dyDescent="0.25">
      <c r="A1757" s="179"/>
      <c r="B1757" s="179"/>
      <c r="C1757" s="923"/>
      <c r="D1757" s="2141" t="s">
        <v>124</v>
      </c>
      <c r="E1757" s="2141"/>
      <c r="F1757" s="2141"/>
      <c r="G1757" s="2141"/>
      <c r="H1757" s="267">
        <f>SUMIF(F1751:F1756,("h"),H1751:H1756)</f>
        <v>18.46</v>
      </c>
      <c r="I1757" s="1830"/>
      <c r="J1757" s="1795"/>
      <c r="K1757" s="1795"/>
      <c r="L1757" s="169"/>
      <c r="M1757" s="1783"/>
    </row>
    <row r="1758" spans="1:13" s="1517" customFormat="1" x14ac:dyDescent="0.25">
      <c r="A1758" s="179"/>
      <c r="B1758" s="179"/>
      <c r="C1758" s="923"/>
      <c r="D1758" s="2141" t="s">
        <v>125</v>
      </c>
      <c r="E1758" s="2141"/>
      <c r="F1758" s="2141"/>
      <c r="G1758" s="2141"/>
      <c r="H1758" s="267">
        <f>SUMIF(F1751:F1756,"&lt;&gt;h",H1751:H1756)</f>
        <v>247.88</v>
      </c>
      <c r="I1758" s="1830"/>
      <c r="J1758" s="1795"/>
      <c r="K1758" s="1795"/>
      <c r="L1758" s="169"/>
      <c r="M1758" s="1783"/>
    </row>
    <row r="1759" spans="1:13" s="1517" customFormat="1" x14ac:dyDescent="0.25">
      <c r="A1759" s="179"/>
      <c r="B1759" s="179"/>
      <c r="C1759" s="923"/>
      <c r="D1759" s="2142" t="s">
        <v>126</v>
      </c>
      <c r="E1759" s="2142"/>
      <c r="F1759" s="2142"/>
      <c r="G1759" s="2142"/>
      <c r="H1759" s="924">
        <f>SUM(H1757:H1758)</f>
        <v>266.33999999999997</v>
      </c>
      <c r="I1759" s="1830"/>
      <c r="J1759" s="1795"/>
      <c r="K1759" s="1795"/>
      <c r="L1759" s="169"/>
      <c r="M1759" s="1783"/>
    </row>
    <row r="1760" spans="1:13" s="1517" customFormat="1" x14ac:dyDescent="0.25">
      <c r="A1760" s="179"/>
      <c r="B1760" s="179"/>
      <c r="C1760" s="923"/>
      <c r="D1760" s="2141" t="s">
        <v>28</v>
      </c>
      <c r="E1760" s="2141"/>
      <c r="F1760" s="2141"/>
      <c r="G1760" s="2141"/>
      <c r="H1760" s="269">
        <f>E1750</f>
        <v>16</v>
      </c>
      <c r="I1760" s="1830"/>
      <c r="J1760" s="1795"/>
      <c r="K1760" s="1795"/>
      <c r="L1760" s="169"/>
      <c r="M1760" s="1783"/>
    </row>
    <row r="1761" spans="1:13" s="1517" customFormat="1" x14ac:dyDescent="0.25">
      <c r="A1761" s="179"/>
      <c r="B1761" s="179"/>
      <c r="C1761" s="923"/>
      <c r="D1761" s="2142" t="s">
        <v>127</v>
      </c>
      <c r="E1761" s="2142"/>
      <c r="F1761" s="2142"/>
      <c r="G1761" s="2142"/>
      <c r="H1761" s="924">
        <f>ROUND(H1759*H1760,2)</f>
        <v>4261.4399999999996</v>
      </c>
      <c r="I1761" s="1830"/>
      <c r="J1761" s="1795"/>
      <c r="K1761" s="1795"/>
      <c r="L1761" s="169"/>
      <c r="M1761" s="1783"/>
    </row>
    <row r="1762" spans="1:13" s="1517" customFormat="1" x14ac:dyDescent="0.25">
      <c r="A1762" s="179"/>
      <c r="B1762" s="179"/>
      <c r="C1762" s="1531"/>
      <c r="D1762" s="2141" t="s">
        <v>15335</v>
      </c>
      <c r="E1762" s="2141"/>
      <c r="F1762" s="2141"/>
      <c r="G1762" s="2141"/>
      <c r="H1762" s="267">
        <f>ROUND(H1759*$B$13,2)</f>
        <v>71.73</v>
      </c>
      <c r="I1762" s="1830"/>
      <c r="J1762" s="1795"/>
      <c r="K1762" s="1795"/>
      <c r="L1762" s="169"/>
      <c r="M1762" s="1783"/>
    </row>
    <row r="1763" spans="1:13" x14ac:dyDescent="0.25">
      <c r="A1763" s="179"/>
      <c r="B1763" s="179"/>
      <c r="C1763" s="1531"/>
      <c r="D1763" s="2142" t="s">
        <v>7898</v>
      </c>
      <c r="E1763" s="2142"/>
      <c r="F1763" s="2142"/>
      <c r="G1763" s="2142"/>
      <c r="H1763" s="1532">
        <f>H1762+H1759</f>
        <v>338.07</v>
      </c>
    </row>
    <row r="1764" spans="1:13" x14ac:dyDescent="0.25">
      <c r="A1764" s="910"/>
      <c r="B1764" s="910"/>
      <c r="C1764" s="910"/>
      <c r="F1764" s="925"/>
      <c r="G1764" s="926"/>
      <c r="H1764" s="910"/>
    </row>
    <row r="1765" spans="1:13" s="1517" customFormat="1" x14ac:dyDescent="0.25">
      <c r="A1765" s="146" t="s">
        <v>6</v>
      </c>
      <c r="B1765" s="2143" t="s">
        <v>7</v>
      </c>
      <c r="C1765" s="2143"/>
      <c r="D1765" s="753" t="s">
        <v>121</v>
      </c>
      <c r="E1765" s="278" t="s">
        <v>5282</v>
      </c>
      <c r="F1765" s="753" t="s">
        <v>31</v>
      </c>
      <c r="G1765" s="754" t="s">
        <v>122</v>
      </c>
      <c r="H1765" s="755" t="s">
        <v>123</v>
      </c>
      <c r="I1765" s="1830"/>
      <c r="J1765" s="1795"/>
      <c r="K1765" s="1795"/>
      <c r="L1765" s="169"/>
      <c r="M1765" s="1783"/>
    </row>
    <row r="1766" spans="1:13" s="1526" customFormat="1" ht="90" x14ac:dyDescent="0.2">
      <c r="A1766" s="756" t="str">
        <f>'Orç - Prédio'!A310</f>
        <v>05.01.501.02</v>
      </c>
      <c r="B1766" s="768" t="str">
        <f>'Orç - Prédio'!B310</f>
        <v>ORSE</v>
      </c>
      <c r="C1766" s="768">
        <f>'Orç - Prédio'!C310</f>
        <v>7759</v>
      </c>
      <c r="D1766" s="769" t="s">
        <v>8561</v>
      </c>
      <c r="E1766" s="757">
        <f>'Orç - Prédio'!E310</f>
        <v>4</v>
      </c>
      <c r="F1766" s="768" t="s">
        <v>5284</v>
      </c>
      <c r="G1766" s="758">
        <v>508.25000000000006</v>
      </c>
      <c r="H1766" s="759">
        <f>H1779</f>
        <v>2033</v>
      </c>
      <c r="I1766" s="1910" t="s">
        <v>14965</v>
      </c>
      <c r="J1766" s="1793"/>
      <c r="K1766" s="1793"/>
      <c r="L1766" s="141"/>
      <c r="M1766" s="1515"/>
    </row>
    <row r="1767" spans="1:13" s="156" customFormat="1" ht="60" x14ac:dyDescent="0.2">
      <c r="A1767" s="2144">
        <v>4351</v>
      </c>
      <c r="B1767" s="2144"/>
      <c r="C1767" s="752" t="s">
        <v>4448</v>
      </c>
      <c r="D1767" s="182" t="s">
        <v>13136</v>
      </c>
      <c r="E1767" s="760">
        <v>2</v>
      </c>
      <c r="F1767" s="761" t="s">
        <v>39</v>
      </c>
      <c r="G1767" s="762">
        <v>12.32</v>
      </c>
      <c r="H1767" s="763">
        <f t="shared" ref="H1767:H1774" si="137">ROUNDDOWN(G1767*E1767,2)</f>
        <v>24.64</v>
      </c>
      <c r="I1767" s="1642"/>
      <c r="J1767" s="1797"/>
      <c r="K1767" s="1797"/>
      <c r="L1767" s="1784"/>
      <c r="M1767" s="1785"/>
    </row>
    <row r="1768" spans="1:13" s="156" customFormat="1" ht="30" x14ac:dyDescent="0.2">
      <c r="A1768" s="2144">
        <v>38643</v>
      </c>
      <c r="B1768" s="2144"/>
      <c r="C1768" s="1495" t="s">
        <v>4448</v>
      </c>
      <c r="D1768" s="182" t="s">
        <v>14797</v>
      </c>
      <c r="E1768" s="1498">
        <v>1</v>
      </c>
      <c r="F1768" s="1499" t="s">
        <v>39</v>
      </c>
      <c r="G1768" s="1500">
        <v>27.92</v>
      </c>
      <c r="H1768" s="1501">
        <f>ROUNDDOWN(G1768*E1768,2)</f>
        <v>27.92</v>
      </c>
      <c r="I1768" s="1642"/>
      <c r="J1768" s="1797"/>
      <c r="K1768" s="1797"/>
      <c r="L1768" s="1784"/>
      <c r="M1768" s="1785"/>
    </row>
    <row r="1769" spans="1:13" s="156" customFormat="1" ht="30" x14ac:dyDescent="0.2">
      <c r="A1769" s="2144">
        <v>3590</v>
      </c>
      <c r="B1769" s="2144"/>
      <c r="C1769" s="752" t="s">
        <v>5281</v>
      </c>
      <c r="D1769" s="779" t="s">
        <v>6018</v>
      </c>
      <c r="E1769" s="760">
        <v>1</v>
      </c>
      <c r="F1769" s="781" t="s">
        <v>31</v>
      </c>
      <c r="G1769" s="367">
        <v>152.9</v>
      </c>
      <c r="H1769" s="763">
        <f>ROUNDDOWN(G1769*E1769,2)</f>
        <v>152.9</v>
      </c>
      <c r="I1769" s="1642"/>
      <c r="J1769" s="1797"/>
      <c r="K1769" s="1797"/>
      <c r="L1769" s="1784"/>
      <c r="M1769" s="1785"/>
    </row>
    <row r="1770" spans="1:13" s="156" customFormat="1" ht="45" x14ac:dyDescent="0.2">
      <c r="A1770" s="2144">
        <v>7388</v>
      </c>
      <c r="B1770" s="2144"/>
      <c r="C1770" s="752" t="s">
        <v>5281</v>
      </c>
      <c r="D1770" s="779" t="s">
        <v>6019</v>
      </c>
      <c r="E1770" s="760">
        <v>1</v>
      </c>
      <c r="F1770" s="781" t="s">
        <v>31</v>
      </c>
      <c r="G1770" s="367">
        <v>97.78</v>
      </c>
      <c r="H1770" s="763">
        <f>ROUNDDOWN(G1770*E1770,2)</f>
        <v>97.78</v>
      </c>
      <c r="I1770" s="1642"/>
      <c r="J1770" s="1797"/>
      <c r="K1770" s="1797"/>
      <c r="L1770" s="1784"/>
      <c r="M1770" s="1785"/>
    </row>
    <row r="1771" spans="1:13" s="156" customFormat="1" ht="30" x14ac:dyDescent="0.2">
      <c r="A1771" s="2144">
        <v>11683</v>
      </c>
      <c r="B1771" s="2144"/>
      <c r="C1771" s="752" t="s">
        <v>4448</v>
      </c>
      <c r="D1771" s="182" t="s">
        <v>11673</v>
      </c>
      <c r="E1771" s="760">
        <v>1</v>
      </c>
      <c r="F1771" s="761" t="s">
        <v>39</v>
      </c>
      <c r="G1771" s="762">
        <v>25.61</v>
      </c>
      <c r="H1771" s="763">
        <f t="shared" si="137"/>
        <v>25.61</v>
      </c>
      <c r="I1771" s="1642"/>
      <c r="J1771" s="1797"/>
      <c r="K1771" s="1797"/>
      <c r="L1771" s="1784"/>
      <c r="M1771" s="1785"/>
    </row>
    <row r="1772" spans="1:13" s="156" customFormat="1" ht="45" x14ac:dyDescent="0.2">
      <c r="A1772" s="2144">
        <v>86881</v>
      </c>
      <c r="B1772" s="2144"/>
      <c r="C1772" s="911" t="s">
        <v>4448</v>
      </c>
      <c r="D1772" s="182" t="s">
        <v>9179</v>
      </c>
      <c r="E1772" s="919">
        <v>1</v>
      </c>
      <c r="F1772" s="920" t="s">
        <v>168</v>
      </c>
      <c r="G1772" s="921">
        <v>118.49</v>
      </c>
      <c r="H1772" s="922">
        <f t="shared" si="137"/>
        <v>118.49</v>
      </c>
      <c r="I1772" s="1642"/>
      <c r="J1772" s="1797"/>
      <c r="K1772" s="1797"/>
      <c r="L1772" s="1784"/>
      <c r="M1772" s="1785"/>
    </row>
    <row r="1773" spans="1:13" s="156" customFormat="1" ht="30" x14ac:dyDescent="0.2">
      <c r="A1773" s="2144">
        <v>88267</v>
      </c>
      <c r="B1773" s="2144"/>
      <c r="C1773" s="752" t="s">
        <v>4448</v>
      </c>
      <c r="D1773" s="182" t="s">
        <v>83</v>
      </c>
      <c r="E1773" s="760">
        <v>1.75</v>
      </c>
      <c r="F1773" s="761" t="s">
        <v>65</v>
      </c>
      <c r="G1773" s="762">
        <v>19.73</v>
      </c>
      <c r="H1773" s="763">
        <f t="shared" si="137"/>
        <v>34.520000000000003</v>
      </c>
      <c r="I1773" s="1642"/>
      <c r="J1773" s="1797"/>
      <c r="K1773" s="1797"/>
      <c r="L1773" s="1784"/>
      <c r="M1773" s="1785"/>
    </row>
    <row r="1774" spans="1:13" s="156" customFormat="1" ht="30" x14ac:dyDescent="0.2">
      <c r="A1774" s="2144">
        <v>88316</v>
      </c>
      <c r="B1774" s="2144"/>
      <c r="C1774" s="752" t="s">
        <v>4448</v>
      </c>
      <c r="D1774" s="182" t="s">
        <v>64</v>
      </c>
      <c r="E1774" s="760">
        <v>1.75</v>
      </c>
      <c r="F1774" s="761" t="s">
        <v>65</v>
      </c>
      <c r="G1774" s="762">
        <v>15.08</v>
      </c>
      <c r="H1774" s="763">
        <f t="shared" si="137"/>
        <v>26.39</v>
      </c>
      <c r="I1774" s="1642"/>
      <c r="J1774" s="1797"/>
      <c r="K1774" s="1797"/>
      <c r="L1774" s="1784"/>
      <c r="M1774" s="1785"/>
    </row>
    <row r="1775" spans="1:13" s="1517" customFormat="1" x14ac:dyDescent="0.25">
      <c r="A1775" s="179"/>
      <c r="B1775" s="179"/>
      <c r="C1775" s="764"/>
      <c r="D1775" s="2141" t="s">
        <v>124</v>
      </c>
      <c r="E1775" s="2141"/>
      <c r="F1775" s="2141"/>
      <c r="G1775" s="2141"/>
      <c r="H1775" s="267">
        <f>SUMIF(F1767:F1774,("h"),H1767:H1774)</f>
        <v>60.910000000000004</v>
      </c>
      <c r="I1775" s="1830"/>
      <c r="J1775" s="1795"/>
      <c r="K1775" s="1795"/>
      <c r="L1775" s="169"/>
      <c r="M1775" s="1783"/>
    </row>
    <row r="1776" spans="1:13" s="1517" customFormat="1" x14ac:dyDescent="0.25">
      <c r="A1776" s="179"/>
      <c r="B1776" s="179"/>
      <c r="C1776" s="764"/>
      <c r="D1776" s="2141" t="s">
        <v>125</v>
      </c>
      <c r="E1776" s="2141"/>
      <c r="F1776" s="2141"/>
      <c r="G1776" s="2141"/>
      <c r="H1776" s="267">
        <f>SUMIF(F1767:F1774,"&lt;&gt;h",H1767:H1774)</f>
        <v>447.34000000000003</v>
      </c>
      <c r="I1776" s="1830"/>
      <c r="J1776" s="1795"/>
      <c r="K1776" s="1795"/>
      <c r="L1776" s="169"/>
      <c r="M1776" s="1783"/>
    </row>
    <row r="1777" spans="1:13" s="1517" customFormat="1" x14ac:dyDescent="0.25">
      <c r="A1777" s="179"/>
      <c r="B1777" s="179"/>
      <c r="C1777" s="764"/>
      <c r="D1777" s="2142" t="s">
        <v>126</v>
      </c>
      <c r="E1777" s="2142"/>
      <c r="F1777" s="2142"/>
      <c r="G1777" s="2142"/>
      <c r="H1777" s="765">
        <f>SUM(H1775:H1776)</f>
        <v>508.25000000000006</v>
      </c>
      <c r="I1777" s="1830"/>
      <c r="J1777" s="1795"/>
      <c r="K1777" s="1795"/>
      <c r="L1777" s="169"/>
      <c r="M1777" s="1783"/>
    </row>
    <row r="1778" spans="1:13" s="1517" customFormat="1" x14ac:dyDescent="0.25">
      <c r="A1778" s="179"/>
      <c r="B1778" s="179"/>
      <c r="C1778" s="764"/>
      <c r="D1778" s="2141" t="s">
        <v>28</v>
      </c>
      <c r="E1778" s="2141"/>
      <c r="F1778" s="2141"/>
      <c r="G1778" s="2141"/>
      <c r="H1778" s="269">
        <f>E1766</f>
        <v>4</v>
      </c>
      <c r="I1778" s="1830"/>
      <c r="J1778" s="1795"/>
      <c r="K1778" s="1795"/>
      <c r="L1778" s="169"/>
      <c r="M1778" s="1783"/>
    </row>
    <row r="1779" spans="1:13" s="1517" customFormat="1" x14ac:dyDescent="0.25">
      <c r="A1779" s="179"/>
      <c r="B1779" s="179"/>
      <c r="C1779" s="764"/>
      <c r="D1779" s="2142" t="s">
        <v>127</v>
      </c>
      <c r="E1779" s="2142"/>
      <c r="F1779" s="2142"/>
      <c r="G1779" s="2142"/>
      <c r="H1779" s="765">
        <f>ROUND(H1777*H1778,2)</f>
        <v>2033</v>
      </c>
      <c r="I1779" s="1830"/>
      <c r="J1779" s="1795"/>
      <c r="K1779" s="1795"/>
      <c r="L1779" s="169"/>
      <c r="M1779" s="1783"/>
    </row>
    <row r="1780" spans="1:13" s="1517" customFormat="1" x14ac:dyDescent="0.25">
      <c r="A1780" s="179"/>
      <c r="B1780" s="179"/>
      <c r="C1780" s="1531"/>
      <c r="D1780" s="2141" t="s">
        <v>15335</v>
      </c>
      <c r="E1780" s="2141"/>
      <c r="F1780" s="2141"/>
      <c r="G1780" s="2141"/>
      <c r="H1780" s="267">
        <f>ROUND(H1777*$B$13,2)</f>
        <v>136.87</v>
      </c>
      <c r="I1780" s="1830"/>
      <c r="J1780" s="1795"/>
      <c r="K1780" s="1795"/>
      <c r="L1780" s="169"/>
      <c r="M1780" s="1783"/>
    </row>
    <row r="1781" spans="1:13" x14ac:dyDescent="0.25">
      <c r="A1781" s="179"/>
      <c r="B1781" s="179"/>
      <c r="C1781" s="1531"/>
      <c r="D1781" s="2142" t="s">
        <v>7898</v>
      </c>
      <c r="E1781" s="2142"/>
      <c r="F1781" s="2142"/>
      <c r="G1781" s="2142"/>
      <c r="H1781" s="1532">
        <f>H1780+H1777</f>
        <v>645.12000000000012</v>
      </c>
    </row>
    <row r="1782" spans="1:13" x14ac:dyDescent="0.25">
      <c r="A1782" s="751"/>
      <c r="B1782" s="751"/>
      <c r="C1782" s="751"/>
      <c r="F1782" s="766"/>
      <c r="G1782" s="767"/>
      <c r="H1782" s="751"/>
    </row>
    <row r="1783" spans="1:13" s="1517" customFormat="1" x14ac:dyDescent="0.25">
      <c r="A1783" s="146" t="s">
        <v>6</v>
      </c>
      <c r="B1783" s="2143" t="s">
        <v>7</v>
      </c>
      <c r="C1783" s="2143"/>
      <c r="D1783" s="1518" t="s">
        <v>121</v>
      </c>
      <c r="E1783" s="278" t="s">
        <v>5282</v>
      </c>
      <c r="F1783" s="1518" t="s">
        <v>31</v>
      </c>
      <c r="G1783" s="1519" t="s">
        <v>122</v>
      </c>
      <c r="H1783" s="1520" t="s">
        <v>123</v>
      </c>
      <c r="I1783" s="1830"/>
      <c r="J1783" s="1795"/>
      <c r="K1783" s="1795"/>
      <c r="L1783" s="169"/>
      <c r="M1783" s="1783"/>
    </row>
    <row r="1784" spans="1:13" s="1526" customFormat="1" ht="30" x14ac:dyDescent="0.2">
      <c r="A1784" s="1521" t="str">
        <f>'Orç - Prédio'!A313</f>
        <v>05.01.503.03</v>
      </c>
      <c r="B1784" s="1521" t="str">
        <f>'Orç - Prédio'!B313</f>
        <v>ORSE</v>
      </c>
      <c r="C1784" s="1521">
        <f>'Orç - Prédio'!C313</f>
        <v>3707</v>
      </c>
      <c r="D1784" s="1522" t="s">
        <v>7015</v>
      </c>
      <c r="E1784" s="1523">
        <f>'Orç - Prédio'!E313</f>
        <v>18</v>
      </c>
      <c r="F1784" s="1521" t="s">
        <v>5284</v>
      </c>
      <c r="G1784" s="1524">
        <v>74.400000000000006</v>
      </c>
      <c r="H1784" s="1525">
        <f>H1792</f>
        <v>1339.2</v>
      </c>
      <c r="I1784" s="1910" t="s">
        <v>14965</v>
      </c>
      <c r="J1784" s="1793"/>
      <c r="K1784" s="1793"/>
      <c r="L1784" s="141"/>
      <c r="M1784" s="1515"/>
    </row>
    <row r="1785" spans="1:13" s="156" customFormat="1" ht="60" x14ac:dyDescent="0.2">
      <c r="A1785" s="2144">
        <v>2898</v>
      </c>
      <c r="B1785" s="2144"/>
      <c r="C1785" s="1516" t="s">
        <v>5281</v>
      </c>
      <c r="D1785" s="1497" t="s">
        <v>7018</v>
      </c>
      <c r="E1785" s="1527">
        <v>1</v>
      </c>
      <c r="F1785" s="1607" t="s">
        <v>31</v>
      </c>
      <c r="G1785" s="367">
        <v>67.45</v>
      </c>
      <c r="H1785" s="1530">
        <f>ROUNDDOWN(G1785*E1785,2)</f>
        <v>67.45</v>
      </c>
      <c r="I1785" s="1642"/>
      <c r="J1785" s="1797"/>
      <c r="K1785" s="1797"/>
      <c r="L1785" s="1784"/>
      <c r="M1785" s="1785"/>
    </row>
    <row r="1786" spans="1:13" s="156" customFormat="1" ht="30" x14ac:dyDescent="0.2">
      <c r="A1786" s="2144">
        <v>88267</v>
      </c>
      <c r="B1786" s="2144"/>
      <c r="C1786" s="1516" t="s">
        <v>4448</v>
      </c>
      <c r="D1786" s="182" t="s">
        <v>83</v>
      </c>
      <c r="E1786" s="1527">
        <v>0.2</v>
      </c>
      <c r="F1786" s="1607" t="s">
        <v>65</v>
      </c>
      <c r="G1786" s="1529">
        <v>19.73</v>
      </c>
      <c r="H1786" s="1530">
        <f>ROUNDDOWN(G1786*E1786,2)</f>
        <v>3.94</v>
      </c>
      <c r="I1786" s="1642"/>
      <c r="J1786" s="1797"/>
      <c r="K1786" s="1797"/>
      <c r="L1786" s="1784"/>
      <c r="M1786" s="1785"/>
    </row>
    <row r="1787" spans="1:13" s="156" customFormat="1" ht="30" x14ac:dyDescent="0.2">
      <c r="A1787" s="2144">
        <v>88316</v>
      </c>
      <c r="B1787" s="2144"/>
      <c r="C1787" s="1516" t="s">
        <v>4448</v>
      </c>
      <c r="D1787" s="182" t="s">
        <v>64</v>
      </c>
      <c r="E1787" s="1527">
        <v>0.2</v>
      </c>
      <c r="F1787" s="1607" t="s">
        <v>65</v>
      </c>
      <c r="G1787" s="1529">
        <v>15.08</v>
      </c>
      <c r="H1787" s="1530">
        <f>ROUNDDOWN(G1787*E1787,2)</f>
        <v>3.01</v>
      </c>
      <c r="I1787" s="1642"/>
      <c r="J1787" s="1797"/>
      <c r="K1787" s="1797"/>
      <c r="L1787" s="1784"/>
      <c r="M1787" s="1785"/>
    </row>
    <row r="1788" spans="1:13" s="1517" customFormat="1" x14ac:dyDescent="0.25">
      <c r="A1788" s="179"/>
      <c r="B1788" s="179"/>
      <c r="C1788" s="1531"/>
      <c r="D1788" s="2141" t="s">
        <v>124</v>
      </c>
      <c r="E1788" s="2141"/>
      <c r="F1788" s="2141"/>
      <c r="G1788" s="2141"/>
      <c r="H1788" s="267">
        <f>SUMIF(F1785:F1787,("h"),H1785:H1787)</f>
        <v>6.9499999999999993</v>
      </c>
      <c r="I1788" s="1830"/>
      <c r="J1788" s="1795"/>
      <c r="K1788" s="1795"/>
      <c r="L1788" s="169"/>
      <c r="M1788" s="1783"/>
    </row>
    <row r="1789" spans="1:13" s="1517" customFormat="1" x14ac:dyDescent="0.25">
      <c r="A1789" s="179"/>
      <c r="B1789" s="179"/>
      <c r="C1789" s="1531"/>
      <c r="D1789" s="2141" t="s">
        <v>125</v>
      </c>
      <c r="E1789" s="2141"/>
      <c r="F1789" s="2141"/>
      <c r="G1789" s="2141"/>
      <c r="H1789" s="267">
        <f>SUMIF(F1785:F1787,"&lt;&gt;h",H1785:H1787)</f>
        <v>67.45</v>
      </c>
      <c r="I1789" s="1830"/>
      <c r="J1789" s="1795"/>
      <c r="K1789" s="1795"/>
      <c r="L1789" s="169"/>
      <c r="M1789" s="1783"/>
    </row>
    <row r="1790" spans="1:13" s="1517" customFormat="1" x14ac:dyDescent="0.25">
      <c r="A1790" s="179"/>
      <c r="B1790" s="179"/>
      <c r="C1790" s="1531"/>
      <c r="D1790" s="2142" t="s">
        <v>126</v>
      </c>
      <c r="E1790" s="2142"/>
      <c r="F1790" s="2142"/>
      <c r="G1790" s="2142"/>
      <c r="H1790" s="1532">
        <f>SUM(H1788:H1789)</f>
        <v>74.400000000000006</v>
      </c>
      <c r="I1790" s="1830"/>
      <c r="J1790" s="1795"/>
      <c r="K1790" s="1795"/>
      <c r="L1790" s="169"/>
      <c r="M1790" s="1783"/>
    </row>
    <row r="1791" spans="1:13" s="1517" customFormat="1" x14ac:dyDescent="0.25">
      <c r="A1791" s="179"/>
      <c r="B1791" s="179"/>
      <c r="C1791" s="1531"/>
      <c r="D1791" s="2141" t="s">
        <v>28</v>
      </c>
      <c r="E1791" s="2141"/>
      <c r="F1791" s="2141"/>
      <c r="G1791" s="2141"/>
      <c r="H1791" s="269">
        <f>E1784</f>
        <v>18</v>
      </c>
      <c r="I1791" s="1830"/>
      <c r="J1791" s="1795"/>
      <c r="K1791" s="1795"/>
      <c r="L1791" s="169"/>
      <c r="M1791" s="1783"/>
    </row>
    <row r="1792" spans="1:13" s="1517" customFormat="1" x14ac:dyDescent="0.25">
      <c r="A1792" s="179"/>
      <c r="B1792" s="179"/>
      <c r="C1792" s="1531"/>
      <c r="D1792" s="2142" t="s">
        <v>127</v>
      </c>
      <c r="E1792" s="2142"/>
      <c r="F1792" s="2142"/>
      <c r="G1792" s="2142"/>
      <c r="H1792" s="1532">
        <f>ROUND(H1790*H1791,2)</f>
        <v>1339.2</v>
      </c>
      <c r="I1792" s="1830"/>
      <c r="J1792" s="1795"/>
      <c r="K1792" s="1795"/>
      <c r="L1792" s="169"/>
      <c r="M1792" s="1783"/>
    </row>
    <row r="1793" spans="1:13" s="1517" customFormat="1" x14ac:dyDescent="0.25">
      <c r="A1793" s="179"/>
      <c r="B1793" s="179"/>
      <c r="C1793" s="1531"/>
      <c r="D1793" s="2141" t="s">
        <v>15335</v>
      </c>
      <c r="E1793" s="2141"/>
      <c r="F1793" s="2141"/>
      <c r="G1793" s="2141"/>
      <c r="H1793" s="267">
        <f>ROUND(H1790*$B$13,2)</f>
        <v>20.04</v>
      </c>
      <c r="I1793" s="1830"/>
      <c r="J1793" s="1795"/>
      <c r="K1793" s="1795"/>
      <c r="L1793" s="169"/>
      <c r="M1793" s="1783"/>
    </row>
    <row r="1794" spans="1:13" x14ac:dyDescent="0.25">
      <c r="A1794" s="179"/>
      <c r="B1794" s="179"/>
      <c r="C1794" s="1531"/>
      <c r="D1794" s="2142" t="s">
        <v>7898</v>
      </c>
      <c r="E1794" s="2142"/>
      <c r="F1794" s="2142"/>
      <c r="G1794" s="2142"/>
      <c r="H1794" s="1532">
        <f>H1793+H1790</f>
        <v>94.44</v>
      </c>
    </row>
    <row r="1795" spans="1:13" x14ac:dyDescent="0.25">
      <c r="A1795" s="1514"/>
      <c r="B1795" s="1514"/>
      <c r="C1795" s="1514"/>
      <c r="F1795" s="1533"/>
      <c r="G1795" s="1534"/>
      <c r="H1795" s="1514"/>
    </row>
    <row r="1796" spans="1:13" s="1517" customFormat="1" x14ac:dyDescent="0.25">
      <c r="A1796" s="146" t="s">
        <v>6</v>
      </c>
      <c r="B1796" s="2143" t="s">
        <v>7</v>
      </c>
      <c r="C1796" s="2143"/>
      <c r="D1796" s="1518" t="s">
        <v>121</v>
      </c>
      <c r="E1796" s="278" t="s">
        <v>5282</v>
      </c>
      <c r="F1796" s="1518" t="s">
        <v>31</v>
      </c>
      <c r="G1796" s="1519" t="s">
        <v>122</v>
      </c>
      <c r="H1796" s="1520" t="s">
        <v>123</v>
      </c>
      <c r="I1796" s="1830"/>
      <c r="J1796" s="1795"/>
      <c r="K1796" s="1795"/>
      <c r="L1796" s="169"/>
      <c r="M1796" s="1783"/>
    </row>
    <row r="1797" spans="1:13" s="1526" customFormat="1" ht="30" x14ac:dyDescent="0.2">
      <c r="A1797" s="1521" t="str">
        <f>'Orç - Prédio'!A314</f>
        <v>05.01.506</v>
      </c>
      <c r="B1797" s="1521" t="str">
        <f>'Orç - Prédio'!B314</f>
        <v>ORSE</v>
      </c>
      <c r="C1797" s="1521">
        <f>'Orç - Prédio'!C314</f>
        <v>802</v>
      </c>
      <c r="D1797" s="1522" t="s">
        <v>7035</v>
      </c>
      <c r="E1797" s="1523">
        <f>'Orç - Prédio'!E314</f>
        <v>4</v>
      </c>
      <c r="F1797" s="1521" t="s">
        <v>5284</v>
      </c>
      <c r="G1797" s="1524">
        <v>681.31999999999994</v>
      </c>
      <c r="H1797" s="1525">
        <f>H1807</f>
        <v>2725.28</v>
      </c>
      <c r="I1797" s="1910" t="s">
        <v>14965</v>
      </c>
      <c r="J1797" s="1793"/>
      <c r="K1797" s="1793"/>
      <c r="L1797" s="141"/>
      <c r="M1797" s="1515"/>
    </row>
    <row r="1798" spans="1:13" s="156" customFormat="1" x14ac:dyDescent="0.2">
      <c r="A1798" s="2144">
        <v>277</v>
      </c>
      <c r="B1798" s="2144"/>
      <c r="C1798" s="1516" t="s">
        <v>5281</v>
      </c>
      <c r="D1798" s="1497" t="s">
        <v>7036</v>
      </c>
      <c r="E1798" s="1527">
        <v>1</v>
      </c>
      <c r="F1798" s="1607" t="s">
        <v>31</v>
      </c>
      <c r="G1798" s="367">
        <v>626.04</v>
      </c>
      <c r="H1798" s="1530">
        <f>ROUNDDOWN(G1798*E1798,2)</f>
        <v>626.04</v>
      </c>
      <c r="I1798" s="1642"/>
      <c r="J1798" s="1797"/>
      <c r="K1798" s="1797"/>
      <c r="L1798" s="1784"/>
      <c r="M1798" s="1785"/>
    </row>
    <row r="1799" spans="1:13" s="156" customFormat="1" ht="30" x14ac:dyDescent="0.2">
      <c r="A1799" s="2144">
        <v>3148</v>
      </c>
      <c r="B1799" s="2144"/>
      <c r="C1799" s="1516" t="s">
        <v>4448</v>
      </c>
      <c r="D1799" s="182" t="s">
        <v>11906</v>
      </c>
      <c r="E1799" s="1527">
        <f>0.56/50</f>
        <v>1.1200000000000002E-2</v>
      </c>
      <c r="F1799" s="1607" t="s">
        <v>39</v>
      </c>
      <c r="G1799" s="1529">
        <v>13.2</v>
      </c>
      <c r="H1799" s="1530">
        <f>ROUNDDOWN(G1799*E1799,2)</f>
        <v>0.14000000000000001</v>
      </c>
      <c r="I1799" s="1642"/>
      <c r="J1799" s="1797"/>
      <c r="K1799" s="1797"/>
      <c r="L1799" s="1784"/>
      <c r="M1799" s="1785"/>
    </row>
    <row r="1800" spans="1:13" s="156" customFormat="1" ht="30" x14ac:dyDescent="0.2">
      <c r="A1800" s="2144">
        <v>88264</v>
      </c>
      <c r="B1800" s="2144"/>
      <c r="C1800" s="1516" t="s">
        <v>4448</v>
      </c>
      <c r="D1800" s="182" t="s">
        <v>81</v>
      </c>
      <c r="E1800" s="1527">
        <v>1</v>
      </c>
      <c r="F1800" s="1607" t="s">
        <v>65</v>
      </c>
      <c r="G1800" s="1529">
        <v>20.329999999999998</v>
      </c>
      <c r="H1800" s="1530">
        <f>ROUNDDOWN(G1800*E1800,2)</f>
        <v>20.329999999999998</v>
      </c>
      <c r="I1800" s="1642"/>
      <c r="J1800" s="1797"/>
      <c r="K1800" s="1797"/>
      <c r="L1800" s="1784"/>
      <c r="M1800" s="1785"/>
    </row>
    <row r="1801" spans="1:13" s="156" customFormat="1" ht="30" x14ac:dyDescent="0.2">
      <c r="A1801" s="2144">
        <v>88267</v>
      </c>
      <c r="B1801" s="2144"/>
      <c r="C1801" s="1516" t="s">
        <v>4448</v>
      </c>
      <c r="D1801" s="182" t="s">
        <v>83</v>
      </c>
      <c r="E1801" s="1527">
        <v>1</v>
      </c>
      <c r="F1801" s="1607" t="s">
        <v>65</v>
      </c>
      <c r="G1801" s="1529">
        <v>19.73</v>
      </c>
      <c r="H1801" s="1530">
        <f>ROUNDDOWN(G1801*E1801,2)</f>
        <v>19.73</v>
      </c>
      <c r="I1801" s="1642"/>
      <c r="J1801" s="1797"/>
      <c r="K1801" s="1797"/>
      <c r="L1801" s="1784"/>
      <c r="M1801" s="1785"/>
    </row>
    <row r="1802" spans="1:13" s="156" customFormat="1" ht="30" x14ac:dyDescent="0.2">
      <c r="A1802" s="2144">
        <v>88316</v>
      </c>
      <c r="B1802" s="2144"/>
      <c r="C1802" s="1516" t="s">
        <v>4448</v>
      </c>
      <c r="D1802" s="182" t="s">
        <v>64</v>
      </c>
      <c r="E1802" s="1527">
        <v>1</v>
      </c>
      <c r="F1802" s="1607" t="s">
        <v>65</v>
      </c>
      <c r="G1802" s="1529">
        <v>15.08</v>
      </c>
      <c r="H1802" s="1530">
        <f>ROUNDDOWN(G1802*E1802,2)</f>
        <v>15.08</v>
      </c>
      <c r="I1802" s="1642"/>
      <c r="J1802" s="1797"/>
      <c r="K1802" s="1797"/>
      <c r="L1802" s="1784"/>
      <c r="M1802" s="1785"/>
    </row>
    <row r="1803" spans="1:13" s="1517" customFormat="1" x14ac:dyDescent="0.25">
      <c r="A1803" s="179"/>
      <c r="B1803" s="179"/>
      <c r="C1803" s="1531"/>
      <c r="D1803" s="2141" t="s">
        <v>124</v>
      </c>
      <c r="E1803" s="2141"/>
      <c r="F1803" s="2141"/>
      <c r="G1803" s="2141"/>
      <c r="H1803" s="267">
        <f>SUMIF(F1798:F1802,("h"),H1798:H1802)</f>
        <v>55.14</v>
      </c>
      <c r="I1803" s="1830"/>
      <c r="J1803" s="1795"/>
      <c r="K1803" s="1795"/>
      <c r="L1803" s="169"/>
      <c r="M1803" s="1783"/>
    </row>
    <row r="1804" spans="1:13" s="1517" customFormat="1" x14ac:dyDescent="0.25">
      <c r="A1804" s="179"/>
      <c r="B1804" s="179"/>
      <c r="C1804" s="1531"/>
      <c r="D1804" s="2141" t="s">
        <v>125</v>
      </c>
      <c r="E1804" s="2141"/>
      <c r="F1804" s="2141"/>
      <c r="G1804" s="2141"/>
      <c r="H1804" s="267">
        <f>SUMIF(F1798:F1802,"&lt;&gt;h",H1798:H1802)</f>
        <v>626.17999999999995</v>
      </c>
      <c r="I1804" s="1830"/>
      <c r="J1804" s="1795"/>
      <c r="K1804" s="1795"/>
      <c r="L1804" s="169"/>
      <c r="M1804" s="1783"/>
    </row>
    <row r="1805" spans="1:13" s="1517" customFormat="1" x14ac:dyDescent="0.25">
      <c r="A1805" s="179"/>
      <c r="B1805" s="179"/>
      <c r="C1805" s="1531"/>
      <c r="D1805" s="2142" t="s">
        <v>126</v>
      </c>
      <c r="E1805" s="2142"/>
      <c r="F1805" s="2142"/>
      <c r="G1805" s="2142"/>
      <c r="H1805" s="1532">
        <f>SUM(H1803:H1804)</f>
        <v>681.31999999999994</v>
      </c>
      <c r="I1805" s="1830"/>
      <c r="J1805" s="1795"/>
      <c r="K1805" s="1795"/>
      <c r="L1805" s="169"/>
      <c r="M1805" s="1783"/>
    </row>
    <row r="1806" spans="1:13" s="1517" customFormat="1" x14ac:dyDescent="0.25">
      <c r="A1806" s="179"/>
      <c r="B1806" s="179"/>
      <c r="C1806" s="1531"/>
      <c r="D1806" s="2141" t="s">
        <v>28</v>
      </c>
      <c r="E1806" s="2141"/>
      <c r="F1806" s="2141"/>
      <c r="G1806" s="2141"/>
      <c r="H1806" s="269">
        <f>E1797</f>
        <v>4</v>
      </c>
      <c r="I1806" s="1830"/>
      <c r="J1806" s="1795"/>
      <c r="K1806" s="1795"/>
      <c r="L1806" s="169"/>
      <c r="M1806" s="1783"/>
    </row>
    <row r="1807" spans="1:13" s="1517" customFormat="1" x14ac:dyDescent="0.25">
      <c r="A1807" s="179"/>
      <c r="B1807" s="179"/>
      <c r="C1807" s="1531"/>
      <c r="D1807" s="2142" t="s">
        <v>127</v>
      </c>
      <c r="E1807" s="2142"/>
      <c r="F1807" s="2142"/>
      <c r="G1807" s="2142"/>
      <c r="H1807" s="1532">
        <f>ROUND(H1805*H1806,2)</f>
        <v>2725.28</v>
      </c>
      <c r="I1807" s="1830"/>
      <c r="J1807" s="1795"/>
      <c r="K1807" s="1795"/>
      <c r="L1807" s="169"/>
      <c r="M1807" s="1783"/>
    </row>
    <row r="1808" spans="1:13" s="1517" customFormat="1" x14ac:dyDescent="0.25">
      <c r="A1808" s="179"/>
      <c r="B1808" s="179"/>
      <c r="C1808" s="1531"/>
      <c r="D1808" s="2141" t="s">
        <v>15335</v>
      </c>
      <c r="E1808" s="2141"/>
      <c r="F1808" s="2141"/>
      <c r="G1808" s="2141"/>
      <c r="H1808" s="267">
        <f>ROUND(H1805*$B$13,2)</f>
        <v>183.48</v>
      </c>
      <c r="I1808" s="1830"/>
      <c r="J1808" s="1795"/>
      <c r="K1808" s="1795"/>
      <c r="L1808" s="169"/>
      <c r="M1808" s="1783"/>
    </row>
    <row r="1809" spans="1:13" x14ac:dyDescent="0.25">
      <c r="A1809" s="179"/>
      <c r="B1809" s="179"/>
      <c r="C1809" s="1531"/>
      <c r="D1809" s="2142" t="s">
        <v>7898</v>
      </c>
      <c r="E1809" s="2142"/>
      <c r="F1809" s="2142"/>
      <c r="G1809" s="2142"/>
      <c r="H1809" s="1532">
        <f>H1808+H1805</f>
        <v>864.8</v>
      </c>
    </row>
    <row r="1810" spans="1:13" x14ac:dyDescent="0.25">
      <c r="A1810" s="1514"/>
      <c r="B1810" s="1514"/>
      <c r="C1810" s="1514"/>
      <c r="F1810" s="1533"/>
      <c r="G1810" s="1534"/>
      <c r="H1810" s="1514"/>
    </row>
    <row r="1811" spans="1:13" s="1517" customFormat="1" x14ac:dyDescent="0.25">
      <c r="A1811" s="146" t="s">
        <v>6</v>
      </c>
      <c r="B1811" s="2143" t="s">
        <v>7</v>
      </c>
      <c r="C1811" s="2143"/>
      <c r="D1811" s="772" t="s">
        <v>121</v>
      </c>
      <c r="E1811" s="278" t="s">
        <v>5282</v>
      </c>
      <c r="F1811" s="772" t="s">
        <v>31</v>
      </c>
      <c r="G1811" s="773" t="s">
        <v>122</v>
      </c>
      <c r="H1811" s="774" t="s">
        <v>123</v>
      </c>
      <c r="I1811" s="1830"/>
      <c r="J1811" s="1795"/>
      <c r="K1811" s="1795"/>
      <c r="L1811" s="169"/>
      <c r="M1811" s="1783"/>
    </row>
    <row r="1812" spans="1:13" s="1526" customFormat="1" ht="60" x14ac:dyDescent="0.2">
      <c r="A1812" s="775" t="str">
        <f>'Orç - Prédio'!A317</f>
        <v>05.01.510.02</v>
      </c>
      <c r="B1812" s="788" t="str">
        <f>'Orç - Prédio'!B317</f>
        <v>SINAPI</v>
      </c>
      <c r="C1812" s="788" t="str">
        <f>'Orç - Prédio'!C317</f>
        <v>86936 MOD 1</v>
      </c>
      <c r="D1812" s="789" t="s">
        <v>5992</v>
      </c>
      <c r="E1812" s="776">
        <f>'Orç - Prédio'!E317</f>
        <v>28</v>
      </c>
      <c r="F1812" s="788" t="s">
        <v>5284</v>
      </c>
      <c r="G1812" s="777">
        <v>593.16999999999996</v>
      </c>
      <c r="H1812" s="778">
        <f>H1823</f>
        <v>16608.759999999998</v>
      </c>
      <c r="I1812" s="1910" t="s">
        <v>14965</v>
      </c>
      <c r="J1812" s="1793"/>
      <c r="K1812" s="1793"/>
      <c r="L1812" s="141"/>
      <c r="M1812" s="1515"/>
    </row>
    <row r="1813" spans="1:13" s="156" customFormat="1" ht="30" x14ac:dyDescent="0.2">
      <c r="A1813" s="2144">
        <v>6755</v>
      </c>
      <c r="B1813" s="2144"/>
      <c r="C1813" s="771" t="s">
        <v>5281</v>
      </c>
      <c r="D1813" s="779" t="s">
        <v>6020</v>
      </c>
      <c r="E1813" s="780">
        <v>0.53625</v>
      </c>
      <c r="F1813" s="781" t="s">
        <v>31</v>
      </c>
      <c r="G1813" s="367">
        <v>770.77</v>
      </c>
      <c r="H1813" s="783">
        <f t="shared" ref="H1813:H1818" si="138">ROUNDDOWN(G1813*E1813,2)</f>
        <v>413.32</v>
      </c>
      <c r="I1813" s="1642"/>
      <c r="J1813" s="1797"/>
      <c r="K1813" s="1797"/>
      <c r="L1813" s="1784"/>
      <c r="M1813" s="1785"/>
    </row>
    <row r="1814" spans="1:13" s="156" customFormat="1" x14ac:dyDescent="0.2">
      <c r="A1814" s="2144">
        <v>4823</v>
      </c>
      <c r="B1814" s="2144"/>
      <c r="C1814" s="771" t="s">
        <v>4448</v>
      </c>
      <c r="D1814" s="182" t="s">
        <v>12865</v>
      </c>
      <c r="E1814" s="780">
        <v>0.2974</v>
      </c>
      <c r="F1814" s="781" t="s">
        <v>48</v>
      </c>
      <c r="G1814" s="782">
        <v>28.31</v>
      </c>
      <c r="H1814" s="783">
        <f t="shared" si="138"/>
        <v>8.41</v>
      </c>
      <c r="I1814" s="1642"/>
      <c r="J1814" s="1797"/>
      <c r="K1814" s="1797"/>
      <c r="L1814" s="1784"/>
      <c r="M1814" s="1785"/>
    </row>
    <row r="1815" spans="1:13" s="156" customFormat="1" ht="30" x14ac:dyDescent="0.2">
      <c r="A1815" s="2144">
        <v>88274</v>
      </c>
      <c r="B1815" s="2144"/>
      <c r="C1815" s="771" t="s">
        <v>4448</v>
      </c>
      <c r="D1815" s="182" t="s">
        <v>4298</v>
      </c>
      <c r="E1815" s="780">
        <v>0.48</v>
      </c>
      <c r="F1815" s="781" t="s">
        <v>65</v>
      </c>
      <c r="G1815" s="782">
        <v>16.940000000000001</v>
      </c>
      <c r="H1815" s="783">
        <f t="shared" si="138"/>
        <v>8.1300000000000008</v>
      </c>
      <c r="I1815" s="1642"/>
      <c r="J1815" s="1797"/>
      <c r="K1815" s="1797"/>
      <c r="L1815" s="1784"/>
      <c r="M1815" s="1785"/>
    </row>
    <row r="1816" spans="1:13" s="156" customFormat="1" ht="30" x14ac:dyDescent="0.2">
      <c r="A1816" s="2144">
        <v>88316</v>
      </c>
      <c r="B1816" s="2144"/>
      <c r="C1816" s="771" t="s">
        <v>4448</v>
      </c>
      <c r="D1816" s="182" t="s">
        <v>64</v>
      </c>
      <c r="E1816" s="780">
        <v>0.15</v>
      </c>
      <c r="F1816" s="781" t="s">
        <v>65</v>
      </c>
      <c r="G1816" s="782">
        <v>15.08</v>
      </c>
      <c r="H1816" s="783">
        <f t="shared" si="138"/>
        <v>2.2599999999999998</v>
      </c>
      <c r="I1816" s="1642"/>
      <c r="J1816" s="1797"/>
      <c r="K1816" s="1797"/>
      <c r="L1816" s="1784"/>
      <c r="M1816" s="1785"/>
    </row>
    <row r="1817" spans="1:13" s="156" customFormat="1" ht="45" x14ac:dyDescent="0.2">
      <c r="A1817" s="2144">
        <v>86881</v>
      </c>
      <c r="B1817" s="2144"/>
      <c r="C1817" s="771" t="s">
        <v>4448</v>
      </c>
      <c r="D1817" s="182" t="s">
        <v>9179</v>
      </c>
      <c r="E1817" s="780">
        <v>1</v>
      </c>
      <c r="F1817" s="781" t="s">
        <v>168</v>
      </c>
      <c r="G1817" s="782">
        <v>118.49</v>
      </c>
      <c r="H1817" s="783">
        <f t="shared" si="138"/>
        <v>118.49</v>
      </c>
      <c r="I1817" s="1642"/>
      <c r="J1817" s="1797"/>
      <c r="K1817" s="1797"/>
      <c r="L1817" s="1784"/>
      <c r="M1817" s="1785"/>
    </row>
    <row r="1818" spans="1:13" s="156" customFormat="1" ht="45" x14ac:dyDescent="0.2">
      <c r="A1818" s="2144">
        <v>86878</v>
      </c>
      <c r="B1818" s="2144"/>
      <c r="C1818" s="771" t="s">
        <v>4448</v>
      </c>
      <c r="D1818" s="182" t="s">
        <v>9176</v>
      </c>
      <c r="E1818" s="780">
        <v>1</v>
      </c>
      <c r="F1818" s="781" t="s">
        <v>168</v>
      </c>
      <c r="G1818" s="782">
        <v>42.56</v>
      </c>
      <c r="H1818" s="783">
        <f t="shared" si="138"/>
        <v>42.56</v>
      </c>
      <c r="I1818" s="1642"/>
      <c r="J1818" s="1797"/>
      <c r="K1818" s="1797"/>
      <c r="L1818" s="1784"/>
      <c r="M1818" s="1785"/>
    </row>
    <row r="1819" spans="1:13" s="1517" customFormat="1" x14ac:dyDescent="0.25">
      <c r="A1819" s="179"/>
      <c r="B1819" s="179"/>
      <c r="C1819" s="784"/>
      <c r="D1819" s="2141" t="s">
        <v>124</v>
      </c>
      <c r="E1819" s="2141"/>
      <c r="F1819" s="2141"/>
      <c r="G1819" s="2141"/>
      <c r="H1819" s="267">
        <f>SUMIF(F1813:F1818,("h"),H1813:H1818)</f>
        <v>10.39</v>
      </c>
      <c r="I1819" s="1830"/>
      <c r="J1819" s="1795"/>
      <c r="K1819" s="1795"/>
      <c r="L1819" s="169"/>
      <c r="M1819" s="1783"/>
    </row>
    <row r="1820" spans="1:13" s="1517" customFormat="1" x14ac:dyDescent="0.25">
      <c r="A1820" s="179"/>
      <c r="B1820" s="179"/>
      <c r="C1820" s="784"/>
      <c r="D1820" s="2141" t="s">
        <v>125</v>
      </c>
      <c r="E1820" s="2141"/>
      <c r="F1820" s="2141"/>
      <c r="G1820" s="2141"/>
      <c r="H1820" s="267">
        <f>SUMIF(F1813:F1818,"&lt;&gt;h",H1813:H1818)</f>
        <v>582.78</v>
      </c>
      <c r="I1820" s="1830"/>
      <c r="J1820" s="1795"/>
      <c r="K1820" s="1795"/>
      <c r="L1820" s="169"/>
      <c r="M1820" s="1783"/>
    </row>
    <row r="1821" spans="1:13" s="1517" customFormat="1" x14ac:dyDescent="0.25">
      <c r="A1821" s="179"/>
      <c r="B1821" s="179"/>
      <c r="C1821" s="784"/>
      <c r="D1821" s="2142" t="s">
        <v>126</v>
      </c>
      <c r="E1821" s="2142"/>
      <c r="F1821" s="2142"/>
      <c r="G1821" s="2142"/>
      <c r="H1821" s="785">
        <f>SUM(H1819:H1820)</f>
        <v>593.16999999999996</v>
      </c>
      <c r="I1821" s="1830"/>
      <c r="J1821" s="1795"/>
      <c r="K1821" s="1795"/>
      <c r="L1821" s="169"/>
      <c r="M1821" s="1783"/>
    </row>
    <row r="1822" spans="1:13" s="1517" customFormat="1" x14ac:dyDescent="0.25">
      <c r="A1822" s="179"/>
      <c r="B1822" s="179"/>
      <c r="C1822" s="784"/>
      <c r="D1822" s="2141" t="s">
        <v>28</v>
      </c>
      <c r="E1822" s="2141"/>
      <c r="F1822" s="2141"/>
      <c r="G1822" s="2141"/>
      <c r="H1822" s="269">
        <f>E1812</f>
        <v>28</v>
      </c>
      <c r="I1822" s="1830"/>
      <c r="J1822" s="1795"/>
      <c r="K1822" s="1795"/>
      <c r="L1822" s="169"/>
      <c r="M1822" s="1783"/>
    </row>
    <row r="1823" spans="1:13" s="1517" customFormat="1" x14ac:dyDescent="0.25">
      <c r="A1823" s="179"/>
      <c r="B1823" s="179"/>
      <c r="C1823" s="784"/>
      <c r="D1823" s="2142" t="s">
        <v>127</v>
      </c>
      <c r="E1823" s="2142"/>
      <c r="F1823" s="2142"/>
      <c r="G1823" s="2142"/>
      <c r="H1823" s="785">
        <f>ROUND(H1821*H1822,2)</f>
        <v>16608.759999999998</v>
      </c>
      <c r="I1823" s="1830"/>
      <c r="J1823" s="1795"/>
      <c r="K1823" s="1795"/>
      <c r="L1823" s="169"/>
      <c r="M1823" s="1783"/>
    </row>
    <row r="1824" spans="1:13" s="1517" customFormat="1" x14ac:dyDescent="0.25">
      <c r="A1824" s="179"/>
      <c r="B1824" s="179"/>
      <c r="C1824" s="1531"/>
      <c r="D1824" s="2141" t="s">
        <v>15335</v>
      </c>
      <c r="E1824" s="2141"/>
      <c r="F1824" s="2141"/>
      <c r="G1824" s="2141"/>
      <c r="H1824" s="267">
        <f>ROUND(H1821*$B$13,2)</f>
        <v>159.74</v>
      </c>
      <c r="I1824" s="1830"/>
      <c r="J1824" s="1795"/>
      <c r="K1824" s="1795"/>
      <c r="L1824" s="169"/>
      <c r="M1824" s="1783"/>
    </row>
    <row r="1825" spans="1:13" x14ac:dyDescent="0.25">
      <c r="A1825" s="179"/>
      <c r="B1825" s="179"/>
      <c r="C1825" s="1531"/>
      <c r="D1825" s="2142" t="s">
        <v>7898</v>
      </c>
      <c r="E1825" s="2142"/>
      <c r="F1825" s="2142"/>
      <c r="G1825" s="2142"/>
      <c r="H1825" s="1532">
        <f>H1824+H1821</f>
        <v>752.91</v>
      </c>
    </row>
    <row r="1826" spans="1:13" x14ac:dyDescent="0.25">
      <c r="A1826" s="770"/>
      <c r="B1826" s="770"/>
      <c r="C1826" s="770"/>
      <c r="F1826" s="786"/>
      <c r="G1826" s="787"/>
      <c r="H1826" s="770"/>
    </row>
    <row r="1827" spans="1:13" s="1517" customFormat="1" x14ac:dyDescent="0.25">
      <c r="A1827" s="146" t="s">
        <v>6</v>
      </c>
      <c r="B1827" s="2143" t="s">
        <v>7</v>
      </c>
      <c r="C1827" s="2143"/>
      <c r="D1827" s="772" t="s">
        <v>121</v>
      </c>
      <c r="E1827" s="278" t="s">
        <v>5282</v>
      </c>
      <c r="F1827" s="772" t="s">
        <v>31</v>
      </c>
      <c r="G1827" s="773" t="s">
        <v>122</v>
      </c>
      <c r="H1827" s="774" t="s">
        <v>123</v>
      </c>
      <c r="I1827" s="1830"/>
      <c r="J1827" s="1795"/>
      <c r="K1827" s="1795"/>
      <c r="L1827" s="169"/>
      <c r="M1827" s="1783"/>
    </row>
    <row r="1828" spans="1:13" s="1526" customFormat="1" ht="60" x14ac:dyDescent="0.2">
      <c r="A1828" s="775" t="str">
        <f>'Orç - Prédio'!A318</f>
        <v>05.01.510.03</v>
      </c>
      <c r="B1828" s="788" t="str">
        <f>'Orç - Prédio'!B318</f>
        <v>SINAPI</v>
      </c>
      <c r="C1828" s="788" t="str">
        <f>'Orç - Prédio'!C318</f>
        <v>86936 MOD 2</v>
      </c>
      <c r="D1828" s="675" t="s">
        <v>5993</v>
      </c>
      <c r="E1828" s="776">
        <f>'Orç - Prédio'!E318</f>
        <v>5</v>
      </c>
      <c r="F1828" s="788" t="s">
        <v>5284</v>
      </c>
      <c r="G1828" s="777">
        <v>950.62</v>
      </c>
      <c r="H1828" s="778">
        <f>H1839</f>
        <v>4753.1000000000004</v>
      </c>
      <c r="I1828" s="1910" t="s">
        <v>14965</v>
      </c>
      <c r="J1828" s="1793"/>
      <c r="K1828" s="1793"/>
      <c r="L1828" s="141"/>
      <c r="M1828" s="1515"/>
    </row>
    <row r="1829" spans="1:13" s="156" customFormat="1" ht="30" x14ac:dyDescent="0.2">
      <c r="A1829" s="2144">
        <v>6755</v>
      </c>
      <c r="B1829" s="2144"/>
      <c r="C1829" s="771" t="s">
        <v>5281</v>
      </c>
      <c r="D1829" s="779" t="s">
        <v>6020</v>
      </c>
      <c r="E1829" s="780">
        <v>1</v>
      </c>
      <c r="F1829" s="781" t="s">
        <v>31</v>
      </c>
      <c r="G1829" s="367">
        <v>770.77</v>
      </c>
      <c r="H1829" s="783">
        <f t="shared" ref="H1829:H1834" si="139">ROUNDDOWN(G1829*E1829,2)</f>
        <v>770.77</v>
      </c>
      <c r="I1829" s="1642"/>
      <c r="J1829" s="1797"/>
      <c r="K1829" s="1797"/>
      <c r="L1829" s="1784"/>
      <c r="M1829" s="1785"/>
    </row>
    <row r="1830" spans="1:13" s="156" customFormat="1" x14ac:dyDescent="0.2">
      <c r="A1830" s="2144">
        <v>4823</v>
      </c>
      <c r="B1830" s="2144"/>
      <c r="C1830" s="771" t="s">
        <v>4448</v>
      </c>
      <c r="D1830" s="182" t="s">
        <v>12865</v>
      </c>
      <c r="E1830" s="780">
        <v>0.2974</v>
      </c>
      <c r="F1830" s="781" t="s">
        <v>48</v>
      </c>
      <c r="G1830" s="782">
        <v>28.31</v>
      </c>
      <c r="H1830" s="783">
        <f t="shared" si="139"/>
        <v>8.41</v>
      </c>
      <c r="I1830" s="1642"/>
      <c r="J1830" s="1797"/>
      <c r="K1830" s="1797"/>
      <c r="L1830" s="1784"/>
      <c r="M1830" s="1785"/>
    </row>
    <row r="1831" spans="1:13" s="156" customFormat="1" ht="30" x14ac:dyDescent="0.2">
      <c r="A1831" s="2144">
        <v>88274</v>
      </c>
      <c r="B1831" s="2144"/>
      <c r="C1831" s="771" t="s">
        <v>4448</v>
      </c>
      <c r="D1831" s="182" t="s">
        <v>4298</v>
      </c>
      <c r="E1831" s="780">
        <v>0.48</v>
      </c>
      <c r="F1831" s="781" t="s">
        <v>65</v>
      </c>
      <c r="G1831" s="782">
        <v>16.940000000000001</v>
      </c>
      <c r="H1831" s="783">
        <f t="shared" si="139"/>
        <v>8.1300000000000008</v>
      </c>
      <c r="I1831" s="1642"/>
      <c r="J1831" s="1797"/>
      <c r="K1831" s="1797"/>
      <c r="L1831" s="1784"/>
      <c r="M1831" s="1785"/>
    </row>
    <row r="1832" spans="1:13" s="156" customFormat="1" ht="30" x14ac:dyDescent="0.2">
      <c r="A1832" s="2144">
        <v>88316</v>
      </c>
      <c r="B1832" s="2144"/>
      <c r="C1832" s="771" t="s">
        <v>4448</v>
      </c>
      <c r="D1832" s="182" t="s">
        <v>64</v>
      </c>
      <c r="E1832" s="780">
        <v>0.15</v>
      </c>
      <c r="F1832" s="781" t="s">
        <v>65</v>
      </c>
      <c r="G1832" s="782">
        <v>15.08</v>
      </c>
      <c r="H1832" s="783">
        <f t="shared" si="139"/>
        <v>2.2599999999999998</v>
      </c>
      <c r="I1832" s="1642"/>
      <c r="J1832" s="1797"/>
      <c r="K1832" s="1797"/>
      <c r="L1832" s="1784"/>
      <c r="M1832" s="1785"/>
    </row>
    <row r="1833" spans="1:13" s="156" customFormat="1" ht="45" x14ac:dyDescent="0.2">
      <c r="A1833" s="2144">
        <v>86881</v>
      </c>
      <c r="B1833" s="2144"/>
      <c r="C1833" s="771" t="s">
        <v>4448</v>
      </c>
      <c r="D1833" s="182" t="s">
        <v>9179</v>
      </c>
      <c r="E1833" s="780">
        <v>1</v>
      </c>
      <c r="F1833" s="781" t="s">
        <v>168</v>
      </c>
      <c r="G1833" s="782">
        <v>118.49</v>
      </c>
      <c r="H1833" s="783">
        <f t="shared" si="139"/>
        <v>118.49</v>
      </c>
      <c r="I1833" s="1642"/>
      <c r="J1833" s="1797"/>
      <c r="K1833" s="1797"/>
      <c r="L1833" s="1784"/>
      <c r="M1833" s="1785"/>
    </row>
    <row r="1834" spans="1:13" s="156" customFormat="1" ht="45" x14ac:dyDescent="0.2">
      <c r="A1834" s="2144">
        <v>86878</v>
      </c>
      <c r="B1834" s="2144"/>
      <c r="C1834" s="771" t="s">
        <v>4448</v>
      </c>
      <c r="D1834" s="182" t="s">
        <v>9176</v>
      </c>
      <c r="E1834" s="780">
        <v>1</v>
      </c>
      <c r="F1834" s="781" t="s">
        <v>168</v>
      </c>
      <c r="G1834" s="782">
        <v>42.56</v>
      </c>
      <c r="H1834" s="783">
        <f t="shared" si="139"/>
        <v>42.56</v>
      </c>
      <c r="I1834" s="1642"/>
      <c r="J1834" s="1797"/>
      <c r="K1834" s="1797"/>
      <c r="L1834" s="1784"/>
      <c r="M1834" s="1785"/>
    </row>
    <row r="1835" spans="1:13" s="1517" customFormat="1" x14ac:dyDescent="0.25">
      <c r="A1835" s="179"/>
      <c r="B1835" s="179"/>
      <c r="C1835" s="784"/>
      <c r="D1835" s="2141" t="s">
        <v>124</v>
      </c>
      <c r="E1835" s="2141"/>
      <c r="F1835" s="2141"/>
      <c r="G1835" s="2141"/>
      <c r="H1835" s="267">
        <f>SUMIF(F1829:F1834,("h"),H1829:H1834)</f>
        <v>10.39</v>
      </c>
      <c r="I1835" s="1830"/>
      <c r="J1835" s="1795"/>
      <c r="K1835" s="1795"/>
      <c r="L1835" s="169"/>
      <c r="M1835" s="1783"/>
    </row>
    <row r="1836" spans="1:13" s="1517" customFormat="1" x14ac:dyDescent="0.25">
      <c r="A1836" s="179"/>
      <c r="B1836" s="179"/>
      <c r="C1836" s="784"/>
      <c r="D1836" s="2141" t="s">
        <v>125</v>
      </c>
      <c r="E1836" s="2141"/>
      <c r="F1836" s="2141"/>
      <c r="G1836" s="2141"/>
      <c r="H1836" s="267">
        <f>SUMIF(F1829:F1834,"&lt;&gt;h",H1829:H1834)</f>
        <v>940.23</v>
      </c>
      <c r="I1836" s="1830"/>
      <c r="J1836" s="1795"/>
      <c r="K1836" s="1795"/>
      <c r="L1836" s="169"/>
      <c r="M1836" s="1783"/>
    </row>
    <row r="1837" spans="1:13" s="1517" customFormat="1" x14ac:dyDescent="0.25">
      <c r="A1837" s="179"/>
      <c r="B1837" s="179"/>
      <c r="C1837" s="784"/>
      <c r="D1837" s="2142" t="s">
        <v>126</v>
      </c>
      <c r="E1837" s="2142"/>
      <c r="F1837" s="2142"/>
      <c r="G1837" s="2142"/>
      <c r="H1837" s="785">
        <f>SUM(H1835:H1836)</f>
        <v>950.62</v>
      </c>
      <c r="I1837" s="1830"/>
      <c r="J1837" s="1795"/>
      <c r="K1837" s="1795"/>
      <c r="L1837" s="169"/>
      <c r="M1837" s="1783"/>
    </row>
    <row r="1838" spans="1:13" s="1517" customFormat="1" x14ac:dyDescent="0.25">
      <c r="A1838" s="179"/>
      <c r="B1838" s="179"/>
      <c r="C1838" s="784"/>
      <c r="D1838" s="2141" t="s">
        <v>28</v>
      </c>
      <c r="E1838" s="2141"/>
      <c r="F1838" s="2141"/>
      <c r="G1838" s="2141"/>
      <c r="H1838" s="269">
        <f>E1828</f>
        <v>5</v>
      </c>
      <c r="I1838" s="1830"/>
      <c r="J1838" s="1795"/>
      <c r="K1838" s="1795"/>
      <c r="L1838" s="169"/>
      <c r="M1838" s="1783"/>
    </row>
    <row r="1839" spans="1:13" s="1517" customFormat="1" x14ac:dyDescent="0.25">
      <c r="A1839" s="179"/>
      <c r="B1839" s="179"/>
      <c r="C1839" s="784"/>
      <c r="D1839" s="2142" t="s">
        <v>127</v>
      </c>
      <c r="E1839" s="2142"/>
      <c r="F1839" s="2142"/>
      <c r="G1839" s="2142"/>
      <c r="H1839" s="785">
        <f>ROUND(H1837*H1838,2)</f>
        <v>4753.1000000000004</v>
      </c>
      <c r="I1839" s="1830"/>
      <c r="J1839" s="1795"/>
      <c r="K1839" s="1795"/>
      <c r="L1839" s="169"/>
      <c r="M1839" s="1783"/>
    </row>
    <row r="1840" spans="1:13" s="1517" customFormat="1" x14ac:dyDescent="0.25">
      <c r="A1840" s="179"/>
      <c r="B1840" s="179"/>
      <c r="C1840" s="1531"/>
      <c r="D1840" s="2141" t="s">
        <v>15335</v>
      </c>
      <c r="E1840" s="2141"/>
      <c r="F1840" s="2141"/>
      <c r="G1840" s="2141"/>
      <c r="H1840" s="267">
        <f>ROUND(H1837*$B$13,2)</f>
        <v>256</v>
      </c>
      <c r="I1840" s="1830"/>
      <c r="J1840" s="1795"/>
      <c r="K1840" s="1795"/>
      <c r="L1840" s="169"/>
      <c r="M1840" s="1783"/>
    </row>
    <row r="1841" spans="1:13" x14ac:dyDescent="0.25">
      <c r="A1841" s="179"/>
      <c r="B1841" s="179"/>
      <c r="C1841" s="1531"/>
      <c r="D1841" s="2142" t="s">
        <v>7898</v>
      </c>
      <c r="E1841" s="2142"/>
      <c r="F1841" s="2142"/>
      <c r="G1841" s="2142"/>
      <c r="H1841" s="1532">
        <f>H1840+H1837</f>
        <v>1206.6199999999999</v>
      </c>
    </row>
    <row r="1842" spans="1:13" x14ac:dyDescent="0.25">
      <c r="A1842" s="770"/>
      <c r="B1842" s="770"/>
      <c r="C1842" s="770"/>
      <c r="F1842" s="786"/>
      <c r="G1842" s="787"/>
      <c r="H1842" s="770"/>
    </row>
    <row r="1843" spans="1:13" s="1517" customFormat="1" x14ac:dyDescent="0.25">
      <c r="A1843" s="146" t="s">
        <v>6</v>
      </c>
      <c r="B1843" s="2143" t="s">
        <v>7</v>
      </c>
      <c r="C1843" s="2143"/>
      <c r="D1843" s="772" t="s">
        <v>121</v>
      </c>
      <c r="E1843" s="278" t="s">
        <v>5282</v>
      </c>
      <c r="F1843" s="772" t="s">
        <v>31</v>
      </c>
      <c r="G1843" s="773" t="s">
        <v>122</v>
      </c>
      <c r="H1843" s="774" t="s">
        <v>123</v>
      </c>
      <c r="I1843" s="1830"/>
      <c r="J1843" s="1795"/>
      <c r="K1843" s="1795"/>
      <c r="L1843" s="169"/>
      <c r="M1843" s="1783"/>
    </row>
    <row r="1844" spans="1:13" s="1526" customFormat="1" ht="60" x14ac:dyDescent="0.2">
      <c r="A1844" s="775" t="str">
        <f>'Orç - Prédio'!A319</f>
        <v>05.01.510.04</v>
      </c>
      <c r="B1844" s="788" t="str">
        <f>'Orç - Prédio'!B319</f>
        <v>SINAPI</v>
      </c>
      <c r="C1844" s="788" t="str">
        <f>'Orç - Prédio'!C319</f>
        <v>86936 MOD 3</v>
      </c>
      <c r="D1844" s="789" t="s">
        <v>5994</v>
      </c>
      <c r="E1844" s="776">
        <f>'Orç - Prédio'!E319</f>
        <v>8</v>
      </c>
      <c r="F1844" s="788" t="s">
        <v>5284</v>
      </c>
      <c r="G1844" s="777">
        <v>1155.73</v>
      </c>
      <c r="H1844" s="778">
        <f>H1855</f>
        <v>9245.84</v>
      </c>
      <c r="I1844" s="1910" t="s">
        <v>14965</v>
      </c>
      <c r="J1844" s="1793"/>
      <c r="K1844" s="1793"/>
      <c r="L1844" s="141"/>
      <c r="M1844" s="1515"/>
    </row>
    <row r="1845" spans="1:13" s="156" customFormat="1" ht="30" x14ac:dyDescent="0.2">
      <c r="A1845" s="2144">
        <v>6755</v>
      </c>
      <c r="B1845" s="2144"/>
      <c r="C1845" s="771" t="s">
        <v>5281</v>
      </c>
      <c r="D1845" s="779" t="s">
        <v>6020</v>
      </c>
      <c r="E1845" s="780">
        <v>1.266111</v>
      </c>
      <c r="F1845" s="781" t="s">
        <v>31</v>
      </c>
      <c r="G1845" s="367">
        <v>770.77</v>
      </c>
      <c r="H1845" s="783">
        <f t="shared" ref="H1845:H1850" si="140">ROUNDDOWN(G1845*E1845,2)</f>
        <v>975.88</v>
      </c>
      <c r="I1845" s="1642"/>
      <c r="J1845" s="1797"/>
      <c r="K1845" s="1797"/>
      <c r="L1845" s="1784"/>
      <c r="M1845" s="1785"/>
    </row>
    <row r="1846" spans="1:13" s="156" customFormat="1" x14ac:dyDescent="0.2">
      <c r="A1846" s="2144">
        <v>4823</v>
      </c>
      <c r="B1846" s="2144"/>
      <c r="C1846" s="771" t="s">
        <v>4448</v>
      </c>
      <c r="D1846" s="182" t="s">
        <v>12865</v>
      </c>
      <c r="E1846" s="780">
        <v>0.2974</v>
      </c>
      <c r="F1846" s="781" t="s">
        <v>48</v>
      </c>
      <c r="G1846" s="782">
        <v>28.31</v>
      </c>
      <c r="H1846" s="783">
        <f t="shared" si="140"/>
        <v>8.41</v>
      </c>
      <c r="I1846" s="1642"/>
      <c r="J1846" s="1797"/>
      <c r="K1846" s="1797"/>
      <c r="L1846" s="1784"/>
      <c r="M1846" s="1785"/>
    </row>
    <row r="1847" spans="1:13" s="156" customFormat="1" ht="30" x14ac:dyDescent="0.2">
      <c r="A1847" s="2144">
        <v>88274</v>
      </c>
      <c r="B1847" s="2144"/>
      <c r="C1847" s="771" t="s">
        <v>4448</v>
      </c>
      <c r="D1847" s="182" t="s">
        <v>4298</v>
      </c>
      <c r="E1847" s="780">
        <v>0.48</v>
      </c>
      <c r="F1847" s="781" t="s">
        <v>65</v>
      </c>
      <c r="G1847" s="782">
        <v>16.940000000000001</v>
      </c>
      <c r="H1847" s="783">
        <f t="shared" si="140"/>
        <v>8.1300000000000008</v>
      </c>
      <c r="I1847" s="1642"/>
      <c r="J1847" s="1797"/>
      <c r="K1847" s="1797"/>
      <c r="L1847" s="1784"/>
      <c r="M1847" s="1785"/>
    </row>
    <row r="1848" spans="1:13" s="156" customFormat="1" ht="30" x14ac:dyDescent="0.2">
      <c r="A1848" s="2144">
        <v>88316</v>
      </c>
      <c r="B1848" s="2144"/>
      <c r="C1848" s="771" t="s">
        <v>4448</v>
      </c>
      <c r="D1848" s="182" t="s">
        <v>64</v>
      </c>
      <c r="E1848" s="780">
        <v>0.15</v>
      </c>
      <c r="F1848" s="781" t="s">
        <v>65</v>
      </c>
      <c r="G1848" s="782">
        <v>15.08</v>
      </c>
      <c r="H1848" s="783">
        <f t="shared" si="140"/>
        <v>2.2599999999999998</v>
      </c>
      <c r="I1848" s="1642"/>
      <c r="J1848" s="1797"/>
      <c r="K1848" s="1797"/>
      <c r="L1848" s="1784"/>
      <c r="M1848" s="1785"/>
    </row>
    <row r="1849" spans="1:13" s="156" customFormat="1" ht="45" x14ac:dyDescent="0.2">
      <c r="A1849" s="2144">
        <v>86881</v>
      </c>
      <c r="B1849" s="2144"/>
      <c r="C1849" s="771" t="s">
        <v>4448</v>
      </c>
      <c r="D1849" s="182" t="s">
        <v>9179</v>
      </c>
      <c r="E1849" s="780">
        <v>1</v>
      </c>
      <c r="F1849" s="781" t="s">
        <v>168</v>
      </c>
      <c r="G1849" s="782">
        <v>118.49</v>
      </c>
      <c r="H1849" s="783">
        <f t="shared" si="140"/>
        <v>118.49</v>
      </c>
      <c r="I1849" s="1642"/>
      <c r="J1849" s="1797"/>
      <c r="K1849" s="1797"/>
      <c r="L1849" s="1784"/>
      <c r="M1849" s="1785"/>
    </row>
    <row r="1850" spans="1:13" s="156" customFormat="1" ht="45" x14ac:dyDescent="0.2">
      <c r="A1850" s="2144">
        <v>86878</v>
      </c>
      <c r="B1850" s="2144"/>
      <c r="C1850" s="771" t="s">
        <v>4448</v>
      </c>
      <c r="D1850" s="182" t="s">
        <v>9176</v>
      </c>
      <c r="E1850" s="780">
        <v>1</v>
      </c>
      <c r="F1850" s="781" t="s">
        <v>168</v>
      </c>
      <c r="G1850" s="782">
        <v>42.56</v>
      </c>
      <c r="H1850" s="783">
        <f t="shared" si="140"/>
        <v>42.56</v>
      </c>
      <c r="I1850" s="1642"/>
      <c r="J1850" s="1797"/>
      <c r="K1850" s="1797"/>
      <c r="L1850" s="1784"/>
      <c r="M1850" s="1785"/>
    </row>
    <row r="1851" spans="1:13" s="1517" customFormat="1" x14ac:dyDescent="0.25">
      <c r="A1851" s="179"/>
      <c r="B1851" s="179"/>
      <c r="C1851" s="784"/>
      <c r="D1851" s="2141" t="s">
        <v>124</v>
      </c>
      <c r="E1851" s="2141"/>
      <c r="F1851" s="2141"/>
      <c r="G1851" s="2141"/>
      <c r="H1851" s="267">
        <f>SUMIF(F1845:F1850,("h"),H1845:H1850)</f>
        <v>10.39</v>
      </c>
      <c r="I1851" s="1830"/>
      <c r="J1851" s="1795"/>
      <c r="K1851" s="1795"/>
      <c r="L1851" s="169"/>
      <c r="M1851" s="1783"/>
    </row>
    <row r="1852" spans="1:13" s="1517" customFormat="1" x14ac:dyDescent="0.25">
      <c r="A1852" s="179"/>
      <c r="B1852" s="179"/>
      <c r="C1852" s="784"/>
      <c r="D1852" s="2141" t="s">
        <v>125</v>
      </c>
      <c r="E1852" s="2141"/>
      <c r="F1852" s="2141"/>
      <c r="G1852" s="2141"/>
      <c r="H1852" s="267">
        <f>SUMIF(F1845:F1850,"&lt;&gt;h",H1845:H1850)</f>
        <v>1145.3399999999999</v>
      </c>
      <c r="I1852" s="1830"/>
      <c r="J1852" s="1795"/>
      <c r="K1852" s="1795"/>
      <c r="L1852" s="169"/>
      <c r="M1852" s="1783"/>
    </row>
    <row r="1853" spans="1:13" s="1517" customFormat="1" x14ac:dyDescent="0.25">
      <c r="A1853" s="179"/>
      <c r="B1853" s="179"/>
      <c r="C1853" s="784"/>
      <c r="D1853" s="2142" t="s">
        <v>126</v>
      </c>
      <c r="E1853" s="2142"/>
      <c r="F1853" s="2142"/>
      <c r="G1853" s="2142"/>
      <c r="H1853" s="785">
        <f>SUM(H1851:H1852)</f>
        <v>1155.73</v>
      </c>
      <c r="I1853" s="1830"/>
      <c r="J1853" s="1795"/>
      <c r="K1853" s="1795"/>
      <c r="L1853" s="169"/>
      <c r="M1853" s="1783"/>
    </row>
    <row r="1854" spans="1:13" s="1517" customFormat="1" x14ac:dyDescent="0.25">
      <c r="A1854" s="179"/>
      <c r="B1854" s="179"/>
      <c r="C1854" s="784"/>
      <c r="D1854" s="2141" t="s">
        <v>28</v>
      </c>
      <c r="E1854" s="2141"/>
      <c r="F1854" s="2141"/>
      <c r="G1854" s="2141"/>
      <c r="H1854" s="269">
        <f>E1844</f>
        <v>8</v>
      </c>
      <c r="I1854" s="1830"/>
      <c r="J1854" s="1795"/>
      <c r="K1854" s="1795"/>
      <c r="L1854" s="169"/>
      <c r="M1854" s="1783"/>
    </row>
    <row r="1855" spans="1:13" s="1517" customFormat="1" x14ac:dyDescent="0.25">
      <c r="A1855" s="179"/>
      <c r="B1855" s="179"/>
      <c r="C1855" s="784"/>
      <c r="D1855" s="2142" t="s">
        <v>127</v>
      </c>
      <c r="E1855" s="2142"/>
      <c r="F1855" s="2142"/>
      <c r="G1855" s="2142"/>
      <c r="H1855" s="785">
        <f>ROUND(H1853*H1854,2)</f>
        <v>9245.84</v>
      </c>
      <c r="I1855" s="1830"/>
      <c r="J1855" s="1795"/>
      <c r="K1855" s="1795"/>
      <c r="L1855" s="169"/>
      <c r="M1855" s="1783"/>
    </row>
    <row r="1856" spans="1:13" s="1517" customFormat="1" x14ac:dyDescent="0.25">
      <c r="A1856" s="179"/>
      <c r="B1856" s="179"/>
      <c r="C1856" s="1531"/>
      <c r="D1856" s="2141" t="s">
        <v>15335</v>
      </c>
      <c r="E1856" s="2141"/>
      <c r="F1856" s="2141"/>
      <c r="G1856" s="2141"/>
      <c r="H1856" s="267">
        <f>ROUND(H1853*$B$13,2)</f>
        <v>311.24</v>
      </c>
      <c r="I1856" s="1830"/>
      <c r="J1856" s="1795"/>
      <c r="K1856" s="1795"/>
      <c r="L1856" s="169"/>
      <c r="M1856" s="1783"/>
    </row>
    <row r="1857" spans="1:13" x14ac:dyDescent="0.25">
      <c r="A1857" s="179"/>
      <c r="B1857" s="179"/>
      <c r="C1857" s="1531"/>
      <c r="D1857" s="2142" t="s">
        <v>7898</v>
      </c>
      <c r="E1857" s="2142"/>
      <c r="F1857" s="2142"/>
      <c r="G1857" s="2142"/>
      <c r="H1857" s="1532">
        <f>H1856+H1853</f>
        <v>1466.97</v>
      </c>
    </row>
    <row r="1858" spans="1:13" x14ac:dyDescent="0.25">
      <c r="A1858" s="770"/>
      <c r="B1858" s="770"/>
      <c r="C1858" s="770"/>
      <c r="F1858" s="786"/>
      <c r="G1858" s="787"/>
      <c r="H1858" s="770"/>
    </row>
    <row r="1859" spans="1:13" s="1517" customFormat="1" x14ac:dyDescent="0.25">
      <c r="A1859" s="146" t="s">
        <v>6</v>
      </c>
      <c r="B1859" s="2143" t="s">
        <v>7</v>
      </c>
      <c r="C1859" s="2143"/>
      <c r="D1859" s="772" t="s">
        <v>121</v>
      </c>
      <c r="E1859" s="278" t="s">
        <v>5282</v>
      </c>
      <c r="F1859" s="772" t="s">
        <v>31</v>
      </c>
      <c r="G1859" s="773" t="s">
        <v>122</v>
      </c>
      <c r="H1859" s="774" t="s">
        <v>123</v>
      </c>
      <c r="I1859" s="1830"/>
      <c r="J1859" s="1795"/>
      <c r="K1859" s="1795"/>
      <c r="L1859" s="169"/>
      <c r="M1859" s="1783"/>
    </row>
    <row r="1860" spans="1:13" s="1526" customFormat="1" ht="30" x14ac:dyDescent="0.2">
      <c r="A1860" s="775" t="str">
        <f>'Orç - Prédio'!A321</f>
        <v>05.01.512.01</v>
      </c>
      <c r="B1860" s="788" t="str">
        <f>'Orç - Prédio'!B321</f>
        <v>SINAPI</v>
      </c>
      <c r="C1860" s="788" t="str">
        <f>'Orç - Prédio'!C321</f>
        <v>86915 MOD</v>
      </c>
      <c r="D1860" s="789" t="s">
        <v>5996</v>
      </c>
      <c r="E1860" s="776">
        <f>'Orç - Prédio'!E321</f>
        <v>20</v>
      </c>
      <c r="F1860" s="788" t="s">
        <v>5284</v>
      </c>
      <c r="G1860" s="777">
        <v>153.71999999999997</v>
      </c>
      <c r="H1860" s="778">
        <f>H1869</f>
        <v>3074.4</v>
      </c>
      <c r="I1860" s="1910" t="s">
        <v>9562</v>
      </c>
      <c r="J1860" s="1793"/>
      <c r="K1860" s="1793"/>
      <c r="L1860" s="141"/>
      <c r="M1860" s="1515"/>
    </row>
    <row r="1861" spans="1:13" s="156" customFormat="1" ht="30" x14ac:dyDescent="0.2">
      <c r="A1861" s="2144">
        <v>3146</v>
      </c>
      <c r="B1861" s="2144"/>
      <c r="C1861" s="771" t="s">
        <v>4448</v>
      </c>
      <c r="D1861" s="182" t="s">
        <v>11904</v>
      </c>
      <c r="E1861" s="780">
        <v>3.04E-2</v>
      </c>
      <c r="F1861" s="781" t="s">
        <v>39</v>
      </c>
      <c r="G1861" s="782">
        <v>3.58</v>
      </c>
      <c r="H1861" s="783">
        <f>ROUNDDOWN(G1861*E1861,2)</f>
        <v>0.1</v>
      </c>
      <c r="I1861" s="1642"/>
      <c r="J1861" s="1797"/>
      <c r="K1861" s="1797"/>
      <c r="L1861" s="1784"/>
      <c r="M1861" s="1785"/>
    </row>
    <row r="1862" spans="1:13" s="156" customFormat="1" ht="45" x14ac:dyDescent="0.2">
      <c r="A1862" s="2144">
        <v>36796</v>
      </c>
      <c r="B1862" s="2144"/>
      <c r="C1862" s="771" t="s">
        <v>4448</v>
      </c>
      <c r="D1862" s="182" t="s">
        <v>14308</v>
      </c>
      <c r="E1862" s="780">
        <v>1</v>
      </c>
      <c r="F1862" s="781" t="s">
        <v>39</v>
      </c>
      <c r="G1862" s="782">
        <v>149.91999999999999</v>
      </c>
      <c r="H1862" s="783">
        <f>ROUNDDOWN(G1862*E1862,2)</f>
        <v>149.91999999999999</v>
      </c>
      <c r="I1862" s="1642"/>
      <c r="J1862" s="1797"/>
      <c r="K1862" s="1797"/>
      <c r="L1862" s="1784"/>
      <c r="M1862" s="1785"/>
    </row>
    <row r="1863" spans="1:13" s="156" customFormat="1" ht="30" x14ac:dyDescent="0.2">
      <c r="A1863" s="2144">
        <v>88267</v>
      </c>
      <c r="B1863" s="2144"/>
      <c r="C1863" s="771" t="s">
        <v>4448</v>
      </c>
      <c r="D1863" s="182" t="s">
        <v>83</v>
      </c>
      <c r="E1863" s="780">
        <v>0.15</v>
      </c>
      <c r="F1863" s="781" t="s">
        <v>65</v>
      </c>
      <c r="G1863" s="782">
        <v>19.73</v>
      </c>
      <c r="H1863" s="783">
        <f>ROUNDDOWN(G1863*E1863,2)</f>
        <v>2.95</v>
      </c>
      <c r="I1863" s="1642"/>
      <c r="J1863" s="1797"/>
      <c r="K1863" s="1797"/>
      <c r="L1863" s="1784"/>
      <c r="M1863" s="1785"/>
    </row>
    <row r="1864" spans="1:13" s="156" customFormat="1" ht="30" x14ac:dyDescent="0.2">
      <c r="A1864" s="2144">
        <v>88316</v>
      </c>
      <c r="B1864" s="2144"/>
      <c r="C1864" s="771" t="s">
        <v>4448</v>
      </c>
      <c r="D1864" s="182" t="s">
        <v>64</v>
      </c>
      <c r="E1864" s="780">
        <v>0.05</v>
      </c>
      <c r="F1864" s="781" t="s">
        <v>65</v>
      </c>
      <c r="G1864" s="782">
        <v>15.08</v>
      </c>
      <c r="H1864" s="783">
        <f>ROUNDDOWN(G1864*E1864,2)</f>
        <v>0.75</v>
      </c>
      <c r="I1864" s="1642"/>
      <c r="J1864" s="1797"/>
      <c r="K1864" s="1797"/>
      <c r="L1864" s="1784"/>
      <c r="M1864" s="1785"/>
    </row>
    <row r="1865" spans="1:13" s="1517" customFormat="1" x14ac:dyDescent="0.25">
      <c r="A1865" s="179"/>
      <c r="B1865" s="179"/>
      <c r="C1865" s="784"/>
      <c r="D1865" s="2141" t="s">
        <v>124</v>
      </c>
      <c r="E1865" s="2141"/>
      <c r="F1865" s="2141"/>
      <c r="G1865" s="2141"/>
      <c r="H1865" s="267">
        <f>SUMIF(F1861:F1864,("h"),H1861:H1864)</f>
        <v>3.7</v>
      </c>
      <c r="I1865" s="1830"/>
      <c r="J1865" s="1795"/>
      <c r="K1865" s="1795"/>
      <c r="L1865" s="169"/>
      <c r="M1865" s="1783"/>
    </row>
    <row r="1866" spans="1:13" s="1517" customFormat="1" x14ac:dyDescent="0.25">
      <c r="A1866" s="179"/>
      <c r="B1866" s="179"/>
      <c r="C1866" s="784"/>
      <c r="D1866" s="2141" t="s">
        <v>125</v>
      </c>
      <c r="E1866" s="2141"/>
      <c r="F1866" s="2141"/>
      <c r="G1866" s="2141"/>
      <c r="H1866" s="267">
        <f>SUMIF(F1861:F1864,"&lt;&gt;h",H1861:H1864)</f>
        <v>150.01999999999998</v>
      </c>
      <c r="I1866" s="1830"/>
      <c r="J1866" s="1795"/>
      <c r="K1866" s="1795"/>
      <c r="L1866" s="169"/>
      <c r="M1866" s="1783"/>
    </row>
    <row r="1867" spans="1:13" s="1517" customFormat="1" x14ac:dyDescent="0.25">
      <c r="A1867" s="179"/>
      <c r="B1867" s="179"/>
      <c r="C1867" s="784"/>
      <c r="D1867" s="2142" t="s">
        <v>126</v>
      </c>
      <c r="E1867" s="2142"/>
      <c r="F1867" s="2142"/>
      <c r="G1867" s="2142"/>
      <c r="H1867" s="785">
        <f>SUM(H1865:H1866)</f>
        <v>153.71999999999997</v>
      </c>
      <c r="I1867" s="1830"/>
      <c r="J1867" s="1795"/>
      <c r="K1867" s="1795"/>
      <c r="L1867" s="169"/>
      <c r="M1867" s="1783"/>
    </row>
    <row r="1868" spans="1:13" s="1517" customFormat="1" x14ac:dyDescent="0.25">
      <c r="A1868" s="179"/>
      <c r="B1868" s="179"/>
      <c r="C1868" s="784"/>
      <c r="D1868" s="2141" t="s">
        <v>28</v>
      </c>
      <c r="E1868" s="2141"/>
      <c r="F1868" s="2141"/>
      <c r="G1868" s="2141"/>
      <c r="H1868" s="269">
        <f>E1860</f>
        <v>20</v>
      </c>
      <c r="I1868" s="1830"/>
      <c r="J1868" s="1795"/>
      <c r="K1868" s="1795"/>
      <c r="L1868" s="169"/>
      <c r="M1868" s="1783"/>
    </row>
    <row r="1869" spans="1:13" s="1517" customFormat="1" x14ac:dyDescent="0.25">
      <c r="A1869" s="179"/>
      <c r="B1869" s="179"/>
      <c r="C1869" s="784"/>
      <c r="D1869" s="2142" t="s">
        <v>127</v>
      </c>
      <c r="E1869" s="2142"/>
      <c r="F1869" s="2142"/>
      <c r="G1869" s="2142"/>
      <c r="H1869" s="785">
        <f>ROUND(H1867*H1868,2)</f>
        <v>3074.4</v>
      </c>
      <c r="I1869" s="1830"/>
      <c r="J1869" s="1795"/>
      <c r="K1869" s="1795"/>
      <c r="L1869" s="169"/>
      <c r="M1869" s="1783"/>
    </row>
    <row r="1870" spans="1:13" s="1517" customFormat="1" x14ac:dyDescent="0.25">
      <c r="A1870" s="179"/>
      <c r="B1870" s="179"/>
      <c r="C1870" s="1531"/>
      <c r="D1870" s="2141" t="s">
        <v>15335</v>
      </c>
      <c r="E1870" s="2141"/>
      <c r="F1870" s="2141"/>
      <c r="G1870" s="2141"/>
      <c r="H1870" s="267">
        <f>ROUND(H1867*$B$13,2)</f>
        <v>41.4</v>
      </c>
      <c r="I1870" s="1830"/>
      <c r="J1870" s="1795"/>
      <c r="K1870" s="1795"/>
      <c r="L1870" s="169"/>
      <c r="M1870" s="1783"/>
    </row>
    <row r="1871" spans="1:13" x14ac:dyDescent="0.25">
      <c r="A1871" s="179"/>
      <c r="B1871" s="179"/>
      <c r="C1871" s="1531"/>
      <c r="D1871" s="2142" t="s">
        <v>7898</v>
      </c>
      <c r="E1871" s="2142"/>
      <c r="F1871" s="2142"/>
      <c r="G1871" s="2142"/>
      <c r="H1871" s="1532">
        <f>H1870+H1867</f>
        <v>195.11999999999998</v>
      </c>
    </row>
    <row r="1872" spans="1:13" x14ac:dyDescent="0.25">
      <c r="A1872" s="770"/>
      <c r="B1872" s="770"/>
      <c r="C1872" s="770"/>
      <c r="F1872" s="786"/>
      <c r="G1872" s="787"/>
      <c r="H1872" s="770"/>
    </row>
    <row r="1873" spans="1:13" s="1517" customFormat="1" x14ac:dyDescent="0.25">
      <c r="A1873" s="146" t="s">
        <v>6</v>
      </c>
      <c r="B1873" s="2143" t="s">
        <v>7</v>
      </c>
      <c r="C1873" s="2143"/>
      <c r="D1873" s="772" t="s">
        <v>121</v>
      </c>
      <c r="E1873" s="278" t="s">
        <v>5282</v>
      </c>
      <c r="F1873" s="772" t="s">
        <v>31</v>
      </c>
      <c r="G1873" s="773" t="s">
        <v>122</v>
      </c>
      <c r="H1873" s="774" t="s">
        <v>123</v>
      </c>
      <c r="I1873" s="1830"/>
      <c r="J1873" s="1795"/>
      <c r="K1873" s="1795"/>
      <c r="L1873" s="169"/>
      <c r="M1873" s="1783"/>
    </row>
    <row r="1874" spans="1:13" s="1526" customFormat="1" ht="30" x14ac:dyDescent="0.2">
      <c r="A1874" s="775" t="str">
        <f>'Orç - Prédio'!A323</f>
        <v>05.01.512.03</v>
      </c>
      <c r="B1874" s="788" t="str">
        <f>'Orç - Prédio'!B323</f>
        <v>ORSE</v>
      </c>
      <c r="C1874" s="788">
        <f>'Orç - Prédio'!C323</f>
        <v>4392</v>
      </c>
      <c r="D1874" s="789" t="s">
        <v>5998</v>
      </c>
      <c r="E1874" s="776">
        <f>'Orç - Prédio'!E323</f>
        <v>2</v>
      </c>
      <c r="F1874" s="788" t="s">
        <v>5284</v>
      </c>
      <c r="G1874" s="777">
        <v>456.64</v>
      </c>
      <c r="H1874" s="778">
        <f>H1883</f>
        <v>913.28</v>
      </c>
      <c r="I1874" s="1910" t="s">
        <v>14965</v>
      </c>
      <c r="J1874" s="1793"/>
      <c r="K1874" s="1793"/>
      <c r="L1874" s="141"/>
      <c r="M1874" s="1515"/>
    </row>
    <row r="1875" spans="1:13" s="156" customFormat="1" ht="30" x14ac:dyDescent="0.2">
      <c r="A1875" s="2144">
        <v>3146</v>
      </c>
      <c r="B1875" s="2144"/>
      <c r="C1875" s="771" t="s">
        <v>4448</v>
      </c>
      <c r="D1875" s="182" t="s">
        <v>11904</v>
      </c>
      <c r="E1875" s="780">
        <v>0.05</v>
      </c>
      <c r="F1875" s="781" t="s">
        <v>39</v>
      </c>
      <c r="G1875" s="782">
        <v>3.58</v>
      </c>
      <c r="H1875" s="783">
        <f>ROUNDDOWN(G1875*E1875,2)</f>
        <v>0.17</v>
      </c>
      <c r="I1875" s="1642"/>
      <c r="J1875" s="1797"/>
      <c r="K1875" s="1797"/>
      <c r="L1875" s="1784"/>
      <c r="M1875" s="1785"/>
    </row>
    <row r="1876" spans="1:13" s="156" customFormat="1" ht="30" x14ac:dyDescent="0.2">
      <c r="A1876" s="2144">
        <v>3762</v>
      </c>
      <c r="B1876" s="2144"/>
      <c r="C1876" s="771" t="s">
        <v>5281</v>
      </c>
      <c r="D1876" s="182" t="s">
        <v>6021</v>
      </c>
      <c r="E1876" s="780">
        <v>1</v>
      </c>
      <c r="F1876" s="781" t="s">
        <v>31</v>
      </c>
      <c r="G1876" s="367">
        <v>439.07</v>
      </c>
      <c r="H1876" s="783">
        <f>ROUNDDOWN(G1876*E1876,2)</f>
        <v>439.07</v>
      </c>
      <c r="I1876" s="1642"/>
      <c r="J1876" s="1797"/>
      <c r="K1876" s="1797"/>
      <c r="L1876" s="1784"/>
      <c r="M1876" s="1785"/>
    </row>
    <row r="1877" spans="1:13" s="156" customFormat="1" ht="30" x14ac:dyDescent="0.2">
      <c r="A1877" s="2144">
        <v>88267</v>
      </c>
      <c r="B1877" s="2144"/>
      <c r="C1877" s="771" t="s">
        <v>4448</v>
      </c>
      <c r="D1877" s="182" t="s">
        <v>83</v>
      </c>
      <c r="E1877" s="780">
        <v>0.5</v>
      </c>
      <c r="F1877" s="781" t="s">
        <v>65</v>
      </c>
      <c r="G1877" s="782">
        <v>19.73</v>
      </c>
      <c r="H1877" s="783">
        <f>ROUNDDOWN(G1877*E1877,2)</f>
        <v>9.86</v>
      </c>
      <c r="I1877" s="1642"/>
      <c r="J1877" s="1797"/>
      <c r="K1877" s="1797"/>
      <c r="L1877" s="1784"/>
      <c r="M1877" s="1785"/>
    </row>
    <row r="1878" spans="1:13" s="156" customFormat="1" ht="30" x14ac:dyDescent="0.2">
      <c r="A1878" s="2144">
        <v>88316</v>
      </c>
      <c r="B1878" s="2144"/>
      <c r="C1878" s="771" t="s">
        <v>4448</v>
      </c>
      <c r="D1878" s="182" t="s">
        <v>64</v>
      </c>
      <c r="E1878" s="780">
        <v>0.5</v>
      </c>
      <c r="F1878" s="781" t="s">
        <v>65</v>
      </c>
      <c r="G1878" s="782">
        <v>15.08</v>
      </c>
      <c r="H1878" s="783">
        <f>ROUNDDOWN(G1878*E1878,2)</f>
        <v>7.54</v>
      </c>
      <c r="I1878" s="1642"/>
      <c r="J1878" s="1797"/>
      <c r="K1878" s="1797"/>
      <c r="L1878" s="1784"/>
      <c r="M1878" s="1785"/>
    </row>
    <row r="1879" spans="1:13" s="1517" customFormat="1" x14ac:dyDescent="0.25">
      <c r="A1879" s="179"/>
      <c r="B1879" s="179"/>
      <c r="C1879" s="784"/>
      <c r="D1879" s="2141" t="s">
        <v>124</v>
      </c>
      <c r="E1879" s="2141"/>
      <c r="F1879" s="2141"/>
      <c r="G1879" s="2141"/>
      <c r="H1879" s="267">
        <f>SUMIF(F1875:F1878,("h"),H1875:H1878)</f>
        <v>17.399999999999999</v>
      </c>
      <c r="I1879" s="1830"/>
      <c r="J1879" s="1795"/>
      <c r="K1879" s="1795"/>
      <c r="L1879" s="169"/>
      <c r="M1879" s="1783"/>
    </row>
    <row r="1880" spans="1:13" s="1517" customFormat="1" x14ac:dyDescent="0.25">
      <c r="A1880" s="179"/>
      <c r="B1880" s="179"/>
      <c r="C1880" s="784"/>
      <c r="D1880" s="2141" t="s">
        <v>125</v>
      </c>
      <c r="E1880" s="2141"/>
      <c r="F1880" s="2141"/>
      <c r="G1880" s="2141"/>
      <c r="H1880" s="267">
        <f>SUMIF(F1875:F1878,"&lt;&gt;h",H1875:H1878)</f>
        <v>439.24</v>
      </c>
      <c r="I1880" s="1830"/>
      <c r="J1880" s="1795"/>
      <c r="K1880" s="1795"/>
      <c r="L1880" s="169"/>
      <c r="M1880" s="1783"/>
    </row>
    <row r="1881" spans="1:13" s="1517" customFormat="1" x14ac:dyDescent="0.25">
      <c r="A1881" s="179"/>
      <c r="B1881" s="179"/>
      <c r="C1881" s="784"/>
      <c r="D1881" s="2142" t="s">
        <v>126</v>
      </c>
      <c r="E1881" s="2142"/>
      <c r="F1881" s="2142"/>
      <c r="G1881" s="2142"/>
      <c r="H1881" s="785">
        <f>SUM(H1879:H1880)</f>
        <v>456.64</v>
      </c>
      <c r="I1881" s="1830"/>
      <c r="J1881" s="1795"/>
      <c r="K1881" s="1795"/>
      <c r="L1881" s="169"/>
      <c r="M1881" s="1783"/>
    </row>
    <row r="1882" spans="1:13" s="1517" customFormat="1" x14ac:dyDescent="0.25">
      <c r="A1882" s="179"/>
      <c r="B1882" s="179"/>
      <c r="C1882" s="784"/>
      <c r="D1882" s="2141" t="s">
        <v>28</v>
      </c>
      <c r="E1882" s="2141"/>
      <c r="F1882" s="2141"/>
      <c r="G1882" s="2141"/>
      <c r="H1882" s="269">
        <f>E1874</f>
        <v>2</v>
      </c>
      <c r="I1882" s="1830"/>
      <c r="J1882" s="1795"/>
      <c r="K1882" s="1795"/>
      <c r="L1882" s="169"/>
      <c r="M1882" s="1783"/>
    </row>
    <row r="1883" spans="1:13" s="1517" customFormat="1" x14ac:dyDescent="0.25">
      <c r="A1883" s="179"/>
      <c r="B1883" s="179"/>
      <c r="C1883" s="784"/>
      <c r="D1883" s="2142" t="s">
        <v>127</v>
      </c>
      <c r="E1883" s="2142"/>
      <c r="F1883" s="2142"/>
      <c r="G1883" s="2142"/>
      <c r="H1883" s="785">
        <f>ROUND(H1881*H1882,2)</f>
        <v>913.28</v>
      </c>
      <c r="I1883" s="1830"/>
      <c r="J1883" s="1795"/>
      <c r="K1883" s="1795"/>
      <c r="L1883" s="169"/>
      <c r="M1883" s="1783"/>
    </row>
    <row r="1884" spans="1:13" s="1517" customFormat="1" x14ac:dyDescent="0.25">
      <c r="A1884" s="179"/>
      <c r="B1884" s="179"/>
      <c r="C1884" s="1531"/>
      <c r="D1884" s="2141" t="s">
        <v>15335</v>
      </c>
      <c r="E1884" s="2141"/>
      <c r="F1884" s="2141"/>
      <c r="G1884" s="2141"/>
      <c r="H1884" s="267">
        <f>ROUND(H1881*$B$13,2)</f>
        <v>122.97</v>
      </c>
      <c r="I1884" s="1830"/>
      <c r="J1884" s="1795"/>
      <c r="K1884" s="1795"/>
      <c r="L1884" s="169"/>
      <c r="M1884" s="1783"/>
    </row>
    <row r="1885" spans="1:13" x14ac:dyDescent="0.25">
      <c r="A1885" s="179"/>
      <c r="B1885" s="179"/>
      <c r="C1885" s="1531"/>
      <c r="D1885" s="2142" t="s">
        <v>7898</v>
      </c>
      <c r="E1885" s="2142"/>
      <c r="F1885" s="2142"/>
      <c r="G1885" s="2142"/>
      <c r="H1885" s="1532">
        <f>H1884+H1881</f>
        <v>579.61</v>
      </c>
    </row>
    <row r="1886" spans="1:13" x14ac:dyDescent="0.25">
      <c r="A1886" s="770"/>
      <c r="B1886" s="770"/>
      <c r="C1886" s="770"/>
      <c r="F1886" s="786"/>
      <c r="G1886" s="787"/>
      <c r="H1886" s="770"/>
    </row>
    <row r="1887" spans="1:13" s="1517" customFormat="1" x14ac:dyDescent="0.25">
      <c r="A1887" s="146" t="s">
        <v>6</v>
      </c>
      <c r="B1887" s="2143" t="s">
        <v>7</v>
      </c>
      <c r="C1887" s="2143"/>
      <c r="D1887" s="772" t="s">
        <v>121</v>
      </c>
      <c r="E1887" s="278" t="s">
        <v>5282</v>
      </c>
      <c r="F1887" s="772" t="s">
        <v>31</v>
      </c>
      <c r="G1887" s="773" t="s">
        <v>122</v>
      </c>
      <c r="H1887" s="774" t="s">
        <v>123</v>
      </c>
      <c r="I1887" s="1830"/>
      <c r="J1887" s="1795"/>
      <c r="K1887" s="1795"/>
      <c r="L1887" s="169"/>
      <c r="M1887" s="1783"/>
    </row>
    <row r="1888" spans="1:13" s="1526" customFormat="1" ht="30" x14ac:dyDescent="0.2">
      <c r="A1888" s="775" t="str">
        <f>'Orç - Prédio'!A325</f>
        <v>05.01.512.05</v>
      </c>
      <c r="B1888" s="788" t="str">
        <f>'Orç - Prédio'!B325</f>
        <v>SINAPI</v>
      </c>
      <c r="C1888" s="788" t="str">
        <f>'Orç - Prédio'!C325</f>
        <v>86914 MOD</v>
      </c>
      <c r="D1888" s="789" t="s">
        <v>6000</v>
      </c>
      <c r="E1888" s="776">
        <f>'Orç - Prédio'!E325</f>
        <v>9</v>
      </c>
      <c r="F1888" s="788" t="s">
        <v>5284</v>
      </c>
      <c r="G1888" s="777">
        <v>57.140000000000008</v>
      </c>
      <c r="H1888" s="778">
        <f>H1897</f>
        <v>514.26</v>
      </c>
      <c r="I1888" s="1910" t="s">
        <v>9562</v>
      </c>
      <c r="J1888" s="1793"/>
      <c r="K1888" s="1793"/>
      <c r="L1888" s="141"/>
      <c r="M1888" s="1515"/>
    </row>
    <row r="1889" spans="1:13" s="156" customFormat="1" ht="30" x14ac:dyDescent="0.2">
      <c r="A1889" s="2144">
        <v>3146</v>
      </c>
      <c r="B1889" s="2144"/>
      <c r="C1889" s="771" t="s">
        <v>4448</v>
      </c>
      <c r="D1889" s="182" t="s">
        <v>11904</v>
      </c>
      <c r="E1889" s="780">
        <v>3.04E-2</v>
      </c>
      <c r="F1889" s="781" t="s">
        <v>39</v>
      </c>
      <c r="G1889" s="782">
        <v>3.58</v>
      </c>
      <c r="H1889" s="783">
        <f>ROUNDDOWN(G1889*E1889,2)</f>
        <v>0.1</v>
      </c>
      <c r="I1889" s="1642"/>
      <c r="J1889" s="1797"/>
      <c r="K1889" s="1797"/>
      <c r="L1889" s="1784"/>
      <c r="M1889" s="1785"/>
    </row>
    <row r="1890" spans="1:13" s="156" customFormat="1" ht="30" x14ac:dyDescent="0.2">
      <c r="A1890" s="2144">
        <v>11762</v>
      </c>
      <c r="B1890" s="2144"/>
      <c r="C1890" s="771" t="s">
        <v>4448</v>
      </c>
      <c r="D1890" s="182" t="s">
        <v>14303</v>
      </c>
      <c r="E1890" s="780">
        <v>1</v>
      </c>
      <c r="F1890" s="781" t="s">
        <v>39</v>
      </c>
      <c r="G1890" s="782">
        <v>53.34</v>
      </c>
      <c r="H1890" s="783">
        <f>ROUNDDOWN(G1890*E1890,2)</f>
        <v>53.34</v>
      </c>
      <c r="I1890" s="1642"/>
      <c r="J1890" s="1797"/>
      <c r="K1890" s="1797"/>
      <c r="L1890" s="1784"/>
      <c r="M1890" s="1785"/>
    </row>
    <row r="1891" spans="1:13" s="156" customFormat="1" ht="30" x14ac:dyDescent="0.2">
      <c r="A1891" s="2144">
        <v>88267</v>
      </c>
      <c r="B1891" s="2144"/>
      <c r="C1891" s="771" t="s">
        <v>4448</v>
      </c>
      <c r="D1891" s="182" t="s">
        <v>83</v>
      </c>
      <c r="E1891" s="780">
        <v>0.15</v>
      </c>
      <c r="F1891" s="781" t="s">
        <v>65</v>
      </c>
      <c r="G1891" s="782">
        <v>19.73</v>
      </c>
      <c r="H1891" s="783">
        <f>ROUNDDOWN(G1891*E1891,2)</f>
        <v>2.95</v>
      </c>
      <c r="I1891" s="1642"/>
      <c r="J1891" s="1797"/>
      <c r="K1891" s="1797"/>
      <c r="L1891" s="1784"/>
      <c r="M1891" s="1785"/>
    </row>
    <row r="1892" spans="1:13" s="156" customFormat="1" ht="30" x14ac:dyDescent="0.2">
      <c r="A1892" s="2144">
        <v>88316</v>
      </c>
      <c r="B1892" s="2144"/>
      <c r="C1892" s="771" t="s">
        <v>4448</v>
      </c>
      <c r="D1892" s="182" t="s">
        <v>64</v>
      </c>
      <c r="E1892" s="780">
        <v>0.05</v>
      </c>
      <c r="F1892" s="781" t="s">
        <v>65</v>
      </c>
      <c r="G1892" s="782">
        <v>15.08</v>
      </c>
      <c r="H1892" s="783">
        <f>ROUNDDOWN(G1892*E1892,2)</f>
        <v>0.75</v>
      </c>
      <c r="I1892" s="1642"/>
      <c r="J1892" s="1797"/>
      <c r="K1892" s="1797"/>
      <c r="L1892" s="1784"/>
      <c r="M1892" s="1785"/>
    </row>
    <row r="1893" spans="1:13" s="1517" customFormat="1" x14ac:dyDescent="0.25">
      <c r="A1893" s="179"/>
      <c r="B1893" s="179"/>
      <c r="C1893" s="784"/>
      <c r="D1893" s="2141" t="s">
        <v>124</v>
      </c>
      <c r="E1893" s="2141"/>
      <c r="F1893" s="2141"/>
      <c r="G1893" s="2141"/>
      <c r="H1893" s="267">
        <f>SUMIF(F1889:F1892,("h"),H1889:H1892)</f>
        <v>3.7</v>
      </c>
      <c r="I1893" s="1830"/>
      <c r="J1893" s="1795"/>
      <c r="K1893" s="1795"/>
      <c r="L1893" s="169"/>
      <c r="M1893" s="1783"/>
    </row>
    <row r="1894" spans="1:13" s="1517" customFormat="1" x14ac:dyDescent="0.25">
      <c r="A1894" s="179"/>
      <c r="B1894" s="179"/>
      <c r="C1894" s="784"/>
      <c r="D1894" s="2141" t="s">
        <v>125</v>
      </c>
      <c r="E1894" s="2141"/>
      <c r="F1894" s="2141"/>
      <c r="G1894" s="2141"/>
      <c r="H1894" s="267">
        <f>SUMIF(F1889:F1892,"&lt;&gt;h",H1889:H1892)</f>
        <v>53.440000000000005</v>
      </c>
      <c r="I1894" s="1830"/>
      <c r="J1894" s="1795"/>
      <c r="K1894" s="1795"/>
      <c r="L1894" s="169"/>
      <c r="M1894" s="1783"/>
    </row>
    <row r="1895" spans="1:13" s="1517" customFormat="1" x14ac:dyDescent="0.25">
      <c r="A1895" s="179"/>
      <c r="B1895" s="179"/>
      <c r="C1895" s="784"/>
      <c r="D1895" s="2142" t="s">
        <v>126</v>
      </c>
      <c r="E1895" s="2142"/>
      <c r="F1895" s="2142"/>
      <c r="G1895" s="2142"/>
      <c r="H1895" s="785">
        <f>SUM(H1893:H1894)</f>
        <v>57.140000000000008</v>
      </c>
      <c r="I1895" s="1830"/>
      <c r="J1895" s="1795"/>
      <c r="K1895" s="1795"/>
      <c r="L1895" s="169"/>
      <c r="M1895" s="1783"/>
    </row>
    <row r="1896" spans="1:13" s="1517" customFormat="1" x14ac:dyDescent="0.25">
      <c r="A1896" s="179"/>
      <c r="B1896" s="179"/>
      <c r="C1896" s="784"/>
      <c r="D1896" s="2141" t="s">
        <v>28</v>
      </c>
      <c r="E1896" s="2141"/>
      <c r="F1896" s="2141"/>
      <c r="G1896" s="2141"/>
      <c r="H1896" s="269">
        <f>E1888</f>
        <v>9</v>
      </c>
      <c r="I1896" s="1830"/>
      <c r="J1896" s="1795"/>
      <c r="K1896" s="1795"/>
      <c r="L1896" s="169"/>
      <c r="M1896" s="1783"/>
    </row>
    <row r="1897" spans="1:13" s="1517" customFormat="1" x14ac:dyDescent="0.25">
      <c r="A1897" s="179"/>
      <c r="B1897" s="179"/>
      <c r="C1897" s="784"/>
      <c r="D1897" s="2142" t="s">
        <v>127</v>
      </c>
      <c r="E1897" s="2142"/>
      <c r="F1897" s="2142"/>
      <c r="G1897" s="2142"/>
      <c r="H1897" s="785">
        <f>ROUND(H1895*H1896,2)</f>
        <v>514.26</v>
      </c>
      <c r="I1897" s="1830"/>
      <c r="J1897" s="1795"/>
      <c r="K1897" s="1795"/>
      <c r="L1897" s="169"/>
      <c r="M1897" s="1783"/>
    </row>
    <row r="1898" spans="1:13" s="1517" customFormat="1" x14ac:dyDescent="0.25">
      <c r="A1898" s="179"/>
      <c r="B1898" s="179"/>
      <c r="C1898" s="1531"/>
      <c r="D1898" s="2141" t="s">
        <v>15335</v>
      </c>
      <c r="E1898" s="2141"/>
      <c r="F1898" s="2141"/>
      <c r="G1898" s="2141"/>
      <c r="H1898" s="267">
        <f>ROUND(H1895*$B$13,2)</f>
        <v>15.39</v>
      </c>
      <c r="I1898" s="1830"/>
      <c r="J1898" s="1795"/>
      <c r="K1898" s="1795"/>
      <c r="L1898" s="169"/>
      <c r="M1898" s="1783"/>
    </row>
    <row r="1899" spans="1:13" x14ac:dyDescent="0.25">
      <c r="A1899" s="179"/>
      <c r="B1899" s="179"/>
      <c r="C1899" s="1531"/>
      <c r="D1899" s="2142" t="s">
        <v>7898</v>
      </c>
      <c r="E1899" s="2142"/>
      <c r="F1899" s="2142"/>
      <c r="G1899" s="2142"/>
      <c r="H1899" s="1532">
        <f>H1898+H1895</f>
        <v>72.53</v>
      </c>
    </row>
    <row r="1900" spans="1:13" x14ac:dyDescent="0.25">
      <c r="A1900" s="770"/>
      <c r="B1900" s="770"/>
      <c r="C1900" s="770"/>
      <c r="F1900" s="786"/>
      <c r="G1900" s="787"/>
      <c r="H1900" s="770"/>
    </row>
    <row r="1901" spans="1:13" s="1517" customFormat="1" x14ac:dyDescent="0.25">
      <c r="A1901" s="146" t="s">
        <v>6</v>
      </c>
      <c r="B1901" s="2143" t="s">
        <v>7</v>
      </c>
      <c r="C1901" s="2143"/>
      <c r="D1901" s="772" t="s">
        <v>121</v>
      </c>
      <c r="E1901" s="278" t="s">
        <v>5282</v>
      </c>
      <c r="F1901" s="772" t="s">
        <v>31</v>
      </c>
      <c r="G1901" s="773" t="s">
        <v>122</v>
      </c>
      <c r="H1901" s="774" t="s">
        <v>123</v>
      </c>
      <c r="I1901" s="1830"/>
      <c r="J1901" s="1795"/>
      <c r="K1901" s="1795"/>
      <c r="L1901" s="169"/>
      <c r="M1901" s="1783"/>
    </row>
    <row r="1902" spans="1:13" s="1526" customFormat="1" ht="30" x14ac:dyDescent="0.2">
      <c r="A1902" s="775" t="str">
        <f>'Orç - Prédio'!A333</f>
        <v>05.01.518.02</v>
      </c>
      <c r="B1902" s="788" t="str">
        <f>'Orç - Prédio'!B333</f>
        <v>ORSE</v>
      </c>
      <c r="C1902" s="788">
        <f>'Orç - Prédio'!C333</f>
        <v>10041</v>
      </c>
      <c r="D1902" s="789" t="s">
        <v>6007</v>
      </c>
      <c r="E1902" s="776">
        <f>'Orç - Prédio'!E333</f>
        <v>10</v>
      </c>
      <c r="F1902" s="788" t="s">
        <v>5284</v>
      </c>
      <c r="G1902" s="777">
        <v>1540.77</v>
      </c>
      <c r="H1902" s="778">
        <f>H1910</f>
        <v>15407.7</v>
      </c>
      <c r="I1902" s="1910" t="s">
        <v>14965</v>
      </c>
      <c r="J1902" s="1793"/>
      <c r="K1902" s="1793"/>
      <c r="L1902" s="141"/>
      <c r="M1902" s="1515"/>
    </row>
    <row r="1903" spans="1:13" s="156" customFormat="1" ht="30" x14ac:dyDescent="0.2">
      <c r="A1903" s="2144">
        <v>10504</v>
      </c>
      <c r="B1903" s="2144"/>
      <c r="C1903" s="771" t="s">
        <v>5281</v>
      </c>
      <c r="D1903" s="791" t="s">
        <v>6022</v>
      </c>
      <c r="E1903" s="792">
        <v>1</v>
      </c>
      <c r="F1903" s="793" t="s">
        <v>31</v>
      </c>
      <c r="G1903" s="367">
        <v>1520.74</v>
      </c>
      <c r="H1903" s="783">
        <f>ROUNDDOWN(G1903*E1903,2)</f>
        <v>1520.74</v>
      </c>
      <c r="I1903" s="1642"/>
      <c r="J1903" s="1797"/>
      <c r="K1903" s="1797"/>
      <c r="L1903" s="1784"/>
      <c r="M1903" s="1785"/>
    </row>
    <row r="1904" spans="1:13" s="156" customFormat="1" ht="30" x14ac:dyDescent="0.2">
      <c r="A1904" s="2144">
        <v>3146</v>
      </c>
      <c r="B1904" s="2144"/>
      <c r="C1904" s="790" t="s">
        <v>4448</v>
      </c>
      <c r="D1904" s="182" t="s">
        <v>11904</v>
      </c>
      <c r="E1904" s="792">
        <v>8.4000000000000005E-2</v>
      </c>
      <c r="F1904" s="793" t="s">
        <v>39</v>
      </c>
      <c r="G1904" s="794">
        <v>3.58</v>
      </c>
      <c r="H1904" s="795">
        <f>ROUNDDOWN(G1904*E1904,2)</f>
        <v>0.3</v>
      </c>
      <c r="I1904" s="1642"/>
      <c r="J1904" s="1797"/>
      <c r="K1904" s="1797"/>
      <c r="L1904" s="1784"/>
      <c r="M1904" s="1785"/>
    </row>
    <row r="1905" spans="1:13" s="156" customFormat="1" ht="30" x14ac:dyDescent="0.2">
      <c r="A1905" s="2144">
        <v>88267</v>
      </c>
      <c r="B1905" s="2144"/>
      <c r="C1905" s="771" t="s">
        <v>4448</v>
      </c>
      <c r="D1905" s="182" t="s">
        <v>83</v>
      </c>
      <c r="E1905" s="780">
        <v>1</v>
      </c>
      <c r="F1905" s="781" t="s">
        <v>65</v>
      </c>
      <c r="G1905" s="782">
        <v>19.73</v>
      </c>
      <c r="H1905" s="783">
        <f>ROUNDDOWN(G1905*E1905,2)</f>
        <v>19.73</v>
      </c>
      <c r="I1905" s="1642"/>
      <c r="J1905" s="1797"/>
      <c r="K1905" s="1797"/>
      <c r="L1905" s="1784"/>
      <c r="M1905" s="1785"/>
    </row>
    <row r="1906" spans="1:13" s="1517" customFormat="1" x14ac:dyDescent="0.25">
      <c r="A1906" s="179"/>
      <c r="B1906" s="179"/>
      <c r="C1906" s="784"/>
      <c r="D1906" s="2141" t="s">
        <v>124</v>
      </c>
      <c r="E1906" s="2141"/>
      <c r="F1906" s="2141"/>
      <c r="G1906" s="2141"/>
      <c r="H1906" s="267">
        <f>SUMIF(F1903:F1905,("h"),H1903:H1905)</f>
        <v>19.73</v>
      </c>
      <c r="I1906" s="1830"/>
      <c r="J1906" s="1795"/>
      <c r="K1906" s="1795"/>
      <c r="L1906" s="169"/>
      <c r="M1906" s="1783"/>
    </row>
    <row r="1907" spans="1:13" s="1517" customFormat="1" x14ac:dyDescent="0.25">
      <c r="A1907" s="179"/>
      <c r="B1907" s="179"/>
      <c r="C1907" s="784"/>
      <c r="D1907" s="2141" t="s">
        <v>125</v>
      </c>
      <c r="E1907" s="2141"/>
      <c r="F1907" s="2141"/>
      <c r="G1907" s="2141"/>
      <c r="H1907" s="267">
        <f>SUMIF(F1903:F1905,"&lt;&gt;h",H1903:H1905)</f>
        <v>1521.04</v>
      </c>
      <c r="I1907" s="1830"/>
      <c r="J1907" s="1795"/>
      <c r="K1907" s="1795"/>
      <c r="L1907" s="169"/>
      <c r="M1907" s="1783"/>
    </row>
    <row r="1908" spans="1:13" s="1517" customFormat="1" x14ac:dyDescent="0.25">
      <c r="A1908" s="179"/>
      <c r="B1908" s="179"/>
      <c r="C1908" s="784"/>
      <c r="D1908" s="2142" t="s">
        <v>126</v>
      </c>
      <c r="E1908" s="2142"/>
      <c r="F1908" s="2142"/>
      <c r="G1908" s="2142"/>
      <c r="H1908" s="785">
        <f>SUM(H1906:H1907)</f>
        <v>1540.77</v>
      </c>
      <c r="I1908" s="1830"/>
      <c r="J1908" s="1795"/>
      <c r="K1908" s="1795"/>
      <c r="L1908" s="169"/>
      <c r="M1908" s="1783"/>
    </row>
    <row r="1909" spans="1:13" s="1517" customFormat="1" x14ac:dyDescent="0.25">
      <c r="A1909" s="179"/>
      <c r="B1909" s="179"/>
      <c r="C1909" s="784"/>
      <c r="D1909" s="2141" t="s">
        <v>28</v>
      </c>
      <c r="E1909" s="2141"/>
      <c r="F1909" s="2141"/>
      <c r="G1909" s="2141"/>
      <c r="H1909" s="269">
        <f>E1902</f>
        <v>10</v>
      </c>
      <c r="I1909" s="1830"/>
      <c r="J1909" s="1795"/>
      <c r="K1909" s="1795"/>
      <c r="L1909" s="169"/>
      <c r="M1909" s="1783"/>
    </row>
    <row r="1910" spans="1:13" s="1517" customFormat="1" x14ac:dyDescent="0.25">
      <c r="A1910" s="179"/>
      <c r="B1910" s="179"/>
      <c r="C1910" s="784"/>
      <c r="D1910" s="2142" t="s">
        <v>127</v>
      </c>
      <c r="E1910" s="2142"/>
      <c r="F1910" s="2142"/>
      <c r="G1910" s="2142"/>
      <c r="H1910" s="785">
        <f>ROUND(H1908*H1909,2)</f>
        <v>15407.7</v>
      </c>
      <c r="I1910" s="1830"/>
      <c r="J1910" s="1795"/>
      <c r="K1910" s="1795"/>
      <c r="L1910" s="169"/>
      <c r="M1910" s="1783"/>
    </row>
    <row r="1911" spans="1:13" s="1517" customFormat="1" x14ac:dyDescent="0.25">
      <c r="A1911" s="179"/>
      <c r="B1911" s="179"/>
      <c r="C1911" s="1531"/>
      <c r="D1911" s="2141" t="s">
        <v>15335</v>
      </c>
      <c r="E1911" s="2141"/>
      <c r="F1911" s="2141"/>
      <c r="G1911" s="2141"/>
      <c r="H1911" s="267">
        <f>ROUND(H1908*$B$13,2)</f>
        <v>414.93</v>
      </c>
      <c r="I1911" s="1830"/>
      <c r="J1911" s="1795"/>
      <c r="K1911" s="1795"/>
      <c r="L1911" s="169"/>
      <c r="M1911" s="1783"/>
    </row>
    <row r="1912" spans="1:13" x14ac:dyDescent="0.25">
      <c r="A1912" s="179"/>
      <c r="B1912" s="179"/>
      <c r="C1912" s="1531"/>
      <c r="D1912" s="2142" t="s">
        <v>7898</v>
      </c>
      <c r="E1912" s="2142"/>
      <c r="F1912" s="2142"/>
      <c r="G1912" s="2142"/>
      <c r="H1912" s="1532">
        <f>H1911+H1908</f>
        <v>1955.7</v>
      </c>
    </row>
    <row r="1913" spans="1:13" x14ac:dyDescent="0.25">
      <c r="A1913" s="770"/>
      <c r="B1913" s="770"/>
      <c r="C1913" s="770"/>
      <c r="F1913" s="786"/>
      <c r="G1913" s="787"/>
      <c r="H1913" s="770"/>
    </row>
    <row r="1914" spans="1:13" s="1517" customFormat="1" x14ac:dyDescent="0.25">
      <c r="A1914" s="146" t="s">
        <v>6</v>
      </c>
      <c r="B1914" s="2143" t="s">
        <v>7</v>
      </c>
      <c r="C1914" s="2143"/>
      <c r="D1914" s="798" t="s">
        <v>121</v>
      </c>
      <c r="E1914" s="278" t="s">
        <v>5282</v>
      </c>
      <c r="F1914" s="798" t="s">
        <v>31</v>
      </c>
      <c r="G1914" s="799" t="s">
        <v>122</v>
      </c>
      <c r="H1914" s="800" t="s">
        <v>123</v>
      </c>
      <c r="I1914" s="1830"/>
      <c r="J1914" s="1795"/>
      <c r="K1914" s="1795"/>
      <c r="L1914" s="169"/>
      <c r="M1914" s="1783"/>
    </row>
    <row r="1915" spans="1:13" s="1526" customFormat="1" ht="30" x14ac:dyDescent="0.2">
      <c r="A1915" s="801" t="str">
        <f>'Orç - Reservatório'!A134</f>
        <v>05.01.601.02</v>
      </c>
      <c r="B1915" s="1521" t="str">
        <f>'Orç - Reservatório'!B134</f>
        <v>ORSE</v>
      </c>
      <c r="C1915" s="1521" t="str">
        <f>'Orç - Reservatório'!C134</f>
        <v>9812 MOD</v>
      </c>
      <c r="D1915" s="1522" t="s">
        <v>6026</v>
      </c>
      <c r="E1915" s="1523">
        <f>'Orç - Reservatório'!E134</f>
        <v>1</v>
      </c>
      <c r="F1915" s="1521" t="s">
        <v>5284</v>
      </c>
      <c r="G1915" s="804">
        <v>2173.19</v>
      </c>
      <c r="H1915" s="805">
        <f>H1923</f>
        <v>2173.19</v>
      </c>
      <c r="I1915" s="1910" t="s">
        <v>14965</v>
      </c>
      <c r="J1915" s="1793"/>
      <c r="K1915" s="1793"/>
      <c r="L1915" s="141"/>
      <c r="M1915" s="1515"/>
    </row>
    <row r="1916" spans="1:13" s="156" customFormat="1" ht="75" x14ac:dyDescent="0.2">
      <c r="A1916" s="2144">
        <v>7538</v>
      </c>
      <c r="B1916" s="2144"/>
      <c r="C1916" s="797" t="s">
        <v>5281</v>
      </c>
      <c r="D1916" s="806" t="s">
        <v>7596</v>
      </c>
      <c r="E1916" s="807">
        <v>1</v>
      </c>
      <c r="F1916" s="808" t="s">
        <v>31</v>
      </c>
      <c r="G1916" s="367">
        <v>2087.29</v>
      </c>
      <c r="H1916" s="810">
        <f>ROUNDDOWN(G1916*E1916,2)</f>
        <v>2087.29</v>
      </c>
      <c r="I1916" s="1642"/>
      <c r="J1916" s="1797"/>
      <c r="K1916" s="1797"/>
      <c r="L1916" s="1784"/>
      <c r="M1916" s="1785"/>
    </row>
    <row r="1917" spans="1:13" s="156" customFormat="1" ht="30" x14ac:dyDescent="0.2">
      <c r="A1917" s="2144">
        <v>88264</v>
      </c>
      <c r="B1917" s="2144"/>
      <c r="C1917" s="797" t="s">
        <v>4448</v>
      </c>
      <c r="D1917" s="182" t="s">
        <v>81</v>
      </c>
      <c r="E1917" s="807">
        <v>2</v>
      </c>
      <c r="F1917" s="808" t="s">
        <v>65</v>
      </c>
      <c r="G1917" s="809">
        <v>20.329999999999998</v>
      </c>
      <c r="H1917" s="810">
        <f>ROUNDDOWN(G1917*E1917,2)</f>
        <v>40.659999999999997</v>
      </c>
      <c r="I1917" s="1642"/>
      <c r="J1917" s="1797"/>
      <c r="K1917" s="1797"/>
      <c r="L1917" s="1784"/>
      <c r="M1917" s="1785"/>
    </row>
    <row r="1918" spans="1:13" s="156" customFormat="1" ht="30" x14ac:dyDescent="0.2">
      <c r="A1918" s="2144">
        <v>88316</v>
      </c>
      <c r="B1918" s="2144"/>
      <c r="C1918" s="797" t="s">
        <v>4448</v>
      </c>
      <c r="D1918" s="182" t="s">
        <v>64</v>
      </c>
      <c r="E1918" s="807">
        <v>3</v>
      </c>
      <c r="F1918" s="808" t="s">
        <v>65</v>
      </c>
      <c r="G1918" s="809">
        <v>15.08</v>
      </c>
      <c r="H1918" s="810">
        <f>ROUNDDOWN(G1918*E1918,2)</f>
        <v>45.24</v>
      </c>
      <c r="I1918" s="1642"/>
      <c r="J1918" s="1797"/>
      <c r="K1918" s="1797"/>
      <c r="L1918" s="1784"/>
      <c r="M1918" s="1785"/>
    </row>
    <row r="1919" spans="1:13" s="1517" customFormat="1" x14ac:dyDescent="0.25">
      <c r="A1919" s="179"/>
      <c r="B1919" s="179"/>
      <c r="C1919" s="811"/>
      <c r="D1919" s="2141" t="s">
        <v>124</v>
      </c>
      <c r="E1919" s="2141"/>
      <c r="F1919" s="2141"/>
      <c r="G1919" s="2141"/>
      <c r="H1919" s="267">
        <f>SUMIF(F1916:F1918,("h"),H1916:H1918)</f>
        <v>85.9</v>
      </c>
      <c r="I1919" s="1830"/>
      <c r="J1919" s="1795"/>
      <c r="K1919" s="1795"/>
      <c r="L1919" s="169"/>
      <c r="M1919" s="1783"/>
    </row>
    <row r="1920" spans="1:13" s="1517" customFormat="1" x14ac:dyDescent="0.25">
      <c r="A1920" s="179"/>
      <c r="B1920" s="179"/>
      <c r="C1920" s="811"/>
      <c r="D1920" s="2141" t="s">
        <v>125</v>
      </c>
      <c r="E1920" s="2141"/>
      <c r="F1920" s="2141"/>
      <c r="G1920" s="2141"/>
      <c r="H1920" s="267">
        <f>SUMIF(F1916:F1918,"&lt;&gt;h",H1916:H1918)</f>
        <v>2087.29</v>
      </c>
      <c r="I1920" s="1830"/>
      <c r="J1920" s="1795"/>
      <c r="K1920" s="1795"/>
      <c r="L1920" s="169"/>
      <c r="M1920" s="1783"/>
    </row>
    <row r="1921" spans="1:13" s="1517" customFormat="1" x14ac:dyDescent="0.25">
      <c r="A1921" s="179"/>
      <c r="B1921" s="179"/>
      <c r="C1921" s="811"/>
      <c r="D1921" s="2142" t="s">
        <v>126</v>
      </c>
      <c r="E1921" s="2142"/>
      <c r="F1921" s="2142"/>
      <c r="G1921" s="2142"/>
      <c r="H1921" s="812">
        <f>SUM(H1919:H1920)</f>
        <v>2173.19</v>
      </c>
      <c r="I1921" s="1830"/>
      <c r="J1921" s="1795"/>
      <c r="K1921" s="1795"/>
      <c r="L1921" s="169"/>
      <c r="M1921" s="1783"/>
    </row>
    <row r="1922" spans="1:13" s="1517" customFormat="1" x14ac:dyDescent="0.25">
      <c r="A1922" s="179"/>
      <c r="B1922" s="179"/>
      <c r="C1922" s="811"/>
      <c r="D1922" s="2141" t="s">
        <v>28</v>
      </c>
      <c r="E1922" s="2141"/>
      <c r="F1922" s="2141"/>
      <c r="G1922" s="2141"/>
      <c r="H1922" s="269">
        <f>E1915</f>
        <v>1</v>
      </c>
      <c r="I1922" s="1830"/>
      <c r="J1922" s="1795"/>
      <c r="K1922" s="1795"/>
      <c r="L1922" s="169"/>
      <c r="M1922" s="1783"/>
    </row>
    <row r="1923" spans="1:13" s="1517" customFormat="1" x14ac:dyDescent="0.25">
      <c r="A1923" s="179"/>
      <c r="B1923" s="179"/>
      <c r="C1923" s="811"/>
      <c r="D1923" s="2142" t="s">
        <v>127</v>
      </c>
      <c r="E1923" s="2142"/>
      <c r="F1923" s="2142"/>
      <c r="G1923" s="2142"/>
      <c r="H1923" s="812">
        <f>ROUND(H1921*H1922,2)</f>
        <v>2173.19</v>
      </c>
      <c r="I1923" s="1830"/>
      <c r="J1923" s="1795"/>
      <c r="K1923" s="1795"/>
      <c r="L1923" s="169"/>
      <c r="M1923" s="1783"/>
    </row>
    <row r="1924" spans="1:13" s="1517" customFormat="1" x14ac:dyDescent="0.25">
      <c r="A1924" s="179"/>
      <c r="B1924" s="179"/>
      <c r="C1924" s="1531"/>
      <c r="D1924" s="2141" t="s">
        <v>15335</v>
      </c>
      <c r="E1924" s="2141"/>
      <c r="F1924" s="2141"/>
      <c r="G1924" s="2141"/>
      <c r="H1924" s="267">
        <f>ROUND(H1921*$B$13,2)</f>
        <v>585.24</v>
      </c>
      <c r="I1924" s="1830"/>
      <c r="J1924" s="1795"/>
      <c r="K1924" s="1795"/>
      <c r="L1924" s="169"/>
      <c r="M1924" s="1783"/>
    </row>
    <row r="1925" spans="1:13" x14ac:dyDescent="0.25">
      <c r="A1925" s="179"/>
      <c r="B1925" s="179"/>
      <c r="C1925" s="1531"/>
      <c r="D1925" s="2142" t="s">
        <v>7898</v>
      </c>
      <c r="E1925" s="2142"/>
      <c r="F1925" s="2142"/>
      <c r="G1925" s="2142"/>
      <c r="H1925" s="1532">
        <f>H1924+H1921</f>
        <v>2758.4300000000003</v>
      </c>
    </row>
    <row r="1926" spans="1:13" x14ac:dyDescent="0.25">
      <c r="A1926" s="796"/>
      <c r="B1926" s="796"/>
      <c r="C1926" s="796"/>
      <c r="F1926" s="813"/>
      <c r="G1926" s="814"/>
      <c r="H1926" s="796"/>
    </row>
    <row r="1927" spans="1:13" s="1517" customFormat="1" x14ac:dyDescent="0.25">
      <c r="A1927" s="146" t="s">
        <v>6</v>
      </c>
      <c r="B1927" s="2143" t="s">
        <v>7</v>
      </c>
      <c r="C1927" s="2143"/>
      <c r="D1927" s="798" t="s">
        <v>121</v>
      </c>
      <c r="E1927" s="278" t="s">
        <v>5282</v>
      </c>
      <c r="F1927" s="798" t="s">
        <v>31</v>
      </c>
      <c r="G1927" s="799" t="s">
        <v>122</v>
      </c>
      <c r="H1927" s="800" t="s">
        <v>123</v>
      </c>
      <c r="I1927" s="1830"/>
      <c r="J1927" s="1795"/>
      <c r="K1927" s="1795"/>
      <c r="L1927" s="169"/>
      <c r="M1927" s="1783"/>
    </row>
    <row r="1928" spans="1:13" s="1526" customFormat="1" ht="45" x14ac:dyDescent="0.2">
      <c r="A1928" s="801" t="str">
        <f>'Orç - Prédio'!A338</f>
        <v>05.01.608.02</v>
      </c>
      <c r="B1928" s="801" t="str">
        <f>'Orç - Prédio'!B338</f>
        <v>CPOS</v>
      </c>
      <c r="C1928" s="801" t="str">
        <f>'Orç - Prédio'!C338</f>
        <v>48.03.138</v>
      </c>
      <c r="D1928" s="802" t="s">
        <v>15147</v>
      </c>
      <c r="E1928" s="803">
        <f>'Orç - Prédio'!E338</f>
        <v>2</v>
      </c>
      <c r="F1928" s="801" t="s">
        <v>5284</v>
      </c>
      <c r="G1928" s="804">
        <v>925.01</v>
      </c>
      <c r="H1928" s="805">
        <f>H1936</f>
        <v>1850.02</v>
      </c>
      <c r="I1928" s="1910" t="s">
        <v>9562</v>
      </c>
      <c r="J1928" s="1793"/>
      <c r="K1928" s="1793"/>
      <c r="L1928" s="141"/>
      <c r="M1928" s="1515"/>
    </row>
    <row r="1929" spans="1:13" s="156" customFormat="1" ht="60" x14ac:dyDescent="0.2">
      <c r="A1929" s="2144">
        <v>89272</v>
      </c>
      <c r="B1929" s="2144"/>
      <c r="C1929" s="797" t="s">
        <v>4448</v>
      </c>
      <c r="D1929" s="182" t="s">
        <v>382</v>
      </c>
      <c r="E1929" s="807">
        <v>8</v>
      </c>
      <c r="F1929" s="808" t="s">
        <v>97</v>
      </c>
      <c r="G1929" s="809">
        <v>109.39</v>
      </c>
      <c r="H1929" s="810">
        <f>ROUNDDOWN(G1929*E1929,2)</f>
        <v>875.12</v>
      </c>
      <c r="I1929" s="1642"/>
      <c r="J1929" s="1797"/>
      <c r="K1929" s="1797"/>
      <c r="L1929" s="1784"/>
      <c r="M1929" s="1785"/>
    </row>
    <row r="1930" spans="1:13" s="156" customFormat="1" ht="30" x14ac:dyDescent="0.2">
      <c r="A1930" s="2144">
        <v>88267</v>
      </c>
      <c r="B1930" s="2144"/>
      <c r="C1930" s="797" t="s">
        <v>4448</v>
      </c>
      <c r="D1930" s="182" t="s">
        <v>83</v>
      </c>
      <c r="E1930" s="807">
        <v>1</v>
      </c>
      <c r="F1930" s="808" t="s">
        <v>65</v>
      </c>
      <c r="G1930" s="809">
        <v>19.73</v>
      </c>
      <c r="H1930" s="810">
        <f>ROUNDDOWN(G1930*E1930,2)</f>
        <v>19.73</v>
      </c>
      <c r="I1930" s="1642"/>
      <c r="J1930" s="1797"/>
      <c r="K1930" s="1797"/>
      <c r="L1930" s="1784"/>
      <c r="M1930" s="1785"/>
    </row>
    <row r="1931" spans="1:13" s="156" customFormat="1" ht="30" x14ac:dyDescent="0.2">
      <c r="A1931" s="2144">
        <v>88316</v>
      </c>
      <c r="B1931" s="2144"/>
      <c r="C1931" s="797" t="s">
        <v>4448</v>
      </c>
      <c r="D1931" s="182" t="s">
        <v>64</v>
      </c>
      <c r="E1931" s="807">
        <v>2</v>
      </c>
      <c r="F1931" s="808" t="s">
        <v>65</v>
      </c>
      <c r="G1931" s="809">
        <v>15.08</v>
      </c>
      <c r="H1931" s="810">
        <f>ROUNDDOWN(G1931*E1931,2)</f>
        <v>30.16</v>
      </c>
      <c r="I1931" s="1642"/>
      <c r="J1931" s="1797"/>
      <c r="K1931" s="1797"/>
      <c r="L1931" s="1784"/>
      <c r="M1931" s="1785"/>
    </row>
    <row r="1932" spans="1:13" s="1517" customFormat="1" x14ac:dyDescent="0.25">
      <c r="A1932" s="179"/>
      <c r="B1932" s="179"/>
      <c r="C1932" s="811"/>
      <c r="D1932" s="2141" t="s">
        <v>124</v>
      </c>
      <c r="E1932" s="2141"/>
      <c r="F1932" s="2141"/>
      <c r="G1932" s="2141"/>
      <c r="H1932" s="267">
        <f>SUMIF(F1929:F1931,("h"),H1929:H1931)</f>
        <v>49.89</v>
      </c>
      <c r="I1932" s="1830"/>
      <c r="J1932" s="1795"/>
      <c r="K1932" s="1795"/>
      <c r="L1932" s="169"/>
      <c r="M1932" s="1783"/>
    </row>
    <row r="1933" spans="1:13" s="1517" customFormat="1" x14ac:dyDescent="0.25">
      <c r="A1933" s="179"/>
      <c r="B1933" s="179"/>
      <c r="C1933" s="811"/>
      <c r="D1933" s="2141" t="s">
        <v>125</v>
      </c>
      <c r="E1933" s="2141"/>
      <c r="F1933" s="2141"/>
      <c r="G1933" s="2141"/>
      <c r="H1933" s="267">
        <f>SUMIF(F1929:F1931,"&lt;&gt;h",H1929:H1931)</f>
        <v>875.12</v>
      </c>
      <c r="I1933" s="1830"/>
      <c r="J1933" s="1795"/>
      <c r="K1933" s="1795"/>
      <c r="L1933" s="169"/>
      <c r="M1933" s="1783"/>
    </row>
    <row r="1934" spans="1:13" s="1517" customFormat="1" x14ac:dyDescent="0.25">
      <c r="A1934" s="179"/>
      <c r="B1934" s="179"/>
      <c r="C1934" s="811"/>
      <c r="D1934" s="2142" t="s">
        <v>126</v>
      </c>
      <c r="E1934" s="2142"/>
      <c r="F1934" s="2142"/>
      <c r="G1934" s="2142"/>
      <c r="H1934" s="812">
        <f>SUM(H1932:H1933)</f>
        <v>925.01</v>
      </c>
      <c r="I1934" s="1830"/>
      <c r="J1934" s="1795"/>
      <c r="K1934" s="1795"/>
      <c r="L1934" s="169"/>
      <c r="M1934" s="1783"/>
    </row>
    <row r="1935" spans="1:13" s="1517" customFormat="1" x14ac:dyDescent="0.25">
      <c r="A1935" s="179"/>
      <c r="B1935" s="179"/>
      <c r="C1935" s="811"/>
      <c r="D1935" s="2141" t="s">
        <v>28</v>
      </c>
      <c r="E1935" s="2141"/>
      <c r="F1935" s="2141"/>
      <c r="G1935" s="2141"/>
      <c r="H1935" s="269">
        <f>E1928</f>
        <v>2</v>
      </c>
      <c r="I1935" s="1830"/>
      <c r="J1935" s="1795"/>
      <c r="K1935" s="1795"/>
      <c r="L1935" s="169"/>
      <c r="M1935" s="1783"/>
    </row>
    <row r="1936" spans="1:13" s="1517" customFormat="1" x14ac:dyDescent="0.25">
      <c r="A1936" s="179"/>
      <c r="B1936" s="179"/>
      <c r="C1936" s="811"/>
      <c r="D1936" s="2142" t="s">
        <v>127</v>
      </c>
      <c r="E1936" s="2142"/>
      <c r="F1936" s="2142"/>
      <c r="G1936" s="2142"/>
      <c r="H1936" s="812">
        <f>ROUND(H1934*H1935,2)</f>
        <v>1850.02</v>
      </c>
      <c r="I1936" s="1830"/>
      <c r="J1936" s="1795"/>
      <c r="K1936" s="1795"/>
      <c r="L1936" s="169"/>
      <c r="M1936" s="1783"/>
    </row>
    <row r="1937" spans="1:13" s="1517" customFormat="1" x14ac:dyDescent="0.25">
      <c r="A1937" s="179"/>
      <c r="B1937" s="179"/>
      <c r="C1937" s="1531"/>
      <c r="D1937" s="2141" t="s">
        <v>15335</v>
      </c>
      <c r="E1937" s="2141"/>
      <c r="F1937" s="2141"/>
      <c r="G1937" s="2141"/>
      <c r="H1937" s="267">
        <f>ROUND(H1934*$B$13,2)</f>
        <v>249.11</v>
      </c>
      <c r="I1937" s="1830"/>
      <c r="J1937" s="1795"/>
      <c r="K1937" s="1795"/>
      <c r="L1937" s="169"/>
      <c r="M1937" s="1783"/>
    </row>
    <row r="1938" spans="1:13" x14ac:dyDescent="0.25">
      <c r="A1938" s="179"/>
      <c r="B1938" s="179"/>
      <c r="C1938" s="1531"/>
      <c r="D1938" s="2142" t="s">
        <v>7898</v>
      </c>
      <c r="E1938" s="2142"/>
      <c r="F1938" s="2142"/>
      <c r="G1938" s="2142"/>
      <c r="H1938" s="1532">
        <f>H1937+H1934</f>
        <v>1174.1199999999999</v>
      </c>
    </row>
    <row r="1939" spans="1:13" x14ac:dyDescent="0.25">
      <c r="A1939" s="796"/>
      <c r="B1939" s="796"/>
      <c r="C1939" s="796"/>
      <c r="F1939" s="813"/>
      <c r="G1939" s="814"/>
      <c r="H1939" s="796"/>
    </row>
    <row r="1940" spans="1:13" s="1517" customFormat="1" x14ac:dyDescent="0.25">
      <c r="A1940" s="146" t="s">
        <v>6</v>
      </c>
      <c r="B1940" s="2143" t="s">
        <v>7</v>
      </c>
      <c r="C1940" s="2143"/>
      <c r="D1940" s="798" t="s">
        <v>121</v>
      </c>
      <c r="E1940" s="278" t="s">
        <v>5282</v>
      </c>
      <c r="F1940" s="798" t="s">
        <v>31</v>
      </c>
      <c r="G1940" s="799" t="s">
        <v>122</v>
      </c>
      <c r="H1940" s="800" t="s">
        <v>123</v>
      </c>
      <c r="I1940" s="1830"/>
      <c r="J1940" s="1795"/>
      <c r="K1940" s="1795"/>
      <c r="L1940" s="169"/>
      <c r="M1940" s="1783"/>
    </row>
    <row r="1941" spans="1:13" s="1526" customFormat="1" ht="30" x14ac:dyDescent="0.2">
      <c r="A1941" s="801" t="str">
        <f>'Orç - Reservatório'!A136</f>
        <v>05.01.609.01</v>
      </c>
      <c r="B1941" s="815" t="str">
        <f>'Orç - Reservatório'!B136</f>
        <v>SINAPI</v>
      </c>
      <c r="C1941" s="815" t="str">
        <f>'Orç - Reservatório'!C136</f>
        <v>95675 MOD</v>
      </c>
      <c r="D1941" s="816" t="s">
        <v>6030</v>
      </c>
      <c r="E1941" s="803">
        <f>'Orç - Reservatório'!E136</f>
        <v>1</v>
      </c>
      <c r="F1941" s="815" t="s">
        <v>5284</v>
      </c>
      <c r="G1941" s="804">
        <v>346.22</v>
      </c>
      <c r="H1941" s="805">
        <f>H1950</f>
        <v>346.22</v>
      </c>
      <c r="I1941" s="1910" t="s">
        <v>9601</v>
      </c>
      <c r="J1941" s="1793"/>
      <c r="K1941" s="1793"/>
      <c r="L1941" s="141"/>
      <c r="M1941" s="1515"/>
    </row>
    <row r="1942" spans="1:13" s="156" customFormat="1" ht="30" x14ac:dyDescent="0.2">
      <c r="A1942" s="2144">
        <v>3146</v>
      </c>
      <c r="B1942" s="2144"/>
      <c r="C1942" s="797" t="s">
        <v>4448</v>
      </c>
      <c r="D1942" s="182" t="s">
        <v>11904</v>
      </c>
      <c r="E1942" s="807">
        <v>1.9800000000000002E-2</v>
      </c>
      <c r="F1942" s="808" t="s">
        <v>39</v>
      </c>
      <c r="G1942" s="809">
        <v>3.58</v>
      </c>
      <c r="H1942" s="810">
        <f>ROUNDDOWN(G1942*E1942,2)</f>
        <v>7.0000000000000007E-2</v>
      </c>
      <c r="I1942" s="1642"/>
      <c r="J1942" s="1797"/>
      <c r="K1942" s="1797"/>
      <c r="L1942" s="1784"/>
      <c r="M1942" s="1785"/>
    </row>
    <row r="1943" spans="1:13" s="156" customFormat="1" ht="30" x14ac:dyDescent="0.2">
      <c r="A1943" s="2144">
        <v>12775</v>
      </c>
      <c r="B1943" s="2144"/>
      <c r="C1943" s="797" t="s">
        <v>4448</v>
      </c>
      <c r="D1943" s="182" t="s">
        <v>12097</v>
      </c>
      <c r="E1943" s="807">
        <v>1</v>
      </c>
      <c r="F1943" s="808" t="s">
        <v>39</v>
      </c>
      <c r="G1943" s="809">
        <v>324.99</v>
      </c>
      <c r="H1943" s="810">
        <f>ROUNDDOWN(G1943*E1943,2)</f>
        <v>324.99</v>
      </c>
      <c r="I1943" s="1642"/>
      <c r="J1943" s="1797"/>
      <c r="K1943" s="1797"/>
      <c r="L1943" s="1784"/>
      <c r="M1943" s="1785"/>
    </row>
    <row r="1944" spans="1:13" s="156" customFormat="1" ht="45" x14ac:dyDescent="0.2">
      <c r="A1944" s="2144">
        <v>88248</v>
      </c>
      <c r="B1944" s="2144"/>
      <c r="C1944" s="797" t="s">
        <v>4448</v>
      </c>
      <c r="D1944" s="182" t="s">
        <v>73</v>
      </c>
      <c r="E1944" s="807">
        <v>0.6</v>
      </c>
      <c r="F1944" s="808" t="s">
        <v>65</v>
      </c>
      <c r="G1944" s="809">
        <v>15.55</v>
      </c>
      <c r="H1944" s="810">
        <f>ROUNDDOWN(G1944*E1944,2)</f>
        <v>9.33</v>
      </c>
      <c r="I1944" s="1642"/>
      <c r="J1944" s="1797"/>
      <c r="K1944" s="1797"/>
      <c r="L1944" s="1784"/>
      <c r="M1944" s="1785"/>
    </row>
    <row r="1945" spans="1:13" s="156" customFormat="1" ht="30" x14ac:dyDescent="0.2">
      <c r="A1945" s="2144">
        <v>88267</v>
      </c>
      <c r="B1945" s="2144"/>
      <c r="C1945" s="797" t="s">
        <v>4448</v>
      </c>
      <c r="D1945" s="182" t="s">
        <v>83</v>
      </c>
      <c r="E1945" s="807">
        <v>0.6</v>
      </c>
      <c r="F1945" s="808" t="s">
        <v>65</v>
      </c>
      <c r="G1945" s="809">
        <v>19.73</v>
      </c>
      <c r="H1945" s="810">
        <f>ROUNDDOWN(G1945*E1945,2)</f>
        <v>11.83</v>
      </c>
      <c r="I1945" s="1642"/>
      <c r="J1945" s="1797"/>
      <c r="K1945" s="1797"/>
      <c r="L1945" s="1784"/>
      <c r="M1945" s="1785"/>
    </row>
    <row r="1946" spans="1:13" s="1517" customFormat="1" x14ac:dyDescent="0.25">
      <c r="A1946" s="179"/>
      <c r="B1946" s="179"/>
      <c r="C1946" s="811"/>
      <c r="D1946" s="2141" t="s">
        <v>124</v>
      </c>
      <c r="E1946" s="2141"/>
      <c r="F1946" s="2141"/>
      <c r="G1946" s="2141"/>
      <c r="H1946" s="267">
        <f>SUMIF(F1942:F1945,("h"),H1942:H1945)</f>
        <v>21.16</v>
      </c>
      <c r="I1946" s="1830"/>
      <c r="J1946" s="1795"/>
      <c r="K1946" s="1795"/>
      <c r="L1946" s="169"/>
      <c r="M1946" s="1783"/>
    </row>
    <row r="1947" spans="1:13" s="1517" customFormat="1" x14ac:dyDescent="0.25">
      <c r="A1947" s="179"/>
      <c r="B1947" s="179"/>
      <c r="C1947" s="811"/>
      <c r="D1947" s="2141" t="s">
        <v>125</v>
      </c>
      <c r="E1947" s="2141"/>
      <c r="F1947" s="2141"/>
      <c r="G1947" s="2141"/>
      <c r="H1947" s="267">
        <f>SUMIF(F1942:F1945,"&lt;&gt;h",H1942:H1945)</f>
        <v>325.06</v>
      </c>
      <c r="I1947" s="1830"/>
      <c r="J1947" s="1795"/>
      <c r="K1947" s="1795"/>
      <c r="L1947" s="169"/>
      <c r="M1947" s="1783"/>
    </row>
    <row r="1948" spans="1:13" s="1517" customFormat="1" x14ac:dyDescent="0.25">
      <c r="A1948" s="179"/>
      <c r="B1948" s="179"/>
      <c r="C1948" s="811"/>
      <c r="D1948" s="2142" t="s">
        <v>126</v>
      </c>
      <c r="E1948" s="2142"/>
      <c r="F1948" s="2142"/>
      <c r="G1948" s="2142"/>
      <c r="H1948" s="812">
        <f>SUM(H1946:H1947)</f>
        <v>346.22</v>
      </c>
      <c r="I1948" s="1830"/>
      <c r="J1948" s="1795"/>
      <c r="K1948" s="1795"/>
      <c r="L1948" s="169"/>
      <c r="M1948" s="1783"/>
    </row>
    <row r="1949" spans="1:13" s="1517" customFormat="1" x14ac:dyDescent="0.25">
      <c r="A1949" s="179"/>
      <c r="B1949" s="179"/>
      <c r="C1949" s="811"/>
      <c r="D1949" s="2141" t="s">
        <v>28</v>
      </c>
      <c r="E1949" s="2141"/>
      <c r="F1949" s="2141"/>
      <c r="G1949" s="2141"/>
      <c r="H1949" s="269">
        <f>E1941</f>
        <v>1</v>
      </c>
      <c r="I1949" s="1830"/>
      <c r="J1949" s="1795"/>
      <c r="K1949" s="1795"/>
      <c r="L1949" s="169"/>
      <c r="M1949" s="1783"/>
    </row>
    <row r="1950" spans="1:13" s="1517" customFormat="1" x14ac:dyDescent="0.25">
      <c r="A1950" s="179"/>
      <c r="B1950" s="179"/>
      <c r="C1950" s="811"/>
      <c r="D1950" s="2142" t="s">
        <v>127</v>
      </c>
      <c r="E1950" s="2142"/>
      <c r="F1950" s="2142"/>
      <c r="G1950" s="2142"/>
      <c r="H1950" s="812">
        <f>ROUND(H1948*H1949,2)</f>
        <v>346.22</v>
      </c>
      <c r="I1950" s="1830"/>
      <c r="J1950" s="1795"/>
      <c r="K1950" s="1795"/>
      <c r="L1950" s="169"/>
      <c r="M1950" s="1783"/>
    </row>
    <row r="1951" spans="1:13" s="1517" customFormat="1" x14ac:dyDescent="0.25">
      <c r="A1951" s="179"/>
      <c r="B1951" s="179"/>
      <c r="C1951" s="1531"/>
      <c r="D1951" s="2141" t="s">
        <v>15335</v>
      </c>
      <c r="E1951" s="2141"/>
      <c r="F1951" s="2141"/>
      <c r="G1951" s="2141"/>
      <c r="H1951" s="267">
        <f>ROUND(H1948*$B$13,2)</f>
        <v>93.24</v>
      </c>
      <c r="I1951" s="1830"/>
      <c r="J1951" s="1795"/>
      <c r="K1951" s="1795"/>
      <c r="L1951" s="169"/>
      <c r="M1951" s="1783"/>
    </row>
    <row r="1952" spans="1:13" x14ac:dyDescent="0.25">
      <c r="A1952" s="179"/>
      <c r="B1952" s="179"/>
      <c r="C1952" s="1531"/>
      <c r="D1952" s="2142" t="s">
        <v>7898</v>
      </c>
      <c r="E1952" s="2142"/>
      <c r="F1952" s="2142"/>
      <c r="G1952" s="2142"/>
      <c r="H1952" s="1532">
        <f>H1951+H1948</f>
        <v>439.46000000000004</v>
      </c>
    </row>
    <row r="1953" spans="1:13" x14ac:dyDescent="0.25">
      <c r="A1953" s="796"/>
      <c r="B1953" s="796"/>
      <c r="C1953" s="796"/>
      <c r="F1953" s="813"/>
      <c r="G1953" s="814"/>
      <c r="H1953" s="796"/>
    </row>
    <row r="1954" spans="1:13" s="1517" customFormat="1" x14ac:dyDescent="0.25">
      <c r="A1954" s="146" t="s">
        <v>6</v>
      </c>
      <c r="B1954" s="2143" t="s">
        <v>7</v>
      </c>
      <c r="C1954" s="2143"/>
      <c r="D1954" s="819" t="s">
        <v>121</v>
      </c>
      <c r="E1954" s="278" t="s">
        <v>5282</v>
      </c>
      <c r="F1954" s="819" t="s">
        <v>31</v>
      </c>
      <c r="G1954" s="820" t="s">
        <v>122</v>
      </c>
      <c r="H1954" s="821" t="s">
        <v>123</v>
      </c>
      <c r="I1954" s="1830"/>
      <c r="J1954" s="1795"/>
      <c r="K1954" s="1795"/>
      <c r="L1954" s="169"/>
      <c r="M1954" s="1783"/>
    </row>
    <row r="1955" spans="1:13" s="1526" customFormat="1" ht="30" x14ac:dyDescent="0.2">
      <c r="A1955" s="822" t="str">
        <f>'Orç - Prédio'!A343</f>
        <v>05.03.114</v>
      </c>
      <c r="B1955" s="822" t="str">
        <f>'Orç - Prédio'!B343</f>
        <v>ORSE</v>
      </c>
      <c r="C1955" s="822">
        <f>'Orç - Prédio'!C343</f>
        <v>4283</v>
      </c>
      <c r="D1955" s="823" t="s">
        <v>6039</v>
      </c>
      <c r="E1955" s="824">
        <f>'Orç - Prédio'!E343</f>
        <v>18</v>
      </c>
      <c r="F1955" s="822" t="s">
        <v>5284</v>
      </c>
      <c r="G1955" s="825">
        <v>29.619999999999997</v>
      </c>
      <c r="H1955" s="826">
        <f>H1963</f>
        <v>533.16</v>
      </c>
      <c r="I1955" s="1910" t="s">
        <v>9562</v>
      </c>
      <c r="J1955" s="1793"/>
      <c r="K1955" s="1793"/>
      <c r="L1955" s="141"/>
      <c r="M1955" s="1515"/>
    </row>
    <row r="1956" spans="1:13" s="156" customFormat="1" ht="30" x14ac:dyDescent="0.2">
      <c r="A1956" s="2144">
        <v>11708</v>
      </c>
      <c r="B1956" s="2144"/>
      <c r="C1956" s="818" t="s">
        <v>4448</v>
      </c>
      <c r="D1956" s="182" t="s">
        <v>13571</v>
      </c>
      <c r="E1956" s="827">
        <v>1</v>
      </c>
      <c r="F1956" s="828" t="s">
        <v>39</v>
      </c>
      <c r="G1956" s="829">
        <v>12.22</v>
      </c>
      <c r="H1956" s="830">
        <f>ROUNDDOWN(G1956*E1956,2)</f>
        <v>12.22</v>
      </c>
      <c r="I1956" s="1642"/>
      <c r="J1956" s="1797"/>
      <c r="K1956" s="1797"/>
      <c r="L1956" s="1784"/>
      <c r="M1956" s="1785"/>
    </row>
    <row r="1957" spans="1:13" s="156" customFormat="1" ht="30" x14ac:dyDescent="0.2">
      <c r="A1957" s="2144">
        <v>88267</v>
      </c>
      <c r="B1957" s="2144"/>
      <c r="C1957" s="818" t="s">
        <v>4448</v>
      </c>
      <c r="D1957" s="182" t="s">
        <v>83</v>
      </c>
      <c r="E1957" s="827">
        <v>0.5</v>
      </c>
      <c r="F1957" s="828" t="s">
        <v>65</v>
      </c>
      <c r="G1957" s="829">
        <v>19.73</v>
      </c>
      <c r="H1957" s="830">
        <f>ROUNDDOWN(G1957*E1957,2)</f>
        <v>9.86</v>
      </c>
      <c r="I1957" s="1642"/>
      <c r="J1957" s="1797"/>
      <c r="K1957" s="1797"/>
      <c r="L1957" s="1784"/>
      <c r="M1957" s="1785"/>
    </row>
    <row r="1958" spans="1:13" s="156" customFormat="1" ht="30" x14ac:dyDescent="0.2">
      <c r="A1958" s="2144">
        <v>88316</v>
      </c>
      <c r="B1958" s="2144"/>
      <c r="C1958" s="818" t="s">
        <v>4448</v>
      </c>
      <c r="D1958" s="182" t="s">
        <v>64</v>
      </c>
      <c r="E1958" s="827">
        <v>0.5</v>
      </c>
      <c r="F1958" s="828" t="s">
        <v>65</v>
      </c>
      <c r="G1958" s="829">
        <v>15.08</v>
      </c>
      <c r="H1958" s="830">
        <f>ROUNDDOWN(G1958*E1958,2)</f>
        <v>7.54</v>
      </c>
      <c r="I1958" s="1642"/>
      <c r="J1958" s="1797"/>
      <c r="K1958" s="1797"/>
      <c r="L1958" s="1784"/>
      <c r="M1958" s="1785"/>
    </row>
    <row r="1959" spans="1:13" s="1517" customFormat="1" x14ac:dyDescent="0.25">
      <c r="A1959" s="179"/>
      <c r="B1959" s="179"/>
      <c r="C1959" s="831"/>
      <c r="D1959" s="2141" t="s">
        <v>124</v>
      </c>
      <c r="E1959" s="2141"/>
      <c r="F1959" s="2141"/>
      <c r="G1959" s="2141"/>
      <c r="H1959" s="267">
        <f>SUMIF(F1956:F1958,("h"),H1956:H1958)</f>
        <v>17.399999999999999</v>
      </c>
      <c r="I1959" s="1830"/>
      <c r="J1959" s="1795"/>
      <c r="K1959" s="1795"/>
      <c r="L1959" s="169"/>
      <c r="M1959" s="1783"/>
    </row>
    <row r="1960" spans="1:13" s="1517" customFormat="1" x14ac:dyDescent="0.25">
      <c r="A1960" s="179"/>
      <c r="B1960" s="179"/>
      <c r="C1960" s="831"/>
      <c r="D1960" s="2141" t="s">
        <v>125</v>
      </c>
      <c r="E1960" s="2141"/>
      <c r="F1960" s="2141"/>
      <c r="G1960" s="2141"/>
      <c r="H1960" s="267">
        <f>SUMIF(F1956:F1958,"&lt;&gt;h",H1956:H1958)</f>
        <v>12.22</v>
      </c>
      <c r="I1960" s="1830"/>
      <c r="J1960" s="1795"/>
      <c r="K1960" s="1795"/>
      <c r="L1960" s="169"/>
      <c r="M1960" s="1783"/>
    </row>
    <row r="1961" spans="1:13" s="1517" customFormat="1" x14ac:dyDescent="0.25">
      <c r="A1961" s="179"/>
      <c r="B1961" s="179"/>
      <c r="C1961" s="831"/>
      <c r="D1961" s="2142" t="s">
        <v>126</v>
      </c>
      <c r="E1961" s="2142"/>
      <c r="F1961" s="2142"/>
      <c r="G1961" s="2142"/>
      <c r="H1961" s="832">
        <f>SUM(H1959:H1960)</f>
        <v>29.619999999999997</v>
      </c>
      <c r="I1961" s="1830"/>
      <c r="J1961" s="1795"/>
      <c r="K1961" s="1795"/>
      <c r="L1961" s="169"/>
      <c r="M1961" s="1783"/>
    </row>
    <row r="1962" spans="1:13" s="1517" customFormat="1" x14ac:dyDescent="0.25">
      <c r="A1962" s="179"/>
      <c r="B1962" s="179"/>
      <c r="C1962" s="831"/>
      <c r="D1962" s="2141" t="s">
        <v>28</v>
      </c>
      <c r="E1962" s="2141"/>
      <c r="F1962" s="2141"/>
      <c r="G1962" s="2141"/>
      <c r="H1962" s="269">
        <f>E1955</f>
        <v>18</v>
      </c>
      <c r="I1962" s="1830"/>
      <c r="J1962" s="1795"/>
      <c r="K1962" s="1795"/>
      <c r="L1962" s="169"/>
      <c r="M1962" s="1783"/>
    </row>
    <row r="1963" spans="1:13" s="1517" customFormat="1" x14ac:dyDescent="0.25">
      <c r="A1963" s="179"/>
      <c r="B1963" s="179"/>
      <c r="C1963" s="831"/>
      <c r="D1963" s="2142" t="s">
        <v>127</v>
      </c>
      <c r="E1963" s="2142"/>
      <c r="F1963" s="2142"/>
      <c r="G1963" s="2142"/>
      <c r="H1963" s="832">
        <f>ROUND(H1961*H1962,2)</f>
        <v>533.16</v>
      </c>
      <c r="I1963" s="1830"/>
      <c r="J1963" s="1795"/>
      <c r="K1963" s="1795"/>
      <c r="L1963" s="169"/>
      <c r="M1963" s="1783"/>
    </row>
    <row r="1964" spans="1:13" s="1517" customFormat="1" x14ac:dyDescent="0.25">
      <c r="A1964" s="179"/>
      <c r="B1964" s="179"/>
      <c r="C1964" s="1531"/>
      <c r="D1964" s="2141" t="s">
        <v>15335</v>
      </c>
      <c r="E1964" s="2141"/>
      <c r="F1964" s="2141"/>
      <c r="G1964" s="2141"/>
      <c r="H1964" s="267">
        <f>ROUND(H1961*$B$13,2)</f>
        <v>7.98</v>
      </c>
      <c r="I1964" s="1830"/>
      <c r="J1964" s="1795"/>
      <c r="K1964" s="1795"/>
      <c r="L1964" s="169"/>
      <c r="M1964" s="1783"/>
    </row>
    <row r="1965" spans="1:13" x14ac:dyDescent="0.25">
      <c r="A1965" s="179"/>
      <c r="B1965" s="179"/>
      <c r="C1965" s="1531"/>
      <c r="D1965" s="2142" t="s">
        <v>7898</v>
      </c>
      <c r="E1965" s="2142"/>
      <c r="F1965" s="2142"/>
      <c r="G1965" s="2142"/>
      <c r="H1965" s="1532">
        <f>H1964+H1961</f>
        <v>37.599999999999994</v>
      </c>
    </row>
    <row r="1966" spans="1:13" x14ac:dyDescent="0.25">
      <c r="A1966" s="817"/>
      <c r="B1966" s="817"/>
      <c r="C1966" s="817"/>
      <c r="F1966" s="833"/>
      <c r="G1966" s="834"/>
      <c r="H1966" s="817"/>
    </row>
    <row r="1967" spans="1:13" s="1517" customFormat="1" x14ac:dyDescent="0.25">
      <c r="A1967" s="146" t="s">
        <v>6</v>
      </c>
      <c r="B1967" s="2143" t="s">
        <v>7</v>
      </c>
      <c r="C1967" s="2143"/>
      <c r="D1967" s="1518" t="s">
        <v>121</v>
      </c>
      <c r="E1967" s="278" t="s">
        <v>5282</v>
      </c>
      <c r="F1967" s="1518" t="s">
        <v>31</v>
      </c>
      <c r="G1967" s="1519" t="s">
        <v>122</v>
      </c>
      <c r="H1967" s="1520" t="s">
        <v>123</v>
      </c>
      <c r="I1967" s="1830"/>
      <c r="J1967" s="1795"/>
      <c r="K1967" s="1795"/>
      <c r="L1967" s="169"/>
      <c r="M1967" s="1783"/>
    </row>
    <row r="1968" spans="1:13" s="1526" customFormat="1" ht="30" x14ac:dyDescent="0.2">
      <c r="A1968" s="1841" t="str">
        <f>'Orç - Prédio'!A347</f>
        <v>05.03.302</v>
      </c>
      <c r="B1968" s="1841" t="str">
        <f>'Orç - Prédio'!B347</f>
        <v>Comp. Montada</v>
      </c>
      <c r="C1968" s="1841">
        <f>'Orç - Prédio'!C347</f>
        <v>9</v>
      </c>
      <c r="D1968" s="1522" t="s">
        <v>6044</v>
      </c>
      <c r="E1968" s="1523">
        <f>'Orç - Prédio'!E347</f>
        <v>6</v>
      </c>
      <c r="F1968" s="1841" t="s">
        <v>5284</v>
      </c>
      <c r="G1968" s="1524">
        <v>8.8000000000000007</v>
      </c>
      <c r="H1968" s="1525">
        <f>H1978</f>
        <v>52.8</v>
      </c>
      <c r="I1968" s="1910" t="s">
        <v>9562</v>
      </c>
      <c r="J1968" s="1793"/>
      <c r="K1968" s="1793"/>
      <c r="L1968" s="141"/>
      <c r="M1968" s="1515"/>
    </row>
    <row r="1969" spans="1:13" s="156" customFormat="1" ht="30" x14ac:dyDescent="0.2">
      <c r="A1969" s="2144">
        <v>122</v>
      </c>
      <c r="B1969" s="2144"/>
      <c r="C1969" s="1516" t="s">
        <v>4448</v>
      </c>
      <c r="D1969" s="182" t="s">
        <v>9804</v>
      </c>
      <c r="E1969" s="1527">
        <v>7.0000000000000001E-3</v>
      </c>
      <c r="F1969" s="1839" t="s">
        <v>39</v>
      </c>
      <c r="G1969" s="1529">
        <v>56.82</v>
      </c>
      <c r="H1969" s="1530">
        <f>ROUNDDOWN(G1969*E1969,2)</f>
        <v>0.39</v>
      </c>
      <c r="I1969" s="1642"/>
      <c r="J1969" s="1797"/>
      <c r="K1969" s="1797"/>
      <c r="L1969" s="1784"/>
      <c r="M1969" s="1785"/>
    </row>
    <row r="1970" spans="1:13" s="156" customFormat="1" ht="30" x14ac:dyDescent="0.2">
      <c r="A1970" s="2144">
        <v>1200</v>
      </c>
      <c r="B1970" s="2144"/>
      <c r="C1970" s="1516" t="s">
        <v>4448</v>
      </c>
      <c r="D1970" s="182" t="s">
        <v>10731</v>
      </c>
      <c r="E1970" s="1527">
        <v>1</v>
      </c>
      <c r="F1970" s="1839" t="s">
        <v>39</v>
      </c>
      <c r="G1970" s="1529">
        <v>5.91</v>
      </c>
      <c r="H1970" s="1530">
        <f>ROUNDDOWN(G1970*E1970,2)</f>
        <v>5.91</v>
      </c>
      <c r="I1970" s="1642"/>
      <c r="J1970" s="1797"/>
      <c r="K1970" s="1797"/>
      <c r="L1970" s="1784"/>
      <c r="M1970" s="1785"/>
    </row>
    <row r="1971" spans="1:13" s="156" customFormat="1" ht="30" x14ac:dyDescent="0.2">
      <c r="A1971" s="2144">
        <v>20083</v>
      </c>
      <c r="B1971" s="2144"/>
      <c r="C1971" s="1516" t="s">
        <v>4448</v>
      </c>
      <c r="D1971" s="182" t="s">
        <v>13801</v>
      </c>
      <c r="E1971" s="1527">
        <v>5.0000000000000001E-3</v>
      </c>
      <c r="F1971" s="1839" t="s">
        <v>39</v>
      </c>
      <c r="G1971" s="1529">
        <v>49.34</v>
      </c>
      <c r="H1971" s="1530">
        <f>ROUNDDOWN(G1971*E1971,2)</f>
        <v>0.24</v>
      </c>
      <c r="I1971" s="1642"/>
      <c r="J1971" s="1797"/>
      <c r="K1971" s="1797"/>
      <c r="L1971" s="1784"/>
      <c r="M1971" s="1785"/>
    </row>
    <row r="1972" spans="1:13" s="156" customFormat="1" ht="30" x14ac:dyDescent="0.2">
      <c r="A1972" s="2144">
        <v>88267</v>
      </c>
      <c r="B1972" s="2144"/>
      <c r="C1972" s="1516" t="s">
        <v>4448</v>
      </c>
      <c r="D1972" s="182" t="s">
        <v>83</v>
      </c>
      <c r="E1972" s="1527">
        <v>6.5000000000000002E-2</v>
      </c>
      <c r="F1972" s="1839" t="s">
        <v>65</v>
      </c>
      <c r="G1972" s="1529">
        <v>19.73</v>
      </c>
      <c r="H1972" s="1530">
        <f>ROUNDDOWN(G1972*E1972,2)</f>
        <v>1.28</v>
      </c>
      <c r="I1972" s="1642"/>
      <c r="J1972" s="1797"/>
      <c r="K1972" s="1797"/>
      <c r="L1972" s="1784"/>
      <c r="M1972" s="1785"/>
    </row>
    <row r="1973" spans="1:13" s="156" customFormat="1" ht="30" x14ac:dyDescent="0.2">
      <c r="A1973" s="2144">
        <v>88316</v>
      </c>
      <c r="B1973" s="2144"/>
      <c r="C1973" s="1516" t="s">
        <v>4448</v>
      </c>
      <c r="D1973" s="182" t="s">
        <v>64</v>
      </c>
      <c r="E1973" s="1527">
        <v>6.5000000000000002E-2</v>
      </c>
      <c r="F1973" s="1839" t="s">
        <v>65</v>
      </c>
      <c r="G1973" s="1529">
        <v>15.08</v>
      </c>
      <c r="H1973" s="1530">
        <f>ROUNDDOWN(G1973*E1973,2)</f>
        <v>0.98</v>
      </c>
      <c r="I1973" s="1642"/>
      <c r="J1973" s="1797"/>
      <c r="K1973" s="1797"/>
      <c r="L1973" s="1784"/>
      <c r="M1973" s="1785"/>
    </row>
    <row r="1974" spans="1:13" s="1517" customFormat="1" x14ac:dyDescent="0.25">
      <c r="A1974" s="1840"/>
      <c r="B1974" s="1840"/>
      <c r="C1974" s="1531"/>
      <c r="D1974" s="2141" t="s">
        <v>124</v>
      </c>
      <c r="E1974" s="2141"/>
      <c r="F1974" s="2141"/>
      <c r="G1974" s="2141"/>
      <c r="H1974" s="267">
        <f>SUMIF(F1969:F1973,("h"),H1969:H1973)</f>
        <v>2.2599999999999998</v>
      </c>
      <c r="I1974" s="1830"/>
      <c r="J1974" s="1795"/>
      <c r="K1974" s="1795"/>
      <c r="L1974" s="169"/>
      <c r="M1974" s="1783"/>
    </row>
    <row r="1975" spans="1:13" s="1517" customFormat="1" x14ac:dyDescent="0.25">
      <c r="A1975" s="1840"/>
      <c r="B1975" s="1840"/>
      <c r="C1975" s="1531"/>
      <c r="D1975" s="2141" t="s">
        <v>125</v>
      </c>
      <c r="E1975" s="2141"/>
      <c r="F1975" s="2141"/>
      <c r="G1975" s="2141"/>
      <c r="H1975" s="267">
        <f>SUMIF(F1969:F1973,"&lt;&gt;h",H1969:H1973)</f>
        <v>6.54</v>
      </c>
      <c r="I1975" s="1830"/>
      <c r="J1975" s="1795"/>
      <c r="K1975" s="1795"/>
      <c r="L1975" s="169"/>
      <c r="M1975" s="1783"/>
    </row>
    <row r="1976" spans="1:13" s="1517" customFormat="1" x14ac:dyDescent="0.25">
      <c r="A1976" s="1840"/>
      <c r="B1976" s="1840"/>
      <c r="C1976" s="1531"/>
      <c r="D1976" s="2142" t="s">
        <v>126</v>
      </c>
      <c r="E1976" s="2142"/>
      <c r="F1976" s="2142"/>
      <c r="G1976" s="2142"/>
      <c r="H1976" s="1532">
        <f>SUM(H1974:H1975)</f>
        <v>8.8000000000000007</v>
      </c>
      <c r="I1976" s="1830"/>
      <c r="J1976" s="1795"/>
      <c r="K1976" s="1795"/>
      <c r="L1976" s="169"/>
      <c r="M1976" s="1783"/>
    </row>
    <row r="1977" spans="1:13" s="1517" customFormat="1" x14ac:dyDescent="0.25">
      <c r="A1977" s="1840"/>
      <c r="B1977" s="1840"/>
      <c r="C1977" s="1531"/>
      <c r="D1977" s="2141" t="s">
        <v>28</v>
      </c>
      <c r="E1977" s="2141"/>
      <c r="F1977" s="2141"/>
      <c r="G1977" s="2141"/>
      <c r="H1977" s="269">
        <f>E1968</f>
        <v>6</v>
      </c>
      <c r="I1977" s="1830"/>
      <c r="J1977" s="1795"/>
      <c r="K1977" s="1795"/>
      <c r="L1977" s="169"/>
      <c r="M1977" s="1783"/>
    </row>
    <row r="1978" spans="1:13" s="1517" customFormat="1" x14ac:dyDescent="0.25">
      <c r="A1978" s="1840"/>
      <c r="B1978" s="1840"/>
      <c r="C1978" s="1531"/>
      <c r="D1978" s="2142" t="s">
        <v>127</v>
      </c>
      <c r="E1978" s="2142"/>
      <c r="F1978" s="2142"/>
      <c r="G1978" s="2142"/>
      <c r="H1978" s="1532">
        <f>ROUND(H1976*H1977,2)</f>
        <v>52.8</v>
      </c>
      <c r="I1978" s="1830"/>
      <c r="J1978" s="1795"/>
      <c r="K1978" s="1795"/>
      <c r="L1978" s="169"/>
      <c r="M1978" s="1783"/>
    </row>
    <row r="1979" spans="1:13" s="1517" customFormat="1" x14ac:dyDescent="0.25">
      <c r="A1979" s="1840"/>
      <c r="B1979" s="1840"/>
      <c r="C1979" s="1531"/>
      <c r="D1979" s="2141" t="s">
        <v>15335</v>
      </c>
      <c r="E1979" s="2141"/>
      <c r="F1979" s="2141"/>
      <c r="G1979" s="2141"/>
      <c r="H1979" s="267">
        <f>ROUND(H1976*$B$13,2)</f>
        <v>2.37</v>
      </c>
      <c r="I1979" s="1830"/>
      <c r="J1979" s="1795"/>
      <c r="K1979" s="1795"/>
      <c r="L1979" s="169"/>
      <c r="M1979" s="1783"/>
    </row>
    <row r="1980" spans="1:13" x14ac:dyDescent="0.25">
      <c r="A1980" s="1840"/>
      <c r="B1980" s="1840"/>
      <c r="C1980" s="1531"/>
      <c r="D1980" s="2142" t="s">
        <v>7898</v>
      </c>
      <c r="E1980" s="2142"/>
      <c r="F1980" s="2142"/>
      <c r="G1980" s="2142"/>
      <c r="H1980" s="1532">
        <f>H1979+H1976</f>
        <v>11.170000000000002</v>
      </c>
    </row>
    <row r="1981" spans="1:13" x14ac:dyDescent="0.25">
      <c r="A1981" s="1514"/>
      <c r="B1981" s="1514"/>
      <c r="C1981" s="1514"/>
      <c r="F1981" s="1533"/>
      <c r="G1981" s="1534"/>
      <c r="H1981" s="1514"/>
    </row>
    <row r="1982" spans="1:13" s="1517" customFormat="1" x14ac:dyDescent="0.25">
      <c r="A1982" s="146" t="s">
        <v>6</v>
      </c>
      <c r="B1982" s="2143" t="s">
        <v>7</v>
      </c>
      <c r="C1982" s="2143"/>
      <c r="D1982" s="837" t="s">
        <v>121</v>
      </c>
      <c r="E1982" s="278" t="s">
        <v>5282</v>
      </c>
      <c r="F1982" s="837" t="s">
        <v>31</v>
      </c>
      <c r="G1982" s="838" t="s">
        <v>122</v>
      </c>
      <c r="H1982" s="839" t="s">
        <v>123</v>
      </c>
      <c r="I1982" s="1830"/>
      <c r="J1982" s="1795"/>
      <c r="K1982" s="1795"/>
      <c r="L1982" s="169"/>
      <c r="M1982" s="1783"/>
    </row>
    <row r="1983" spans="1:13" s="1526" customFormat="1" ht="30" x14ac:dyDescent="0.2">
      <c r="A1983" s="840" t="str">
        <f>'Orç - Prédio'!A348</f>
        <v>05.03.304.01</v>
      </c>
      <c r="B1983" s="852" t="str">
        <f>'Orç - Prédio'!B348</f>
        <v>SINAPI</v>
      </c>
      <c r="C1983" s="852" t="str">
        <f>'Orç - Prédio'!C348</f>
        <v>95695 MOD</v>
      </c>
      <c r="D1983" s="853" t="s">
        <v>14975</v>
      </c>
      <c r="E1983" s="841">
        <f>'Orç - Prédio'!E348</f>
        <v>12</v>
      </c>
      <c r="F1983" s="852" t="s">
        <v>5284</v>
      </c>
      <c r="G1983" s="842">
        <v>35.85</v>
      </c>
      <c r="H1983" s="843">
        <f>H1993</f>
        <v>430.2</v>
      </c>
      <c r="I1983" s="1910" t="s">
        <v>9562</v>
      </c>
      <c r="J1983" s="1793"/>
      <c r="K1983" s="1793"/>
      <c r="L1983" s="141"/>
      <c r="M1983" s="1515"/>
    </row>
    <row r="1984" spans="1:13" s="156" customFormat="1" ht="30" x14ac:dyDescent="0.2">
      <c r="A1984" s="2144">
        <v>301</v>
      </c>
      <c r="B1984" s="2144"/>
      <c r="C1984" s="836" t="s">
        <v>4448</v>
      </c>
      <c r="D1984" s="182" t="s">
        <v>9861</v>
      </c>
      <c r="E1984" s="844">
        <v>1</v>
      </c>
      <c r="F1984" s="845" t="s">
        <v>39</v>
      </c>
      <c r="G1984" s="846">
        <v>2.21</v>
      </c>
      <c r="H1984" s="847">
        <f>ROUNDDOWN(G1984*E1984,2)</f>
        <v>2.21</v>
      </c>
      <c r="I1984" s="1642"/>
      <c r="J1984" s="1797"/>
      <c r="K1984" s="1797"/>
      <c r="L1984" s="1784"/>
      <c r="M1984" s="1785"/>
    </row>
    <row r="1985" spans="1:13" s="156" customFormat="1" ht="60" x14ac:dyDescent="0.2">
      <c r="A1985" s="2144">
        <v>20078</v>
      </c>
      <c r="B1985" s="2144"/>
      <c r="C1985" s="836" t="s">
        <v>4448</v>
      </c>
      <c r="D1985" s="182" t="s">
        <v>13168</v>
      </c>
      <c r="E1985" s="844">
        <v>4.5999999999999999E-2</v>
      </c>
      <c r="F1985" s="845" t="s">
        <v>39</v>
      </c>
      <c r="G1985" s="846">
        <v>20.8</v>
      </c>
      <c r="H1985" s="847">
        <f>ROUNDDOWN(G1985*E1985,2)</f>
        <v>0.95</v>
      </c>
      <c r="I1985" s="1642"/>
      <c r="J1985" s="1797"/>
      <c r="K1985" s="1797"/>
      <c r="L1985" s="1784"/>
      <c r="M1985" s="1785"/>
    </row>
    <row r="1986" spans="1:13" s="156" customFormat="1" ht="30" x14ac:dyDescent="0.2">
      <c r="A1986" s="2144">
        <v>1965</v>
      </c>
      <c r="B1986" s="2144"/>
      <c r="C1986" s="836" t="s">
        <v>4448</v>
      </c>
      <c r="D1986" s="182" t="s">
        <v>11299</v>
      </c>
      <c r="E1986" s="844">
        <v>1</v>
      </c>
      <c r="F1986" s="845" t="s">
        <v>39</v>
      </c>
      <c r="G1986" s="846">
        <v>29.17</v>
      </c>
      <c r="H1986" s="847">
        <f>ROUNDDOWN(G1986*E1986,2)</f>
        <v>29.17</v>
      </c>
      <c r="I1986" s="1642"/>
      <c r="J1986" s="1797"/>
      <c r="K1986" s="1797"/>
      <c r="L1986" s="1784"/>
      <c r="M1986" s="1785"/>
    </row>
    <row r="1987" spans="1:13" s="156" customFormat="1" ht="45" x14ac:dyDescent="0.2">
      <c r="A1987" s="2144">
        <v>88248</v>
      </c>
      <c r="B1987" s="2144"/>
      <c r="C1987" s="836" t="s">
        <v>4448</v>
      </c>
      <c r="D1987" s="182" t="s">
        <v>73</v>
      </c>
      <c r="E1987" s="844">
        <v>0.1</v>
      </c>
      <c r="F1987" s="845" t="s">
        <v>65</v>
      </c>
      <c r="G1987" s="846">
        <v>15.55</v>
      </c>
      <c r="H1987" s="847">
        <f>ROUNDDOWN(G1987*E1987,2)</f>
        <v>1.55</v>
      </c>
      <c r="I1987" s="1642"/>
      <c r="J1987" s="1797"/>
      <c r="K1987" s="1797"/>
      <c r="L1987" s="1784"/>
      <c r="M1987" s="1785"/>
    </row>
    <row r="1988" spans="1:13" s="156" customFormat="1" ht="30" x14ac:dyDescent="0.2">
      <c r="A1988" s="2144">
        <v>88267</v>
      </c>
      <c r="B1988" s="2144"/>
      <c r="C1988" s="836" t="s">
        <v>4448</v>
      </c>
      <c r="D1988" s="182" t="s">
        <v>83</v>
      </c>
      <c r="E1988" s="844">
        <v>0.1</v>
      </c>
      <c r="F1988" s="845" t="s">
        <v>65</v>
      </c>
      <c r="G1988" s="846">
        <v>19.73</v>
      </c>
      <c r="H1988" s="847">
        <f>ROUNDDOWN(G1988*E1988,2)</f>
        <v>1.97</v>
      </c>
      <c r="I1988" s="1642"/>
      <c r="J1988" s="1797"/>
      <c r="K1988" s="1797"/>
      <c r="L1988" s="1784"/>
      <c r="M1988" s="1785"/>
    </row>
    <row r="1989" spans="1:13" s="1517" customFormat="1" x14ac:dyDescent="0.25">
      <c r="A1989" s="179"/>
      <c r="B1989" s="179"/>
      <c r="C1989" s="848"/>
      <c r="D1989" s="2141" t="s">
        <v>124</v>
      </c>
      <c r="E1989" s="2141"/>
      <c r="F1989" s="2141"/>
      <c r="G1989" s="2141"/>
      <c r="H1989" s="267">
        <f>SUMIF(F1984:F1988,("h"),H1984:H1988)</f>
        <v>3.52</v>
      </c>
      <c r="I1989" s="1830"/>
      <c r="J1989" s="1795"/>
      <c r="K1989" s="1795"/>
      <c r="L1989" s="169"/>
      <c r="M1989" s="1783"/>
    </row>
    <row r="1990" spans="1:13" s="1517" customFormat="1" x14ac:dyDescent="0.25">
      <c r="A1990" s="179"/>
      <c r="B1990" s="179"/>
      <c r="C1990" s="848"/>
      <c r="D1990" s="2141" t="s">
        <v>125</v>
      </c>
      <c r="E1990" s="2141"/>
      <c r="F1990" s="2141"/>
      <c r="G1990" s="2141"/>
      <c r="H1990" s="267">
        <f>SUMIF(F1984:F1988,"&lt;&gt;h",H1984:H1988)</f>
        <v>32.33</v>
      </c>
      <c r="I1990" s="1830"/>
      <c r="J1990" s="1795"/>
      <c r="K1990" s="1795"/>
      <c r="L1990" s="169"/>
      <c r="M1990" s="1783"/>
    </row>
    <row r="1991" spans="1:13" s="1517" customFormat="1" x14ac:dyDescent="0.25">
      <c r="A1991" s="179"/>
      <c r="B1991" s="179"/>
      <c r="C1991" s="848"/>
      <c r="D1991" s="2142" t="s">
        <v>126</v>
      </c>
      <c r="E1991" s="2142"/>
      <c r="F1991" s="2142"/>
      <c r="G1991" s="2142"/>
      <c r="H1991" s="849">
        <f>SUM(H1989:H1990)</f>
        <v>35.85</v>
      </c>
      <c r="I1991" s="1830"/>
      <c r="J1991" s="1795"/>
      <c r="K1991" s="1795"/>
      <c r="L1991" s="169"/>
      <c r="M1991" s="1783"/>
    </row>
    <row r="1992" spans="1:13" s="1517" customFormat="1" x14ac:dyDescent="0.25">
      <c r="A1992" s="179"/>
      <c r="B1992" s="179"/>
      <c r="C1992" s="848"/>
      <c r="D1992" s="2141" t="s">
        <v>28</v>
      </c>
      <c r="E1992" s="2141"/>
      <c r="F1992" s="2141"/>
      <c r="G1992" s="2141"/>
      <c r="H1992" s="269">
        <f>E1983</f>
        <v>12</v>
      </c>
      <c r="I1992" s="1830"/>
      <c r="J1992" s="1795"/>
      <c r="K1992" s="1795"/>
      <c r="L1992" s="169"/>
      <c r="M1992" s="1783"/>
    </row>
    <row r="1993" spans="1:13" s="1517" customFormat="1" x14ac:dyDescent="0.25">
      <c r="A1993" s="179"/>
      <c r="B1993" s="179"/>
      <c r="C1993" s="848"/>
      <c r="D1993" s="2142" t="s">
        <v>127</v>
      </c>
      <c r="E1993" s="2142"/>
      <c r="F1993" s="2142"/>
      <c r="G1993" s="2142"/>
      <c r="H1993" s="849">
        <f>ROUND(H1991*H1992,2)</f>
        <v>430.2</v>
      </c>
      <c r="I1993" s="1830"/>
      <c r="J1993" s="1795"/>
      <c r="K1993" s="1795"/>
      <c r="L1993" s="169"/>
      <c r="M1993" s="1783"/>
    </row>
    <row r="1994" spans="1:13" s="1517" customFormat="1" x14ac:dyDescent="0.25">
      <c r="A1994" s="179"/>
      <c r="B1994" s="179"/>
      <c r="C1994" s="1531"/>
      <c r="D1994" s="2141" t="s">
        <v>15335</v>
      </c>
      <c r="E1994" s="2141"/>
      <c r="F1994" s="2141"/>
      <c r="G1994" s="2141"/>
      <c r="H1994" s="267">
        <f>ROUND(H1991*$B$13,2)</f>
        <v>9.65</v>
      </c>
      <c r="I1994" s="1830"/>
      <c r="J1994" s="1795"/>
      <c r="K1994" s="1795"/>
      <c r="L1994" s="169"/>
      <c r="M1994" s="1783"/>
    </row>
    <row r="1995" spans="1:13" x14ac:dyDescent="0.25">
      <c r="A1995" s="179"/>
      <c r="B1995" s="179"/>
      <c r="C1995" s="1531"/>
      <c r="D1995" s="2142" t="s">
        <v>7898</v>
      </c>
      <c r="E1995" s="2142"/>
      <c r="F1995" s="2142"/>
      <c r="G1995" s="2142"/>
      <c r="H1995" s="1532">
        <f>H1994+H1991</f>
        <v>45.5</v>
      </c>
    </row>
    <row r="1996" spans="1:13" x14ac:dyDescent="0.25">
      <c r="A1996" s="835"/>
      <c r="B1996" s="835"/>
      <c r="C1996" s="835"/>
      <c r="F1996" s="850"/>
      <c r="G1996" s="851"/>
      <c r="H1996" s="835"/>
    </row>
    <row r="1997" spans="1:13" s="1517" customFormat="1" x14ac:dyDescent="0.25">
      <c r="A1997" s="146" t="s">
        <v>6</v>
      </c>
      <c r="B1997" s="2143" t="s">
        <v>7</v>
      </c>
      <c r="C1997" s="2143"/>
      <c r="D1997" s="856" t="s">
        <v>121</v>
      </c>
      <c r="E1997" s="278" t="s">
        <v>5282</v>
      </c>
      <c r="F1997" s="856" t="s">
        <v>31</v>
      </c>
      <c r="G1997" s="857" t="s">
        <v>122</v>
      </c>
      <c r="H1997" s="858" t="s">
        <v>123</v>
      </c>
      <c r="I1997" s="1830"/>
      <c r="J1997" s="1795"/>
      <c r="K1997" s="1795"/>
      <c r="L1997" s="169"/>
      <c r="M1997" s="1783"/>
    </row>
    <row r="1998" spans="1:13" s="1526" customFormat="1" ht="30" x14ac:dyDescent="0.2">
      <c r="A1998" s="859" t="str">
        <f>'Orç - Prédio'!A354</f>
        <v>05.03.901</v>
      </c>
      <c r="B1998" s="859" t="str">
        <f>'Orç - Prédio'!B354</f>
        <v>SINAPI</v>
      </c>
      <c r="C1998" s="859" t="str">
        <f>'Orç - Prédio'!C354</f>
        <v>72285 MOD</v>
      </c>
      <c r="D1998" s="860" t="s">
        <v>6055</v>
      </c>
      <c r="E1998" s="861">
        <f>'Orç - Prédio'!E354</f>
        <v>16</v>
      </c>
      <c r="F1998" s="859" t="s">
        <v>5284</v>
      </c>
      <c r="G1998" s="862">
        <v>160.97</v>
      </c>
      <c r="H1998" s="863">
        <f>H2009</f>
        <v>2575.52</v>
      </c>
      <c r="I1998" s="1910" t="s">
        <v>9562</v>
      </c>
      <c r="J1998" s="1793"/>
      <c r="K1998" s="1793"/>
      <c r="L1998" s="141"/>
      <c r="M1998" s="1515"/>
    </row>
    <row r="1999" spans="1:13" s="156" customFormat="1" ht="30" x14ac:dyDescent="0.2">
      <c r="A1999" s="2144">
        <v>370</v>
      </c>
      <c r="B1999" s="2144"/>
      <c r="C1999" s="855" t="s">
        <v>4448</v>
      </c>
      <c r="D1999" s="182" t="s">
        <v>9988</v>
      </c>
      <c r="E1999" s="864">
        <v>0.16</v>
      </c>
      <c r="F1999" s="865" t="s">
        <v>44</v>
      </c>
      <c r="G1999" s="866">
        <v>95</v>
      </c>
      <c r="H1999" s="867">
        <f t="shared" ref="H1999:H2004" si="141">ROUNDDOWN(G1999*E1999,2)</f>
        <v>15.2</v>
      </c>
      <c r="I1999" s="1642"/>
      <c r="J1999" s="1797"/>
      <c r="K1999" s="1797"/>
      <c r="L1999" s="1784"/>
      <c r="M1999" s="1785"/>
    </row>
    <row r="2000" spans="1:13" s="156" customFormat="1" x14ac:dyDescent="0.2">
      <c r="A2000" s="2144">
        <v>1382</v>
      </c>
      <c r="B2000" s="2144"/>
      <c r="C2000" s="855" t="s">
        <v>4448</v>
      </c>
      <c r="D2000" s="182" t="s">
        <v>10902</v>
      </c>
      <c r="E2000" s="864">
        <v>0.75</v>
      </c>
      <c r="F2000" s="865" t="s">
        <v>56</v>
      </c>
      <c r="G2000" s="866">
        <v>19.7</v>
      </c>
      <c r="H2000" s="867">
        <f t="shared" si="141"/>
        <v>14.77</v>
      </c>
      <c r="I2000" s="1642"/>
      <c r="J2000" s="1797"/>
      <c r="K2000" s="1797"/>
      <c r="L2000" s="1784"/>
      <c r="M2000" s="1785"/>
    </row>
    <row r="2001" spans="1:13" s="156" customFormat="1" ht="30" x14ac:dyDescent="0.2">
      <c r="A2001" s="2144">
        <v>4721</v>
      </c>
      <c r="B2001" s="2144"/>
      <c r="C2001" s="855" t="s">
        <v>4448</v>
      </c>
      <c r="D2001" s="182" t="s">
        <v>13196</v>
      </c>
      <c r="E2001" s="864">
        <v>5.6000000000000001E-2</v>
      </c>
      <c r="F2001" s="865" t="s">
        <v>44</v>
      </c>
      <c r="G2001" s="866">
        <v>80.91</v>
      </c>
      <c r="H2001" s="867">
        <f t="shared" si="141"/>
        <v>4.53</v>
      </c>
      <c r="I2001" s="1642"/>
      <c r="J2001" s="1797"/>
      <c r="K2001" s="1797"/>
      <c r="L2001" s="1784"/>
      <c r="M2001" s="1785"/>
    </row>
    <row r="2002" spans="1:13" s="156" customFormat="1" ht="30" x14ac:dyDescent="0.2">
      <c r="A2002" s="2144">
        <v>7271</v>
      </c>
      <c r="B2002" s="2144"/>
      <c r="C2002" s="855" t="s">
        <v>4448</v>
      </c>
      <c r="D2002" s="182" t="s">
        <v>10150</v>
      </c>
      <c r="E2002" s="864">
        <v>42</v>
      </c>
      <c r="F2002" s="865" t="s">
        <v>39</v>
      </c>
      <c r="G2002" s="866">
        <v>0.49</v>
      </c>
      <c r="H2002" s="867">
        <f t="shared" si="141"/>
        <v>20.58</v>
      </c>
      <c r="I2002" s="1642"/>
      <c r="J2002" s="1797"/>
      <c r="K2002" s="1797"/>
      <c r="L2002" s="1784"/>
      <c r="M2002" s="1785"/>
    </row>
    <row r="2003" spans="1:13" s="156" customFormat="1" ht="30" x14ac:dyDescent="0.2">
      <c r="A2003" s="2144">
        <v>88309</v>
      </c>
      <c r="B2003" s="2144"/>
      <c r="C2003" s="855" t="s">
        <v>4448</v>
      </c>
      <c r="D2003" s="182" t="s">
        <v>87</v>
      </c>
      <c r="E2003" s="864">
        <v>2</v>
      </c>
      <c r="F2003" s="865" t="s">
        <v>65</v>
      </c>
      <c r="G2003" s="866">
        <v>20.149999999999999</v>
      </c>
      <c r="H2003" s="867">
        <f t="shared" si="141"/>
        <v>40.299999999999997</v>
      </c>
      <c r="I2003" s="1642"/>
      <c r="J2003" s="1797"/>
      <c r="K2003" s="1797"/>
      <c r="L2003" s="1784"/>
      <c r="M2003" s="1785"/>
    </row>
    <row r="2004" spans="1:13" s="156" customFormat="1" ht="30" x14ac:dyDescent="0.2">
      <c r="A2004" s="2144">
        <v>88316</v>
      </c>
      <c r="B2004" s="2144"/>
      <c r="C2004" s="855" t="s">
        <v>4448</v>
      </c>
      <c r="D2004" s="182" t="s">
        <v>64</v>
      </c>
      <c r="E2004" s="864">
        <v>4.3499999999999996</v>
      </c>
      <c r="F2004" s="865" t="s">
        <v>65</v>
      </c>
      <c r="G2004" s="866">
        <v>15.08</v>
      </c>
      <c r="H2004" s="867">
        <f t="shared" si="141"/>
        <v>65.59</v>
      </c>
      <c r="I2004" s="1642"/>
      <c r="J2004" s="1797"/>
      <c r="K2004" s="1797"/>
      <c r="L2004" s="1784"/>
      <c r="M2004" s="1785"/>
    </row>
    <row r="2005" spans="1:13" s="1517" customFormat="1" x14ac:dyDescent="0.25">
      <c r="A2005" s="179"/>
      <c r="B2005" s="179"/>
      <c r="C2005" s="868"/>
      <c r="D2005" s="2141" t="s">
        <v>124</v>
      </c>
      <c r="E2005" s="2141"/>
      <c r="F2005" s="2141"/>
      <c r="G2005" s="2141"/>
      <c r="H2005" s="267">
        <f>SUMIF(F1999:F2004,("h"),H1999:H2004)</f>
        <v>105.89</v>
      </c>
      <c r="I2005" s="1830"/>
      <c r="J2005" s="1795"/>
      <c r="K2005" s="1795"/>
      <c r="L2005" s="169"/>
      <c r="M2005" s="1783"/>
    </row>
    <row r="2006" spans="1:13" s="1517" customFormat="1" x14ac:dyDescent="0.25">
      <c r="A2006" s="179"/>
      <c r="B2006" s="179"/>
      <c r="C2006" s="868"/>
      <c r="D2006" s="2141" t="s">
        <v>125</v>
      </c>
      <c r="E2006" s="2141"/>
      <c r="F2006" s="2141"/>
      <c r="G2006" s="2141"/>
      <c r="H2006" s="267">
        <f>SUMIF(F1999:F2004,"&lt;&gt;h",H1999:H2004)</f>
        <v>55.08</v>
      </c>
      <c r="I2006" s="1830"/>
      <c r="J2006" s="1795"/>
      <c r="K2006" s="1795"/>
      <c r="L2006" s="169"/>
      <c r="M2006" s="1783"/>
    </row>
    <row r="2007" spans="1:13" s="1517" customFormat="1" x14ac:dyDescent="0.25">
      <c r="A2007" s="179"/>
      <c r="B2007" s="179"/>
      <c r="C2007" s="868"/>
      <c r="D2007" s="2142" t="s">
        <v>126</v>
      </c>
      <c r="E2007" s="2142"/>
      <c r="F2007" s="2142"/>
      <c r="G2007" s="2142"/>
      <c r="H2007" s="869">
        <f>SUM(H2005:H2006)</f>
        <v>160.97</v>
      </c>
      <c r="I2007" s="1830"/>
      <c r="J2007" s="1795"/>
      <c r="K2007" s="1795"/>
      <c r="L2007" s="169"/>
      <c r="M2007" s="1783"/>
    </row>
    <row r="2008" spans="1:13" s="1517" customFormat="1" x14ac:dyDescent="0.25">
      <c r="A2008" s="179"/>
      <c r="B2008" s="179"/>
      <c r="C2008" s="868"/>
      <c r="D2008" s="2141" t="s">
        <v>28</v>
      </c>
      <c r="E2008" s="2141"/>
      <c r="F2008" s="2141"/>
      <c r="G2008" s="2141"/>
      <c r="H2008" s="269">
        <f>E1998</f>
        <v>16</v>
      </c>
      <c r="I2008" s="1830"/>
      <c r="J2008" s="1795"/>
      <c r="K2008" s="1795"/>
      <c r="L2008" s="169"/>
      <c r="M2008" s="1783"/>
    </row>
    <row r="2009" spans="1:13" s="1517" customFormat="1" x14ac:dyDescent="0.25">
      <c r="A2009" s="179"/>
      <c r="B2009" s="179"/>
      <c r="C2009" s="868"/>
      <c r="D2009" s="2142" t="s">
        <v>127</v>
      </c>
      <c r="E2009" s="2142"/>
      <c r="F2009" s="2142"/>
      <c r="G2009" s="2142"/>
      <c r="H2009" s="869">
        <f>ROUND(H2007*H2008,2)</f>
        <v>2575.52</v>
      </c>
      <c r="I2009" s="1830"/>
      <c r="J2009" s="1795"/>
      <c r="K2009" s="1795"/>
      <c r="L2009" s="169"/>
      <c r="M2009" s="1783"/>
    </row>
    <row r="2010" spans="1:13" s="1517" customFormat="1" x14ac:dyDescent="0.25">
      <c r="A2010" s="179"/>
      <c r="B2010" s="179"/>
      <c r="C2010" s="1531"/>
      <c r="D2010" s="2141" t="s">
        <v>15335</v>
      </c>
      <c r="E2010" s="2141"/>
      <c r="F2010" s="2141"/>
      <c r="G2010" s="2141"/>
      <c r="H2010" s="267">
        <f>ROUND(H2007*$B$13,2)</f>
        <v>43.35</v>
      </c>
      <c r="I2010" s="1830"/>
      <c r="J2010" s="1795"/>
      <c r="K2010" s="1795"/>
      <c r="L2010" s="169"/>
      <c r="M2010" s="1783"/>
    </row>
    <row r="2011" spans="1:13" x14ac:dyDescent="0.25">
      <c r="A2011" s="179"/>
      <c r="B2011" s="179"/>
      <c r="C2011" s="1531"/>
      <c r="D2011" s="2142" t="s">
        <v>7898</v>
      </c>
      <c r="E2011" s="2142"/>
      <c r="F2011" s="2142"/>
      <c r="G2011" s="2142"/>
      <c r="H2011" s="1532">
        <f>H2010+H2007</f>
        <v>204.32</v>
      </c>
    </row>
    <row r="2012" spans="1:13" x14ac:dyDescent="0.25">
      <c r="A2012" s="854"/>
      <c r="B2012" s="854"/>
      <c r="C2012" s="854"/>
      <c r="F2012" s="870"/>
      <c r="G2012" s="871"/>
      <c r="H2012" s="854"/>
    </row>
    <row r="2013" spans="1:13" s="1517" customFormat="1" x14ac:dyDescent="0.25">
      <c r="A2013" s="146" t="s">
        <v>6</v>
      </c>
      <c r="B2013" s="2143" t="s">
        <v>7</v>
      </c>
      <c r="C2013" s="2143"/>
      <c r="D2013" s="1518" t="s">
        <v>121</v>
      </c>
      <c r="E2013" s="278" t="s">
        <v>5282</v>
      </c>
      <c r="F2013" s="1518" t="s">
        <v>31</v>
      </c>
      <c r="G2013" s="1519" t="s">
        <v>122</v>
      </c>
      <c r="H2013" s="1520" t="s">
        <v>123</v>
      </c>
      <c r="I2013" s="1830"/>
      <c r="J2013" s="1795"/>
      <c r="K2013" s="1795"/>
      <c r="L2013" s="169"/>
      <c r="M2013" s="1783"/>
    </row>
    <row r="2014" spans="1:13" s="1526" customFormat="1" ht="45" x14ac:dyDescent="0.2">
      <c r="A2014" s="1868" t="str">
        <f>'Orç - Prédio'!A357</f>
        <v>05.03.904</v>
      </c>
      <c r="B2014" s="1868" t="str">
        <f>'Orç - Prédio'!B357</f>
        <v>SINAPI</v>
      </c>
      <c r="C2014" s="1868" t="str">
        <f>'Orç - Prédio'!C357</f>
        <v>03.DROP. PVIS. 053/03</v>
      </c>
      <c r="D2014" s="1865" t="s">
        <v>8900</v>
      </c>
      <c r="E2014" s="1866">
        <f>'Orç - Prédio'!E357</f>
        <v>3</v>
      </c>
      <c r="F2014" s="1868" t="s">
        <v>5284</v>
      </c>
      <c r="G2014" s="1524">
        <v>875.98</v>
      </c>
      <c r="H2014" s="1525">
        <f>H2030</f>
        <v>2627.94</v>
      </c>
      <c r="I2014" s="1910" t="s">
        <v>14965</v>
      </c>
      <c r="J2014" s="1793"/>
      <c r="K2014" s="1793"/>
      <c r="L2014" s="141"/>
      <c r="M2014" s="1515"/>
    </row>
    <row r="2015" spans="1:13" s="1859" customFormat="1" x14ac:dyDescent="0.2">
      <c r="A2015" s="2144">
        <v>7258</v>
      </c>
      <c r="B2015" s="2144"/>
      <c r="C2015" s="1863" t="s">
        <v>4448</v>
      </c>
      <c r="D2015" s="1862" t="s">
        <v>14257</v>
      </c>
      <c r="E2015" s="1864">
        <v>63.844999999999999</v>
      </c>
      <c r="F2015" s="1867" t="s">
        <v>39</v>
      </c>
      <c r="G2015" s="1860">
        <v>0.31</v>
      </c>
      <c r="H2015" s="1857">
        <f t="shared" ref="H2015:H2025" si="142">ROUNDDOWN(G2015*E2015,2)</f>
        <v>19.79</v>
      </c>
      <c r="I2015" s="1856"/>
      <c r="J2015" s="1797"/>
      <c r="K2015" s="1797"/>
      <c r="L2015" s="1784"/>
      <c r="M2015" s="1785"/>
    </row>
    <row r="2016" spans="1:13" s="1859" customFormat="1" ht="30" x14ac:dyDescent="0.2">
      <c r="A2016" s="2144">
        <v>12547</v>
      </c>
      <c r="B2016" s="2144"/>
      <c r="C2016" s="1863" t="s">
        <v>4448</v>
      </c>
      <c r="D2016" s="1862" t="s">
        <v>9896</v>
      </c>
      <c r="E2016" s="1864">
        <v>2</v>
      </c>
      <c r="F2016" s="1867" t="s">
        <v>39</v>
      </c>
      <c r="G2016" s="1860">
        <v>154.63</v>
      </c>
      <c r="H2016" s="1857">
        <f t="shared" si="142"/>
        <v>309.26</v>
      </c>
      <c r="I2016" s="1856"/>
      <c r="J2016" s="1797"/>
      <c r="K2016" s="1797"/>
      <c r="L2016" s="1784"/>
      <c r="M2016" s="1785"/>
    </row>
    <row r="2017" spans="1:13" s="1859" customFormat="1" ht="45" x14ac:dyDescent="0.2">
      <c r="A2017" s="2144">
        <v>4843</v>
      </c>
      <c r="B2017" s="2144"/>
      <c r="C2017" s="1863" t="s">
        <v>5281</v>
      </c>
      <c r="D2017" s="1862" t="s">
        <v>8903</v>
      </c>
      <c r="E2017" s="1864">
        <v>1</v>
      </c>
      <c r="F2017" s="1867" t="s">
        <v>31</v>
      </c>
      <c r="G2017" s="367">
        <v>36.119999999999997</v>
      </c>
      <c r="H2017" s="1857">
        <f t="shared" si="142"/>
        <v>36.119999999999997</v>
      </c>
      <c r="I2017" s="1856"/>
      <c r="J2017" s="1797"/>
      <c r="K2017" s="1797"/>
      <c r="L2017" s="1784"/>
      <c r="M2017" s="1785"/>
    </row>
    <row r="2018" spans="1:13" s="1859" customFormat="1" ht="30" x14ac:dyDescent="0.2">
      <c r="A2018" s="2144">
        <v>88309</v>
      </c>
      <c r="B2018" s="2144"/>
      <c r="C2018" s="1863" t="s">
        <v>4448</v>
      </c>
      <c r="D2018" s="1862" t="s">
        <v>87</v>
      </c>
      <c r="E2018" s="1864">
        <v>2.2591000000000001</v>
      </c>
      <c r="F2018" s="1867" t="s">
        <v>65</v>
      </c>
      <c r="G2018" s="1860">
        <v>20.149999999999999</v>
      </c>
      <c r="H2018" s="1857">
        <f t="shared" si="142"/>
        <v>45.52</v>
      </c>
      <c r="I2018" s="1856"/>
      <c r="J2018" s="1797"/>
      <c r="K2018" s="1797"/>
      <c r="L2018" s="1784"/>
      <c r="M2018" s="1785"/>
    </row>
    <row r="2019" spans="1:13" s="1859" customFormat="1" ht="30" x14ac:dyDescent="0.2">
      <c r="A2019" s="2144">
        <v>88316</v>
      </c>
      <c r="B2019" s="2144"/>
      <c r="C2019" s="1863" t="s">
        <v>4448</v>
      </c>
      <c r="D2019" s="1862" t="s">
        <v>64</v>
      </c>
      <c r="E2019" s="1864">
        <v>2.2591000000000001</v>
      </c>
      <c r="F2019" s="1867" t="s">
        <v>65</v>
      </c>
      <c r="G2019" s="1860">
        <v>15.08</v>
      </c>
      <c r="H2019" s="1857">
        <f t="shared" si="142"/>
        <v>34.06</v>
      </c>
      <c r="I2019" s="1856"/>
      <c r="J2019" s="1797"/>
      <c r="K2019" s="1797"/>
      <c r="L2019" s="1784"/>
      <c r="M2019" s="1785"/>
    </row>
    <row r="2020" spans="1:13" s="1859" customFormat="1" ht="105" x14ac:dyDescent="0.2">
      <c r="A2020" s="2144">
        <v>5678</v>
      </c>
      <c r="B2020" s="2144"/>
      <c r="C2020" s="1863" t="s">
        <v>4448</v>
      </c>
      <c r="D2020" s="1862" t="s">
        <v>322</v>
      </c>
      <c r="E2020" s="1864">
        <v>0.28179999999999999</v>
      </c>
      <c r="F2020" s="1867" t="s">
        <v>97</v>
      </c>
      <c r="G2020" s="1860">
        <v>85.33</v>
      </c>
      <c r="H2020" s="1857">
        <f t="shared" ref="H2020:H2021" si="143">ROUNDDOWN(G2020*E2020,2)</f>
        <v>24.04</v>
      </c>
      <c r="I2020" s="1856"/>
      <c r="J2020" s="1797"/>
      <c r="K2020" s="1797"/>
      <c r="L2020" s="1784"/>
      <c r="M2020" s="1785"/>
    </row>
    <row r="2021" spans="1:13" s="1859" customFormat="1" ht="105" x14ac:dyDescent="0.2">
      <c r="A2021" s="2144">
        <v>5679</v>
      </c>
      <c r="B2021" s="2144"/>
      <c r="C2021" s="1863" t="s">
        <v>4448</v>
      </c>
      <c r="D2021" s="1862" t="s">
        <v>463</v>
      </c>
      <c r="E2021" s="1864">
        <v>0.94779999999999998</v>
      </c>
      <c r="F2021" s="1867" t="s">
        <v>98</v>
      </c>
      <c r="G2021" s="1860">
        <v>34.92</v>
      </c>
      <c r="H2021" s="1857">
        <f t="shared" si="143"/>
        <v>33.090000000000003</v>
      </c>
      <c r="I2021" s="1856"/>
      <c r="J2021" s="1797"/>
      <c r="K2021" s="1797"/>
      <c r="L2021" s="1784"/>
      <c r="M2021" s="1785"/>
    </row>
    <row r="2022" spans="1:13" s="1859" customFormat="1" ht="75" x14ac:dyDescent="0.2">
      <c r="A2022" s="2144">
        <v>94116</v>
      </c>
      <c r="B2022" s="2144"/>
      <c r="C2022" s="1863" t="s">
        <v>4448</v>
      </c>
      <c r="D2022" s="1862" t="s">
        <v>3564</v>
      </c>
      <c r="E2022" s="1864">
        <v>0.4078</v>
      </c>
      <c r="F2022" s="1867" t="s">
        <v>1208</v>
      </c>
      <c r="G2022" s="1860">
        <v>160.88999999999999</v>
      </c>
      <c r="H2022" s="1857">
        <f t="shared" ref="H2022:H2023" si="144">ROUNDDOWN(G2022*E2022,2)</f>
        <v>65.61</v>
      </c>
      <c r="I2022" s="1856"/>
      <c r="J2022" s="1797"/>
      <c r="K2022" s="1797"/>
      <c r="L2022" s="1784"/>
      <c r="M2022" s="1785"/>
    </row>
    <row r="2023" spans="1:13" s="1859" customFormat="1" ht="45" x14ac:dyDescent="0.2">
      <c r="A2023" s="2144">
        <v>88628</v>
      </c>
      <c r="B2023" s="2144"/>
      <c r="C2023" s="1863" t="s">
        <v>4448</v>
      </c>
      <c r="D2023" s="1862" t="s">
        <v>8499</v>
      </c>
      <c r="E2023" s="1864">
        <v>0.1938</v>
      </c>
      <c r="F2023" s="1867" t="s">
        <v>1208</v>
      </c>
      <c r="G2023" s="1860">
        <v>348.67</v>
      </c>
      <c r="H2023" s="1857">
        <f t="shared" si="144"/>
        <v>67.569999999999993</v>
      </c>
      <c r="I2023" s="1856"/>
      <c r="J2023" s="1797"/>
      <c r="K2023" s="1797"/>
      <c r="L2023" s="1784"/>
      <c r="M2023" s="1785"/>
    </row>
    <row r="2024" spans="1:13" s="1859" customFormat="1" ht="60" x14ac:dyDescent="0.2">
      <c r="A2024" s="2144">
        <v>97738</v>
      </c>
      <c r="B2024" s="2144"/>
      <c r="C2024" s="1863" t="s">
        <v>4448</v>
      </c>
      <c r="D2024" s="1862" t="s">
        <v>5417</v>
      </c>
      <c r="E2024" s="1864">
        <v>2.2100000000000002E-2</v>
      </c>
      <c r="F2024" s="1867" t="s">
        <v>1208</v>
      </c>
      <c r="G2024" s="1860">
        <v>3224.21</v>
      </c>
      <c r="H2024" s="1857">
        <f t="shared" si="142"/>
        <v>71.25</v>
      </c>
      <c r="I2024" s="1856"/>
      <c r="J2024" s="1797"/>
      <c r="K2024" s="1797"/>
      <c r="L2024" s="1784"/>
      <c r="M2024" s="1785"/>
    </row>
    <row r="2025" spans="1:13" s="1859" customFormat="1" ht="45" x14ac:dyDescent="0.2">
      <c r="A2025" s="2144">
        <v>97740</v>
      </c>
      <c r="B2025" s="2144"/>
      <c r="C2025" s="1863" t="s">
        <v>4448</v>
      </c>
      <c r="D2025" s="1862" t="s">
        <v>5419</v>
      </c>
      <c r="E2025" s="1864">
        <v>0.1216</v>
      </c>
      <c r="F2025" s="1867" t="s">
        <v>1208</v>
      </c>
      <c r="G2025" s="1860">
        <v>1395.33</v>
      </c>
      <c r="H2025" s="1857">
        <f t="shared" si="142"/>
        <v>169.67</v>
      </c>
      <c r="I2025" s="1856"/>
      <c r="J2025" s="1797"/>
      <c r="K2025" s="1797"/>
      <c r="L2025" s="1784"/>
      <c r="M2025" s="1785"/>
    </row>
    <row r="2026" spans="1:13" s="1517" customFormat="1" x14ac:dyDescent="0.25">
      <c r="A2026" s="1847"/>
      <c r="B2026" s="1847"/>
      <c r="C2026" s="1531"/>
      <c r="D2026" s="2141" t="s">
        <v>124</v>
      </c>
      <c r="E2026" s="2141"/>
      <c r="F2026" s="2141"/>
      <c r="G2026" s="2141"/>
      <c r="H2026" s="267">
        <f>SUMIF(F2015:F2025,("h"),H2015:H2025)</f>
        <v>79.580000000000013</v>
      </c>
      <c r="I2026" s="1830"/>
      <c r="J2026" s="1795"/>
      <c r="K2026" s="1795"/>
      <c r="L2026" s="169"/>
      <c r="M2026" s="1783"/>
    </row>
    <row r="2027" spans="1:13" s="1517" customFormat="1" x14ac:dyDescent="0.25">
      <c r="A2027" s="1847"/>
      <c r="B2027" s="1847"/>
      <c r="C2027" s="1531"/>
      <c r="D2027" s="2141" t="s">
        <v>125</v>
      </c>
      <c r="E2027" s="2141"/>
      <c r="F2027" s="2141"/>
      <c r="G2027" s="2141"/>
      <c r="H2027" s="267">
        <f>SUMIF(F2015:F2025,"&lt;&gt;h",H2015:H2025)</f>
        <v>796.4</v>
      </c>
      <c r="I2027" s="1830"/>
      <c r="J2027" s="1795"/>
      <c r="K2027" s="1795"/>
      <c r="L2027" s="169"/>
      <c r="M2027" s="1783"/>
    </row>
    <row r="2028" spans="1:13" s="1517" customFormat="1" x14ac:dyDescent="0.25">
      <c r="A2028" s="1847"/>
      <c r="B2028" s="1847"/>
      <c r="C2028" s="1531"/>
      <c r="D2028" s="2142" t="s">
        <v>126</v>
      </c>
      <c r="E2028" s="2142"/>
      <c r="F2028" s="2142"/>
      <c r="G2028" s="2142"/>
      <c r="H2028" s="1532">
        <f>SUM(H2026:H2027)</f>
        <v>875.98</v>
      </c>
      <c r="I2028" s="1830"/>
      <c r="J2028" s="1795"/>
      <c r="K2028" s="1795"/>
      <c r="L2028" s="169"/>
      <c r="M2028" s="1783"/>
    </row>
    <row r="2029" spans="1:13" s="1517" customFormat="1" x14ac:dyDescent="0.25">
      <c r="A2029" s="1847"/>
      <c r="B2029" s="1847"/>
      <c r="C2029" s="1531"/>
      <c r="D2029" s="2141" t="s">
        <v>28</v>
      </c>
      <c r="E2029" s="2141"/>
      <c r="F2029" s="2141"/>
      <c r="G2029" s="2141"/>
      <c r="H2029" s="269">
        <f>E2014</f>
        <v>3</v>
      </c>
      <c r="I2029" s="1830"/>
      <c r="J2029" s="1795"/>
      <c r="K2029" s="1795"/>
      <c r="L2029" s="169"/>
      <c r="M2029" s="1783"/>
    </row>
    <row r="2030" spans="1:13" s="1517" customFormat="1" x14ac:dyDescent="0.25">
      <c r="A2030" s="1847"/>
      <c r="B2030" s="1847"/>
      <c r="C2030" s="1531"/>
      <c r="D2030" s="2142" t="s">
        <v>127</v>
      </c>
      <c r="E2030" s="2142"/>
      <c r="F2030" s="2142"/>
      <c r="G2030" s="2142"/>
      <c r="H2030" s="1532">
        <f>ROUND(H2028*H2029,2)</f>
        <v>2627.94</v>
      </c>
      <c r="I2030" s="1830"/>
      <c r="J2030" s="1795"/>
      <c r="K2030" s="1795"/>
      <c r="L2030" s="169"/>
      <c r="M2030" s="1783"/>
    </row>
    <row r="2031" spans="1:13" s="1517" customFormat="1" x14ac:dyDescent="0.25">
      <c r="A2031" s="1847"/>
      <c r="B2031" s="1847"/>
      <c r="C2031" s="1531"/>
      <c r="D2031" s="2141" t="s">
        <v>15335</v>
      </c>
      <c r="E2031" s="2141"/>
      <c r="F2031" s="2141"/>
      <c r="G2031" s="2141"/>
      <c r="H2031" s="267">
        <f>ROUND(H2028*$B$13,2)</f>
        <v>235.9</v>
      </c>
      <c r="I2031" s="1830"/>
      <c r="J2031" s="1795"/>
      <c r="K2031" s="1795"/>
      <c r="L2031" s="169"/>
      <c r="M2031" s="1783"/>
    </row>
    <row r="2032" spans="1:13" x14ac:dyDescent="0.25">
      <c r="A2032" s="1847"/>
      <c r="B2032" s="1847"/>
      <c r="C2032" s="1531"/>
      <c r="D2032" s="2142" t="s">
        <v>7898</v>
      </c>
      <c r="E2032" s="2142"/>
      <c r="F2032" s="2142"/>
      <c r="G2032" s="2142"/>
      <c r="H2032" s="1532">
        <f>H2031+H2028</f>
        <v>1111.8800000000001</v>
      </c>
    </row>
    <row r="2033" spans="1:13" x14ac:dyDescent="0.25">
      <c r="A2033" s="2149" t="s">
        <v>8902</v>
      </c>
      <c r="B2033" s="2149"/>
      <c r="C2033" s="2149"/>
      <c r="D2033" s="2149"/>
      <c r="E2033" s="2149"/>
      <c r="F2033" s="2149"/>
      <c r="G2033" s="2149"/>
      <c r="H2033" s="2149"/>
    </row>
    <row r="2034" spans="1:13" x14ac:dyDescent="0.25">
      <c r="A2034" s="1514"/>
      <c r="B2034" s="1514"/>
      <c r="C2034" s="1514"/>
      <c r="F2034" s="1533"/>
      <c r="G2034" s="1534"/>
      <c r="H2034" s="1514"/>
    </row>
    <row r="2035" spans="1:13" s="1517" customFormat="1" x14ac:dyDescent="0.25">
      <c r="A2035" s="146" t="s">
        <v>6</v>
      </c>
      <c r="B2035" s="2143" t="s">
        <v>7</v>
      </c>
      <c r="C2035" s="2143"/>
      <c r="D2035" s="1518" t="s">
        <v>121</v>
      </c>
      <c r="E2035" s="278" t="s">
        <v>5282</v>
      </c>
      <c r="F2035" s="1518" t="s">
        <v>31</v>
      </c>
      <c r="G2035" s="1519" t="s">
        <v>122</v>
      </c>
      <c r="H2035" s="1520" t="s">
        <v>123</v>
      </c>
      <c r="I2035" s="1830"/>
      <c r="J2035" s="1795"/>
      <c r="K2035" s="1795"/>
      <c r="L2035" s="169"/>
      <c r="M2035" s="1783"/>
    </row>
    <row r="2036" spans="1:13" s="1526" customFormat="1" ht="30" x14ac:dyDescent="0.2">
      <c r="A2036" s="1928" t="str">
        <f>'Orç - Prédio'!A368</f>
        <v>05.04.302.01</v>
      </c>
      <c r="B2036" s="1928" t="str">
        <f>'Orç - Prédio'!B368</f>
        <v>Comp. Montada</v>
      </c>
      <c r="C2036" s="1928">
        <f>'Orç - Prédio'!C368</f>
        <v>10</v>
      </c>
      <c r="D2036" s="1865" t="s">
        <v>6071</v>
      </c>
      <c r="E2036" s="1866">
        <f>'Orç - Prédio'!E368</f>
        <v>10</v>
      </c>
      <c r="F2036" s="1928" t="s">
        <v>5284</v>
      </c>
      <c r="G2036" s="1524">
        <v>5.57</v>
      </c>
      <c r="H2036" s="1525">
        <f>H2046</f>
        <v>55.7</v>
      </c>
      <c r="I2036" s="1910" t="s">
        <v>14972</v>
      </c>
      <c r="J2036" s="1793"/>
      <c r="K2036" s="1793"/>
      <c r="L2036" s="141"/>
      <c r="M2036" s="1515"/>
    </row>
    <row r="2037" spans="1:13" s="1859" customFormat="1" ht="30" x14ac:dyDescent="0.2">
      <c r="A2037" s="2144">
        <v>122</v>
      </c>
      <c r="B2037" s="2144"/>
      <c r="C2037" s="1863" t="s">
        <v>4448</v>
      </c>
      <c r="D2037" s="1862" t="s">
        <v>9804</v>
      </c>
      <c r="E2037" s="1864">
        <v>7.0000000000000001E-3</v>
      </c>
      <c r="F2037" s="1927" t="s">
        <v>39</v>
      </c>
      <c r="G2037" s="1860">
        <v>56.82</v>
      </c>
      <c r="H2037" s="1857">
        <f>ROUNDDOWN(G2037*E2037,2)</f>
        <v>0.39</v>
      </c>
      <c r="I2037" s="1856"/>
      <c r="J2037" s="1797"/>
      <c r="K2037" s="1797"/>
      <c r="L2037" s="1784"/>
      <c r="M2037" s="1785"/>
    </row>
    <row r="2038" spans="1:13" s="1859" customFormat="1" ht="30" x14ac:dyDescent="0.2">
      <c r="A2038" s="2144">
        <v>12909</v>
      </c>
      <c r="B2038" s="2144"/>
      <c r="C2038" s="1863" t="s">
        <v>4448</v>
      </c>
      <c r="D2038" s="1862" t="s">
        <v>10732</v>
      </c>
      <c r="E2038" s="1864">
        <v>1</v>
      </c>
      <c r="F2038" s="1927" t="s">
        <v>39</v>
      </c>
      <c r="G2038" s="1860">
        <v>2.68</v>
      </c>
      <c r="H2038" s="1857">
        <f>ROUNDDOWN(G2038*E2038,2)</f>
        <v>2.68</v>
      </c>
      <c r="I2038" s="1856"/>
      <c r="J2038" s="1797"/>
      <c r="K2038" s="1797"/>
      <c r="L2038" s="1784"/>
      <c r="M2038" s="1785"/>
    </row>
    <row r="2039" spans="1:13" s="1859" customFormat="1" ht="30" x14ac:dyDescent="0.2">
      <c r="A2039" s="2144">
        <v>20083</v>
      </c>
      <c r="B2039" s="2144"/>
      <c r="C2039" s="1863" t="s">
        <v>4448</v>
      </c>
      <c r="D2039" s="1862" t="s">
        <v>13801</v>
      </c>
      <c r="E2039" s="1864">
        <v>5.0000000000000001E-3</v>
      </c>
      <c r="F2039" s="1927" t="s">
        <v>39</v>
      </c>
      <c r="G2039" s="1860">
        <v>49.34</v>
      </c>
      <c r="H2039" s="1857">
        <f>ROUNDDOWN(G2039*E2039,2)</f>
        <v>0.24</v>
      </c>
      <c r="I2039" s="1856"/>
      <c r="J2039" s="1797"/>
      <c r="K2039" s="1797"/>
      <c r="L2039" s="1784"/>
      <c r="M2039" s="1785"/>
    </row>
    <row r="2040" spans="1:13" s="1859" customFormat="1" ht="30" x14ac:dyDescent="0.2">
      <c r="A2040" s="2144">
        <v>88267</v>
      </c>
      <c r="B2040" s="2144"/>
      <c r="C2040" s="1863" t="s">
        <v>4448</v>
      </c>
      <c r="D2040" s="1862" t="s">
        <v>83</v>
      </c>
      <c r="E2040" s="1864">
        <v>6.5000000000000002E-2</v>
      </c>
      <c r="F2040" s="1927" t="s">
        <v>65</v>
      </c>
      <c r="G2040" s="1860">
        <v>19.73</v>
      </c>
      <c r="H2040" s="1857">
        <f>ROUNDDOWN(G2040*E2040,2)</f>
        <v>1.28</v>
      </c>
      <c r="I2040" s="1856"/>
      <c r="J2040" s="1797"/>
      <c r="K2040" s="1797"/>
      <c r="L2040" s="1784"/>
      <c r="M2040" s="1785"/>
    </row>
    <row r="2041" spans="1:13" s="1859" customFormat="1" ht="30" x14ac:dyDescent="0.2">
      <c r="A2041" s="2144">
        <v>88316</v>
      </c>
      <c r="B2041" s="2144"/>
      <c r="C2041" s="1863" t="s">
        <v>4448</v>
      </c>
      <c r="D2041" s="1862" t="s">
        <v>64</v>
      </c>
      <c r="E2041" s="1864">
        <v>6.5000000000000002E-2</v>
      </c>
      <c r="F2041" s="1927" t="s">
        <v>65</v>
      </c>
      <c r="G2041" s="1860">
        <v>15.08</v>
      </c>
      <c r="H2041" s="1857">
        <f>ROUNDDOWN(G2041*E2041,2)</f>
        <v>0.98</v>
      </c>
      <c r="I2041" s="1856"/>
      <c r="J2041" s="1797"/>
      <c r="K2041" s="1797"/>
      <c r="L2041" s="1784"/>
      <c r="M2041" s="1785"/>
    </row>
    <row r="2042" spans="1:13" s="1517" customFormat="1" x14ac:dyDescent="0.25">
      <c r="A2042" s="1929"/>
      <c r="B2042" s="1929"/>
      <c r="C2042" s="1531"/>
      <c r="D2042" s="2141" t="s">
        <v>124</v>
      </c>
      <c r="E2042" s="2141"/>
      <c r="F2042" s="2141"/>
      <c r="G2042" s="2141"/>
      <c r="H2042" s="267">
        <f>SUMIF(F2037:F2041,("h"),H2037:H2041)</f>
        <v>2.2599999999999998</v>
      </c>
      <c r="I2042" s="1830"/>
      <c r="J2042" s="1795"/>
      <c r="K2042" s="1795"/>
      <c r="L2042" s="169"/>
      <c r="M2042" s="1783"/>
    </row>
    <row r="2043" spans="1:13" s="1517" customFormat="1" x14ac:dyDescent="0.25">
      <c r="A2043" s="1929"/>
      <c r="B2043" s="1929"/>
      <c r="C2043" s="1531"/>
      <c r="D2043" s="2141" t="s">
        <v>125</v>
      </c>
      <c r="E2043" s="2141"/>
      <c r="F2043" s="2141"/>
      <c r="G2043" s="2141"/>
      <c r="H2043" s="267">
        <f>SUMIF(F2037:F2041,"&lt;&gt;h",H2037:H2041)</f>
        <v>3.3100000000000005</v>
      </c>
      <c r="I2043" s="1830"/>
      <c r="J2043" s="1795"/>
      <c r="K2043" s="1795"/>
      <c r="L2043" s="169"/>
      <c r="M2043" s="1783"/>
    </row>
    <row r="2044" spans="1:13" s="1517" customFormat="1" x14ac:dyDescent="0.25">
      <c r="A2044" s="1929"/>
      <c r="B2044" s="1929"/>
      <c r="C2044" s="1531"/>
      <c r="D2044" s="2142" t="s">
        <v>126</v>
      </c>
      <c r="E2044" s="2142"/>
      <c r="F2044" s="2142"/>
      <c r="G2044" s="2142"/>
      <c r="H2044" s="1532">
        <f>SUM(H2042:H2043)</f>
        <v>5.57</v>
      </c>
      <c r="I2044" s="1830"/>
      <c r="J2044" s="1795"/>
      <c r="K2044" s="1795"/>
      <c r="L2044" s="169"/>
      <c r="M2044" s="1783"/>
    </row>
    <row r="2045" spans="1:13" s="1517" customFormat="1" x14ac:dyDescent="0.25">
      <c r="A2045" s="1929"/>
      <c r="B2045" s="1929"/>
      <c r="C2045" s="1531"/>
      <c r="D2045" s="2141" t="s">
        <v>28</v>
      </c>
      <c r="E2045" s="2141"/>
      <c r="F2045" s="2141"/>
      <c r="G2045" s="2141"/>
      <c r="H2045" s="269">
        <f>E2036</f>
        <v>10</v>
      </c>
      <c r="I2045" s="1830"/>
      <c r="J2045" s="1795"/>
      <c r="K2045" s="1795"/>
      <c r="L2045" s="169"/>
      <c r="M2045" s="1783"/>
    </row>
    <row r="2046" spans="1:13" s="1517" customFormat="1" x14ac:dyDescent="0.25">
      <c r="A2046" s="1929"/>
      <c r="B2046" s="1929"/>
      <c r="C2046" s="1531"/>
      <c r="D2046" s="2142" t="s">
        <v>127</v>
      </c>
      <c r="E2046" s="2142"/>
      <c r="F2046" s="2142"/>
      <c r="G2046" s="2142"/>
      <c r="H2046" s="1532">
        <f>ROUND(H2044*H2045,2)</f>
        <v>55.7</v>
      </c>
      <c r="I2046" s="1830"/>
      <c r="J2046" s="1795"/>
      <c r="K2046" s="1795"/>
      <c r="L2046" s="169"/>
      <c r="M2046" s="1783"/>
    </row>
    <row r="2047" spans="1:13" s="1517" customFormat="1" x14ac:dyDescent="0.25">
      <c r="A2047" s="1929"/>
      <c r="B2047" s="1929"/>
      <c r="C2047" s="1531"/>
      <c r="D2047" s="2141" t="s">
        <v>15335</v>
      </c>
      <c r="E2047" s="2141"/>
      <c r="F2047" s="2141"/>
      <c r="G2047" s="2141"/>
      <c r="H2047" s="267">
        <f>ROUND(H2044*$B$13,2)</f>
        <v>1.5</v>
      </c>
      <c r="I2047" s="1830"/>
      <c r="J2047" s="1795"/>
      <c r="K2047" s="1795"/>
      <c r="L2047" s="169"/>
      <c r="M2047" s="1783"/>
    </row>
    <row r="2048" spans="1:13" x14ac:dyDescent="0.25">
      <c r="A2048" s="1929"/>
      <c r="B2048" s="1929"/>
      <c r="C2048" s="1531"/>
      <c r="D2048" s="2142" t="s">
        <v>7898</v>
      </c>
      <c r="E2048" s="2142"/>
      <c r="F2048" s="2142"/>
      <c r="G2048" s="2142"/>
      <c r="H2048" s="1532">
        <f>H2047+H2044</f>
        <v>7.07</v>
      </c>
    </row>
    <row r="2049" spans="1:13" x14ac:dyDescent="0.25">
      <c r="A2049" s="1514"/>
      <c r="B2049" s="1514"/>
      <c r="C2049" s="1514"/>
      <c r="F2049" s="1533"/>
      <c r="G2049" s="1534"/>
      <c r="H2049" s="1514"/>
    </row>
    <row r="2050" spans="1:13" s="1517" customFormat="1" x14ac:dyDescent="0.25">
      <c r="A2050" s="146" t="s">
        <v>6</v>
      </c>
      <c r="B2050" s="2143" t="s">
        <v>7</v>
      </c>
      <c r="C2050" s="2143"/>
      <c r="D2050" s="1518" t="s">
        <v>121</v>
      </c>
      <c r="E2050" s="278" t="s">
        <v>5282</v>
      </c>
      <c r="F2050" s="1518" t="s">
        <v>31</v>
      </c>
      <c r="G2050" s="1519" t="s">
        <v>122</v>
      </c>
      <c r="H2050" s="1520" t="s">
        <v>123</v>
      </c>
      <c r="I2050" s="1830"/>
      <c r="J2050" s="1795"/>
      <c r="K2050" s="1795"/>
      <c r="L2050" s="169"/>
      <c r="M2050" s="1783"/>
    </row>
    <row r="2051" spans="1:13" s="1526" customFormat="1" ht="30" x14ac:dyDescent="0.2">
      <c r="A2051" s="1841" t="str">
        <f>'Orç - Prédio'!A369</f>
        <v>05.04.302.02</v>
      </c>
      <c r="B2051" s="1841" t="str">
        <f>'Orç - Prédio'!B369</f>
        <v>Comp. Montada</v>
      </c>
      <c r="C2051" s="1841">
        <f>'Orç - Prédio'!C369</f>
        <v>11</v>
      </c>
      <c r="D2051" s="1522" t="s">
        <v>6072</v>
      </c>
      <c r="E2051" s="1523">
        <f>'Orç - Prédio'!E369</f>
        <v>9</v>
      </c>
      <c r="F2051" s="1841" t="s">
        <v>5284</v>
      </c>
      <c r="G2051" s="1524">
        <v>7.3599999999999994</v>
      </c>
      <c r="H2051" s="1525">
        <f>H2061</f>
        <v>66.239999999999995</v>
      </c>
      <c r="I2051" s="1910" t="s">
        <v>9562</v>
      </c>
      <c r="J2051" s="1793"/>
      <c r="K2051" s="1793"/>
      <c r="L2051" s="141"/>
      <c r="M2051" s="1515"/>
    </row>
    <row r="2052" spans="1:13" s="156" customFormat="1" ht="30" x14ac:dyDescent="0.2">
      <c r="A2052" s="2144">
        <v>122</v>
      </c>
      <c r="B2052" s="2144"/>
      <c r="C2052" s="1516" t="s">
        <v>4448</v>
      </c>
      <c r="D2052" s="182" t="s">
        <v>9804</v>
      </c>
      <c r="E2052" s="1527">
        <v>7.0000000000000001E-3</v>
      </c>
      <c r="F2052" s="1839" t="s">
        <v>39</v>
      </c>
      <c r="G2052" s="1529">
        <v>56.82</v>
      </c>
      <c r="H2052" s="1530">
        <f>ROUNDDOWN(G2052*E2052,2)</f>
        <v>0.39</v>
      </c>
      <c r="I2052" s="1642"/>
      <c r="J2052" s="1797"/>
      <c r="K2052" s="1797"/>
      <c r="L2052" s="1784"/>
      <c r="M2052" s="1785"/>
    </row>
    <row r="2053" spans="1:13" s="156" customFormat="1" ht="30" x14ac:dyDescent="0.2">
      <c r="A2053" s="2144">
        <v>12910</v>
      </c>
      <c r="B2053" s="2144"/>
      <c r="C2053" s="1516" t="s">
        <v>4448</v>
      </c>
      <c r="D2053" s="182" t="s">
        <v>10733</v>
      </c>
      <c r="E2053" s="1527">
        <v>1</v>
      </c>
      <c r="F2053" s="1839" t="s">
        <v>39</v>
      </c>
      <c r="G2053" s="1529">
        <v>4.47</v>
      </c>
      <c r="H2053" s="1530">
        <f>ROUNDDOWN(G2053*E2053,2)</f>
        <v>4.47</v>
      </c>
      <c r="I2053" s="1642"/>
      <c r="J2053" s="1797"/>
      <c r="K2053" s="1797"/>
      <c r="L2053" s="1784"/>
      <c r="M2053" s="1785"/>
    </row>
    <row r="2054" spans="1:13" s="156" customFormat="1" ht="30" x14ac:dyDescent="0.2">
      <c r="A2054" s="2144">
        <v>20083</v>
      </c>
      <c r="B2054" s="2144"/>
      <c r="C2054" s="1516" t="s">
        <v>4448</v>
      </c>
      <c r="D2054" s="182" t="s">
        <v>13801</v>
      </c>
      <c r="E2054" s="1527">
        <v>5.0000000000000001E-3</v>
      </c>
      <c r="F2054" s="1839" t="s">
        <v>39</v>
      </c>
      <c r="G2054" s="1529">
        <v>49.34</v>
      </c>
      <c r="H2054" s="1530">
        <f>ROUNDDOWN(G2054*E2054,2)</f>
        <v>0.24</v>
      </c>
      <c r="I2054" s="1642"/>
      <c r="J2054" s="1797"/>
      <c r="K2054" s="1797"/>
      <c r="L2054" s="1784"/>
      <c r="M2054" s="1785"/>
    </row>
    <row r="2055" spans="1:13" s="156" customFormat="1" ht="30" x14ac:dyDescent="0.2">
      <c r="A2055" s="2144">
        <v>88267</v>
      </c>
      <c r="B2055" s="2144"/>
      <c r="C2055" s="1516" t="s">
        <v>4448</v>
      </c>
      <c r="D2055" s="182" t="s">
        <v>83</v>
      </c>
      <c r="E2055" s="1527">
        <v>6.5000000000000002E-2</v>
      </c>
      <c r="F2055" s="1839" t="s">
        <v>65</v>
      </c>
      <c r="G2055" s="1529">
        <v>19.73</v>
      </c>
      <c r="H2055" s="1530">
        <f>ROUNDDOWN(G2055*E2055,2)</f>
        <v>1.28</v>
      </c>
      <c r="I2055" s="1642"/>
      <c r="J2055" s="1797"/>
      <c r="K2055" s="1797"/>
      <c r="L2055" s="1784"/>
      <c r="M2055" s="1785"/>
    </row>
    <row r="2056" spans="1:13" s="156" customFormat="1" ht="30" x14ac:dyDescent="0.2">
      <c r="A2056" s="2144">
        <v>88316</v>
      </c>
      <c r="B2056" s="2144"/>
      <c r="C2056" s="1516" t="s">
        <v>4448</v>
      </c>
      <c r="D2056" s="182" t="s">
        <v>64</v>
      </c>
      <c r="E2056" s="1527">
        <v>6.5000000000000002E-2</v>
      </c>
      <c r="F2056" s="1839" t="s">
        <v>65</v>
      </c>
      <c r="G2056" s="1529">
        <v>15.08</v>
      </c>
      <c r="H2056" s="1530">
        <f>ROUNDDOWN(G2056*E2056,2)</f>
        <v>0.98</v>
      </c>
      <c r="I2056" s="1642"/>
      <c r="J2056" s="1797"/>
      <c r="K2056" s="1797"/>
      <c r="L2056" s="1784"/>
      <c r="M2056" s="1785"/>
    </row>
    <row r="2057" spans="1:13" s="1517" customFormat="1" x14ac:dyDescent="0.25">
      <c r="A2057" s="1840"/>
      <c r="B2057" s="1840"/>
      <c r="C2057" s="1531"/>
      <c r="D2057" s="2141" t="s">
        <v>124</v>
      </c>
      <c r="E2057" s="2141"/>
      <c r="F2057" s="2141"/>
      <c r="G2057" s="2141"/>
      <c r="H2057" s="267">
        <f>SUMIF(F2052:F2056,("h"),H2052:H2056)</f>
        <v>2.2599999999999998</v>
      </c>
      <c r="I2057" s="1830"/>
      <c r="J2057" s="1795"/>
      <c r="K2057" s="1795"/>
      <c r="L2057" s="169"/>
      <c r="M2057" s="1783"/>
    </row>
    <row r="2058" spans="1:13" s="1517" customFormat="1" x14ac:dyDescent="0.25">
      <c r="A2058" s="1840"/>
      <c r="B2058" s="1840"/>
      <c r="C2058" s="1531"/>
      <c r="D2058" s="2141" t="s">
        <v>125</v>
      </c>
      <c r="E2058" s="2141"/>
      <c r="F2058" s="2141"/>
      <c r="G2058" s="2141"/>
      <c r="H2058" s="267">
        <f>SUMIF(F2052:F2056,"&lt;&gt;h",H2052:H2056)</f>
        <v>5.0999999999999996</v>
      </c>
      <c r="I2058" s="1830"/>
      <c r="J2058" s="1795"/>
      <c r="K2058" s="1795"/>
      <c r="L2058" s="169"/>
      <c r="M2058" s="1783"/>
    </row>
    <row r="2059" spans="1:13" s="1517" customFormat="1" x14ac:dyDescent="0.25">
      <c r="A2059" s="1840"/>
      <c r="B2059" s="1840"/>
      <c r="C2059" s="1531"/>
      <c r="D2059" s="2142" t="s">
        <v>126</v>
      </c>
      <c r="E2059" s="2142"/>
      <c r="F2059" s="2142"/>
      <c r="G2059" s="2142"/>
      <c r="H2059" s="1532">
        <f>SUM(H2057:H2058)</f>
        <v>7.3599999999999994</v>
      </c>
      <c r="I2059" s="1830"/>
      <c r="J2059" s="1795"/>
      <c r="K2059" s="1795"/>
      <c r="L2059" s="169"/>
      <c r="M2059" s="1783"/>
    </row>
    <row r="2060" spans="1:13" s="1517" customFormat="1" x14ac:dyDescent="0.25">
      <c r="A2060" s="1840"/>
      <c r="B2060" s="1840"/>
      <c r="C2060" s="1531"/>
      <c r="D2060" s="2141" t="s">
        <v>28</v>
      </c>
      <c r="E2060" s="2141"/>
      <c r="F2060" s="2141"/>
      <c r="G2060" s="2141"/>
      <c r="H2060" s="269">
        <f>E2051</f>
        <v>9</v>
      </c>
      <c r="I2060" s="1830"/>
      <c r="J2060" s="1795"/>
      <c r="K2060" s="1795"/>
      <c r="L2060" s="169"/>
      <c r="M2060" s="1783"/>
    </row>
    <row r="2061" spans="1:13" s="1517" customFormat="1" x14ac:dyDescent="0.25">
      <c r="A2061" s="1840"/>
      <c r="B2061" s="1840"/>
      <c r="C2061" s="1531"/>
      <c r="D2061" s="2142" t="s">
        <v>127</v>
      </c>
      <c r="E2061" s="2142"/>
      <c r="F2061" s="2142"/>
      <c r="G2061" s="2142"/>
      <c r="H2061" s="1532">
        <f>ROUND(H2059*H2060,2)</f>
        <v>66.239999999999995</v>
      </c>
      <c r="I2061" s="1830"/>
      <c r="J2061" s="1795"/>
      <c r="K2061" s="1795"/>
      <c r="L2061" s="169"/>
      <c r="M2061" s="1783"/>
    </row>
    <row r="2062" spans="1:13" s="1517" customFormat="1" x14ac:dyDescent="0.25">
      <c r="A2062" s="1840"/>
      <c r="B2062" s="1840"/>
      <c r="C2062" s="1531"/>
      <c r="D2062" s="2141" t="s">
        <v>15335</v>
      </c>
      <c r="E2062" s="2141"/>
      <c r="F2062" s="2141"/>
      <c r="G2062" s="2141"/>
      <c r="H2062" s="267">
        <f>ROUND(H2059*$B$13,2)</f>
        <v>1.98</v>
      </c>
      <c r="I2062" s="1830"/>
      <c r="J2062" s="1795"/>
      <c r="K2062" s="1795"/>
      <c r="L2062" s="169"/>
      <c r="M2062" s="1783"/>
    </row>
    <row r="2063" spans="1:13" x14ac:dyDescent="0.25">
      <c r="A2063" s="1840"/>
      <c r="B2063" s="1840"/>
      <c r="C2063" s="1531"/>
      <c r="D2063" s="2142" t="s">
        <v>7898</v>
      </c>
      <c r="E2063" s="2142"/>
      <c r="F2063" s="2142"/>
      <c r="G2063" s="2142"/>
      <c r="H2063" s="1532">
        <f>H2062+H2059</f>
        <v>9.34</v>
      </c>
    </row>
    <row r="2064" spans="1:13" x14ac:dyDescent="0.25">
      <c r="A2064" s="1514"/>
      <c r="B2064" s="1514"/>
      <c r="C2064" s="1514"/>
      <c r="F2064" s="1533"/>
      <c r="G2064" s="1534"/>
      <c r="H2064" s="1514"/>
    </row>
    <row r="2065" spans="1:13" s="1517" customFormat="1" x14ac:dyDescent="0.25">
      <c r="A2065" s="146" t="s">
        <v>6</v>
      </c>
      <c r="B2065" s="2143" t="s">
        <v>7</v>
      </c>
      <c r="C2065" s="2143"/>
      <c r="D2065" s="874" t="s">
        <v>121</v>
      </c>
      <c r="E2065" s="278" t="s">
        <v>5282</v>
      </c>
      <c r="F2065" s="874" t="s">
        <v>31</v>
      </c>
      <c r="G2065" s="875" t="s">
        <v>122</v>
      </c>
      <c r="H2065" s="876" t="s">
        <v>123</v>
      </c>
      <c r="I2065" s="1830"/>
      <c r="J2065" s="1795"/>
      <c r="K2065" s="1795"/>
      <c r="L2065" s="169"/>
      <c r="M2065" s="1783"/>
    </row>
    <row r="2066" spans="1:13" s="1526" customFormat="1" ht="30" x14ac:dyDescent="0.2">
      <c r="A2066" s="877" t="str">
        <f>'Orç - Prédio'!A371</f>
        <v>05.04.304.01</v>
      </c>
      <c r="B2066" s="889" t="str">
        <f>'Orç - Prédio'!B371</f>
        <v>SINAPI</v>
      </c>
      <c r="C2066" s="889" t="str">
        <f>'Orç - Prédio'!C371</f>
        <v>89524 MOD</v>
      </c>
      <c r="D2066" s="890" t="s">
        <v>6074</v>
      </c>
      <c r="E2066" s="878">
        <f>'Orç - Prédio'!E371</f>
        <v>1</v>
      </c>
      <c r="F2066" s="889" t="s">
        <v>5284</v>
      </c>
      <c r="G2066" s="879">
        <v>30.32</v>
      </c>
      <c r="H2066" s="880">
        <f>H2076</f>
        <v>30.32</v>
      </c>
      <c r="I2066" s="1910" t="s">
        <v>9562</v>
      </c>
      <c r="J2066" s="1793"/>
      <c r="K2066" s="1793"/>
      <c r="L2066" s="141"/>
      <c r="M2066" s="1515"/>
    </row>
    <row r="2067" spans="1:13" s="156" customFormat="1" ht="30" x14ac:dyDescent="0.2">
      <c r="A2067" s="2144">
        <v>298</v>
      </c>
      <c r="B2067" s="2144"/>
      <c r="C2067" s="873" t="s">
        <v>4448</v>
      </c>
      <c r="D2067" s="182" t="s">
        <v>9857</v>
      </c>
      <c r="E2067" s="881">
        <v>1</v>
      </c>
      <c r="F2067" s="882" t="s">
        <v>39</v>
      </c>
      <c r="G2067" s="883">
        <v>2.02</v>
      </c>
      <c r="H2067" s="884">
        <f>ROUNDDOWN(G2067*E2067,2)</f>
        <v>2.02</v>
      </c>
      <c r="I2067" s="1642"/>
      <c r="J2067" s="1797"/>
      <c r="K2067" s="1797"/>
      <c r="L2067" s="1784"/>
      <c r="M2067" s="1785"/>
    </row>
    <row r="2068" spans="1:13" s="156" customFormat="1" ht="60" x14ac:dyDescent="0.2">
      <c r="A2068" s="2144">
        <v>20078</v>
      </c>
      <c r="B2068" s="2144"/>
      <c r="C2068" s="873" t="s">
        <v>4448</v>
      </c>
      <c r="D2068" s="182" t="s">
        <v>13168</v>
      </c>
      <c r="E2068" s="881">
        <v>0.03</v>
      </c>
      <c r="F2068" s="882" t="s">
        <v>39</v>
      </c>
      <c r="G2068" s="883">
        <v>20.8</v>
      </c>
      <c r="H2068" s="884">
        <f>ROUNDDOWN(G2068*E2068,2)</f>
        <v>0.62</v>
      </c>
      <c r="I2068" s="1642"/>
      <c r="J2068" s="1797"/>
      <c r="K2068" s="1797"/>
      <c r="L2068" s="1784"/>
      <c r="M2068" s="1785"/>
    </row>
    <row r="2069" spans="1:13" s="156" customFormat="1" ht="30" x14ac:dyDescent="0.2">
      <c r="A2069" s="2144">
        <v>10767</v>
      </c>
      <c r="B2069" s="2144"/>
      <c r="C2069" s="873" t="s">
        <v>4448</v>
      </c>
      <c r="D2069" s="182" t="s">
        <v>11301</v>
      </c>
      <c r="E2069" s="881">
        <v>1</v>
      </c>
      <c r="F2069" s="882" t="s">
        <v>39</v>
      </c>
      <c r="G2069" s="883">
        <v>24.16</v>
      </c>
      <c r="H2069" s="884">
        <f>ROUNDDOWN(G2069*E2069,2)</f>
        <v>24.16</v>
      </c>
      <c r="I2069" s="1642"/>
      <c r="J2069" s="1797"/>
      <c r="K2069" s="1797"/>
      <c r="L2069" s="1784"/>
      <c r="M2069" s="1785"/>
    </row>
    <row r="2070" spans="1:13" s="156" customFormat="1" ht="45" x14ac:dyDescent="0.2">
      <c r="A2070" s="2144">
        <v>88248</v>
      </c>
      <c r="B2070" s="2144"/>
      <c r="C2070" s="873" t="s">
        <v>4448</v>
      </c>
      <c r="D2070" s="182" t="s">
        <v>73</v>
      </c>
      <c r="E2070" s="881">
        <v>0.1</v>
      </c>
      <c r="F2070" s="882" t="s">
        <v>65</v>
      </c>
      <c r="G2070" s="883">
        <v>15.55</v>
      </c>
      <c r="H2070" s="884">
        <f>ROUNDDOWN(G2070*E2070,2)</f>
        <v>1.55</v>
      </c>
      <c r="I2070" s="1642"/>
      <c r="J2070" s="1797"/>
      <c r="K2070" s="1797"/>
      <c r="L2070" s="1784"/>
      <c r="M2070" s="1785"/>
    </row>
    <row r="2071" spans="1:13" s="156" customFormat="1" ht="30" x14ac:dyDescent="0.2">
      <c r="A2071" s="2144">
        <v>88267</v>
      </c>
      <c r="B2071" s="2144"/>
      <c r="C2071" s="873" t="s">
        <v>4448</v>
      </c>
      <c r="D2071" s="182" t="s">
        <v>83</v>
      </c>
      <c r="E2071" s="881">
        <v>0.1</v>
      </c>
      <c r="F2071" s="882" t="s">
        <v>65</v>
      </c>
      <c r="G2071" s="883">
        <v>19.73</v>
      </c>
      <c r="H2071" s="884">
        <f>ROUNDDOWN(G2071*E2071,2)</f>
        <v>1.97</v>
      </c>
      <c r="I2071" s="1642"/>
      <c r="J2071" s="1797"/>
      <c r="K2071" s="1797"/>
      <c r="L2071" s="1784"/>
      <c r="M2071" s="1785"/>
    </row>
    <row r="2072" spans="1:13" s="1517" customFormat="1" x14ac:dyDescent="0.25">
      <c r="A2072" s="179"/>
      <c r="B2072" s="179"/>
      <c r="C2072" s="885"/>
      <c r="D2072" s="2141" t="s">
        <v>124</v>
      </c>
      <c r="E2072" s="2141"/>
      <c r="F2072" s="2141"/>
      <c r="G2072" s="2141"/>
      <c r="H2072" s="267">
        <f>SUMIF(F2067:F2071,("h"),H2067:H2071)</f>
        <v>3.52</v>
      </c>
      <c r="I2072" s="1830"/>
      <c r="J2072" s="1795"/>
      <c r="K2072" s="1795"/>
      <c r="L2072" s="169"/>
      <c r="M2072" s="1783"/>
    </row>
    <row r="2073" spans="1:13" s="1517" customFormat="1" x14ac:dyDescent="0.25">
      <c r="A2073" s="179"/>
      <c r="B2073" s="179"/>
      <c r="C2073" s="885"/>
      <c r="D2073" s="2141" t="s">
        <v>125</v>
      </c>
      <c r="E2073" s="2141"/>
      <c r="F2073" s="2141"/>
      <c r="G2073" s="2141"/>
      <c r="H2073" s="267">
        <f>SUMIF(F2067:F2071,"&lt;&gt;h",H2067:H2071)</f>
        <v>26.8</v>
      </c>
      <c r="I2073" s="1830"/>
      <c r="J2073" s="1795"/>
      <c r="K2073" s="1795"/>
      <c r="L2073" s="169"/>
      <c r="M2073" s="1783"/>
    </row>
    <row r="2074" spans="1:13" s="1517" customFormat="1" x14ac:dyDescent="0.25">
      <c r="A2074" s="179"/>
      <c r="B2074" s="179"/>
      <c r="C2074" s="885"/>
      <c r="D2074" s="2142" t="s">
        <v>126</v>
      </c>
      <c r="E2074" s="2142"/>
      <c r="F2074" s="2142"/>
      <c r="G2074" s="2142"/>
      <c r="H2074" s="886">
        <f>SUM(H2072:H2073)</f>
        <v>30.32</v>
      </c>
      <c r="I2074" s="1830"/>
      <c r="J2074" s="1795"/>
      <c r="K2074" s="1795"/>
      <c r="L2074" s="169"/>
      <c r="M2074" s="1783"/>
    </row>
    <row r="2075" spans="1:13" s="1517" customFormat="1" x14ac:dyDescent="0.25">
      <c r="A2075" s="179"/>
      <c r="B2075" s="179"/>
      <c r="C2075" s="885"/>
      <c r="D2075" s="2141" t="s">
        <v>28</v>
      </c>
      <c r="E2075" s="2141"/>
      <c r="F2075" s="2141"/>
      <c r="G2075" s="2141"/>
      <c r="H2075" s="269">
        <f>E2066</f>
        <v>1</v>
      </c>
      <c r="I2075" s="1830"/>
      <c r="J2075" s="1795"/>
      <c r="K2075" s="1795"/>
      <c r="L2075" s="169"/>
      <c r="M2075" s="1783"/>
    </row>
    <row r="2076" spans="1:13" s="1517" customFormat="1" x14ac:dyDescent="0.25">
      <c r="A2076" s="179"/>
      <c r="B2076" s="179"/>
      <c r="C2076" s="885"/>
      <c r="D2076" s="2142" t="s">
        <v>127</v>
      </c>
      <c r="E2076" s="2142"/>
      <c r="F2076" s="2142"/>
      <c r="G2076" s="2142"/>
      <c r="H2076" s="886">
        <f>ROUND(H2074*H2075,2)</f>
        <v>30.32</v>
      </c>
      <c r="I2076" s="1830"/>
      <c r="J2076" s="1795"/>
      <c r="K2076" s="1795"/>
      <c r="L2076" s="169"/>
      <c r="M2076" s="1783"/>
    </row>
    <row r="2077" spans="1:13" s="1517" customFormat="1" x14ac:dyDescent="0.25">
      <c r="A2077" s="179"/>
      <c r="B2077" s="179"/>
      <c r="C2077" s="1531"/>
      <c r="D2077" s="2141" t="s">
        <v>15335</v>
      </c>
      <c r="E2077" s="2141"/>
      <c r="F2077" s="2141"/>
      <c r="G2077" s="2141"/>
      <c r="H2077" s="267">
        <f>ROUND(H2074*$B$13,2)</f>
        <v>8.17</v>
      </c>
      <c r="I2077" s="1830"/>
      <c r="J2077" s="1795"/>
      <c r="K2077" s="1795"/>
      <c r="L2077" s="169"/>
      <c r="M2077" s="1783"/>
    </row>
    <row r="2078" spans="1:13" x14ac:dyDescent="0.25">
      <c r="A2078" s="179"/>
      <c r="B2078" s="179"/>
      <c r="C2078" s="1531"/>
      <c r="D2078" s="2142" t="s">
        <v>7898</v>
      </c>
      <c r="E2078" s="2142"/>
      <c r="F2078" s="2142"/>
      <c r="G2078" s="2142"/>
      <c r="H2078" s="1532">
        <f>H2077+H2074</f>
        <v>38.49</v>
      </c>
    </row>
    <row r="2079" spans="1:13" x14ac:dyDescent="0.25">
      <c r="A2079" s="872"/>
      <c r="B2079" s="872"/>
      <c r="C2079" s="872"/>
      <c r="F2079" s="887"/>
      <c r="G2079" s="888"/>
      <c r="H2079" s="872"/>
    </row>
    <row r="2080" spans="1:13" s="1517" customFormat="1" x14ac:dyDescent="0.25">
      <c r="A2080" s="146" t="s">
        <v>6</v>
      </c>
      <c r="B2080" s="2143" t="s">
        <v>7</v>
      </c>
      <c r="C2080" s="2143"/>
      <c r="D2080" s="874" t="s">
        <v>121</v>
      </c>
      <c r="E2080" s="278" t="s">
        <v>5282</v>
      </c>
      <c r="F2080" s="874" t="s">
        <v>31</v>
      </c>
      <c r="G2080" s="875" t="s">
        <v>122</v>
      </c>
      <c r="H2080" s="876" t="s">
        <v>123</v>
      </c>
      <c r="I2080" s="1830"/>
      <c r="J2080" s="1795"/>
      <c r="K2080" s="1795"/>
      <c r="L2080" s="169"/>
      <c r="M2080" s="1783"/>
    </row>
    <row r="2081" spans="1:13" s="1526" customFormat="1" ht="30" x14ac:dyDescent="0.2">
      <c r="A2081" s="877" t="str">
        <f>'Orç - Prédio'!A372</f>
        <v>05.04.304.02</v>
      </c>
      <c r="B2081" s="889" t="str">
        <f>'Orç - Prédio'!B372</f>
        <v>SINAPI</v>
      </c>
      <c r="C2081" s="889" t="str">
        <f>'Orç - Prédio'!C372</f>
        <v>89730 MOD</v>
      </c>
      <c r="D2081" s="890" t="s">
        <v>6075</v>
      </c>
      <c r="E2081" s="878">
        <f>'Orç - Prédio'!E372</f>
        <v>55</v>
      </c>
      <c r="F2081" s="889" t="s">
        <v>5284</v>
      </c>
      <c r="G2081" s="879">
        <v>35.85</v>
      </c>
      <c r="H2081" s="880">
        <f>H2091</f>
        <v>1971.75</v>
      </c>
      <c r="I2081" s="1910" t="s">
        <v>9562</v>
      </c>
      <c r="J2081" s="1793"/>
      <c r="K2081" s="1793"/>
      <c r="L2081" s="141"/>
      <c r="M2081" s="1515"/>
    </row>
    <row r="2082" spans="1:13" s="156" customFormat="1" ht="30" x14ac:dyDescent="0.2">
      <c r="A2082" s="2144">
        <v>301</v>
      </c>
      <c r="B2082" s="2144"/>
      <c r="C2082" s="873" t="s">
        <v>4448</v>
      </c>
      <c r="D2082" s="182" t="s">
        <v>9861</v>
      </c>
      <c r="E2082" s="881">
        <v>1</v>
      </c>
      <c r="F2082" s="882" t="s">
        <v>39</v>
      </c>
      <c r="G2082" s="883">
        <v>2.21</v>
      </c>
      <c r="H2082" s="884">
        <f>ROUNDDOWN(G2082*E2082,2)</f>
        <v>2.21</v>
      </c>
      <c r="I2082" s="1642"/>
      <c r="J2082" s="1797"/>
      <c r="K2082" s="1797"/>
      <c r="L2082" s="1784"/>
      <c r="M2082" s="1785"/>
    </row>
    <row r="2083" spans="1:13" s="156" customFormat="1" ht="60" x14ac:dyDescent="0.2">
      <c r="A2083" s="2144">
        <v>20078</v>
      </c>
      <c r="B2083" s="2144"/>
      <c r="C2083" s="873" t="s">
        <v>4448</v>
      </c>
      <c r="D2083" s="182" t="s">
        <v>13168</v>
      </c>
      <c r="E2083" s="881">
        <v>4.5999999999999999E-2</v>
      </c>
      <c r="F2083" s="882" t="s">
        <v>39</v>
      </c>
      <c r="G2083" s="883">
        <v>20.8</v>
      </c>
      <c r="H2083" s="884">
        <f>ROUNDDOWN(G2083*E2083,2)</f>
        <v>0.95</v>
      </c>
      <c r="I2083" s="1642"/>
      <c r="J2083" s="1797"/>
      <c r="K2083" s="1797"/>
      <c r="L2083" s="1784"/>
      <c r="M2083" s="1785"/>
    </row>
    <row r="2084" spans="1:13" s="156" customFormat="1" ht="30" x14ac:dyDescent="0.2">
      <c r="A2084" s="2144">
        <v>1965</v>
      </c>
      <c r="B2084" s="2144"/>
      <c r="C2084" s="873" t="s">
        <v>4448</v>
      </c>
      <c r="D2084" s="182" t="s">
        <v>11299</v>
      </c>
      <c r="E2084" s="881">
        <v>1</v>
      </c>
      <c r="F2084" s="882" t="s">
        <v>39</v>
      </c>
      <c r="G2084" s="883">
        <v>29.17</v>
      </c>
      <c r="H2084" s="884">
        <f>ROUNDDOWN(G2084*E2084,2)</f>
        <v>29.17</v>
      </c>
      <c r="I2084" s="1642"/>
      <c r="J2084" s="1797"/>
      <c r="K2084" s="1797"/>
      <c r="L2084" s="1784"/>
      <c r="M2084" s="1785"/>
    </row>
    <row r="2085" spans="1:13" s="156" customFormat="1" ht="45" x14ac:dyDescent="0.2">
      <c r="A2085" s="2144">
        <v>88248</v>
      </c>
      <c r="B2085" s="2144"/>
      <c r="C2085" s="873" t="s">
        <v>4448</v>
      </c>
      <c r="D2085" s="182" t="s">
        <v>73</v>
      </c>
      <c r="E2085" s="881">
        <v>0.1</v>
      </c>
      <c r="F2085" s="882" t="s">
        <v>65</v>
      </c>
      <c r="G2085" s="883">
        <v>15.55</v>
      </c>
      <c r="H2085" s="884">
        <f>ROUNDDOWN(G2085*E2085,2)</f>
        <v>1.55</v>
      </c>
      <c r="I2085" s="1642"/>
      <c r="J2085" s="1797"/>
      <c r="K2085" s="1797"/>
      <c r="L2085" s="1784"/>
      <c r="M2085" s="1785"/>
    </row>
    <row r="2086" spans="1:13" s="156" customFormat="1" ht="30" x14ac:dyDescent="0.2">
      <c r="A2086" s="2144">
        <v>88267</v>
      </c>
      <c r="B2086" s="2144"/>
      <c r="C2086" s="873" t="s">
        <v>4448</v>
      </c>
      <c r="D2086" s="182" t="s">
        <v>83</v>
      </c>
      <c r="E2086" s="881">
        <v>0.1</v>
      </c>
      <c r="F2086" s="882" t="s">
        <v>65</v>
      </c>
      <c r="G2086" s="883">
        <v>19.73</v>
      </c>
      <c r="H2086" s="884">
        <f>ROUNDDOWN(G2086*E2086,2)</f>
        <v>1.97</v>
      </c>
      <c r="I2086" s="1642"/>
      <c r="J2086" s="1797"/>
      <c r="K2086" s="1797"/>
      <c r="L2086" s="1784"/>
      <c r="M2086" s="1785"/>
    </row>
    <row r="2087" spans="1:13" s="1517" customFormat="1" x14ac:dyDescent="0.25">
      <c r="A2087" s="179"/>
      <c r="B2087" s="179"/>
      <c r="C2087" s="885"/>
      <c r="D2087" s="2141" t="s">
        <v>124</v>
      </c>
      <c r="E2087" s="2141"/>
      <c r="F2087" s="2141"/>
      <c r="G2087" s="2141"/>
      <c r="H2087" s="267">
        <f>SUMIF(F2082:F2086,("h"),H2082:H2086)</f>
        <v>3.52</v>
      </c>
      <c r="I2087" s="1830"/>
      <c r="J2087" s="1795"/>
      <c r="K2087" s="1795"/>
      <c r="L2087" s="169"/>
      <c r="M2087" s="1783"/>
    </row>
    <row r="2088" spans="1:13" s="1517" customFormat="1" x14ac:dyDescent="0.25">
      <c r="A2088" s="179"/>
      <c r="B2088" s="179"/>
      <c r="C2088" s="885"/>
      <c r="D2088" s="2141" t="s">
        <v>125</v>
      </c>
      <c r="E2088" s="2141"/>
      <c r="F2088" s="2141"/>
      <c r="G2088" s="2141"/>
      <c r="H2088" s="267">
        <f>SUMIF(F2082:F2086,"&lt;&gt;h",H2082:H2086)</f>
        <v>32.33</v>
      </c>
      <c r="I2088" s="1830"/>
      <c r="J2088" s="1795"/>
      <c r="K2088" s="1795"/>
      <c r="L2088" s="169"/>
      <c r="M2088" s="1783"/>
    </row>
    <row r="2089" spans="1:13" s="1517" customFormat="1" x14ac:dyDescent="0.25">
      <c r="A2089" s="179"/>
      <c r="B2089" s="179"/>
      <c r="C2089" s="885"/>
      <c r="D2089" s="2142" t="s">
        <v>126</v>
      </c>
      <c r="E2089" s="2142"/>
      <c r="F2089" s="2142"/>
      <c r="G2089" s="2142"/>
      <c r="H2089" s="886">
        <f>SUM(H2087:H2088)</f>
        <v>35.85</v>
      </c>
      <c r="I2089" s="1830"/>
      <c r="J2089" s="1795"/>
      <c r="K2089" s="1795"/>
      <c r="L2089" s="169"/>
      <c r="M2089" s="1783"/>
    </row>
    <row r="2090" spans="1:13" s="1517" customFormat="1" x14ac:dyDescent="0.25">
      <c r="A2090" s="179"/>
      <c r="B2090" s="179"/>
      <c r="C2090" s="885"/>
      <c r="D2090" s="2141" t="s">
        <v>28</v>
      </c>
      <c r="E2090" s="2141"/>
      <c r="F2090" s="2141"/>
      <c r="G2090" s="2141"/>
      <c r="H2090" s="269">
        <f>E2081</f>
        <v>55</v>
      </c>
      <c r="I2090" s="1830"/>
      <c r="J2090" s="1795"/>
      <c r="K2090" s="1795"/>
      <c r="L2090" s="169"/>
      <c r="M2090" s="1783"/>
    </row>
    <row r="2091" spans="1:13" s="1517" customFormat="1" x14ac:dyDescent="0.25">
      <c r="A2091" s="179"/>
      <c r="B2091" s="179"/>
      <c r="C2091" s="885"/>
      <c r="D2091" s="2142" t="s">
        <v>127</v>
      </c>
      <c r="E2091" s="2142"/>
      <c r="F2091" s="2142"/>
      <c r="G2091" s="2142"/>
      <c r="H2091" s="886">
        <f>ROUND(H2089*H2090,2)</f>
        <v>1971.75</v>
      </c>
      <c r="I2091" s="1830"/>
      <c r="J2091" s="1795"/>
      <c r="K2091" s="1795"/>
      <c r="L2091" s="169"/>
      <c r="M2091" s="1783"/>
    </row>
    <row r="2092" spans="1:13" s="1517" customFormat="1" x14ac:dyDescent="0.25">
      <c r="A2092" s="179"/>
      <c r="B2092" s="179"/>
      <c r="C2092" s="1531"/>
      <c r="D2092" s="2141" t="s">
        <v>15335</v>
      </c>
      <c r="E2092" s="2141"/>
      <c r="F2092" s="2141"/>
      <c r="G2092" s="2141"/>
      <c r="H2092" s="267">
        <f>ROUND(H2089*$B$13,2)</f>
        <v>9.65</v>
      </c>
      <c r="I2092" s="1830"/>
      <c r="J2092" s="1795"/>
      <c r="K2092" s="1795"/>
      <c r="L2092" s="169"/>
      <c r="M2092" s="1783"/>
    </row>
    <row r="2093" spans="1:13" x14ac:dyDescent="0.25">
      <c r="A2093" s="179"/>
      <c r="B2093" s="179"/>
      <c r="C2093" s="1531"/>
      <c r="D2093" s="2142" t="s">
        <v>7898</v>
      </c>
      <c r="E2093" s="2142"/>
      <c r="F2093" s="2142"/>
      <c r="G2093" s="2142"/>
      <c r="H2093" s="1532">
        <f>H2092+H2089</f>
        <v>45.5</v>
      </c>
    </row>
    <row r="2094" spans="1:13" x14ac:dyDescent="0.25">
      <c r="A2094" s="872"/>
      <c r="B2094" s="872"/>
      <c r="C2094" s="872"/>
      <c r="F2094" s="887"/>
      <c r="G2094" s="888"/>
      <c r="H2094" s="872"/>
    </row>
    <row r="2095" spans="1:13" s="1517" customFormat="1" x14ac:dyDescent="0.25">
      <c r="A2095" s="146" t="s">
        <v>6</v>
      </c>
      <c r="B2095" s="2143" t="s">
        <v>7</v>
      </c>
      <c r="C2095" s="2143"/>
      <c r="D2095" s="874" t="s">
        <v>121</v>
      </c>
      <c r="E2095" s="278" t="s">
        <v>5282</v>
      </c>
      <c r="F2095" s="874" t="s">
        <v>31</v>
      </c>
      <c r="G2095" s="875" t="s">
        <v>122</v>
      </c>
      <c r="H2095" s="876" t="s">
        <v>123</v>
      </c>
      <c r="I2095" s="1830"/>
      <c r="J2095" s="1795"/>
      <c r="K2095" s="1795"/>
      <c r="L2095" s="169"/>
      <c r="M2095" s="1783"/>
    </row>
    <row r="2096" spans="1:13" s="1526" customFormat="1" ht="30" x14ac:dyDescent="0.2">
      <c r="A2096" s="877" t="str">
        <f>'Orç - Prédio'!A373</f>
        <v>05.04.304.03</v>
      </c>
      <c r="B2096" s="889" t="str">
        <f>'Orç - Prédio'!B373</f>
        <v>SINAPI</v>
      </c>
      <c r="C2096" s="889" t="str">
        <f>'Orç - Prédio'!C373</f>
        <v>89735 MOD</v>
      </c>
      <c r="D2096" s="890" t="s">
        <v>6076</v>
      </c>
      <c r="E2096" s="878">
        <f>'Orç - Prédio'!E373</f>
        <v>58</v>
      </c>
      <c r="F2096" s="889" t="s">
        <v>5284</v>
      </c>
      <c r="G2096" s="879">
        <v>13.610000000000001</v>
      </c>
      <c r="H2096" s="880">
        <f>H2106</f>
        <v>789.38</v>
      </c>
      <c r="I2096" s="1910" t="s">
        <v>9562</v>
      </c>
      <c r="J2096" s="1793"/>
      <c r="K2096" s="1793"/>
      <c r="L2096" s="141"/>
      <c r="M2096" s="1515"/>
    </row>
    <row r="2097" spans="1:13" s="156" customFormat="1" ht="30" x14ac:dyDescent="0.2">
      <c r="A2097" s="2144">
        <v>296</v>
      </c>
      <c r="B2097" s="2144"/>
      <c r="C2097" s="873" t="s">
        <v>4448</v>
      </c>
      <c r="D2097" s="182" t="s">
        <v>9859</v>
      </c>
      <c r="E2097" s="881">
        <v>1</v>
      </c>
      <c r="F2097" s="882" t="s">
        <v>39</v>
      </c>
      <c r="G2097" s="883">
        <v>1.25</v>
      </c>
      <c r="H2097" s="884">
        <f>ROUNDDOWN(G2097*E2097,2)</f>
        <v>1.25</v>
      </c>
      <c r="I2097" s="1642"/>
      <c r="J2097" s="1797"/>
      <c r="K2097" s="1797"/>
      <c r="L2097" s="1784"/>
      <c r="M2097" s="1785"/>
    </row>
    <row r="2098" spans="1:13" s="156" customFormat="1" ht="30" x14ac:dyDescent="0.2">
      <c r="A2098" s="2144">
        <v>10765</v>
      </c>
      <c r="B2098" s="2144"/>
      <c r="C2098" s="873" t="s">
        <v>4448</v>
      </c>
      <c r="D2098" s="182" t="s">
        <v>11300</v>
      </c>
      <c r="E2098" s="881">
        <v>1</v>
      </c>
      <c r="F2098" s="882" t="s">
        <v>39</v>
      </c>
      <c r="G2098" s="883">
        <v>7.37</v>
      </c>
      <c r="H2098" s="884">
        <f>ROUNDDOWN(G2098*E2098,2)</f>
        <v>7.37</v>
      </c>
      <c r="I2098" s="1642"/>
      <c r="J2098" s="1797"/>
      <c r="K2098" s="1797"/>
      <c r="L2098" s="1784"/>
      <c r="M2098" s="1785"/>
    </row>
    <row r="2099" spans="1:13" s="156" customFormat="1" ht="60" x14ac:dyDescent="0.2">
      <c r="A2099" s="2144">
        <v>20078</v>
      </c>
      <c r="B2099" s="2144"/>
      <c r="C2099" s="873" t="s">
        <v>4448</v>
      </c>
      <c r="D2099" s="182" t="s">
        <v>13168</v>
      </c>
      <c r="E2099" s="881">
        <v>0.02</v>
      </c>
      <c r="F2099" s="882" t="s">
        <v>39</v>
      </c>
      <c r="G2099" s="883">
        <v>20.8</v>
      </c>
      <c r="H2099" s="884">
        <f>ROUNDDOWN(G2099*E2099,2)</f>
        <v>0.41</v>
      </c>
      <c r="I2099" s="1642"/>
      <c r="J2099" s="1797"/>
      <c r="K2099" s="1797"/>
      <c r="L2099" s="1784"/>
      <c r="M2099" s="1785"/>
    </row>
    <row r="2100" spans="1:13" s="156" customFormat="1" ht="45" x14ac:dyDescent="0.2">
      <c r="A2100" s="2144">
        <v>88248</v>
      </c>
      <c r="B2100" s="2144"/>
      <c r="C2100" s="873" t="s">
        <v>4448</v>
      </c>
      <c r="D2100" s="182" t="s">
        <v>73</v>
      </c>
      <c r="E2100" s="881">
        <v>0.13</v>
      </c>
      <c r="F2100" s="882" t="s">
        <v>65</v>
      </c>
      <c r="G2100" s="883">
        <v>15.55</v>
      </c>
      <c r="H2100" s="884">
        <f>ROUNDDOWN(G2100*E2100,2)</f>
        <v>2.02</v>
      </c>
      <c r="I2100" s="1642"/>
      <c r="J2100" s="1797"/>
      <c r="K2100" s="1797"/>
      <c r="L2100" s="1784"/>
      <c r="M2100" s="1785"/>
    </row>
    <row r="2101" spans="1:13" s="156" customFormat="1" ht="30" x14ac:dyDescent="0.2">
      <c r="A2101" s="2144">
        <v>88267</v>
      </c>
      <c r="B2101" s="2144"/>
      <c r="C2101" s="873" t="s">
        <v>4448</v>
      </c>
      <c r="D2101" s="182" t="s">
        <v>83</v>
      </c>
      <c r="E2101" s="881">
        <v>0.13</v>
      </c>
      <c r="F2101" s="882" t="s">
        <v>65</v>
      </c>
      <c r="G2101" s="883">
        <v>19.73</v>
      </c>
      <c r="H2101" s="884">
        <f>ROUNDDOWN(G2101*E2101,2)</f>
        <v>2.56</v>
      </c>
      <c r="I2101" s="1642"/>
      <c r="J2101" s="1797"/>
      <c r="K2101" s="1797"/>
      <c r="L2101" s="1784"/>
      <c r="M2101" s="1785"/>
    </row>
    <row r="2102" spans="1:13" s="1517" customFormat="1" x14ac:dyDescent="0.25">
      <c r="A2102" s="179"/>
      <c r="B2102" s="179"/>
      <c r="C2102" s="885"/>
      <c r="D2102" s="2141" t="s">
        <v>124</v>
      </c>
      <c r="E2102" s="2141"/>
      <c r="F2102" s="2141"/>
      <c r="G2102" s="2141"/>
      <c r="H2102" s="267">
        <f>SUMIF(F2097:F2101,("h"),H2097:H2101)</f>
        <v>4.58</v>
      </c>
      <c r="I2102" s="1830"/>
      <c r="J2102" s="1795"/>
      <c r="K2102" s="1795"/>
      <c r="L2102" s="169"/>
      <c r="M2102" s="1783"/>
    </row>
    <row r="2103" spans="1:13" s="1517" customFormat="1" x14ac:dyDescent="0.25">
      <c r="A2103" s="179"/>
      <c r="B2103" s="179"/>
      <c r="C2103" s="885"/>
      <c r="D2103" s="2141" t="s">
        <v>125</v>
      </c>
      <c r="E2103" s="2141"/>
      <c r="F2103" s="2141"/>
      <c r="G2103" s="2141"/>
      <c r="H2103" s="267">
        <f>SUMIF(F2097:F2101,"&lt;&gt;h",H2097:H2101)</f>
        <v>9.0300000000000011</v>
      </c>
      <c r="I2103" s="1830"/>
      <c r="J2103" s="1795"/>
      <c r="K2103" s="1795"/>
      <c r="L2103" s="169"/>
      <c r="M2103" s="1783"/>
    </row>
    <row r="2104" spans="1:13" s="1517" customFormat="1" x14ac:dyDescent="0.25">
      <c r="A2104" s="179"/>
      <c r="B2104" s="179"/>
      <c r="C2104" s="885"/>
      <c r="D2104" s="2142" t="s">
        <v>126</v>
      </c>
      <c r="E2104" s="2142"/>
      <c r="F2104" s="2142"/>
      <c r="G2104" s="2142"/>
      <c r="H2104" s="886">
        <f>SUM(H2102:H2103)</f>
        <v>13.610000000000001</v>
      </c>
      <c r="I2104" s="1830"/>
      <c r="J2104" s="1795"/>
      <c r="K2104" s="1795"/>
      <c r="L2104" s="169"/>
      <c r="M2104" s="1783"/>
    </row>
    <row r="2105" spans="1:13" s="1517" customFormat="1" x14ac:dyDescent="0.25">
      <c r="A2105" s="179"/>
      <c r="B2105" s="179"/>
      <c r="C2105" s="885"/>
      <c r="D2105" s="2141" t="s">
        <v>28</v>
      </c>
      <c r="E2105" s="2141"/>
      <c r="F2105" s="2141"/>
      <c r="G2105" s="2141"/>
      <c r="H2105" s="269">
        <f>E2096</f>
        <v>58</v>
      </c>
      <c r="I2105" s="1830"/>
      <c r="J2105" s="1795"/>
      <c r="K2105" s="1795"/>
      <c r="L2105" s="169"/>
      <c r="M2105" s="1783"/>
    </row>
    <row r="2106" spans="1:13" s="1517" customFormat="1" x14ac:dyDescent="0.25">
      <c r="A2106" s="179"/>
      <c r="B2106" s="179"/>
      <c r="C2106" s="885"/>
      <c r="D2106" s="2142" t="s">
        <v>127</v>
      </c>
      <c r="E2106" s="2142"/>
      <c r="F2106" s="2142"/>
      <c r="G2106" s="2142"/>
      <c r="H2106" s="886">
        <f>ROUND(H2104*H2105,2)</f>
        <v>789.38</v>
      </c>
      <c r="I2106" s="1830"/>
      <c r="J2106" s="1795"/>
      <c r="K2106" s="1795"/>
      <c r="L2106" s="169"/>
      <c r="M2106" s="1783"/>
    </row>
    <row r="2107" spans="1:13" s="1517" customFormat="1" x14ac:dyDescent="0.25">
      <c r="A2107" s="179"/>
      <c r="B2107" s="179"/>
      <c r="C2107" s="1531"/>
      <c r="D2107" s="2141" t="s">
        <v>15335</v>
      </c>
      <c r="E2107" s="2141"/>
      <c r="F2107" s="2141"/>
      <c r="G2107" s="2141"/>
      <c r="H2107" s="267">
        <f>ROUND(H2104*$B$13,2)</f>
        <v>3.67</v>
      </c>
      <c r="I2107" s="1830"/>
      <c r="J2107" s="1795"/>
      <c r="K2107" s="1795"/>
      <c r="L2107" s="169"/>
      <c r="M2107" s="1783"/>
    </row>
    <row r="2108" spans="1:13" x14ac:dyDescent="0.25">
      <c r="A2108" s="179"/>
      <c r="B2108" s="179"/>
      <c r="C2108" s="1531"/>
      <c r="D2108" s="2142" t="s">
        <v>7898</v>
      </c>
      <c r="E2108" s="2142"/>
      <c r="F2108" s="2142"/>
      <c r="G2108" s="2142"/>
      <c r="H2108" s="1532">
        <f>H2107+H2104</f>
        <v>17.28</v>
      </c>
    </row>
    <row r="2109" spans="1:13" x14ac:dyDescent="0.25">
      <c r="A2109" s="872"/>
      <c r="B2109" s="872"/>
      <c r="C2109" s="872"/>
      <c r="F2109" s="887"/>
      <c r="G2109" s="888"/>
      <c r="H2109" s="872"/>
    </row>
    <row r="2110" spans="1:13" s="1517" customFormat="1" x14ac:dyDescent="0.25">
      <c r="A2110" s="146" t="s">
        <v>6</v>
      </c>
      <c r="B2110" s="2143" t="s">
        <v>7</v>
      </c>
      <c r="C2110" s="2143"/>
      <c r="D2110" s="874" t="s">
        <v>121</v>
      </c>
      <c r="E2110" s="278" t="s">
        <v>5282</v>
      </c>
      <c r="F2110" s="874" t="s">
        <v>31</v>
      </c>
      <c r="G2110" s="875" t="s">
        <v>122</v>
      </c>
      <c r="H2110" s="876" t="s">
        <v>123</v>
      </c>
      <c r="I2110" s="1830"/>
      <c r="J2110" s="1795"/>
      <c r="K2110" s="1795"/>
      <c r="L2110" s="169"/>
      <c r="M2110" s="1783"/>
    </row>
    <row r="2111" spans="1:13" s="1526" customFormat="1" ht="30" x14ac:dyDescent="0.2">
      <c r="A2111" s="877" t="str">
        <f>'Orç - Prédio'!A374</f>
        <v>05.04.304.04</v>
      </c>
      <c r="B2111" s="889" t="str">
        <f>'Orç - Prédio'!B374</f>
        <v>SINAPI</v>
      </c>
      <c r="C2111" s="889" t="str">
        <f>'Orç - Prédio'!C374</f>
        <v>89743 MOD</v>
      </c>
      <c r="D2111" s="890" t="s">
        <v>6077</v>
      </c>
      <c r="E2111" s="878">
        <f>'Orç - Prédio'!E374</f>
        <v>59</v>
      </c>
      <c r="F2111" s="889" t="s">
        <v>5284</v>
      </c>
      <c r="G2111" s="879">
        <v>33.230000000000004</v>
      </c>
      <c r="H2111" s="880">
        <f>H2121</f>
        <v>1960.57</v>
      </c>
      <c r="I2111" s="1910" t="s">
        <v>9562</v>
      </c>
      <c r="J2111" s="1793"/>
      <c r="K2111" s="1793"/>
      <c r="L2111" s="141"/>
      <c r="M2111" s="1515"/>
    </row>
    <row r="2112" spans="1:13" s="156" customFormat="1" ht="30" x14ac:dyDescent="0.2">
      <c r="A2112" s="2144">
        <v>297</v>
      </c>
      <c r="B2112" s="2144"/>
      <c r="C2112" s="873" t="s">
        <v>4448</v>
      </c>
      <c r="D2112" s="182" t="s">
        <v>9860</v>
      </c>
      <c r="E2112" s="881">
        <v>1</v>
      </c>
      <c r="F2112" s="882" t="s">
        <v>39</v>
      </c>
      <c r="G2112" s="883">
        <v>1.76</v>
      </c>
      <c r="H2112" s="884">
        <f>ROUNDDOWN(G2112*E2112,2)</f>
        <v>1.76</v>
      </c>
      <c r="I2112" s="1642"/>
      <c r="J2112" s="1797"/>
      <c r="K2112" s="1797"/>
      <c r="L2112" s="1784"/>
      <c r="M2112" s="1785"/>
    </row>
    <row r="2113" spans="1:13" s="156" customFormat="1" ht="30" x14ac:dyDescent="0.2">
      <c r="A2113" s="2144">
        <v>10767</v>
      </c>
      <c r="B2113" s="2144"/>
      <c r="C2113" s="873" t="s">
        <v>4448</v>
      </c>
      <c r="D2113" s="182" t="s">
        <v>11301</v>
      </c>
      <c r="E2113" s="881">
        <v>1</v>
      </c>
      <c r="F2113" s="882" t="s">
        <v>39</v>
      </c>
      <c r="G2113" s="883">
        <v>24.16</v>
      </c>
      <c r="H2113" s="884">
        <f>ROUNDDOWN(G2113*E2113,2)</f>
        <v>24.16</v>
      </c>
      <c r="I2113" s="1642"/>
      <c r="J2113" s="1797"/>
      <c r="K2113" s="1797"/>
      <c r="L2113" s="1784"/>
      <c r="M2113" s="1785"/>
    </row>
    <row r="2114" spans="1:13" s="156" customFormat="1" ht="60" x14ac:dyDescent="0.2">
      <c r="A2114" s="2144">
        <v>20078</v>
      </c>
      <c r="B2114" s="2144"/>
      <c r="C2114" s="873" t="s">
        <v>4448</v>
      </c>
      <c r="D2114" s="182" t="s">
        <v>13168</v>
      </c>
      <c r="E2114" s="881">
        <v>0.03</v>
      </c>
      <c r="F2114" s="882" t="s">
        <v>39</v>
      </c>
      <c r="G2114" s="883">
        <v>20.8</v>
      </c>
      <c r="H2114" s="884">
        <f>ROUNDDOWN(G2114*E2114,2)</f>
        <v>0.62</v>
      </c>
      <c r="I2114" s="1642"/>
      <c r="J2114" s="1797"/>
      <c r="K2114" s="1797"/>
      <c r="L2114" s="1784"/>
      <c r="M2114" s="1785"/>
    </row>
    <row r="2115" spans="1:13" s="156" customFormat="1" ht="45" x14ac:dyDescent="0.2">
      <c r="A2115" s="2144">
        <v>88248</v>
      </c>
      <c r="B2115" s="2144"/>
      <c r="C2115" s="873" t="s">
        <v>4448</v>
      </c>
      <c r="D2115" s="182" t="s">
        <v>73</v>
      </c>
      <c r="E2115" s="881">
        <v>0.19</v>
      </c>
      <c r="F2115" s="882" t="s">
        <v>65</v>
      </c>
      <c r="G2115" s="883">
        <v>15.55</v>
      </c>
      <c r="H2115" s="884">
        <f>ROUNDDOWN(G2115*E2115,2)</f>
        <v>2.95</v>
      </c>
      <c r="I2115" s="1642"/>
      <c r="J2115" s="1797"/>
      <c r="K2115" s="1797"/>
      <c r="L2115" s="1784"/>
      <c r="M2115" s="1785"/>
    </row>
    <row r="2116" spans="1:13" s="156" customFormat="1" ht="30" x14ac:dyDescent="0.2">
      <c r="A2116" s="2144">
        <v>88267</v>
      </c>
      <c r="B2116" s="2144"/>
      <c r="C2116" s="873" t="s">
        <v>4448</v>
      </c>
      <c r="D2116" s="182" t="s">
        <v>83</v>
      </c>
      <c r="E2116" s="881">
        <v>0.19</v>
      </c>
      <c r="F2116" s="882" t="s">
        <v>65</v>
      </c>
      <c r="G2116" s="883">
        <v>19.73</v>
      </c>
      <c r="H2116" s="884">
        <f>ROUNDDOWN(G2116*E2116,2)</f>
        <v>3.74</v>
      </c>
      <c r="I2116" s="1642"/>
      <c r="J2116" s="1797"/>
      <c r="K2116" s="1797"/>
      <c r="L2116" s="1784"/>
      <c r="M2116" s="1785"/>
    </row>
    <row r="2117" spans="1:13" s="1517" customFormat="1" x14ac:dyDescent="0.25">
      <c r="A2117" s="179"/>
      <c r="B2117" s="179"/>
      <c r="C2117" s="885"/>
      <c r="D2117" s="2141" t="s">
        <v>124</v>
      </c>
      <c r="E2117" s="2141"/>
      <c r="F2117" s="2141"/>
      <c r="G2117" s="2141"/>
      <c r="H2117" s="267">
        <f>SUMIF(F2112:F2116,("h"),H2112:H2116)</f>
        <v>6.69</v>
      </c>
      <c r="I2117" s="1830"/>
      <c r="J2117" s="1795"/>
      <c r="K2117" s="1795"/>
      <c r="L2117" s="169"/>
      <c r="M2117" s="1783"/>
    </row>
    <row r="2118" spans="1:13" s="1517" customFormat="1" x14ac:dyDescent="0.25">
      <c r="A2118" s="179"/>
      <c r="B2118" s="179"/>
      <c r="C2118" s="885"/>
      <c r="D2118" s="2141" t="s">
        <v>125</v>
      </c>
      <c r="E2118" s="2141"/>
      <c r="F2118" s="2141"/>
      <c r="G2118" s="2141"/>
      <c r="H2118" s="267">
        <f>SUMIF(F2112:F2116,"&lt;&gt;h",H2112:H2116)</f>
        <v>26.540000000000003</v>
      </c>
      <c r="I2118" s="1830"/>
      <c r="J2118" s="1795"/>
      <c r="K2118" s="1795"/>
      <c r="L2118" s="169"/>
      <c r="M2118" s="1783"/>
    </row>
    <row r="2119" spans="1:13" s="1517" customFormat="1" x14ac:dyDescent="0.25">
      <c r="A2119" s="179"/>
      <c r="B2119" s="179"/>
      <c r="C2119" s="885"/>
      <c r="D2119" s="2142" t="s">
        <v>126</v>
      </c>
      <c r="E2119" s="2142"/>
      <c r="F2119" s="2142"/>
      <c r="G2119" s="2142"/>
      <c r="H2119" s="886">
        <f>SUM(H2117:H2118)</f>
        <v>33.230000000000004</v>
      </c>
      <c r="I2119" s="1830"/>
      <c r="J2119" s="1795"/>
      <c r="K2119" s="1795"/>
      <c r="L2119" s="169"/>
      <c r="M2119" s="1783"/>
    </row>
    <row r="2120" spans="1:13" s="1517" customFormat="1" x14ac:dyDescent="0.25">
      <c r="A2120" s="179"/>
      <c r="B2120" s="179"/>
      <c r="C2120" s="885"/>
      <c r="D2120" s="2141" t="s">
        <v>28</v>
      </c>
      <c r="E2120" s="2141"/>
      <c r="F2120" s="2141"/>
      <c r="G2120" s="2141"/>
      <c r="H2120" s="269">
        <f>E2111</f>
        <v>59</v>
      </c>
      <c r="I2120" s="1830"/>
      <c r="J2120" s="1795"/>
      <c r="K2120" s="1795"/>
      <c r="L2120" s="169"/>
      <c r="M2120" s="1783"/>
    </row>
    <row r="2121" spans="1:13" s="1517" customFormat="1" x14ac:dyDescent="0.25">
      <c r="A2121" s="179"/>
      <c r="B2121" s="179"/>
      <c r="C2121" s="885"/>
      <c r="D2121" s="2142" t="s">
        <v>127</v>
      </c>
      <c r="E2121" s="2142"/>
      <c r="F2121" s="2142"/>
      <c r="G2121" s="2142"/>
      <c r="H2121" s="886">
        <f>ROUND(H2119*H2120,2)</f>
        <v>1960.57</v>
      </c>
      <c r="I2121" s="1830"/>
      <c r="J2121" s="1795"/>
      <c r="K2121" s="1795"/>
      <c r="L2121" s="169"/>
      <c r="M2121" s="1783"/>
    </row>
    <row r="2122" spans="1:13" s="1517" customFormat="1" x14ac:dyDescent="0.25">
      <c r="A2122" s="179"/>
      <c r="B2122" s="179"/>
      <c r="C2122" s="1531"/>
      <c r="D2122" s="2141" t="s">
        <v>15335</v>
      </c>
      <c r="E2122" s="2141"/>
      <c r="F2122" s="2141"/>
      <c r="G2122" s="2141"/>
      <c r="H2122" s="267">
        <f>ROUND(H2119*$B$13,2)</f>
        <v>8.9499999999999993</v>
      </c>
      <c r="I2122" s="1830"/>
      <c r="J2122" s="1795"/>
      <c r="K2122" s="1795"/>
      <c r="L2122" s="169"/>
      <c r="M2122" s="1783"/>
    </row>
    <row r="2123" spans="1:13" x14ac:dyDescent="0.25">
      <c r="A2123" s="179"/>
      <c r="B2123" s="179"/>
      <c r="C2123" s="1531"/>
      <c r="D2123" s="2142" t="s">
        <v>7898</v>
      </c>
      <c r="E2123" s="2142"/>
      <c r="F2123" s="2142"/>
      <c r="G2123" s="2142"/>
      <c r="H2123" s="1532">
        <f>H2122+H2119</f>
        <v>42.180000000000007</v>
      </c>
    </row>
    <row r="2124" spans="1:13" x14ac:dyDescent="0.25">
      <c r="A2124" s="872"/>
      <c r="B2124" s="872"/>
      <c r="C2124" s="872"/>
      <c r="F2124" s="887"/>
      <c r="G2124" s="888"/>
      <c r="H2124" s="872"/>
    </row>
    <row r="2125" spans="1:13" s="1517" customFormat="1" x14ac:dyDescent="0.25">
      <c r="A2125" s="146" t="s">
        <v>6</v>
      </c>
      <c r="B2125" s="2143" t="s">
        <v>7</v>
      </c>
      <c r="C2125" s="2143"/>
      <c r="D2125" s="874" t="s">
        <v>121</v>
      </c>
      <c r="E2125" s="278" t="s">
        <v>5282</v>
      </c>
      <c r="F2125" s="874" t="s">
        <v>31</v>
      </c>
      <c r="G2125" s="875" t="s">
        <v>122</v>
      </c>
      <c r="H2125" s="876" t="s">
        <v>123</v>
      </c>
      <c r="I2125" s="1830"/>
      <c r="J2125" s="1795"/>
      <c r="K2125" s="1795"/>
      <c r="L2125" s="169"/>
      <c r="M2125" s="1783"/>
    </row>
    <row r="2126" spans="1:13" s="1526" customFormat="1" ht="30" x14ac:dyDescent="0.2">
      <c r="A2126" s="877" t="str">
        <f>'Orç - Prédio'!A375</f>
        <v>05.04.304.05</v>
      </c>
      <c r="B2126" s="889" t="str">
        <f>'Orç - Prédio'!B375</f>
        <v>SINAPI</v>
      </c>
      <c r="C2126" s="889" t="str">
        <f>'Orç - Prédio'!C375</f>
        <v>89750 MOD</v>
      </c>
      <c r="D2126" s="890" t="s">
        <v>6078</v>
      </c>
      <c r="E2126" s="878">
        <f>'Orç - Prédio'!E375</f>
        <v>35</v>
      </c>
      <c r="F2126" s="889" t="s">
        <v>5284</v>
      </c>
      <c r="G2126" s="879">
        <v>41.14</v>
      </c>
      <c r="H2126" s="880">
        <f>H2136</f>
        <v>1439.9</v>
      </c>
      <c r="I2126" s="1910" t="s">
        <v>9562</v>
      </c>
      <c r="J2126" s="1793"/>
      <c r="K2126" s="1793"/>
      <c r="L2126" s="141"/>
      <c r="M2126" s="1515"/>
    </row>
    <row r="2127" spans="1:13" s="156" customFormat="1" ht="30" x14ac:dyDescent="0.2">
      <c r="A2127" s="2144">
        <v>301</v>
      </c>
      <c r="B2127" s="2144"/>
      <c r="C2127" s="873" t="s">
        <v>4448</v>
      </c>
      <c r="D2127" s="182" t="s">
        <v>9861</v>
      </c>
      <c r="E2127" s="881">
        <v>1</v>
      </c>
      <c r="F2127" s="882" t="s">
        <v>39</v>
      </c>
      <c r="G2127" s="883">
        <v>2.21</v>
      </c>
      <c r="H2127" s="884">
        <f>ROUNDDOWN(G2127*E2127,2)</f>
        <v>2.21</v>
      </c>
      <c r="I2127" s="1642"/>
      <c r="J2127" s="1797"/>
      <c r="K2127" s="1797"/>
      <c r="L2127" s="1784"/>
      <c r="M2127" s="1785"/>
    </row>
    <row r="2128" spans="1:13" s="156" customFormat="1" ht="30" x14ac:dyDescent="0.2">
      <c r="A2128" s="2144">
        <v>1965</v>
      </c>
      <c r="B2128" s="2144"/>
      <c r="C2128" s="873" t="s">
        <v>4448</v>
      </c>
      <c r="D2128" s="182" t="s">
        <v>11299</v>
      </c>
      <c r="E2128" s="881">
        <v>1</v>
      </c>
      <c r="F2128" s="882" t="s">
        <v>39</v>
      </c>
      <c r="G2128" s="883">
        <v>29.17</v>
      </c>
      <c r="H2128" s="884">
        <f>ROUNDDOWN(G2128*E2128,2)</f>
        <v>29.17</v>
      </c>
      <c r="I2128" s="1642"/>
      <c r="J2128" s="1797"/>
      <c r="K2128" s="1797"/>
      <c r="L2128" s="1784"/>
      <c r="M2128" s="1785"/>
    </row>
    <row r="2129" spans="1:13" s="156" customFormat="1" ht="60" x14ac:dyDescent="0.2">
      <c r="A2129" s="2144">
        <v>20078</v>
      </c>
      <c r="B2129" s="2144"/>
      <c r="C2129" s="873" t="s">
        <v>4448</v>
      </c>
      <c r="D2129" s="182" t="s">
        <v>13168</v>
      </c>
      <c r="E2129" s="881">
        <v>4.5999999999999999E-2</v>
      </c>
      <c r="F2129" s="882" t="s">
        <v>39</v>
      </c>
      <c r="G2129" s="883">
        <v>20.8</v>
      </c>
      <c r="H2129" s="884">
        <f>ROUNDDOWN(G2129*E2129,2)</f>
        <v>0.95</v>
      </c>
      <c r="I2129" s="1642"/>
      <c r="J2129" s="1797"/>
      <c r="K2129" s="1797"/>
      <c r="L2129" s="1784"/>
      <c r="M2129" s="1785"/>
    </row>
    <row r="2130" spans="1:13" s="156" customFormat="1" ht="45" x14ac:dyDescent="0.2">
      <c r="A2130" s="2144">
        <v>88248</v>
      </c>
      <c r="B2130" s="2144"/>
      <c r="C2130" s="873" t="s">
        <v>4448</v>
      </c>
      <c r="D2130" s="182" t="s">
        <v>73</v>
      </c>
      <c r="E2130" s="881">
        <v>0.25</v>
      </c>
      <c r="F2130" s="882" t="s">
        <v>65</v>
      </c>
      <c r="G2130" s="883">
        <v>15.55</v>
      </c>
      <c r="H2130" s="884">
        <f>ROUNDDOWN(G2130*E2130,2)</f>
        <v>3.88</v>
      </c>
      <c r="I2130" s="1642"/>
      <c r="J2130" s="1797"/>
      <c r="K2130" s="1797"/>
      <c r="L2130" s="1784"/>
      <c r="M2130" s="1785"/>
    </row>
    <row r="2131" spans="1:13" s="156" customFormat="1" ht="30" x14ac:dyDescent="0.2">
      <c r="A2131" s="2144">
        <v>88267</v>
      </c>
      <c r="B2131" s="2144"/>
      <c r="C2131" s="873" t="s">
        <v>4448</v>
      </c>
      <c r="D2131" s="182" t="s">
        <v>83</v>
      </c>
      <c r="E2131" s="881">
        <v>0.25</v>
      </c>
      <c r="F2131" s="882" t="s">
        <v>65</v>
      </c>
      <c r="G2131" s="883">
        <v>19.73</v>
      </c>
      <c r="H2131" s="884">
        <f>ROUNDDOWN(G2131*E2131,2)</f>
        <v>4.93</v>
      </c>
      <c r="I2131" s="1642"/>
      <c r="J2131" s="1797"/>
      <c r="K2131" s="1797"/>
      <c r="L2131" s="1784"/>
      <c r="M2131" s="1785"/>
    </row>
    <row r="2132" spans="1:13" s="1517" customFormat="1" x14ac:dyDescent="0.25">
      <c r="A2132" s="179"/>
      <c r="B2132" s="179"/>
      <c r="C2132" s="885"/>
      <c r="D2132" s="2141" t="s">
        <v>124</v>
      </c>
      <c r="E2132" s="2141"/>
      <c r="F2132" s="2141"/>
      <c r="G2132" s="2141"/>
      <c r="H2132" s="267">
        <f>SUMIF(F2127:F2131,("h"),H2127:H2131)</f>
        <v>8.8099999999999987</v>
      </c>
      <c r="I2132" s="1830"/>
      <c r="J2132" s="1795"/>
      <c r="K2132" s="1795"/>
      <c r="L2132" s="169"/>
      <c r="M2132" s="1783"/>
    </row>
    <row r="2133" spans="1:13" s="1517" customFormat="1" x14ac:dyDescent="0.25">
      <c r="A2133" s="179"/>
      <c r="B2133" s="179"/>
      <c r="C2133" s="885"/>
      <c r="D2133" s="2141" t="s">
        <v>125</v>
      </c>
      <c r="E2133" s="2141"/>
      <c r="F2133" s="2141"/>
      <c r="G2133" s="2141"/>
      <c r="H2133" s="267">
        <f>SUMIF(F2127:F2131,"&lt;&gt;h",H2127:H2131)</f>
        <v>32.330000000000005</v>
      </c>
      <c r="I2133" s="1830"/>
      <c r="J2133" s="1795"/>
      <c r="K2133" s="1795"/>
      <c r="L2133" s="169"/>
      <c r="M2133" s="1783"/>
    </row>
    <row r="2134" spans="1:13" s="1517" customFormat="1" x14ac:dyDescent="0.25">
      <c r="A2134" s="179"/>
      <c r="B2134" s="179"/>
      <c r="C2134" s="885"/>
      <c r="D2134" s="2142" t="s">
        <v>126</v>
      </c>
      <c r="E2134" s="2142"/>
      <c r="F2134" s="2142"/>
      <c r="G2134" s="2142"/>
      <c r="H2134" s="886">
        <f>SUM(H2132:H2133)</f>
        <v>41.14</v>
      </c>
      <c r="I2134" s="1830"/>
      <c r="J2134" s="1795"/>
      <c r="K2134" s="1795"/>
      <c r="L2134" s="169"/>
      <c r="M2134" s="1783"/>
    </row>
    <row r="2135" spans="1:13" s="1517" customFormat="1" x14ac:dyDescent="0.25">
      <c r="A2135" s="179"/>
      <c r="B2135" s="179"/>
      <c r="C2135" s="885"/>
      <c r="D2135" s="2141" t="s">
        <v>28</v>
      </c>
      <c r="E2135" s="2141"/>
      <c r="F2135" s="2141"/>
      <c r="G2135" s="2141"/>
      <c r="H2135" s="269">
        <f>E2126</f>
        <v>35</v>
      </c>
      <c r="I2135" s="1830"/>
      <c r="J2135" s="1795"/>
      <c r="K2135" s="1795"/>
      <c r="L2135" s="169"/>
      <c r="M2135" s="1783"/>
    </row>
    <row r="2136" spans="1:13" s="1517" customFormat="1" x14ac:dyDescent="0.25">
      <c r="A2136" s="179"/>
      <c r="B2136" s="179"/>
      <c r="C2136" s="885"/>
      <c r="D2136" s="2142" t="s">
        <v>127</v>
      </c>
      <c r="E2136" s="2142"/>
      <c r="F2136" s="2142"/>
      <c r="G2136" s="2142"/>
      <c r="H2136" s="886">
        <f>ROUND(H2134*H2135,2)</f>
        <v>1439.9</v>
      </c>
      <c r="I2136" s="1830"/>
      <c r="J2136" s="1795"/>
      <c r="K2136" s="1795"/>
      <c r="L2136" s="169"/>
      <c r="M2136" s="1783"/>
    </row>
    <row r="2137" spans="1:13" s="1517" customFormat="1" x14ac:dyDescent="0.25">
      <c r="A2137" s="179"/>
      <c r="B2137" s="179"/>
      <c r="C2137" s="1531"/>
      <c r="D2137" s="2141" t="s">
        <v>15335</v>
      </c>
      <c r="E2137" s="2141"/>
      <c r="F2137" s="2141"/>
      <c r="G2137" s="2141"/>
      <c r="H2137" s="267">
        <f>ROUND(H2134*$B$13,2)</f>
        <v>11.08</v>
      </c>
      <c r="I2137" s="1830"/>
      <c r="J2137" s="1795"/>
      <c r="K2137" s="1795"/>
      <c r="L2137" s="169"/>
      <c r="M2137" s="1783"/>
    </row>
    <row r="2138" spans="1:13" x14ac:dyDescent="0.25">
      <c r="A2138" s="179"/>
      <c r="B2138" s="179"/>
      <c r="C2138" s="1531"/>
      <c r="D2138" s="2142" t="s">
        <v>7898</v>
      </c>
      <c r="E2138" s="2142"/>
      <c r="F2138" s="2142"/>
      <c r="G2138" s="2142"/>
      <c r="H2138" s="1532">
        <f>H2137+H2134</f>
        <v>52.22</v>
      </c>
    </row>
    <row r="2139" spans="1:13" x14ac:dyDescent="0.25">
      <c r="A2139" s="872"/>
      <c r="B2139" s="872"/>
      <c r="C2139" s="872"/>
      <c r="F2139" s="887"/>
      <c r="G2139" s="888"/>
      <c r="H2139" s="872"/>
    </row>
    <row r="2140" spans="1:13" s="1517" customFormat="1" x14ac:dyDescent="0.25">
      <c r="A2140" s="146" t="s">
        <v>6</v>
      </c>
      <c r="B2140" s="2143" t="s">
        <v>7</v>
      </c>
      <c r="C2140" s="2143"/>
      <c r="D2140" s="874" t="s">
        <v>121</v>
      </c>
      <c r="E2140" s="278" t="s">
        <v>5282</v>
      </c>
      <c r="F2140" s="874" t="s">
        <v>31</v>
      </c>
      <c r="G2140" s="875" t="s">
        <v>122</v>
      </c>
      <c r="H2140" s="876" t="s">
        <v>123</v>
      </c>
      <c r="I2140" s="1830"/>
      <c r="J2140" s="1795"/>
      <c r="K2140" s="1795"/>
      <c r="L2140" s="169"/>
      <c r="M2140" s="1783"/>
    </row>
    <row r="2141" spans="1:13" s="1526" customFormat="1" ht="45" x14ac:dyDescent="0.2">
      <c r="A2141" s="877" t="str">
        <f>'Orç - Prédio'!A391</f>
        <v>05.04.305.09</v>
      </c>
      <c r="B2141" s="889" t="str">
        <f>'Orç - Prédio'!B391</f>
        <v>SINAPI</v>
      </c>
      <c r="C2141" s="889" t="str">
        <f>'Orç - Prédio'!C391</f>
        <v>89809 MOD</v>
      </c>
      <c r="D2141" s="890" t="s">
        <v>6094</v>
      </c>
      <c r="E2141" s="878">
        <f>'Orç - Prédio'!E391</f>
        <v>9</v>
      </c>
      <c r="F2141" s="889" t="s">
        <v>5284</v>
      </c>
      <c r="G2141" s="879">
        <v>21.15</v>
      </c>
      <c r="H2141" s="880">
        <f>H2152</f>
        <v>190.35</v>
      </c>
      <c r="I2141" s="1910" t="s">
        <v>9562</v>
      </c>
      <c r="J2141" s="1793"/>
      <c r="K2141" s="1793"/>
      <c r="L2141" s="141"/>
      <c r="M2141" s="1515"/>
    </row>
    <row r="2142" spans="1:13" s="156" customFormat="1" ht="30" x14ac:dyDescent="0.2">
      <c r="A2142" s="2144">
        <v>301</v>
      </c>
      <c r="B2142" s="2144"/>
      <c r="C2142" s="873" t="s">
        <v>4448</v>
      </c>
      <c r="D2142" s="182" t="s">
        <v>9861</v>
      </c>
      <c r="E2142" s="881">
        <v>1</v>
      </c>
      <c r="F2142" s="882" t="s">
        <v>39</v>
      </c>
      <c r="G2142" s="883">
        <v>2.21</v>
      </c>
      <c r="H2142" s="884">
        <f t="shared" ref="H2142:H2147" si="145">ROUNDDOWN(G2142*E2142,2)</f>
        <v>2.21</v>
      </c>
      <c r="I2142" s="1642"/>
      <c r="J2142" s="1797"/>
      <c r="K2142" s="1797"/>
      <c r="L2142" s="1784"/>
      <c r="M2142" s="1785"/>
    </row>
    <row r="2143" spans="1:13" s="156" customFormat="1" ht="30" x14ac:dyDescent="0.2">
      <c r="A2143" s="2144">
        <v>296</v>
      </c>
      <c r="B2143" s="2144"/>
      <c r="C2143" s="873" t="s">
        <v>4448</v>
      </c>
      <c r="D2143" s="182" t="s">
        <v>9859</v>
      </c>
      <c r="E2143" s="881">
        <v>1</v>
      </c>
      <c r="F2143" s="882" t="s">
        <v>39</v>
      </c>
      <c r="G2143" s="883">
        <v>1.25</v>
      </c>
      <c r="H2143" s="884">
        <f t="shared" si="145"/>
        <v>1.25</v>
      </c>
      <c r="I2143" s="1642"/>
      <c r="J2143" s="1797"/>
      <c r="K2143" s="1797"/>
      <c r="L2143" s="1784"/>
      <c r="M2143" s="1785"/>
    </row>
    <row r="2144" spans="1:13" s="156" customFormat="1" ht="45" x14ac:dyDescent="0.2">
      <c r="A2144" s="2144">
        <v>10836</v>
      </c>
      <c r="B2144" s="2144"/>
      <c r="C2144" s="873" t="s">
        <v>4448</v>
      </c>
      <c r="D2144" s="182" t="s">
        <v>12212</v>
      </c>
      <c r="E2144" s="881">
        <v>1</v>
      </c>
      <c r="F2144" s="882" t="s">
        <v>39</v>
      </c>
      <c r="G2144" s="883">
        <v>12.52</v>
      </c>
      <c r="H2144" s="884">
        <f t="shared" si="145"/>
        <v>12.52</v>
      </c>
      <c r="I2144" s="1642"/>
      <c r="J2144" s="1797"/>
      <c r="K2144" s="1797"/>
      <c r="L2144" s="1784"/>
      <c r="M2144" s="1785"/>
    </row>
    <row r="2145" spans="1:13" s="156" customFormat="1" ht="60" x14ac:dyDescent="0.2">
      <c r="A2145" s="2144">
        <v>20078</v>
      </c>
      <c r="B2145" s="2144"/>
      <c r="C2145" s="873" t="s">
        <v>4448</v>
      </c>
      <c r="D2145" s="182" t="s">
        <v>13168</v>
      </c>
      <c r="E2145" s="881">
        <v>4.5999999999999999E-2</v>
      </c>
      <c r="F2145" s="882" t="s">
        <v>39</v>
      </c>
      <c r="G2145" s="883">
        <v>20.8</v>
      </c>
      <c r="H2145" s="884">
        <f>ROUNDDOWN(G2145*E2145,2)</f>
        <v>0.95</v>
      </c>
      <c r="I2145" s="1642"/>
      <c r="J2145" s="1797"/>
      <c r="K2145" s="1797"/>
      <c r="L2145" s="1784"/>
      <c r="M2145" s="1785"/>
    </row>
    <row r="2146" spans="1:13" s="156" customFormat="1" ht="45" x14ac:dyDescent="0.2">
      <c r="A2146" s="2144">
        <v>88248</v>
      </c>
      <c r="B2146" s="2144"/>
      <c r="C2146" s="873" t="s">
        <v>4448</v>
      </c>
      <c r="D2146" s="182" t="s">
        <v>73</v>
      </c>
      <c r="E2146" s="881">
        <v>0.12</v>
      </c>
      <c r="F2146" s="882" t="s">
        <v>65</v>
      </c>
      <c r="G2146" s="883">
        <v>15.55</v>
      </c>
      <c r="H2146" s="884">
        <f t="shared" si="145"/>
        <v>1.86</v>
      </c>
      <c r="I2146" s="1642"/>
      <c r="J2146" s="1797"/>
      <c r="K2146" s="1797"/>
      <c r="L2146" s="1784"/>
      <c r="M2146" s="1785"/>
    </row>
    <row r="2147" spans="1:13" s="156" customFormat="1" ht="30" x14ac:dyDescent="0.2">
      <c r="A2147" s="2144">
        <v>88267</v>
      </c>
      <c r="B2147" s="2144"/>
      <c r="C2147" s="873" t="s">
        <v>4448</v>
      </c>
      <c r="D2147" s="182" t="s">
        <v>83</v>
      </c>
      <c r="E2147" s="881">
        <v>0.12</v>
      </c>
      <c r="F2147" s="882" t="s">
        <v>65</v>
      </c>
      <c r="G2147" s="883">
        <v>19.73</v>
      </c>
      <c r="H2147" s="884">
        <f t="shared" si="145"/>
        <v>2.36</v>
      </c>
      <c r="I2147" s="1642"/>
      <c r="J2147" s="1797"/>
      <c r="K2147" s="1797"/>
      <c r="L2147" s="1784"/>
      <c r="M2147" s="1785"/>
    </row>
    <row r="2148" spans="1:13" s="1517" customFormat="1" x14ac:dyDescent="0.25">
      <c r="A2148" s="179"/>
      <c r="B2148" s="179"/>
      <c r="C2148" s="885"/>
      <c r="D2148" s="2141" t="s">
        <v>124</v>
      </c>
      <c r="E2148" s="2141"/>
      <c r="F2148" s="2141"/>
      <c r="G2148" s="2141"/>
      <c r="H2148" s="267">
        <f>SUMIF(F2142:F2147,("h"),H2142:H2147)</f>
        <v>4.22</v>
      </c>
      <c r="I2148" s="1830"/>
      <c r="J2148" s="1795"/>
      <c r="K2148" s="1795"/>
      <c r="L2148" s="169"/>
      <c r="M2148" s="1783"/>
    </row>
    <row r="2149" spans="1:13" s="1517" customFormat="1" x14ac:dyDescent="0.25">
      <c r="A2149" s="179"/>
      <c r="B2149" s="179"/>
      <c r="C2149" s="885"/>
      <c r="D2149" s="2141" t="s">
        <v>125</v>
      </c>
      <c r="E2149" s="2141"/>
      <c r="F2149" s="2141"/>
      <c r="G2149" s="2141"/>
      <c r="H2149" s="267">
        <f>SUMIF(F2142:F2147,"&lt;&gt;h",H2142:H2147)</f>
        <v>16.93</v>
      </c>
      <c r="I2149" s="1830"/>
      <c r="J2149" s="1795"/>
      <c r="K2149" s="1795"/>
      <c r="L2149" s="169"/>
      <c r="M2149" s="1783"/>
    </row>
    <row r="2150" spans="1:13" s="1517" customFormat="1" x14ac:dyDescent="0.25">
      <c r="A2150" s="179"/>
      <c r="B2150" s="179"/>
      <c r="C2150" s="885"/>
      <c r="D2150" s="2142" t="s">
        <v>126</v>
      </c>
      <c r="E2150" s="2142"/>
      <c r="F2150" s="2142"/>
      <c r="G2150" s="2142"/>
      <c r="H2150" s="886">
        <f>SUM(H2148:H2149)</f>
        <v>21.15</v>
      </c>
      <c r="I2150" s="1830"/>
      <c r="J2150" s="1795"/>
      <c r="K2150" s="1795"/>
      <c r="L2150" s="169"/>
      <c r="M2150" s="1783"/>
    </row>
    <row r="2151" spans="1:13" s="1517" customFormat="1" x14ac:dyDescent="0.25">
      <c r="A2151" s="179"/>
      <c r="B2151" s="179"/>
      <c r="C2151" s="885"/>
      <c r="D2151" s="2141" t="s">
        <v>28</v>
      </c>
      <c r="E2151" s="2141"/>
      <c r="F2151" s="2141"/>
      <c r="G2151" s="2141"/>
      <c r="H2151" s="269">
        <f>E2141</f>
        <v>9</v>
      </c>
      <c r="I2151" s="1830"/>
      <c r="J2151" s="1795"/>
      <c r="K2151" s="1795"/>
      <c r="L2151" s="169"/>
      <c r="M2151" s="1783"/>
    </row>
    <row r="2152" spans="1:13" s="1517" customFormat="1" x14ac:dyDescent="0.25">
      <c r="A2152" s="179"/>
      <c r="B2152" s="179"/>
      <c r="C2152" s="885"/>
      <c r="D2152" s="2142" t="s">
        <v>127</v>
      </c>
      <c r="E2152" s="2142"/>
      <c r="F2152" s="2142"/>
      <c r="G2152" s="2142"/>
      <c r="H2152" s="886">
        <f>ROUND(H2150*H2151,2)</f>
        <v>190.35</v>
      </c>
      <c r="I2152" s="1830"/>
      <c r="J2152" s="1795"/>
      <c r="K2152" s="1795"/>
      <c r="L2152" s="169"/>
      <c r="M2152" s="1783"/>
    </row>
    <row r="2153" spans="1:13" s="1517" customFormat="1" x14ac:dyDescent="0.25">
      <c r="A2153" s="179"/>
      <c r="B2153" s="179"/>
      <c r="C2153" s="1531"/>
      <c r="D2153" s="2141" t="s">
        <v>15335</v>
      </c>
      <c r="E2153" s="2141"/>
      <c r="F2153" s="2141"/>
      <c r="G2153" s="2141"/>
      <c r="H2153" s="267">
        <f>ROUND(H2150*$B$13,2)</f>
        <v>5.7</v>
      </c>
      <c r="I2153" s="1830"/>
      <c r="J2153" s="1795"/>
      <c r="K2153" s="1795"/>
      <c r="L2153" s="169"/>
      <c r="M2153" s="1783"/>
    </row>
    <row r="2154" spans="1:13" x14ac:dyDescent="0.25">
      <c r="A2154" s="179"/>
      <c r="B2154" s="179"/>
      <c r="C2154" s="1531"/>
      <c r="D2154" s="2142" t="s">
        <v>7898</v>
      </c>
      <c r="E2154" s="2142"/>
      <c r="F2154" s="2142"/>
      <c r="G2154" s="2142"/>
      <c r="H2154" s="1532">
        <f>H2153+H2150</f>
        <v>26.849999999999998</v>
      </c>
    </row>
    <row r="2155" spans="1:13" x14ac:dyDescent="0.25">
      <c r="A2155" s="872"/>
      <c r="B2155" s="872"/>
      <c r="C2155" s="872"/>
      <c r="F2155" s="887"/>
      <c r="G2155" s="888"/>
      <c r="H2155" s="872"/>
    </row>
    <row r="2156" spans="1:13" s="1517" customFormat="1" x14ac:dyDescent="0.25">
      <c r="A2156" s="146" t="s">
        <v>6</v>
      </c>
      <c r="B2156" s="2143" t="s">
        <v>7</v>
      </c>
      <c r="C2156" s="2143"/>
      <c r="D2156" s="874" t="s">
        <v>121</v>
      </c>
      <c r="E2156" s="278" t="s">
        <v>5282</v>
      </c>
      <c r="F2156" s="874" t="s">
        <v>31</v>
      </c>
      <c r="G2156" s="875" t="s">
        <v>122</v>
      </c>
      <c r="H2156" s="876" t="s">
        <v>123</v>
      </c>
      <c r="I2156" s="1830"/>
      <c r="J2156" s="1795"/>
      <c r="K2156" s="1795"/>
      <c r="L2156" s="169"/>
      <c r="M2156" s="1783"/>
    </row>
    <row r="2157" spans="1:13" s="1526" customFormat="1" ht="30" x14ac:dyDescent="0.2">
      <c r="A2157" s="877" t="str">
        <f>'Orç - Prédio'!A392</f>
        <v>05.04.306.01</v>
      </c>
      <c r="B2157" s="889" t="str">
        <f>'Orç - Prédio'!B392</f>
        <v>SINAPI</v>
      </c>
      <c r="C2157" s="889" t="str">
        <f>'Orç - Prédio'!C392</f>
        <v>89795 MOD</v>
      </c>
      <c r="D2157" s="890" t="s">
        <v>6095</v>
      </c>
      <c r="E2157" s="878">
        <f>'Orç - Prédio'!E392</f>
        <v>13</v>
      </c>
      <c r="F2157" s="889" t="s">
        <v>5284</v>
      </c>
      <c r="G2157" s="879">
        <v>20.839999999999996</v>
      </c>
      <c r="H2157" s="880">
        <f>H2168</f>
        <v>270.92</v>
      </c>
      <c r="I2157" s="1910" t="s">
        <v>9562</v>
      </c>
      <c r="J2157" s="1793"/>
      <c r="K2157" s="1793"/>
      <c r="L2157" s="141"/>
      <c r="M2157" s="1515"/>
    </row>
    <row r="2158" spans="1:13" s="156" customFormat="1" ht="30" x14ac:dyDescent="0.2">
      <c r="A2158" s="2144">
        <v>297</v>
      </c>
      <c r="B2158" s="2144"/>
      <c r="C2158" s="873" t="s">
        <v>4448</v>
      </c>
      <c r="D2158" s="182" t="s">
        <v>9860</v>
      </c>
      <c r="E2158" s="881">
        <v>1</v>
      </c>
      <c r="F2158" s="882" t="s">
        <v>39</v>
      </c>
      <c r="G2158" s="883">
        <v>1.76</v>
      </c>
      <c r="H2158" s="884">
        <f t="shared" ref="H2158:H2163" si="146">ROUNDDOWN(G2158*E2158,2)</f>
        <v>1.76</v>
      </c>
      <c r="I2158" s="1642"/>
      <c r="J2158" s="1797"/>
      <c r="K2158" s="1797"/>
      <c r="L2158" s="1784"/>
      <c r="M2158" s="1785"/>
    </row>
    <row r="2159" spans="1:13" s="156" customFormat="1" ht="30" x14ac:dyDescent="0.2">
      <c r="A2159" s="2144">
        <v>296</v>
      </c>
      <c r="B2159" s="2144"/>
      <c r="C2159" s="873" t="s">
        <v>4448</v>
      </c>
      <c r="D2159" s="182" t="s">
        <v>9859</v>
      </c>
      <c r="E2159" s="881">
        <v>1</v>
      </c>
      <c r="F2159" s="882" t="s">
        <v>39</v>
      </c>
      <c r="G2159" s="883">
        <v>1.25</v>
      </c>
      <c r="H2159" s="884">
        <f t="shared" si="146"/>
        <v>1.25</v>
      </c>
      <c r="I2159" s="1642"/>
      <c r="J2159" s="1797"/>
      <c r="K2159" s="1797"/>
      <c r="L2159" s="1784"/>
      <c r="M2159" s="1785"/>
    </row>
    <row r="2160" spans="1:13" s="156" customFormat="1" ht="45" x14ac:dyDescent="0.2">
      <c r="A2160" s="2144">
        <v>3669</v>
      </c>
      <c r="B2160" s="2144"/>
      <c r="C2160" s="873" t="s">
        <v>4448</v>
      </c>
      <c r="D2160" s="182" t="s">
        <v>12326</v>
      </c>
      <c r="E2160" s="881">
        <v>1</v>
      </c>
      <c r="F2160" s="882" t="s">
        <v>39</v>
      </c>
      <c r="G2160" s="883">
        <v>7.78</v>
      </c>
      <c r="H2160" s="884">
        <f t="shared" si="146"/>
        <v>7.78</v>
      </c>
      <c r="I2160" s="1642"/>
      <c r="J2160" s="1797"/>
      <c r="K2160" s="1797"/>
      <c r="L2160" s="1784"/>
      <c r="M2160" s="1785"/>
    </row>
    <row r="2161" spans="1:13" s="156" customFormat="1" ht="60" x14ac:dyDescent="0.2">
      <c r="A2161" s="2144">
        <v>20078</v>
      </c>
      <c r="B2161" s="2144"/>
      <c r="C2161" s="873" t="s">
        <v>4448</v>
      </c>
      <c r="D2161" s="182" t="s">
        <v>13168</v>
      </c>
      <c r="E2161" s="881">
        <v>0.06</v>
      </c>
      <c r="F2161" s="882" t="s">
        <v>39</v>
      </c>
      <c r="G2161" s="883">
        <v>20.8</v>
      </c>
      <c r="H2161" s="884">
        <f t="shared" si="146"/>
        <v>1.24</v>
      </c>
      <c r="I2161" s="1642"/>
      <c r="J2161" s="1797"/>
      <c r="K2161" s="1797"/>
      <c r="L2161" s="1784"/>
      <c r="M2161" s="1785"/>
    </row>
    <row r="2162" spans="1:13" s="156" customFormat="1" ht="45" x14ac:dyDescent="0.2">
      <c r="A2162" s="2144">
        <v>88248</v>
      </c>
      <c r="B2162" s="2144"/>
      <c r="C2162" s="873" t="s">
        <v>4448</v>
      </c>
      <c r="D2162" s="182" t="s">
        <v>73</v>
      </c>
      <c r="E2162" s="881">
        <v>0.25</v>
      </c>
      <c r="F2162" s="882" t="s">
        <v>65</v>
      </c>
      <c r="G2162" s="883">
        <v>15.55</v>
      </c>
      <c r="H2162" s="884">
        <f t="shared" si="146"/>
        <v>3.88</v>
      </c>
      <c r="I2162" s="1642"/>
      <c r="J2162" s="1797"/>
      <c r="K2162" s="1797"/>
      <c r="L2162" s="1784"/>
      <c r="M2162" s="1785"/>
    </row>
    <row r="2163" spans="1:13" s="156" customFormat="1" ht="30" x14ac:dyDescent="0.2">
      <c r="A2163" s="2144">
        <v>88267</v>
      </c>
      <c r="B2163" s="2144"/>
      <c r="C2163" s="873" t="s">
        <v>4448</v>
      </c>
      <c r="D2163" s="182" t="s">
        <v>83</v>
      </c>
      <c r="E2163" s="881">
        <v>0.25</v>
      </c>
      <c r="F2163" s="882" t="s">
        <v>65</v>
      </c>
      <c r="G2163" s="883">
        <v>19.73</v>
      </c>
      <c r="H2163" s="884">
        <f t="shared" si="146"/>
        <v>4.93</v>
      </c>
      <c r="I2163" s="1642"/>
      <c r="J2163" s="1797"/>
      <c r="K2163" s="1797"/>
      <c r="L2163" s="1784"/>
      <c r="M2163" s="1785"/>
    </row>
    <row r="2164" spans="1:13" s="1517" customFormat="1" x14ac:dyDescent="0.25">
      <c r="A2164" s="179"/>
      <c r="B2164" s="179"/>
      <c r="C2164" s="885"/>
      <c r="D2164" s="2141" t="s">
        <v>124</v>
      </c>
      <c r="E2164" s="2141"/>
      <c r="F2164" s="2141"/>
      <c r="G2164" s="2141"/>
      <c r="H2164" s="267">
        <f>SUMIF(F2158:F2163,("h"),H2158:H2163)</f>
        <v>8.8099999999999987</v>
      </c>
      <c r="I2164" s="1830"/>
      <c r="J2164" s="1795"/>
      <c r="K2164" s="1795"/>
      <c r="L2164" s="169"/>
      <c r="M2164" s="1783"/>
    </row>
    <row r="2165" spans="1:13" s="1517" customFormat="1" x14ac:dyDescent="0.25">
      <c r="A2165" s="179"/>
      <c r="B2165" s="179"/>
      <c r="C2165" s="885"/>
      <c r="D2165" s="2141" t="s">
        <v>125</v>
      </c>
      <c r="E2165" s="2141"/>
      <c r="F2165" s="2141"/>
      <c r="G2165" s="2141"/>
      <c r="H2165" s="267">
        <f>SUMIF(F2158:F2163,"&lt;&gt;h",H2158:H2163)</f>
        <v>12.03</v>
      </c>
      <c r="I2165" s="1830"/>
      <c r="J2165" s="1795"/>
      <c r="K2165" s="1795"/>
      <c r="L2165" s="169"/>
      <c r="M2165" s="1783"/>
    </row>
    <row r="2166" spans="1:13" s="1517" customFormat="1" x14ac:dyDescent="0.25">
      <c r="A2166" s="179"/>
      <c r="B2166" s="179"/>
      <c r="C2166" s="885"/>
      <c r="D2166" s="2142" t="s">
        <v>126</v>
      </c>
      <c r="E2166" s="2142"/>
      <c r="F2166" s="2142"/>
      <c r="G2166" s="2142"/>
      <c r="H2166" s="886">
        <f>SUM(H2164:H2165)</f>
        <v>20.839999999999996</v>
      </c>
      <c r="I2166" s="1830"/>
      <c r="J2166" s="1795"/>
      <c r="K2166" s="1795"/>
      <c r="L2166" s="169"/>
      <c r="M2166" s="1783"/>
    </row>
    <row r="2167" spans="1:13" s="1517" customFormat="1" x14ac:dyDescent="0.25">
      <c r="A2167" s="179"/>
      <c r="B2167" s="179"/>
      <c r="C2167" s="885"/>
      <c r="D2167" s="2141" t="s">
        <v>28</v>
      </c>
      <c r="E2167" s="2141"/>
      <c r="F2167" s="2141"/>
      <c r="G2167" s="2141"/>
      <c r="H2167" s="269">
        <f>E2157</f>
        <v>13</v>
      </c>
      <c r="I2167" s="1830"/>
      <c r="J2167" s="1795"/>
      <c r="K2167" s="1795"/>
      <c r="L2167" s="169"/>
      <c r="M2167" s="1783"/>
    </row>
    <row r="2168" spans="1:13" s="1517" customFormat="1" x14ac:dyDescent="0.25">
      <c r="A2168" s="179"/>
      <c r="B2168" s="179"/>
      <c r="C2168" s="885"/>
      <c r="D2168" s="2142" t="s">
        <v>127</v>
      </c>
      <c r="E2168" s="2142"/>
      <c r="F2168" s="2142"/>
      <c r="G2168" s="2142"/>
      <c r="H2168" s="886">
        <f>ROUND(H2166*H2167,2)</f>
        <v>270.92</v>
      </c>
      <c r="I2168" s="1830"/>
      <c r="J2168" s="1795"/>
      <c r="K2168" s="1795"/>
      <c r="L2168" s="169"/>
      <c r="M2168" s="1783"/>
    </row>
    <row r="2169" spans="1:13" s="1517" customFormat="1" x14ac:dyDescent="0.25">
      <c r="A2169" s="179"/>
      <c r="B2169" s="179"/>
      <c r="C2169" s="1531"/>
      <c r="D2169" s="2141" t="s">
        <v>15335</v>
      </c>
      <c r="E2169" s="2141"/>
      <c r="F2169" s="2141"/>
      <c r="G2169" s="2141"/>
      <c r="H2169" s="267">
        <f>ROUND(H2166*$B$13,2)</f>
        <v>5.61</v>
      </c>
      <c r="I2169" s="1830"/>
      <c r="J2169" s="1795"/>
      <c r="K2169" s="1795"/>
      <c r="L2169" s="169"/>
      <c r="M2169" s="1783"/>
    </row>
    <row r="2170" spans="1:13" x14ac:dyDescent="0.25">
      <c r="A2170" s="179"/>
      <c r="B2170" s="179"/>
      <c r="C2170" s="1531"/>
      <c r="D2170" s="2142" t="s">
        <v>7898</v>
      </c>
      <c r="E2170" s="2142"/>
      <c r="F2170" s="2142"/>
      <c r="G2170" s="2142"/>
      <c r="H2170" s="1532">
        <f>H2169+H2166</f>
        <v>26.449999999999996</v>
      </c>
    </row>
    <row r="2171" spans="1:13" x14ac:dyDescent="0.25">
      <c r="A2171" s="872"/>
      <c r="B2171" s="872"/>
      <c r="C2171" s="872"/>
      <c r="F2171" s="887"/>
      <c r="G2171" s="888"/>
      <c r="H2171" s="872"/>
    </row>
    <row r="2172" spans="1:13" s="1517" customFormat="1" x14ac:dyDescent="0.25">
      <c r="A2172" s="146" t="s">
        <v>6</v>
      </c>
      <c r="B2172" s="2143" t="s">
        <v>7</v>
      </c>
      <c r="C2172" s="2143"/>
      <c r="D2172" s="874" t="s">
        <v>121</v>
      </c>
      <c r="E2172" s="278" t="s">
        <v>5282</v>
      </c>
      <c r="F2172" s="874" t="s">
        <v>31</v>
      </c>
      <c r="G2172" s="875" t="s">
        <v>122</v>
      </c>
      <c r="H2172" s="876" t="s">
        <v>123</v>
      </c>
      <c r="I2172" s="1830"/>
      <c r="J2172" s="1795"/>
      <c r="K2172" s="1795"/>
      <c r="L2172" s="169"/>
      <c r="M2172" s="1783"/>
    </row>
    <row r="2173" spans="1:13" s="1526" customFormat="1" ht="30" x14ac:dyDescent="0.2">
      <c r="A2173" s="877" t="str">
        <f>'Orç - Prédio'!A393</f>
        <v>05.04.306.02</v>
      </c>
      <c r="B2173" s="889" t="str">
        <f>'Orç - Prédio'!B393</f>
        <v>SINAPI</v>
      </c>
      <c r="C2173" s="889" t="str">
        <f>'Orç - Prédio'!C393</f>
        <v>89797 MOD</v>
      </c>
      <c r="D2173" s="890" t="s">
        <v>6096</v>
      </c>
      <c r="E2173" s="878">
        <f>'Orç - Prédio'!E393</f>
        <v>6</v>
      </c>
      <c r="F2173" s="889" t="s">
        <v>5284</v>
      </c>
      <c r="G2173" s="879">
        <v>28.400000000000002</v>
      </c>
      <c r="H2173" s="880">
        <f>H2184</f>
        <v>170.4</v>
      </c>
      <c r="I2173" s="1910" t="s">
        <v>9562</v>
      </c>
      <c r="J2173" s="1793"/>
      <c r="K2173" s="1793"/>
      <c r="L2173" s="141"/>
      <c r="M2173" s="1515"/>
    </row>
    <row r="2174" spans="1:13" s="156" customFormat="1" ht="30" x14ac:dyDescent="0.2">
      <c r="A2174" s="2144">
        <v>301</v>
      </c>
      <c r="B2174" s="2144"/>
      <c r="C2174" s="873" t="s">
        <v>4448</v>
      </c>
      <c r="D2174" s="182" t="s">
        <v>9861</v>
      </c>
      <c r="E2174" s="881">
        <v>1</v>
      </c>
      <c r="F2174" s="882" t="s">
        <v>39</v>
      </c>
      <c r="G2174" s="883">
        <v>2.21</v>
      </c>
      <c r="H2174" s="884">
        <f t="shared" ref="H2174:H2179" si="147">ROUNDDOWN(G2174*E2174,2)</f>
        <v>2.21</v>
      </c>
      <c r="I2174" s="1642"/>
      <c r="J2174" s="1797"/>
      <c r="K2174" s="1797"/>
      <c r="L2174" s="1784"/>
      <c r="M2174" s="1785"/>
    </row>
    <row r="2175" spans="1:13" s="156" customFormat="1" ht="30" x14ac:dyDescent="0.2">
      <c r="A2175" s="2144">
        <v>296</v>
      </c>
      <c r="B2175" s="2144"/>
      <c r="C2175" s="873" t="s">
        <v>4448</v>
      </c>
      <c r="D2175" s="182" t="s">
        <v>9859</v>
      </c>
      <c r="E2175" s="881">
        <v>1</v>
      </c>
      <c r="F2175" s="882" t="s">
        <v>39</v>
      </c>
      <c r="G2175" s="883">
        <v>1.25</v>
      </c>
      <c r="H2175" s="884">
        <f t="shared" si="147"/>
        <v>1.25</v>
      </c>
      <c r="I2175" s="1642"/>
      <c r="J2175" s="1797"/>
      <c r="K2175" s="1797"/>
      <c r="L2175" s="1784"/>
      <c r="M2175" s="1785"/>
    </row>
    <row r="2176" spans="1:13" s="156" customFormat="1" ht="45" x14ac:dyDescent="0.2">
      <c r="A2176" s="2144">
        <v>10908</v>
      </c>
      <c r="B2176" s="2144"/>
      <c r="C2176" s="873" t="s">
        <v>4448</v>
      </c>
      <c r="D2176" s="182" t="s">
        <v>12324</v>
      </c>
      <c r="E2176" s="881">
        <v>1</v>
      </c>
      <c r="F2176" s="882" t="s">
        <v>39</v>
      </c>
      <c r="G2176" s="883">
        <v>11.39</v>
      </c>
      <c r="H2176" s="884">
        <f t="shared" si="147"/>
        <v>11.39</v>
      </c>
      <c r="I2176" s="1642"/>
      <c r="J2176" s="1797"/>
      <c r="K2176" s="1797"/>
      <c r="L2176" s="1784"/>
      <c r="M2176" s="1785"/>
    </row>
    <row r="2177" spans="1:13" s="156" customFormat="1" ht="60" x14ac:dyDescent="0.2">
      <c r="A2177" s="2144">
        <v>20078</v>
      </c>
      <c r="B2177" s="2144"/>
      <c r="C2177" s="873" t="s">
        <v>4448</v>
      </c>
      <c r="D2177" s="182" t="s">
        <v>13168</v>
      </c>
      <c r="E2177" s="881">
        <v>9.1999999999999998E-2</v>
      </c>
      <c r="F2177" s="882" t="s">
        <v>39</v>
      </c>
      <c r="G2177" s="883">
        <v>20.8</v>
      </c>
      <c r="H2177" s="884">
        <f t="shared" si="147"/>
        <v>1.91</v>
      </c>
      <c r="I2177" s="1642"/>
      <c r="J2177" s="1797"/>
      <c r="K2177" s="1797"/>
      <c r="L2177" s="1784"/>
      <c r="M2177" s="1785"/>
    </row>
    <row r="2178" spans="1:13" s="156" customFormat="1" ht="45" x14ac:dyDescent="0.2">
      <c r="A2178" s="2144">
        <v>88248</v>
      </c>
      <c r="B2178" s="2144"/>
      <c r="C2178" s="873" t="s">
        <v>4448</v>
      </c>
      <c r="D2178" s="182" t="s">
        <v>73</v>
      </c>
      <c r="E2178" s="881">
        <v>0.33</v>
      </c>
      <c r="F2178" s="882" t="s">
        <v>65</v>
      </c>
      <c r="G2178" s="883">
        <v>15.55</v>
      </c>
      <c r="H2178" s="884">
        <f t="shared" si="147"/>
        <v>5.13</v>
      </c>
      <c r="I2178" s="1642"/>
      <c r="J2178" s="1797"/>
      <c r="K2178" s="1797"/>
      <c r="L2178" s="1784"/>
      <c r="M2178" s="1785"/>
    </row>
    <row r="2179" spans="1:13" s="156" customFormat="1" ht="30" x14ac:dyDescent="0.2">
      <c r="A2179" s="2144">
        <v>88267</v>
      </c>
      <c r="B2179" s="2144"/>
      <c r="C2179" s="873" t="s">
        <v>4448</v>
      </c>
      <c r="D2179" s="182" t="s">
        <v>83</v>
      </c>
      <c r="E2179" s="881">
        <v>0.33</v>
      </c>
      <c r="F2179" s="882" t="s">
        <v>65</v>
      </c>
      <c r="G2179" s="883">
        <v>19.73</v>
      </c>
      <c r="H2179" s="884">
        <f t="shared" si="147"/>
        <v>6.51</v>
      </c>
      <c r="I2179" s="1642"/>
      <c r="J2179" s="1797"/>
      <c r="K2179" s="1797"/>
      <c r="L2179" s="1784"/>
      <c r="M2179" s="1785"/>
    </row>
    <row r="2180" spans="1:13" s="1517" customFormat="1" x14ac:dyDescent="0.25">
      <c r="A2180" s="179"/>
      <c r="B2180" s="179"/>
      <c r="C2180" s="885"/>
      <c r="D2180" s="2141" t="s">
        <v>124</v>
      </c>
      <c r="E2180" s="2141"/>
      <c r="F2180" s="2141"/>
      <c r="G2180" s="2141"/>
      <c r="H2180" s="267">
        <f>SUMIF(F2174:F2179,("h"),H2174:H2179)</f>
        <v>11.64</v>
      </c>
      <c r="I2180" s="1830"/>
      <c r="J2180" s="1795"/>
      <c r="K2180" s="1795"/>
      <c r="L2180" s="169"/>
      <c r="M2180" s="1783"/>
    </row>
    <row r="2181" spans="1:13" s="1517" customFormat="1" x14ac:dyDescent="0.25">
      <c r="A2181" s="179"/>
      <c r="B2181" s="179"/>
      <c r="C2181" s="885"/>
      <c r="D2181" s="2141" t="s">
        <v>125</v>
      </c>
      <c r="E2181" s="2141"/>
      <c r="F2181" s="2141"/>
      <c r="G2181" s="2141"/>
      <c r="H2181" s="267">
        <f>SUMIF(F2174:F2179,"&lt;&gt;h",H2174:H2179)</f>
        <v>16.760000000000002</v>
      </c>
      <c r="I2181" s="1830"/>
      <c r="J2181" s="1795"/>
      <c r="K2181" s="1795"/>
      <c r="L2181" s="169"/>
      <c r="M2181" s="1783"/>
    </row>
    <row r="2182" spans="1:13" s="1517" customFormat="1" x14ac:dyDescent="0.25">
      <c r="A2182" s="179"/>
      <c r="B2182" s="179"/>
      <c r="C2182" s="885"/>
      <c r="D2182" s="2142" t="s">
        <v>126</v>
      </c>
      <c r="E2182" s="2142"/>
      <c r="F2182" s="2142"/>
      <c r="G2182" s="2142"/>
      <c r="H2182" s="886">
        <f>SUM(H2180:H2181)</f>
        <v>28.400000000000002</v>
      </c>
      <c r="I2182" s="1830"/>
      <c r="J2182" s="1795"/>
      <c r="K2182" s="1795"/>
      <c r="L2182" s="169"/>
      <c r="M2182" s="1783"/>
    </row>
    <row r="2183" spans="1:13" s="1517" customFormat="1" x14ac:dyDescent="0.25">
      <c r="A2183" s="179"/>
      <c r="B2183" s="179"/>
      <c r="C2183" s="885"/>
      <c r="D2183" s="2141" t="s">
        <v>28</v>
      </c>
      <c r="E2183" s="2141"/>
      <c r="F2183" s="2141"/>
      <c r="G2183" s="2141"/>
      <c r="H2183" s="269">
        <f>E2173</f>
        <v>6</v>
      </c>
      <c r="I2183" s="1830"/>
      <c r="J2183" s="1795"/>
      <c r="K2183" s="1795"/>
      <c r="L2183" s="169"/>
      <c r="M2183" s="1783"/>
    </row>
    <row r="2184" spans="1:13" s="1517" customFormat="1" x14ac:dyDescent="0.25">
      <c r="A2184" s="179"/>
      <c r="B2184" s="179"/>
      <c r="C2184" s="885"/>
      <c r="D2184" s="2142" t="s">
        <v>127</v>
      </c>
      <c r="E2184" s="2142"/>
      <c r="F2184" s="2142"/>
      <c r="G2184" s="2142"/>
      <c r="H2184" s="886">
        <f>ROUND(H2182*H2183,2)</f>
        <v>170.4</v>
      </c>
      <c r="I2184" s="1830"/>
      <c r="J2184" s="1795"/>
      <c r="K2184" s="1795"/>
      <c r="L2184" s="169"/>
      <c r="M2184" s="1783"/>
    </row>
    <row r="2185" spans="1:13" s="1517" customFormat="1" x14ac:dyDescent="0.25">
      <c r="A2185" s="179"/>
      <c r="B2185" s="179"/>
      <c r="C2185" s="1531"/>
      <c r="D2185" s="2141" t="s">
        <v>15335</v>
      </c>
      <c r="E2185" s="2141"/>
      <c r="F2185" s="2141"/>
      <c r="G2185" s="2141"/>
      <c r="H2185" s="267">
        <f>ROUND(H2182*$B$13,2)</f>
        <v>7.65</v>
      </c>
      <c r="I2185" s="1830"/>
      <c r="J2185" s="1795"/>
      <c r="K2185" s="1795"/>
      <c r="L2185" s="169"/>
      <c r="M2185" s="1783"/>
    </row>
    <row r="2186" spans="1:13" x14ac:dyDescent="0.25">
      <c r="A2186" s="179"/>
      <c r="B2186" s="179"/>
      <c r="C2186" s="1531"/>
      <c r="D2186" s="2142" t="s">
        <v>7898</v>
      </c>
      <c r="E2186" s="2142"/>
      <c r="F2186" s="2142"/>
      <c r="G2186" s="2142"/>
      <c r="H2186" s="1532">
        <f>H2185+H2182</f>
        <v>36.050000000000004</v>
      </c>
    </row>
    <row r="2187" spans="1:13" x14ac:dyDescent="0.25">
      <c r="A2187" s="872"/>
      <c r="B2187" s="872"/>
      <c r="C2187" s="872"/>
      <c r="F2187" s="887"/>
      <c r="G2187" s="888"/>
      <c r="H2187" s="872"/>
    </row>
    <row r="2188" spans="1:13" s="1517" customFormat="1" x14ac:dyDescent="0.25">
      <c r="A2188" s="146" t="s">
        <v>6</v>
      </c>
      <c r="B2188" s="2143" t="s">
        <v>7</v>
      </c>
      <c r="C2188" s="2143"/>
      <c r="D2188" s="912" t="s">
        <v>121</v>
      </c>
      <c r="E2188" s="278" t="s">
        <v>5282</v>
      </c>
      <c r="F2188" s="912" t="s">
        <v>31</v>
      </c>
      <c r="G2188" s="913" t="s">
        <v>122</v>
      </c>
      <c r="H2188" s="914" t="s">
        <v>123</v>
      </c>
      <c r="I2188" s="1830"/>
      <c r="J2188" s="1795"/>
      <c r="K2188" s="1795"/>
      <c r="L2188" s="169"/>
      <c r="M2188" s="1783"/>
    </row>
    <row r="2189" spans="1:13" s="1526" customFormat="1" ht="30" x14ac:dyDescent="0.2">
      <c r="A2189" s="915" t="str">
        <f>'Orç - Prédio'!A408</f>
        <v>05.04.316.04</v>
      </c>
      <c r="B2189" s="927" t="str">
        <f>'Orç - Prédio'!B408</f>
        <v>SINAPI</v>
      </c>
      <c r="C2189" s="927" t="str">
        <f>'Orç - Prédio'!C408</f>
        <v>89833 MOD 1</v>
      </c>
      <c r="D2189" s="928" t="s">
        <v>6153</v>
      </c>
      <c r="E2189" s="916">
        <f>'Orç - Prédio'!E408</f>
        <v>2</v>
      </c>
      <c r="F2189" s="927" t="s">
        <v>5284</v>
      </c>
      <c r="G2189" s="917">
        <v>23.689999999999998</v>
      </c>
      <c r="H2189" s="918">
        <f>H2200</f>
        <v>47.38</v>
      </c>
      <c r="I2189" s="1910" t="s">
        <v>9562</v>
      </c>
      <c r="J2189" s="1793"/>
      <c r="K2189" s="1793"/>
      <c r="L2189" s="141"/>
      <c r="M2189" s="1515"/>
    </row>
    <row r="2190" spans="1:13" s="156" customFormat="1" ht="30" x14ac:dyDescent="0.2">
      <c r="A2190" s="2144">
        <v>301</v>
      </c>
      <c r="B2190" s="2144"/>
      <c r="C2190" s="911" t="s">
        <v>4448</v>
      </c>
      <c r="D2190" s="182" t="s">
        <v>9861</v>
      </c>
      <c r="E2190" s="919">
        <v>2</v>
      </c>
      <c r="F2190" s="920" t="s">
        <v>39</v>
      </c>
      <c r="G2190" s="921">
        <v>2.21</v>
      </c>
      <c r="H2190" s="922">
        <f t="shared" ref="H2190:H2195" si="148">ROUNDDOWN(G2190*E2190,2)</f>
        <v>4.42</v>
      </c>
      <c r="I2190" s="1642"/>
      <c r="J2190" s="1797"/>
      <c r="K2190" s="1797"/>
      <c r="L2190" s="1784"/>
      <c r="M2190" s="1785"/>
    </row>
    <row r="2191" spans="1:13" s="156" customFormat="1" ht="30" x14ac:dyDescent="0.2">
      <c r="A2191" s="2144">
        <v>297</v>
      </c>
      <c r="B2191" s="2144"/>
      <c r="C2191" s="911" t="s">
        <v>4448</v>
      </c>
      <c r="D2191" s="182" t="s">
        <v>9860</v>
      </c>
      <c r="E2191" s="919">
        <v>1</v>
      </c>
      <c r="F2191" s="920" t="s">
        <v>39</v>
      </c>
      <c r="G2191" s="921">
        <v>1.76</v>
      </c>
      <c r="H2191" s="922">
        <f t="shared" si="148"/>
        <v>1.76</v>
      </c>
      <c r="I2191" s="1642"/>
      <c r="J2191" s="1797"/>
      <c r="K2191" s="1797"/>
      <c r="L2191" s="1784"/>
      <c r="M2191" s="1785"/>
    </row>
    <row r="2192" spans="1:13" s="156" customFormat="1" ht="30" x14ac:dyDescent="0.2">
      <c r="A2192" s="2144">
        <v>11655</v>
      </c>
      <c r="B2192" s="2144"/>
      <c r="C2192" s="911" t="s">
        <v>4448</v>
      </c>
      <c r="D2192" s="182" t="s">
        <v>14070</v>
      </c>
      <c r="E2192" s="919">
        <v>1</v>
      </c>
      <c r="F2192" s="920" t="s">
        <v>39</v>
      </c>
      <c r="G2192" s="921">
        <v>9.9700000000000006</v>
      </c>
      <c r="H2192" s="922">
        <f t="shared" si="148"/>
        <v>9.9700000000000006</v>
      </c>
      <c r="I2192" s="1642"/>
      <c r="J2192" s="1797"/>
      <c r="K2192" s="1797"/>
      <c r="L2192" s="1784"/>
      <c r="M2192" s="1785"/>
    </row>
    <row r="2193" spans="1:13" s="156" customFormat="1" ht="60" x14ac:dyDescent="0.2">
      <c r="A2193" s="2144">
        <v>20078</v>
      </c>
      <c r="B2193" s="2144"/>
      <c r="C2193" s="911" t="s">
        <v>4448</v>
      </c>
      <c r="D2193" s="182" t="s">
        <v>13168</v>
      </c>
      <c r="E2193" s="919">
        <v>9.1999999999999998E-2</v>
      </c>
      <c r="F2193" s="920" t="s">
        <v>39</v>
      </c>
      <c r="G2193" s="921">
        <v>20.8</v>
      </c>
      <c r="H2193" s="922">
        <f t="shared" si="148"/>
        <v>1.91</v>
      </c>
      <c r="I2193" s="1642"/>
      <c r="J2193" s="1797"/>
      <c r="K2193" s="1797"/>
      <c r="L2193" s="1784"/>
      <c r="M2193" s="1785"/>
    </row>
    <row r="2194" spans="1:13" s="156" customFormat="1" ht="45" x14ac:dyDescent="0.2">
      <c r="A2194" s="2144">
        <v>88248</v>
      </c>
      <c r="B2194" s="2144"/>
      <c r="C2194" s="911" t="s">
        <v>4448</v>
      </c>
      <c r="D2194" s="182" t="s">
        <v>73</v>
      </c>
      <c r="E2194" s="919">
        <v>0.16</v>
      </c>
      <c r="F2194" s="920" t="s">
        <v>65</v>
      </c>
      <c r="G2194" s="921">
        <v>15.55</v>
      </c>
      <c r="H2194" s="922">
        <f t="shared" si="148"/>
        <v>2.48</v>
      </c>
      <c r="I2194" s="1642"/>
      <c r="J2194" s="1797"/>
      <c r="K2194" s="1797"/>
      <c r="L2194" s="1784"/>
      <c r="M2194" s="1785"/>
    </row>
    <row r="2195" spans="1:13" s="156" customFormat="1" ht="30" x14ac:dyDescent="0.2">
      <c r="A2195" s="2144">
        <v>88267</v>
      </c>
      <c r="B2195" s="2144"/>
      <c r="C2195" s="911" t="s">
        <v>4448</v>
      </c>
      <c r="D2195" s="182" t="s">
        <v>83</v>
      </c>
      <c r="E2195" s="919">
        <v>0.16</v>
      </c>
      <c r="F2195" s="920" t="s">
        <v>65</v>
      </c>
      <c r="G2195" s="921">
        <v>19.73</v>
      </c>
      <c r="H2195" s="922">
        <f t="shared" si="148"/>
        <v>3.15</v>
      </c>
      <c r="I2195" s="1642"/>
      <c r="J2195" s="1797"/>
      <c r="K2195" s="1797"/>
      <c r="L2195" s="1784"/>
      <c r="M2195" s="1785"/>
    </row>
    <row r="2196" spans="1:13" s="1517" customFormat="1" x14ac:dyDescent="0.25">
      <c r="A2196" s="179"/>
      <c r="B2196" s="179"/>
      <c r="C2196" s="923"/>
      <c r="D2196" s="2141" t="s">
        <v>124</v>
      </c>
      <c r="E2196" s="2141"/>
      <c r="F2196" s="2141"/>
      <c r="G2196" s="2141"/>
      <c r="H2196" s="267">
        <f>SUMIF(F2190:F2195,("h"),H2190:H2195)</f>
        <v>5.63</v>
      </c>
      <c r="I2196" s="1830"/>
      <c r="J2196" s="1795"/>
      <c r="K2196" s="1795"/>
      <c r="L2196" s="169"/>
      <c r="M2196" s="1783"/>
    </row>
    <row r="2197" spans="1:13" s="1517" customFormat="1" x14ac:dyDescent="0.25">
      <c r="A2197" s="179"/>
      <c r="B2197" s="179"/>
      <c r="C2197" s="923"/>
      <c r="D2197" s="2141" t="s">
        <v>125</v>
      </c>
      <c r="E2197" s="2141"/>
      <c r="F2197" s="2141"/>
      <c r="G2197" s="2141"/>
      <c r="H2197" s="267">
        <f>SUMIF(F2190:F2195,"&lt;&gt;h",H2190:H2195)</f>
        <v>18.059999999999999</v>
      </c>
      <c r="I2197" s="1830"/>
      <c r="J2197" s="1795"/>
      <c r="K2197" s="1795"/>
      <c r="L2197" s="169"/>
      <c r="M2197" s="1783"/>
    </row>
    <row r="2198" spans="1:13" s="1517" customFormat="1" x14ac:dyDescent="0.25">
      <c r="A2198" s="179"/>
      <c r="B2198" s="179"/>
      <c r="C2198" s="923"/>
      <c r="D2198" s="2142" t="s">
        <v>126</v>
      </c>
      <c r="E2198" s="2142"/>
      <c r="F2198" s="2142"/>
      <c r="G2198" s="2142"/>
      <c r="H2198" s="924">
        <f>SUM(H2196:H2197)</f>
        <v>23.689999999999998</v>
      </c>
      <c r="I2198" s="1830"/>
      <c r="J2198" s="1795"/>
      <c r="K2198" s="1795"/>
      <c r="L2198" s="169"/>
      <c r="M2198" s="1783"/>
    </row>
    <row r="2199" spans="1:13" s="1517" customFormat="1" x14ac:dyDescent="0.25">
      <c r="A2199" s="179"/>
      <c r="B2199" s="179"/>
      <c r="C2199" s="923"/>
      <c r="D2199" s="2141" t="s">
        <v>28</v>
      </c>
      <c r="E2199" s="2141"/>
      <c r="F2199" s="2141"/>
      <c r="G2199" s="2141"/>
      <c r="H2199" s="269">
        <f>E2189</f>
        <v>2</v>
      </c>
      <c r="I2199" s="1830"/>
      <c r="J2199" s="1795"/>
      <c r="K2199" s="1795"/>
      <c r="L2199" s="169"/>
      <c r="M2199" s="1783"/>
    </row>
    <row r="2200" spans="1:13" s="1517" customFormat="1" x14ac:dyDescent="0.25">
      <c r="A2200" s="179"/>
      <c r="B2200" s="179"/>
      <c r="C2200" s="923"/>
      <c r="D2200" s="2142" t="s">
        <v>127</v>
      </c>
      <c r="E2200" s="2142"/>
      <c r="F2200" s="2142"/>
      <c r="G2200" s="2142"/>
      <c r="H2200" s="924">
        <f>ROUND(H2198*H2199,2)</f>
        <v>47.38</v>
      </c>
      <c r="I2200" s="1830"/>
      <c r="J2200" s="1795"/>
      <c r="K2200" s="1795"/>
      <c r="L2200" s="169"/>
      <c r="M2200" s="1783"/>
    </row>
    <row r="2201" spans="1:13" s="1517" customFormat="1" x14ac:dyDescent="0.25">
      <c r="A2201" s="179"/>
      <c r="B2201" s="179"/>
      <c r="C2201" s="1531"/>
      <c r="D2201" s="2141" t="s">
        <v>15335</v>
      </c>
      <c r="E2201" s="2141"/>
      <c r="F2201" s="2141"/>
      <c r="G2201" s="2141"/>
      <c r="H2201" s="267">
        <f>ROUND(H2198*$B$13,2)</f>
        <v>6.38</v>
      </c>
      <c r="I2201" s="1830"/>
      <c r="J2201" s="1795"/>
      <c r="K2201" s="1795"/>
      <c r="L2201" s="169"/>
      <c r="M2201" s="1783"/>
    </row>
    <row r="2202" spans="1:13" x14ac:dyDescent="0.25">
      <c r="A2202" s="179"/>
      <c r="B2202" s="179"/>
      <c r="C2202" s="1531"/>
      <c r="D2202" s="2142" t="s">
        <v>7898</v>
      </c>
      <c r="E2202" s="2142"/>
      <c r="F2202" s="2142"/>
      <c r="G2202" s="2142"/>
      <c r="H2202" s="1532">
        <f>H2201+H2198</f>
        <v>30.069999999999997</v>
      </c>
    </row>
    <row r="2203" spans="1:13" x14ac:dyDescent="0.25">
      <c r="A2203" s="910"/>
      <c r="B2203" s="910"/>
      <c r="C2203" s="910"/>
      <c r="F2203" s="925"/>
      <c r="G2203" s="926"/>
      <c r="H2203" s="910"/>
    </row>
    <row r="2204" spans="1:13" s="1517" customFormat="1" x14ac:dyDescent="0.25">
      <c r="A2204" s="146" t="s">
        <v>6</v>
      </c>
      <c r="B2204" s="2143" t="s">
        <v>7</v>
      </c>
      <c r="C2204" s="2143"/>
      <c r="D2204" s="874" t="s">
        <v>121</v>
      </c>
      <c r="E2204" s="278" t="s">
        <v>5282</v>
      </c>
      <c r="F2204" s="874" t="s">
        <v>31</v>
      </c>
      <c r="G2204" s="875" t="s">
        <v>122</v>
      </c>
      <c r="H2204" s="876" t="s">
        <v>123</v>
      </c>
      <c r="I2204" s="1830"/>
      <c r="J2204" s="1795"/>
      <c r="K2204" s="1795"/>
      <c r="L2204" s="169"/>
      <c r="M2204" s="1783"/>
    </row>
    <row r="2205" spans="1:13" s="1526" customFormat="1" ht="30" x14ac:dyDescent="0.2">
      <c r="A2205" s="877" t="str">
        <f>'Orç - Prédio'!A409</f>
        <v>05.04.316.05</v>
      </c>
      <c r="B2205" s="889" t="str">
        <f>'Orç - Prédio'!B409</f>
        <v>SINAPI</v>
      </c>
      <c r="C2205" s="889" t="str">
        <f>'Orç - Prédio'!C409</f>
        <v>89833 MOD 2</v>
      </c>
      <c r="D2205" s="890" t="s">
        <v>6111</v>
      </c>
      <c r="E2205" s="878">
        <f>'Orç - Prédio'!E409</f>
        <v>25</v>
      </c>
      <c r="F2205" s="889" t="s">
        <v>5284</v>
      </c>
      <c r="G2205" s="879">
        <v>24.15</v>
      </c>
      <c r="H2205" s="880">
        <f>H2216</f>
        <v>603.75</v>
      </c>
      <c r="I2205" s="1910" t="s">
        <v>9562</v>
      </c>
      <c r="J2205" s="1793"/>
      <c r="K2205" s="1793"/>
      <c r="L2205" s="141"/>
      <c r="M2205" s="1515"/>
    </row>
    <row r="2206" spans="1:13" s="156" customFormat="1" ht="30" x14ac:dyDescent="0.2">
      <c r="A2206" s="2144">
        <v>301</v>
      </c>
      <c r="B2206" s="2144"/>
      <c r="C2206" s="873" t="s">
        <v>4448</v>
      </c>
      <c r="D2206" s="182" t="s">
        <v>9861</v>
      </c>
      <c r="E2206" s="881">
        <v>2</v>
      </c>
      <c r="F2206" s="882" t="s">
        <v>39</v>
      </c>
      <c r="G2206" s="883">
        <v>2.21</v>
      </c>
      <c r="H2206" s="884">
        <f t="shared" ref="H2206:H2211" si="149">ROUNDDOWN(G2206*E2206,2)</f>
        <v>4.42</v>
      </c>
      <c r="I2206" s="1642"/>
      <c r="J2206" s="1797"/>
      <c r="K2206" s="1797"/>
      <c r="L2206" s="1784"/>
      <c r="M2206" s="1785"/>
    </row>
    <row r="2207" spans="1:13" s="156" customFormat="1" ht="30" x14ac:dyDescent="0.2">
      <c r="A2207" s="2144">
        <v>297</v>
      </c>
      <c r="B2207" s="2144"/>
      <c r="C2207" s="873" t="s">
        <v>4448</v>
      </c>
      <c r="D2207" s="182" t="s">
        <v>9860</v>
      </c>
      <c r="E2207" s="881">
        <v>1</v>
      </c>
      <c r="F2207" s="882" t="s">
        <v>39</v>
      </c>
      <c r="G2207" s="883">
        <v>1.76</v>
      </c>
      <c r="H2207" s="884">
        <f t="shared" si="149"/>
        <v>1.76</v>
      </c>
      <c r="I2207" s="1642"/>
      <c r="J2207" s="1797"/>
      <c r="K2207" s="1797"/>
      <c r="L2207" s="1784"/>
      <c r="M2207" s="1785"/>
    </row>
    <row r="2208" spans="1:13" s="156" customFormat="1" ht="30" x14ac:dyDescent="0.2">
      <c r="A2208" s="2144">
        <v>11656</v>
      </c>
      <c r="B2208" s="2144"/>
      <c r="C2208" s="873" t="s">
        <v>4448</v>
      </c>
      <c r="D2208" s="182" t="s">
        <v>14071</v>
      </c>
      <c r="E2208" s="881">
        <v>1</v>
      </c>
      <c r="F2208" s="882" t="s">
        <v>39</v>
      </c>
      <c r="G2208" s="883">
        <v>10.43</v>
      </c>
      <c r="H2208" s="884">
        <f t="shared" si="149"/>
        <v>10.43</v>
      </c>
      <c r="I2208" s="1642"/>
      <c r="J2208" s="1797"/>
      <c r="K2208" s="1797"/>
      <c r="L2208" s="1784"/>
      <c r="M2208" s="1785"/>
    </row>
    <row r="2209" spans="1:13" s="156" customFormat="1" ht="60" x14ac:dyDescent="0.2">
      <c r="A2209" s="2144">
        <v>20078</v>
      </c>
      <c r="B2209" s="2144"/>
      <c r="C2209" s="873" t="s">
        <v>4448</v>
      </c>
      <c r="D2209" s="182" t="s">
        <v>13168</v>
      </c>
      <c r="E2209" s="881">
        <v>9.1999999999999998E-2</v>
      </c>
      <c r="F2209" s="882" t="s">
        <v>39</v>
      </c>
      <c r="G2209" s="883">
        <v>20.8</v>
      </c>
      <c r="H2209" s="884">
        <f t="shared" si="149"/>
        <v>1.91</v>
      </c>
      <c r="I2209" s="1642"/>
      <c r="J2209" s="1797"/>
      <c r="K2209" s="1797"/>
      <c r="L2209" s="1784"/>
      <c r="M2209" s="1785"/>
    </row>
    <row r="2210" spans="1:13" s="156" customFormat="1" ht="45" x14ac:dyDescent="0.2">
      <c r="A2210" s="2144">
        <v>88248</v>
      </c>
      <c r="B2210" s="2144"/>
      <c r="C2210" s="873" t="s">
        <v>4448</v>
      </c>
      <c r="D2210" s="182" t="s">
        <v>73</v>
      </c>
      <c r="E2210" s="881">
        <v>0.16</v>
      </c>
      <c r="F2210" s="882" t="s">
        <v>65</v>
      </c>
      <c r="G2210" s="883">
        <v>15.55</v>
      </c>
      <c r="H2210" s="884">
        <f t="shared" si="149"/>
        <v>2.48</v>
      </c>
      <c r="I2210" s="1642"/>
      <c r="J2210" s="1797"/>
      <c r="K2210" s="1797"/>
      <c r="L2210" s="1784"/>
      <c r="M2210" s="1785"/>
    </row>
    <row r="2211" spans="1:13" s="156" customFormat="1" ht="30" x14ac:dyDescent="0.2">
      <c r="A2211" s="2144">
        <v>88267</v>
      </c>
      <c r="B2211" s="2144"/>
      <c r="C2211" s="873" t="s">
        <v>4448</v>
      </c>
      <c r="D2211" s="182" t="s">
        <v>83</v>
      </c>
      <c r="E2211" s="881">
        <v>0.16</v>
      </c>
      <c r="F2211" s="882" t="s">
        <v>65</v>
      </c>
      <c r="G2211" s="883">
        <v>19.73</v>
      </c>
      <c r="H2211" s="884">
        <f t="shared" si="149"/>
        <v>3.15</v>
      </c>
      <c r="I2211" s="1642"/>
      <c r="J2211" s="1797"/>
      <c r="K2211" s="1797"/>
      <c r="L2211" s="1784"/>
      <c r="M2211" s="1785"/>
    </row>
    <row r="2212" spans="1:13" s="1517" customFormat="1" x14ac:dyDescent="0.25">
      <c r="A2212" s="179"/>
      <c r="B2212" s="179"/>
      <c r="C2212" s="885"/>
      <c r="D2212" s="2141" t="s">
        <v>124</v>
      </c>
      <c r="E2212" s="2141"/>
      <c r="F2212" s="2141"/>
      <c r="G2212" s="2141"/>
      <c r="H2212" s="267">
        <f>SUMIF(F2206:F2211,("h"),H2206:H2211)</f>
        <v>5.63</v>
      </c>
      <c r="I2212" s="1830"/>
      <c r="J2212" s="1795"/>
      <c r="K2212" s="1795"/>
      <c r="L2212" s="169"/>
      <c r="M2212" s="1783"/>
    </row>
    <row r="2213" spans="1:13" s="1517" customFormat="1" x14ac:dyDescent="0.25">
      <c r="A2213" s="179"/>
      <c r="B2213" s="179"/>
      <c r="C2213" s="885"/>
      <c r="D2213" s="2141" t="s">
        <v>125</v>
      </c>
      <c r="E2213" s="2141"/>
      <c r="F2213" s="2141"/>
      <c r="G2213" s="2141"/>
      <c r="H2213" s="267">
        <f>SUMIF(F2206:F2211,"&lt;&gt;h",H2206:H2211)</f>
        <v>18.52</v>
      </c>
      <c r="I2213" s="1830"/>
      <c r="J2213" s="1795"/>
      <c r="K2213" s="1795"/>
      <c r="L2213" s="169"/>
      <c r="M2213" s="1783"/>
    </row>
    <row r="2214" spans="1:13" s="1517" customFormat="1" x14ac:dyDescent="0.25">
      <c r="A2214" s="179"/>
      <c r="B2214" s="179"/>
      <c r="C2214" s="885"/>
      <c r="D2214" s="2142" t="s">
        <v>126</v>
      </c>
      <c r="E2214" s="2142"/>
      <c r="F2214" s="2142"/>
      <c r="G2214" s="2142"/>
      <c r="H2214" s="886">
        <f>SUM(H2212:H2213)</f>
        <v>24.15</v>
      </c>
      <c r="I2214" s="1830"/>
      <c r="J2214" s="1795"/>
      <c r="K2214" s="1795"/>
      <c r="L2214" s="169"/>
      <c r="M2214" s="1783"/>
    </row>
    <row r="2215" spans="1:13" s="1517" customFormat="1" x14ac:dyDescent="0.25">
      <c r="A2215" s="179"/>
      <c r="B2215" s="179"/>
      <c r="C2215" s="885"/>
      <c r="D2215" s="2141" t="s">
        <v>28</v>
      </c>
      <c r="E2215" s="2141"/>
      <c r="F2215" s="2141"/>
      <c r="G2215" s="2141"/>
      <c r="H2215" s="269">
        <f>E2205</f>
        <v>25</v>
      </c>
      <c r="I2215" s="1830"/>
      <c r="J2215" s="1795"/>
      <c r="K2215" s="1795"/>
      <c r="L2215" s="169"/>
      <c r="M2215" s="1783"/>
    </row>
    <row r="2216" spans="1:13" s="1517" customFormat="1" x14ac:dyDescent="0.25">
      <c r="A2216" s="179"/>
      <c r="B2216" s="179"/>
      <c r="C2216" s="885"/>
      <c r="D2216" s="2142" t="s">
        <v>127</v>
      </c>
      <c r="E2216" s="2142"/>
      <c r="F2216" s="2142"/>
      <c r="G2216" s="2142"/>
      <c r="H2216" s="886">
        <f>ROUND(H2214*H2215,2)</f>
        <v>603.75</v>
      </c>
      <c r="I2216" s="1830"/>
      <c r="J2216" s="1795"/>
      <c r="K2216" s="1795"/>
      <c r="L2216" s="169"/>
      <c r="M2216" s="1783"/>
    </row>
    <row r="2217" spans="1:13" s="1517" customFormat="1" x14ac:dyDescent="0.25">
      <c r="A2217" s="179"/>
      <c r="B2217" s="179"/>
      <c r="C2217" s="1531"/>
      <c r="D2217" s="2141" t="s">
        <v>15335</v>
      </c>
      <c r="E2217" s="2141"/>
      <c r="F2217" s="2141"/>
      <c r="G2217" s="2141"/>
      <c r="H2217" s="267">
        <f>ROUND(H2214*$B$13,2)</f>
        <v>6.5</v>
      </c>
      <c r="I2217" s="1830"/>
      <c r="J2217" s="1795"/>
      <c r="K2217" s="1795"/>
      <c r="L2217" s="169"/>
      <c r="M2217" s="1783"/>
    </row>
    <row r="2218" spans="1:13" x14ac:dyDescent="0.25">
      <c r="A2218" s="179"/>
      <c r="B2218" s="179"/>
      <c r="C2218" s="1531"/>
      <c r="D2218" s="2142" t="s">
        <v>7898</v>
      </c>
      <c r="E2218" s="2142"/>
      <c r="F2218" s="2142"/>
      <c r="G2218" s="2142"/>
      <c r="H2218" s="1532">
        <f>H2217+H2214</f>
        <v>30.65</v>
      </c>
    </row>
    <row r="2219" spans="1:13" x14ac:dyDescent="0.25">
      <c r="A2219" s="872"/>
      <c r="B2219" s="872"/>
      <c r="C2219" s="872"/>
      <c r="F2219" s="887"/>
      <c r="G2219" s="888"/>
      <c r="H2219" s="872"/>
    </row>
    <row r="2220" spans="1:13" s="1517" customFormat="1" x14ac:dyDescent="0.25">
      <c r="A2220" s="146" t="s">
        <v>6</v>
      </c>
      <c r="B2220" s="2143" t="s">
        <v>7</v>
      </c>
      <c r="C2220" s="2143"/>
      <c r="D2220" s="874" t="s">
        <v>121</v>
      </c>
      <c r="E2220" s="278" t="s">
        <v>5282</v>
      </c>
      <c r="F2220" s="874" t="s">
        <v>31</v>
      </c>
      <c r="G2220" s="875" t="s">
        <v>122</v>
      </c>
      <c r="H2220" s="876" t="s">
        <v>123</v>
      </c>
      <c r="I2220" s="1830"/>
      <c r="J2220" s="1795"/>
      <c r="K2220" s="1795"/>
      <c r="L2220" s="169"/>
      <c r="M2220" s="1783"/>
    </row>
    <row r="2221" spans="1:13" s="1526" customFormat="1" ht="30" x14ac:dyDescent="0.2">
      <c r="A2221" s="877" t="str">
        <f>'Orç - Prédio'!A410</f>
        <v>05.04.316.06</v>
      </c>
      <c r="B2221" s="889" t="str">
        <f>'Orç - Prédio'!B410</f>
        <v>SINAPI</v>
      </c>
      <c r="C2221" s="889" t="str">
        <f>'Orç - Prédio'!C410</f>
        <v>89829 MOD</v>
      </c>
      <c r="D2221" s="890" t="s">
        <v>6112</v>
      </c>
      <c r="E2221" s="878">
        <f>'Orç - Prédio'!E410</f>
        <v>4</v>
      </c>
      <c r="F2221" s="889" t="s">
        <v>5284</v>
      </c>
      <c r="G2221" s="879">
        <v>18.98</v>
      </c>
      <c r="H2221" s="880">
        <f>H2232</f>
        <v>75.92</v>
      </c>
      <c r="I2221" s="1910" t="s">
        <v>9562</v>
      </c>
      <c r="J2221" s="1793"/>
      <c r="K2221" s="1793"/>
      <c r="L2221" s="141"/>
      <c r="M2221" s="1515"/>
    </row>
    <row r="2222" spans="1:13" s="156" customFormat="1" ht="30" x14ac:dyDescent="0.2">
      <c r="A2222" s="2144">
        <v>297</v>
      </c>
      <c r="B2222" s="2144"/>
      <c r="C2222" s="873" t="s">
        <v>4448</v>
      </c>
      <c r="D2222" s="182" t="s">
        <v>9860</v>
      </c>
      <c r="E2222" s="881">
        <v>2</v>
      </c>
      <c r="F2222" s="882" t="s">
        <v>39</v>
      </c>
      <c r="G2222" s="883">
        <v>1.76</v>
      </c>
      <c r="H2222" s="884">
        <f t="shared" ref="H2222:H2227" si="150">ROUNDDOWN(G2222*E2222,2)</f>
        <v>3.52</v>
      </c>
      <c r="I2222" s="1642"/>
      <c r="J2222" s="1797"/>
      <c r="K2222" s="1797"/>
      <c r="L2222" s="1784"/>
      <c r="M2222" s="1785"/>
    </row>
    <row r="2223" spans="1:13" s="156" customFormat="1" ht="30" x14ac:dyDescent="0.2">
      <c r="A2223" s="2144">
        <v>296</v>
      </c>
      <c r="B2223" s="2144"/>
      <c r="C2223" s="873" t="s">
        <v>4448</v>
      </c>
      <c r="D2223" s="182" t="s">
        <v>9859</v>
      </c>
      <c r="E2223" s="881">
        <v>1</v>
      </c>
      <c r="F2223" s="882" t="s">
        <v>39</v>
      </c>
      <c r="G2223" s="883">
        <v>1.25</v>
      </c>
      <c r="H2223" s="884">
        <f t="shared" si="150"/>
        <v>1.25</v>
      </c>
      <c r="I2223" s="1642"/>
      <c r="J2223" s="1797"/>
      <c r="K2223" s="1797"/>
      <c r="L2223" s="1784"/>
      <c r="M2223" s="1785"/>
    </row>
    <row r="2224" spans="1:13" s="156" customFormat="1" ht="30" x14ac:dyDescent="0.2">
      <c r="A2224" s="2144">
        <v>11657</v>
      </c>
      <c r="B2224" s="2144"/>
      <c r="C2224" s="873" t="s">
        <v>4448</v>
      </c>
      <c r="D2224" s="182" t="s">
        <v>14074</v>
      </c>
      <c r="E2224" s="881">
        <v>1</v>
      </c>
      <c r="F2224" s="882" t="s">
        <v>39</v>
      </c>
      <c r="G2224" s="883">
        <v>9.09</v>
      </c>
      <c r="H2224" s="884">
        <f t="shared" si="150"/>
        <v>9.09</v>
      </c>
      <c r="I2224" s="1642"/>
      <c r="J2224" s="1797"/>
      <c r="K2224" s="1797"/>
      <c r="L2224" s="1784"/>
      <c r="M2224" s="1785"/>
    </row>
    <row r="2225" spans="1:13" s="156" customFormat="1" ht="60" x14ac:dyDescent="0.2">
      <c r="A2225" s="2144">
        <v>20078</v>
      </c>
      <c r="B2225" s="2144"/>
      <c r="C2225" s="873" t="s">
        <v>4448</v>
      </c>
      <c r="D2225" s="182" t="s">
        <v>13168</v>
      </c>
      <c r="E2225" s="881">
        <v>0.06</v>
      </c>
      <c r="F2225" s="882" t="s">
        <v>39</v>
      </c>
      <c r="G2225" s="883">
        <v>20.8</v>
      </c>
      <c r="H2225" s="884">
        <f t="shared" si="150"/>
        <v>1.24</v>
      </c>
      <c r="I2225" s="1642"/>
      <c r="J2225" s="1797"/>
      <c r="K2225" s="1797"/>
      <c r="L2225" s="1784"/>
      <c r="M2225" s="1785"/>
    </row>
    <row r="2226" spans="1:13" s="156" customFormat="1" ht="45" x14ac:dyDescent="0.2">
      <c r="A2226" s="2144">
        <v>88248</v>
      </c>
      <c r="B2226" s="2144"/>
      <c r="C2226" s="873" t="s">
        <v>4448</v>
      </c>
      <c r="D2226" s="182" t="s">
        <v>73</v>
      </c>
      <c r="E2226" s="881">
        <v>0.11</v>
      </c>
      <c r="F2226" s="882" t="s">
        <v>65</v>
      </c>
      <c r="G2226" s="883">
        <v>15.55</v>
      </c>
      <c r="H2226" s="884">
        <f t="shared" si="150"/>
        <v>1.71</v>
      </c>
      <c r="I2226" s="1642"/>
      <c r="J2226" s="1797"/>
      <c r="K2226" s="1797"/>
      <c r="L2226" s="1784"/>
      <c r="M2226" s="1785"/>
    </row>
    <row r="2227" spans="1:13" s="156" customFormat="1" ht="30" x14ac:dyDescent="0.2">
      <c r="A2227" s="2144">
        <v>88267</v>
      </c>
      <c r="B2227" s="2144"/>
      <c r="C2227" s="873" t="s">
        <v>4448</v>
      </c>
      <c r="D2227" s="182" t="s">
        <v>83</v>
      </c>
      <c r="E2227" s="881">
        <v>0.11</v>
      </c>
      <c r="F2227" s="882" t="s">
        <v>65</v>
      </c>
      <c r="G2227" s="883">
        <v>19.73</v>
      </c>
      <c r="H2227" s="884">
        <f t="shared" si="150"/>
        <v>2.17</v>
      </c>
      <c r="I2227" s="1642"/>
      <c r="J2227" s="1797"/>
      <c r="K2227" s="1797"/>
      <c r="L2227" s="1784"/>
      <c r="M2227" s="1785"/>
    </row>
    <row r="2228" spans="1:13" s="1517" customFormat="1" x14ac:dyDescent="0.25">
      <c r="A2228" s="179"/>
      <c r="B2228" s="179"/>
      <c r="C2228" s="885"/>
      <c r="D2228" s="2141" t="s">
        <v>124</v>
      </c>
      <c r="E2228" s="2141"/>
      <c r="F2228" s="2141"/>
      <c r="G2228" s="2141"/>
      <c r="H2228" s="267">
        <f>SUMIF(F2222:F2227,("h"),H2222:H2227)</f>
        <v>3.88</v>
      </c>
      <c r="I2228" s="1830"/>
      <c r="J2228" s="1795"/>
      <c r="K2228" s="1795"/>
      <c r="L2228" s="169"/>
      <c r="M2228" s="1783"/>
    </row>
    <row r="2229" spans="1:13" s="1517" customFormat="1" x14ac:dyDescent="0.25">
      <c r="A2229" s="179"/>
      <c r="B2229" s="179"/>
      <c r="C2229" s="885"/>
      <c r="D2229" s="2141" t="s">
        <v>125</v>
      </c>
      <c r="E2229" s="2141"/>
      <c r="F2229" s="2141"/>
      <c r="G2229" s="2141"/>
      <c r="H2229" s="267">
        <f>SUMIF(F2222:F2227,"&lt;&gt;h",H2222:H2227)</f>
        <v>15.1</v>
      </c>
      <c r="I2229" s="1830"/>
      <c r="J2229" s="1795"/>
      <c r="K2229" s="1795"/>
      <c r="L2229" s="169"/>
      <c r="M2229" s="1783"/>
    </row>
    <row r="2230" spans="1:13" s="1517" customFormat="1" x14ac:dyDescent="0.25">
      <c r="A2230" s="179"/>
      <c r="B2230" s="179"/>
      <c r="C2230" s="885"/>
      <c r="D2230" s="2142" t="s">
        <v>126</v>
      </c>
      <c r="E2230" s="2142"/>
      <c r="F2230" s="2142"/>
      <c r="G2230" s="2142"/>
      <c r="H2230" s="886">
        <f>SUM(H2228:H2229)</f>
        <v>18.98</v>
      </c>
      <c r="I2230" s="1830"/>
      <c r="J2230" s="1795"/>
      <c r="K2230" s="1795"/>
      <c r="L2230" s="169"/>
      <c r="M2230" s="1783"/>
    </row>
    <row r="2231" spans="1:13" s="1517" customFormat="1" x14ac:dyDescent="0.25">
      <c r="A2231" s="179"/>
      <c r="B2231" s="179"/>
      <c r="C2231" s="885"/>
      <c r="D2231" s="2141" t="s">
        <v>28</v>
      </c>
      <c r="E2231" s="2141"/>
      <c r="F2231" s="2141"/>
      <c r="G2231" s="2141"/>
      <c r="H2231" s="269">
        <f>E2221</f>
        <v>4</v>
      </c>
      <c r="I2231" s="1830"/>
      <c r="J2231" s="1795"/>
      <c r="K2231" s="1795"/>
      <c r="L2231" s="169"/>
      <c r="M2231" s="1783"/>
    </row>
    <row r="2232" spans="1:13" s="1517" customFormat="1" x14ac:dyDescent="0.25">
      <c r="A2232" s="179"/>
      <c r="B2232" s="179"/>
      <c r="C2232" s="885"/>
      <c r="D2232" s="2142" t="s">
        <v>127</v>
      </c>
      <c r="E2232" s="2142"/>
      <c r="F2232" s="2142"/>
      <c r="G2232" s="2142"/>
      <c r="H2232" s="886">
        <f>ROUND(H2230*H2231,2)</f>
        <v>75.92</v>
      </c>
      <c r="I2232" s="1830"/>
      <c r="J2232" s="1795"/>
      <c r="K2232" s="1795"/>
      <c r="L2232" s="169"/>
      <c r="M2232" s="1783"/>
    </row>
    <row r="2233" spans="1:13" s="1517" customFormat="1" x14ac:dyDescent="0.25">
      <c r="A2233" s="179"/>
      <c r="B2233" s="179"/>
      <c r="C2233" s="1531"/>
      <c r="D2233" s="2141" t="s">
        <v>15335</v>
      </c>
      <c r="E2233" s="2141"/>
      <c r="F2233" s="2141"/>
      <c r="G2233" s="2141"/>
      <c r="H2233" s="267">
        <f>ROUND(H2230*$B$13,2)</f>
        <v>5.1100000000000003</v>
      </c>
      <c r="I2233" s="1830"/>
      <c r="J2233" s="1795"/>
      <c r="K2233" s="1795"/>
      <c r="L2233" s="169"/>
      <c r="M2233" s="1783"/>
    </row>
    <row r="2234" spans="1:13" x14ac:dyDescent="0.25">
      <c r="A2234" s="179"/>
      <c r="B2234" s="179"/>
      <c r="C2234" s="1531"/>
      <c r="D2234" s="2142" t="s">
        <v>7898</v>
      </c>
      <c r="E2234" s="2142"/>
      <c r="F2234" s="2142"/>
      <c r="G2234" s="2142"/>
      <c r="H2234" s="1532">
        <f>H2233+H2230</f>
        <v>24.09</v>
      </c>
    </row>
    <row r="2235" spans="1:13" x14ac:dyDescent="0.25">
      <c r="A2235" s="872"/>
      <c r="B2235" s="872"/>
      <c r="C2235" s="872"/>
      <c r="F2235" s="887"/>
      <c r="G2235" s="888"/>
      <c r="H2235" s="872"/>
    </row>
    <row r="2236" spans="1:13" s="1517" customFormat="1" x14ac:dyDescent="0.25">
      <c r="A2236" s="146" t="s">
        <v>6</v>
      </c>
      <c r="B2236" s="2143" t="s">
        <v>7</v>
      </c>
      <c r="C2236" s="2143"/>
      <c r="D2236" s="874" t="s">
        <v>121</v>
      </c>
      <c r="E2236" s="278" t="s">
        <v>5282</v>
      </c>
      <c r="F2236" s="874" t="s">
        <v>31</v>
      </c>
      <c r="G2236" s="875" t="s">
        <v>122</v>
      </c>
      <c r="H2236" s="876" t="s">
        <v>123</v>
      </c>
      <c r="I2236" s="1830"/>
      <c r="J2236" s="1795"/>
      <c r="K2236" s="1795"/>
      <c r="L2236" s="169"/>
      <c r="M2236" s="1783"/>
    </row>
    <row r="2237" spans="1:13" s="1526" customFormat="1" ht="30" x14ac:dyDescent="0.2">
      <c r="A2237" s="877" t="str">
        <f>'Orç - Prédio'!A411</f>
        <v>05.04.317.01</v>
      </c>
      <c r="B2237" s="889" t="str">
        <f>'Orç - Prédio'!B411</f>
        <v>ORSE</v>
      </c>
      <c r="C2237" s="889">
        <f>'Orç - Prédio'!C411</f>
        <v>10266</v>
      </c>
      <c r="D2237" s="890" t="s">
        <v>6113</v>
      </c>
      <c r="E2237" s="878">
        <f>'Orç - Prédio'!E411</f>
        <v>4</v>
      </c>
      <c r="F2237" s="889" t="s">
        <v>5284</v>
      </c>
      <c r="G2237" s="879">
        <v>15.02</v>
      </c>
      <c r="H2237" s="880">
        <f>H2247</f>
        <v>60.08</v>
      </c>
      <c r="I2237" s="1910" t="s">
        <v>9562</v>
      </c>
      <c r="J2237" s="1793"/>
      <c r="K2237" s="1793"/>
      <c r="L2237" s="141"/>
      <c r="M2237" s="1515"/>
    </row>
    <row r="2238" spans="1:13" s="156" customFormat="1" ht="30" x14ac:dyDescent="0.2">
      <c r="A2238" s="2144">
        <v>122</v>
      </c>
      <c r="B2238" s="2144"/>
      <c r="C2238" s="873" t="s">
        <v>4448</v>
      </c>
      <c r="D2238" s="182" t="s">
        <v>9804</v>
      </c>
      <c r="E2238" s="881">
        <v>9.4120000000000002E-3</v>
      </c>
      <c r="F2238" s="882" t="s">
        <v>39</v>
      </c>
      <c r="G2238" s="883">
        <v>56.82</v>
      </c>
      <c r="H2238" s="884">
        <f>ROUNDDOWN(G2238*E2238,2)</f>
        <v>0.53</v>
      </c>
      <c r="I2238" s="1642"/>
      <c r="J2238" s="1797"/>
      <c r="K2238" s="1797"/>
      <c r="L2238" s="1784"/>
      <c r="M2238" s="1785"/>
    </row>
    <row r="2239" spans="1:13" s="156" customFormat="1" ht="30" x14ac:dyDescent="0.2">
      <c r="A2239" s="2144">
        <v>20083</v>
      </c>
      <c r="B2239" s="2144"/>
      <c r="C2239" s="873" t="s">
        <v>4448</v>
      </c>
      <c r="D2239" s="182" t="s">
        <v>13801</v>
      </c>
      <c r="E2239" s="881">
        <v>1.0999999999999999E-2</v>
      </c>
      <c r="F2239" s="882" t="s">
        <v>39</v>
      </c>
      <c r="G2239" s="883">
        <v>49.34</v>
      </c>
      <c r="H2239" s="884">
        <f>ROUNDDOWN(G2239*E2239,2)</f>
        <v>0.54</v>
      </c>
      <c r="I2239" s="1642"/>
      <c r="J2239" s="1797"/>
      <c r="K2239" s="1797"/>
      <c r="L2239" s="1784"/>
      <c r="M2239" s="1785"/>
    </row>
    <row r="2240" spans="1:13" s="156" customFormat="1" ht="30" x14ac:dyDescent="0.2">
      <c r="A2240" s="2144">
        <v>39321</v>
      </c>
      <c r="B2240" s="2144"/>
      <c r="C2240" s="873" t="s">
        <v>4448</v>
      </c>
      <c r="D2240" s="182" t="s">
        <v>14230</v>
      </c>
      <c r="E2240" s="881">
        <v>1</v>
      </c>
      <c r="F2240" s="882" t="s">
        <v>39</v>
      </c>
      <c r="G2240" s="883">
        <v>11.49</v>
      </c>
      <c r="H2240" s="884">
        <f>ROUNDDOWN(G2240*E2240,2)</f>
        <v>11.49</v>
      </c>
      <c r="I2240" s="1642"/>
      <c r="J2240" s="1797"/>
      <c r="K2240" s="1797"/>
      <c r="L2240" s="1784"/>
      <c r="M2240" s="1785"/>
    </row>
    <row r="2241" spans="1:13" s="156" customFormat="1" ht="45" x14ac:dyDescent="0.2">
      <c r="A2241" s="2144">
        <v>88248</v>
      </c>
      <c r="B2241" s="2144"/>
      <c r="C2241" s="873" t="s">
        <v>4448</v>
      </c>
      <c r="D2241" s="182" t="s">
        <v>73</v>
      </c>
      <c r="E2241" s="881">
        <v>7.0000000000000007E-2</v>
      </c>
      <c r="F2241" s="882" t="s">
        <v>65</v>
      </c>
      <c r="G2241" s="883">
        <v>15.55</v>
      </c>
      <c r="H2241" s="884">
        <f>ROUNDDOWN(G2241*E2241,2)</f>
        <v>1.08</v>
      </c>
      <c r="I2241" s="1642"/>
      <c r="J2241" s="1797"/>
      <c r="K2241" s="1797"/>
      <c r="L2241" s="1784"/>
      <c r="M2241" s="1785"/>
    </row>
    <row r="2242" spans="1:13" s="156" customFormat="1" ht="30" x14ac:dyDescent="0.2">
      <c r="A2242" s="2144">
        <v>88267</v>
      </c>
      <c r="B2242" s="2144"/>
      <c r="C2242" s="873" t="s">
        <v>4448</v>
      </c>
      <c r="D2242" s="182" t="s">
        <v>83</v>
      </c>
      <c r="E2242" s="881">
        <v>7.0000000000000007E-2</v>
      </c>
      <c r="F2242" s="882" t="s">
        <v>65</v>
      </c>
      <c r="G2242" s="883">
        <v>19.73</v>
      </c>
      <c r="H2242" s="884">
        <f>ROUNDDOWN(G2242*E2242,2)</f>
        <v>1.38</v>
      </c>
      <c r="I2242" s="1642"/>
      <c r="J2242" s="1797"/>
      <c r="K2242" s="1797"/>
      <c r="L2242" s="1784"/>
      <c r="M2242" s="1785"/>
    </row>
    <row r="2243" spans="1:13" s="1517" customFormat="1" x14ac:dyDescent="0.25">
      <c r="A2243" s="179"/>
      <c r="B2243" s="179"/>
      <c r="C2243" s="885"/>
      <c r="D2243" s="2141" t="s">
        <v>124</v>
      </c>
      <c r="E2243" s="2141"/>
      <c r="F2243" s="2141"/>
      <c r="G2243" s="2141"/>
      <c r="H2243" s="267">
        <f>SUMIF(F2238:F2242,("h"),H2238:H2242)</f>
        <v>2.46</v>
      </c>
      <c r="I2243" s="1830"/>
      <c r="J2243" s="1795"/>
      <c r="K2243" s="1795"/>
      <c r="L2243" s="169"/>
      <c r="M2243" s="1783"/>
    </row>
    <row r="2244" spans="1:13" s="1517" customFormat="1" x14ac:dyDescent="0.25">
      <c r="A2244" s="179"/>
      <c r="B2244" s="179"/>
      <c r="C2244" s="885"/>
      <c r="D2244" s="2141" t="s">
        <v>125</v>
      </c>
      <c r="E2244" s="2141"/>
      <c r="F2244" s="2141"/>
      <c r="G2244" s="2141"/>
      <c r="H2244" s="267">
        <f>SUMIF(F2238:F2242,"&lt;&gt;h",H2238:H2242)</f>
        <v>12.56</v>
      </c>
      <c r="I2244" s="1830"/>
      <c r="J2244" s="1795"/>
      <c r="K2244" s="1795"/>
      <c r="L2244" s="169"/>
      <c r="M2244" s="1783"/>
    </row>
    <row r="2245" spans="1:13" s="1517" customFormat="1" x14ac:dyDescent="0.25">
      <c r="A2245" s="179"/>
      <c r="B2245" s="179"/>
      <c r="C2245" s="885"/>
      <c r="D2245" s="2142" t="s">
        <v>126</v>
      </c>
      <c r="E2245" s="2142"/>
      <c r="F2245" s="2142"/>
      <c r="G2245" s="2142"/>
      <c r="H2245" s="886">
        <f>SUM(H2243:H2244)</f>
        <v>15.02</v>
      </c>
      <c r="I2245" s="1830"/>
      <c r="J2245" s="1795"/>
      <c r="K2245" s="1795"/>
      <c r="L2245" s="169"/>
      <c r="M2245" s="1783"/>
    </row>
    <row r="2246" spans="1:13" s="1517" customFormat="1" x14ac:dyDescent="0.25">
      <c r="A2246" s="179"/>
      <c r="B2246" s="179"/>
      <c r="C2246" s="885"/>
      <c r="D2246" s="2141" t="s">
        <v>28</v>
      </c>
      <c r="E2246" s="2141"/>
      <c r="F2246" s="2141"/>
      <c r="G2246" s="2141"/>
      <c r="H2246" s="269">
        <f>E2237</f>
        <v>4</v>
      </c>
      <c r="I2246" s="1830"/>
      <c r="J2246" s="1795"/>
      <c r="K2246" s="1795"/>
      <c r="L2246" s="169"/>
      <c r="M2246" s="1783"/>
    </row>
    <row r="2247" spans="1:13" s="1517" customFormat="1" x14ac:dyDescent="0.25">
      <c r="A2247" s="179"/>
      <c r="B2247" s="179"/>
      <c r="C2247" s="885"/>
      <c r="D2247" s="2142" t="s">
        <v>127</v>
      </c>
      <c r="E2247" s="2142"/>
      <c r="F2247" s="2142"/>
      <c r="G2247" s="2142"/>
      <c r="H2247" s="886">
        <f>ROUND(H2245*H2246,2)</f>
        <v>60.08</v>
      </c>
      <c r="I2247" s="1830"/>
      <c r="J2247" s="1795"/>
      <c r="K2247" s="1795"/>
      <c r="L2247" s="169"/>
      <c r="M2247" s="1783"/>
    </row>
    <row r="2248" spans="1:13" s="1517" customFormat="1" x14ac:dyDescent="0.25">
      <c r="A2248" s="179"/>
      <c r="B2248" s="179"/>
      <c r="C2248" s="1531"/>
      <c r="D2248" s="2141" t="s">
        <v>15335</v>
      </c>
      <c r="E2248" s="2141"/>
      <c r="F2248" s="2141"/>
      <c r="G2248" s="2141"/>
      <c r="H2248" s="267">
        <f>ROUND(H2245*$B$13,2)</f>
        <v>4.04</v>
      </c>
      <c r="I2248" s="1830"/>
      <c r="J2248" s="1795"/>
      <c r="K2248" s="1795"/>
      <c r="L2248" s="169"/>
      <c r="M2248" s="1783"/>
    </row>
    <row r="2249" spans="1:13" x14ac:dyDescent="0.25">
      <c r="A2249" s="179"/>
      <c r="B2249" s="179"/>
      <c r="C2249" s="1531"/>
      <c r="D2249" s="2142" t="s">
        <v>7898</v>
      </c>
      <c r="E2249" s="2142"/>
      <c r="F2249" s="2142"/>
      <c r="G2249" s="2142"/>
      <c r="H2249" s="1532">
        <f>H2248+H2245</f>
        <v>19.059999999999999</v>
      </c>
    </row>
    <row r="2250" spans="1:13" x14ac:dyDescent="0.25">
      <c r="A2250" s="872"/>
      <c r="B2250" s="872"/>
      <c r="C2250" s="872"/>
      <c r="F2250" s="887"/>
      <c r="G2250" s="888"/>
      <c r="H2250" s="872"/>
    </row>
    <row r="2251" spans="1:13" s="1517" customFormat="1" x14ac:dyDescent="0.25">
      <c r="A2251" s="146" t="s">
        <v>6</v>
      </c>
      <c r="B2251" s="2143" t="s">
        <v>7</v>
      </c>
      <c r="C2251" s="2143"/>
      <c r="D2251" s="874" t="s">
        <v>121</v>
      </c>
      <c r="E2251" s="278" t="s">
        <v>5282</v>
      </c>
      <c r="F2251" s="874" t="s">
        <v>31</v>
      </c>
      <c r="G2251" s="875" t="s">
        <v>122</v>
      </c>
      <c r="H2251" s="876" t="s">
        <v>123</v>
      </c>
      <c r="I2251" s="1830"/>
      <c r="J2251" s="1795"/>
      <c r="K2251" s="1795"/>
      <c r="L2251" s="169"/>
      <c r="M2251" s="1783"/>
    </row>
    <row r="2252" spans="1:13" s="1526" customFormat="1" ht="30" x14ac:dyDescent="0.2">
      <c r="A2252" s="877" t="str">
        <f>'Orç - Prédio'!A412</f>
        <v>05.04.317.02</v>
      </c>
      <c r="B2252" s="889" t="str">
        <f>'Orç - Prédio'!B412</f>
        <v>ORSE</v>
      </c>
      <c r="C2252" s="889">
        <f>'Orç - Prédio'!C412</f>
        <v>7594</v>
      </c>
      <c r="D2252" s="890" t="s">
        <v>6156</v>
      </c>
      <c r="E2252" s="878">
        <f>'Orç - Prédio'!E412</f>
        <v>11</v>
      </c>
      <c r="F2252" s="889" t="s">
        <v>5284</v>
      </c>
      <c r="G2252" s="879">
        <v>8.02</v>
      </c>
      <c r="H2252" s="880">
        <f>H2262</f>
        <v>88.22</v>
      </c>
      <c r="I2252" s="1910" t="s">
        <v>9562</v>
      </c>
      <c r="J2252" s="1793"/>
      <c r="K2252" s="1793"/>
      <c r="L2252" s="141"/>
      <c r="M2252" s="1515"/>
    </row>
    <row r="2253" spans="1:13" s="156" customFormat="1" ht="30" x14ac:dyDescent="0.2">
      <c r="A2253" s="2144">
        <v>122</v>
      </c>
      <c r="B2253" s="2144"/>
      <c r="C2253" s="873" t="s">
        <v>4448</v>
      </c>
      <c r="D2253" s="182" t="s">
        <v>9804</v>
      </c>
      <c r="E2253" s="881">
        <v>9.4120000000000002E-3</v>
      </c>
      <c r="F2253" s="882" t="s">
        <v>39</v>
      </c>
      <c r="G2253" s="883">
        <v>56.82</v>
      </c>
      <c r="H2253" s="884">
        <f>ROUNDDOWN(G2253*E2253,2)</f>
        <v>0.53</v>
      </c>
      <c r="I2253" s="1642"/>
      <c r="J2253" s="1797"/>
      <c r="K2253" s="1797"/>
      <c r="L2253" s="1784"/>
      <c r="M2253" s="1785"/>
    </row>
    <row r="2254" spans="1:13" s="156" customFormat="1" ht="30" x14ac:dyDescent="0.2">
      <c r="A2254" s="2144">
        <v>20083</v>
      </c>
      <c r="B2254" s="2144"/>
      <c r="C2254" s="873" t="s">
        <v>4448</v>
      </c>
      <c r="D2254" s="182" t="s">
        <v>13801</v>
      </c>
      <c r="E2254" s="881">
        <v>1.0999999999999999E-2</v>
      </c>
      <c r="F2254" s="882" t="s">
        <v>39</v>
      </c>
      <c r="G2254" s="883">
        <v>49.34</v>
      </c>
      <c r="H2254" s="884">
        <f>ROUNDDOWN(G2254*E2254,2)</f>
        <v>0.54</v>
      </c>
      <c r="I2254" s="1642"/>
      <c r="J2254" s="1797"/>
      <c r="K2254" s="1797"/>
      <c r="L2254" s="1784"/>
      <c r="M2254" s="1785"/>
    </row>
    <row r="2255" spans="1:13" s="156" customFormat="1" ht="30" x14ac:dyDescent="0.2">
      <c r="A2255" s="2144">
        <v>39319</v>
      </c>
      <c r="B2255" s="2144"/>
      <c r="C2255" s="873" t="s">
        <v>4448</v>
      </c>
      <c r="D2255" s="182" t="s">
        <v>14231</v>
      </c>
      <c r="E2255" s="881">
        <v>1</v>
      </c>
      <c r="F2255" s="882" t="s">
        <v>39</v>
      </c>
      <c r="G2255" s="883">
        <v>4.49</v>
      </c>
      <c r="H2255" s="884">
        <f>ROUNDDOWN(G2255*E2255,2)</f>
        <v>4.49</v>
      </c>
      <c r="I2255" s="1642"/>
      <c r="J2255" s="1797"/>
      <c r="K2255" s="1797"/>
      <c r="L2255" s="1784"/>
      <c r="M2255" s="1785"/>
    </row>
    <row r="2256" spans="1:13" s="156" customFormat="1" ht="45" x14ac:dyDescent="0.2">
      <c r="A2256" s="2144">
        <v>88248</v>
      </c>
      <c r="B2256" s="2144"/>
      <c r="C2256" s="873" t="s">
        <v>4448</v>
      </c>
      <c r="D2256" s="182" t="s">
        <v>73</v>
      </c>
      <c r="E2256" s="881">
        <v>7.0000000000000007E-2</v>
      </c>
      <c r="F2256" s="882" t="s">
        <v>65</v>
      </c>
      <c r="G2256" s="883">
        <v>15.55</v>
      </c>
      <c r="H2256" s="884">
        <f>ROUNDDOWN(G2256*E2256,2)</f>
        <v>1.08</v>
      </c>
      <c r="I2256" s="1642"/>
      <c r="J2256" s="1797"/>
      <c r="K2256" s="1797"/>
      <c r="L2256" s="1784"/>
      <c r="M2256" s="1785"/>
    </row>
    <row r="2257" spans="1:13" s="156" customFormat="1" ht="30" x14ac:dyDescent="0.2">
      <c r="A2257" s="2144">
        <v>88267</v>
      </c>
      <c r="B2257" s="2144"/>
      <c r="C2257" s="873" t="s">
        <v>4448</v>
      </c>
      <c r="D2257" s="182" t="s">
        <v>83</v>
      </c>
      <c r="E2257" s="881">
        <v>7.0000000000000007E-2</v>
      </c>
      <c r="F2257" s="882" t="s">
        <v>65</v>
      </c>
      <c r="G2257" s="883">
        <v>19.73</v>
      </c>
      <c r="H2257" s="884">
        <f>ROUNDDOWN(G2257*E2257,2)</f>
        <v>1.38</v>
      </c>
      <c r="I2257" s="1642"/>
      <c r="J2257" s="1797"/>
      <c r="K2257" s="1797"/>
      <c r="L2257" s="1784"/>
      <c r="M2257" s="1785"/>
    </row>
    <row r="2258" spans="1:13" s="1517" customFormat="1" x14ac:dyDescent="0.25">
      <c r="A2258" s="179"/>
      <c r="B2258" s="179"/>
      <c r="C2258" s="885"/>
      <c r="D2258" s="2141" t="s">
        <v>124</v>
      </c>
      <c r="E2258" s="2141"/>
      <c r="F2258" s="2141"/>
      <c r="G2258" s="2141"/>
      <c r="H2258" s="267">
        <f>SUMIF(F2253:F2257,("h"),H2253:H2257)</f>
        <v>2.46</v>
      </c>
      <c r="I2258" s="1830"/>
      <c r="J2258" s="1795"/>
      <c r="K2258" s="1795"/>
      <c r="L2258" s="169"/>
      <c r="M2258" s="1783"/>
    </row>
    <row r="2259" spans="1:13" s="1517" customFormat="1" x14ac:dyDescent="0.25">
      <c r="A2259" s="179"/>
      <c r="B2259" s="179"/>
      <c r="C2259" s="885"/>
      <c r="D2259" s="2141" t="s">
        <v>125</v>
      </c>
      <c r="E2259" s="2141"/>
      <c r="F2259" s="2141"/>
      <c r="G2259" s="2141"/>
      <c r="H2259" s="267">
        <f>SUMIF(F2253:F2257,"&lt;&gt;h",H2253:H2257)</f>
        <v>5.5600000000000005</v>
      </c>
      <c r="I2259" s="1830"/>
      <c r="J2259" s="1795"/>
      <c r="K2259" s="1795"/>
      <c r="L2259" s="169"/>
      <c r="M2259" s="1783"/>
    </row>
    <row r="2260" spans="1:13" s="1517" customFormat="1" x14ac:dyDescent="0.25">
      <c r="A2260" s="179"/>
      <c r="B2260" s="179"/>
      <c r="C2260" s="885"/>
      <c r="D2260" s="2142" t="s">
        <v>126</v>
      </c>
      <c r="E2260" s="2142"/>
      <c r="F2260" s="2142"/>
      <c r="G2260" s="2142"/>
      <c r="H2260" s="886">
        <f>SUM(H2258:H2259)</f>
        <v>8.02</v>
      </c>
      <c r="I2260" s="1830"/>
      <c r="J2260" s="1795"/>
      <c r="K2260" s="1795"/>
      <c r="L2260" s="169"/>
      <c r="M2260" s="1783"/>
    </row>
    <row r="2261" spans="1:13" s="1517" customFormat="1" x14ac:dyDescent="0.25">
      <c r="A2261" s="179"/>
      <c r="B2261" s="179"/>
      <c r="C2261" s="885"/>
      <c r="D2261" s="2141" t="s">
        <v>28</v>
      </c>
      <c r="E2261" s="2141"/>
      <c r="F2261" s="2141"/>
      <c r="G2261" s="2141"/>
      <c r="H2261" s="269">
        <f>E2252</f>
        <v>11</v>
      </c>
      <c r="I2261" s="1830"/>
      <c r="J2261" s="1795"/>
      <c r="K2261" s="1795"/>
      <c r="L2261" s="169"/>
      <c r="M2261" s="1783"/>
    </row>
    <row r="2262" spans="1:13" s="1517" customFormat="1" x14ac:dyDescent="0.25">
      <c r="A2262" s="179"/>
      <c r="B2262" s="179"/>
      <c r="C2262" s="885"/>
      <c r="D2262" s="2142" t="s">
        <v>127</v>
      </c>
      <c r="E2262" s="2142"/>
      <c r="F2262" s="2142"/>
      <c r="G2262" s="2142"/>
      <c r="H2262" s="886">
        <f>ROUND(H2260*H2261,2)</f>
        <v>88.22</v>
      </c>
      <c r="I2262" s="1830"/>
      <c r="J2262" s="1795"/>
      <c r="K2262" s="1795"/>
      <c r="L2262" s="169"/>
      <c r="M2262" s="1783"/>
    </row>
    <row r="2263" spans="1:13" s="1517" customFormat="1" x14ac:dyDescent="0.25">
      <c r="A2263" s="179"/>
      <c r="B2263" s="179"/>
      <c r="C2263" s="1531"/>
      <c r="D2263" s="2141" t="s">
        <v>15335</v>
      </c>
      <c r="E2263" s="2141"/>
      <c r="F2263" s="2141"/>
      <c r="G2263" s="2141"/>
      <c r="H2263" s="267">
        <f>ROUND(H2260*$B$13,2)</f>
        <v>2.16</v>
      </c>
      <c r="I2263" s="1830"/>
      <c r="J2263" s="1795"/>
      <c r="K2263" s="1795"/>
      <c r="L2263" s="169"/>
      <c r="M2263" s="1783"/>
    </row>
    <row r="2264" spans="1:13" x14ac:dyDescent="0.25">
      <c r="A2264" s="179"/>
      <c r="B2264" s="179"/>
      <c r="C2264" s="1531"/>
      <c r="D2264" s="2142" t="s">
        <v>7898</v>
      </c>
      <c r="E2264" s="2142"/>
      <c r="F2264" s="2142"/>
      <c r="G2264" s="2142"/>
      <c r="H2264" s="1532">
        <f>H2263+H2260</f>
        <v>10.18</v>
      </c>
    </row>
    <row r="2265" spans="1:13" x14ac:dyDescent="0.25">
      <c r="A2265" s="872"/>
      <c r="B2265" s="872"/>
      <c r="C2265" s="872"/>
      <c r="F2265" s="887"/>
      <c r="G2265" s="888"/>
      <c r="H2265" s="872"/>
    </row>
    <row r="2266" spans="1:13" s="1517" customFormat="1" x14ac:dyDescent="0.25">
      <c r="A2266" s="146" t="s">
        <v>6</v>
      </c>
      <c r="B2266" s="2143" t="s">
        <v>7</v>
      </c>
      <c r="C2266" s="2143"/>
      <c r="D2266" s="893" t="s">
        <v>121</v>
      </c>
      <c r="E2266" s="278" t="s">
        <v>5282</v>
      </c>
      <c r="F2266" s="893" t="s">
        <v>31</v>
      </c>
      <c r="G2266" s="894" t="s">
        <v>122</v>
      </c>
      <c r="H2266" s="895" t="s">
        <v>123</v>
      </c>
      <c r="I2266" s="1830"/>
      <c r="J2266" s="1795"/>
      <c r="K2266" s="1795"/>
      <c r="L2266" s="169"/>
      <c r="M2266" s="1783"/>
    </row>
    <row r="2267" spans="1:13" s="1526" customFormat="1" ht="30" x14ac:dyDescent="0.2">
      <c r="A2267" s="896" t="str">
        <f>'Orç - Prédio'!A414</f>
        <v>05.04.801.01</v>
      </c>
      <c r="B2267" s="908" t="str">
        <f>'Orç - Prédio'!B414</f>
        <v>SINAPI</v>
      </c>
      <c r="C2267" s="908" t="str">
        <f>'Orç - Prédio'!C414</f>
        <v>89708 MOD 1</v>
      </c>
      <c r="D2267" s="909" t="s">
        <v>6125</v>
      </c>
      <c r="E2267" s="897">
        <f>'Orç - Prédio'!E414</f>
        <v>2</v>
      </c>
      <c r="F2267" s="908" t="s">
        <v>5284</v>
      </c>
      <c r="G2267" s="898">
        <v>29.79</v>
      </c>
      <c r="H2267" s="899">
        <f>H2280</f>
        <v>59.58</v>
      </c>
      <c r="I2267" s="1910" t="s">
        <v>9562</v>
      </c>
      <c r="J2267" s="1793"/>
      <c r="K2267" s="1793"/>
      <c r="L2267" s="141"/>
      <c r="M2267" s="1515"/>
    </row>
    <row r="2268" spans="1:13" s="156" customFormat="1" ht="30" x14ac:dyDescent="0.2">
      <c r="A2268" s="2144">
        <v>122</v>
      </c>
      <c r="B2268" s="2144"/>
      <c r="C2268" s="892" t="s">
        <v>4448</v>
      </c>
      <c r="D2268" s="182" t="s">
        <v>9804</v>
      </c>
      <c r="E2268" s="900">
        <v>1.4800000000000001E-2</v>
      </c>
      <c r="F2268" s="901" t="s">
        <v>39</v>
      </c>
      <c r="G2268" s="902">
        <v>56.82</v>
      </c>
      <c r="H2268" s="903">
        <f t="shared" ref="H2268:H2275" si="151">ROUNDDOWN(G2268*E2268,2)</f>
        <v>0.84</v>
      </c>
      <c r="I2268" s="1642"/>
      <c r="J2268" s="1797"/>
      <c r="K2268" s="1797"/>
      <c r="L2268" s="1784"/>
      <c r="M2268" s="1785"/>
    </row>
    <row r="2269" spans="1:13" s="156" customFormat="1" ht="30" x14ac:dyDescent="0.2">
      <c r="A2269" s="2144">
        <v>297</v>
      </c>
      <c r="B2269" s="2144"/>
      <c r="C2269" s="892" t="s">
        <v>4448</v>
      </c>
      <c r="D2269" s="182" t="s">
        <v>9860</v>
      </c>
      <c r="E2269" s="900">
        <v>1</v>
      </c>
      <c r="F2269" s="901" t="s">
        <v>39</v>
      </c>
      <c r="G2269" s="902">
        <v>1.76</v>
      </c>
      <c r="H2269" s="903">
        <f t="shared" si="151"/>
        <v>1.76</v>
      </c>
      <c r="I2269" s="1642"/>
      <c r="J2269" s="1797"/>
      <c r="K2269" s="1797"/>
      <c r="L2269" s="1784"/>
      <c r="M2269" s="1785"/>
    </row>
    <row r="2270" spans="1:13" s="156" customFormat="1" ht="30" x14ac:dyDescent="0.2">
      <c r="A2270" s="2144">
        <v>5103</v>
      </c>
      <c r="B2270" s="2144"/>
      <c r="C2270" s="892" t="s">
        <v>4448</v>
      </c>
      <c r="D2270" s="182" t="s">
        <v>10625</v>
      </c>
      <c r="E2270" s="900">
        <v>1</v>
      </c>
      <c r="F2270" s="901" t="s">
        <v>39</v>
      </c>
      <c r="G2270" s="902">
        <v>11.98</v>
      </c>
      <c r="H2270" s="903">
        <f t="shared" si="151"/>
        <v>11.98</v>
      </c>
      <c r="I2270" s="1642"/>
      <c r="J2270" s="1797"/>
      <c r="K2270" s="1797"/>
      <c r="L2270" s="1784"/>
      <c r="M2270" s="1785"/>
    </row>
    <row r="2271" spans="1:13" s="156" customFormat="1" ht="60" x14ac:dyDescent="0.2">
      <c r="A2271" s="2144">
        <v>20078</v>
      </c>
      <c r="B2271" s="2144"/>
      <c r="C2271" s="892" t="s">
        <v>4448</v>
      </c>
      <c r="D2271" s="182" t="s">
        <v>13168</v>
      </c>
      <c r="E2271" s="900">
        <v>0.03</v>
      </c>
      <c r="F2271" s="901" t="s">
        <v>39</v>
      </c>
      <c r="G2271" s="902">
        <v>20.8</v>
      </c>
      <c r="H2271" s="903">
        <f t="shared" si="151"/>
        <v>0.62</v>
      </c>
      <c r="I2271" s="1642"/>
      <c r="J2271" s="1797"/>
      <c r="K2271" s="1797"/>
      <c r="L2271" s="1784"/>
      <c r="M2271" s="1785"/>
    </row>
    <row r="2272" spans="1:13" s="156" customFormat="1" ht="30" x14ac:dyDescent="0.2">
      <c r="A2272" s="2144">
        <v>20083</v>
      </c>
      <c r="B2272" s="2144"/>
      <c r="C2272" s="892" t="s">
        <v>4448</v>
      </c>
      <c r="D2272" s="182" t="s">
        <v>13801</v>
      </c>
      <c r="E2272" s="900">
        <v>2.2499999999999999E-2</v>
      </c>
      <c r="F2272" s="901" t="s">
        <v>39</v>
      </c>
      <c r="G2272" s="902">
        <v>49.34</v>
      </c>
      <c r="H2272" s="903">
        <f t="shared" si="151"/>
        <v>1.1100000000000001</v>
      </c>
      <c r="I2272" s="1642"/>
      <c r="J2272" s="1797"/>
      <c r="K2272" s="1797"/>
      <c r="L2272" s="1784"/>
      <c r="M2272" s="1785"/>
    </row>
    <row r="2273" spans="1:13" s="156" customFormat="1" x14ac:dyDescent="0.2">
      <c r="A2273" s="2144">
        <v>38383</v>
      </c>
      <c r="B2273" s="2144"/>
      <c r="C2273" s="892" t="s">
        <v>4448</v>
      </c>
      <c r="D2273" s="182" t="s">
        <v>12469</v>
      </c>
      <c r="E2273" s="900">
        <v>5.7000000000000002E-2</v>
      </c>
      <c r="F2273" s="901" t="s">
        <v>39</v>
      </c>
      <c r="G2273" s="902">
        <v>1.69</v>
      </c>
      <c r="H2273" s="903">
        <f t="shared" si="151"/>
        <v>0.09</v>
      </c>
      <c r="I2273" s="1642"/>
      <c r="J2273" s="1797"/>
      <c r="K2273" s="1797"/>
      <c r="L2273" s="1784"/>
      <c r="M2273" s="1785"/>
    </row>
    <row r="2274" spans="1:13" s="156" customFormat="1" ht="45" x14ac:dyDescent="0.2">
      <c r="A2274" s="2144">
        <v>88248</v>
      </c>
      <c r="B2274" s="2144"/>
      <c r="C2274" s="892" t="s">
        <v>4448</v>
      </c>
      <c r="D2274" s="182" t="s">
        <v>73</v>
      </c>
      <c r="E2274" s="900">
        <v>0.38</v>
      </c>
      <c r="F2274" s="901" t="s">
        <v>65</v>
      </c>
      <c r="G2274" s="902">
        <v>15.55</v>
      </c>
      <c r="H2274" s="903">
        <f t="shared" si="151"/>
        <v>5.9</v>
      </c>
      <c r="I2274" s="1642"/>
      <c r="J2274" s="1797"/>
      <c r="K2274" s="1797"/>
      <c r="L2274" s="1784"/>
      <c r="M2274" s="1785"/>
    </row>
    <row r="2275" spans="1:13" s="156" customFormat="1" ht="30" x14ac:dyDescent="0.2">
      <c r="A2275" s="2144">
        <v>88267</v>
      </c>
      <c r="B2275" s="2144"/>
      <c r="C2275" s="892" t="s">
        <v>4448</v>
      </c>
      <c r="D2275" s="182" t="s">
        <v>83</v>
      </c>
      <c r="E2275" s="900">
        <v>0.38</v>
      </c>
      <c r="F2275" s="901" t="s">
        <v>65</v>
      </c>
      <c r="G2275" s="902">
        <v>19.73</v>
      </c>
      <c r="H2275" s="903">
        <f t="shared" si="151"/>
        <v>7.49</v>
      </c>
      <c r="I2275" s="1642"/>
      <c r="J2275" s="1797"/>
      <c r="K2275" s="1797"/>
      <c r="L2275" s="1784"/>
      <c r="M2275" s="1785"/>
    </row>
    <row r="2276" spans="1:13" s="1517" customFormat="1" x14ac:dyDescent="0.25">
      <c r="A2276" s="179"/>
      <c r="B2276" s="179"/>
      <c r="C2276" s="904"/>
      <c r="D2276" s="2141" t="s">
        <v>124</v>
      </c>
      <c r="E2276" s="2141"/>
      <c r="F2276" s="2141"/>
      <c r="G2276" s="2141"/>
      <c r="H2276" s="267">
        <f>SUMIF(F2268:F2275,("h"),H2268:H2275)</f>
        <v>13.39</v>
      </c>
      <c r="I2276" s="1830"/>
      <c r="J2276" s="1795"/>
      <c r="K2276" s="1795"/>
      <c r="L2276" s="169"/>
      <c r="M2276" s="1783"/>
    </row>
    <row r="2277" spans="1:13" s="1517" customFormat="1" x14ac:dyDescent="0.25">
      <c r="A2277" s="179"/>
      <c r="B2277" s="179"/>
      <c r="C2277" s="904"/>
      <c r="D2277" s="2141" t="s">
        <v>125</v>
      </c>
      <c r="E2277" s="2141"/>
      <c r="F2277" s="2141"/>
      <c r="G2277" s="2141"/>
      <c r="H2277" s="267">
        <f>SUMIF(F2268:F2275,"&lt;&gt;h",H2268:H2275)</f>
        <v>16.399999999999999</v>
      </c>
      <c r="I2277" s="1830"/>
      <c r="J2277" s="1795"/>
      <c r="K2277" s="1795"/>
      <c r="L2277" s="169"/>
      <c r="M2277" s="1783"/>
    </row>
    <row r="2278" spans="1:13" s="1517" customFormat="1" x14ac:dyDescent="0.25">
      <c r="A2278" s="179"/>
      <c r="B2278" s="179"/>
      <c r="C2278" s="904"/>
      <c r="D2278" s="2142" t="s">
        <v>126</v>
      </c>
      <c r="E2278" s="2142"/>
      <c r="F2278" s="2142"/>
      <c r="G2278" s="2142"/>
      <c r="H2278" s="905">
        <f>SUM(H2276:H2277)</f>
        <v>29.79</v>
      </c>
      <c r="I2278" s="1830"/>
      <c r="J2278" s="1795"/>
      <c r="K2278" s="1795"/>
      <c r="L2278" s="169"/>
      <c r="M2278" s="1783"/>
    </row>
    <row r="2279" spans="1:13" s="1517" customFormat="1" x14ac:dyDescent="0.25">
      <c r="A2279" s="179"/>
      <c r="B2279" s="179"/>
      <c r="C2279" s="904"/>
      <c r="D2279" s="2141" t="s">
        <v>28</v>
      </c>
      <c r="E2279" s="2141"/>
      <c r="F2279" s="2141"/>
      <c r="G2279" s="2141"/>
      <c r="H2279" s="269">
        <f>E2267</f>
        <v>2</v>
      </c>
      <c r="I2279" s="1830"/>
      <c r="J2279" s="1795"/>
      <c r="K2279" s="1795"/>
      <c r="L2279" s="169"/>
      <c r="M2279" s="1783"/>
    </row>
    <row r="2280" spans="1:13" s="1517" customFormat="1" x14ac:dyDescent="0.25">
      <c r="A2280" s="179"/>
      <c r="B2280" s="179"/>
      <c r="C2280" s="904"/>
      <c r="D2280" s="2142" t="s">
        <v>127</v>
      </c>
      <c r="E2280" s="2142"/>
      <c r="F2280" s="2142"/>
      <c r="G2280" s="2142"/>
      <c r="H2280" s="905">
        <f>ROUND(H2278*H2279,2)</f>
        <v>59.58</v>
      </c>
      <c r="I2280" s="1830"/>
      <c r="J2280" s="1795"/>
      <c r="K2280" s="1795"/>
      <c r="L2280" s="169"/>
      <c r="M2280" s="1783"/>
    </row>
    <row r="2281" spans="1:13" s="1517" customFormat="1" x14ac:dyDescent="0.25">
      <c r="A2281" s="179"/>
      <c r="B2281" s="179"/>
      <c r="C2281" s="1531"/>
      <c r="D2281" s="2141" t="s">
        <v>15335</v>
      </c>
      <c r="E2281" s="2141"/>
      <c r="F2281" s="2141"/>
      <c r="G2281" s="2141"/>
      <c r="H2281" s="267">
        <f>ROUND(H2278*$B$13,2)</f>
        <v>8.02</v>
      </c>
      <c r="I2281" s="1830"/>
      <c r="J2281" s="1795"/>
      <c r="K2281" s="1795"/>
      <c r="L2281" s="169"/>
      <c r="M2281" s="1783"/>
    </row>
    <row r="2282" spans="1:13" x14ac:dyDescent="0.25">
      <c r="A2282" s="179"/>
      <c r="B2282" s="179"/>
      <c r="C2282" s="1531"/>
      <c r="D2282" s="2142" t="s">
        <v>7898</v>
      </c>
      <c r="E2282" s="2142"/>
      <c r="F2282" s="2142"/>
      <c r="G2282" s="2142"/>
      <c r="H2282" s="1532">
        <f>H2281+H2278</f>
        <v>37.81</v>
      </c>
    </row>
    <row r="2283" spans="1:13" x14ac:dyDescent="0.25">
      <c r="A2283" s="891"/>
      <c r="B2283" s="891"/>
      <c r="C2283" s="891"/>
      <c r="F2283" s="906"/>
      <c r="G2283" s="907"/>
      <c r="H2283" s="891"/>
    </row>
    <row r="2284" spans="1:13" s="1517" customFormat="1" x14ac:dyDescent="0.25">
      <c r="A2284" s="146" t="s">
        <v>6</v>
      </c>
      <c r="B2284" s="2143" t="s">
        <v>7</v>
      </c>
      <c r="C2284" s="2143"/>
      <c r="D2284" s="893" t="s">
        <v>121</v>
      </c>
      <c r="E2284" s="278" t="s">
        <v>5282</v>
      </c>
      <c r="F2284" s="893" t="s">
        <v>31</v>
      </c>
      <c r="G2284" s="894" t="s">
        <v>122</v>
      </c>
      <c r="H2284" s="895" t="s">
        <v>123</v>
      </c>
      <c r="I2284" s="1830"/>
      <c r="J2284" s="1795"/>
      <c r="K2284" s="1795"/>
      <c r="L2284" s="169"/>
      <c r="M2284" s="1783"/>
    </row>
    <row r="2285" spans="1:13" s="1526" customFormat="1" ht="30" x14ac:dyDescent="0.2">
      <c r="A2285" s="896" t="str">
        <f>'Orç - Prédio'!A415</f>
        <v>05.04.801.02</v>
      </c>
      <c r="B2285" s="908" t="str">
        <f>'Orç - Prédio'!B415</f>
        <v>SINAPI</v>
      </c>
      <c r="C2285" s="908" t="str">
        <f>'Orç - Prédio'!C415</f>
        <v>89708 MOD 2</v>
      </c>
      <c r="D2285" s="909" t="s">
        <v>6126</v>
      </c>
      <c r="E2285" s="897">
        <f>'Orç - Prédio'!E415</f>
        <v>32</v>
      </c>
      <c r="F2285" s="908" t="s">
        <v>5284</v>
      </c>
      <c r="G2285" s="898">
        <v>45.710000000000008</v>
      </c>
      <c r="H2285" s="899">
        <f>H2298</f>
        <v>1462.72</v>
      </c>
      <c r="I2285" s="1910" t="s">
        <v>9562</v>
      </c>
      <c r="J2285" s="1793"/>
      <c r="K2285" s="1793"/>
      <c r="L2285" s="141"/>
      <c r="M2285" s="1515"/>
    </row>
    <row r="2286" spans="1:13" s="156" customFormat="1" ht="30" x14ac:dyDescent="0.2">
      <c r="A2286" s="2144">
        <v>122</v>
      </c>
      <c r="B2286" s="2144"/>
      <c r="C2286" s="892" t="s">
        <v>4448</v>
      </c>
      <c r="D2286" s="182" t="s">
        <v>9804</v>
      </c>
      <c r="E2286" s="900">
        <v>1.4800000000000001E-2</v>
      </c>
      <c r="F2286" s="901" t="s">
        <v>39</v>
      </c>
      <c r="G2286" s="902">
        <v>56.82</v>
      </c>
      <c r="H2286" s="903">
        <f t="shared" ref="H2286:H2293" si="152">ROUNDDOWN(G2286*E2286,2)</f>
        <v>0.84</v>
      </c>
      <c r="I2286" s="1642"/>
      <c r="J2286" s="1797"/>
      <c r="K2286" s="1797"/>
      <c r="L2286" s="1784"/>
      <c r="M2286" s="1785"/>
    </row>
    <row r="2287" spans="1:13" s="156" customFormat="1" ht="30" x14ac:dyDescent="0.2">
      <c r="A2287" s="2144">
        <v>297</v>
      </c>
      <c r="B2287" s="2144"/>
      <c r="C2287" s="892" t="s">
        <v>4448</v>
      </c>
      <c r="D2287" s="182" t="s">
        <v>9860</v>
      </c>
      <c r="E2287" s="900">
        <v>1</v>
      </c>
      <c r="F2287" s="901" t="s">
        <v>39</v>
      </c>
      <c r="G2287" s="902">
        <v>1.76</v>
      </c>
      <c r="H2287" s="903">
        <f t="shared" si="152"/>
        <v>1.76</v>
      </c>
      <c r="I2287" s="1642"/>
      <c r="J2287" s="1797"/>
      <c r="K2287" s="1797"/>
      <c r="L2287" s="1784"/>
      <c r="M2287" s="1785"/>
    </row>
    <row r="2288" spans="1:13" s="156" customFormat="1" ht="30" x14ac:dyDescent="0.2">
      <c r="A2288" s="2144">
        <v>11712</v>
      </c>
      <c r="B2288" s="2144"/>
      <c r="C2288" s="892" t="s">
        <v>4448</v>
      </c>
      <c r="D2288" s="182" t="s">
        <v>10626</v>
      </c>
      <c r="E2288" s="900">
        <v>1</v>
      </c>
      <c r="F2288" s="901" t="s">
        <v>39</v>
      </c>
      <c r="G2288" s="902">
        <v>27.9</v>
      </c>
      <c r="H2288" s="903">
        <f t="shared" si="152"/>
        <v>27.9</v>
      </c>
      <c r="I2288" s="1642"/>
      <c r="J2288" s="1797"/>
      <c r="K2288" s="1797"/>
      <c r="L2288" s="1784"/>
      <c r="M2288" s="1785"/>
    </row>
    <row r="2289" spans="1:13" s="156" customFormat="1" ht="60" x14ac:dyDescent="0.2">
      <c r="A2289" s="2144">
        <v>20078</v>
      </c>
      <c r="B2289" s="2144"/>
      <c r="C2289" s="892" t="s">
        <v>4448</v>
      </c>
      <c r="D2289" s="182" t="s">
        <v>13168</v>
      </c>
      <c r="E2289" s="900">
        <v>0.03</v>
      </c>
      <c r="F2289" s="901" t="s">
        <v>39</v>
      </c>
      <c r="G2289" s="902">
        <v>20.8</v>
      </c>
      <c r="H2289" s="903">
        <f t="shared" si="152"/>
        <v>0.62</v>
      </c>
      <c r="I2289" s="1642"/>
      <c r="J2289" s="1797"/>
      <c r="K2289" s="1797"/>
      <c r="L2289" s="1784"/>
      <c r="M2289" s="1785"/>
    </row>
    <row r="2290" spans="1:13" s="156" customFormat="1" ht="30" x14ac:dyDescent="0.2">
      <c r="A2290" s="2144">
        <v>20083</v>
      </c>
      <c r="B2290" s="2144"/>
      <c r="C2290" s="892" t="s">
        <v>4448</v>
      </c>
      <c r="D2290" s="182" t="s">
        <v>13801</v>
      </c>
      <c r="E2290" s="900">
        <v>2.2499999999999999E-2</v>
      </c>
      <c r="F2290" s="901" t="s">
        <v>39</v>
      </c>
      <c r="G2290" s="902">
        <v>49.34</v>
      </c>
      <c r="H2290" s="903">
        <f t="shared" si="152"/>
        <v>1.1100000000000001</v>
      </c>
      <c r="I2290" s="1642"/>
      <c r="J2290" s="1797"/>
      <c r="K2290" s="1797"/>
      <c r="L2290" s="1784"/>
      <c r="M2290" s="1785"/>
    </row>
    <row r="2291" spans="1:13" s="156" customFormat="1" x14ac:dyDescent="0.2">
      <c r="A2291" s="2144">
        <v>38383</v>
      </c>
      <c r="B2291" s="2144"/>
      <c r="C2291" s="892" t="s">
        <v>4448</v>
      </c>
      <c r="D2291" s="182" t="s">
        <v>12469</v>
      </c>
      <c r="E2291" s="900">
        <v>5.7000000000000002E-2</v>
      </c>
      <c r="F2291" s="901" t="s">
        <v>39</v>
      </c>
      <c r="G2291" s="902">
        <v>1.69</v>
      </c>
      <c r="H2291" s="903">
        <f t="shared" si="152"/>
        <v>0.09</v>
      </c>
      <c r="I2291" s="1642"/>
      <c r="J2291" s="1797"/>
      <c r="K2291" s="1797"/>
      <c r="L2291" s="1784"/>
      <c r="M2291" s="1785"/>
    </row>
    <row r="2292" spans="1:13" s="156" customFormat="1" ht="45" x14ac:dyDescent="0.2">
      <c r="A2292" s="2144">
        <v>88248</v>
      </c>
      <c r="B2292" s="2144"/>
      <c r="C2292" s="892" t="s">
        <v>4448</v>
      </c>
      <c r="D2292" s="182" t="s">
        <v>73</v>
      </c>
      <c r="E2292" s="900">
        <v>0.38</v>
      </c>
      <c r="F2292" s="901" t="s">
        <v>65</v>
      </c>
      <c r="G2292" s="902">
        <v>15.55</v>
      </c>
      <c r="H2292" s="903">
        <f t="shared" si="152"/>
        <v>5.9</v>
      </c>
      <c r="I2292" s="1642"/>
      <c r="J2292" s="1797"/>
      <c r="K2292" s="1797"/>
      <c r="L2292" s="1784"/>
      <c r="M2292" s="1785"/>
    </row>
    <row r="2293" spans="1:13" s="156" customFormat="1" ht="30" x14ac:dyDescent="0.2">
      <c r="A2293" s="2144">
        <v>88267</v>
      </c>
      <c r="B2293" s="2144"/>
      <c r="C2293" s="892" t="s">
        <v>4448</v>
      </c>
      <c r="D2293" s="182" t="s">
        <v>83</v>
      </c>
      <c r="E2293" s="900">
        <v>0.38</v>
      </c>
      <c r="F2293" s="901" t="s">
        <v>65</v>
      </c>
      <c r="G2293" s="902">
        <v>19.73</v>
      </c>
      <c r="H2293" s="903">
        <f t="shared" si="152"/>
        <v>7.49</v>
      </c>
      <c r="I2293" s="1642"/>
      <c r="J2293" s="1797"/>
      <c r="K2293" s="1797"/>
      <c r="L2293" s="1784"/>
      <c r="M2293" s="1785"/>
    </row>
    <row r="2294" spans="1:13" s="1517" customFormat="1" x14ac:dyDescent="0.25">
      <c r="A2294" s="179"/>
      <c r="B2294" s="179"/>
      <c r="C2294" s="904"/>
      <c r="D2294" s="2141" t="s">
        <v>124</v>
      </c>
      <c r="E2294" s="2141"/>
      <c r="F2294" s="2141"/>
      <c r="G2294" s="2141"/>
      <c r="H2294" s="267">
        <f>SUMIF(F2286:F2293,("h"),H2286:H2293)</f>
        <v>13.39</v>
      </c>
      <c r="I2294" s="1830"/>
      <c r="J2294" s="1795"/>
      <c r="K2294" s="1795"/>
      <c r="L2294" s="169"/>
      <c r="M2294" s="1783"/>
    </row>
    <row r="2295" spans="1:13" s="1517" customFormat="1" x14ac:dyDescent="0.25">
      <c r="A2295" s="179"/>
      <c r="B2295" s="179"/>
      <c r="C2295" s="904"/>
      <c r="D2295" s="2141" t="s">
        <v>125</v>
      </c>
      <c r="E2295" s="2141"/>
      <c r="F2295" s="2141"/>
      <c r="G2295" s="2141"/>
      <c r="H2295" s="267">
        <f>SUMIF(F2286:F2293,"&lt;&gt;h",H2286:H2293)</f>
        <v>32.320000000000007</v>
      </c>
      <c r="I2295" s="1830"/>
      <c r="J2295" s="1795"/>
      <c r="K2295" s="1795"/>
      <c r="L2295" s="169"/>
      <c r="M2295" s="1783"/>
    </row>
    <row r="2296" spans="1:13" s="1517" customFormat="1" x14ac:dyDescent="0.25">
      <c r="A2296" s="179"/>
      <c r="B2296" s="179"/>
      <c r="C2296" s="904"/>
      <c r="D2296" s="2142" t="s">
        <v>126</v>
      </c>
      <c r="E2296" s="2142"/>
      <c r="F2296" s="2142"/>
      <c r="G2296" s="2142"/>
      <c r="H2296" s="905">
        <f>SUM(H2294:H2295)</f>
        <v>45.710000000000008</v>
      </c>
      <c r="I2296" s="1830"/>
      <c r="J2296" s="1795"/>
      <c r="K2296" s="1795"/>
      <c r="L2296" s="169"/>
      <c r="M2296" s="1783"/>
    </row>
    <row r="2297" spans="1:13" s="1517" customFormat="1" x14ac:dyDescent="0.25">
      <c r="A2297" s="179"/>
      <c r="B2297" s="179"/>
      <c r="C2297" s="904"/>
      <c r="D2297" s="2141" t="s">
        <v>28</v>
      </c>
      <c r="E2297" s="2141"/>
      <c r="F2297" s="2141"/>
      <c r="G2297" s="2141"/>
      <c r="H2297" s="269">
        <f>E2285</f>
        <v>32</v>
      </c>
      <c r="I2297" s="1830"/>
      <c r="J2297" s="1795"/>
      <c r="K2297" s="1795"/>
      <c r="L2297" s="169"/>
      <c r="M2297" s="1783"/>
    </row>
    <row r="2298" spans="1:13" s="1517" customFormat="1" x14ac:dyDescent="0.25">
      <c r="A2298" s="179"/>
      <c r="B2298" s="179"/>
      <c r="C2298" s="904"/>
      <c r="D2298" s="2142" t="s">
        <v>127</v>
      </c>
      <c r="E2298" s="2142"/>
      <c r="F2298" s="2142"/>
      <c r="G2298" s="2142"/>
      <c r="H2298" s="905">
        <f>ROUND(H2296*H2297,2)</f>
        <v>1462.72</v>
      </c>
      <c r="I2298" s="1830"/>
      <c r="J2298" s="1795"/>
      <c r="K2298" s="1795"/>
      <c r="L2298" s="169"/>
      <c r="M2298" s="1783"/>
    </row>
    <row r="2299" spans="1:13" s="1517" customFormat="1" x14ac:dyDescent="0.25">
      <c r="A2299" s="179"/>
      <c r="B2299" s="179"/>
      <c r="C2299" s="1531"/>
      <c r="D2299" s="2141" t="s">
        <v>15335</v>
      </c>
      <c r="E2299" s="2141"/>
      <c r="F2299" s="2141"/>
      <c r="G2299" s="2141"/>
      <c r="H2299" s="267">
        <f>ROUND(H2296*$B$13,2)</f>
        <v>12.31</v>
      </c>
      <c r="I2299" s="1830"/>
      <c r="J2299" s="1795"/>
      <c r="K2299" s="1795"/>
      <c r="L2299" s="169"/>
      <c r="M2299" s="1783"/>
    </row>
    <row r="2300" spans="1:13" x14ac:dyDescent="0.25">
      <c r="A2300" s="179"/>
      <c r="B2300" s="179"/>
      <c r="C2300" s="1531"/>
      <c r="D2300" s="2142" t="s">
        <v>7898</v>
      </c>
      <c r="E2300" s="2142"/>
      <c r="F2300" s="2142"/>
      <c r="G2300" s="2142"/>
      <c r="H2300" s="1532">
        <f>H2299+H2296</f>
        <v>58.02000000000001</v>
      </c>
    </row>
    <row r="2301" spans="1:13" x14ac:dyDescent="0.25">
      <c r="A2301" s="891"/>
      <c r="B2301" s="891"/>
      <c r="C2301" s="891"/>
      <c r="F2301" s="906"/>
      <c r="G2301" s="907"/>
      <c r="H2301" s="891"/>
    </row>
    <row r="2302" spans="1:13" s="218" customFormat="1" x14ac:dyDescent="0.25">
      <c r="A2302" s="214" t="str">
        <f>'Orç - Prédio'!A432</f>
        <v>06.00.000</v>
      </c>
      <c r="B2302" s="214"/>
      <c r="C2302" s="215"/>
      <c r="D2302" s="175" t="s">
        <v>4864</v>
      </c>
      <c r="E2302" s="284"/>
      <c r="F2302" s="214"/>
      <c r="G2302" s="216"/>
      <c r="H2302" s="217"/>
      <c r="I2302" s="212"/>
      <c r="J2302" s="1796"/>
      <c r="K2302" s="1793"/>
      <c r="L2302" s="1782"/>
      <c r="M2302" s="180"/>
    </row>
    <row r="2303" spans="1:13" s="1517" customFormat="1" x14ac:dyDescent="0.25">
      <c r="A2303" s="1665"/>
      <c r="B2303" s="1665"/>
      <c r="C2303" s="1516"/>
      <c r="D2303" s="159"/>
      <c r="E2303" s="276"/>
      <c r="F2303" s="1665"/>
      <c r="G2303" s="178"/>
      <c r="H2303" s="1530"/>
      <c r="I2303" s="1830"/>
      <c r="J2303" s="1795"/>
      <c r="K2303" s="1795"/>
      <c r="L2303" s="169"/>
      <c r="M2303" s="1783"/>
    </row>
    <row r="2304" spans="1:13" s="1517" customFormat="1" x14ac:dyDescent="0.25">
      <c r="A2304" s="146" t="s">
        <v>6</v>
      </c>
      <c r="B2304" s="2143" t="s">
        <v>7</v>
      </c>
      <c r="C2304" s="2143"/>
      <c r="D2304" s="1518" t="s">
        <v>121</v>
      </c>
      <c r="E2304" s="278" t="s">
        <v>5282</v>
      </c>
      <c r="F2304" s="1518" t="s">
        <v>31</v>
      </c>
      <c r="G2304" s="1519" t="s">
        <v>122</v>
      </c>
      <c r="H2304" s="1520" t="s">
        <v>123</v>
      </c>
      <c r="I2304" s="1830"/>
      <c r="J2304" s="1795"/>
      <c r="K2304" s="1795"/>
      <c r="L2304" s="169"/>
      <c r="M2304" s="1783"/>
    </row>
    <row r="2305" spans="1:13" s="1526" customFormat="1" ht="30" x14ac:dyDescent="0.2">
      <c r="A2305" s="1792" t="str">
        <f>'Orç - Prédio'!A436</f>
        <v>06.01.206.01</v>
      </c>
      <c r="B2305" s="1792" t="str">
        <f>'Orç - Prédio'!B436</f>
        <v>CPOS</v>
      </c>
      <c r="C2305" s="1792" t="str">
        <f>'Orç - Prédio'!C436</f>
        <v>37.12.120</v>
      </c>
      <c r="D2305" s="1522" t="s">
        <v>8305</v>
      </c>
      <c r="E2305" s="1523">
        <f>'Orç - Prédio'!E436</f>
        <v>3</v>
      </c>
      <c r="F2305" s="1792" t="s">
        <v>5284</v>
      </c>
      <c r="G2305" s="1524">
        <v>191.88</v>
      </c>
      <c r="H2305" s="1525">
        <f>H2313</f>
        <v>575.64</v>
      </c>
      <c r="I2305" s="1910" t="s">
        <v>9564</v>
      </c>
      <c r="J2305" s="1793"/>
      <c r="K2305" s="1793"/>
      <c r="L2305" s="141"/>
      <c r="M2305" s="1515"/>
    </row>
    <row r="2306" spans="1:13" s="156" customFormat="1" x14ac:dyDescent="0.2">
      <c r="A2306" s="2144" t="s">
        <v>8312</v>
      </c>
      <c r="B2306" s="2144"/>
      <c r="C2306" s="1516" t="s">
        <v>5696</v>
      </c>
      <c r="D2306" s="182" t="s">
        <v>8311</v>
      </c>
      <c r="E2306" s="1527">
        <v>1</v>
      </c>
      <c r="F2306" s="1791" t="s">
        <v>31</v>
      </c>
      <c r="G2306" s="367">
        <v>184.62</v>
      </c>
      <c r="H2306" s="1530">
        <f t="shared" ref="H2306" si="153">ROUNDDOWN(G2306*E2306,2)</f>
        <v>184.62</v>
      </c>
      <c r="I2306" s="1642"/>
      <c r="J2306" s="1797"/>
      <c r="K2306" s="1797"/>
      <c r="L2306" s="1784"/>
      <c r="M2306" s="1785"/>
    </row>
    <row r="2307" spans="1:13" s="156" customFormat="1" ht="30" x14ac:dyDescent="0.2">
      <c r="A2307" s="2144">
        <v>88247</v>
      </c>
      <c r="B2307" s="2144"/>
      <c r="C2307" s="1516" t="s">
        <v>4448</v>
      </c>
      <c r="D2307" s="182" t="s">
        <v>71</v>
      </c>
      <c r="E2307" s="1527">
        <v>0.2</v>
      </c>
      <c r="F2307" s="1791" t="s">
        <v>65</v>
      </c>
      <c r="G2307" s="1529">
        <v>16.02</v>
      </c>
      <c r="H2307" s="1530">
        <f>ROUNDDOWN(G2307*E2307,2)</f>
        <v>3.2</v>
      </c>
      <c r="I2307" s="1642"/>
      <c r="J2307" s="1797"/>
      <c r="K2307" s="1797"/>
      <c r="L2307" s="1784"/>
      <c r="M2307" s="1785"/>
    </row>
    <row r="2308" spans="1:13" s="156" customFormat="1" ht="30" x14ac:dyDescent="0.2">
      <c r="A2308" s="2144">
        <v>88265</v>
      </c>
      <c r="B2308" s="2144"/>
      <c r="C2308" s="1516" t="s">
        <v>4448</v>
      </c>
      <c r="D2308" s="182" t="s">
        <v>4293</v>
      </c>
      <c r="E2308" s="1527">
        <v>0.2</v>
      </c>
      <c r="F2308" s="1791" t="s">
        <v>65</v>
      </c>
      <c r="G2308" s="1529">
        <v>20.329999999999998</v>
      </c>
      <c r="H2308" s="1530">
        <f>ROUNDDOWN(G2308*E2308,2)</f>
        <v>4.0599999999999996</v>
      </c>
      <c r="I2308" s="1642"/>
      <c r="J2308" s="1797"/>
      <c r="K2308" s="1797"/>
      <c r="L2308" s="1784"/>
      <c r="M2308" s="1785"/>
    </row>
    <row r="2309" spans="1:13" s="1517" customFormat="1" x14ac:dyDescent="0.25">
      <c r="A2309" s="179"/>
      <c r="B2309" s="179"/>
      <c r="C2309" s="1531"/>
      <c r="D2309" s="2141" t="s">
        <v>124</v>
      </c>
      <c r="E2309" s="2141"/>
      <c r="F2309" s="2141"/>
      <c r="G2309" s="2141"/>
      <c r="H2309" s="267">
        <f>SUMIF(F2306:F2308,("h"),H2306:H2308)</f>
        <v>7.26</v>
      </c>
      <c r="I2309" s="1830"/>
      <c r="J2309" s="1795"/>
      <c r="K2309" s="1795"/>
      <c r="L2309" s="169"/>
      <c r="M2309" s="1783"/>
    </row>
    <row r="2310" spans="1:13" s="1517" customFormat="1" x14ac:dyDescent="0.25">
      <c r="A2310" s="179"/>
      <c r="B2310" s="179"/>
      <c r="C2310" s="1531"/>
      <c r="D2310" s="2141" t="s">
        <v>125</v>
      </c>
      <c r="E2310" s="2141"/>
      <c r="F2310" s="2141"/>
      <c r="G2310" s="2141"/>
      <c r="H2310" s="267">
        <f>SUMIF(F2306:F2308,"&lt;&gt;h",H2306:H2308)</f>
        <v>184.62</v>
      </c>
      <c r="I2310" s="1830"/>
      <c r="J2310" s="1795"/>
      <c r="K2310" s="1795"/>
      <c r="L2310" s="169"/>
      <c r="M2310" s="1783"/>
    </row>
    <row r="2311" spans="1:13" s="1517" customFormat="1" x14ac:dyDescent="0.25">
      <c r="A2311" s="179"/>
      <c r="B2311" s="179"/>
      <c r="C2311" s="1531"/>
      <c r="D2311" s="2142" t="s">
        <v>126</v>
      </c>
      <c r="E2311" s="2142"/>
      <c r="F2311" s="2142"/>
      <c r="G2311" s="2142"/>
      <c r="H2311" s="1532">
        <f>SUM(H2309:H2310)</f>
        <v>191.88</v>
      </c>
      <c r="I2311" s="1830"/>
      <c r="J2311" s="1795"/>
      <c r="K2311" s="1795"/>
      <c r="L2311" s="169"/>
      <c r="M2311" s="1783"/>
    </row>
    <row r="2312" spans="1:13" s="1517" customFormat="1" x14ac:dyDescent="0.25">
      <c r="A2312" s="179"/>
      <c r="B2312" s="179"/>
      <c r="C2312" s="1531"/>
      <c r="D2312" s="2141" t="s">
        <v>28</v>
      </c>
      <c r="E2312" s="2141"/>
      <c r="F2312" s="2141"/>
      <c r="G2312" s="2141"/>
      <c r="H2312" s="269">
        <f>E2305</f>
        <v>3</v>
      </c>
      <c r="I2312" s="1830"/>
      <c r="J2312" s="1795"/>
      <c r="K2312" s="1795"/>
      <c r="L2312" s="169"/>
      <c r="M2312" s="1783"/>
    </row>
    <row r="2313" spans="1:13" s="1517" customFormat="1" x14ac:dyDescent="0.25">
      <c r="A2313" s="179"/>
      <c r="B2313" s="179"/>
      <c r="C2313" s="1531"/>
      <c r="D2313" s="2142" t="s">
        <v>127</v>
      </c>
      <c r="E2313" s="2142"/>
      <c r="F2313" s="2142"/>
      <c r="G2313" s="2142"/>
      <c r="H2313" s="1532">
        <f>ROUND(H2311*H2312,2)</f>
        <v>575.64</v>
      </c>
      <c r="I2313" s="1830"/>
      <c r="J2313" s="1795"/>
      <c r="K2313" s="1795"/>
      <c r="L2313" s="169"/>
      <c r="M2313" s="1783"/>
    </row>
    <row r="2314" spans="1:13" s="1517" customFormat="1" x14ac:dyDescent="0.25">
      <c r="A2314" s="179"/>
      <c r="B2314" s="179"/>
      <c r="C2314" s="1531"/>
      <c r="D2314" s="2141" t="s">
        <v>15335</v>
      </c>
      <c r="E2314" s="2141"/>
      <c r="F2314" s="2141"/>
      <c r="G2314" s="2141"/>
      <c r="H2314" s="267">
        <f>ROUND(H2311*$B$13,2)</f>
        <v>51.67</v>
      </c>
      <c r="I2314" s="1830"/>
      <c r="J2314" s="1795"/>
      <c r="K2314" s="1795"/>
      <c r="L2314" s="169"/>
      <c r="M2314" s="1783"/>
    </row>
    <row r="2315" spans="1:13" x14ac:dyDescent="0.25">
      <c r="A2315" s="179"/>
      <c r="B2315" s="179"/>
      <c r="C2315" s="1531"/>
      <c r="D2315" s="2142" t="s">
        <v>7898</v>
      </c>
      <c r="E2315" s="2142"/>
      <c r="F2315" s="2142"/>
      <c r="G2315" s="2142"/>
      <c r="H2315" s="1532">
        <f>H2314+H2311</f>
        <v>243.55</v>
      </c>
    </row>
    <row r="2316" spans="1:13" x14ac:dyDescent="0.25">
      <c r="A2316" s="1514"/>
      <c r="B2316" s="1514"/>
      <c r="C2316" s="1514"/>
      <c r="F2316" s="1533"/>
      <c r="G2316" s="1534"/>
      <c r="H2316" s="1514"/>
    </row>
    <row r="2317" spans="1:13" s="1517" customFormat="1" x14ac:dyDescent="0.25">
      <c r="A2317" s="146" t="s">
        <v>6</v>
      </c>
      <c r="B2317" s="2143" t="s">
        <v>7</v>
      </c>
      <c r="C2317" s="2143"/>
      <c r="D2317" s="1518" t="s">
        <v>121</v>
      </c>
      <c r="E2317" s="278" t="s">
        <v>5282</v>
      </c>
      <c r="F2317" s="1518" t="s">
        <v>31</v>
      </c>
      <c r="G2317" s="1519" t="s">
        <v>122</v>
      </c>
      <c r="H2317" s="1520" t="s">
        <v>123</v>
      </c>
      <c r="I2317" s="1830"/>
      <c r="J2317" s="1795"/>
      <c r="K2317" s="1795"/>
      <c r="L2317" s="169"/>
      <c r="M2317" s="1783"/>
    </row>
    <row r="2318" spans="1:13" s="1526" customFormat="1" ht="75" x14ac:dyDescent="0.2">
      <c r="A2318" s="1792" t="str">
        <f>'Orç - Prédio'!A437</f>
        <v>06.01.209.01</v>
      </c>
      <c r="B2318" s="1882" t="str">
        <f>'Orç - Prédio'!B437</f>
        <v>CPOS</v>
      </c>
      <c r="C2318" s="1882" t="str">
        <f>'Orç - Prédio'!C437</f>
        <v>P 12 000 041010</v>
      </c>
      <c r="D2318" s="1865" t="s">
        <v>9010</v>
      </c>
      <c r="E2318" s="1866">
        <f>'Orç - Prédio'!E437</f>
        <v>1</v>
      </c>
      <c r="F2318" s="1882" t="s">
        <v>5284</v>
      </c>
      <c r="G2318" s="1524">
        <v>40373.61</v>
      </c>
      <c r="H2318" s="1525">
        <f>H2324</f>
        <v>40373.61</v>
      </c>
      <c r="I2318" s="1910" t="s">
        <v>9564</v>
      </c>
      <c r="J2318" s="1793"/>
      <c r="K2318" s="1793"/>
      <c r="L2318" s="141"/>
      <c r="M2318" s="1515"/>
    </row>
    <row r="2319" spans="1:13" s="156" customFormat="1" ht="30" x14ac:dyDescent="0.2">
      <c r="A2319" s="2144" t="s">
        <v>8313</v>
      </c>
      <c r="B2319" s="2144"/>
      <c r="C2319" s="1516" t="s">
        <v>5696</v>
      </c>
      <c r="D2319" s="182" t="s">
        <v>8314</v>
      </c>
      <c r="E2319" s="1527">
        <v>1</v>
      </c>
      <c r="F2319" s="1791" t="s">
        <v>31</v>
      </c>
      <c r="G2319" s="367">
        <v>40373.61</v>
      </c>
      <c r="H2319" s="1530">
        <f t="shared" ref="H2319" si="154">ROUNDDOWN(G2319*E2319,2)</f>
        <v>40373.61</v>
      </c>
      <c r="I2319" s="1642"/>
      <c r="J2319" s="1797"/>
      <c r="K2319" s="1797"/>
      <c r="L2319" s="1784"/>
      <c r="M2319" s="1785"/>
    </row>
    <row r="2320" spans="1:13" s="1517" customFormat="1" x14ac:dyDescent="0.25">
      <c r="A2320" s="179"/>
      <c r="B2320" s="179"/>
      <c r="C2320" s="1531"/>
      <c r="D2320" s="2141" t="s">
        <v>124</v>
      </c>
      <c r="E2320" s="2141"/>
      <c r="F2320" s="2141"/>
      <c r="G2320" s="2141"/>
      <c r="H2320" s="267">
        <f>SUMIF(F2319:F2319,("h"),H2319:H2319)</f>
        <v>0</v>
      </c>
      <c r="I2320" s="1830"/>
      <c r="J2320" s="1795"/>
      <c r="K2320" s="1795"/>
      <c r="L2320" s="169"/>
      <c r="M2320" s="1783"/>
    </row>
    <row r="2321" spans="1:13" s="1517" customFormat="1" x14ac:dyDescent="0.25">
      <c r="A2321" s="179"/>
      <c r="B2321" s="179"/>
      <c r="C2321" s="1531"/>
      <c r="D2321" s="2141" t="s">
        <v>125</v>
      </c>
      <c r="E2321" s="2141"/>
      <c r="F2321" s="2141"/>
      <c r="G2321" s="2141"/>
      <c r="H2321" s="267">
        <f>SUMIF(F2319:F2319,"&lt;&gt;h",H2319:H2319)</f>
        <v>40373.61</v>
      </c>
      <c r="I2321" s="1830"/>
      <c r="J2321" s="1795"/>
      <c r="K2321" s="1795"/>
      <c r="L2321" s="169"/>
      <c r="M2321" s="1783"/>
    </row>
    <row r="2322" spans="1:13" s="1517" customFormat="1" x14ac:dyDescent="0.25">
      <c r="A2322" s="179"/>
      <c r="B2322" s="179"/>
      <c r="C2322" s="1531"/>
      <c r="D2322" s="2142" t="s">
        <v>126</v>
      </c>
      <c r="E2322" s="2142"/>
      <c r="F2322" s="2142"/>
      <c r="G2322" s="2142"/>
      <c r="H2322" s="1532">
        <f>SUM(H2320:H2321)</f>
        <v>40373.61</v>
      </c>
      <c r="I2322" s="1830"/>
      <c r="J2322" s="1795"/>
      <c r="K2322" s="1795"/>
      <c r="L2322" s="169"/>
      <c r="M2322" s="1783"/>
    </row>
    <row r="2323" spans="1:13" s="1517" customFormat="1" x14ac:dyDescent="0.25">
      <c r="A2323" s="179"/>
      <c r="B2323" s="179"/>
      <c r="C2323" s="1531"/>
      <c r="D2323" s="2141" t="s">
        <v>28</v>
      </c>
      <c r="E2323" s="2141"/>
      <c r="F2323" s="2141"/>
      <c r="G2323" s="2141"/>
      <c r="H2323" s="269">
        <f>E2318</f>
        <v>1</v>
      </c>
      <c r="I2323" s="1830"/>
      <c r="J2323" s="1795"/>
      <c r="K2323" s="1795"/>
      <c r="L2323" s="169"/>
      <c r="M2323" s="1783"/>
    </row>
    <row r="2324" spans="1:13" s="1517" customFormat="1" x14ac:dyDescent="0.25">
      <c r="A2324" s="179"/>
      <c r="B2324" s="179"/>
      <c r="C2324" s="1531"/>
      <c r="D2324" s="2142" t="s">
        <v>127</v>
      </c>
      <c r="E2324" s="2142"/>
      <c r="F2324" s="2142"/>
      <c r="G2324" s="2142"/>
      <c r="H2324" s="1532">
        <f>ROUND(H2322*H2323,2)</f>
        <v>40373.61</v>
      </c>
      <c r="I2324" s="1830"/>
      <c r="J2324" s="1795"/>
      <c r="K2324" s="1795"/>
      <c r="L2324" s="169"/>
      <c r="M2324" s="1783"/>
    </row>
    <row r="2325" spans="1:13" s="1517" customFormat="1" x14ac:dyDescent="0.25">
      <c r="A2325" s="179"/>
      <c r="B2325" s="179"/>
      <c r="C2325" s="1531"/>
      <c r="D2325" s="2141" t="s">
        <v>15337</v>
      </c>
      <c r="E2325" s="2141"/>
      <c r="F2325" s="2141"/>
      <c r="G2325" s="2141"/>
      <c r="H2325" s="267">
        <f>ROUND(H2322*$B$14,2)</f>
        <v>8450.2000000000007</v>
      </c>
      <c r="I2325" s="1830"/>
      <c r="J2325" s="1795"/>
      <c r="K2325" s="1795"/>
      <c r="L2325" s="169"/>
      <c r="M2325" s="1783"/>
    </row>
    <row r="2326" spans="1:13" x14ac:dyDescent="0.25">
      <c r="A2326" s="179"/>
      <c r="B2326" s="179"/>
      <c r="C2326" s="1531"/>
      <c r="D2326" s="2142" t="s">
        <v>7898</v>
      </c>
      <c r="E2326" s="2142"/>
      <c r="F2326" s="2142"/>
      <c r="G2326" s="2142"/>
      <c r="H2326" s="1532">
        <f>H2325+H2322</f>
        <v>48823.81</v>
      </c>
    </row>
    <row r="2327" spans="1:13" x14ac:dyDescent="0.25">
      <c r="A2327" s="1514"/>
      <c r="B2327" s="1514"/>
      <c r="C2327" s="1514"/>
      <c r="F2327" s="1533"/>
      <c r="G2327" s="1534"/>
      <c r="H2327" s="1514"/>
    </row>
    <row r="2328" spans="1:13" s="1517" customFormat="1" x14ac:dyDescent="0.25">
      <c r="A2328" s="146" t="s">
        <v>6</v>
      </c>
      <c r="B2328" s="2143" t="s">
        <v>7</v>
      </c>
      <c r="C2328" s="2143"/>
      <c r="D2328" s="1518" t="s">
        <v>121</v>
      </c>
      <c r="E2328" s="278" t="s">
        <v>5282</v>
      </c>
      <c r="F2328" s="1518" t="s">
        <v>31</v>
      </c>
      <c r="G2328" s="1519" t="s">
        <v>122</v>
      </c>
      <c r="H2328" s="1520" t="s">
        <v>123</v>
      </c>
      <c r="I2328" s="1830"/>
      <c r="J2328" s="1795"/>
      <c r="K2328" s="1795"/>
      <c r="L2328" s="169"/>
      <c r="M2328" s="1783"/>
    </row>
    <row r="2329" spans="1:13" s="1526" customFormat="1" ht="75" x14ac:dyDescent="0.2">
      <c r="A2329" s="1882" t="str">
        <f>'Orç - Prédio'!A438</f>
        <v>06.01.209.02</v>
      </c>
      <c r="B2329" s="1882" t="str">
        <f>'Orç - Prédio'!B438</f>
        <v>CPOS</v>
      </c>
      <c r="C2329" s="1882" t="str">
        <f>'Orç - Prédio'!C438</f>
        <v>36.09.060 MOD</v>
      </c>
      <c r="D2329" s="1865" t="s">
        <v>9011</v>
      </c>
      <c r="E2329" s="1866">
        <f>'Orç - Prédio'!E438</f>
        <v>1</v>
      </c>
      <c r="F2329" s="1882" t="s">
        <v>5284</v>
      </c>
      <c r="G2329" s="1524">
        <v>1137.1399999999999</v>
      </c>
      <c r="H2329" s="1525">
        <f>H2338</f>
        <v>1137.1400000000001</v>
      </c>
      <c r="I2329" s="1910" t="s">
        <v>9564</v>
      </c>
      <c r="J2329" s="1793"/>
      <c r="K2329" s="1793"/>
      <c r="L2329" s="141"/>
      <c r="M2329" s="1515"/>
    </row>
    <row r="2330" spans="1:13" s="1859" customFormat="1" ht="90" x14ac:dyDescent="0.2">
      <c r="A2330" s="2144">
        <v>93402</v>
      </c>
      <c r="B2330" s="2144"/>
      <c r="C2330" s="1863" t="s">
        <v>4448</v>
      </c>
      <c r="D2330" s="1862" t="s">
        <v>428</v>
      </c>
      <c r="E2330" s="1864">
        <v>1</v>
      </c>
      <c r="F2330" s="1881" t="s">
        <v>97</v>
      </c>
      <c r="G2330" s="1860">
        <v>143.46</v>
      </c>
      <c r="H2330" s="1857">
        <f>ROUNDDOWN(G2330*E2330,2)</f>
        <v>143.46</v>
      </c>
      <c r="I2330" s="1856"/>
      <c r="J2330" s="1797"/>
      <c r="K2330" s="1797"/>
      <c r="L2330" s="1784"/>
      <c r="M2330" s="1785"/>
    </row>
    <row r="2331" spans="1:13" s="1859" customFormat="1" ht="30" x14ac:dyDescent="0.2">
      <c r="A2331" s="2144">
        <v>100307</v>
      </c>
      <c r="B2331" s="2144"/>
      <c r="C2331" s="1863" t="s">
        <v>4448</v>
      </c>
      <c r="D2331" s="1862" t="s">
        <v>8258</v>
      </c>
      <c r="E2331" s="1864">
        <v>8</v>
      </c>
      <c r="F2331" s="1881" t="s">
        <v>65</v>
      </c>
      <c r="G2331" s="1860">
        <v>19.47</v>
      </c>
      <c r="H2331" s="1857">
        <f>ROUNDDOWN(G2331*E2331,2)</f>
        <v>155.76</v>
      </c>
      <c r="I2331" s="1856"/>
      <c r="J2331" s="1797"/>
      <c r="K2331" s="1797"/>
      <c r="L2331" s="1784"/>
      <c r="M2331" s="1785"/>
    </row>
    <row r="2332" spans="1:13" s="1859" customFormat="1" ht="30" x14ac:dyDescent="0.2">
      <c r="A2332" s="2144">
        <v>88247</v>
      </c>
      <c r="B2332" s="2144"/>
      <c r="C2332" s="1863" t="s">
        <v>4448</v>
      </c>
      <c r="D2332" s="1862" t="s">
        <v>71</v>
      </c>
      <c r="E2332" s="1864">
        <v>32</v>
      </c>
      <c r="F2332" s="1881" t="s">
        <v>65</v>
      </c>
      <c r="G2332" s="1860">
        <v>16.02</v>
      </c>
      <c r="H2332" s="1857">
        <f>ROUNDDOWN(G2332*E2332,2)</f>
        <v>512.64</v>
      </c>
      <c r="I2332" s="1856"/>
      <c r="J2332" s="1797"/>
      <c r="K2332" s="1797"/>
      <c r="L2332" s="1784"/>
      <c r="M2332" s="1785"/>
    </row>
    <row r="2333" spans="1:13" s="1859" customFormat="1" ht="30" x14ac:dyDescent="0.2">
      <c r="A2333" s="2144">
        <v>88265</v>
      </c>
      <c r="B2333" s="2144"/>
      <c r="C2333" s="1863" t="s">
        <v>4448</v>
      </c>
      <c r="D2333" s="1862" t="s">
        <v>4293</v>
      </c>
      <c r="E2333" s="1864">
        <v>16</v>
      </c>
      <c r="F2333" s="1881" t="s">
        <v>65</v>
      </c>
      <c r="G2333" s="1860">
        <v>20.329999999999998</v>
      </c>
      <c r="H2333" s="1857">
        <f>ROUNDDOWN(G2333*E2333,2)</f>
        <v>325.27999999999997</v>
      </c>
      <c r="I2333" s="1856"/>
      <c r="J2333" s="1797"/>
      <c r="K2333" s="1797"/>
      <c r="L2333" s="1784"/>
      <c r="M2333" s="1785"/>
    </row>
    <row r="2334" spans="1:13" s="1517" customFormat="1" x14ac:dyDescent="0.25">
      <c r="A2334" s="1847"/>
      <c r="B2334" s="1847"/>
      <c r="C2334" s="1531"/>
      <c r="D2334" s="2141" t="s">
        <v>124</v>
      </c>
      <c r="E2334" s="2141"/>
      <c r="F2334" s="2141"/>
      <c r="G2334" s="2141"/>
      <c r="H2334" s="267">
        <f>SUMIF(F2330:F2333,("h"),H2330:H2333)</f>
        <v>993.68</v>
      </c>
      <c r="I2334" s="1830"/>
      <c r="J2334" s="1795"/>
      <c r="K2334" s="1795"/>
      <c r="L2334" s="169"/>
      <c r="M2334" s="1783"/>
    </row>
    <row r="2335" spans="1:13" s="1517" customFormat="1" x14ac:dyDescent="0.25">
      <c r="A2335" s="1847"/>
      <c r="B2335" s="1847"/>
      <c r="C2335" s="1531"/>
      <c r="D2335" s="2141" t="s">
        <v>125</v>
      </c>
      <c r="E2335" s="2141"/>
      <c r="F2335" s="2141"/>
      <c r="G2335" s="2141"/>
      <c r="H2335" s="267">
        <f>SUMIF(F2330:F2333,"&lt;&gt;h",H2330:H2333)</f>
        <v>143.46</v>
      </c>
      <c r="I2335" s="1830"/>
      <c r="J2335" s="1795"/>
      <c r="K2335" s="1795"/>
      <c r="L2335" s="169"/>
      <c r="M2335" s="1783"/>
    </row>
    <row r="2336" spans="1:13" s="1517" customFormat="1" x14ac:dyDescent="0.25">
      <c r="A2336" s="1847"/>
      <c r="B2336" s="1847"/>
      <c r="C2336" s="1531"/>
      <c r="D2336" s="2142" t="s">
        <v>126</v>
      </c>
      <c r="E2336" s="2142"/>
      <c r="F2336" s="2142"/>
      <c r="G2336" s="2142"/>
      <c r="H2336" s="1532">
        <f>SUM(H2334:H2335)</f>
        <v>1137.1399999999999</v>
      </c>
      <c r="I2336" s="1830"/>
      <c r="J2336" s="1795"/>
      <c r="K2336" s="1795"/>
      <c r="L2336" s="169"/>
      <c r="M2336" s="1783"/>
    </row>
    <row r="2337" spans="1:13" s="1517" customFormat="1" x14ac:dyDescent="0.25">
      <c r="A2337" s="1847"/>
      <c r="B2337" s="1847"/>
      <c r="C2337" s="1531"/>
      <c r="D2337" s="2141" t="s">
        <v>28</v>
      </c>
      <c r="E2337" s="2141"/>
      <c r="F2337" s="2141"/>
      <c r="G2337" s="2141"/>
      <c r="H2337" s="269">
        <f>E2329</f>
        <v>1</v>
      </c>
      <c r="I2337" s="1830"/>
      <c r="J2337" s="1795"/>
      <c r="K2337" s="1795"/>
      <c r="L2337" s="169"/>
      <c r="M2337" s="1783"/>
    </row>
    <row r="2338" spans="1:13" s="1517" customFormat="1" x14ac:dyDescent="0.25">
      <c r="A2338" s="1847"/>
      <c r="B2338" s="1847"/>
      <c r="C2338" s="1531"/>
      <c r="D2338" s="2142" t="s">
        <v>127</v>
      </c>
      <c r="E2338" s="2142"/>
      <c r="F2338" s="2142"/>
      <c r="G2338" s="2142"/>
      <c r="H2338" s="1532">
        <f>ROUND(H2336*H2337,2)</f>
        <v>1137.1400000000001</v>
      </c>
      <c r="I2338" s="1830"/>
      <c r="J2338" s="1795"/>
      <c r="K2338" s="1795"/>
      <c r="L2338" s="169"/>
      <c r="M2338" s="1783"/>
    </row>
    <row r="2339" spans="1:13" s="1517" customFormat="1" x14ac:dyDescent="0.25">
      <c r="A2339" s="1847"/>
      <c r="B2339" s="1847"/>
      <c r="C2339" s="1531"/>
      <c r="D2339" s="2141" t="s">
        <v>15335</v>
      </c>
      <c r="E2339" s="2141"/>
      <c r="F2339" s="2141"/>
      <c r="G2339" s="2141"/>
      <c r="H2339" s="267">
        <f>ROUND(H2336*$B$13,2)</f>
        <v>306.23</v>
      </c>
      <c r="I2339" s="1830"/>
      <c r="J2339" s="1795"/>
      <c r="K2339" s="1795"/>
      <c r="L2339" s="169"/>
      <c r="M2339" s="1783"/>
    </row>
    <row r="2340" spans="1:13" x14ac:dyDescent="0.25">
      <c r="A2340" s="1847"/>
      <c r="B2340" s="1847"/>
      <c r="C2340" s="1531"/>
      <c r="D2340" s="2142" t="s">
        <v>7898</v>
      </c>
      <c r="E2340" s="2142"/>
      <c r="F2340" s="2142"/>
      <c r="G2340" s="2142"/>
      <c r="H2340" s="1532">
        <f>H2339+H2336</f>
        <v>1443.37</v>
      </c>
    </row>
    <row r="2341" spans="1:13" x14ac:dyDescent="0.25">
      <c r="A2341" s="1514"/>
      <c r="B2341" s="1514"/>
      <c r="C2341" s="1514"/>
      <c r="F2341" s="1533"/>
      <c r="G2341" s="1534"/>
      <c r="H2341" s="1514"/>
    </row>
    <row r="2342" spans="1:13" s="1517" customFormat="1" x14ac:dyDescent="0.25">
      <c r="A2342" s="146" t="s">
        <v>6</v>
      </c>
      <c r="B2342" s="2143" t="s">
        <v>7</v>
      </c>
      <c r="C2342" s="2143"/>
      <c r="D2342" s="1518" t="s">
        <v>121</v>
      </c>
      <c r="E2342" s="278" t="s">
        <v>5282</v>
      </c>
      <c r="F2342" s="1518" t="s">
        <v>31</v>
      </c>
      <c r="G2342" s="1519" t="s">
        <v>122</v>
      </c>
      <c r="H2342" s="1520" t="s">
        <v>123</v>
      </c>
      <c r="I2342" s="1830"/>
      <c r="J2342" s="1795"/>
      <c r="K2342" s="1795"/>
      <c r="L2342" s="169"/>
      <c r="M2342" s="1783"/>
    </row>
    <row r="2343" spans="1:13" s="1526" customFormat="1" ht="30" x14ac:dyDescent="0.2">
      <c r="A2343" s="1521" t="str">
        <f>'Orç - Prédio'!A439</f>
        <v>06.01.213</v>
      </c>
      <c r="B2343" s="1792" t="str">
        <f>'Orç - Prédio'!B439</f>
        <v>ORSE</v>
      </c>
      <c r="C2343" s="1792" t="str">
        <f>'Orç - Prédio'!C439</f>
        <v>11850 MOD</v>
      </c>
      <c r="D2343" s="1522" t="s">
        <v>8304</v>
      </c>
      <c r="E2343" s="1792">
        <f>'Orç - Prédio'!E439</f>
        <v>3.81</v>
      </c>
      <c r="F2343" s="1792" t="s">
        <v>5688</v>
      </c>
      <c r="G2343" s="1524">
        <v>111.61000000000001</v>
      </c>
      <c r="H2343" s="1525">
        <f>H2351</f>
        <v>425.23</v>
      </c>
      <c r="I2343" s="1910" t="s">
        <v>14965</v>
      </c>
      <c r="J2343" s="1793"/>
      <c r="K2343" s="1793"/>
      <c r="L2343" s="141"/>
      <c r="M2343" s="1515"/>
    </row>
    <row r="2344" spans="1:13" s="156" customFormat="1" x14ac:dyDescent="0.2">
      <c r="A2344" s="2144">
        <v>6534</v>
      </c>
      <c r="B2344" s="2144"/>
      <c r="C2344" s="1516" t="s">
        <v>5281</v>
      </c>
      <c r="D2344" s="182" t="s">
        <v>8316</v>
      </c>
      <c r="E2344" s="1527">
        <v>1</v>
      </c>
      <c r="F2344" s="1657" t="s">
        <v>305</v>
      </c>
      <c r="G2344" s="367">
        <v>78.7</v>
      </c>
      <c r="H2344" s="1530">
        <f>ROUNDDOWN(G2344*E2344,2)</f>
        <v>78.7</v>
      </c>
      <c r="I2344" s="1642"/>
      <c r="J2344" s="1797"/>
      <c r="K2344" s="1797"/>
      <c r="L2344" s="1784"/>
      <c r="M2344" s="1785"/>
    </row>
    <row r="2345" spans="1:13" s="156" customFormat="1" ht="30" x14ac:dyDescent="0.2">
      <c r="A2345" s="2144">
        <v>88247</v>
      </c>
      <c r="B2345" s="2144"/>
      <c r="C2345" s="1516" t="s">
        <v>4448</v>
      </c>
      <c r="D2345" s="182" t="s">
        <v>71</v>
      </c>
      <c r="E2345" s="1527">
        <v>0.56999999999999995</v>
      </c>
      <c r="F2345" s="1791" t="s">
        <v>65</v>
      </c>
      <c r="G2345" s="1529">
        <v>16.02</v>
      </c>
      <c r="H2345" s="1530">
        <f>ROUNDDOWN(G2345*E2345,2)</f>
        <v>9.1300000000000008</v>
      </c>
      <c r="I2345" s="1642"/>
      <c r="J2345" s="1797"/>
      <c r="K2345" s="1797"/>
      <c r="L2345" s="1784"/>
      <c r="M2345" s="1785"/>
    </row>
    <row r="2346" spans="1:13" s="156" customFormat="1" ht="30" x14ac:dyDescent="0.2">
      <c r="A2346" s="2144">
        <v>88265</v>
      </c>
      <c r="B2346" s="2144"/>
      <c r="C2346" s="1516" t="s">
        <v>4448</v>
      </c>
      <c r="D2346" s="182" t="s">
        <v>4293</v>
      </c>
      <c r="E2346" s="1527">
        <v>1.17</v>
      </c>
      <c r="F2346" s="1657" t="s">
        <v>65</v>
      </c>
      <c r="G2346" s="1529">
        <v>20.329999999999998</v>
      </c>
      <c r="H2346" s="1530">
        <f>ROUNDDOWN(G2346*E2346,2)</f>
        <v>23.78</v>
      </c>
      <c r="I2346" s="1642"/>
      <c r="J2346" s="1797"/>
      <c r="K2346" s="1797"/>
      <c r="L2346" s="1784"/>
      <c r="M2346" s="1785"/>
    </row>
    <row r="2347" spans="1:13" s="1517" customFormat="1" x14ac:dyDescent="0.25">
      <c r="A2347" s="179"/>
      <c r="B2347" s="179"/>
      <c r="C2347" s="1531"/>
      <c r="D2347" s="2141" t="s">
        <v>124</v>
      </c>
      <c r="E2347" s="2141"/>
      <c r="F2347" s="2141"/>
      <c r="G2347" s="2141"/>
      <c r="H2347" s="267">
        <f>SUMIF(F2344:F2346,("h"),H2344:H2346)</f>
        <v>32.910000000000004</v>
      </c>
      <c r="I2347" s="1830"/>
      <c r="J2347" s="1795"/>
      <c r="K2347" s="1795"/>
      <c r="L2347" s="169"/>
      <c r="M2347" s="1783"/>
    </row>
    <row r="2348" spans="1:13" s="1517" customFormat="1" x14ac:dyDescent="0.25">
      <c r="A2348" s="179"/>
      <c r="B2348" s="179"/>
      <c r="C2348" s="1531"/>
      <c r="D2348" s="2141" t="s">
        <v>125</v>
      </c>
      <c r="E2348" s="2141"/>
      <c r="F2348" s="2141"/>
      <c r="G2348" s="2141"/>
      <c r="H2348" s="267">
        <f>SUMIF(F2344:F2346,"&lt;&gt;h",H2344:H2346)</f>
        <v>78.7</v>
      </c>
      <c r="I2348" s="1830"/>
      <c r="J2348" s="1795"/>
      <c r="K2348" s="1795"/>
      <c r="L2348" s="169"/>
      <c r="M2348" s="1783"/>
    </row>
    <row r="2349" spans="1:13" s="1517" customFormat="1" x14ac:dyDescent="0.25">
      <c r="A2349" s="179"/>
      <c r="B2349" s="179"/>
      <c r="C2349" s="1531"/>
      <c r="D2349" s="2142" t="s">
        <v>126</v>
      </c>
      <c r="E2349" s="2142"/>
      <c r="F2349" s="2142"/>
      <c r="G2349" s="2142"/>
      <c r="H2349" s="1532">
        <f>SUM(H2347:H2348)</f>
        <v>111.61000000000001</v>
      </c>
      <c r="I2349" s="1830"/>
      <c r="J2349" s="1795"/>
      <c r="K2349" s="1795"/>
      <c r="L2349" s="169"/>
      <c r="M2349" s="1783"/>
    </row>
    <row r="2350" spans="1:13" s="1517" customFormat="1" x14ac:dyDescent="0.25">
      <c r="A2350" s="179"/>
      <c r="B2350" s="179"/>
      <c r="C2350" s="1531"/>
      <c r="D2350" s="2141" t="s">
        <v>28</v>
      </c>
      <c r="E2350" s="2141"/>
      <c r="F2350" s="2141"/>
      <c r="G2350" s="2141"/>
      <c r="H2350" s="269">
        <f>E2343</f>
        <v>3.81</v>
      </c>
      <c r="I2350" s="1830"/>
      <c r="J2350" s="1795"/>
      <c r="K2350" s="1795"/>
      <c r="L2350" s="169"/>
      <c r="M2350" s="1783"/>
    </row>
    <row r="2351" spans="1:13" s="1517" customFormat="1" x14ac:dyDescent="0.25">
      <c r="A2351" s="179"/>
      <c r="B2351" s="179"/>
      <c r="C2351" s="1531"/>
      <c r="D2351" s="2142" t="s">
        <v>127</v>
      </c>
      <c r="E2351" s="2142"/>
      <c r="F2351" s="2142"/>
      <c r="G2351" s="2142"/>
      <c r="H2351" s="1532">
        <f>ROUND(H2349*H2350,2)</f>
        <v>425.23</v>
      </c>
      <c r="I2351" s="1830"/>
      <c r="J2351" s="1795"/>
      <c r="K2351" s="1795"/>
      <c r="L2351" s="169"/>
      <c r="M2351" s="1783"/>
    </row>
    <row r="2352" spans="1:13" s="1517" customFormat="1" x14ac:dyDescent="0.25">
      <c r="A2352" s="179"/>
      <c r="B2352" s="179"/>
      <c r="C2352" s="1531"/>
      <c r="D2352" s="2141" t="s">
        <v>15335</v>
      </c>
      <c r="E2352" s="2141"/>
      <c r="F2352" s="2141"/>
      <c r="G2352" s="2141"/>
      <c r="H2352" s="267">
        <f>ROUND(H2349*$B$13,2)</f>
        <v>30.06</v>
      </c>
      <c r="I2352" s="1830"/>
      <c r="J2352" s="1795"/>
      <c r="K2352" s="1795"/>
      <c r="L2352" s="169"/>
      <c r="M2352" s="1783"/>
    </row>
    <row r="2353" spans="1:13" x14ac:dyDescent="0.25">
      <c r="A2353" s="179"/>
      <c r="B2353" s="179"/>
      <c r="C2353" s="1531"/>
      <c r="D2353" s="2142" t="s">
        <v>7898</v>
      </c>
      <c r="E2353" s="2142"/>
      <c r="F2353" s="2142"/>
      <c r="G2353" s="2142"/>
      <c r="H2353" s="1532">
        <f>H2352+H2349</f>
        <v>141.67000000000002</v>
      </c>
    </row>
    <row r="2354" spans="1:13" x14ac:dyDescent="0.25">
      <c r="A2354" s="1514"/>
      <c r="B2354" s="1514"/>
      <c r="C2354" s="1514"/>
      <c r="F2354" s="1533"/>
      <c r="G2354" s="1534"/>
      <c r="H2354" s="1514"/>
    </row>
    <row r="2355" spans="1:13" s="1517" customFormat="1" x14ac:dyDescent="0.25">
      <c r="A2355" s="146" t="s">
        <v>6</v>
      </c>
      <c r="B2355" s="2143" t="s">
        <v>7</v>
      </c>
      <c r="C2355" s="2143"/>
      <c r="D2355" s="1518" t="s">
        <v>121</v>
      </c>
      <c r="E2355" s="278" t="s">
        <v>5282</v>
      </c>
      <c r="F2355" s="1518" t="s">
        <v>31</v>
      </c>
      <c r="G2355" s="1519" t="s">
        <v>122</v>
      </c>
      <c r="H2355" s="1520" t="s">
        <v>123</v>
      </c>
      <c r="I2355" s="1830"/>
      <c r="J2355" s="1795"/>
      <c r="K2355" s="1795"/>
      <c r="L2355" s="169"/>
      <c r="M2355" s="1783"/>
    </row>
    <row r="2356" spans="1:13" s="1526" customFormat="1" ht="60" x14ac:dyDescent="0.2">
      <c r="A2356" s="1521" t="str">
        <f>'Orç - Prédio'!A441</f>
        <v>06.01.251</v>
      </c>
      <c r="B2356" s="1919" t="str">
        <f>'Orç - Prédio'!B441</f>
        <v>ORSE</v>
      </c>
      <c r="C2356" s="1919" t="str">
        <f>'Orç - Prédio'!C441</f>
        <v>9528 MOD</v>
      </c>
      <c r="D2356" s="1865" t="s">
        <v>9018</v>
      </c>
      <c r="E2356" s="1866">
        <f>'Orç - Prédio'!E441</f>
        <v>1</v>
      </c>
      <c r="F2356" s="1919" t="s">
        <v>5284</v>
      </c>
      <c r="G2356" s="1524">
        <v>4354.46</v>
      </c>
      <c r="H2356" s="1525">
        <f>H2366</f>
        <v>4354.46</v>
      </c>
      <c r="I2356" s="1910" t="s">
        <v>14965</v>
      </c>
      <c r="J2356" s="1793"/>
      <c r="K2356" s="1793"/>
      <c r="L2356" s="141"/>
      <c r="M2356" s="1515"/>
    </row>
    <row r="2357" spans="1:13" s="156" customFormat="1" ht="75" x14ac:dyDescent="0.2">
      <c r="A2357" s="2144">
        <v>9748</v>
      </c>
      <c r="B2357" s="2144"/>
      <c r="C2357" s="1516" t="s">
        <v>5281</v>
      </c>
      <c r="D2357" s="1862" t="s">
        <v>9017</v>
      </c>
      <c r="E2357" s="1527">
        <v>1</v>
      </c>
      <c r="F2357" s="1658" t="s">
        <v>31</v>
      </c>
      <c r="G2357" s="367">
        <v>4237.8999999999996</v>
      </c>
      <c r="H2357" s="1530">
        <f>ROUNDDOWN(G2357*E2357,2)</f>
        <v>4237.8999999999996</v>
      </c>
      <c r="I2357" s="1642"/>
      <c r="J2357" s="1797"/>
      <c r="K2357" s="1797"/>
      <c r="L2357" s="1784"/>
      <c r="M2357" s="1785"/>
    </row>
    <row r="2358" spans="1:13" s="1859" customFormat="1" ht="75" x14ac:dyDescent="0.2">
      <c r="A2358" s="2144">
        <v>87292</v>
      </c>
      <c r="B2358" s="2144"/>
      <c r="C2358" s="1863" t="s">
        <v>4448</v>
      </c>
      <c r="D2358" s="1862" t="s">
        <v>8396</v>
      </c>
      <c r="E2358" s="1864">
        <v>2.7E-2</v>
      </c>
      <c r="F2358" s="1875" t="s">
        <v>1208</v>
      </c>
      <c r="G2358" s="1860">
        <v>389.55</v>
      </c>
      <c r="H2358" s="1857">
        <f>ROUNDDOWN(G2358*E2358,2)</f>
        <v>10.51</v>
      </c>
      <c r="I2358" s="1856"/>
      <c r="J2358" s="1797"/>
      <c r="K2358" s="1797"/>
      <c r="L2358" s="1784"/>
      <c r="M2358" s="1785"/>
    </row>
    <row r="2359" spans="1:13" s="156" customFormat="1" ht="30" x14ac:dyDescent="0.2">
      <c r="A2359" s="2144">
        <v>88264</v>
      </c>
      <c r="B2359" s="2144"/>
      <c r="C2359" s="1516" t="s">
        <v>4448</v>
      </c>
      <c r="D2359" s="182" t="s">
        <v>81</v>
      </c>
      <c r="E2359" s="1527">
        <v>2</v>
      </c>
      <c r="F2359" s="1658" t="s">
        <v>65</v>
      </c>
      <c r="G2359" s="1529">
        <v>20.329999999999998</v>
      </c>
      <c r="H2359" s="1530">
        <f>ROUNDDOWN(G2359*E2359,2)</f>
        <v>40.659999999999997</v>
      </c>
      <c r="I2359" s="1642"/>
      <c r="J2359" s="1797"/>
      <c r="K2359" s="1797"/>
      <c r="L2359" s="1784"/>
      <c r="M2359" s="1785"/>
    </row>
    <row r="2360" spans="1:13" s="156" customFormat="1" ht="30" x14ac:dyDescent="0.2">
      <c r="A2360" s="2144">
        <v>88316</v>
      </c>
      <c r="B2360" s="2144"/>
      <c r="C2360" s="1516" t="s">
        <v>4448</v>
      </c>
      <c r="D2360" s="182" t="s">
        <v>64</v>
      </c>
      <c r="E2360" s="1527">
        <v>3</v>
      </c>
      <c r="F2360" s="1658" t="s">
        <v>65</v>
      </c>
      <c r="G2360" s="1529">
        <v>15.08</v>
      </c>
      <c r="H2360" s="1530">
        <f>ROUNDDOWN(G2360*E2360,2)</f>
        <v>45.24</v>
      </c>
      <c r="I2360" s="1642"/>
      <c r="J2360" s="1797"/>
      <c r="K2360" s="1797"/>
      <c r="L2360" s="1784"/>
      <c r="M2360" s="1785"/>
    </row>
    <row r="2361" spans="1:13" s="156" customFormat="1" ht="30" x14ac:dyDescent="0.2">
      <c r="A2361" s="2144">
        <v>88309</v>
      </c>
      <c r="B2361" s="2144"/>
      <c r="C2361" s="1516" t="s">
        <v>4448</v>
      </c>
      <c r="D2361" s="182" t="s">
        <v>87</v>
      </c>
      <c r="E2361" s="1527">
        <v>1</v>
      </c>
      <c r="F2361" s="1658" t="s">
        <v>65</v>
      </c>
      <c r="G2361" s="1529">
        <v>20.149999999999999</v>
      </c>
      <c r="H2361" s="1530">
        <f>ROUNDDOWN(G2361*E2361,2)</f>
        <v>20.149999999999999</v>
      </c>
      <c r="I2361" s="1642"/>
      <c r="J2361" s="1797"/>
      <c r="K2361" s="1797"/>
      <c r="L2361" s="1784"/>
      <c r="M2361" s="1785"/>
    </row>
    <row r="2362" spans="1:13" s="1517" customFormat="1" x14ac:dyDescent="0.25">
      <c r="A2362" s="179"/>
      <c r="B2362" s="179"/>
      <c r="C2362" s="1531"/>
      <c r="D2362" s="2141" t="s">
        <v>124</v>
      </c>
      <c r="E2362" s="2141"/>
      <c r="F2362" s="2141"/>
      <c r="G2362" s="2141"/>
      <c r="H2362" s="267">
        <f>SUMIF(F2357:F2361,("h"),H2357:H2361)</f>
        <v>106.05000000000001</v>
      </c>
      <c r="I2362" s="1830"/>
      <c r="J2362" s="1795"/>
      <c r="K2362" s="1795"/>
      <c r="L2362" s="169"/>
      <c r="M2362" s="1783"/>
    </row>
    <row r="2363" spans="1:13" s="1517" customFormat="1" x14ac:dyDescent="0.25">
      <c r="A2363" s="179"/>
      <c r="B2363" s="179"/>
      <c r="C2363" s="1531"/>
      <c r="D2363" s="2141" t="s">
        <v>125</v>
      </c>
      <c r="E2363" s="2141"/>
      <c r="F2363" s="2141"/>
      <c r="G2363" s="2141"/>
      <c r="H2363" s="267">
        <f>SUMIF(F2357:F2361,"&lt;&gt;h",H2357:H2361)</f>
        <v>4248.41</v>
      </c>
      <c r="I2363" s="1830"/>
      <c r="J2363" s="1795"/>
      <c r="K2363" s="1795"/>
      <c r="L2363" s="169"/>
      <c r="M2363" s="1783"/>
    </row>
    <row r="2364" spans="1:13" s="1517" customFormat="1" x14ac:dyDescent="0.25">
      <c r="A2364" s="179"/>
      <c r="B2364" s="179"/>
      <c r="C2364" s="1531"/>
      <c r="D2364" s="2142" t="s">
        <v>126</v>
      </c>
      <c r="E2364" s="2142"/>
      <c r="F2364" s="2142"/>
      <c r="G2364" s="2142"/>
      <c r="H2364" s="1532">
        <f>SUM(H2362:H2363)</f>
        <v>4354.46</v>
      </c>
      <c r="I2364" s="1830"/>
      <c r="J2364" s="1795"/>
      <c r="K2364" s="1795"/>
      <c r="L2364" s="169"/>
      <c r="M2364" s="1783"/>
    </row>
    <row r="2365" spans="1:13" s="1517" customFormat="1" x14ac:dyDescent="0.25">
      <c r="A2365" s="179"/>
      <c r="B2365" s="179"/>
      <c r="C2365" s="1531"/>
      <c r="D2365" s="2141" t="s">
        <v>28</v>
      </c>
      <c r="E2365" s="2141"/>
      <c r="F2365" s="2141"/>
      <c r="G2365" s="2141"/>
      <c r="H2365" s="269">
        <f>E2356</f>
        <v>1</v>
      </c>
      <c r="I2365" s="1830"/>
      <c r="J2365" s="1795"/>
      <c r="K2365" s="1795"/>
      <c r="L2365" s="169"/>
      <c r="M2365" s="1783"/>
    </row>
    <row r="2366" spans="1:13" s="1517" customFormat="1" x14ac:dyDescent="0.25">
      <c r="A2366" s="179"/>
      <c r="B2366" s="179"/>
      <c r="C2366" s="1531"/>
      <c r="D2366" s="2142" t="s">
        <v>127</v>
      </c>
      <c r="E2366" s="2142"/>
      <c r="F2366" s="2142"/>
      <c r="G2366" s="2142"/>
      <c r="H2366" s="1532">
        <f>ROUND(H2364*H2365,2)</f>
        <v>4354.46</v>
      </c>
      <c r="I2366" s="1830"/>
      <c r="J2366" s="1795"/>
      <c r="K2366" s="1795"/>
      <c r="L2366" s="169"/>
      <c r="M2366" s="1783"/>
    </row>
    <row r="2367" spans="1:13" s="1517" customFormat="1" x14ac:dyDescent="0.25">
      <c r="A2367" s="179"/>
      <c r="B2367" s="179"/>
      <c r="C2367" s="1531"/>
      <c r="D2367" s="2141" t="s">
        <v>15335</v>
      </c>
      <c r="E2367" s="2141"/>
      <c r="F2367" s="2141"/>
      <c r="G2367" s="2141"/>
      <c r="H2367" s="267">
        <f>ROUND(H2364*$B$13,2)</f>
        <v>1172.6600000000001</v>
      </c>
      <c r="I2367" s="1830"/>
      <c r="J2367" s="1795"/>
      <c r="K2367" s="1795"/>
      <c r="L2367" s="169"/>
      <c r="M2367" s="1783"/>
    </row>
    <row r="2368" spans="1:13" x14ac:dyDescent="0.25">
      <c r="A2368" s="179"/>
      <c r="B2368" s="179"/>
      <c r="C2368" s="1531"/>
      <c r="D2368" s="2142" t="s">
        <v>7898</v>
      </c>
      <c r="E2368" s="2142"/>
      <c r="F2368" s="2142"/>
      <c r="G2368" s="2142"/>
      <c r="H2368" s="1532">
        <f>H2367+H2364</f>
        <v>5527.12</v>
      </c>
    </row>
    <row r="2369" spans="1:13" x14ac:dyDescent="0.25">
      <c r="A2369" s="1514"/>
      <c r="B2369" s="1514"/>
      <c r="C2369" s="1514"/>
      <c r="F2369" s="1533"/>
      <c r="G2369" s="1534"/>
      <c r="H2369" s="1514"/>
    </row>
    <row r="2370" spans="1:13" s="1517" customFormat="1" x14ac:dyDescent="0.25">
      <c r="A2370" s="146" t="s">
        <v>6</v>
      </c>
      <c r="B2370" s="2143" t="s">
        <v>7</v>
      </c>
      <c r="C2370" s="2143"/>
      <c r="D2370" s="1518" t="s">
        <v>121</v>
      </c>
      <c r="E2370" s="278" t="s">
        <v>5282</v>
      </c>
      <c r="F2370" s="1518" t="s">
        <v>31</v>
      </c>
      <c r="G2370" s="1519" t="s">
        <v>122</v>
      </c>
      <c r="H2370" s="1520" t="s">
        <v>123</v>
      </c>
      <c r="I2370" s="1830"/>
      <c r="J2370" s="1795"/>
      <c r="K2370" s="1795"/>
      <c r="L2370" s="169"/>
      <c r="M2370" s="1783"/>
    </row>
    <row r="2371" spans="1:13" s="1526" customFormat="1" ht="45" x14ac:dyDescent="0.2">
      <c r="A2371" s="1885" t="str">
        <f>'Orç - Prédio'!A443</f>
        <v>06.01.255.01</v>
      </c>
      <c r="B2371" s="1885" t="str">
        <f>'Orç - Prédio'!B443</f>
        <v>ORSE</v>
      </c>
      <c r="C2371" s="1885" t="str">
        <f>'Orç - Prédio'!C443</f>
        <v>4616 INSUMO</v>
      </c>
      <c r="D2371" s="1560" t="s">
        <v>9025</v>
      </c>
      <c r="E2371" s="1885">
        <f>'Orç - Prédio'!E443</f>
        <v>502.74</v>
      </c>
      <c r="F2371" s="1885" t="s">
        <v>5713</v>
      </c>
      <c r="G2371" s="1524">
        <v>9.6</v>
      </c>
      <c r="H2371" s="1525">
        <f>H2377</f>
        <v>4826.3</v>
      </c>
      <c r="I2371" s="1910" t="s">
        <v>14965</v>
      </c>
      <c r="J2371" s="1793"/>
      <c r="K2371" s="1793"/>
      <c r="L2371" s="141"/>
      <c r="M2371" s="1515"/>
    </row>
    <row r="2372" spans="1:13" s="1859" customFormat="1" ht="30" x14ac:dyDescent="0.2">
      <c r="A2372" s="2144">
        <v>4616</v>
      </c>
      <c r="B2372" s="2144"/>
      <c r="C2372" s="1863" t="s">
        <v>5281</v>
      </c>
      <c r="D2372" s="1862" t="s">
        <v>9027</v>
      </c>
      <c r="E2372" s="1864">
        <v>1</v>
      </c>
      <c r="F2372" s="1884" t="s">
        <v>136</v>
      </c>
      <c r="G2372" s="367">
        <v>9.6</v>
      </c>
      <c r="H2372" s="1857">
        <f>ROUNDDOWN(G2372*E2372,2)</f>
        <v>9.6</v>
      </c>
      <c r="I2372" s="1856"/>
      <c r="J2372" s="1797"/>
      <c r="K2372" s="1797"/>
      <c r="L2372" s="1784"/>
      <c r="M2372" s="1785"/>
    </row>
    <row r="2373" spans="1:13" s="1517" customFormat="1" x14ac:dyDescent="0.25">
      <c r="A2373" s="1847"/>
      <c r="B2373" s="1847"/>
      <c r="C2373" s="1531"/>
      <c r="D2373" s="2141" t="s">
        <v>124</v>
      </c>
      <c r="E2373" s="2141"/>
      <c r="F2373" s="2141"/>
      <c r="G2373" s="2141"/>
      <c r="H2373" s="267">
        <f>SUMIF(F2372:F2372,("h"),H2372:H2372)</f>
        <v>0</v>
      </c>
      <c r="I2373" s="1830"/>
      <c r="J2373" s="1795"/>
      <c r="K2373" s="1795"/>
      <c r="L2373" s="169"/>
      <c r="M2373" s="1783"/>
    </row>
    <row r="2374" spans="1:13" s="1517" customFormat="1" x14ac:dyDescent="0.25">
      <c r="A2374" s="1847"/>
      <c r="B2374" s="1847"/>
      <c r="C2374" s="1531"/>
      <c r="D2374" s="2141" t="s">
        <v>125</v>
      </c>
      <c r="E2374" s="2141"/>
      <c r="F2374" s="2141"/>
      <c r="G2374" s="2141"/>
      <c r="H2374" s="267">
        <f>SUMIF(F2372:F2372,"&lt;&gt;h",H2372:H2372)</f>
        <v>9.6</v>
      </c>
      <c r="I2374" s="1830"/>
      <c r="J2374" s="1795"/>
      <c r="K2374" s="1795"/>
      <c r="L2374" s="169"/>
      <c r="M2374" s="1783"/>
    </row>
    <row r="2375" spans="1:13" s="1517" customFormat="1" x14ac:dyDescent="0.25">
      <c r="A2375" s="1847"/>
      <c r="B2375" s="1847"/>
      <c r="C2375" s="1531"/>
      <c r="D2375" s="2142" t="s">
        <v>126</v>
      </c>
      <c r="E2375" s="2142"/>
      <c r="F2375" s="2142"/>
      <c r="G2375" s="2142"/>
      <c r="H2375" s="1532">
        <f>SUM(H2373:H2374)</f>
        <v>9.6</v>
      </c>
      <c r="I2375" s="1830"/>
      <c r="J2375" s="1795"/>
      <c r="K2375" s="1795"/>
      <c r="L2375" s="169"/>
      <c r="M2375" s="1783"/>
    </row>
    <row r="2376" spans="1:13" s="1517" customFormat="1" x14ac:dyDescent="0.25">
      <c r="A2376" s="1847"/>
      <c r="B2376" s="1847"/>
      <c r="C2376" s="1531"/>
      <c r="D2376" s="2141" t="s">
        <v>28</v>
      </c>
      <c r="E2376" s="2141"/>
      <c r="F2376" s="2141"/>
      <c r="G2376" s="2141"/>
      <c r="H2376" s="269">
        <f>E2371</f>
        <v>502.74</v>
      </c>
      <c r="I2376" s="1830"/>
      <c r="J2376" s="1795"/>
      <c r="K2376" s="1795"/>
      <c r="L2376" s="169"/>
      <c r="M2376" s="1783"/>
    </row>
    <row r="2377" spans="1:13" s="1517" customFormat="1" x14ac:dyDescent="0.25">
      <c r="A2377" s="1847"/>
      <c r="B2377" s="1847"/>
      <c r="C2377" s="1531"/>
      <c r="D2377" s="2142" t="s">
        <v>127</v>
      </c>
      <c r="E2377" s="2142"/>
      <c r="F2377" s="2142"/>
      <c r="G2377" s="2142"/>
      <c r="H2377" s="1532">
        <f>ROUND(H2375*H2376,2)</f>
        <v>4826.3</v>
      </c>
      <c r="I2377" s="1830"/>
      <c r="J2377" s="1795"/>
      <c r="K2377" s="1795"/>
      <c r="L2377" s="169"/>
      <c r="M2377" s="1783"/>
    </row>
    <row r="2378" spans="1:13" s="1517" customFormat="1" x14ac:dyDescent="0.25">
      <c r="A2378" s="1847"/>
      <c r="B2378" s="1847"/>
      <c r="C2378" s="1531"/>
      <c r="D2378" s="2141" t="s">
        <v>15335</v>
      </c>
      <c r="E2378" s="2141"/>
      <c r="F2378" s="2141"/>
      <c r="G2378" s="2141"/>
      <c r="H2378" s="267">
        <f>ROUND(H2375*$B$13,2)</f>
        <v>2.59</v>
      </c>
      <c r="I2378" s="1830"/>
      <c r="J2378" s="1795"/>
      <c r="K2378" s="1795"/>
      <c r="L2378" s="169"/>
      <c r="M2378" s="1783"/>
    </row>
    <row r="2379" spans="1:13" x14ac:dyDescent="0.25">
      <c r="A2379" s="1847"/>
      <c r="B2379" s="1847"/>
      <c r="C2379" s="1531"/>
      <c r="D2379" s="2142" t="s">
        <v>7898</v>
      </c>
      <c r="E2379" s="2142"/>
      <c r="F2379" s="2142"/>
      <c r="G2379" s="2142"/>
      <c r="H2379" s="1532">
        <f>H2378+H2375</f>
        <v>12.19</v>
      </c>
    </row>
    <row r="2380" spans="1:13" x14ac:dyDescent="0.25">
      <c r="A2380" s="1514"/>
      <c r="B2380" s="1514"/>
      <c r="C2380" s="1514"/>
      <c r="F2380" s="1533"/>
      <c r="G2380" s="1534"/>
      <c r="H2380" s="1514"/>
    </row>
    <row r="2381" spans="1:13" s="1517" customFormat="1" x14ac:dyDescent="0.25">
      <c r="A2381" s="146" t="s">
        <v>6</v>
      </c>
      <c r="B2381" s="2143" t="s">
        <v>7</v>
      </c>
      <c r="C2381" s="2143"/>
      <c r="D2381" s="1518" t="s">
        <v>121</v>
      </c>
      <c r="E2381" s="278" t="s">
        <v>5282</v>
      </c>
      <c r="F2381" s="1518" t="s">
        <v>31</v>
      </c>
      <c r="G2381" s="1519" t="s">
        <v>122</v>
      </c>
      <c r="H2381" s="1520" t="s">
        <v>123</v>
      </c>
      <c r="I2381" s="1830"/>
      <c r="J2381" s="1795"/>
      <c r="K2381" s="1795"/>
      <c r="L2381" s="169"/>
      <c r="M2381" s="1783"/>
    </row>
    <row r="2382" spans="1:13" s="1526" customFormat="1" ht="30" x14ac:dyDescent="0.2">
      <c r="A2382" s="1888" t="str">
        <f>'Orç - Prédio'!A444</f>
        <v>06.01.255.02</v>
      </c>
      <c r="B2382" s="1888" t="str">
        <f>'Orç - Prédio'!B444</f>
        <v>ORSE</v>
      </c>
      <c r="C2382" s="1888" t="str">
        <f>'Orç - Prédio'!C444</f>
        <v>392 INSUMO</v>
      </c>
      <c r="D2382" s="1865" t="s">
        <v>9034</v>
      </c>
      <c r="E2382" s="1888">
        <f>'Orç - Prédio'!E444</f>
        <v>65.760000000000005</v>
      </c>
      <c r="F2382" s="1888" t="s">
        <v>5688</v>
      </c>
      <c r="G2382" s="1524">
        <v>11.72</v>
      </c>
      <c r="H2382" s="1525">
        <f>H2388</f>
        <v>770.71</v>
      </c>
      <c r="I2382" s="1910" t="s">
        <v>14965</v>
      </c>
      <c r="J2382" s="1793"/>
      <c r="K2382" s="1793"/>
      <c r="L2382" s="141"/>
      <c r="M2382" s="1515"/>
    </row>
    <row r="2383" spans="1:13" s="1859" customFormat="1" x14ac:dyDescent="0.2">
      <c r="A2383" s="2144">
        <v>392</v>
      </c>
      <c r="B2383" s="2144"/>
      <c r="C2383" s="1863" t="s">
        <v>5281</v>
      </c>
      <c r="D2383" s="1862" t="s">
        <v>9035</v>
      </c>
      <c r="E2383" s="1864">
        <v>1</v>
      </c>
      <c r="F2383" s="1887" t="s">
        <v>305</v>
      </c>
      <c r="G2383" s="367">
        <v>11.72</v>
      </c>
      <c r="H2383" s="1857">
        <f>ROUNDDOWN(G2383*E2383,2)</f>
        <v>11.72</v>
      </c>
      <c r="I2383" s="1856"/>
      <c r="J2383" s="1797"/>
      <c r="K2383" s="1797"/>
      <c r="L2383" s="1784"/>
      <c r="M2383" s="1785"/>
    </row>
    <row r="2384" spans="1:13" s="1517" customFormat="1" x14ac:dyDescent="0.25">
      <c r="A2384" s="1847"/>
      <c r="B2384" s="1847"/>
      <c r="C2384" s="1531"/>
      <c r="D2384" s="2141" t="s">
        <v>124</v>
      </c>
      <c r="E2384" s="2141"/>
      <c r="F2384" s="2141"/>
      <c r="G2384" s="2141"/>
      <c r="H2384" s="267">
        <f>SUMIF(F2383:F2383,("h"),H2383:H2383)</f>
        <v>0</v>
      </c>
      <c r="I2384" s="1830"/>
      <c r="J2384" s="1795"/>
      <c r="K2384" s="1795"/>
      <c r="L2384" s="169"/>
      <c r="M2384" s="1783"/>
    </row>
    <row r="2385" spans="1:13" s="1517" customFormat="1" x14ac:dyDescent="0.25">
      <c r="A2385" s="1847"/>
      <c r="B2385" s="1847"/>
      <c r="C2385" s="1531"/>
      <c r="D2385" s="2141" t="s">
        <v>125</v>
      </c>
      <c r="E2385" s="2141"/>
      <c r="F2385" s="2141"/>
      <c r="G2385" s="2141"/>
      <c r="H2385" s="267">
        <f>SUMIF(F2383:F2383,"&lt;&gt;h",H2383:H2383)</f>
        <v>11.72</v>
      </c>
      <c r="I2385" s="1830"/>
      <c r="J2385" s="1795"/>
      <c r="K2385" s="1795"/>
      <c r="L2385" s="169"/>
      <c r="M2385" s="1783"/>
    </row>
    <row r="2386" spans="1:13" s="1517" customFormat="1" x14ac:dyDescent="0.25">
      <c r="A2386" s="1847"/>
      <c r="B2386" s="1847"/>
      <c r="C2386" s="1531"/>
      <c r="D2386" s="2142" t="s">
        <v>126</v>
      </c>
      <c r="E2386" s="2142"/>
      <c r="F2386" s="2142"/>
      <c r="G2386" s="2142"/>
      <c r="H2386" s="1532">
        <f>SUM(H2384:H2385)</f>
        <v>11.72</v>
      </c>
      <c r="I2386" s="1830"/>
      <c r="J2386" s="1795"/>
      <c r="K2386" s="1795"/>
      <c r="L2386" s="169"/>
      <c r="M2386" s="1783"/>
    </row>
    <row r="2387" spans="1:13" s="1517" customFormat="1" x14ac:dyDescent="0.25">
      <c r="A2387" s="1847"/>
      <c r="B2387" s="1847"/>
      <c r="C2387" s="1531"/>
      <c r="D2387" s="2141" t="s">
        <v>28</v>
      </c>
      <c r="E2387" s="2141"/>
      <c r="F2387" s="2141"/>
      <c r="G2387" s="2141"/>
      <c r="H2387" s="269">
        <f>E2382</f>
        <v>65.760000000000005</v>
      </c>
      <c r="I2387" s="1830"/>
      <c r="J2387" s="1795"/>
      <c r="K2387" s="1795"/>
      <c r="L2387" s="169"/>
      <c r="M2387" s="1783"/>
    </row>
    <row r="2388" spans="1:13" s="1517" customFormat="1" x14ac:dyDescent="0.25">
      <c r="A2388" s="1847"/>
      <c r="B2388" s="1847"/>
      <c r="C2388" s="1531"/>
      <c r="D2388" s="2142" t="s">
        <v>127</v>
      </c>
      <c r="E2388" s="2142"/>
      <c r="F2388" s="2142"/>
      <c r="G2388" s="2142"/>
      <c r="H2388" s="1532">
        <f>ROUND(H2386*H2387,2)</f>
        <v>770.71</v>
      </c>
      <c r="I2388" s="1830"/>
      <c r="J2388" s="1795"/>
      <c r="K2388" s="1795"/>
      <c r="L2388" s="169"/>
      <c r="M2388" s="1783"/>
    </row>
    <row r="2389" spans="1:13" s="1517" customFormat="1" x14ac:dyDescent="0.25">
      <c r="A2389" s="1847"/>
      <c r="B2389" s="1847"/>
      <c r="C2389" s="1531"/>
      <c r="D2389" s="2141" t="s">
        <v>15335</v>
      </c>
      <c r="E2389" s="2141"/>
      <c r="F2389" s="2141"/>
      <c r="G2389" s="2141"/>
      <c r="H2389" s="267">
        <f>ROUND(H2386*$B$13,2)</f>
        <v>3.16</v>
      </c>
      <c r="I2389" s="1830"/>
      <c r="J2389" s="1795"/>
      <c r="K2389" s="1795"/>
      <c r="L2389" s="169"/>
      <c r="M2389" s="1783"/>
    </row>
    <row r="2390" spans="1:13" x14ac:dyDescent="0.25">
      <c r="A2390" s="1847"/>
      <c r="B2390" s="1847"/>
      <c r="C2390" s="1531"/>
      <c r="D2390" s="2142" t="s">
        <v>7898</v>
      </c>
      <c r="E2390" s="2142"/>
      <c r="F2390" s="2142"/>
      <c r="G2390" s="2142"/>
      <c r="H2390" s="1532">
        <f>H2389+H2386</f>
        <v>14.88</v>
      </c>
    </row>
    <row r="2391" spans="1:13" x14ac:dyDescent="0.25">
      <c r="A2391" s="1514"/>
      <c r="B2391" s="1514"/>
      <c r="C2391" s="1514"/>
      <c r="F2391" s="1533"/>
      <c r="G2391" s="1534"/>
      <c r="H2391" s="1514"/>
    </row>
    <row r="2392" spans="1:13" s="1517" customFormat="1" x14ac:dyDescent="0.25">
      <c r="A2392" s="146" t="s">
        <v>6</v>
      </c>
      <c r="B2392" s="2143" t="s">
        <v>7</v>
      </c>
      <c r="C2392" s="2143"/>
      <c r="D2392" s="1518" t="s">
        <v>121</v>
      </c>
      <c r="E2392" s="278" t="s">
        <v>5282</v>
      </c>
      <c r="F2392" s="1518" t="s">
        <v>31</v>
      </c>
      <c r="G2392" s="1519" t="s">
        <v>122</v>
      </c>
      <c r="H2392" s="1520" t="s">
        <v>123</v>
      </c>
      <c r="I2392" s="1830"/>
      <c r="J2392" s="1795"/>
      <c r="K2392" s="1795"/>
      <c r="L2392" s="169"/>
      <c r="M2392" s="1783"/>
    </row>
    <row r="2393" spans="1:13" s="1526" customFormat="1" ht="60" x14ac:dyDescent="0.2">
      <c r="A2393" s="1885" t="str">
        <f>'Orç - Prédio'!A445</f>
        <v>06.01.255.03</v>
      </c>
      <c r="B2393" s="1885" t="str">
        <f>'Orç - Prédio'!B445</f>
        <v>SCO-RJ</v>
      </c>
      <c r="C2393" s="1885" t="str">
        <f>'Orç - Prédio'!C445</f>
        <v>IP 14 10 0200</v>
      </c>
      <c r="D2393" s="1865" t="s">
        <v>9031</v>
      </c>
      <c r="E2393" s="1866">
        <f>'Orç - Prédio'!E445</f>
        <v>7</v>
      </c>
      <c r="F2393" s="1885" t="s">
        <v>9032</v>
      </c>
      <c r="G2393" s="1524">
        <v>252.36</v>
      </c>
      <c r="H2393" s="1525">
        <f>H2399</f>
        <v>1766.52</v>
      </c>
      <c r="I2393" s="1910" t="s">
        <v>9564</v>
      </c>
      <c r="J2393" s="1793"/>
      <c r="K2393" s="1793"/>
      <c r="L2393" s="141"/>
      <c r="M2393" s="1515"/>
    </row>
    <row r="2394" spans="1:13" s="1859" customFormat="1" ht="30" x14ac:dyDescent="0.2">
      <c r="A2394" s="2144">
        <v>88279</v>
      </c>
      <c r="B2394" s="2144"/>
      <c r="C2394" s="1863" t="s">
        <v>4448</v>
      </c>
      <c r="D2394" s="1862" t="s">
        <v>4302</v>
      </c>
      <c r="E2394" s="1864">
        <v>12</v>
      </c>
      <c r="F2394" s="1884" t="s">
        <v>65</v>
      </c>
      <c r="G2394" s="1860">
        <v>21.03</v>
      </c>
      <c r="H2394" s="1857">
        <f>ROUNDDOWN(G2394*E2394,2)</f>
        <v>252.36</v>
      </c>
      <c r="I2394" s="1856"/>
      <c r="J2394" s="1797"/>
      <c r="K2394" s="1797"/>
      <c r="L2394" s="1784"/>
      <c r="M2394" s="1785"/>
    </row>
    <row r="2395" spans="1:13" s="1517" customFormat="1" x14ac:dyDescent="0.25">
      <c r="A2395" s="1847"/>
      <c r="B2395" s="1847"/>
      <c r="C2395" s="1531"/>
      <c r="D2395" s="2141" t="s">
        <v>124</v>
      </c>
      <c r="E2395" s="2141"/>
      <c r="F2395" s="2141"/>
      <c r="G2395" s="2141"/>
      <c r="H2395" s="267">
        <f>SUMIF(F2394:F2394,("h"),H2394:H2394)</f>
        <v>252.36</v>
      </c>
      <c r="I2395" s="1830"/>
      <c r="J2395" s="1795"/>
      <c r="K2395" s="1795"/>
      <c r="L2395" s="169"/>
      <c r="M2395" s="1783"/>
    </row>
    <row r="2396" spans="1:13" s="1517" customFormat="1" x14ac:dyDescent="0.25">
      <c r="A2396" s="1847"/>
      <c r="B2396" s="1847"/>
      <c r="C2396" s="1531"/>
      <c r="D2396" s="2141" t="s">
        <v>125</v>
      </c>
      <c r="E2396" s="2141"/>
      <c r="F2396" s="2141"/>
      <c r="G2396" s="2141"/>
      <c r="H2396" s="267">
        <f>SUMIF(F2394:F2394,"&lt;&gt;h",H2394:H2394)</f>
        <v>0</v>
      </c>
      <c r="I2396" s="1830"/>
      <c r="J2396" s="1795"/>
      <c r="K2396" s="1795"/>
      <c r="L2396" s="169"/>
      <c r="M2396" s="1783"/>
    </row>
    <row r="2397" spans="1:13" s="1517" customFormat="1" x14ac:dyDescent="0.25">
      <c r="A2397" s="1847"/>
      <c r="B2397" s="1847"/>
      <c r="C2397" s="1531"/>
      <c r="D2397" s="2142" t="s">
        <v>126</v>
      </c>
      <c r="E2397" s="2142"/>
      <c r="F2397" s="2142"/>
      <c r="G2397" s="2142"/>
      <c r="H2397" s="1532">
        <f>SUM(H2395:H2396)</f>
        <v>252.36</v>
      </c>
      <c r="I2397" s="1830"/>
      <c r="J2397" s="1795"/>
      <c r="K2397" s="1795"/>
      <c r="L2397" s="169"/>
      <c r="M2397" s="1783"/>
    </row>
    <row r="2398" spans="1:13" s="1517" customFormat="1" x14ac:dyDescent="0.25">
      <c r="A2398" s="1847"/>
      <c r="B2398" s="1847"/>
      <c r="C2398" s="1531"/>
      <c r="D2398" s="2141" t="s">
        <v>28</v>
      </c>
      <c r="E2398" s="2141"/>
      <c r="F2398" s="2141"/>
      <c r="G2398" s="2141"/>
      <c r="H2398" s="269">
        <f>E2393</f>
        <v>7</v>
      </c>
      <c r="I2398" s="1830"/>
      <c r="J2398" s="1795"/>
      <c r="K2398" s="1795"/>
      <c r="L2398" s="169"/>
      <c r="M2398" s="1783"/>
    </row>
    <row r="2399" spans="1:13" s="1517" customFormat="1" x14ac:dyDescent="0.25">
      <c r="A2399" s="1847"/>
      <c r="B2399" s="1847"/>
      <c r="C2399" s="1531"/>
      <c r="D2399" s="2142" t="s">
        <v>127</v>
      </c>
      <c r="E2399" s="2142"/>
      <c r="F2399" s="2142"/>
      <c r="G2399" s="2142"/>
      <c r="H2399" s="1532">
        <f>ROUND(H2397*H2398,2)</f>
        <v>1766.52</v>
      </c>
      <c r="I2399" s="1830"/>
      <c r="J2399" s="1795"/>
      <c r="K2399" s="1795"/>
      <c r="L2399" s="169"/>
      <c r="M2399" s="1783"/>
    </row>
    <row r="2400" spans="1:13" s="1517" customFormat="1" x14ac:dyDescent="0.25">
      <c r="A2400" s="1847"/>
      <c r="B2400" s="1847"/>
      <c r="C2400" s="1531"/>
      <c r="D2400" s="2141" t="s">
        <v>15335</v>
      </c>
      <c r="E2400" s="2141"/>
      <c r="F2400" s="2141"/>
      <c r="G2400" s="2141"/>
      <c r="H2400" s="267">
        <f>ROUND(H2397*$B$13,2)</f>
        <v>67.959999999999994</v>
      </c>
      <c r="I2400" s="1830"/>
      <c r="J2400" s="1795"/>
      <c r="K2400" s="1795"/>
      <c r="L2400" s="169"/>
      <c r="M2400" s="1783"/>
    </row>
    <row r="2401" spans="1:13" x14ac:dyDescent="0.25">
      <c r="A2401" s="1847"/>
      <c r="B2401" s="1847"/>
      <c r="C2401" s="1531"/>
      <c r="D2401" s="2142" t="s">
        <v>7898</v>
      </c>
      <c r="E2401" s="2142"/>
      <c r="F2401" s="2142"/>
      <c r="G2401" s="2142"/>
      <c r="H2401" s="1532">
        <f>H2400+H2397</f>
        <v>320.32</v>
      </c>
    </row>
    <row r="2402" spans="1:13" x14ac:dyDescent="0.25">
      <c r="A2402" s="1514"/>
      <c r="B2402" s="1514"/>
      <c r="C2402" s="1514"/>
      <c r="F2402" s="1533"/>
      <c r="G2402" s="1534"/>
      <c r="H2402" s="1514"/>
    </row>
    <row r="2403" spans="1:13" s="1517" customFormat="1" x14ac:dyDescent="0.25">
      <c r="A2403" s="146" t="s">
        <v>6</v>
      </c>
      <c r="B2403" s="2143" t="s">
        <v>7</v>
      </c>
      <c r="C2403" s="2143"/>
      <c r="D2403" s="1518" t="s">
        <v>121</v>
      </c>
      <c r="E2403" s="278" t="s">
        <v>5282</v>
      </c>
      <c r="F2403" s="1518" t="s">
        <v>31</v>
      </c>
      <c r="G2403" s="1519" t="s">
        <v>122</v>
      </c>
      <c r="H2403" s="1520" t="s">
        <v>123</v>
      </c>
      <c r="I2403" s="1830"/>
      <c r="J2403" s="1795"/>
      <c r="K2403" s="1795"/>
      <c r="L2403" s="169"/>
      <c r="M2403" s="1783"/>
    </row>
    <row r="2404" spans="1:13" s="1526" customFormat="1" ht="45" x14ac:dyDescent="0.2">
      <c r="A2404" s="1888" t="str">
        <f>'Orç - Prédio'!A446</f>
        <v>06.01.255.04</v>
      </c>
      <c r="B2404" s="1888" t="str">
        <f>'Orç - Prédio'!B446</f>
        <v>ORSE</v>
      </c>
      <c r="C2404" s="1888" t="str">
        <f>'Orç - Prédio'!C446</f>
        <v>4618 INSUMO</v>
      </c>
      <c r="D2404" s="1865" t="s">
        <v>9037</v>
      </c>
      <c r="E2404" s="1888">
        <f>'Orç - Prédio'!E446</f>
        <v>101.54</v>
      </c>
      <c r="F2404" s="1888" t="s">
        <v>5713</v>
      </c>
      <c r="G2404" s="1524">
        <v>16.5</v>
      </c>
      <c r="H2404" s="1525">
        <f>H2410</f>
        <v>1675.41</v>
      </c>
      <c r="I2404" s="1910" t="s">
        <v>14965</v>
      </c>
      <c r="J2404" s="1793"/>
      <c r="K2404" s="1793"/>
      <c r="L2404" s="141"/>
      <c r="M2404" s="1515"/>
    </row>
    <row r="2405" spans="1:13" s="1859" customFormat="1" ht="30" x14ac:dyDescent="0.2">
      <c r="A2405" s="2144">
        <v>4618</v>
      </c>
      <c r="B2405" s="2144"/>
      <c r="C2405" s="1863" t="s">
        <v>5281</v>
      </c>
      <c r="D2405" s="1862" t="s">
        <v>9040</v>
      </c>
      <c r="E2405" s="1864">
        <v>1</v>
      </c>
      <c r="F2405" s="1887" t="s">
        <v>136</v>
      </c>
      <c r="G2405" s="367">
        <v>16.5</v>
      </c>
      <c r="H2405" s="1857">
        <f>ROUNDDOWN(G2405*E2405,2)</f>
        <v>16.5</v>
      </c>
      <c r="I2405" s="1856"/>
      <c r="J2405" s="1797"/>
      <c r="K2405" s="1797"/>
      <c r="L2405" s="1784"/>
      <c r="M2405" s="1785"/>
    </row>
    <row r="2406" spans="1:13" s="1517" customFormat="1" x14ac:dyDescent="0.25">
      <c r="A2406" s="1847"/>
      <c r="B2406" s="1847"/>
      <c r="C2406" s="1531"/>
      <c r="D2406" s="2141" t="s">
        <v>124</v>
      </c>
      <c r="E2406" s="2141"/>
      <c r="F2406" s="2141"/>
      <c r="G2406" s="2141"/>
      <c r="H2406" s="267">
        <f>SUMIF(F2405:F2405,("h"),H2405:H2405)</f>
        <v>0</v>
      </c>
      <c r="I2406" s="1830"/>
      <c r="J2406" s="1795"/>
      <c r="K2406" s="1795"/>
      <c r="L2406" s="169"/>
      <c r="M2406" s="1783"/>
    </row>
    <row r="2407" spans="1:13" s="1517" customFormat="1" x14ac:dyDescent="0.25">
      <c r="A2407" s="1847"/>
      <c r="B2407" s="1847"/>
      <c r="C2407" s="1531"/>
      <c r="D2407" s="2141" t="s">
        <v>125</v>
      </c>
      <c r="E2407" s="2141"/>
      <c r="F2407" s="2141"/>
      <c r="G2407" s="2141"/>
      <c r="H2407" s="267">
        <f>SUMIF(F2405:F2405,"&lt;&gt;h",H2405:H2405)</f>
        <v>16.5</v>
      </c>
      <c r="I2407" s="1830"/>
      <c r="J2407" s="1795"/>
      <c r="K2407" s="1795"/>
      <c r="L2407" s="169"/>
      <c r="M2407" s="1783"/>
    </row>
    <row r="2408" spans="1:13" s="1517" customFormat="1" x14ac:dyDescent="0.25">
      <c r="A2408" s="1847"/>
      <c r="B2408" s="1847"/>
      <c r="C2408" s="1531"/>
      <c r="D2408" s="2142" t="s">
        <v>126</v>
      </c>
      <c r="E2408" s="2142"/>
      <c r="F2408" s="2142"/>
      <c r="G2408" s="2142"/>
      <c r="H2408" s="1532">
        <f>SUM(H2406:H2407)</f>
        <v>16.5</v>
      </c>
      <c r="I2408" s="1830"/>
      <c r="J2408" s="1795"/>
      <c r="K2408" s="1795"/>
      <c r="L2408" s="169"/>
      <c r="M2408" s="1783"/>
    </row>
    <row r="2409" spans="1:13" s="1517" customFormat="1" x14ac:dyDescent="0.25">
      <c r="A2409" s="1847"/>
      <c r="B2409" s="1847"/>
      <c r="C2409" s="1531"/>
      <c r="D2409" s="2141" t="s">
        <v>28</v>
      </c>
      <c r="E2409" s="2141"/>
      <c r="F2409" s="2141"/>
      <c r="G2409" s="2141"/>
      <c r="H2409" s="269">
        <f>E2404</f>
        <v>101.54</v>
      </c>
      <c r="I2409" s="1830"/>
      <c r="J2409" s="1795"/>
      <c r="K2409" s="1795"/>
      <c r="L2409" s="169"/>
      <c r="M2409" s="1783"/>
    </row>
    <row r="2410" spans="1:13" s="1517" customFormat="1" x14ac:dyDescent="0.25">
      <c r="A2410" s="1847"/>
      <c r="B2410" s="1847"/>
      <c r="C2410" s="1531"/>
      <c r="D2410" s="2142" t="s">
        <v>127</v>
      </c>
      <c r="E2410" s="2142"/>
      <c r="F2410" s="2142"/>
      <c r="G2410" s="2142"/>
      <c r="H2410" s="1532">
        <f>ROUND(H2408*H2409,2)</f>
        <v>1675.41</v>
      </c>
      <c r="I2410" s="1830"/>
      <c r="J2410" s="1795"/>
      <c r="K2410" s="1795"/>
      <c r="L2410" s="169"/>
      <c r="M2410" s="1783"/>
    </row>
    <row r="2411" spans="1:13" s="1517" customFormat="1" x14ac:dyDescent="0.25">
      <c r="A2411" s="1847"/>
      <c r="B2411" s="1847"/>
      <c r="C2411" s="1531"/>
      <c r="D2411" s="2141" t="s">
        <v>15335</v>
      </c>
      <c r="E2411" s="2141"/>
      <c r="F2411" s="2141"/>
      <c r="G2411" s="2141"/>
      <c r="H2411" s="267">
        <f>ROUND(H2408*$B$13,2)</f>
        <v>4.4400000000000004</v>
      </c>
      <c r="I2411" s="1830"/>
      <c r="J2411" s="1795"/>
      <c r="K2411" s="1795"/>
      <c r="L2411" s="169"/>
      <c r="M2411" s="1783"/>
    </row>
    <row r="2412" spans="1:13" x14ac:dyDescent="0.25">
      <c r="A2412" s="1847"/>
      <c r="B2412" s="1847"/>
      <c r="C2412" s="1531"/>
      <c r="D2412" s="2142" t="s">
        <v>7898</v>
      </c>
      <c r="E2412" s="2142"/>
      <c r="F2412" s="2142"/>
      <c r="G2412" s="2142"/>
      <c r="H2412" s="1532">
        <f>H2411+H2408</f>
        <v>20.94</v>
      </c>
    </row>
    <row r="2413" spans="1:13" x14ac:dyDescent="0.25">
      <c r="A2413" s="1514"/>
      <c r="B2413" s="1514"/>
      <c r="C2413" s="1514"/>
      <c r="F2413" s="1533"/>
      <c r="G2413" s="1534"/>
      <c r="H2413" s="1514"/>
    </row>
    <row r="2414" spans="1:13" s="1517" customFormat="1" x14ac:dyDescent="0.25">
      <c r="A2414" s="146" t="s">
        <v>6</v>
      </c>
      <c r="B2414" s="2143" t="s">
        <v>7</v>
      </c>
      <c r="C2414" s="2143"/>
      <c r="D2414" s="1518" t="s">
        <v>121</v>
      </c>
      <c r="E2414" s="278" t="s">
        <v>5282</v>
      </c>
      <c r="F2414" s="1518" t="s">
        <v>31</v>
      </c>
      <c r="G2414" s="1519" t="s">
        <v>122</v>
      </c>
      <c r="H2414" s="1520" t="s">
        <v>123</v>
      </c>
      <c r="I2414" s="1830"/>
      <c r="J2414" s="1795"/>
      <c r="K2414" s="1795"/>
      <c r="L2414" s="169"/>
      <c r="M2414" s="1783"/>
    </row>
    <row r="2415" spans="1:13" s="1526" customFormat="1" ht="60" x14ac:dyDescent="0.2">
      <c r="A2415" s="1888" t="str">
        <f>'Orç - Prédio'!A447</f>
        <v>06.01.255.05</v>
      </c>
      <c r="B2415" s="1888" t="str">
        <f>'Orç - Prédio'!B447</f>
        <v>SCO-RJ</v>
      </c>
      <c r="C2415" s="1888" t="str">
        <f>'Orç - Prédio'!C447</f>
        <v>IP 14 05 0350</v>
      </c>
      <c r="D2415" s="1865" t="s">
        <v>14981</v>
      </c>
      <c r="E2415" s="1866">
        <f>'Orç - Prédio'!E447</f>
        <v>4</v>
      </c>
      <c r="F2415" s="1888" t="s">
        <v>9032</v>
      </c>
      <c r="G2415" s="1524">
        <v>210.3</v>
      </c>
      <c r="H2415" s="1525">
        <f>H2421</f>
        <v>841.2</v>
      </c>
      <c r="I2415" s="1910" t="s">
        <v>9564</v>
      </c>
      <c r="J2415" s="1793"/>
      <c r="K2415" s="1793"/>
      <c r="L2415" s="141"/>
      <c r="M2415" s="1515"/>
    </row>
    <row r="2416" spans="1:13" s="1859" customFormat="1" ht="30" x14ac:dyDescent="0.2">
      <c r="A2416" s="2144">
        <v>88279</v>
      </c>
      <c r="B2416" s="2144"/>
      <c r="C2416" s="1863" t="s">
        <v>4448</v>
      </c>
      <c r="D2416" s="1862" t="s">
        <v>4302</v>
      </c>
      <c r="E2416" s="1864">
        <v>10</v>
      </c>
      <c r="F2416" s="1887" t="s">
        <v>65</v>
      </c>
      <c r="G2416" s="1860">
        <v>21.03</v>
      </c>
      <c r="H2416" s="1857">
        <f>ROUNDDOWN(G2416*E2416,2)</f>
        <v>210.3</v>
      </c>
      <c r="I2416" s="1856"/>
      <c r="J2416" s="1797"/>
      <c r="K2416" s="1797"/>
      <c r="L2416" s="1784"/>
      <c r="M2416" s="1785"/>
    </row>
    <row r="2417" spans="1:13" s="1517" customFormat="1" x14ac:dyDescent="0.25">
      <c r="A2417" s="1847"/>
      <c r="B2417" s="1847"/>
      <c r="C2417" s="1531"/>
      <c r="D2417" s="2141" t="s">
        <v>124</v>
      </c>
      <c r="E2417" s="2141"/>
      <c r="F2417" s="2141"/>
      <c r="G2417" s="2141"/>
      <c r="H2417" s="267">
        <f>SUMIF(F2416:F2416,("h"),H2416:H2416)</f>
        <v>210.3</v>
      </c>
      <c r="I2417" s="1830"/>
      <c r="J2417" s="1795"/>
      <c r="K2417" s="1795"/>
      <c r="L2417" s="169"/>
      <c r="M2417" s="1783"/>
    </row>
    <row r="2418" spans="1:13" s="1517" customFormat="1" x14ac:dyDescent="0.25">
      <c r="A2418" s="1847"/>
      <c r="B2418" s="1847"/>
      <c r="C2418" s="1531"/>
      <c r="D2418" s="2141" t="s">
        <v>125</v>
      </c>
      <c r="E2418" s="2141"/>
      <c r="F2418" s="2141"/>
      <c r="G2418" s="2141"/>
      <c r="H2418" s="267">
        <f>SUMIF(F2416:F2416,"&lt;&gt;h",H2416:H2416)</f>
        <v>0</v>
      </c>
      <c r="I2418" s="1830"/>
      <c r="J2418" s="1795"/>
      <c r="K2418" s="1795"/>
      <c r="L2418" s="169"/>
      <c r="M2418" s="1783"/>
    </row>
    <row r="2419" spans="1:13" s="1517" customFormat="1" x14ac:dyDescent="0.25">
      <c r="A2419" s="1847"/>
      <c r="B2419" s="1847"/>
      <c r="C2419" s="1531"/>
      <c r="D2419" s="2142" t="s">
        <v>126</v>
      </c>
      <c r="E2419" s="2142"/>
      <c r="F2419" s="2142"/>
      <c r="G2419" s="2142"/>
      <c r="H2419" s="1532">
        <f>SUM(H2417:H2418)</f>
        <v>210.3</v>
      </c>
      <c r="I2419" s="1830"/>
      <c r="J2419" s="1795"/>
      <c r="K2419" s="1795"/>
      <c r="L2419" s="169"/>
      <c r="M2419" s="1783"/>
    </row>
    <row r="2420" spans="1:13" s="1517" customFormat="1" x14ac:dyDescent="0.25">
      <c r="A2420" s="1847"/>
      <c r="B2420" s="1847"/>
      <c r="C2420" s="1531"/>
      <c r="D2420" s="2141" t="s">
        <v>28</v>
      </c>
      <c r="E2420" s="2141"/>
      <c r="F2420" s="2141"/>
      <c r="G2420" s="2141"/>
      <c r="H2420" s="269">
        <f>E2415</f>
        <v>4</v>
      </c>
      <c r="I2420" s="1830"/>
      <c r="J2420" s="1795"/>
      <c r="K2420" s="1795"/>
      <c r="L2420" s="169"/>
      <c r="M2420" s="1783"/>
    </row>
    <row r="2421" spans="1:13" s="1517" customFormat="1" x14ac:dyDescent="0.25">
      <c r="A2421" s="1847"/>
      <c r="B2421" s="1847"/>
      <c r="C2421" s="1531"/>
      <c r="D2421" s="2142" t="s">
        <v>127</v>
      </c>
      <c r="E2421" s="2142"/>
      <c r="F2421" s="2142"/>
      <c r="G2421" s="2142"/>
      <c r="H2421" s="1532">
        <f>ROUND(H2419*H2420,2)</f>
        <v>841.2</v>
      </c>
      <c r="I2421" s="1830"/>
      <c r="J2421" s="1795"/>
      <c r="K2421" s="1795"/>
      <c r="L2421" s="169"/>
      <c r="M2421" s="1783"/>
    </row>
    <row r="2422" spans="1:13" s="1517" customFormat="1" x14ac:dyDescent="0.25">
      <c r="A2422" s="1847"/>
      <c r="B2422" s="1847"/>
      <c r="C2422" s="1531"/>
      <c r="D2422" s="2141" t="s">
        <v>15335</v>
      </c>
      <c r="E2422" s="2141"/>
      <c r="F2422" s="2141"/>
      <c r="G2422" s="2141"/>
      <c r="H2422" s="267">
        <f>ROUND(H2419*$B$13,2)</f>
        <v>56.63</v>
      </c>
      <c r="I2422" s="1830"/>
      <c r="J2422" s="1795"/>
      <c r="K2422" s="1795"/>
      <c r="L2422" s="169"/>
      <c r="M2422" s="1783"/>
    </row>
    <row r="2423" spans="1:13" x14ac:dyDescent="0.25">
      <c r="A2423" s="1847"/>
      <c r="B2423" s="1847"/>
      <c r="C2423" s="1531"/>
      <c r="D2423" s="2142" t="s">
        <v>7898</v>
      </c>
      <c r="E2423" s="2142"/>
      <c r="F2423" s="2142"/>
      <c r="G2423" s="2142"/>
      <c r="H2423" s="1532">
        <f>H2422+H2419</f>
        <v>266.93</v>
      </c>
    </row>
    <row r="2424" spans="1:13" x14ac:dyDescent="0.25">
      <c r="A2424" s="1514"/>
      <c r="B2424" s="1514"/>
      <c r="C2424" s="1514"/>
      <c r="F2424" s="1533"/>
      <c r="G2424" s="1534"/>
      <c r="H2424" s="1514"/>
    </row>
    <row r="2425" spans="1:13" s="1517" customFormat="1" x14ac:dyDescent="0.25">
      <c r="A2425" s="146" t="s">
        <v>6</v>
      </c>
      <c r="B2425" s="2143" t="s">
        <v>7</v>
      </c>
      <c r="C2425" s="2143"/>
      <c r="D2425" s="1518" t="s">
        <v>121</v>
      </c>
      <c r="E2425" s="278" t="s">
        <v>5282</v>
      </c>
      <c r="F2425" s="1518" t="s">
        <v>31</v>
      </c>
      <c r="G2425" s="1519" t="s">
        <v>122</v>
      </c>
      <c r="H2425" s="1520" t="s">
        <v>123</v>
      </c>
      <c r="I2425" s="1830"/>
      <c r="J2425" s="1795"/>
      <c r="K2425" s="1795"/>
      <c r="L2425" s="169"/>
      <c r="M2425" s="1783"/>
    </row>
    <row r="2426" spans="1:13" s="1526" customFormat="1" ht="30" x14ac:dyDescent="0.2">
      <c r="A2426" s="1888" t="str">
        <f>'Orç - Prédio'!A448</f>
        <v>06.01.255.06</v>
      </c>
      <c r="B2426" s="1888" t="str">
        <f>'Orç - Prédio'!B448</f>
        <v>ORSE</v>
      </c>
      <c r="C2426" s="1888" t="str">
        <f>'Orç - Prédio'!C448</f>
        <v>391 INSUMO</v>
      </c>
      <c r="D2426" s="1865" t="s">
        <v>9044</v>
      </c>
      <c r="E2426" s="1888">
        <f>'Orç - Prédio'!E448</f>
        <v>7.22</v>
      </c>
      <c r="F2426" s="1888" t="s">
        <v>5688</v>
      </c>
      <c r="G2426" s="1524">
        <v>6.45</v>
      </c>
      <c r="H2426" s="1525">
        <f>H2432</f>
        <v>46.57</v>
      </c>
      <c r="I2426" s="1910" t="s">
        <v>14965</v>
      </c>
      <c r="J2426" s="1793"/>
      <c r="K2426" s="1793"/>
      <c r="L2426" s="141"/>
      <c r="M2426" s="1515"/>
    </row>
    <row r="2427" spans="1:13" s="1859" customFormat="1" x14ac:dyDescent="0.2">
      <c r="A2427" s="2144">
        <v>391</v>
      </c>
      <c r="B2427" s="2144"/>
      <c r="C2427" s="1863" t="s">
        <v>5281</v>
      </c>
      <c r="D2427" s="1862" t="s">
        <v>9045</v>
      </c>
      <c r="E2427" s="1864">
        <v>1</v>
      </c>
      <c r="F2427" s="1887" t="s">
        <v>305</v>
      </c>
      <c r="G2427" s="367">
        <v>6.45</v>
      </c>
      <c r="H2427" s="1857">
        <f>ROUNDDOWN(G2427*E2427,2)</f>
        <v>6.45</v>
      </c>
      <c r="I2427" s="1856"/>
      <c r="J2427" s="1797"/>
      <c r="K2427" s="1797"/>
      <c r="L2427" s="1784"/>
      <c r="M2427" s="1785"/>
    </row>
    <row r="2428" spans="1:13" s="1517" customFormat="1" x14ac:dyDescent="0.25">
      <c r="A2428" s="1847"/>
      <c r="B2428" s="1847"/>
      <c r="C2428" s="1531"/>
      <c r="D2428" s="2141" t="s">
        <v>124</v>
      </c>
      <c r="E2428" s="2141"/>
      <c r="F2428" s="2141"/>
      <c r="G2428" s="2141"/>
      <c r="H2428" s="267">
        <f>SUMIF(F2427:F2427,("h"),H2427:H2427)</f>
        <v>0</v>
      </c>
      <c r="I2428" s="1830"/>
      <c r="J2428" s="1795"/>
      <c r="K2428" s="1795"/>
      <c r="L2428" s="169"/>
      <c r="M2428" s="1783"/>
    </row>
    <row r="2429" spans="1:13" s="1517" customFormat="1" x14ac:dyDescent="0.25">
      <c r="A2429" s="1847"/>
      <c r="B2429" s="1847"/>
      <c r="C2429" s="1531"/>
      <c r="D2429" s="2141" t="s">
        <v>125</v>
      </c>
      <c r="E2429" s="2141"/>
      <c r="F2429" s="2141"/>
      <c r="G2429" s="2141"/>
      <c r="H2429" s="267">
        <f>SUMIF(F2427:F2427,"&lt;&gt;h",H2427:H2427)</f>
        <v>6.45</v>
      </c>
      <c r="I2429" s="1830"/>
      <c r="J2429" s="1795"/>
      <c r="K2429" s="1795"/>
      <c r="L2429" s="169"/>
      <c r="M2429" s="1783"/>
    </row>
    <row r="2430" spans="1:13" s="1517" customFormat="1" x14ac:dyDescent="0.25">
      <c r="A2430" s="1847"/>
      <c r="B2430" s="1847"/>
      <c r="C2430" s="1531"/>
      <c r="D2430" s="2142" t="s">
        <v>126</v>
      </c>
      <c r="E2430" s="2142"/>
      <c r="F2430" s="2142"/>
      <c r="G2430" s="2142"/>
      <c r="H2430" s="1532">
        <f>SUM(H2428:H2429)</f>
        <v>6.45</v>
      </c>
      <c r="I2430" s="1830"/>
      <c r="J2430" s="1795"/>
      <c r="K2430" s="1795"/>
      <c r="L2430" s="169"/>
      <c r="M2430" s="1783"/>
    </row>
    <row r="2431" spans="1:13" s="1517" customFormat="1" x14ac:dyDescent="0.25">
      <c r="A2431" s="1847"/>
      <c r="B2431" s="1847"/>
      <c r="C2431" s="1531"/>
      <c r="D2431" s="2141" t="s">
        <v>28</v>
      </c>
      <c r="E2431" s="2141"/>
      <c r="F2431" s="2141"/>
      <c r="G2431" s="2141"/>
      <c r="H2431" s="269">
        <f>E2426</f>
        <v>7.22</v>
      </c>
      <c r="I2431" s="1830"/>
      <c r="J2431" s="1795"/>
      <c r="K2431" s="1795"/>
      <c r="L2431" s="169"/>
      <c r="M2431" s="1783"/>
    </row>
    <row r="2432" spans="1:13" s="1517" customFormat="1" x14ac:dyDescent="0.25">
      <c r="A2432" s="1847"/>
      <c r="B2432" s="1847"/>
      <c r="C2432" s="1531"/>
      <c r="D2432" s="2142" t="s">
        <v>127</v>
      </c>
      <c r="E2432" s="2142"/>
      <c r="F2432" s="2142"/>
      <c r="G2432" s="2142"/>
      <c r="H2432" s="1532">
        <f>ROUND(H2430*H2431,2)</f>
        <v>46.57</v>
      </c>
      <c r="I2432" s="1830"/>
      <c r="J2432" s="1795"/>
      <c r="K2432" s="1795"/>
      <c r="L2432" s="169"/>
      <c r="M2432" s="1783"/>
    </row>
    <row r="2433" spans="1:13" s="1517" customFormat="1" x14ac:dyDescent="0.25">
      <c r="A2433" s="1847"/>
      <c r="B2433" s="1847"/>
      <c r="C2433" s="1531"/>
      <c r="D2433" s="2141" t="s">
        <v>15335</v>
      </c>
      <c r="E2433" s="2141"/>
      <c r="F2433" s="2141"/>
      <c r="G2433" s="2141"/>
      <c r="H2433" s="267">
        <f>ROUND(H2430*$B$13,2)</f>
        <v>1.74</v>
      </c>
      <c r="I2433" s="1830"/>
      <c r="J2433" s="1795"/>
      <c r="K2433" s="1795"/>
      <c r="L2433" s="169"/>
      <c r="M2433" s="1783"/>
    </row>
    <row r="2434" spans="1:13" x14ac:dyDescent="0.25">
      <c r="A2434" s="1847"/>
      <c r="B2434" s="1847"/>
      <c r="C2434" s="1531"/>
      <c r="D2434" s="2142" t="s">
        <v>7898</v>
      </c>
      <c r="E2434" s="2142"/>
      <c r="F2434" s="2142"/>
      <c r="G2434" s="2142"/>
      <c r="H2434" s="1532">
        <f>H2433+H2430</f>
        <v>8.19</v>
      </c>
    </row>
    <row r="2435" spans="1:13" x14ac:dyDescent="0.25">
      <c r="A2435" s="1514"/>
      <c r="B2435" s="1514"/>
      <c r="C2435" s="1514"/>
      <c r="F2435" s="1533"/>
      <c r="G2435" s="1534"/>
      <c r="H2435" s="1514"/>
    </row>
    <row r="2436" spans="1:13" s="1517" customFormat="1" x14ac:dyDescent="0.25">
      <c r="A2436" s="146" t="s">
        <v>6</v>
      </c>
      <c r="B2436" s="2143" t="s">
        <v>7</v>
      </c>
      <c r="C2436" s="2143"/>
      <c r="D2436" s="1518" t="s">
        <v>121</v>
      </c>
      <c r="E2436" s="278" t="s">
        <v>5282</v>
      </c>
      <c r="F2436" s="1518" t="s">
        <v>31</v>
      </c>
      <c r="G2436" s="1519" t="s">
        <v>122</v>
      </c>
      <c r="H2436" s="1520" t="s">
        <v>123</v>
      </c>
      <c r="I2436" s="1830"/>
      <c r="J2436" s="1795"/>
      <c r="K2436" s="1795"/>
      <c r="L2436" s="169"/>
      <c r="M2436" s="1783"/>
    </row>
    <row r="2437" spans="1:13" s="1526" customFormat="1" ht="45" x14ac:dyDescent="0.2">
      <c r="A2437" s="1888" t="str">
        <f>'Orç - Prédio'!A449</f>
        <v>06.01.255.07</v>
      </c>
      <c r="B2437" s="1919" t="str">
        <f>'Orç - Prédio'!B449</f>
        <v>CPOS</v>
      </c>
      <c r="C2437" s="1919" t="str">
        <f>'Orç - Prédio'!C449</f>
        <v>39.26.120</v>
      </c>
      <c r="D2437" s="1865" t="s">
        <v>9048</v>
      </c>
      <c r="E2437" s="1866">
        <f>'Orç - Prédio'!E449</f>
        <v>1263.2</v>
      </c>
      <c r="F2437" s="1919" t="s">
        <v>5713</v>
      </c>
      <c r="G2437" s="1524">
        <v>71.69</v>
      </c>
      <c r="H2437" s="1525">
        <f>H2445</f>
        <v>90558.81</v>
      </c>
      <c r="I2437" s="1910" t="s">
        <v>9564</v>
      </c>
      <c r="J2437" s="1793"/>
      <c r="K2437" s="1793"/>
      <c r="L2437" s="141"/>
      <c r="M2437" s="1515"/>
    </row>
    <row r="2438" spans="1:13" s="1859" customFormat="1" ht="60" x14ac:dyDescent="0.2">
      <c r="A2438" s="2144" t="s">
        <v>9049</v>
      </c>
      <c r="B2438" s="2144"/>
      <c r="C2438" s="1863" t="s">
        <v>5696</v>
      </c>
      <c r="D2438" s="1497" t="s">
        <v>9050</v>
      </c>
      <c r="E2438" s="1864">
        <v>1.02</v>
      </c>
      <c r="F2438" s="1887" t="s">
        <v>136</v>
      </c>
      <c r="G2438" s="367">
        <v>57.83</v>
      </c>
      <c r="H2438" s="1857">
        <f>ROUNDDOWN(G2438*E2438,2)</f>
        <v>58.98</v>
      </c>
      <c r="I2438" s="1856"/>
      <c r="J2438" s="1797"/>
      <c r="K2438" s="1797"/>
      <c r="L2438" s="1784"/>
      <c r="M2438" s="1785"/>
    </row>
    <row r="2439" spans="1:13" s="1859" customFormat="1" ht="31.5" customHeight="1" x14ac:dyDescent="0.2">
      <c r="A2439" s="2144">
        <v>88247</v>
      </c>
      <c r="B2439" s="2144"/>
      <c r="C2439" s="1863" t="s">
        <v>4448</v>
      </c>
      <c r="D2439" s="1862" t="s">
        <v>71</v>
      </c>
      <c r="E2439" s="1864">
        <v>0.35</v>
      </c>
      <c r="F2439" s="1887" t="s">
        <v>65</v>
      </c>
      <c r="G2439" s="1860">
        <v>16.02</v>
      </c>
      <c r="H2439" s="1857">
        <f>ROUNDDOWN(G2439*E2439,2)</f>
        <v>5.6</v>
      </c>
      <c r="I2439" s="1856"/>
      <c r="J2439" s="1797"/>
      <c r="K2439" s="1797"/>
      <c r="L2439" s="1784"/>
      <c r="M2439" s="1785"/>
    </row>
    <row r="2440" spans="1:13" s="1859" customFormat="1" ht="30" x14ac:dyDescent="0.2">
      <c r="A2440" s="2144">
        <v>88264</v>
      </c>
      <c r="B2440" s="2144"/>
      <c r="C2440" s="1863" t="s">
        <v>4448</v>
      </c>
      <c r="D2440" s="1862" t="s">
        <v>81</v>
      </c>
      <c r="E2440" s="1864">
        <v>0.35</v>
      </c>
      <c r="F2440" s="1887" t="s">
        <v>65</v>
      </c>
      <c r="G2440" s="1860">
        <v>20.329999999999998</v>
      </c>
      <c r="H2440" s="1857">
        <f>ROUNDDOWN(G2440*E2440,2)</f>
        <v>7.11</v>
      </c>
      <c r="I2440" s="1856"/>
      <c r="J2440" s="1797"/>
      <c r="K2440" s="1797"/>
      <c r="L2440" s="1784"/>
      <c r="M2440" s="1785"/>
    </row>
    <row r="2441" spans="1:13" s="1517" customFormat="1" x14ac:dyDescent="0.25">
      <c r="A2441" s="1847"/>
      <c r="B2441" s="1847"/>
      <c r="C2441" s="1531"/>
      <c r="D2441" s="2141" t="s">
        <v>124</v>
      </c>
      <c r="E2441" s="2141"/>
      <c r="F2441" s="2141"/>
      <c r="G2441" s="2141"/>
      <c r="H2441" s="267">
        <f>SUMIF(F2438:F2440,("h"),H2438:H2440)</f>
        <v>12.71</v>
      </c>
      <c r="I2441" s="1830"/>
      <c r="J2441" s="1795"/>
      <c r="K2441" s="1795"/>
      <c r="L2441" s="169"/>
      <c r="M2441" s="1783"/>
    </row>
    <row r="2442" spans="1:13" s="1517" customFormat="1" x14ac:dyDescent="0.25">
      <c r="A2442" s="1847"/>
      <c r="B2442" s="1847"/>
      <c r="C2442" s="1531"/>
      <c r="D2442" s="2141" t="s">
        <v>125</v>
      </c>
      <c r="E2442" s="2141"/>
      <c r="F2442" s="2141"/>
      <c r="G2442" s="2141"/>
      <c r="H2442" s="267">
        <f>SUMIF(F2438:F2440,"&lt;&gt;h",H2438:H2440)</f>
        <v>58.98</v>
      </c>
      <c r="I2442" s="1830"/>
      <c r="J2442" s="1795"/>
      <c r="K2442" s="1795"/>
      <c r="L2442" s="169"/>
      <c r="M2442" s="1783"/>
    </row>
    <row r="2443" spans="1:13" s="1517" customFormat="1" x14ac:dyDescent="0.25">
      <c r="A2443" s="1847"/>
      <c r="B2443" s="1847"/>
      <c r="C2443" s="1531"/>
      <c r="D2443" s="2142" t="s">
        <v>126</v>
      </c>
      <c r="E2443" s="2142"/>
      <c r="F2443" s="2142"/>
      <c r="G2443" s="2142"/>
      <c r="H2443" s="1532">
        <f>SUM(H2441:H2442)</f>
        <v>71.69</v>
      </c>
      <c r="I2443" s="1830"/>
      <c r="J2443" s="1795"/>
      <c r="K2443" s="1795"/>
      <c r="L2443" s="169"/>
      <c r="M2443" s="1783"/>
    </row>
    <row r="2444" spans="1:13" s="1517" customFormat="1" x14ac:dyDescent="0.25">
      <c r="A2444" s="1847"/>
      <c r="B2444" s="1847"/>
      <c r="C2444" s="1531"/>
      <c r="D2444" s="2141" t="s">
        <v>28</v>
      </c>
      <c r="E2444" s="2141"/>
      <c r="F2444" s="2141"/>
      <c r="G2444" s="2141"/>
      <c r="H2444" s="269">
        <f>E2437</f>
        <v>1263.2</v>
      </c>
      <c r="I2444" s="1830"/>
      <c r="J2444" s="1795"/>
      <c r="K2444" s="1795"/>
      <c r="L2444" s="169"/>
      <c r="M2444" s="1783"/>
    </row>
    <row r="2445" spans="1:13" s="1517" customFormat="1" x14ac:dyDescent="0.25">
      <c r="A2445" s="1847"/>
      <c r="B2445" s="1847"/>
      <c r="C2445" s="1531"/>
      <c r="D2445" s="2142" t="s">
        <v>127</v>
      </c>
      <c r="E2445" s="2142"/>
      <c r="F2445" s="2142"/>
      <c r="G2445" s="2142"/>
      <c r="H2445" s="1532">
        <f>ROUND(H2443*H2444,2)</f>
        <v>90558.81</v>
      </c>
      <c r="I2445" s="1830"/>
      <c r="J2445" s="1795"/>
      <c r="K2445" s="1795"/>
      <c r="L2445" s="169"/>
      <c r="M2445" s="1783"/>
    </row>
    <row r="2446" spans="1:13" s="1517" customFormat="1" x14ac:dyDescent="0.25">
      <c r="A2446" s="1847"/>
      <c r="B2446" s="1847"/>
      <c r="C2446" s="1531"/>
      <c r="D2446" s="2141" t="s">
        <v>15335</v>
      </c>
      <c r="E2446" s="2141"/>
      <c r="F2446" s="2141"/>
      <c r="G2446" s="2141"/>
      <c r="H2446" s="267">
        <f>ROUND(H2443*$B$13,2)</f>
        <v>19.309999999999999</v>
      </c>
      <c r="I2446" s="1830"/>
      <c r="J2446" s="1795"/>
      <c r="K2446" s="1795"/>
      <c r="L2446" s="169"/>
      <c r="M2446" s="1783"/>
    </row>
    <row r="2447" spans="1:13" x14ac:dyDescent="0.25">
      <c r="A2447" s="1847"/>
      <c r="B2447" s="1847"/>
      <c r="C2447" s="1531"/>
      <c r="D2447" s="2142" t="s">
        <v>7898</v>
      </c>
      <c r="E2447" s="2142"/>
      <c r="F2447" s="2142"/>
      <c r="G2447" s="2142"/>
      <c r="H2447" s="1532">
        <f>H2446+H2443</f>
        <v>91</v>
      </c>
    </row>
    <row r="2448" spans="1:13" s="1517" customFormat="1" x14ac:dyDescent="0.25">
      <c r="A2448" s="146" t="s">
        <v>6</v>
      </c>
      <c r="B2448" s="2143" t="s">
        <v>7</v>
      </c>
      <c r="C2448" s="2143"/>
      <c r="D2448" s="1518" t="s">
        <v>121</v>
      </c>
      <c r="E2448" s="278" t="s">
        <v>5282</v>
      </c>
      <c r="F2448" s="1518" t="s">
        <v>31</v>
      </c>
      <c r="G2448" s="1519" t="s">
        <v>122</v>
      </c>
      <c r="H2448" s="1520" t="s">
        <v>123</v>
      </c>
      <c r="I2448" s="1830"/>
      <c r="J2448" s="1795"/>
      <c r="K2448" s="1795"/>
      <c r="L2448" s="169"/>
      <c r="M2448" s="1783"/>
    </row>
    <row r="2449" spans="1:13" s="1526" customFormat="1" ht="30" x14ac:dyDescent="0.2">
      <c r="A2449" s="1521" t="str">
        <f>'Orç - Prédio'!A454</f>
        <v>06.01.262.01</v>
      </c>
      <c r="B2449" s="1888" t="str">
        <f>'Orç - Prédio'!B454</f>
        <v>ORSE</v>
      </c>
      <c r="C2449" s="1888" t="str">
        <f>'Orç - Prédio'!C454</f>
        <v>11201 INSUMO</v>
      </c>
      <c r="D2449" s="1865" t="s">
        <v>9060</v>
      </c>
      <c r="E2449" s="1866">
        <f>'Orç - Prédio'!E454</f>
        <v>65.95</v>
      </c>
      <c r="F2449" s="1888" t="s">
        <v>5713</v>
      </c>
      <c r="G2449" s="1524">
        <v>1.43</v>
      </c>
      <c r="H2449" s="1525">
        <f>H2455</f>
        <v>94.31</v>
      </c>
      <c r="I2449" s="1910" t="s">
        <v>14965</v>
      </c>
      <c r="J2449" s="1793"/>
      <c r="K2449" s="1793"/>
      <c r="L2449" s="141"/>
      <c r="M2449" s="1515"/>
    </row>
    <row r="2450" spans="1:13" s="156" customFormat="1" ht="30" x14ac:dyDescent="0.2">
      <c r="A2450" s="2144">
        <v>11201</v>
      </c>
      <c r="B2450" s="2144"/>
      <c r="C2450" s="1516" t="s">
        <v>5281</v>
      </c>
      <c r="D2450" s="182" t="s">
        <v>9063</v>
      </c>
      <c r="E2450" s="1527">
        <v>1</v>
      </c>
      <c r="F2450" s="1617" t="s">
        <v>136</v>
      </c>
      <c r="G2450" s="367">
        <v>1.43</v>
      </c>
      <c r="H2450" s="1530">
        <f>ROUNDDOWN(G2450*E2450,2)</f>
        <v>1.43</v>
      </c>
      <c r="I2450" s="1642"/>
      <c r="J2450" s="1797"/>
      <c r="K2450" s="1797"/>
      <c r="L2450" s="1784"/>
      <c r="M2450" s="1785"/>
    </row>
    <row r="2451" spans="1:13" s="1517" customFormat="1" x14ac:dyDescent="0.25">
      <c r="A2451" s="179"/>
      <c r="B2451" s="179"/>
      <c r="C2451" s="1531"/>
      <c r="D2451" s="2141" t="s">
        <v>124</v>
      </c>
      <c r="E2451" s="2141"/>
      <c r="F2451" s="2141"/>
      <c r="G2451" s="2141"/>
      <c r="H2451" s="267">
        <f>SUMIF(F2450:F2450,("h"),H2450:H2450)</f>
        <v>0</v>
      </c>
      <c r="I2451" s="1830"/>
      <c r="J2451" s="1795"/>
      <c r="K2451" s="1795"/>
      <c r="L2451" s="169"/>
      <c r="M2451" s="1783"/>
    </row>
    <row r="2452" spans="1:13" s="1517" customFormat="1" x14ac:dyDescent="0.25">
      <c r="A2452" s="179"/>
      <c r="B2452" s="179"/>
      <c r="C2452" s="1531"/>
      <c r="D2452" s="2141" t="s">
        <v>125</v>
      </c>
      <c r="E2452" s="2141"/>
      <c r="F2452" s="2141"/>
      <c r="G2452" s="2141"/>
      <c r="H2452" s="267">
        <f>SUMIF(F2450:F2450,"&lt;&gt;h",H2450:H2450)</f>
        <v>1.43</v>
      </c>
      <c r="I2452" s="1830"/>
      <c r="J2452" s="1795"/>
      <c r="K2452" s="1795"/>
      <c r="L2452" s="169"/>
      <c r="M2452" s="1783"/>
    </row>
    <row r="2453" spans="1:13" s="1517" customFormat="1" x14ac:dyDescent="0.25">
      <c r="A2453" s="179"/>
      <c r="B2453" s="179"/>
      <c r="C2453" s="1531"/>
      <c r="D2453" s="2142" t="s">
        <v>126</v>
      </c>
      <c r="E2453" s="2142"/>
      <c r="F2453" s="2142"/>
      <c r="G2453" s="2142"/>
      <c r="H2453" s="1532">
        <f>SUM(H2451:H2452)</f>
        <v>1.43</v>
      </c>
      <c r="I2453" s="1830"/>
      <c r="J2453" s="1795"/>
      <c r="K2453" s="1795"/>
      <c r="L2453" s="169"/>
      <c r="M2453" s="1783"/>
    </row>
    <row r="2454" spans="1:13" s="1517" customFormat="1" x14ac:dyDescent="0.25">
      <c r="A2454" s="179"/>
      <c r="B2454" s="179"/>
      <c r="C2454" s="1531"/>
      <c r="D2454" s="2141" t="s">
        <v>28</v>
      </c>
      <c r="E2454" s="2141"/>
      <c r="F2454" s="2141"/>
      <c r="G2454" s="2141"/>
      <c r="H2454" s="269">
        <f>E2449</f>
        <v>65.95</v>
      </c>
      <c r="I2454" s="1830"/>
      <c r="J2454" s="1795"/>
      <c r="K2454" s="1795"/>
      <c r="L2454" s="169"/>
      <c r="M2454" s="1783"/>
    </row>
    <row r="2455" spans="1:13" s="1517" customFormat="1" x14ac:dyDescent="0.25">
      <c r="A2455" s="179"/>
      <c r="B2455" s="179"/>
      <c r="C2455" s="1531"/>
      <c r="D2455" s="2142" t="s">
        <v>127</v>
      </c>
      <c r="E2455" s="2142"/>
      <c r="F2455" s="2142"/>
      <c r="G2455" s="2142"/>
      <c r="H2455" s="1532">
        <f>ROUND(H2453*H2454,2)</f>
        <v>94.31</v>
      </c>
      <c r="I2455" s="1830"/>
      <c r="J2455" s="1795"/>
      <c r="K2455" s="1795"/>
      <c r="L2455" s="169"/>
      <c r="M2455" s="1783"/>
    </row>
    <row r="2456" spans="1:13" s="1517" customFormat="1" x14ac:dyDescent="0.25">
      <c r="A2456" s="179"/>
      <c r="B2456" s="179"/>
      <c r="C2456" s="1531"/>
      <c r="D2456" s="2141" t="s">
        <v>15335</v>
      </c>
      <c r="E2456" s="2141"/>
      <c r="F2456" s="2141"/>
      <c r="G2456" s="2141"/>
      <c r="H2456" s="267">
        <f>ROUND(H2453*$B$13,2)</f>
        <v>0.39</v>
      </c>
      <c r="I2456" s="1830"/>
      <c r="J2456" s="1795"/>
      <c r="K2456" s="1795"/>
      <c r="L2456" s="169"/>
      <c r="M2456" s="1783"/>
    </row>
    <row r="2457" spans="1:13" x14ac:dyDescent="0.25">
      <c r="A2457" s="179"/>
      <c r="B2457" s="179"/>
      <c r="C2457" s="1531"/>
      <c r="D2457" s="2142" t="s">
        <v>7898</v>
      </c>
      <c r="E2457" s="2142"/>
      <c r="F2457" s="2142"/>
      <c r="G2457" s="2142"/>
      <c r="H2457" s="1532">
        <f>H2456+H2453</f>
        <v>1.8199999999999998</v>
      </c>
    </row>
    <row r="2458" spans="1:13" x14ac:dyDescent="0.25">
      <c r="A2458" s="1514"/>
      <c r="B2458" s="1514"/>
      <c r="C2458" s="1514"/>
      <c r="F2458" s="1533"/>
      <c r="G2458" s="1534"/>
      <c r="H2458" s="1514"/>
    </row>
    <row r="2459" spans="1:13" s="1517" customFormat="1" x14ac:dyDescent="0.25">
      <c r="A2459" s="146" t="s">
        <v>6</v>
      </c>
      <c r="B2459" s="2143" t="s">
        <v>7</v>
      </c>
      <c r="C2459" s="2143"/>
      <c r="D2459" s="1518" t="s">
        <v>121</v>
      </c>
      <c r="E2459" s="278" t="s">
        <v>5282</v>
      </c>
      <c r="F2459" s="1518" t="s">
        <v>31</v>
      </c>
      <c r="G2459" s="1519" t="s">
        <v>122</v>
      </c>
      <c r="H2459" s="1520" t="s">
        <v>123</v>
      </c>
      <c r="I2459" s="1830"/>
      <c r="J2459" s="1795"/>
      <c r="K2459" s="1795"/>
      <c r="L2459" s="169"/>
      <c r="M2459" s="1783"/>
    </row>
    <row r="2460" spans="1:13" s="1526" customFormat="1" ht="30" x14ac:dyDescent="0.2">
      <c r="A2460" s="1891" t="str">
        <f>'Orç - Prédio'!A456</f>
        <v>06.01.263.01</v>
      </c>
      <c r="B2460" s="1891" t="str">
        <f>'Orç - Prédio'!B456</f>
        <v>ORSE</v>
      </c>
      <c r="C2460" s="1891" t="str">
        <f>'Orç - Prédio'!C456</f>
        <v>10508 INSUMO</v>
      </c>
      <c r="D2460" s="1865" t="s">
        <v>9066</v>
      </c>
      <c r="E2460" s="1866">
        <f>'Orç - Prédio'!E456</f>
        <v>22</v>
      </c>
      <c r="F2460" s="1891" t="s">
        <v>5284</v>
      </c>
      <c r="G2460" s="1524">
        <v>11.39</v>
      </c>
      <c r="H2460" s="1525">
        <f>H2466</f>
        <v>250.58</v>
      </c>
      <c r="I2460" s="1910" t="s">
        <v>14965</v>
      </c>
      <c r="J2460" s="1793"/>
      <c r="K2460" s="1793"/>
      <c r="L2460" s="141"/>
      <c r="M2460" s="1515"/>
    </row>
    <row r="2461" spans="1:13" s="1859" customFormat="1" ht="30" x14ac:dyDescent="0.2">
      <c r="A2461" s="2144">
        <v>10508</v>
      </c>
      <c r="B2461" s="2144"/>
      <c r="C2461" s="1863" t="s">
        <v>5281</v>
      </c>
      <c r="D2461" s="1862" t="s">
        <v>9315</v>
      </c>
      <c r="E2461" s="1864">
        <v>1</v>
      </c>
      <c r="F2461" s="1890" t="s">
        <v>31</v>
      </c>
      <c r="G2461" s="367">
        <v>11.39</v>
      </c>
      <c r="H2461" s="1857">
        <f>ROUNDDOWN(G2461*E2461,2)</f>
        <v>11.39</v>
      </c>
      <c r="I2461" s="1856"/>
      <c r="J2461" s="1797"/>
      <c r="K2461" s="1797"/>
      <c r="L2461" s="1784"/>
      <c r="M2461" s="1785"/>
    </row>
    <row r="2462" spans="1:13" s="1517" customFormat="1" x14ac:dyDescent="0.25">
      <c r="A2462" s="1847"/>
      <c r="B2462" s="1847"/>
      <c r="C2462" s="1531"/>
      <c r="D2462" s="2141" t="s">
        <v>124</v>
      </c>
      <c r="E2462" s="2141"/>
      <c r="F2462" s="2141"/>
      <c r="G2462" s="2141"/>
      <c r="H2462" s="267">
        <f>SUMIF(F2461:F2461,("h"),H2461:H2461)</f>
        <v>0</v>
      </c>
      <c r="I2462" s="1830"/>
      <c r="J2462" s="1795"/>
      <c r="K2462" s="1795"/>
      <c r="L2462" s="169"/>
      <c r="M2462" s="1783"/>
    </row>
    <row r="2463" spans="1:13" s="1517" customFormat="1" x14ac:dyDescent="0.25">
      <c r="A2463" s="1847"/>
      <c r="B2463" s="1847"/>
      <c r="C2463" s="1531"/>
      <c r="D2463" s="2141" t="s">
        <v>125</v>
      </c>
      <c r="E2463" s="2141"/>
      <c r="F2463" s="2141"/>
      <c r="G2463" s="2141"/>
      <c r="H2463" s="267">
        <f>SUMIF(F2461:F2461,"&lt;&gt;h",H2461:H2461)</f>
        <v>11.39</v>
      </c>
      <c r="I2463" s="1830"/>
      <c r="J2463" s="1795"/>
      <c r="K2463" s="1795"/>
      <c r="L2463" s="169"/>
      <c r="M2463" s="1783"/>
    </row>
    <row r="2464" spans="1:13" s="1517" customFormat="1" x14ac:dyDescent="0.25">
      <c r="A2464" s="1847"/>
      <c r="B2464" s="1847"/>
      <c r="C2464" s="1531"/>
      <c r="D2464" s="2142" t="s">
        <v>126</v>
      </c>
      <c r="E2464" s="2142"/>
      <c r="F2464" s="2142"/>
      <c r="G2464" s="2142"/>
      <c r="H2464" s="1532">
        <f>SUM(H2462:H2463)</f>
        <v>11.39</v>
      </c>
      <c r="I2464" s="1830"/>
      <c r="J2464" s="1795"/>
      <c r="K2464" s="1795"/>
      <c r="L2464" s="169"/>
      <c r="M2464" s="1783"/>
    </row>
    <row r="2465" spans="1:13" s="1517" customFormat="1" x14ac:dyDescent="0.25">
      <c r="A2465" s="1847"/>
      <c r="B2465" s="1847"/>
      <c r="C2465" s="1531"/>
      <c r="D2465" s="2141" t="s">
        <v>28</v>
      </c>
      <c r="E2465" s="2141"/>
      <c r="F2465" s="2141"/>
      <c r="G2465" s="2141"/>
      <c r="H2465" s="269">
        <f>E2460</f>
        <v>22</v>
      </c>
      <c r="I2465" s="1830"/>
      <c r="J2465" s="1795"/>
      <c r="K2465" s="1795"/>
      <c r="L2465" s="169"/>
      <c r="M2465" s="1783"/>
    </row>
    <row r="2466" spans="1:13" s="1517" customFormat="1" x14ac:dyDescent="0.25">
      <c r="A2466" s="1847"/>
      <c r="B2466" s="1847"/>
      <c r="C2466" s="1531"/>
      <c r="D2466" s="2142" t="s">
        <v>127</v>
      </c>
      <c r="E2466" s="2142"/>
      <c r="F2466" s="2142"/>
      <c r="G2466" s="2142"/>
      <c r="H2466" s="1532">
        <f>ROUND(H2464*H2465,2)</f>
        <v>250.58</v>
      </c>
      <c r="I2466" s="1830"/>
      <c r="J2466" s="1795"/>
      <c r="K2466" s="1795"/>
      <c r="L2466" s="169"/>
      <c r="M2466" s="1783"/>
    </row>
    <row r="2467" spans="1:13" s="1517" customFormat="1" x14ac:dyDescent="0.25">
      <c r="A2467" s="1847"/>
      <c r="B2467" s="1847"/>
      <c r="C2467" s="1531"/>
      <c r="D2467" s="2141" t="s">
        <v>15335</v>
      </c>
      <c r="E2467" s="2141"/>
      <c r="F2467" s="2141"/>
      <c r="G2467" s="2141"/>
      <c r="H2467" s="267">
        <f>ROUND(H2464*$B$13,2)</f>
        <v>3.07</v>
      </c>
      <c r="I2467" s="1830"/>
      <c r="J2467" s="1795"/>
      <c r="K2467" s="1795"/>
      <c r="L2467" s="169"/>
      <c r="M2467" s="1783"/>
    </row>
    <row r="2468" spans="1:13" x14ac:dyDescent="0.25">
      <c r="A2468" s="1847"/>
      <c r="B2468" s="1847"/>
      <c r="C2468" s="1531"/>
      <c r="D2468" s="2142" t="s">
        <v>7898</v>
      </c>
      <c r="E2468" s="2142"/>
      <c r="F2468" s="2142"/>
      <c r="G2468" s="2142"/>
      <c r="H2468" s="1532">
        <f>H2467+H2464</f>
        <v>14.46</v>
      </c>
    </row>
    <row r="2469" spans="1:13" x14ac:dyDescent="0.25">
      <c r="A2469" s="1514"/>
      <c r="B2469" s="1514"/>
      <c r="C2469" s="1514"/>
      <c r="F2469" s="1533"/>
      <c r="G2469" s="1534"/>
      <c r="H2469" s="1514"/>
    </row>
    <row r="2470" spans="1:13" s="1517" customFormat="1" x14ac:dyDescent="0.25">
      <c r="A2470" s="146" t="s">
        <v>6</v>
      </c>
      <c r="B2470" s="2143" t="s">
        <v>7</v>
      </c>
      <c r="C2470" s="2143"/>
      <c r="D2470" s="1518" t="s">
        <v>121</v>
      </c>
      <c r="E2470" s="278" t="s">
        <v>5282</v>
      </c>
      <c r="F2470" s="1518" t="s">
        <v>31</v>
      </c>
      <c r="G2470" s="1519" t="s">
        <v>122</v>
      </c>
      <c r="H2470" s="1520" t="s">
        <v>123</v>
      </c>
      <c r="I2470" s="1830"/>
      <c r="J2470" s="1795"/>
      <c r="K2470" s="1795"/>
      <c r="L2470" s="169"/>
      <c r="M2470" s="1783"/>
    </row>
    <row r="2471" spans="1:13" s="1526" customFormat="1" ht="30" x14ac:dyDescent="0.2">
      <c r="A2471" s="1891" t="str">
        <f>'Orç - Prédio'!A457</f>
        <v>06.01.263.02</v>
      </c>
      <c r="B2471" s="1891" t="str">
        <f>'Orç - Prédio'!B457</f>
        <v>SINAPI</v>
      </c>
      <c r="C2471" s="1891" t="str">
        <f>'Orç - Prédio'!C457</f>
        <v>73767/2 MOD 1</v>
      </c>
      <c r="D2471" s="1865" t="s">
        <v>9068</v>
      </c>
      <c r="E2471" s="1866">
        <f>'Orç - Prédio'!E457</f>
        <v>10</v>
      </c>
      <c r="F2471" s="1891" t="s">
        <v>5284</v>
      </c>
      <c r="G2471" s="1524">
        <v>6.4499999999999993</v>
      </c>
      <c r="H2471" s="1525">
        <f>H2478</f>
        <v>64.5</v>
      </c>
      <c r="I2471" s="1910" t="s">
        <v>14965</v>
      </c>
      <c r="J2471" s="1793"/>
      <c r="K2471" s="1793"/>
      <c r="L2471" s="141"/>
      <c r="M2471" s="1515"/>
    </row>
    <row r="2472" spans="1:13" s="1859" customFormat="1" x14ac:dyDescent="0.2">
      <c r="A2472" s="2144">
        <v>3853</v>
      </c>
      <c r="B2472" s="2144"/>
      <c r="C2472" s="1863" t="s">
        <v>5281</v>
      </c>
      <c r="D2472" s="1862" t="s">
        <v>9317</v>
      </c>
      <c r="E2472" s="1864">
        <v>1</v>
      </c>
      <c r="F2472" s="1890" t="s">
        <v>31</v>
      </c>
      <c r="G2472" s="367">
        <v>3.61</v>
      </c>
      <c r="H2472" s="1857">
        <f>ROUNDDOWN(G2472*E2472,2)</f>
        <v>3.61</v>
      </c>
      <c r="I2472" s="1856"/>
      <c r="J2472" s="1797"/>
      <c r="K2472" s="1797"/>
      <c r="L2472" s="1784"/>
      <c r="M2472" s="1785"/>
    </row>
    <row r="2473" spans="1:13" s="1859" customFormat="1" ht="30" x14ac:dyDescent="0.2">
      <c r="A2473" s="2144">
        <v>88264</v>
      </c>
      <c r="B2473" s="2144"/>
      <c r="C2473" s="1863" t="s">
        <v>4448</v>
      </c>
      <c r="D2473" s="1862" t="s">
        <v>81</v>
      </c>
      <c r="E2473" s="1864">
        <v>0.14000000000000001</v>
      </c>
      <c r="F2473" s="1890" t="s">
        <v>65</v>
      </c>
      <c r="G2473" s="1860">
        <v>20.329999999999998</v>
      </c>
      <c r="H2473" s="1857">
        <f>ROUNDDOWN(G2473*E2473,2)</f>
        <v>2.84</v>
      </c>
      <c r="I2473" s="1856"/>
      <c r="J2473" s="1797"/>
      <c r="K2473" s="1797"/>
      <c r="L2473" s="1784"/>
      <c r="M2473" s="1785"/>
    </row>
    <row r="2474" spans="1:13" s="1517" customFormat="1" x14ac:dyDescent="0.25">
      <c r="A2474" s="1847"/>
      <c r="B2474" s="1847"/>
      <c r="C2474" s="1531"/>
      <c r="D2474" s="2141" t="s">
        <v>124</v>
      </c>
      <c r="E2474" s="2141"/>
      <c r="F2474" s="2141"/>
      <c r="G2474" s="2141"/>
      <c r="H2474" s="267">
        <f>SUMIF(F2472:F2473,("h"),H2472:H2473)</f>
        <v>2.84</v>
      </c>
      <c r="I2474" s="1830"/>
      <c r="J2474" s="1795"/>
      <c r="K2474" s="1795"/>
      <c r="L2474" s="169"/>
      <c r="M2474" s="1783"/>
    </row>
    <row r="2475" spans="1:13" s="1517" customFormat="1" x14ac:dyDescent="0.25">
      <c r="A2475" s="1847"/>
      <c r="B2475" s="1847"/>
      <c r="C2475" s="1531"/>
      <c r="D2475" s="2141" t="s">
        <v>125</v>
      </c>
      <c r="E2475" s="2141"/>
      <c r="F2475" s="2141"/>
      <c r="G2475" s="2141"/>
      <c r="H2475" s="267">
        <f>SUMIF(F2472:F2473,"&lt;&gt;h",H2472:H2473)</f>
        <v>3.61</v>
      </c>
      <c r="I2475" s="1830"/>
      <c r="J2475" s="1795"/>
      <c r="K2475" s="1795"/>
      <c r="L2475" s="169"/>
      <c r="M2475" s="1783"/>
    </row>
    <row r="2476" spans="1:13" s="1517" customFormat="1" x14ac:dyDescent="0.25">
      <c r="A2476" s="1847"/>
      <c r="B2476" s="1847"/>
      <c r="C2476" s="1531"/>
      <c r="D2476" s="2142" t="s">
        <v>126</v>
      </c>
      <c r="E2476" s="2142"/>
      <c r="F2476" s="2142"/>
      <c r="G2476" s="2142"/>
      <c r="H2476" s="1532">
        <f>SUM(H2474:H2475)</f>
        <v>6.4499999999999993</v>
      </c>
      <c r="I2476" s="1830"/>
      <c r="J2476" s="1795"/>
      <c r="K2476" s="1795"/>
      <c r="L2476" s="169"/>
      <c r="M2476" s="1783"/>
    </row>
    <row r="2477" spans="1:13" s="1517" customFormat="1" x14ac:dyDescent="0.25">
      <c r="A2477" s="1847"/>
      <c r="B2477" s="1847"/>
      <c r="C2477" s="1531"/>
      <c r="D2477" s="2141" t="s">
        <v>28</v>
      </c>
      <c r="E2477" s="2141"/>
      <c r="F2477" s="2141"/>
      <c r="G2477" s="2141"/>
      <c r="H2477" s="269">
        <f>E2471</f>
        <v>10</v>
      </c>
      <c r="I2477" s="1830"/>
      <c r="J2477" s="1795"/>
      <c r="K2477" s="1795"/>
      <c r="L2477" s="169"/>
      <c r="M2477" s="1783"/>
    </row>
    <row r="2478" spans="1:13" s="1517" customFormat="1" x14ac:dyDescent="0.25">
      <c r="A2478" s="1847"/>
      <c r="B2478" s="1847"/>
      <c r="C2478" s="1531"/>
      <c r="D2478" s="2142" t="s">
        <v>127</v>
      </c>
      <c r="E2478" s="2142"/>
      <c r="F2478" s="2142"/>
      <c r="G2478" s="2142"/>
      <c r="H2478" s="1532">
        <f>ROUND(H2476*H2477,2)</f>
        <v>64.5</v>
      </c>
      <c r="I2478" s="1830"/>
      <c r="J2478" s="1795"/>
      <c r="K2478" s="1795"/>
      <c r="L2478" s="169"/>
      <c r="M2478" s="1783"/>
    </row>
    <row r="2479" spans="1:13" s="1517" customFormat="1" x14ac:dyDescent="0.25">
      <c r="A2479" s="1847"/>
      <c r="B2479" s="1847"/>
      <c r="C2479" s="1531"/>
      <c r="D2479" s="2141" t="s">
        <v>15335</v>
      </c>
      <c r="E2479" s="2141"/>
      <c r="F2479" s="2141"/>
      <c r="G2479" s="2141"/>
      <c r="H2479" s="267">
        <f>ROUND(H2476*$B$13,2)</f>
        <v>1.74</v>
      </c>
      <c r="I2479" s="1830"/>
      <c r="J2479" s="1795"/>
      <c r="K2479" s="1795"/>
      <c r="L2479" s="169"/>
      <c r="M2479" s="1783"/>
    </row>
    <row r="2480" spans="1:13" x14ac:dyDescent="0.25">
      <c r="A2480" s="1847"/>
      <c r="B2480" s="1847"/>
      <c r="C2480" s="1531"/>
      <c r="D2480" s="2142" t="s">
        <v>7898</v>
      </c>
      <c r="E2480" s="2142"/>
      <c r="F2480" s="2142"/>
      <c r="G2480" s="2142"/>
      <c r="H2480" s="1532">
        <f>H2479+H2476</f>
        <v>8.19</v>
      </c>
    </row>
    <row r="2481" spans="1:13" x14ac:dyDescent="0.25">
      <c r="A2481" s="1514"/>
      <c r="B2481" s="1514"/>
      <c r="C2481" s="1514"/>
      <c r="F2481" s="1533"/>
      <c r="G2481" s="1534"/>
      <c r="H2481" s="1514"/>
    </row>
    <row r="2482" spans="1:13" s="1517" customFormat="1" x14ac:dyDescent="0.25">
      <c r="A2482" s="146" t="s">
        <v>6</v>
      </c>
      <c r="B2482" s="2143" t="s">
        <v>7</v>
      </c>
      <c r="C2482" s="2143"/>
      <c r="D2482" s="1518" t="s">
        <v>121</v>
      </c>
      <c r="E2482" s="278" t="s">
        <v>5282</v>
      </c>
      <c r="F2482" s="1518" t="s">
        <v>31</v>
      </c>
      <c r="G2482" s="1519" t="s">
        <v>122</v>
      </c>
      <c r="H2482" s="1520" t="s">
        <v>123</v>
      </c>
      <c r="I2482" s="1830"/>
      <c r="J2482" s="1795"/>
      <c r="K2482" s="1795"/>
      <c r="L2482" s="169"/>
      <c r="M2482" s="1783"/>
    </row>
    <row r="2483" spans="1:13" s="1526" customFormat="1" ht="30" x14ac:dyDescent="0.2">
      <c r="A2483" s="1891" t="str">
        <f>'Orç - Prédio'!A458</f>
        <v>06.01.263.03</v>
      </c>
      <c r="B2483" s="1891" t="str">
        <f>'Orç - Prédio'!B458</f>
        <v>SINAPI</v>
      </c>
      <c r="C2483" s="1891" t="str">
        <f>'Orç - Prédio'!C458</f>
        <v>73767/2 MOD 2</v>
      </c>
      <c r="D2483" s="1865" t="s">
        <v>9069</v>
      </c>
      <c r="E2483" s="1866">
        <f>'Orç - Prédio'!E458</f>
        <v>6</v>
      </c>
      <c r="F2483" s="1891" t="s">
        <v>5284</v>
      </c>
      <c r="G2483" s="1524">
        <v>5.14</v>
      </c>
      <c r="H2483" s="1525">
        <f>H2490</f>
        <v>30.84</v>
      </c>
      <c r="I2483" s="1910" t="s">
        <v>9564</v>
      </c>
      <c r="J2483" s="1793"/>
      <c r="K2483" s="1793"/>
      <c r="L2483" s="141"/>
      <c r="M2483" s="1515"/>
    </row>
    <row r="2484" spans="1:13" s="1859" customFormat="1" ht="45" x14ac:dyDescent="0.2">
      <c r="A2484" s="2144">
        <v>417</v>
      </c>
      <c r="B2484" s="2144"/>
      <c r="C2484" s="1863" t="s">
        <v>4448</v>
      </c>
      <c r="D2484" s="1862" t="s">
        <v>9838</v>
      </c>
      <c r="E2484" s="1864">
        <v>1</v>
      </c>
      <c r="F2484" s="1890" t="s">
        <v>39</v>
      </c>
      <c r="G2484" s="1860">
        <v>2.2999999999999998</v>
      </c>
      <c r="H2484" s="1857">
        <f>ROUNDDOWN(G2484*E2484,2)</f>
        <v>2.2999999999999998</v>
      </c>
      <c r="I2484" s="1856"/>
      <c r="J2484" s="1797"/>
      <c r="K2484" s="1797"/>
      <c r="L2484" s="1784"/>
      <c r="M2484" s="1785"/>
    </row>
    <row r="2485" spans="1:13" s="1859" customFormat="1" ht="30" x14ac:dyDescent="0.2">
      <c r="A2485" s="2144">
        <v>88264</v>
      </c>
      <c r="B2485" s="2144"/>
      <c r="C2485" s="1863" t="s">
        <v>4448</v>
      </c>
      <c r="D2485" s="1862" t="s">
        <v>81</v>
      </c>
      <c r="E2485" s="1864">
        <v>0.14000000000000001</v>
      </c>
      <c r="F2485" s="1890" t="s">
        <v>65</v>
      </c>
      <c r="G2485" s="1860">
        <v>20.329999999999998</v>
      </c>
      <c r="H2485" s="1857">
        <f>ROUNDDOWN(G2485*E2485,2)</f>
        <v>2.84</v>
      </c>
      <c r="I2485" s="1856"/>
      <c r="J2485" s="1797"/>
      <c r="K2485" s="1797"/>
      <c r="L2485" s="1784"/>
      <c r="M2485" s="1785"/>
    </row>
    <row r="2486" spans="1:13" s="1517" customFormat="1" x14ac:dyDescent="0.25">
      <c r="A2486" s="1847"/>
      <c r="B2486" s="1847"/>
      <c r="C2486" s="1531"/>
      <c r="D2486" s="2141" t="s">
        <v>124</v>
      </c>
      <c r="E2486" s="2141"/>
      <c r="F2486" s="2141"/>
      <c r="G2486" s="2141"/>
      <c r="H2486" s="267">
        <f>SUMIF(F2484:F2485,("h"),H2484:H2485)</f>
        <v>2.84</v>
      </c>
      <c r="I2486" s="1830"/>
      <c r="J2486" s="1795"/>
      <c r="K2486" s="1795"/>
      <c r="L2486" s="169"/>
      <c r="M2486" s="1783"/>
    </row>
    <row r="2487" spans="1:13" s="1517" customFormat="1" x14ac:dyDescent="0.25">
      <c r="A2487" s="1847"/>
      <c r="B2487" s="1847"/>
      <c r="C2487" s="1531"/>
      <c r="D2487" s="2141" t="s">
        <v>125</v>
      </c>
      <c r="E2487" s="2141"/>
      <c r="F2487" s="2141"/>
      <c r="G2487" s="2141"/>
      <c r="H2487" s="267">
        <f>SUMIF(F2484:F2485,"&lt;&gt;h",H2484:H2485)</f>
        <v>2.2999999999999998</v>
      </c>
      <c r="I2487" s="1830"/>
      <c r="J2487" s="1795"/>
      <c r="K2487" s="1795"/>
      <c r="L2487" s="169"/>
      <c r="M2487" s="1783"/>
    </row>
    <row r="2488" spans="1:13" s="1517" customFormat="1" x14ac:dyDescent="0.25">
      <c r="A2488" s="1847"/>
      <c r="B2488" s="1847"/>
      <c r="C2488" s="1531"/>
      <c r="D2488" s="2142" t="s">
        <v>126</v>
      </c>
      <c r="E2488" s="2142"/>
      <c r="F2488" s="2142"/>
      <c r="G2488" s="2142"/>
      <c r="H2488" s="1532">
        <f>SUM(H2486:H2487)</f>
        <v>5.14</v>
      </c>
      <c r="I2488" s="1830"/>
      <c r="J2488" s="1795"/>
      <c r="K2488" s="1795"/>
      <c r="L2488" s="169"/>
      <c r="M2488" s="1783"/>
    </row>
    <row r="2489" spans="1:13" s="1517" customFormat="1" x14ac:dyDescent="0.25">
      <c r="A2489" s="1847"/>
      <c r="B2489" s="1847"/>
      <c r="C2489" s="1531"/>
      <c r="D2489" s="2141" t="s">
        <v>28</v>
      </c>
      <c r="E2489" s="2141"/>
      <c r="F2489" s="2141"/>
      <c r="G2489" s="2141"/>
      <c r="H2489" s="269">
        <f>E2483</f>
        <v>6</v>
      </c>
      <c r="I2489" s="1830"/>
      <c r="J2489" s="1795"/>
      <c r="K2489" s="1795"/>
      <c r="L2489" s="169"/>
      <c r="M2489" s="1783"/>
    </row>
    <row r="2490" spans="1:13" s="1517" customFormat="1" x14ac:dyDescent="0.25">
      <c r="A2490" s="1847"/>
      <c r="B2490" s="1847"/>
      <c r="C2490" s="1531"/>
      <c r="D2490" s="2142" t="s">
        <v>127</v>
      </c>
      <c r="E2490" s="2142"/>
      <c r="F2490" s="2142"/>
      <c r="G2490" s="2142"/>
      <c r="H2490" s="1532">
        <f>ROUND(H2488*H2489,2)</f>
        <v>30.84</v>
      </c>
      <c r="I2490" s="1830"/>
      <c r="J2490" s="1795"/>
      <c r="K2490" s="1795"/>
      <c r="L2490" s="169"/>
      <c r="M2490" s="1783"/>
    </row>
    <row r="2491" spans="1:13" s="1517" customFormat="1" x14ac:dyDescent="0.25">
      <c r="A2491" s="1847"/>
      <c r="B2491" s="1847"/>
      <c r="C2491" s="1531"/>
      <c r="D2491" s="2141" t="s">
        <v>15335</v>
      </c>
      <c r="E2491" s="2141"/>
      <c r="F2491" s="2141"/>
      <c r="G2491" s="2141"/>
      <c r="H2491" s="267">
        <f>ROUND(H2488*$B$13,2)</f>
        <v>1.38</v>
      </c>
      <c r="I2491" s="1830"/>
      <c r="J2491" s="1795"/>
      <c r="K2491" s="1795"/>
      <c r="L2491" s="169"/>
      <c r="M2491" s="1783"/>
    </row>
    <row r="2492" spans="1:13" x14ac:dyDescent="0.25">
      <c r="A2492" s="1847"/>
      <c r="B2492" s="1847"/>
      <c r="C2492" s="1531"/>
      <c r="D2492" s="2142" t="s">
        <v>7898</v>
      </c>
      <c r="E2492" s="2142"/>
      <c r="F2492" s="2142"/>
      <c r="G2492" s="2142"/>
      <c r="H2492" s="1532">
        <f>H2491+H2488</f>
        <v>6.52</v>
      </c>
    </row>
    <row r="2493" spans="1:13" x14ac:dyDescent="0.25">
      <c r="A2493" s="1514"/>
      <c r="B2493" s="1514"/>
      <c r="C2493" s="1514"/>
      <c r="F2493" s="1533"/>
      <c r="G2493" s="1534"/>
      <c r="H2493" s="1514"/>
    </row>
    <row r="2494" spans="1:13" s="1517" customFormat="1" x14ac:dyDescent="0.25">
      <c r="A2494" s="146" t="s">
        <v>6</v>
      </c>
      <c r="B2494" s="2143" t="s">
        <v>7</v>
      </c>
      <c r="C2494" s="2143"/>
      <c r="D2494" s="1518" t="s">
        <v>121</v>
      </c>
      <c r="E2494" s="278" t="s">
        <v>5282</v>
      </c>
      <c r="F2494" s="1518" t="s">
        <v>31</v>
      </c>
      <c r="G2494" s="1519" t="s">
        <v>122</v>
      </c>
      <c r="H2494" s="1520" t="s">
        <v>123</v>
      </c>
      <c r="I2494" s="1830"/>
      <c r="J2494" s="1795"/>
      <c r="K2494" s="1795"/>
      <c r="L2494" s="169"/>
      <c r="M2494" s="1783"/>
    </row>
    <row r="2495" spans="1:13" s="1526" customFormat="1" ht="30" x14ac:dyDescent="0.2">
      <c r="A2495" s="1891" t="str">
        <f>'Orç - Prédio'!A459</f>
        <v>06.01.263.04</v>
      </c>
      <c r="B2495" s="1891" t="str">
        <f>'Orç - Prédio'!B459</f>
        <v>ORSE</v>
      </c>
      <c r="C2495" s="1891" t="str">
        <f>'Orç - Prédio'!C459</f>
        <v>10609 INSUMO</v>
      </c>
      <c r="D2495" s="1865" t="s">
        <v>9070</v>
      </c>
      <c r="E2495" s="1866">
        <f>'Orç - Prédio'!E459</f>
        <v>19</v>
      </c>
      <c r="F2495" s="1891" t="s">
        <v>5284</v>
      </c>
      <c r="G2495" s="1524">
        <v>20.94</v>
      </c>
      <c r="H2495" s="1525">
        <f>H2501</f>
        <v>397.86</v>
      </c>
      <c r="I2495" s="1910" t="s">
        <v>14965</v>
      </c>
      <c r="J2495" s="1793"/>
      <c r="K2495" s="1793"/>
      <c r="L2495" s="141"/>
      <c r="M2495" s="1515"/>
    </row>
    <row r="2496" spans="1:13" s="1859" customFormat="1" ht="60" x14ac:dyDescent="0.2">
      <c r="A2496" s="2144">
        <v>10609</v>
      </c>
      <c r="B2496" s="2144"/>
      <c r="C2496" s="1863" t="s">
        <v>5281</v>
      </c>
      <c r="D2496" s="1862" t="s">
        <v>9322</v>
      </c>
      <c r="E2496" s="1864">
        <v>1</v>
      </c>
      <c r="F2496" s="1890" t="s">
        <v>31</v>
      </c>
      <c r="G2496" s="367">
        <v>20.94</v>
      </c>
      <c r="H2496" s="1857">
        <f>ROUNDDOWN(G2496*E2496,2)</f>
        <v>20.94</v>
      </c>
      <c r="I2496" s="1856"/>
      <c r="J2496" s="1797"/>
      <c r="K2496" s="1797"/>
      <c r="L2496" s="1784"/>
      <c r="M2496" s="1785"/>
    </row>
    <row r="2497" spans="1:13" s="1517" customFormat="1" x14ac:dyDescent="0.25">
      <c r="A2497" s="1847"/>
      <c r="B2497" s="1847"/>
      <c r="C2497" s="1531"/>
      <c r="D2497" s="2141" t="s">
        <v>124</v>
      </c>
      <c r="E2497" s="2141"/>
      <c r="F2497" s="2141"/>
      <c r="G2497" s="2141"/>
      <c r="H2497" s="267">
        <f>SUMIF(F2496:F2496,("h"),H2496:H2496)</f>
        <v>0</v>
      </c>
      <c r="I2497" s="1830"/>
      <c r="J2497" s="1795"/>
      <c r="K2497" s="1795"/>
      <c r="L2497" s="169"/>
      <c r="M2497" s="1783"/>
    </row>
    <row r="2498" spans="1:13" s="1517" customFormat="1" x14ac:dyDescent="0.25">
      <c r="A2498" s="1847"/>
      <c r="B2498" s="1847"/>
      <c r="C2498" s="1531"/>
      <c r="D2498" s="2141" t="s">
        <v>125</v>
      </c>
      <c r="E2498" s="2141"/>
      <c r="F2498" s="2141"/>
      <c r="G2498" s="2141"/>
      <c r="H2498" s="267">
        <f>SUMIF(F2496:F2496,"&lt;&gt;h",H2496:H2496)</f>
        <v>20.94</v>
      </c>
      <c r="I2498" s="1830"/>
      <c r="J2498" s="1795"/>
      <c r="K2498" s="1795"/>
      <c r="L2498" s="169"/>
      <c r="M2498" s="1783"/>
    </row>
    <row r="2499" spans="1:13" s="1517" customFormat="1" x14ac:dyDescent="0.25">
      <c r="A2499" s="1847"/>
      <c r="B2499" s="1847"/>
      <c r="C2499" s="1531"/>
      <c r="D2499" s="2142" t="s">
        <v>126</v>
      </c>
      <c r="E2499" s="2142"/>
      <c r="F2499" s="2142"/>
      <c r="G2499" s="2142"/>
      <c r="H2499" s="1532">
        <f>SUM(H2497:H2498)</f>
        <v>20.94</v>
      </c>
      <c r="I2499" s="1830"/>
      <c r="J2499" s="1795"/>
      <c r="K2499" s="1795"/>
      <c r="L2499" s="169"/>
      <c r="M2499" s="1783"/>
    </row>
    <row r="2500" spans="1:13" s="1517" customFormat="1" x14ac:dyDescent="0.25">
      <c r="A2500" s="1847"/>
      <c r="B2500" s="1847"/>
      <c r="C2500" s="1531"/>
      <c r="D2500" s="2141" t="s">
        <v>28</v>
      </c>
      <c r="E2500" s="2141"/>
      <c r="F2500" s="2141"/>
      <c r="G2500" s="2141"/>
      <c r="H2500" s="269">
        <f>E2495</f>
        <v>19</v>
      </c>
      <c r="I2500" s="1830"/>
      <c r="J2500" s="1795"/>
      <c r="K2500" s="1795"/>
      <c r="L2500" s="169"/>
      <c r="M2500" s="1783"/>
    </row>
    <row r="2501" spans="1:13" s="1517" customFormat="1" x14ac:dyDescent="0.25">
      <c r="A2501" s="1847"/>
      <c r="B2501" s="1847"/>
      <c r="C2501" s="1531"/>
      <c r="D2501" s="2142" t="s">
        <v>127</v>
      </c>
      <c r="E2501" s="2142"/>
      <c r="F2501" s="2142"/>
      <c r="G2501" s="2142"/>
      <c r="H2501" s="1532">
        <f>ROUND(H2499*H2500,2)</f>
        <v>397.86</v>
      </c>
      <c r="I2501" s="1830"/>
      <c r="J2501" s="1795"/>
      <c r="K2501" s="1795"/>
      <c r="L2501" s="169"/>
      <c r="M2501" s="1783"/>
    </row>
    <row r="2502" spans="1:13" s="1517" customFormat="1" x14ac:dyDescent="0.25">
      <c r="A2502" s="1847"/>
      <c r="B2502" s="1847"/>
      <c r="C2502" s="1531"/>
      <c r="D2502" s="2141" t="s">
        <v>15335</v>
      </c>
      <c r="E2502" s="2141"/>
      <c r="F2502" s="2141"/>
      <c r="G2502" s="2141"/>
      <c r="H2502" s="267">
        <f>ROUND(H2499*$B$13,2)</f>
        <v>5.64</v>
      </c>
      <c r="I2502" s="1830"/>
      <c r="J2502" s="1795"/>
      <c r="K2502" s="1795"/>
      <c r="L2502" s="169"/>
      <c r="M2502" s="1783"/>
    </row>
    <row r="2503" spans="1:13" x14ac:dyDescent="0.25">
      <c r="A2503" s="1847"/>
      <c r="B2503" s="1847"/>
      <c r="C2503" s="1531"/>
      <c r="D2503" s="2142" t="s">
        <v>7898</v>
      </c>
      <c r="E2503" s="2142"/>
      <c r="F2503" s="2142"/>
      <c r="G2503" s="2142"/>
      <c r="H2503" s="1532">
        <f>H2502+H2499</f>
        <v>26.580000000000002</v>
      </c>
    </row>
    <row r="2504" spans="1:13" x14ac:dyDescent="0.25">
      <c r="A2504" s="1514"/>
      <c r="B2504" s="1514"/>
      <c r="C2504" s="1514"/>
      <c r="F2504" s="1533"/>
      <c r="G2504" s="1534"/>
      <c r="H2504" s="1514"/>
    </row>
    <row r="2505" spans="1:13" s="1517" customFormat="1" x14ac:dyDescent="0.25">
      <c r="A2505" s="146" t="s">
        <v>6</v>
      </c>
      <c r="B2505" s="2143" t="s">
        <v>7</v>
      </c>
      <c r="C2505" s="2143"/>
      <c r="D2505" s="1518" t="s">
        <v>121</v>
      </c>
      <c r="E2505" s="278" t="s">
        <v>5282</v>
      </c>
      <c r="F2505" s="1518" t="s">
        <v>31</v>
      </c>
      <c r="G2505" s="1519" t="s">
        <v>122</v>
      </c>
      <c r="H2505" s="1520" t="s">
        <v>123</v>
      </c>
      <c r="I2505" s="1830"/>
      <c r="J2505" s="1795"/>
      <c r="K2505" s="1795"/>
      <c r="L2505" s="169"/>
      <c r="M2505" s="1783"/>
    </row>
    <row r="2506" spans="1:13" s="1526" customFormat="1" ht="30" x14ac:dyDescent="0.2">
      <c r="A2506" s="1891" t="str">
        <f>'Orç - Prédio'!A460</f>
        <v>06.01.263.05</v>
      </c>
      <c r="B2506" s="1891" t="str">
        <f>'Orç - Prédio'!B460</f>
        <v>ORSE</v>
      </c>
      <c r="C2506" s="1891" t="str">
        <f>'Orç - Prédio'!C460</f>
        <v>10614 INSUMO</v>
      </c>
      <c r="D2506" s="1865" t="s">
        <v>9073</v>
      </c>
      <c r="E2506" s="1866">
        <f>'Orç - Prédio'!E460</f>
        <v>3</v>
      </c>
      <c r="F2506" s="1891" t="s">
        <v>5284</v>
      </c>
      <c r="G2506" s="1524">
        <v>3.38</v>
      </c>
      <c r="H2506" s="1525">
        <f>H2512</f>
        <v>10.14</v>
      </c>
      <c r="I2506" s="1910" t="s">
        <v>14965</v>
      </c>
      <c r="J2506" s="1793"/>
      <c r="K2506" s="1793"/>
      <c r="L2506" s="141"/>
      <c r="M2506" s="1515"/>
    </row>
    <row r="2507" spans="1:13" s="1859" customFormat="1" ht="45" x14ac:dyDescent="0.2">
      <c r="A2507" s="2144">
        <v>10614</v>
      </c>
      <c r="B2507" s="2144"/>
      <c r="C2507" s="1863" t="s">
        <v>5281</v>
      </c>
      <c r="D2507" s="1862" t="s">
        <v>9324</v>
      </c>
      <c r="E2507" s="1864">
        <v>1</v>
      </c>
      <c r="F2507" s="1890" t="s">
        <v>31</v>
      </c>
      <c r="G2507" s="367">
        <v>3.38</v>
      </c>
      <c r="H2507" s="1857">
        <f>ROUNDDOWN(G2507*E2507,2)</f>
        <v>3.38</v>
      </c>
      <c r="I2507" s="1856"/>
      <c r="J2507" s="1797"/>
      <c r="K2507" s="1797"/>
      <c r="L2507" s="1784"/>
      <c r="M2507" s="1785"/>
    </row>
    <row r="2508" spans="1:13" s="1517" customFormat="1" x14ac:dyDescent="0.25">
      <c r="A2508" s="1847"/>
      <c r="B2508" s="1847"/>
      <c r="C2508" s="1531"/>
      <c r="D2508" s="2141" t="s">
        <v>124</v>
      </c>
      <c r="E2508" s="2141"/>
      <c r="F2508" s="2141"/>
      <c r="G2508" s="2141"/>
      <c r="H2508" s="267">
        <f>SUMIF(F2507:F2507,("h"),H2507:H2507)</f>
        <v>0</v>
      </c>
      <c r="I2508" s="1830"/>
      <c r="J2508" s="1795"/>
      <c r="K2508" s="1795"/>
      <c r="L2508" s="169"/>
      <c r="M2508" s="1783"/>
    </row>
    <row r="2509" spans="1:13" s="1517" customFormat="1" x14ac:dyDescent="0.25">
      <c r="A2509" s="1847"/>
      <c r="B2509" s="1847"/>
      <c r="C2509" s="1531"/>
      <c r="D2509" s="2141" t="s">
        <v>125</v>
      </c>
      <c r="E2509" s="2141"/>
      <c r="F2509" s="2141"/>
      <c r="G2509" s="2141"/>
      <c r="H2509" s="267">
        <f>SUMIF(F2507:F2507,"&lt;&gt;h",H2507:H2507)</f>
        <v>3.38</v>
      </c>
      <c r="I2509" s="1830"/>
      <c r="J2509" s="1795"/>
      <c r="K2509" s="1795"/>
      <c r="L2509" s="169"/>
      <c r="M2509" s="1783"/>
    </row>
    <row r="2510" spans="1:13" s="1517" customFormat="1" x14ac:dyDescent="0.25">
      <c r="A2510" s="1847"/>
      <c r="B2510" s="1847"/>
      <c r="C2510" s="1531"/>
      <c r="D2510" s="2142" t="s">
        <v>126</v>
      </c>
      <c r="E2510" s="2142"/>
      <c r="F2510" s="2142"/>
      <c r="G2510" s="2142"/>
      <c r="H2510" s="1532">
        <f>SUM(H2508:H2509)</f>
        <v>3.38</v>
      </c>
      <c r="I2510" s="1830"/>
      <c r="J2510" s="1795"/>
      <c r="K2510" s="1795"/>
      <c r="L2510" s="169"/>
      <c r="M2510" s="1783"/>
    </row>
    <row r="2511" spans="1:13" s="1517" customFormat="1" x14ac:dyDescent="0.25">
      <c r="A2511" s="1847"/>
      <c r="B2511" s="1847"/>
      <c r="C2511" s="1531"/>
      <c r="D2511" s="2141" t="s">
        <v>28</v>
      </c>
      <c r="E2511" s="2141"/>
      <c r="F2511" s="2141"/>
      <c r="G2511" s="2141"/>
      <c r="H2511" s="269">
        <f>E2506</f>
        <v>3</v>
      </c>
      <c r="I2511" s="1830"/>
      <c r="J2511" s="1795"/>
      <c r="K2511" s="1795"/>
      <c r="L2511" s="169"/>
      <c r="M2511" s="1783"/>
    </row>
    <row r="2512" spans="1:13" s="1517" customFormat="1" x14ac:dyDescent="0.25">
      <c r="A2512" s="1847"/>
      <c r="B2512" s="1847"/>
      <c r="C2512" s="1531"/>
      <c r="D2512" s="2142" t="s">
        <v>127</v>
      </c>
      <c r="E2512" s="2142"/>
      <c r="F2512" s="2142"/>
      <c r="G2512" s="2142"/>
      <c r="H2512" s="1532">
        <f>ROUND(H2510*H2511,2)</f>
        <v>10.14</v>
      </c>
      <c r="I2512" s="1830"/>
      <c r="J2512" s="1795"/>
      <c r="K2512" s="1795"/>
      <c r="L2512" s="169"/>
      <c r="M2512" s="1783"/>
    </row>
    <row r="2513" spans="1:13" s="1517" customFormat="1" x14ac:dyDescent="0.25">
      <c r="A2513" s="1847"/>
      <c r="B2513" s="1847"/>
      <c r="C2513" s="1531"/>
      <c r="D2513" s="2141" t="s">
        <v>15335</v>
      </c>
      <c r="E2513" s="2141"/>
      <c r="F2513" s="2141"/>
      <c r="G2513" s="2141"/>
      <c r="H2513" s="267">
        <f>ROUND(H2510*$B$13,2)</f>
        <v>0.91</v>
      </c>
      <c r="I2513" s="1830"/>
      <c r="J2513" s="1795"/>
      <c r="K2513" s="1795"/>
      <c r="L2513" s="169"/>
      <c r="M2513" s="1783"/>
    </row>
    <row r="2514" spans="1:13" x14ac:dyDescent="0.25">
      <c r="A2514" s="1847"/>
      <c r="B2514" s="1847"/>
      <c r="C2514" s="1531"/>
      <c r="D2514" s="2142" t="s">
        <v>7898</v>
      </c>
      <c r="E2514" s="2142"/>
      <c r="F2514" s="2142"/>
      <c r="G2514" s="2142"/>
      <c r="H2514" s="1532">
        <f>H2513+H2510</f>
        <v>4.29</v>
      </c>
    </row>
    <row r="2515" spans="1:13" x14ac:dyDescent="0.25">
      <c r="A2515" s="1514"/>
      <c r="B2515" s="1514"/>
      <c r="C2515" s="1514"/>
      <c r="F2515" s="1533"/>
      <c r="G2515" s="1534"/>
      <c r="H2515" s="1514"/>
    </row>
    <row r="2516" spans="1:13" s="1517" customFormat="1" x14ac:dyDescent="0.25">
      <c r="A2516" s="146" t="s">
        <v>6</v>
      </c>
      <c r="B2516" s="2143" t="s">
        <v>7</v>
      </c>
      <c r="C2516" s="2143"/>
      <c r="D2516" s="1518" t="s">
        <v>121</v>
      </c>
      <c r="E2516" s="278" t="s">
        <v>5282</v>
      </c>
      <c r="F2516" s="1518" t="s">
        <v>31</v>
      </c>
      <c r="G2516" s="1519" t="s">
        <v>122</v>
      </c>
      <c r="H2516" s="1520" t="s">
        <v>123</v>
      </c>
      <c r="I2516" s="1830"/>
      <c r="J2516" s="1795"/>
      <c r="K2516" s="1795"/>
      <c r="L2516" s="169"/>
      <c r="M2516" s="1783"/>
    </row>
    <row r="2517" spans="1:13" s="1526" customFormat="1" ht="30" x14ac:dyDescent="0.2">
      <c r="A2517" s="1891" t="str">
        <f>'Orç - Prédio'!A461</f>
        <v>06.01.263.06</v>
      </c>
      <c r="B2517" s="1891" t="str">
        <f>'Orç - Prédio'!B461</f>
        <v>ORSE</v>
      </c>
      <c r="C2517" s="1891" t="str">
        <f>'Orç - Prédio'!C461</f>
        <v>10624 INSUMO</v>
      </c>
      <c r="D2517" s="1865" t="s">
        <v>9075</v>
      </c>
      <c r="E2517" s="1866">
        <f>'Orç - Prédio'!E461</f>
        <v>3</v>
      </c>
      <c r="F2517" s="1891" t="s">
        <v>5284</v>
      </c>
      <c r="G2517" s="1524">
        <v>2.74</v>
      </c>
      <c r="H2517" s="1525">
        <f>H2523</f>
        <v>8.2200000000000006</v>
      </c>
      <c r="I2517" s="1910" t="s">
        <v>14965</v>
      </c>
      <c r="J2517" s="1793"/>
      <c r="K2517" s="1793"/>
      <c r="L2517" s="141"/>
      <c r="M2517" s="1515"/>
    </row>
    <row r="2518" spans="1:13" s="1859" customFormat="1" ht="30" x14ac:dyDescent="0.2">
      <c r="A2518" s="2144">
        <v>10624</v>
      </c>
      <c r="B2518" s="2144"/>
      <c r="C2518" s="1863" t="s">
        <v>5281</v>
      </c>
      <c r="D2518" s="1862" t="s">
        <v>9326</v>
      </c>
      <c r="E2518" s="1864">
        <v>1</v>
      </c>
      <c r="F2518" s="1890" t="s">
        <v>31</v>
      </c>
      <c r="G2518" s="367">
        <v>2.74</v>
      </c>
      <c r="H2518" s="1857">
        <f>ROUNDDOWN(G2518*E2518,2)</f>
        <v>2.74</v>
      </c>
      <c r="I2518" s="1856"/>
      <c r="J2518" s="1797"/>
      <c r="K2518" s="1797"/>
      <c r="L2518" s="1784"/>
      <c r="M2518" s="1785"/>
    </row>
    <row r="2519" spans="1:13" s="1517" customFormat="1" x14ac:dyDescent="0.25">
      <c r="A2519" s="1847"/>
      <c r="B2519" s="1847"/>
      <c r="C2519" s="1531"/>
      <c r="D2519" s="2141" t="s">
        <v>124</v>
      </c>
      <c r="E2519" s="2141"/>
      <c r="F2519" s="2141"/>
      <c r="G2519" s="2141"/>
      <c r="H2519" s="267">
        <f>SUMIF(F2518:F2518,("h"),H2518:H2518)</f>
        <v>0</v>
      </c>
      <c r="I2519" s="1830"/>
      <c r="J2519" s="1795"/>
      <c r="K2519" s="1795"/>
      <c r="L2519" s="169"/>
      <c r="M2519" s="1783"/>
    </row>
    <row r="2520" spans="1:13" s="1517" customFormat="1" x14ac:dyDescent="0.25">
      <c r="A2520" s="1847"/>
      <c r="B2520" s="1847"/>
      <c r="C2520" s="1531"/>
      <c r="D2520" s="2141" t="s">
        <v>125</v>
      </c>
      <c r="E2520" s="2141"/>
      <c r="F2520" s="2141"/>
      <c r="G2520" s="2141"/>
      <c r="H2520" s="267">
        <f>SUMIF(F2518:F2518,"&lt;&gt;h",H2518:H2518)</f>
        <v>2.74</v>
      </c>
      <c r="I2520" s="1830"/>
      <c r="J2520" s="1795"/>
      <c r="K2520" s="1795"/>
      <c r="L2520" s="169"/>
      <c r="M2520" s="1783"/>
    </row>
    <row r="2521" spans="1:13" s="1517" customFormat="1" x14ac:dyDescent="0.25">
      <c r="A2521" s="1847"/>
      <c r="B2521" s="1847"/>
      <c r="C2521" s="1531"/>
      <c r="D2521" s="2142" t="s">
        <v>126</v>
      </c>
      <c r="E2521" s="2142"/>
      <c r="F2521" s="2142"/>
      <c r="G2521" s="2142"/>
      <c r="H2521" s="1532">
        <f>SUM(H2519:H2520)</f>
        <v>2.74</v>
      </c>
      <c r="I2521" s="1830"/>
      <c r="J2521" s="1795"/>
      <c r="K2521" s="1795"/>
      <c r="L2521" s="169"/>
      <c r="M2521" s="1783"/>
    </row>
    <row r="2522" spans="1:13" s="1517" customFormat="1" x14ac:dyDescent="0.25">
      <c r="A2522" s="1847"/>
      <c r="B2522" s="1847"/>
      <c r="C2522" s="1531"/>
      <c r="D2522" s="2141" t="s">
        <v>28</v>
      </c>
      <c r="E2522" s="2141"/>
      <c r="F2522" s="2141"/>
      <c r="G2522" s="2141"/>
      <c r="H2522" s="269">
        <f>E2517</f>
        <v>3</v>
      </c>
      <c r="I2522" s="1830"/>
      <c r="J2522" s="1795"/>
      <c r="K2522" s="1795"/>
      <c r="L2522" s="169"/>
      <c r="M2522" s="1783"/>
    </row>
    <row r="2523" spans="1:13" s="1517" customFormat="1" x14ac:dyDescent="0.25">
      <c r="A2523" s="1847"/>
      <c r="B2523" s="1847"/>
      <c r="C2523" s="1531"/>
      <c r="D2523" s="2142" t="s">
        <v>127</v>
      </c>
      <c r="E2523" s="2142"/>
      <c r="F2523" s="2142"/>
      <c r="G2523" s="2142"/>
      <c r="H2523" s="1532">
        <f>ROUND(H2521*H2522,2)</f>
        <v>8.2200000000000006</v>
      </c>
      <c r="I2523" s="1830"/>
      <c r="J2523" s="1795"/>
      <c r="K2523" s="1795"/>
      <c r="L2523" s="169"/>
      <c r="M2523" s="1783"/>
    </row>
    <row r="2524" spans="1:13" s="1517" customFormat="1" x14ac:dyDescent="0.25">
      <c r="A2524" s="1847"/>
      <c r="B2524" s="1847"/>
      <c r="C2524" s="1531"/>
      <c r="D2524" s="2141" t="s">
        <v>15335</v>
      </c>
      <c r="E2524" s="2141"/>
      <c r="F2524" s="2141"/>
      <c r="G2524" s="2141"/>
      <c r="H2524" s="267">
        <f>ROUND(H2521*$B$13,2)</f>
        <v>0.74</v>
      </c>
      <c r="I2524" s="1830"/>
      <c r="J2524" s="1795"/>
      <c r="K2524" s="1795"/>
      <c r="L2524" s="169"/>
      <c r="M2524" s="1783"/>
    </row>
    <row r="2525" spans="1:13" x14ac:dyDescent="0.25">
      <c r="A2525" s="1847"/>
      <c r="B2525" s="1847"/>
      <c r="C2525" s="1531"/>
      <c r="D2525" s="2142" t="s">
        <v>7898</v>
      </c>
      <c r="E2525" s="2142"/>
      <c r="F2525" s="2142"/>
      <c r="G2525" s="2142"/>
      <c r="H2525" s="1532">
        <f>H2524+H2521</f>
        <v>3.4800000000000004</v>
      </c>
    </row>
    <row r="2526" spans="1:13" x14ac:dyDescent="0.25">
      <c r="A2526" s="1514"/>
      <c r="B2526" s="1514"/>
      <c r="C2526" s="1514"/>
      <c r="F2526" s="1533"/>
      <c r="G2526" s="1534"/>
      <c r="H2526" s="1514"/>
    </row>
    <row r="2527" spans="1:13" s="1517" customFormat="1" x14ac:dyDescent="0.25">
      <c r="A2527" s="146" t="s">
        <v>6</v>
      </c>
      <c r="B2527" s="2143" t="s">
        <v>7</v>
      </c>
      <c r="C2527" s="2143"/>
      <c r="D2527" s="1518" t="s">
        <v>121</v>
      </c>
      <c r="E2527" s="278" t="s">
        <v>5282</v>
      </c>
      <c r="F2527" s="1518" t="s">
        <v>31</v>
      </c>
      <c r="G2527" s="1519" t="s">
        <v>122</v>
      </c>
      <c r="H2527" s="1520" t="s">
        <v>123</v>
      </c>
      <c r="I2527" s="1830"/>
      <c r="J2527" s="1795"/>
      <c r="K2527" s="1795"/>
      <c r="L2527" s="169"/>
      <c r="M2527" s="1783"/>
    </row>
    <row r="2528" spans="1:13" s="1526" customFormat="1" ht="30" x14ac:dyDescent="0.2">
      <c r="A2528" s="1891" t="str">
        <f>'Orç - Prédio'!A462</f>
        <v>06.01.263.07</v>
      </c>
      <c r="B2528" s="1891" t="str">
        <f>'Orç - Prédio'!B462</f>
        <v>ORSE</v>
      </c>
      <c r="C2528" s="1891" t="str">
        <f>'Orç - Prédio'!C462</f>
        <v>10630 INSUMO</v>
      </c>
      <c r="D2528" s="1865" t="s">
        <v>9076</v>
      </c>
      <c r="E2528" s="1866">
        <f>'Orç - Prédio'!E462</f>
        <v>18</v>
      </c>
      <c r="F2528" s="1891" t="s">
        <v>5284</v>
      </c>
      <c r="G2528" s="1524">
        <v>21.8</v>
      </c>
      <c r="H2528" s="1525">
        <f>H2534</f>
        <v>392.4</v>
      </c>
      <c r="I2528" s="1910" t="s">
        <v>14965</v>
      </c>
      <c r="J2528" s="1793"/>
      <c r="K2528" s="1793"/>
      <c r="L2528" s="141"/>
      <c r="M2528" s="1515"/>
    </row>
    <row r="2529" spans="1:13" s="1859" customFormat="1" ht="75" x14ac:dyDescent="0.2">
      <c r="A2529" s="2144">
        <v>10630</v>
      </c>
      <c r="B2529" s="2144"/>
      <c r="C2529" s="1863" t="s">
        <v>5281</v>
      </c>
      <c r="D2529" s="1862" t="s">
        <v>9328</v>
      </c>
      <c r="E2529" s="1864">
        <v>1</v>
      </c>
      <c r="F2529" s="1890" t="s">
        <v>31</v>
      </c>
      <c r="G2529" s="367">
        <v>21.8</v>
      </c>
      <c r="H2529" s="1857">
        <f>ROUNDDOWN(G2529*E2529,2)</f>
        <v>21.8</v>
      </c>
      <c r="I2529" s="1856"/>
      <c r="J2529" s="1797"/>
      <c r="K2529" s="1797"/>
      <c r="L2529" s="1784"/>
      <c r="M2529" s="1785"/>
    </row>
    <row r="2530" spans="1:13" s="1517" customFormat="1" x14ac:dyDescent="0.25">
      <c r="A2530" s="1847"/>
      <c r="B2530" s="1847"/>
      <c r="C2530" s="1531"/>
      <c r="D2530" s="2141" t="s">
        <v>124</v>
      </c>
      <c r="E2530" s="2141"/>
      <c r="F2530" s="2141"/>
      <c r="G2530" s="2141"/>
      <c r="H2530" s="267">
        <f>SUMIF(F2529:F2529,("h"),H2529:H2529)</f>
        <v>0</v>
      </c>
      <c r="I2530" s="1830"/>
      <c r="J2530" s="1795"/>
      <c r="K2530" s="1795"/>
      <c r="L2530" s="169"/>
      <c r="M2530" s="1783"/>
    </row>
    <row r="2531" spans="1:13" s="1517" customFormat="1" x14ac:dyDescent="0.25">
      <c r="A2531" s="1847"/>
      <c r="B2531" s="1847"/>
      <c r="C2531" s="1531"/>
      <c r="D2531" s="2141" t="s">
        <v>125</v>
      </c>
      <c r="E2531" s="2141"/>
      <c r="F2531" s="2141"/>
      <c r="G2531" s="2141"/>
      <c r="H2531" s="267">
        <f>SUMIF(F2529:F2529,"&lt;&gt;h",H2529:H2529)</f>
        <v>21.8</v>
      </c>
      <c r="I2531" s="1830"/>
      <c r="J2531" s="1795"/>
      <c r="K2531" s="1795"/>
      <c r="L2531" s="169"/>
      <c r="M2531" s="1783"/>
    </row>
    <row r="2532" spans="1:13" s="1517" customFormat="1" x14ac:dyDescent="0.25">
      <c r="A2532" s="1847"/>
      <c r="B2532" s="1847"/>
      <c r="C2532" s="1531"/>
      <c r="D2532" s="2142" t="s">
        <v>126</v>
      </c>
      <c r="E2532" s="2142"/>
      <c r="F2532" s="2142"/>
      <c r="G2532" s="2142"/>
      <c r="H2532" s="1532">
        <f>SUM(H2530:H2531)</f>
        <v>21.8</v>
      </c>
      <c r="I2532" s="1830"/>
      <c r="J2532" s="1795"/>
      <c r="K2532" s="1795"/>
      <c r="L2532" s="169"/>
      <c r="M2532" s="1783"/>
    </row>
    <row r="2533" spans="1:13" s="1517" customFormat="1" x14ac:dyDescent="0.25">
      <c r="A2533" s="1847"/>
      <c r="B2533" s="1847"/>
      <c r="C2533" s="1531"/>
      <c r="D2533" s="2141" t="s">
        <v>28</v>
      </c>
      <c r="E2533" s="2141"/>
      <c r="F2533" s="2141"/>
      <c r="G2533" s="2141"/>
      <c r="H2533" s="269">
        <f>E2528</f>
        <v>18</v>
      </c>
      <c r="I2533" s="1830"/>
      <c r="J2533" s="1795"/>
      <c r="K2533" s="1795"/>
      <c r="L2533" s="169"/>
      <c r="M2533" s="1783"/>
    </row>
    <row r="2534" spans="1:13" s="1517" customFormat="1" x14ac:dyDescent="0.25">
      <c r="A2534" s="1847"/>
      <c r="B2534" s="1847"/>
      <c r="C2534" s="1531"/>
      <c r="D2534" s="2142" t="s">
        <v>127</v>
      </c>
      <c r="E2534" s="2142"/>
      <c r="F2534" s="2142"/>
      <c r="G2534" s="2142"/>
      <c r="H2534" s="1532">
        <f>ROUND(H2532*H2533,2)</f>
        <v>392.4</v>
      </c>
      <c r="I2534" s="1830"/>
      <c r="J2534" s="1795"/>
      <c r="K2534" s="1795"/>
      <c r="L2534" s="169"/>
      <c r="M2534" s="1783"/>
    </row>
    <row r="2535" spans="1:13" s="1517" customFormat="1" x14ac:dyDescent="0.25">
      <c r="A2535" s="1847"/>
      <c r="B2535" s="1847"/>
      <c r="C2535" s="1531"/>
      <c r="D2535" s="2141" t="s">
        <v>15335</v>
      </c>
      <c r="E2535" s="2141"/>
      <c r="F2535" s="2141"/>
      <c r="G2535" s="2141"/>
      <c r="H2535" s="267">
        <f>ROUND(H2532*$B$13,2)</f>
        <v>5.87</v>
      </c>
      <c r="I2535" s="1830"/>
      <c r="J2535" s="1795"/>
      <c r="K2535" s="1795"/>
      <c r="L2535" s="169"/>
      <c r="M2535" s="1783"/>
    </row>
    <row r="2536" spans="1:13" x14ac:dyDescent="0.25">
      <c r="A2536" s="1847"/>
      <c r="B2536" s="1847"/>
      <c r="C2536" s="1531"/>
      <c r="D2536" s="2142" t="s">
        <v>7898</v>
      </c>
      <c r="E2536" s="2142"/>
      <c r="F2536" s="2142"/>
      <c r="G2536" s="2142"/>
      <c r="H2536" s="1532">
        <f>H2535+H2532</f>
        <v>27.67</v>
      </c>
    </row>
    <row r="2537" spans="1:13" x14ac:dyDescent="0.25">
      <c r="A2537" s="1514"/>
      <c r="B2537" s="1514"/>
      <c r="C2537" s="1514"/>
      <c r="F2537" s="1533"/>
      <c r="G2537" s="1534"/>
      <c r="H2537" s="1514"/>
    </row>
    <row r="2538" spans="1:13" s="1517" customFormat="1" x14ac:dyDescent="0.25">
      <c r="A2538" s="146" t="s">
        <v>6</v>
      </c>
      <c r="B2538" s="2143" t="s">
        <v>7</v>
      </c>
      <c r="C2538" s="2143"/>
      <c r="D2538" s="1518" t="s">
        <v>121</v>
      </c>
      <c r="E2538" s="278" t="s">
        <v>5282</v>
      </c>
      <c r="F2538" s="1518" t="s">
        <v>31</v>
      </c>
      <c r="G2538" s="1519" t="s">
        <v>122</v>
      </c>
      <c r="H2538" s="1520" t="s">
        <v>123</v>
      </c>
      <c r="I2538" s="1830"/>
      <c r="J2538" s="1795"/>
      <c r="K2538" s="1795"/>
      <c r="L2538" s="169"/>
      <c r="M2538" s="1783"/>
    </row>
    <row r="2539" spans="1:13" s="1526" customFormat="1" ht="30" x14ac:dyDescent="0.2">
      <c r="A2539" s="1891" t="str">
        <f>'Orç - Prédio'!A464</f>
        <v>06.01.263.09</v>
      </c>
      <c r="B2539" s="1891" t="str">
        <f>'Orç - Prédio'!B464</f>
        <v>ORSE</v>
      </c>
      <c r="C2539" s="1891" t="str">
        <f>'Orç - Prédio'!C464</f>
        <v>10692 INSUMO</v>
      </c>
      <c r="D2539" s="1865" t="s">
        <v>9078</v>
      </c>
      <c r="E2539" s="1866">
        <f>'Orç - Prédio'!E464</f>
        <v>3</v>
      </c>
      <c r="F2539" s="1891" t="s">
        <v>5284</v>
      </c>
      <c r="G2539" s="1524">
        <v>272.87</v>
      </c>
      <c r="H2539" s="1525">
        <f>H2545</f>
        <v>818.61</v>
      </c>
      <c r="I2539" s="1910" t="s">
        <v>14965</v>
      </c>
      <c r="J2539" s="1793"/>
      <c r="K2539" s="1793"/>
      <c r="L2539" s="141"/>
      <c r="M2539" s="1515"/>
    </row>
    <row r="2540" spans="1:13" s="1859" customFormat="1" x14ac:dyDescent="0.2">
      <c r="A2540" s="2144">
        <v>10692</v>
      </c>
      <c r="B2540" s="2144"/>
      <c r="C2540" s="1863" t="s">
        <v>5281</v>
      </c>
      <c r="D2540" s="1862" t="s">
        <v>9331</v>
      </c>
      <c r="E2540" s="1864">
        <v>1</v>
      </c>
      <c r="F2540" s="1890" t="s">
        <v>31</v>
      </c>
      <c r="G2540" s="367">
        <v>272.87</v>
      </c>
      <c r="H2540" s="1857">
        <f>ROUNDDOWN(G2540*E2540,2)</f>
        <v>272.87</v>
      </c>
      <c r="I2540" s="1856"/>
      <c r="J2540" s="1797"/>
      <c r="K2540" s="1797"/>
      <c r="L2540" s="1784"/>
      <c r="M2540" s="1785"/>
    </row>
    <row r="2541" spans="1:13" s="1517" customFormat="1" x14ac:dyDescent="0.25">
      <c r="A2541" s="1847"/>
      <c r="B2541" s="1847"/>
      <c r="C2541" s="1531"/>
      <c r="D2541" s="2141" t="s">
        <v>124</v>
      </c>
      <c r="E2541" s="2141"/>
      <c r="F2541" s="2141"/>
      <c r="G2541" s="2141"/>
      <c r="H2541" s="267">
        <f>SUMIF(F2540:F2540,("h"),H2540:H2540)</f>
        <v>0</v>
      </c>
      <c r="I2541" s="1830"/>
      <c r="J2541" s="1795"/>
      <c r="K2541" s="1795"/>
      <c r="L2541" s="169"/>
      <c r="M2541" s="1783"/>
    </row>
    <row r="2542" spans="1:13" s="1517" customFormat="1" x14ac:dyDescent="0.25">
      <c r="A2542" s="1847"/>
      <c r="B2542" s="1847"/>
      <c r="C2542" s="1531"/>
      <c r="D2542" s="2141" t="s">
        <v>125</v>
      </c>
      <c r="E2542" s="2141"/>
      <c r="F2542" s="2141"/>
      <c r="G2542" s="2141"/>
      <c r="H2542" s="267">
        <f>SUMIF(F2540:F2540,"&lt;&gt;h",H2540:H2540)</f>
        <v>272.87</v>
      </c>
      <c r="I2542" s="1830"/>
      <c r="J2542" s="1795"/>
      <c r="K2542" s="1795"/>
      <c r="L2542" s="169"/>
      <c r="M2542" s="1783"/>
    </row>
    <row r="2543" spans="1:13" s="1517" customFormat="1" x14ac:dyDescent="0.25">
      <c r="A2543" s="1847"/>
      <c r="B2543" s="1847"/>
      <c r="C2543" s="1531"/>
      <c r="D2543" s="2142" t="s">
        <v>126</v>
      </c>
      <c r="E2543" s="2142"/>
      <c r="F2543" s="2142"/>
      <c r="G2543" s="2142"/>
      <c r="H2543" s="1532">
        <f>SUM(H2541:H2542)</f>
        <v>272.87</v>
      </c>
      <c r="I2543" s="1830"/>
      <c r="J2543" s="1795"/>
      <c r="K2543" s="1795"/>
      <c r="L2543" s="169"/>
      <c r="M2543" s="1783"/>
    </row>
    <row r="2544" spans="1:13" s="1517" customFormat="1" x14ac:dyDescent="0.25">
      <c r="A2544" s="1847"/>
      <c r="B2544" s="1847"/>
      <c r="C2544" s="1531"/>
      <c r="D2544" s="2141" t="s">
        <v>28</v>
      </c>
      <c r="E2544" s="2141"/>
      <c r="F2544" s="2141"/>
      <c r="G2544" s="2141"/>
      <c r="H2544" s="269">
        <f>E2539</f>
        <v>3</v>
      </c>
      <c r="I2544" s="1830"/>
      <c r="J2544" s="1795"/>
      <c r="K2544" s="1795"/>
      <c r="L2544" s="169"/>
      <c r="M2544" s="1783"/>
    </row>
    <row r="2545" spans="1:13" s="1517" customFormat="1" x14ac:dyDescent="0.25">
      <c r="A2545" s="1847"/>
      <c r="B2545" s="1847"/>
      <c r="C2545" s="1531"/>
      <c r="D2545" s="2142" t="s">
        <v>127</v>
      </c>
      <c r="E2545" s="2142"/>
      <c r="F2545" s="2142"/>
      <c r="G2545" s="2142"/>
      <c r="H2545" s="1532">
        <f>ROUND(H2543*H2544,2)</f>
        <v>818.61</v>
      </c>
      <c r="I2545" s="1830"/>
      <c r="J2545" s="1795"/>
      <c r="K2545" s="1795"/>
      <c r="L2545" s="169"/>
      <c r="M2545" s="1783"/>
    </row>
    <row r="2546" spans="1:13" s="1517" customFormat="1" x14ac:dyDescent="0.25">
      <c r="A2546" s="1847"/>
      <c r="B2546" s="1847"/>
      <c r="C2546" s="1531"/>
      <c r="D2546" s="2141" t="s">
        <v>15335</v>
      </c>
      <c r="E2546" s="2141"/>
      <c r="F2546" s="2141"/>
      <c r="G2546" s="2141"/>
      <c r="H2546" s="267">
        <f>ROUND(H2543*$B$13,2)</f>
        <v>73.48</v>
      </c>
      <c r="I2546" s="1830"/>
      <c r="J2546" s="1795"/>
      <c r="K2546" s="1795"/>
      <c r="L2546" s="169"/>
      <c r="M2546" s="1783"/>
    </row>
    <row r="2547" spans="1:13" x14ac:dyDescent="0.25">
      <c r="A2547" s="1847"/>
      <c r="B2547" s="1847"/>
      <c r="C2547" s="1531"/>
      <c r="D2547" s="2142" t="s">
        <v>7898</v>
      </c>
      <c r="E2547" s="2142"/>
      <c r="F2547" s="2142"/>
      <c r="G2547" s="2142"/>
      <c r="H2547" s="1532">
        <f>H2546+H2543</f>
        <v>346.35</v>
      </c>
    </row>
    <row r="2548" spans="1:13" x14ac:dyDescent="0.25">
      <c r="A2548" s="1514"/>
      <c r="B2548" s="1514"/>
      <c r="C2548" s="1514"/>
      <c r="F2548" s="1533"/>
      <c r="G2548" s="1534"/>
      <c r="H2548" s="1514"/>
    </row>
    <row r="2549" spans="1:13" s="1517" customFormat="1" x14ac:dyDescent="0.25">
      <c r="A2549" s="146" t="s">
        <v>6</v>
      </c>
      <c r="B2549" s="2143" t="s">
        <v>7</v>
      </c>
      <c r="C2549" s="2143"/>
      <c r="D2549" s="1518" t="s">
        <v>121</v>
      </c>
      <c r="E2549" s="278" t="s">
        <v>5282</v>
      </c>
      <c r="F2549" s="1518" t="s">
        <v>31</v>
      </c>
      <c r="G2549" s="1519" t="s">
        <v>122</v>
      </c>
      <c r="H2549" s="1520" t="s">
        <v>123</v>
      </c>
      <c r="I2549" s="1830"/>
      <c r="J2549" s="1795"/>
      <c r="K2549" s="1795"/>
      <c r="L2549" s="169"/>
      <c r="M2549" s="1783"/>
    </row>
    <row r="2550" spans="1:13" s="1526" customFormat="1" ht="30" x14ac:dyDescent="0.2">
      <c r="A2550" s="1893" t="str">
        <f>'Orç - Prédio'!A465</f>
        <v>06.01.263.10</v>
      </c>
      <c r="B2550" s="1893" t="str">
        <f>'Orç - Prédio'!B465</f>
        <v>ORSE</v>
      </c>
      <c r="C2550" s="1893" t="str">
        <f>'Orç - Prédio'!C465</f>
        <v>10507 INSUMO</v>
      </c>
      <c r="D2550" s="1865" t="s">
        <v>9079</v>
      </c>
      <c r="E2550" s="1866">
        <f>'Orç - Prédio'!E465</f>
        <v>12</v>
      </c>
      <c r="F2550" s="1893" t="s">
        <v>5284</v>
      </c>
      <c r="G2550" s="1524">
        <v>17.87</v>
      </c>
      <c r="H2550" s="1525">
        <f>H2556</f>
        <v>214.44</v>
      </c>
      <c r="I2550" s="1910" t="s">
        <v>14965</v>
      </c>
      <c r="J2550" s="1793"/>
      <c r="K2550" s="1793"/>
      <c r="L2550" s="141"/>
      <c r="M2550" s="1515"/>
    </row>
    <row r="2551" spans="1:13" s="1859" customFormat="1" x14ac:dyDescent="0.2">
      <c r="A2551" s="2144">
        <v>10507</v>
      </c>
      <c r="B2551" s="2144"/>
      <c r="C2551" s="1863" t="s">
        <v>5281</v>
      </c>
      <c r="D2551" s="1862" t="s">
        <v>9334</v>
      </c>
      <c r="E2551" s="1864">
        <v>1</v>
      </c>
      <c r="F2551" s="1892" t="s">
        <v>31</v>
      </c>
      <c r="G2551" s="367">
        <v>17.87</v>
      </c>
      <c r="H2551" s="1857">
        <f>ROUNDDOWN(G2551*E2551,2)</f>
        <v>17.87</v>
      </c>
      <c r="I2551" s="1856"/>
      <c r="J2551" s="1797"/>
      <c r="K2551" s="1797"/>
      <c r="L2551" s="1784"/>
      <c r="M2551" s="1785"/>
    </row>
    <row r="2552" spans="1:13" s="1517" customFormat="1" x14ac:dyDescent="0.25">
      <c r="A2552" s="1847"/>
      <c r="B2552" s="1847"/>
      <c r="C2552" s="1531"/>
      <c r="D2552" s="2141" t="s">
        <v>124</v>
      </c>
      <c r="E2552" s="2141"/>
      <c r="F2552" s="2141"/>
      <c r="G2552" s="2141"/>
      <c r="H2552" s="267">
        <f>SUMIF(F2551:F2551,("h"),H2551:H2551)</f>
        <v>0</v>
      </c>
      <c r="I2552" s="1830"/>
      <c r="J2552" s="1795"/>
      <c r="K2552" s="1795"/>
      <c r="L2552" s="169"/>
      <c r="M2552" s="1783"/>
    </row>
    <row r="2553" spans="1:13" s="1517" customFormat="1" x14ac:dyDescent="0.25">
      <c r="A2553" s="1847"/>
      <c r="B2553" s="1847"/>
      <c r="C2553" s="1531"/>
      <c r="D2553" s="2141" t="s">
        <v>125</v>
      </c>
      <c r="E2553" s="2141"/>
      <c r="F2553" s="2141"/>
      <c r="G2553" s="2141"/>
      <c r="H2553" s="267">
        <f>SUMIF(F2551:F2551,"&lt;&gt;h",H2551:H2551)</f>
        <v>17.87</v>
      </c>
      <c r="I2553" s="1830"/>
      <c r="J2553" s="1795"/>
      <c r="K2553" s="1795"/>
      <c r="L2553" s="169"/>
      <c r="M2553" s="1783"/>
    </row>
    <row r="2554" spans="1:13" s="1517" customFormat="1" x14ac:dyDescent="0.25">
      <c r="A2554" s="1847"/>
      <c r="B2554" s="1847"/>
      <c r="C2554" s="1531"/>
      <c r="D2554" s="2142" t="s">
        <v>126</v>
      </c>
      <c r="E2554" s="2142"/>
      <c r="F2554" s="2142"/>
      <c r="G2554" s="2142"/>
      <c r="H2554" s="1532">
        <f>SUM(H2552:H2553)</f>
        <v>17.87</v>
      </c>
      <c r="I2554" s="1830"/>
      <c r="J2554" s="1795"/>
      <c r="K2554" s="1795"/>
      <c r="L2554" s="169"/>
      <c r="M2554" s="1783"/>
    </row>
    <row r="2555" spans="1:13" s="1517" customFormat="1" x14ac:dyDescent="0.25">
      <c r="A2555" s="1847"/>
      <c r="B2555" s="1847"/>
      <c r="C2555" s="1531"/>
      <c r="D2555" s="2141" t="s">
        <v>28</v>
      </c>
      <c r="E2555" s="2141"/>
      <c r="F2555" s="2141"/>
      <c r="G2555" s="2141"/>
      <c r="H2555" s="269">
        <f>E2550</f>
        <v>12</v>
      </c>
      <c r="I2555" s="1830"/>
      <c r="J2555" s="1795"/>
      <c r="K2555" s="1795"/>
      <c r="L2555" s="169"/>
      <c r="M2555" s="1783"/>
    </row>
    <row r="2556" spans="1:13" s="1517" customFormat="1" x14ac:dyDescent="0.25">
      <c r="A2556" s="1847"/>
      <c r="B2556" s="1847"/>
      <c r="C2556" s="1531"/>
      <c r="D2556" s="2142" t="s">
        <v>127</v>
      </c>
      <c r="E2556" s="2142"/>
      <c r="F2556" s="2142"/>
      <c r="G2556" s="2142"/>
      <c r="H2556" s="1532">
        <f>ROUND(H2554*H2555,2)</f>
        <v>214.44</v>
      </c>
      <c r="I2556" s="1830"/>
      <c r="J2556" s="1795"/>
      <c r="K2556" s="1795"/>
      <c r="L2556" s="169"/>
      <c r="M2556" s="1783"/>
    </row>
    <row r="2557" spans="1:13" s="1517" customFormat="1" x14ac:dyDescent="0.25">
      <c r="A2557" s="1847"/>
      <c r="B2557" s="1847"/>
      <c r="C2557" s="1531"/>
      <c r="D2557" s="2141" t="s">
        <v>15335</v>
      </c>
      <c r="E2557" s="2141"/>
      <c r="F2557" s="2141"/>
      <c r="G2557" s="2141"/>
      <c r="H2557" s="267">
        <f>ROUND(H2554*$B$13,2)</f>
        <v>4.8099999999999996</v>
      </c>
      <c r="I2557" s="1830"/>
      <c r="J2557" s="1795"/>
      <c r="K2557" s="1795"/>
      <c r="L2557" s="169"/>
      <c r="M2557" s="1783"/>
    </row>
    <row r="2558" spans="1:13" x14ac:dyDescent="0.25">
      <c r="A2558" s="1847"/>
      <c r="B2558" s="1847"/>
      <c r="C2558" s="1531"/>
      <c r="D2558" s="2142" t="s">
        <v>7898</v>
      </c>
      <c r="E2558" s="2142"/>
      <c r="F2558" s="2142"/>
      <c r="G2558" s="2142"/>
      <c r="H2558" s="1532">
        <f>H2557+H2554</f>
        <v>22.68</v>
      </c>
    </row>
    <row r="2559" spans="1:13" x14ac:dyDescent="0.25">
      <c r="A2559" s="1514"/>
      <c r="B2559" s="1514"/>
      <c r="C2559" s="1514"/>
      <c r="F2559" s="1533"/>
      <c r="G2559" s="1534"/>
      <c r="H2559" s="1514"/>
    </row>
    <row r="2560" spans="1:13" s="1517" customFormat="1" x14ac:dyDescent="0.25">
      <c r="A2560" s="146" t="s">
        <v>6</v>
      </c>
      <c r="B2560" s="2143" t="s">
        <v>7</v>
      </c>
      <c r="C2560" s="2143"/>
      <c r="D2560" s="1518" t="s">
        <v>121</v>
      </c>
      <c r="E2560" s="278" t="s">
        <v>5282</v>
      </c>
      <c r="F2560" s="1518" t="s">
        <v>31</v>
      </c>
      <c r="G2560" s="1519" t="s">
        <v>122</v>
      </c>
      <c r="H2560" s="1520" t="s">
        <v>123</v>
      </c>
      <c r="I2560" s="1830"/>
      <c r="J2560" s="1795"/>
      <c r="K2560" s="1795"/>
      <c r="L2560" s="169"/>
      <c r="M2560" s="1783"/>
    </row>
    <row r="2561" spans="1:13" s="1526" customFormat="1" ht="30" x14ac:dyDescent="0.2">
      <c r="A2561" s="1893" t="str">
        <f>'Orç - Prédio'!A466</f>
        <v>06.01.263.11</v>
      </c>
      <c r="B2561" s="1893" t="str">
        <f>'Orç - Prédio'!B466</f>
        <v>CPOS</v>
      </c>
      <c r="C2561" s="1893" t="str">
        <f>'Orç - Prédio'!C466</f>
        <v>P 19 000 049517</v>
      </c>
      <c r="D2561" s="1865" t="s">
        <v>9335</v>
      </c>
      <c r="E2561" s="1866">
        <f>'Orç - Prédio'!E466</f>
        <v>23</v>
      </c>
      <c r="F2561" s="1893" t="s">
        <v>5284</v>
      </c>
      <c r="G2561" s="1524">
        <v>17.86</v>
      </c>
      <c r="H2561" s="1525">
        <f>H2567</f>
        <v>410.78</v>
      </c>
      <c r="I2561" s="1910" t="s">
        <v>9564</v>
      </c>
      <c r="J2561" s="1793"/>
      <c r="K2561" s="1793"/>
      <c r="L2561" s="141"/>
      <c r="M2561" s="1515"/>
    </row>
    <row r="2562" spans="1:13" s="1859" customFormat="1" x14ac:dyDescent="0.2">
      <c r="A2562" s="2144" t="s">
        <v>9336</v>
      </c>
      <c r="B2562" s="2144"/>
      <c r="C2562" s="1863" t="s">
        <v>5696</v>
      </c>
      <c r="D2562" s="1862" t="s">
        <v>9337</v>
      </c>
      <c r="E2562" s="1864">
        <v>1</v>
      </c>
      <c r="F2562" s="1892" t="s">
        <v>31</v>
      </c>
      <c r="G2562" s="367">
        <v>17.86</v>
      </c>
      <c r="H2562" s="1857">
        <f>ROUNDDOWN(G2562*E2562,2)</f>
        <v>17.86</v>
      </c>
      <c r="I2562" s="1856"/>
      <c r="J2562" s="1797"/>
      <c r="K2562" s="1797"/>
      <c r="L2562" s="1784"/>
      <c r="M2562" s="1785"/>
    </row>
    <row r="2563" spans="1:13" s="1517" customFormat="1" x14ac:dyDescent="0.25">
      <c r="A2563" s="1847"/>
      <c r="B2563" s="1847"/>
      <c r="C2563" s="1531"/>
      <c r="D2563" s="2141" t="s">
        <v>124</v>
      </c>
      <c r="E2563" s="2141"/>
      <c r="F2563" s="2141"/>
      <c r="G2563" s="2141"/>
      <c r="H2563" s="267">
        <f>SUMIF(F2562:F2562,("h"),H2562:H2562)</f>
        <v>0</v>
      </c>
      <c r="I2563" s="1830"/>
      <c r="J2563" s="1795"/>
      <c r="K2563" s="1795"/>
      <c r="L2563" s="169"/>
      <c r="M2563" s="1783"/>
    </row>
    <row r="2564" spans="1:13" s="1517" customFormat="1" x14ac:dyDescent="0.25">
      <c r="A2564" s="1847"/>
      <c r="B2564" s="1847"/>
      <c r="C2564" s="1531"/>
      <c r="D2564" s="2141" t="s">
        <v>125</v>
      </c>
      <c r="E2564" s="2141"/>
      <c r="F2564" s="2141"/>
      <c r="G2564" s="2141"/>
      <c r="H2564" s="267">
        <f>SUMIF(F2562:F2562,"&lt;&gt;h",H2562:H2562)</f>
        <v>17.86</v>
      </c>
      <c r="I2564" s="1830"/>
      <c r="J2564" s="1795"/>
      <c r="K2564" s="1795"/>
      <c r="L2564" s="169"/>
      <c r="M2564" s="1783"/>
    </row>
    <row r="2565" spans="1:13" s="1517" customFormat="1" x14ac:dyDescent="0.25">
      <c r="A2565" s="1847"/>
      <c r="B2565" s="1847"/>
      <c r="C2565" s="1531"/>
      <c r="D2565" s="2142" t="s">
        <v>126</v>
      </c>
      <c r="E2565" s="2142"/>
      <c r="F2565" s="2142"/>
      <c r="G2565" s="2142"/>
      <c r="H2565" s="1532">
        <f>SUM(H2563:H2564)</f>
        <v>17.86</v>
      </c>
      <c r="I2565" s="1830"/>
      <c r="J2565" s="1795"/>
      <c r="K2565" s="1795"/>
      <c r="L2565" s="169"/>
      <c r="M2565" s="1783"/>
    </row>
    <row r="2566" spans="1:13" s="1517" customFormat="1" x14ac:dyDescent="0.25">
      <c r="A2566" s="1847"/>
      <c r="B2566" s="1847"/>
      <c r="C2566" s="1531"/>
      <c r="D2566" s="2141" t="s">
        <v>28</v>
      </c>
      <c r="E2566" s="2141"/>
      <c r="F2566" s="2141"/>
      <c r="G2566" s="2141"/>
      <c r="H2566" s="269">
        <f>E2561</f>
        <v>23</v>
      </c>
      <c r="I2566" s="1830"/>
      <c r="J2566" s="1795"/>
      <c r="K2566" s="1795"/>
      <c r="L2566" s="169"/>
      <c r="M2566" s="1783"/>
    </row>
    <row r="2567" spans="1:13" s="1517" customFormat="1" x14ac:dyDescent="0.25">
      <c r="A2567" s="1847"/>
      <c r="B2567" s="1847"/>
      <c r="C2567" s="1531"/>
      <c r="D2567" s="2142" t="s">
        <v>127</v>
      </c>
      <c r="E2567" s="2142"/>
      <c r="F2567" s="2142"/>
      <c r="G2567" s="2142"/>
      <c r="H2567" s="1532">
        <f>ROUND(H2565*H2566,2)</f>
        <v>410.78</v>
      </c>
      <c r="I2567" s="1830"/>
      <c r="J2567" s="1795"/>
      <c r="K2567" s="1795"/>
      <c r="L2567" s="169"/>
      <c r="M2567" s="1783"/>
    </row>
    <row r="2568" spans="1:13" s="1517" customFormat="1" x14ac:dyDescent="0.25">
      <c r="A2568" s="1847"/>
      <c r="B2568" s="1847"/>
      <c r="C2568" s="1531"/>
      <c r="D2568" s="2141" t="s">
        <v>15335</v>
      </c>
      <c r="E2568" s="2141"/>
      <c r="F2568" s="2141"/>
      <c r="G2568" s="2141"/>
      <c r="H2568" s="267">
        <f>ROUND(H2565*$B$13,2)</f>
        <v>4.8099999999999996</v>
      </c>
      <c r="I2568" s="1830"/>
      <c r="J2568" s="1795"/>
      <c r="K2568" s="1795"/>
      <c r="L2568" s="169"/>
      <c r="M2568" s="1783"/>
    </row>
    <row r="2569" spans="1:13" x14ac:dyDescent="0.25">
      <c r="A2569" s="1847"/>
      <c r="B2569" s="1847"/>
      <c r="C2569" s="1531"/>
      <c r="D2569" s="2142" t="s">
        <v>7898</v>
      </c>
      <c r="E2569" s="2142"/>
      <c r="F2569" s="2142"/>
      <c r="G2569" s="2142"/>
      <c r="H2569" s="1532">
        <f>H2568+H2565</f>
        <v>22.669999999999998</v>
      </c>
    </row>
    <row r="2570" spans="1:13" x14ac:dyDescent="0.25">
      <c r="A2570" s="1514"/>
      <c r="B2570" s="1514"/>
      <c r="C2570" s="1514"/>
      <c r="F2570" s="1533"/>
      <c r="G2570" s="1534"/>
      <c r="H2570" s="1514"/>
    </row>
    <row r="2571" spans="1:13" s="1517" customFormat="1" x14ac:dyDescent="0.25">
      <c r="A2571" s="146" t="s">
        <v>6</v>
      </c>
      <c r="B2571" s="2143" t="s">
        <v>7</v>
      </c>
      <c r="C2571" s="2143"/>
      <c r="D2571" s="1518" t="s">
        <v>121</v>
      </c>
      <c r="E2571" s="278" t="s">
        <v>5282</v>
      </c>
      <c r="F2571" s="1518" t="s">
        <v>31</v>
      </c>
      <c r="G2571" s="1519" t="s">
        <v>122</v>
      </c>
      <c r="H2571" s="1520" t="s">
        <v>123</v>
      </c>
      <c r="I2571" s="1830"/>
      <c r="J2571" s="1795"/>
      <c r="K2571" s="1795"/>
      <c r="L2571" s="169"/>
      <c r="M2571" s="1783"/>
    </row>
    <row r="2572" spans="1:13" s="1526" customFormat="1" ht="30" x14ac:dyDescent="0.2">
      <c r="A2572" s="1893" t="str">
        <f>'Orç - Prédio'!A467</f>
        <v>06.01.263.12</v>
      </c>
      <c r="B2572" s="1893" t="str">
        <f>'Orç - Prédio'!B467</f>
        <v>ORSE</v>
      </c>
      <c r="C2572" s="1893" t="str">
        <f>'Orç - Prédio'!C467</f>
        <v>2007 INSUMO</v>
      </c>
      <c r="D2572" s="1865" t="s">
        <v>9339</v>
      </c>
      <c r="E2572" s="1866">
        <f>'Orç - Prédio'!E467</f>
        <v>4</v>
      </c>
      <c r="F2572" s="1893" t="s">
        <v>5284</v>
      </c>
      <c r="G2572" s="1524">
        <v>1.99</v>
      </c>
      <c r="H2572" s="1525">
        <f>H2578</f>
        <v>7.96</v>
      </c>
      <c r="I2572" s="1910" t="s">
        <v>14965</v>
      </c>
      <c r="J2572" s="1793"/>
      <c r="K2572" s="1793"/>
      <c r="L2572" s="141"/>
      <c r="M2572" s="1515"/>
    </row>
    <row r="2573" spans="1:13" s="1859" customFormat="1" x14ac:dyDescent="0.2">
      <c r="A2573" s="2144">
        <v>2007</v>
      </c>
      <c r="B2573" s="2144"/>
      <c r="C2573" s="1863" t="s">
        <v>5281</v>
      </c>
      <c r="D2573" s="1862" t="s">
        <v>9340</v>
      </c>
      <c r="E2573" s="1864">
        <v>1</v>
      </c>
      <c r="F2573" s="1892" t="s">
        <v>31</v>
      </c>
      <c r="G2573" s="367">
        <v>1.99</v>
      </c>
      <c r="H2573" s="1857">
        <f>ROUNDDOWN(G2573*E2573,2)</f>
        <v>1.99</v>
      </c>
      <c r="I2573" s="1856"/>
      <c r="J2573" s="1797"/>
      <c r="K2573" s="1797"/>
      <c r="L2573" s="1784"/>
      <c r="M2573" s="1785"/>
    </row>
    <row r="2574" spans="1:13" s="1517" customFormat="1" x14ac:dyDescent="0.25">
      <c r="A2574" s="1847"/>
      <c r="B2574" s="1847"/>
      <c r="C2574" s="1531"/>
      <c r="D2574" s="2141" t="s">
        <v>124</v>
      </c>
      <c r="E2574" s="2141"/>
      <c r="F2574" s="2141"/>
      <c r="G2574" s="2141"/>
      <c r="H2574" s="267">
        <f>SUMIF(F2573:F2573,("h"),H2573:H2573)</f>
        <v>0</v>
      </c>
      <c r="I2574" s="1830"/>
      <c r="J2574" s="1795"/>
      <c r="K2574" s="1795"/>
      <c r="L2574" s="169"/>
      <c r="M2574" s="1783"/>
    </row>
    <row r="2575" spans="1:13" s="1517" customFormat="1" x14ac:dyDescent="0.25">
      <c r="A2575" s="1847"/>
      <c r="B2575" s="1847"/>
      <c r="C2575" s="1531"/>
      <c r="D2575" s="2141" t="s">
        <v>125</v>
      </c>
      <c r="E2575" s="2141"/>
      <c r="F2575" s="2141"/>
      <c r="G2575" s="2141"/>
      <c r="H2575" s="267">
        <f>SUMIF(F2573:F2573,"&lt;&gt;h",H2573:H2573)</f>
        <v>1.99</v>
      </c>
      <c r="I2575" s="1830"/>
      <c r="J2575" s="1795"/>
      <c r="K2575" s="1795"/>
      <c r="L2575" s="169"/>
      <c r="M2575" s="1783"/>
    </row>
    <row r="2576" spans="1:13" s="1517" customFormat="1" x14ac:dyDescent="0.25">
      <c r="A2576" s="1847"/>
      <c r="B2576" s="1847"/>
      <c r="C2576" s="1531"/>
      <c r="D2576" s="2142" t="s">
        <v>126</v>
      </c>
      <c r="E2576" s="2142"/>
      <c r="F2576" s="2142"/>
      <c r="G2576" s="2142"/>
      <c r="H2576" s="1532">
        <f>SUM(H2574:H2575)</f>
        <v>1.99</v>
      </c>
      <c r="I2576" s="1830"/>
      <c r="J2576" s="1795"/>
      <c r="K2576" s="1795"/>
      <c r="L2576" s="169"/>
      <c r="M2576" s="1783"/>
    </row>
    <row r="2577" spans="1:13" s="1517" customFormat="1" x14ac:dyDescent="0.25">
      <c r="A2577" s="1847"/>
      <c r="B2577" s="1847"/>
      <c r="C2577" s="1531"/>
      <c r="D2577" s="2141" t="s">
        <v>28</v>
      </c>
      <c r="E2577" s="2141"/>
      <c r="F2577" s="2141"/>
      <c r="G2577" s="2141"/>
      <c r="H2577" s="269">
        <f>E2572</f>
        <v>4</v>
      </c>
      <c r="I2577" s="1830"/>
      <c r="J2577" s="1795"/>
      <c r="K2577" s="1795"/>
      <c r="L2577" s="169"/>
      <c r="M2577" s="1783"/>
    </row>
    <row r="2578" spans="1:13" s="1517" customFormat="1" x14ac:dyDescent="0.25">
      <c r="A2578" s="1847"/>
      <c r="B2578" s="1847"/>
      <c r="C2578" s="1531"/>
      <c r="D2578" s="2142" t="s">
        <v>127</v>
      </c>
      <c r="E2578" s="2142"/>
      <c r="F2578" s="2142"/>
      <c r="G2578" s="2142"/>
      <c r="H2578" s="1532">
        <f>ROUND(H2576*H2577,2)</f>
        <v>7.96</v>
      </c>
      <c r="I2578" s="1830"/>
      <c r="J2578" s="1795"/>
      <c r="K2578" s="1795"/>
      <c r="L2578" s="169"/>
      <c r="M2578" s="1783"/>
    </row>
    <row r="2579" spans="1:13" s="1517" customFormat="1" x14ac:dyDescent="0.25">
      <c r="A2579" s="1847"/>
      <c r="B2579" s="1847"/>
      <c r="C2579" s="1531"/>
      <c r="D2579" s="2141" t="s">
        <v>15335</v>
      </c>
      <c r="E2579" s="2141"/>
      <c r="F2579" s="2141"/>
      <c r="G2579" s="2141"/>
      <c r="H2579" s="267">
        <f>ROUND(H2576*$B$13,2)</f>
        <v>0.54</v>
      </c>
      <c r="I2579" s="1830"/>
      <c r="J2579" s="1795"/>
      <c r="K2579" s="1795"/>
      <c r="L2579" s="169"/>
      <c r="M2579" s="1783"/>
    </row>
    <row r="2580" spans="1:13" x14ac:dyDescent="0.25">
      <c r="A2580" s="1847"/>
      <c r="B2580" s="1847"/>
      <c r="C2580" s="1531"/>
      <c r="D2580" s="2142" t="s">
        <v>7898</v>
      </c>
      <c r="E2580" s="2142"/>
      <c r="F2580" s="2142"/>
      <c r="G2580" s="2142"/>
      <c r="H2580" s="1532">
        <f>H2579+H2576</f>
        <v>2.5300000000000002</v>
      </c>
    </row>
    <row r="2581" spans="1:13" x14ac:dyDescent="0.25">
      <c r="A2581" s="1514"/>
      <c r="B2581" s="1514"/>
      <c r="C2581" s="1514"/>
      <c r="F2581" s="1533"/>
      <c r="G2581" s="1534"/>
      <c r="H2581" s="1514"/>
    </row>
    <row r="2582" spans="1:13" s="1517" customFormat="1" x14ac:dyDescent="0.25">
      <c r="A2582" s="146" t="s">
        <v>6</v>
      </c>
      <c r="B2582" s="2143" t="s">
        <v>7</v>
      </c>
      <c r="C2582" s="2143"/>
      <c r="D2582" s="1518" t="s">
        <v>121</v>
      </c>
      <c r="E2582" s="278" t="s">
        <v>5282</v>
      </c>
      <c r="F2582" s="1518" t="s">
        <v>31</v>
      </c>
      <c r="G2582" s="1519" t="s">
        <v>122</v>
      </c>
      <c r="H2582" s="1520" t="s">
        <v>123</v>
      </c>
      <c r="I2582" s="1830"/>
      <c r="J2582" s="1795"/>
      <c r="K2582" s="1795"/>
      <c r="L2582" s="169"/>
      <c r="M2582" s="1783"/>
    </row>
    <row r="2583" spans="1:13" s="1526" customFormat="1" ht="30" x14ac:dyDescent="0.2">
      <c r="A2583" s="1893" t="str">
        <f>'Orç - Prédio'!A468</f>
        <v>06.01.263.13</v>
      </c>
      <c r="B2583" s="1893" t="str">
        <f>'Orç - Prédio'!B468</f>
        <v>ORSE</v>
      </c>
      <c r="C2583" s="1893" t="str">
        <f>'Orç - Prédio'!C468</f>
        <v>1585 INSUMO</v>
      </c>
      <c r="D2583" s="1865" t="s">
        <v>9080</v>
      </c>
      <c r="E2583" s="1866">
        <f>'Orç - Prédio'!E468</f>
        <v>17</v>
      </c>
      <c r="F2583" s="1893" t="s">
        <v>5284</v>
      </c>
      <c r="G2583" s="1524">
        <v>11.83</v>
      </c>
      <c r="H2583" s="1525">
        <f>H2589</f>
        <v>201.11</v>
      </c>
      <c r="I2583" s="1910" t="s">
        <v>14965</v>
      </c>
      <c r="J2583" s="1793"/>
      <c r="K2583" s="1793"/>
      <c r="L2583" s="141"/>
      <c r="M2583" s="1515"/>
    </row>
    <row r="2584" spans="1:13" s="1859" customFormat="1" x14ac:dyDescent="0.2">
      <c r="A2584" s="2144">
        <v>1585</v>
      </c>
      <c r="B2584" s="2144"/>
      <c r="C2584" s="1863" t="s">
        <v>5281</v>
      </c>
      <c r="D2584" s="1862" t="s">
        <v>9343</v>
      </c>
      <c r="E2584" s="1864">
        <v>1</v>
      </c>
      <c r="F2584" s="1892" t="s">
        <v>31</v>
      </c>
      <c r="G2584" s="367">
        <v>11.83</v>
      </c>
      <c r="H2584" s="1857">
        <f>ROUNDDOWN(G2584*E2584,2)</f>
        <v>11.83</v>
      </c>
      <c r="I2584" s="1856"/>
      <c r="J2584" s="1797"/>
      <c r="K2584" s="1797"/>
      <c r="L2584" s="1784"/>
      <c r="M2584" s="1785"/>
    </row>
    <row r="2585" spans="1:13" s="1517" customFormat="1" x14ac:dyDescent="0.25">
      <c r="A2585" s="1847"/>
      <c r="B2585" s="1847"/>
      <c r="C2585" s="1531"/>
      <c r="D2585" s="2141" t="s">
        <v>124</v>
      </c>
      <c r="E2585" s="2141"/>
      <c r="F2585" s="2141"/>
      <c r="G2585" s="2141"/>
      <c r="H2585" s="267">
        <f>SUMIF(F2584:F2584,("h"),H2584:H2584)</f>
        <v>0</v>
      </c>
      <c r="I2585" s="1830"/>
      <c r="J2585" s="1795"/>
      <c r="K2585" s="1795"/>
      <c r="L2585" s="169"/>
      <c r="M2585" s="1783"/>
    </row>
    <row r="2586" spans="1:13" s="1517" customFormat="1" x14ac:dyDescent="0.25">
      <c r="A2586" s="1847"/>
      <c r="B2586" s="1847"/>
      <c r="C2586" s="1531"/>
      <c r="D2586" s="2141" t="s">
        <v>125</v>
      </c>
      <c r="E2586" s="2141"/>
      <c r="F2586" s="2141"/>
      <c r="G2586" s="2141"/>
      <c r="H2586" s="267">
        <f>SUMIF(F2584:F2584,"&lt;&gt;h",H2584:H2584)</f>
        <v>11.83</v>
      </c>
      <c r="I2586" s="1830"/>
      <c r="J2586" s="1795"/>
      <c r="K2586" s="1795"/>
      <c r="L2586" s="169"/>
      <c r="M2586" s="1783"/>
    </row>
    <row r="2587" spans="1:13" s="1517" customFormat="1" x14ac:dyDescent="0.25">
      <c r="A2587" s="1847"/>
      <c r="B2587" s="1847"/>
      <c r="C2587" s="1531"/>
      <c r="D2587" s="2142" t="s">
        <v>126</v>
      </c>
      <c r="E2587" s="2142"/>
      <c r="F2587" s="2142"/>
      <c r="G2587" s="2142"/>
      <c r="H2587" s="1532">
        <f>SUM(H2585:H2586)</f>
        <v>11.83</v>
      </c>
      <c r="I2587" s="1830"/>
      <c r="J2587" s="1795"/>
      <c r="K2587" s="1795"/>
      <c r="L2587" s="169"/>
      <c r="M2587" s="1783"/>
    </row>
    <row r="2588" spans="1:13" s="1517" customFormat="1" x14ac:dyDescent="0.25">
      <c r="A2588" s="1847"/>
      <c r="B2588" s="1847"/>
      <c r="C2588" s="1531"/>
      <c r="D2588" s="2141" t="s">
        <v>28</v>
      </c>
      <c r="E2588" s="2141"/>
      <c r="F2588" s="2141"/>
      <c r="G2588" s="2141"/>
      <c r="H2588" s="269">
        <f>E2583</f>
        <v>17</v>
      </c>
      <c r="I2588" s="1830"/>
      <c r="J2588" s="1795"/>
      <c r="K2588" s="1795"/>
      <c r="L2588" s="169"/>
      <c r="M2588" s="1783"/>
    </row>
    <row r="2589" spans="1:13" s="1517" customFormat="1" x14ac:dyDescent="0.25">
      <c r="A2589" s="1847"/>
      <c r="B2589" s="1847"/>
      <c r="C2589" s="1531"/>
      <c r="D2589" s="2142" t="s">
        <v>127</v>
      </c>
      <c r="E2589" s="2142"/>
      <c r="F2589" s="2142"/>
      <c r="G2589" s="2142"/>
      <c r="H2589" s="1532">
        <f>ROUND(H2587*H2588,2)</f>
        <v>201.11</v>
      </c>
      <c r="I2589" s="1830"/>
      <c r="J2589" s="1795"/>
      <c r="K2589" s="1795"/>
      <c r="L2589" s="169"/>
      <c r="M2589" s="1783"/>
    </row>
    <row r="2590" spans="1:13" s="1517" customFormat="1" x14ac:dyDescent="0.25">
      <c r="A2590" s="1847"/>
      <c r="B2590" s="1847"/>
      <c r="C2590" s="1531"/>
      <c r="D2590" s="2141" t="s">
        <v>15335</v>
      </c>
      <c r="E2590" s="2141"/>
      <c r="F2590" s="2141"/>
      <c r="G2590" s="2141"/>
      <c r="H2590" s="267">
        <f>ROUND(H2587*$B$13,2)</f>
        <v>3.19</v>
      </c>
      <c r="I2590" s="1830"/>
      <c r="J2590" s="1795"/>
      <c r="K2590" s="1795"/>
      <c r="L2590" s="169"/>
      <c r="M2590" s="1783"/>
    </row>
    <row r="2591" spans="1:13" x14ac:dyDescent="0.25">
      <c r="A2591" s="1847"/>
      <c r="B2591" s="1847"/>
      <c r="C2591" s="1531"/>
      <c r="D2591" s="2142" t="s">
        <v>7898</v>
      </c>
      <c r="E2591" s="2142"/>
      <c r="F2591" s="2142"/>
      <c r="G2591" s="2142"/>
      <c r="H2591" s="1532">
        <f>H2590+H2587</f>
        <v>15.02</v>
      </c>
    </row>
    <row r="2592" spans="1:13" x14ac:dyDescent="0.25">
      <c r="A2592" s="1514"/>
      <c r="B2592" s="1514"/>
      <c r="C2592" s="1514"/>
      <c r="F2592" s="1533"/>
      <c r="G2592" s="1534"/>
      <c r="H2592" s="1514"/>
    </row>
    <row r="2593" spans="1:13" s="1517" customFormat="1" x14ac:dyDescent="0.25">
      <c r="A2593" s="146" t="s">
        <v>6</v>
      </c>
      <c r="B2593" s="2143" t="s">
        <v>7</v>
      </c>
      <c r="C2593" s="2143"/>
      <c r="D2593" s="1518" t="s">
        <v>121</v>
      </c>
      <c r="E2593" s="278" t="s">
        <v>5282</v>
      </c>
      <c r="F2593" s="1518" t="s">
        <v>31</v>
      </c>
      <c r="G2593" s="1519" t="s">
        <v>122</v>
      </c>
      <c r="H2593" s="1520" t="s">
        <v>123</v>
      </c>
      <c r="I2593" s="1830"/>
      <c r="J2593" s="1795"/>
      <c r="K2593" s="1795"/>
      <c r="L2593" s="169"/>
      <c r="M2593" s="1783"/>
    </row>
    <row r="2594" spans="1:13" s="1526" customFormat="1" ht="30" x14ac:dyDescent="0.2">
      <c r="A2594" s="1893" t="str">
        <f>'Orç - Prédio'!A470</f>
        <v>06.01.263.15</v>
      </c>
      <c r="B2594" s="1893" t="str">
        <f>'Orç - Prédio'!B470</f>
        <v>ORSE</v>
      </c>
      <c r="C2594" s="1893" t="str">
        <f>'Orç - Prédio'!C470</f>
        <v>3457 INSUMO</v>
      </c>
      <c r="D2594" s="1865" t="s">
        <v>9082</v>
      </c>
      <c r="E2594" s="1866">
        <f>'Orç - Prédio'!E470</f>
        <v>4</v>
      </c>
      <c r="F2594" s="1893" t="s">
        <v>5284</v>
      </c>
      <c r="G2594" s="1524">
        <v>18.28</v>
      </c>
      <c r="H2594" s="1525">
        <f>H2600</f>
        <v>73.12</v>
      </c>
      <c r="I2594" s="1910" t="s">
        <v>14965</v>
      </c>
      <c r="J2594" s="1793"/>
      <c r="K2594" s="1793"/>
      <c r="L2594" s="141"/>
      <c r="M2594" s="1515"/>
    </row>
    <row r="2595" spans="1:13" s="1859" customFormat="1" x14ac:dyDescent="0.2">
      <c r="A2595" s="2144">
        <v>3457</v>
      </c>
      <c r="B2595" s="2144"/>
      <c r="C2595" s="1863" t="s">
        <v>5281</v>
      </c>
      <c r="D2595" s="1862" t="s">
        <v>9345</v>
      </c>
      <c r="E2595" s="1864">
        <v>1</v>
      </c>
      <c r="F2595" s="1892" t="s">
        <v>31</v>
      </c>
      <c r="G2595" s="367">
        <v>18.28</v>
      </c>
      <c r="H2595" s="1857">
        <f>ROUNDDOWN(G2595*E2595,2)</f>
        <v>18.28</v>
      </c>
      <c r="I2595" s="1856"/>
      <c r="J2595" s="1797"/>
      <c r="K2595" s="1797"/>
      <c r="L2595" s="1784"/>
      <c r="M2595" s="1785"/>
    </row>
    <row r="2596" spans="1:13" s="1517" customFormat="1" x14ac:dyDescent="0.25">
      <c r="A2596" s="1847"/>
      <c r="B2596" s="1847"/>
      <c r="C2596" s="1531"/>
      <c r="D2596" s="2141" t="s">
        <v>124</v>
      </c>
      <c r="E2596" s="2141"/>
      <c r="F2596" s="2141"/>
      <c r="G2596" s="2141"/>
      <c r="H2596" s="267">
        <f>SUMIF(F2595:F2595,("h"),H2595:H2595)</f>
        <v>0</v>
      </c>
      <c r="I2596" s="1830"/>
      <c r="J2596" s="1795"/>
      <c r="K2596" s="1795"/>
      <c r="L2596" s="169"/>
      <c r="M2596" s="1783"/>
    </row>
    <row r="2597" spans="1:13" s="1517" customFormat="1" x14ac:dyDescent="0.25">
      <c r="A2597" s="1847"/>
      <c r="B2597" s="1847"/>
      <c r="C2597" s="1531"/>
      <c r="D2597" s="2141" t="s">
        <v>125</v>
      </c>
      <c r="E2597" s="2141"/>
      <c r="F2597" s="2141"/>
      <c r="G2597" s="2141"/>
      <c r="H2597" s="267">
        <f>SUMIF(F2595:F2595,"&lt;&gt;h",H2595:H2595)</f>
        <v>18.28</v>
      </c>
      <c r="I2597" s="1830"/>
      <c r="J2597" s="1795"/>
      <c r="K2597" s="1795"/>
      <c r="L2597" s="169"/>
      <c r="M2597" s="1783"/>
    </row>
    <row r="2598" spans="1:13" s="1517" customFormat="1" x14ac:dyDescent="0.25">
      <c r="A2598" s="1847"/>
      <c r="B2598" s="1847"/>
      <c r="C2598" s="1531"/>
      <c r="D2598" s="2142" t="s">
        <v>126</v>
      </c>
      <c r="E2598" s="2142"/>
      <c r="F2598" s="2142"/>
      <c r="G2598" s="2142"/>
      <c r="H2598" s="1532">
        <f>SUM(H2596:H2597)</f>
        <v>18.28</v>
      </c>
      <c r="I2598" s="1830"/>
      <c r="J2598" s="1795"/>
      <c r="K2598" s="1795"/>
      <c r="L2598" s="169"/>
      <c r="M2598" s="1783"/>
    </row>
    <row r="2599" spans="1:13" s="1517" customFormat="1" x14ac:dyDescent="0.25">
      <c r="A2599" s="1847"/>
      <c r="B2599" s="1847"/>
      <c r="C2599" s="1531"/>
      <c r="D2599" s="2141" t="s">
        <v>28</v>
      </c>
      <c r="E2599" s="2141"/>
      <c r="F2599" s="2141"/>
      <c r="G2599" s="2141"/>
      <c r="H2599" s="269">
        <f>E2594</f>
        <v>4</v>
      </c>
      <c r="I2599" s="1830"/>
      <c r="J2599" s="1795"/>
      <c r="K2599" s="1795"/>
      <c r="L2599" s="169"/>
      <c r="M2599" s="1783"/>
    </row>
    <row r="2600" spans="1:13" s="1517" customFormat="1" x14ac:dyDescent="0.25">
      <c r="A2600" s="1847"/>
      <c r="B2600" s="1847"/>
      <c r="C2600" s="1531"/>
      <c r="D2600" s="2142" t="s">
        <v>127</v>
      </c>
      <c r="E2600" s="2142"/>
      <c r="F2600" s="2142"/>
      <c r="G2600" s="2142"/>
      <c r="H2600" s="1532">
        <f>ROUND(H2598*H2599,2)</f>
        <v>73.12</v>
      </c>
      <c r="I2600" s="1830"/>
      <c r="J2600" s="1795"/>
      <c r="K2600" s="1795"/>
      <c r="L2600" s="169"/>
      <c r="M2600" s="1783"/>
    </row>
    <row r="2601" spans="1:13" s="1517" customFormat="1" x14ac:dyDescent="0.25">
      <c r="A2601" s="1847"/>
      <c r="B2601" s="1847"/>
      <c r="C2601" s="1531"/>
      <c r="D2601" s="2141" t="s">
        <v>15335</v>
      </c>
      <c r="E2601" s="2141"/>
      <c r="F2601" s="2141"/>
      <c r="G2601" s="2141"/>
      <c r="H2601" s="267">
        <f>ROUND(H2598*$B$13,2)</f>
        <v>4.92</v>
      </c>
      <c r="I2601" s="1830"/>
      <c r="J2601" s="1795"/>
      <c r="K2601" s="1795"/>
      <c r="L2601" s="169"/>
      <c r="M2601" s="1783"/>
    </row>
    <row r="2602" spans="1:13" x14ac:dyDescent="0.25">
      <c r="A2602" s="1847"/>
      <c r="B2602" s="1847"/>
      <c r="C2602" s="1531"/>
      <c r="D2602" s="2142" t="s">
        <v>7898</v>
      </c>
      <c r="E2602" s="2142"/>
      <c r="F2602" s="2142"/>
      <c r="G2602" s="2142"/>
      <c r="H2602" s="1532">
        <f>H2601+H2598</f>
        <v>23.200000000000003</v>
      </c>
    </row>
    <row r="2603" spans="1:13" x14ac:dyDescent="0.25">
      <c r="A2603" s="1514"/>
      <c r="B2603" s="1514"/>
      <c r="C2603" s="1514"/>
      <c r="F2603" s="1533"/>
      <c r="G2603" s="1534"/>
      <c r="H2603" s="1514"/>
    </row>
    <row r="2604" spans="1:13" s="1517" customFormat="1" x14ac:dyDescent="0.25">
      <c r="A2604" s="146" t="s">
        <v>6</v>
      </c>
      <c r="B2604" s="2143" t="s">
        <v>7</v>
      </c>
      <c r="C2604" s="2143"/>
      <c r="D2604" s="1518" t="s">
        <v>121</v>
      </c>
      <c r="E2604" s="278" t="s">
        <v>5282</v>
      </c>
      <c r="F2604" s="1518" t="s">
        <v>31</v>
      </c>
      <c r="G2604" s="1519" t="s">
        <v>122</v>
      </c>
      <c r="H2604" s="1520" t="s">
        <v>123</v>
      </c>
      <c r="I2604" s="1830"/>
      <c r="J2604" s="1795"/>
      <c r="K2604" s="1795"/>
      <c r="L2604" s="169"/>
      <c r="M2604" s="1783"/>
    </row>
    <row r="2605" spans="1:13" s="1526" customFormat="1" ht="30" x14ac:dyDescent="0.2">
      <c r="A2605" s="1893" t="str">
        <f>'Orç - Prédio'!A472</f>
        <v>06.01.263.17</v>
      </c>
      <c r="B2605" s="1893" t="str">
        <f>'Orç - Prédio'!B472</f>
        <v>ORSE</v>
      </c>
      <c r="C2605" s="1893" t="str">
        <f>'Orç - Prédio'!C472</f>
        <v>3854 INSUMO</v>
      </c>
      <c r="D2605" s="1865" t="s">
        <v>9084</v>
      </c>
      <c r="E2605" s="1866">
        <f>'Orç - Prédio'!E472</f>
        <v>28</v>
      </c>
      <c r="F2605" s="1893" t="s">
        <v>5284</v>
      </c>
      <c r="G2605" s="1524">
        <v>0.73</v>
      </c>
      <c r="H2605" s="1525">
        <f>H2611</f>
        <v>20.440000000000001</v>
      </c>
      <c r="I2605" s="1910" t="s">
        <v>14965</v>
      </c>
      <c r="J2605" s="1793"/>
      <c r="K2605" s="1793"/>
      <c r="L2605" s="141"/>
      <c r="M2605" s="1515"/>
    </row>
    <row r="2606" spans="1:13" s="1859" customFormat="1" x14ac:dyDescent="0.2">
      <c r="A2606" s="2144">
        <v>3854</v>
      </c>
      <c r="B2606" s="2144"/>
      <c r="C2606" s="1863" t="s">
        <v>5281</v>
      </c>
      <c r="D2606" s="1862" t="s">
        <v>9348</v>
      </c>
      <c r="E2606" s="1864">
        <v>1</v>
      </c>
      <c r="F2606" s="1892" t="s">
        <v>31</v>
      </c>
      <c r="G2606" s="367">
        <v>0.73</v>
      </c>
      <c r="H2606" s="1857">
        <f>ROUNDDOWN(G2606*E2606,2)</f>
        <v>0.73</v>
      </c>
      <c r="I2606" s="1856"/>
      <c r="J2606" s="1797"/>
      <c r="K2606" s="1797"/>
      <c r="L2606" s="1784"/>
      <c r="M2606" s="1785"/>
    </row>
    <row r="2607" spans="1:13" s="1517" customFormat="1" x14ac:dyDescent="0.25">
      <c r="A2607" s="1847"/>
      <c r="B2607" s="1847"/>
      <c r="C2607" s="1531"/>
      <c r="D2607" s="2141" t="s">
        <v>124</v>
      </c>
      <c r="E2607" s="2141"/>
      <c r="F2607" s="2141"/>
      <c r="G2607" s="2141"/>
      <c r="H2607" s="267">
        <f>SUMIF(F2606:F2606,("h"),H2606:H2606)</f>
        <v>0</v>
      </c>
      <c r="I2607" s="1830"/>
      <c r="J2607" s="1795"/>
      <c r="K2607" s="1795"/>
      <c r="L2607" s="169"/>
      <c r="M2607" s="1783"/>
    </row>
    <row r="2608" spans="1:13" s="1517" customFormat="1" x14ac:dyDescent="0.25">
      <c r="A2608" s="1847"/>
      <c r="B2608" s="1847"/>
      <c r="C2608" s="1531"/>
      <c r="D2608" s="2141" t="s">
        <v>125</v>
      </c>
      <c r="E2608" s="2141"/>
      <c r="F2608" s="2141"/>
      <c r="G2608" s="2141"/>
      <c r="H2608" s="267">
        <f>SUMIF(F2606:F2606,"&lt;&gt;h",H2606:H2606)</f>
        <v>0.73</v>
      </c>
      <c r="I2608" s="1830"/>
      <c r="J2608" s="1795"/>
      <c r="K2608" s="1795"/>
      <c r="L2608" s="169"/>
      <c r="M2608" s="1783"/>
    </row>
    <row r="2609" spans="1:13" s="1517" customFormat="1" x14ac:dyDescent="0.25">
      <c r="A2609" s="1847"/>
      <c r="B2609" s="1847"/>
      <c r="C2609" s="1531"/>
      <c r="D2609" s="2142" t="s">
        <v>126</v>
      </c>
      <c r="E2609" s="2142"/>
      <c r="F2609" s="2142"/>
      <c r="G2609" s="2142"/>
      <c r="H2609" s="1532">
        <f>SUM(H2607:H2608)</f>
        <v>0.73</v>
      </c>
      <c r="I2609" s="1830"/>
      <c r="J2609" s="1795"/>
      <c r="K2609" s="1795"/>
      <c r="L2609" s="169"/>
      <c r="M2609" s="1783"/>
    </row>
    <row r="2610" spans="1:13" s="1517" customFormat="1" x14ac:dyDescent="0.25">
      <c r="A2610" s="1847"/>
      <c r="B2610" s="1847"/>
      <c r="C2610" s="1531"/>
      <c r="D2610" s="2141" t="s">
        <v>28</v>
      </c>
      <c r="E2610" s="2141"/>
      <c r="F2610" s="2141"/>
      <c r="G2610" s="2141"/>
      <c r="H2610" s="269">
        <f>E2605</f>
        <v>28</v>
      </c>
      <c r="I2610" s="1830"/>
      <c r="J2610" s="1795"/>
      <c r="K2610" s="1795"/>
      <c r="L2610" s="169"/>
      <c r="M2610" s="1783"/>
    </row>
    <row r="2611" spans="1:13" s="1517" customFormat="1" x14ac:dyDescent="0.25">
      <c r="A2611" s="1847"/>
      <c r="B2611" s="1847"/>
      <c r="C2611" s="1531"/>
      <c r="D2611" s="2142" t="s">
        <v>127</v>
      </c>
      <c r="E2611" s="2142"/>
      <c r="F2611" s="2142"/>
      <c r="G2611" s="2142"/>
      <c r="H2611" s="1532">
        <f>ROUND(H2609*H2610,2)</f>
        <v>20.440000000000001</v>
      </c>
      <c r="I2611" s="1830"/>
      <c r="J2611" s="1795"/>
      <c r="K2611" s="1795"/>
      <c r="L2611" s="169"/>
      <c r="M2611" s="1783"/>
    </row>
    <row r="2612" spans="1:13" s="1517" customFormat="1" x14ac:dyDescent="0.25">
      <c r="A2612" s="1847"/>
      <c r="B2612" s="1847"/>
      <c r="C2612" s="1531"/>
      <c r="D2612" s="2141" t="s">
        <v>15335</v>
      </c>
      <c r="E2612" s="2141"/>
      <c r="F2612" s="2141"/>
      <c r="G2612" s="2141"/>
      <c r="H2612" s="267">
        <f>ROUND(H2609*$B$13,2)</f>
        <v>0.2</v>
      </c>
      <c r="I2612" s="1830"/>
      <c r="J2612" s="1795"/>
      <c r="K2612" s="1795"/>
      <c r="L2612" s="169"/>
      <c r="M2612" s="1783"/>
    </row>
    <row r="2613" spans="1:13" x14ac:dyDescent="0.25">
      <c r="A2613" s="1847"/>
      <c r="B2613" s="1847"/>
      <c r="C2613" s="1531"/>
      <c r="D2613" s="2142" t="s">
        <v>7898</v>
      </c>
      <c r="E2613" s="2142"/>
      <c r="F2613" s="2142"/>
      <c r="G2613" s="2142"/>
      <c r="H2613" s="1532">
        <f>H2612+H2609</f>
        <v>0.92999999999999994</v>
      </c>
    </row>
    <row r="2614" spans="1:13" x14ac:dyDescent="0.25">
      <c r="A2614" s="1514"/>
      <c r="B2614" s="1514"/>
      <c r="C2614" s="1514"/>
      <c r="F2614" s="1533"/>
      <c r="G2614" s="1534"/>
      <c r="H2614" s="1514"/>
    </row>
    <row r="2615" spans="1:13" s="1517" customFormat="1" x14ac:dyDescent="0.25">
      <c r="A2615" s="146" t="s">
        <v>6</v>
      </c>
      <c r="B2615" s="2143" t="s">
        <v>7</v>
      </c>
      <c r="C2615" s="2143"/>
      <c r="D2615" s="1518" t="s">
        <v>121</v>
      </c>
      <c r="E2615" s="278" t="s">
        <v>5282</v>
      </c>
      <c r="F2615" s="1518" t="s">
        <v>31</v>
      </c>
      <c r="G2615" s="1519" t="s">
        <v>122</v>
      </c>
      <c r="H2615" s="1520" t="s">
        <v>123</v>
      </c>
      <c r="I2615" s="1830"/>
      <c r="J2615" s="1795"/>
      <c r="K2615" s="1795"/>
      <c r="L2615" s="169"/>
      <c r="M2615" s="1783"/>
    </row>
    <row r="2616" spans="1:13" s="1526" customFormat="1" ht="30" x14ac:dyDescent="0.2">
      <c r="A2616" s="1895" t="str">
        <f>'Orç - Prédio'!A473</f>
        <v>06.01.263.18</v>
      </c>
      <c r="B2616" s="1895" t="str">
        <f>'Orç - Prédio'!B473</f>
        <v>ORSE</v>
      </c>
      <c r="C2616" s="1895" t="str">
        <f>'Orç - Prédio'!C473</f>
        <v>1592 INSUMO</v>
      </c>
      <c r="D2616" s="1865" t="s">
        <v>9085</v>
      </c>
      <c r="E2616" s="1866">
        <f>'Orç - Prédio'!E473</f>
        <v>6</v>
      </c>
      <c r="F2616" s="1895" t="s">
        <v>5284</v>
      </c>
      <c r="G2616" s="1524">
        <v>7.46</v>
      </c>
      <c r="H2616" s="1525">
        <f>H2622</f>
        <v>44.76</v>
      </c>
      <c r="I2616" s="1910" t="s">
        <v>14965</v>
      </c>
      <c r="J2616" s="1793"/>
      <c r="K2616" s="1793"/>
      <c r="L2616" s="141"/>
      <c r="M2616" s="1515"/>
    </row>
    <row r="2617" spans="1:13" s="1859" customFormat="1" x14ac:dyDescent="0.2">
      <c r="A2617" s="2144">
        <v>1592</v>
      </c>
      <c r="B2617" s="2144"/>
      <c r="C2617" s="1863" t="s">
        <v>5281</v>
      </c>
      <c r="D2617" s="1862" t="s">
        <v>9350</v>
      </c>
      <c r="E2617" s="1864">
        <v>1</v>
      </c>
      <c r="F2617" s="1894" t="s">
        <v>31</v>
      </c>
      <c r="G2617" s="367">
        <v>7.46</v>
      </c>
      <c r="H2617" s="1857">
        <f>ROUNDDOWN(G2617*E2617,2)</f>
        <v>7.46</v>
      </c>
      <c r="I2617" s="1856"/>
      <c r="J2617" s="1797"/>
      <c r="K2617" s="1797"/>
      <c r="L2617" s="1784"/>
      <c r="M2617" s="1785"/>
    </row>
    <row r="2618" spans="1:13" s="1517" customFormat="1" x14ac:dyDescent="0.25">
      <c r="A2618" s="1847"/>
      <c r="B2618" s="1847"/>
      <c r="C2618" s="1531"/>
      <c r="D2618" s="2141" t="s">
        <v>124</v>
      </c>
      <c r="E2618" s="2141"/>
      <c r="F2618" s="2141"/>
      <c r="G2618" s="2141"/>
      <c r="H2618" s="267">
        <f>SUMIF(F2617:F2617,("h"),H2617:H2617)</f>
        <v>0</v>
      </c>
      <c r="I2618" s="1830"/>
      <c r="J2618" s="1795"/>
      <c r="K2618" s="1795"/>
      <c r="L2618" s="169"/>
      <c r="M2618" s="1783"/>
    </row>
    <row r="2619" spans="1:13" s="1517" customFormat="1" x14ac:dyDescent="0.25">
      <c r="A2619" s="1847"/>
      <c r="B2619" s="1847"/>
      <c r="C2619" s="1531"/>
      <c r="D2619" s="2141" t="s">
        <v>125</v>
      </c>
      <c r="E2619" s="2141"/>
      <c r="F2619" s="2141"/>
      <c r="G2619" s="2141"/>
      <c r="H2619" s="267">
        <f>SUMIF(F2617:F2617,"&lt;&gt;h",H2617:H2617)</f>
        <v>7.46</v>
      </c>
      <c r="I2619" s="1830"/>
      <c r="J2619" s="1795"/>
      <c r="K2619" s="1795"/>
      <c r="L2619" s="169"/>
      <c r="M2619" s="1783"/>
    </row>
    <row r="2620" spans="1:13" s="1517" customFormat="1" x14ac:dyDescent="0.25">
      <c r="A2620" s="1847"/>
      <c r="B2620" s="1847"/>
      <c r="C2620" s="1531"/>
      <c r="D2620" s="2142" t="s">
        <v>126</v>
      </c>
      <c r="E2620" s="2142"/>
      <c r="F2620" s="2142"/>
      <c r="G2620" s="2142"/>
      <c r="H2620" s="1532">
        <f>SUM(H2618:H2619)</f>
        <v>7.46</v>
      </c>
      <c r="I2620" s="1830"/>
      <c r="J2620" s="1795"/>
      <c r="K2620" s="1795"/>
      <c r="L2620" s="169"/>
      <c r="M2620" s="1783"/>
    </row>
    <row r="2621" spans="1:13" s="1517" customFormat="1" x14ac:dyDescent="0.25">
      <c r="A2621" s="1847"/>
      <c r="B2621" s="1847"/>
      <c r="C2621" s="1531"/>
      <c r="D2621" s="2141" t="s">
        <v>28</v>
      </c>
      <c r="E2621" s="2141"/>
      <c r="F2621" s="2141"/>
      <c r="G2621" s="2141"/>
      <c r="H2621" s="269">
        <f>E2616</f>
        <v>6</v>
      </c>
      <c r="I2621" s="1830"/>
      <c r="J2621" s="1795"/>
      <c r="K2621" s="1795"/>
      <c r="L2621" s="169"/>
      <c r="M2621" s="1783"/>
    </row>
    <row r="2622" spans="1:13" s="1517" customFormat="1" x14ac:dyDescent="0.25">
      <c r="A2622" s="1847"/>
      <c r="B2622" s="1847"/>
      <c r="C2622" s="1531"/>
      <c r="D2622" s="2142" t="s">
        <v>127</v>
      </c>
      <c r="E2622" s="2142"/>
      <c r="F2622" s="2142"/>
      <c r="G2622" s="2142"/>
      <c r="H2622" s="1532">
        <f>ROUND(H2620*H2621,2)</f>
        <v>44.76</v>
      </c>
      <c r="I2622" s="1830"/>
      <c r="J2622" s="1795"/>
      <c r="K2622" s="1795"/>
      <c r="L2622" s="169"/>
      <c r="M2622" s="1783"/>
    </row>
    <row r="2623" spans="1:13" s="1517" customFormat="1" x14ac:dyDescent="0.25">
      <c r="A2623" s="1847"/>
      <c r="B2623" s="1847"/>
      <c r="C2623" s="1531"/>
      <c r="D2623" s="2141" t="s">
        <v>15335</v>
      </c>
      <c r="E2623" s="2141"/>
      <c r="F2623" s="2141"/>
      <c r="G2623" s="2141"/>
      <c r="H2623" s="267">
        <f>ROUND(H2620*$B$13,2)</f>
        <v>2.0099999999999998</v>
      </c>
      <c r="I2623" s="1830"/>
      <c r="J2623" s="1795"/>
      <c r="K2623" s="1795"/>
      <c r="L2623" s="169"/>
      <c r="M2623" s="1783"/>
    </row>
    <row r="2624" spans="1:13" x14ac:dyDescent="0.25">
      <c r="A2624" s="1847"/>
      <c r="B2624" s="1847"/>
      <c r="C2624" s="1531"/>
      <c r="D2624" s="2142" t="s">
        <v>7898</v>
      </c>
      <c r="E2624" s="2142"/>
      <c r="F2624" s="2142"/>
      <c r="G2624" s="2142"/>
      <c r="H2624" s="1532">
        <f>H2623+H2620</f>
        <v>9.4699999999999989</v>
      </c>
    </row>
    <row r="2625" spans="1:13" x14ac:dyDescent="0.25">
      <c r="A2625" s="1514"/>
      <c r="B2625" s="1514"/>
      <c r="C2625" s="1514"/>
      <c r="F2625" s="1533"/>
      <c r="G2625" s="1534"/>
      <c r="H2625" s="1514"/>
    </row>
    <row r="2626" spans="1:13" s="1517" customFormat="1" x14ac:dyDescent="0.25">
      <c r="A2626" s="146" t="s">
        <v>6</v>
      </c>
      <c r="B2626" s="2143" t="s">
        <v>7</v>
      </c>
      <c r="C2626" s="2143"/>
      <c r="D2626" s="1518" t="s">
        <v>121</v>
      </c>
      <c r="E2626" s="278" t="s">
        <v>5282</v>
      </c>
      <c r="F2626" s="1518" t="s">
        <v>31</v>
      </c>
      <c r="G2626" s="1519" t="s">
        <v>122</v>
      </c>
      <c r="H2626" s="1520" t="s">
        <v>123</v>
      </c>
      <c r="I2626" s="1830"/>
      <c r="J2626" s="1795"/>
      <c r="K2626" s="1795"/>
      <c r="L2626" s="169"/>
      <c r="M2626" s="1783"/>
    </row>
    <row r="2627" spans="1:13" s="1526" customFormat="1" ht="30" x14ac:dyDescent="0.2">
      <c r="A2627" s="1895" t="str">
        <f>'Orç - Prédio'!A475</f>
        <v>06.01.263.20</v>
      </c>
      <c r="B2627" s="1895" t="str">
        <f>'Orç - Prédio'!B475</f>
        <v>CPOS</v>
      </c>
      <c r="C2627" s="1895" t="str">
        <f>'Orç - Prédio'!C475</f>
        <v>P 36 20 340</v>
      </c>
      <c r="D2627" s="1865" t="s">
        <v>9087</v>
      </c>
      <c r="E2627" s="1866">
        <f>'Orç - Prédio'!E475</f>
        <v>3</v>
      </c>
      <c r="F2627" s="1895" t="s">
        <v>5284</v>
      </c>
      <c r="G2627" s="1524">
        <v>62.26</v>
      </c>
      <c r="H2627" s="1525">
        <f>H2635</f>
        <v>186.78</v>
      </c>
      <c r="I2627" s="1910" t="s">
        <v>9564</v>
      </c>
      <c r="J2627" s="1793"/>
      <c r="K2627" s="1793"/>
      <c r="L2627" s="141"/>
      <c r="M2627" s="1515"/>
    </row>
    <row r="2628" spans="1:13" s="1859" customFormat="1" x14ac:dyDescent="0.2">
      <c r="A2628" s="2144" t="s">
        <v>9355</v>
      </c>
      <c r="B2628" s="2144"/>
      <c r="C2628" s="1863" t="s">
        <v>5696</v>
      </c>
      <c r="D2628" s="1862" t="s">
        <v>9354</v>
      </c>
      <c r="E2628" s="1864">
        <v>1</v>
      </c>
      <c r="F2628" s="1894" t="s">
        <v>31</v>
      </c>
      <c r="G2628" s="367">
        <v>9.89</v>
      </c>
      <c r="H2628" s="1857">
        <f>ROUNDDOWN(G2628*E2628,2)</f>
        <v>9.89</v>
      </c>
      <c r="I2628" s="1856"/>
      <c r="J2628" s="1797"/>
      <c r="K2628" s="1797"/>
      <c r="L2628" s="1784"/>
      <c r="M2628" s="1785"/>
    </row>
    <row r="2629" spans="1:13" s="1859" customFormat="1" ht="30" x14ac:dyDescent="0.2">
      <c r="A2629" s="2144">
        <v>88247</v>
      </c>
      <c r="B2629" s="2144"/>
      <c r="C2629" s="1863" t="s">
        <v>4448</v>
      </c>
      <c r="D2629" s="1862" t="s">
        <v>71</v>
      </c>
      <c r="E2629" s="1864">
        <v>2</v>
      </c>
      <c r="F2629" s="1894" t="s">
        <v>65</v>
      </c>
      <c r="G2629" s="1860">
        <v>16.02</v>
      </c>
      <c r="H2629" s="1857">
        <f>ROUNDDOWN(G2629*E2629,2)</f>
        <v>32.04</v>
      </c>
      <c r="I2629" s="1856"/>
      <c r="J2629" s="1797"/>
      <c r="K2629" s="1797"/>
      <c r="L2629" s="1784"/>
      <c r="M2629" s="1785"/>
    </row>
    <row r="2630" spans="1:13" s="1859" customFormat="1" ht="30" x14ac:dyDescent="0.2">
      <c r="A2630" s="2144">
        <v>88264</v>
      </c>
      <c r="B2630" s="2144"/>
      <c r="C2630" s="1863" t="s">
        <v>4448</v>
      </c>
      <c r="D2630" s="1862" t="s">
        <v>81</v>
      </c>
      <c r="E2630" s="1864">
        <v>1</v>
      </c>
      <c r="F2630" s="1894" t="s">
        <v>65</v>
      </c>
      <c r="G2630" s="1860">
        <v>20.329999999999998</v>
      </c>
      <c r="H2630" s="1857">
        <f>ROUNDDOWN(G2630*E2630,2)</f>
        <v>20.329999999999998</v>
      </c>
      <c r="I2630" s="1856"/>
      <c r="J2630" s="1797"/>
      <c r="K2630" s="1797"/>
      <c r="L2630" s="1784"/>
      <c r="M2630" s="1785"/>
    </row>
    <row r="2631" spans="1:13" s="1517" customFormat="1" x14ac:dyDescent="0.25">
      <c r="A2631" s="1847"/>
      <c r="B2631" s="1847"/>
      <c r="C2631" s="1531"/>
      <c r="D2631" s="2141" t="s">
        <v>124</v>
      </c>
      <c r="E2631" s="2141"/>
      <c r="F2631" s="2141"/>
      <c r="G2631" s="2141"/>
      <c r="H2631" s="267">
        <f>SUMIF(F2628:F2630,("h"),H2628:H2630)</f>
        <v>52.37</v>
      </c>
      <c r="I2631" s="1830"/>
      <c r="J2631" s="1795"/>
      <c r="K2631" s="1795"/>
      <c r="L2631" s="169"/>
      <c r="M2631" s="1783"/>
    </row>
    <row r="2632" spans="1:13" s="1517" customFormat="1" x14ac:dyDescent="0.25">
      <c r="A2632" s="1847"/>
      <c r="B2632" s="1847"/>
      <c r="C2632" s="1531"/>
      <c r="D2632" s="2141" t="s">
        <v>125</v>
      </c>
      <c r="E2632" s="2141"/>
      <c r="F2632" s="2141"/>
      <c r="G2632" s="2141"/>
      <c r="H2632" s="267">
        <f>SUMIF(F2628:F2630,"&lt;&gt;h",H2628:H2630)</f>
        <v>9.89</v>
      </c>
      <c r="I2632" s="1830"/>
      <c r="J2632" s="1795"/>
      <c r="K2632" s="1795"/>
      <c r="L2632" s="169"/>
      <c r="M2632" s="1783"/>
    </row>
    <row r="2633" spans="1:13" s="1517" customFormat="1" x14ac:dyDescent="0.25">
      <c r="A2633" s="1847"/>
      <c r="B2633" s="1847"/>
      <c r="C2633" s="1531"/>
      <c r="D2633" s="2142" t="s">
        <v>126</v>
      </c>
      <c r="E2633" s="2142"/>
      <c r="F2633" s="2142"/>
      <c r="G2633" s="2142"/>
      <c r="H2633" s="1532">
        <f>SUM(H2631:H2632)</f>
        <v>62.26</v>
      </c>
      <c r="I2633" s="1830"/>
      <c r="J2633" s="1795"/>
      <c r="K2633" s="1795"/>
      <c r="L2633" s="169"/>
      <c r="M2633" s="1783"/>
    </row>
    <row r="2634" spans="1:13" s="1517" customFormat="1" x14ac:dyDescent="0.25">
      <c r="A2634" s="1847"/>
      <c r="B2634" s="1847"/>
      <c r="C2634" s="1531"/>
      <c r="D2634" s="2141" t="s">
        <v>28</v>
      </c>
      <c r="E2634" s="2141"/>
      <c r="F2634" s="2141"/>
      <c r="G2634" s="2141"/>
      <c r="H2634" s="269">
        <f>E2627</f>
        <v>3</v>
      </c>
      <c r="I2634" s="1830"/>
      <c r="J2634" s="1795"/>
      <c r="K2634" s="1795"/>
      <c r="L2634" s="169"/>
      <c r="M2634" s="1783"/>
    </row>
    <row r="2635" spans="1:13" s="1517" customFormat="1" x14ac:dyDescent="0.25">
      <c r="A2635" s="1847"/>
      <c r="B2635" s="1847"/>
      <c r="C2635" s="1531"/>
      <c r="D2635" s="2142" t="s">
        <v>127</v>
      </c>
      <c r="E2635" s="2142"/>
      <c r="F2635" s="2142"/>
      <c r="G2635" s="2142"/>
      <c r="H2635" s="1532">
        <f>ROUND(H2633*H2634,2)</f>
        <v>186.78</v>
      </c>
      <c r="I2635" s="1830"/>
      <c r="J2635" s="1795"/>
      <c r="K2635" s="1795"/>
      <c r="L2635" s="169"/>
      <c r="M2635" s="1783"/>
    </row>
    <row r="2636" spans="1:13" s="1517" customFormat="1" x14ac:dyDescent="0.25">
      <c r="A2636" s="1847"/>
      <c r="B2636" s="1847"/>
      <c r="C2636" s="1531"/>
      <c r="D2636" s="2141" t="s">
        <v>15335</v>
      </c>
      <c r="E2636" s="2141"/>
      <c r="F2636" s="2141"/>
      <c r="G2636" s="2141"/>
      <c r="H2636" s="267">
        <f>ROUND(H2633*$B$13,2)</f>
        <v>16.77</v>
      </c>
      <c r="I2636" s="1830"/>
      <c r="J2636" s="1795"/>
      <c r="K2636" s="1795"/>
      <c r="L2636" s="169"/>
      <c r="M2636" s="1783"/>
    </row>
    <row r="2637" spans="1:13" x14ac:dyDescent="0.25">
      <c r="A2637" s="1847"/>
      <c r="B2637" s="1847"/>
      <c r="C2637" s="1531"/>
      <c r="D2637" s="2142" t="s">
        <v>7898</v>
      </c>
      <c r="E2637" s="2142"/>
      <c r="F2637" s="2142"/>
      <c r="G2637" s="2142"/>
      <c r="H2637" s="1532">
        <f>H2636+H2633</f>
        <v>79.03</v>
      </c>
    </row>
    <row r="2638" spans="1:13" x14ac:dyDescent="0.25">
      <c r="A2638" s="1514"/>
      <c r="B2638" s="1514"/>
      <c r="C2638" s="1514"/>
      <c r="F2638" s="1533"/>
      <c r="G2638" s="1534"/>
      <c r="H2638" s="1514"/>
    </row>
    <row r="2639" spans="1:13" s="1517" customFormat="1" x14ac:dyDescent="0.25">
      <c r="A2639" s="146" t="s">
        <v>6</v>
      </c>
      <c r="B2639" s="2143" t="s">
        <v>7</v>
      </c>
      <c r="C2639" s="2143"/>
      <c r="D2639" s="1518" t="s">
        <v>121</v>
      </c>
      <c r="E2639" s="278" t="s">
        <v>5282</v>
      </c>
      <c r="F2639" s="1518" t="s">
        <v>31</v>
      </c>
      <c r="G2639" s="1519" t="s">
        <v>122</v>
      </c>
      <c r="H2639" s="1520" t="s">
        <v>123</v>
      </c>
      <c r="I2639" s="1830"/>
      <c r="J2639" s="1795"/>
      <c r="K2639" s="1795"/>
      <c r="L2639" s="169"/>
      <c r="M2639" s="1783"/>
    </row>
    <row r="2640" spans="1:13" s="1526" customFormat="1" ht="30" x14ac:dyDescent="0.2">
      <c r="A2640" s="1895" t="str">
        <f>'Orç - Prédio'!A476</f>
        <v>06.01.263.21</v>
      </c>
      <c r="B2640" s="1895" t="str">
        <f>'Orç - Prédio'!B476</f>
        <v>ORSE</v>
      </c>
      <c r="C2640" s="1895" t="str">
        <f>'Orç - Prédio'!C476</f>
        <v>3238 INSUMO</v>
      </c>
      <c r="D2640" s="1865" t="s">
        <v>9088</v>
      </c>
      <c r="E2640" s="1866">
        <f>'Orç - Prédio'!E476</f>
        <v>8</v>
      </c>
      <c r="F2640" s="1895" t="s">
        <v>5284</v>
      </c>
      <c r="G2640" s="1524">
        <v>1.47</v>
      </c>
      <c r="H2640" s="1525">
        <f>H2646</f>
        <v>11.76</v>
      </c>
      <c r="I2640" s="1910" t="s">
        <v>14965</v>
      </c>
      <c r="J2640" s="1793"/>
      <c r="K2640" s="1793"/>
      <c r="L2640" s="141"/>
      <c r="M2640" s="1515"/>
    </row>
    <row r="2641" spans="1:13" s="1859" customFormat="1" x14ac:dyDescent="0.2">
      <c r="A2641" s="2144">
        <v>3238</v>
      </c>
      <c r="B2641" s="2144"/>
      <c r="C2641" s="1863" t="s">
        <v>5281</v>
      </c>
      <c r="D2641" s="1862" t="s">
        <v>9357</v>
      </c>
      <c r="E2641" s="1864">
        <v>1</v>
      </c>
      <c r="F2641" s="1894" t="s">
        <v>31</v>
      </c>
      <c r="G2641" s="367">
        <v>1.47</v>
      </c>
      <c r="H2641" s="1857">
        <f>ROUNDDOWN(G2641*E2641,2)</f>
        <v>1.47</v>
      </c>
      <c r="I2641" s="1856"/>
      <c r="J2641" s="1797"/>
      <c r="K2641" s="1797"/>
      <c r="L2641" s="1784"/>
      <c r="M2641" s="1785"/>
    </row>
    <row r="2642" spans="1:13" s="1517" customFormat="1" x14ac:dyDescent="0.25">
      <c r="A2642" s="1847"/>
      <c r="B2642" s="1847"/>
      <c r="C2642" s="1531"/>
      <c r="D2642" s="2141" t="s">
        <v>124</v>
      </c>
      <c r="E2642" s="2141"/>
      <c r="F2642" s="2141"/>
      <c r="G2642" s="2141"/>
      <c r="H2642" s="267">
        <f>SUMIF(F2641:F2641,("h"),H2641:H2641)</f>
        <v>0</v>
      </c>
      <c r="I2642" s="1830"/>
      <c r="J2642" s="1795"/>
      <c r="K2642" s="1795"/>
      <c r="L2642" s="169"/>
      <c r="M2642" s="1783"/>
    </row>
    <row r="2643" spans="1:13" s="1517" customFormat="1" x14ac:dyDescent="0.25">
      <c r="A2643" s="1847"/>
      <c r="B2643" s="1847"/>
      <c r="C2643" s="1531"/>
      <c r="D2643" s="2141" t="s">
        <v>125</v>
      </c>
      <c r="E2643" s="2141"/>
      <c r="F2643" s="2141"/>
      <c r="G2643" s="2141"/>
      <c r="H2643" s="267">
        <f>SUMIF(F2641:F2641,"&lt;&gt;h",H2641:H2641)</f>
        <v>1.47</v>
      </c>
      <c r="I2643" s="1830"/>
      <c r="J2643" s="1795"/>
      <c r="K2643" s="1795"/>
      <c r="L2643" s="169"/>
      <c r="M2643" s="1783"/>
    </row>
    <row r="2644" spans="1:13" s="1517" customFormat="1" x14ac:dyDescent="0.25">
      <c r="A2644" s="1847"/>
      <c r="B2644" s="1847"/>
      <c r="C2644" s="1531"/>
      <c r="D2644" s="2142" t="s">
        <v>126</v>
      </c>
      <c r="E2644" s="2142"/>
      <c r="F2644" s="2142"/>
      <c r="G2644" s="2142"/>
      <c r="H2644" s="1532">
        <f>SUM(H2642:H2643)</f>
        <v>1.47</v>
      </c>
      <c r="I2644" s="1830"/>
      <c r="J2644" s="1795"/>
      <c r="K2644" s="1795"/>
      <c r="L2644" s="169"/>
      <c r="M2644" s="1783"/>
    </row>
    <row r="2645" spans="1:13" s="1517" customFormat="1" x14ac:dyDescent="0.25">
      <c r="A2645" s="1847"/>
      <c r="B2645" s="1847"/>
      <c r="C2645" s="1531"/>
      <c r="D2645" s="2141" t="s">
        <v>28</v>
      </c>
      <c r="E2645" s="2141"/>
      <c r="F2645" s="2141"/>
      <c r="G2645" s="2141"/>
      <c r="H2645" s="269">
        <f>E2640</f>
        <v>8</v>
      </c>
      <c r="I2645" s="1830"/>
      <c r="J2645" s="1795"/>
      <c r="K2645" s="1795"/>
      <c r="L2645" s="169"/>
      <c r="M2645" s="1783"/>
    </row>
    <row r="2646" spans="1:13" s="1517" customFormat="1" x14ac:dyDescent="0.25">
      <c r="A2646" s="1847"/>
      <c r="B2646" s="1847"/>
      <c r="C2646" s="1531"/>
      <c r="D2646" s="2142" t="s">
        <v>127</v>
      </c>
      <c r="E2646" s="2142"/>
      <c r="F2646" s="2142"/>
      <c r="G2646" s="2142"/>
      <c r="H2646" s="1532">
        <f>ROUND(H2644*H2645,2)</f>
        <v>11.76</v>
      </c>
      <c r="I2646" s="1830"/>
      <c r="J2646" s="1795"/>
      <c r="K2646" s="1795"/>
      <c r="L2646" s="169"/>
      <c r="M2646" s="1783"/>
    </row>
    <row r="2647" spans="1:13" s="1517" customFormat="1" x14ac:dyDescent="0.25">
      <c r="A2647" s="1847"/>
      <c r="B2647" s="1847"/>
      <c r="C2647" s="1531"/>
      <c r="D2647" s="2141" t="s">
        <v>15335</v>
      </c>
      <c r="E2647" s="2141"/>
      <c r="F2647" s="2141"/>
      <c r="G2647" s="2141"/>
      <c r="H2647" s="267">
        <f>ROUND(H2644*$B$13,2)</f>
        <v>0.4</v>
      </c>
      <c r="I2647" s="1830"/>
      <c r="J2647" s="1795"/>
      <c r="K2647" s="1795"/>
      <c r="L2647" s="169"/>
      <c r="M2647" s="1783"/>
    </row>
    <row r="2648" spans="1:13" x14ac:dyDescent="0.25">
      <c r="A2648" s="1847"/>
      <c r="B2648" s="1847"/>
      <c r="C2648" s="1531"/>
      <c r="D2648" s="2142" t="s">
        <v>7898</v>
      </c>
      <c r="E2648" s="2142"/>
      <c r="F2648" s="2142"/>
      <c r="G2648" s="2142"/>
      <c r="H2648" s="1532">
        <f>H2647+H2644</f>
        <v>1.87</v>
      </c>
    </row>
    <row r="2649" spans="1:13" x14ac:dyDescent="0.25">
      <c r="A2649" s="1514"/>
      <c r="B2649" s="1514"/>
      <c r="C2649" s="1514"/>
      <c r="F2649" s="1533"/>
      <c r="G2649" s="1534"/>
      <c r="H2649" s="1514"/>
    </row>
    <row r="2650" spans="1:13" s="1517" customFormat="1" x14ac:dyDescent="0.25">
      <c r="A2650" s="146" t="s">
        <v>6</v>
      </c>
      <c r="B2650" s="2143" t="s">
        <v>7</v>
      </c>
      <c r="C2650" s="2143"/>
      <c r="D2650" s="1518" t="s">
        <v>121</v>
      </c>
      <c r="E2650" s="278" t="s">
        <v>5282</v>
      </c>
      <c r="F2650" s="1518" t="s">
        <v>31</v>
      </c>
      <c r="G2650" s="1519" t="s">
        <v>122</v>
      </c>
      <c r="H2650" s="1520" t="s">
        <v>123</v>
      </c>
      <c r="I2650" s="1830"/>
      <c r="J2650" s="1795"/>
      <c r="K2650" s="1795"/>
      <c r="L2650" s="169"/>
      <c r="M2650" s="1783"/>
    </row>
    <row r="2651" spans="1:13" s="1526" customFormat="1" ht="30" x14ac:dyDescent="0.2">
      <c r="A2651" s="1895" t="str">
        <f>'Orç - Prédio'!A478</f>
        <v>06.01.263.23</v>
      </c>
      <c r="B2651" s="1895" t="str">
        <f>'Orç - Prédio'!B478</f>
        <v>IOPES</v>
      </c>
      <c r="C2651" s="1895">
        <f>'Orç - Prédio'!C478</f>
        <v>49774</v>
      </c>
      <c r="D2651" s="1865" t="s">
        <v>9090</v>
      </c>
      <c r="E2651" s="1866">
        <f>'Orç - Prédio'!E478</f>
        <v>3</v>
      </c>
      <c r="F2651" s="1895" t="s">
        <v>5284</v>
      </c>
      <c r="G2651" s="1524">
        <v>14.99</v>
      </c>
      <c r="H2651" s="1525">
        <f>H2657</f>
        <v>44.97</v>
      </c>
      <c r="I2651" s="1910" t="s">
        <v>9564</v>
      </c>
      <c r="J2651" s="1793"/>
      <c r="K2651" s="1793"/>
      <c r="L2651" s="141"/>
      <c r="M2651" s="1515"/>
    </row>
    <row r="2652" spans="1:13" s="1859" customFormat="1" ht="30" x14ac:dyDescent="0.2">
      <c r="A2652" s="2144">
        <v>49774</v>
      </c>
      <c r="B2652" s="2144"/>
      <c r="C2652" s="1863" t="s">
        <v>9121</v>
      </c>
      <c r="D2652" s="1862" t="s">
        <v>9360</v>
      </c>
      <c r="E2652" s="1864">
        <v>1</v>
      </c>
      <c r="F2652" s="1894" t="s">
        <v>31</v>
      </c>
      <c r="G2652" s="367">
        <v>14.99</v>
      </c>
      <c r="H2652" s="1857">
        <f>ROUNDDOWN(G2652*E2652,2)</f>
        <v>14.99</v>
      </c>
      <c r="I2652" s="1856"/>
      <c r="J2652" s="1797"/>
      <c r="K2652" s="1797"/>
      <c r="L2652" s="1784"/>
      <c r="M2652" s="1785"/>
    </row>
    <row r="2653" spans="1:13" s="1517" customFormat="1" x14ac:dyDescent="0.25">
      <c r="A2653" s="1847"/>
      <c r="B2653" s="1847"/>
      <c r="C2653" s="1531"/>
      <c r="D2653" s="2141" t="s">
        <v>124</v>
      </c>
      <c r="E2653" s="2141"/>
      <c r="F2653" s="2141"/>
      <c r="G2653" s="2141"/>
      <c r="H2653" s="267">
        <f>SUMIF(F2652:F2652,("h"),H2652:H2652)</f>
        <v>0</v>
      </c>
      <c r="I2653" s="1830"/>
      <c r="J2653" s="1795"/>
      <c r="K2653" s="1795"/>
      <c r="L2653" s="169"/>
      <c r="M2653" s="1783"/>
    </row>
    <row r="2654" spans="1:13" s="1517" customFormat="1" x14ac:dyDescent="0.25">
      <c r="A2654" s="1847"/>
      <c r="B2654" s="1847"/>
      <c r="C2654" s="1531"/>
      <c r="D2654" s="2141" t="s">
        <v>125</v>
      </c>
      <c r="E2654" s="2141"/>
      <c r="F2654" s="2141"/>
      <c r="G2654" s="2141"/>
      <c r="H2654" s="267">
        <f>SUMIF(F2652:F2652,"&lt;&gt;h",H2652:H2652)</f>
        <v>14.99</v>
      </c>
      <c r="I2654" s="1830"/>
      <c r="J2654" s="1795"/>
      <c r="K2654" s="1795"/>
      <c r="L2654" s="169"/>
      <c r="M2654" s="1783"/>
    </row>
    <row r="2655" spans="1:13" s="1517" customFormat="1" x14ac:dyDescent="0.25">
      <c r="A2655" s="1847"/>
      <c r="B2655" s="1847"/>
      <c r="C2655" s="1531"/>
      <c r="D2655" s="2142" t="s">
        <v>126</v>
      </c>
      <c r="E2655" s="2142"/>
      <c r="F2655" s="2142"/>
      <c r="G2655" s="2142"/>
      <c r="H2655" s="1532">
        <f>SUM(H2653:H2654)</f>
        <v>14.99</v>
      </c>
      <c r="I2655" s="1830"/>
      <c r="J2655" s="1795"/>
      <c r="K2655" s="1795"/>
      <c r="L2655" s="169"/>
      <c r="M2655" s="1783"/>
    </row>
    <row r="2656" spans="1:13" s="1517" customFormat="1" x14ac:dyDescent="0.25">
      <c r="A2656" s="1847"/>
      <c r="B2656" s="1847"/>
      <c r="C2656" s="1531"/>
      <c r="D2656" s="2141" t="s">
        <v>28</v>
      </c>
      <c r="E2656" s="2141"/>
      <c r="F2656" s="2141"/>
      <c r="G2656" s="2141"/>
      <c r="H2656" s="269">
        <f>E2651</f>
        <v>3</v>
      </c>
      <c r="I2656" s="1830"/>
      <c r="J2656" s="1795"/>
      <c r="K2656" s="1795"/>
      <c r="L2656" s="169"/>
      <c r="M2656" s="1783"/>
    </row>
    <row r="2657" spans="1:13" s="1517" customFormat="1" x14ac:dyDescent="0.25">
      <c r="A2657" s="1847"/>
      <c r="B2657" s="1847"/>
      <c r="C2657" s="1531"/>
      <c r="D2657" s="2142" t="s">
        <v>127</v>
      </c>
      <c r="E2657" s="2142"/>
      <c r="F2657" s="2142"/>
      <c r="G2657" s="2142"/>
      <c r="H2657" s="1532">
        <f>ROUND(H2655*H2656,2)</f>
        <v>44.97</v>
      </c>
      <c r="I2657" s="1830"/>
      <c r="J2657" s="1795"/>
      <c r="K2657" s="1795"/>
      <c r="L2657" s="169"/>
      <c r="M2657" s="1783"/>
    </row>
    <row r="2658" spans="1:13" s="1517" customFormat="1" x14ac:dyDescent="0.25">
      <c r="A2658" s="1847"/>
      <c r="B2658" s="1847"/>
      <c r="C2658" s="1531"/>
      <c r="D2658" s="2141" t="s">
        <v>15335</v>
      </c>
      <c r="E2658" s="2141"/>
      <c r="F2658" s="2141"/>
      <c r="G2658" s="2141"/>
      <c r="H2658" s="267">
        <f>ROUND(H2655*$B$13,2)</f>
        <v>4.04</v>
      </c>
      <c r="I2658" s="1830"/>
      <c r="J2658" s="1795"/>
      <c r="K2658" s="1795"/>
      <c r="L2658" s="169"/>
      <c r="M2658" s="1783"/>
    </row>
    <row r="2659" spans="1:13" x14ac:dyDescent="0.25">
      <c r="A2659" s="1847"/>
      <c r="B2659" s="1847"/>
      <c r="C2659" s="1531"/>
      <c r="D2659" s="2142" t="s">
        <v>7898</v>
      </c>
      <c r="E2659" s="2142"/>
      <c r="F2659" s="2142"/>
      <c r="G2659" s="2142"/>
      <c r="H2659" s="1532">
        <f>H2658+H2655</f>
        <v>19.03</v>
      </c>
    </row>
    <row r="2660" spans="1:13" x14ac:dyDescent="0.25">
      <c r="A2660" s="1514"/>
      <c r="B2660" s="1514"/>
      <c r="C2660" s="1514"/>
      <c r="F2660" s="1533"/>
      <c r="G2660" s="1534"/>
      <c r="H2660" s="1514"/>
    </row>
    <row r="2661" spans="1:13" s="1517" customFormat="1" x14ac:dyDescent="0.25">
      <c r="A2661" s="146" t="s">
        <v>6</v>
      </c>
      <c r="B2661" s="2143" t="s">
        <v>7</v>
      </c>
      <c r="C2661" s="2143"/>
      <c r="D2661" s="1518" t="s">
        <v>121</v>
      </c>
      <c r="E2661" s="278" t="s">
        <v>5282</v>
      </c>
      <c r="F2661" s="1518" t="s">
        <v>31</v>
      </c>
      <c r="G2661" s="1519" t="s">
        <v>122</v>
      </c>
      <c r="H2661" s="1520" t="s">
        <v>123</v>
      </c>
      <c r="I2661" s="1830"/>
      <c r="J2661" s="1795"/>
      <c r="K2661" s="1795"/>
      <c r="L2661" s="169"/>
      <c r="M2661" s="1783"/>
    </row>
    <row r="2662" spans="1:13" s="1526" customFormat="1" ht="30" x14ac:dyDescent="0.2">
      <c r="A2662" s="1895" t="str">
        <f>'Orç - Prédio'!A479</f>
        <v>06.01.263.24</v>
      </c>
      <c r="B2662" s="1895" t="str">
        <f>'Orç - Prédio'!B479</f>
        <v>ORSE INSUMO</v>
      </c>
      <c r="C2662" s="1895">
        <f>'Orç - Prédio'!C479</f>
        <v>9352</v>
      </c>
      <c r="D2662" s="1865" t="s">
        <v>9091</v>
      </c>
      <c r="E2662" s="1866">
        <f>'Orç - Prédio'!E479</f>
        <v>10</v>
      </c>
      <c r="F2662" s="1895" t="s">
        <v>5284</v>
      </c>
      <c r="G2662" s="1524">
        <v>36.9</v>
      </c>
      <c r="H2662" s="1525">
        <f>H2668</f>
        <v>369</v>
      </c>
      <c r="I2662" s="1910" t="s">
        <v>14965</v>
      </c>
      <c r="J2662" s="1793"/>
      <c r="K2662" s="1793"/>
      <c r="L2662" s="141"/>
      <c r="M2662" s="1515"/>
    </row>
    <row r="2663" spans="1:13" s="1859" customFormat="1" x14ac:dyDescent="0.2">
      <c r="A2663" s="2144">
        <v>9352</v>
      </c>
      <c r="B2663" s="2144"/>
      <c r="C2663" s="1863" t="s">
        <v>5281</v>
      </c>
      <c r="D2663" s="1862" t="s">
        <v>9362</v>
      </c>
      <c r="E2663" s="1864">
        <v>1</v>
      </c>
      <c r="F2663" s="1894" t="s">
        <v>31</v>
      </c>
      <c r="G2663" s="367">
        <v>36.9</v>
      </c>
      <c r="H2663" s="1857">
        <f>ROUNDDOWN(G2663*E2663,2)</f>
        <v>36.9</v>
      </c>
      <c r="I2663" s="1856"/>
      <c r="J2663" s="1797"/>
      <c r="K2663" s="1797"/>
      <c r="L2663" s="1784"/>
      <c r="M2663" s="1785"/>
    </row>
    <row r="2664" spans="1:13" s="1517" customFormat="1" x14ac:dyDescent="0.25">
      <c r="A2664" s="1847"/>
      <c r="B2664" s="1847"/>
      <c r="C2664" s="1531"/>
      <c r="D2664" s="2141" t="s">
        <v>124</v>
      </c>
      <c r="E2664" s="2141"/>
      <c r="F2664" s="2141"/>
      <c r="G2664" s="2141"/>
      <c r="H2664" s="267">
        <f>SUMIF(F2663:F2663,("h"),H2663:H2663)</f>
        <v>0</v>
      </c>
      <c r="I2664" s="1830"/>
      <c r="J2664" s="1795"/>
      <c r="K2664" s="1795"/>
      <c r="L2664" s="169"/>
      <c r="M2664" s="1783"/>
    </row>
    <row r="2665" spans="1:13" s="1517" customFormat="1" x14ac:dyDescent="0.25">
      <c r="A2665" s="1847"/>
      <c r="B2665" s="1847"/>
      <c r="C2665" s="1531"/>
      <c r="D2665" s="2141" t="s">
        <v>125</v>
      </c>
      <c r="E2665" s="2141"/>
      <c r="F2665" s="2141"/>
      <c r="G2665" s="2141"/>
      <c r="H2665" s="267">
        <f>SUMIF(F2663:F2663,"&lt;&gt;h",H2663:H2663)</f>
        <v>36.9</v>
      </c>
      <c r="I2665" s="1830"/>
      <c r="J2665" s="1795"/>
      <c r="K2665" s="1795"/>
      <c r="L2665" s="169"/>
      <c r="M2665" s="1783"/>
    </row>
    <row r="2666" spans="1:13" s="1517" customFormat="1" x14ac:dyDescent="0.25">
      <c r="A2666" s="1847"/>
      <c r="B2666" s="1847"/>
      <c r="C2666" s="1531"/>
      <c r="D2666" s="2142" t="s">
        <v>126</v>
      </c>
      <c r="E2666" s="2142"/>
      <c r="F2666" s="2142"/>
      <c r="G2666" s="2142"/>
      <c r="H2666" s="1532">
        <f>SUM(H2664:H2665)</f>
        <v>36.9</v>
      </c>
      <c r="I2666" s="1830"/>
      <c r="J2666" s="1795"/>
      <c r="K2666" s="1795"/>
      <c r="L2666" s="169"/>
      <c r="M2666" s="1783"/>
    </row>
    <row r="2667" spans="1:13" s="1517" customFormat="1" x14ac:dyDescent="0.25">
      <c r="A2667" s="1847"/>
      <c r="B2667" s="1847"/>
      <c r="C2667" s="1531"/>
      <c r="D2667" s="2141" t="s">
        <v>28</v>
      </c>
      <c r="E2667" s="2141"/>
      <c r="F2667" s="2141"/>
      <c r="G2667" s="2141"/>
      <c r="H2667" s="269">
        <f>E2662</f>
        <v>10</v>
      </c>
      <c r="I2667" s="1830"/>
      <c r="J2667" s="1795"/>
      <c r="K2667" s="1795"/>
      <c r="L2667" s="169"/>
      <c r="M2667" s="1783"/>
    </row>
    <row r="2668" spans="1:13" s="1517" customFormat="1" x14ac:dyDescent="0.25">
      <c r="A2668" s="1847"/>
      <c r="B2668" s="1847"/>
      <c r="C2668" s="1531"/>
      <c r="D2668" s="2142" t="s">
        <v>127</v>
      </c>
      <c r="E2668" s="2142"/>
      <c r="F2668" s="2142"/>
      <c r="G2668" s="2142"/>
      <c r="H2668" s="1532">
        <f>ROUND(H2666*H2667,2)</f>
        <v>369</v>
      </c>
      <c r="I2668" s="1830"/>
      <c r="J2668" s="1795"/>
      <c r="K2668" s="1795"/>
      <c r="L2668" s="169"/>
      <c r="M2668" s="1783"/>
    </row>
    <row r="2669" spans="1:13" s="1517" customFormat="1" x14ac:dyDescent="0.25">
      <c r="A2669" s="1847"/>
      <c r="B2669" s="1847"/>
      <c r="C2669" s="1531"/>
      <c r="D2669" s="2141" t="s">
        <v>15335</v>
      </c>
      <c r="E2669" s="2141"/>
      <c r="F2669" s="2141"/>
      <c r="G2669" s="2141"/>
      <c r="H2669" s="267">
        <f>ROUND(H2666*$B$13,2)</f>
        <v>9.94</v>
      </c>
      <c r="I2669" s="1830"/>
      <c r="J2669" s="1795"/>
      <c r="K2669" s="1795"/>
      <c r="L2669" s="169"/>
      <c r="M2669" s="1783"/>
    </row>
    <row r="2670" spans="1:13" x14ac:dyDescent="0.25">
      <c r="A2670" s="1847"/>
      <c r="B2670" s="1847"/>
      <c r="C2670" s="1531"/>
      <c r="D2670" s="2142" t="s">
        <v>7898</v>
      </c>
      <c r="E2670" s="2142"/>
      <c r="F2670" s="2142"/>
      <c r="G2670" s="2142"/>
      <c r="H2670" s="1532">
        <f>H2669+H2666</f>
        <v>46.839999999999996</v>
      </c>
    </row>
    <row r="2671" spans="1:13" x14ac:dyDescent="0.25">
      <c r="A2671" s="1514"/>
      <c r="B2671" s="1514"/>
      <c r="C2671" s="1514"/>
      <c r="F2671" s="1533"/>
      <c r="G2671" s="1534"/>
      <c r="H2671" s="1514"/>
    </row>
    <row r="2672" spans="1:13" s="1517" customFormat="1" x14ac:dyDescent="0.25">
      <c r="A2672" s="146" t="s">
        <v>6</v>
      </c>
      <c r="B2672" s="2143" t="s">
        <v>7</v>
      </c>
      <c r="C2672" s="2143"/>
      <c r="D2672" s="1518" t="s">
        <v>121</v>
      </c>
      <c r="E2672" s="278" t="s">
        <v>5282</v>
      </c>
      <c r="F2672" s="1518" t="s">
        <v>31</v>
      </c>
      <c r="G2672" s="1519" t="s">
        <v>122</v>
      </c>
      <c r="H2672" s="1520" t="s">
        <v>123</v>
      </c>
      <c r="I2672" s="1830"/>
      <c r="J2672" s="1795"/>
      <c r="K2672" s="1795"/>
      <c r="L2672" s="169"/>
      <c r="M2672" s="1783"/>
    </row>
    <row r="2673" spans="1:13" s="1526" customFormat="1" ht="30" x14ac:dyDescent="0.2">
      <c r="A2673" s="1895" t="str">
        <f>'Orç - Prédio'!A480</f>
        <v>06.01.263.25</v>
      </c>
      <c r="B2673" s="1895" t="str">
        <f>'Orç - Prédio'!B480</f>
        <v>ORSE INSUMO</v>
      </c>
      <c r="C2673" s="1895">
        <f>'Orç - Prédio'!C480</f>
        <v>10631</v>
      </c>
      <c r="D2673" s="1865" t="s">
        <v>9092</v>
      </c>
      <c r="E2673" s="1866">
        <f>'Orç - Prédio'!E480</f>
        <v>21</v>
      </c>
      <c r="F2673" s="1895" t="s">
        <v>5284</v>
      </c>
      <c r="G2673" s="1524">
        <v>25.78</v>
      </c>
      <c r="H2673" s="1525">
        <f>H2679</f>
        <v>541.38</v>
      </c>
      <c r="I2673" s="1910" t="s">
        <v>14965</v>
      </c>
      <c r="J2673" s="1793"/>
      <c r="K2673" s="1793"/>
      <c r="L2673" s="141"/>
      <c r="M2673" s="1515"/>
    </row>
    <row r="2674" spans="1:13" s="1859" customFormat="1" ht="30" x14ac:dyDescent="0.2">
      <c r="A2674" s="2144">
        <v>10631</v>
      </c>
      <c r="B2674" s="2144"/>
      <c r="C2674" s="1863" t="s">
        <v>5281</v>
      </c>
      <c r="D2674" s="1862" t="s">
        <v>9364</v>
      </c>
      <c r="E2674" s="1864">
        <v>1</v>
      </c>
      <c r="F2674" s="1894" t="s">
        <v>31</v>
      </c>
      <c r="G2674" s="367">
        <v>25.78</v>
      </c>
      <c r="H2674" s="1857">
        <f>ROUNDDOWN(G2674*E2674,2)</f>
        <v>25.78</v>
      </c>
      <c r="I2674" s="1856"/>
      <c r="J2674" s="1797"/>
      <c r="K2674" s="1797"/>
      <c r="L2674" s="1784"/>
      <c r="M2674" s="1785"/>
    </row>
    <row r="2675" spans="1:13" s="1517" customFormat="1" x14ac:dyDescent="0.25">
      <c r="A2675" s="1847"/>
      <c r="B2675" s="1847"/>
      <c r="C2675" s="1531"/>
      <c r="D2675" s="2141" t="s">
        <v>124</v>
      </c>
      <c r="E2675" s="2141"/>
      <c r="F2675" s="2141"/>
      <c r="G2675" s="2141"/>
      <c r="H2675" s="267">
        <f>SUMIF(F2674:F2674,("h"),H2674:H2674)</f>
        <v>0</v>
      </c>
      <c r="I2675" s="1830"/>
      <c r="J2675" s="1795"/>
      <c r="K2675" s="1795"/>
      <c r="L2675" s="169"/>
      <c r="M2675" s="1783"/>
    </row>
    <row r="2676" spans="1:13" s="1517" customFormat="1" x14ac:dyDescent="0.25">
      <c r="A2676" s="1847"/>
      <c r="B2676" s="1847"/>
      <c r="C2676" s="1531"/>
      <c r="D2676" s="2141" t="s">
        <v>125</v>
      </c>
      <c r="E2676" s="2141"/>
      <c r="F2676" s="2141"/>
      <c r="G2676" s="2141"/>
      <c r="H2676" s="267">
        <f>SUMIF(F2674:F2674,"&lt;&gt;h",H2674:H2674)</f>
        <v>25.78</v>
      </c>
      <c r="I2676" s="1830"/>
      <c r="J2676" s="1795"/>
      <c r="K2676" s="1795"/>
      <c r="L2676" s="169"/>
      <c r="M2676" s="1783"/>
    </row>
    <row r="2677" spans="1:13" s="1517" customFormat="1" x14ac:dyDescent="0.25">
      <c r="A2677" s="1847"/>
      <c r="B2677" s="1847"/>
      <c r="C2677" s="1531"/>
      <c r="D2677" s="2142" t="s">
        <v>126</v>
      </c>
      <c r="E2677" s="2142"/>
      <c r="F2677" s="2142"/>
      <c r="G2677" s="2142"/>
      <c r="H2677" s="1532">
        <f>SUM(H2675:H2676)</f>
        <v>25.78</v>
      </c>
      <c r="I2677" s="1830"/>
      <c r="J2677" s="1795"/>
      <c r="K2677" s="1795"/>
      <c r="L2677" s="169"/>
      <c r="M2677" s="1783"/>
    </row>
    <row r="2678" spans="1:13" s="1517" customFormat="1" x14ac:dyDescent="0.25">
      <c r="A2678" s="1847"/>
      <c r="B2678" s="1847"/>
      <c r="C2678" s="1531"/>
      <c r="D2678" s="2141" t="s">
        <v>28</v>
      </c>
      <c r="E2678" s="2141"/>
      <c r="F2678" s="2141"/>
      <c r="G2678" s="2141"/>
      <c r="H2678" s="269">
        <f>E2673</f>
        <v>21</v>
      </c>
      <c r="I2678" s="1830"/>
      <c r="J2678" s="1795"/>
      <c r="K2678" s="1795"/>
      <c r="L2678" s="169"/>
      <c r="M2678" s="1783"/>
    </row>
    <row r="2679" spans="1:13" s="1517" customFormat="1" x14ac:dyDescent="0.25">
      <c r="A2679" s="1847"/>
      <c r="B2679" s="1847"/>
      <c r="C2679" s="1531"/>
      <c r="D2679" s="2142" t="s">
        <v>127</v>
      </c>
      <c r="E2679" s="2142"/>
      <c r="F2679" s="2142"/>
      <c r="G2679" s="2142"/>
      <c r="H2679" s="1532">
        <f>ROUND(H2677*H2678,2)</f>
        <v>541.38</v>
      </c>
      <c r="I2679" s="1830"/>
      <c r="J2679" s="1795"/>
      <c r="K2679" s="1795"/>
      <c r="L2679" s="169"/>
      <c r="M2679" s="1783"/>
    </row>
    <row r="2680" spans="1:13" s="1517" customFormat="1" x14ac:dyDescent="0.25">
      <c r="A2680" s="1847"/>
      <c r="B2680" s="1847"/>
      <c r="C2680" s="1531"/>
      <c r="D2680" s="2141" t="s">
        <v>15335</v>
      </c>
      <c r="E2680" s="2141"/>
      <c r="F2680" s="2141"/>
      <c r="G2680" s="2141"/>
      <c r="H2680" s="267">
        <f>ROUND(H2677*$B$13,2)</f>
        <v>6.94</v>
      </c>
      <c r="I2680" s="1830"/>
      <c r="J2680" s="1795"/>
      <c r="K2680" s="1795"/>
      <c r="L2680" s="169"/>
      <c r="M2680" s="1783"/>
    </row>
    <row r="2681" spans="1:13" x14ac:dyDescent="0.25">
      <c r="A2681" s="1847"/>
      <c r="B2681" s="1847"/>
      <c r="C2681" s="1531"/>
      <c r="D2681" s="2142" t="s">
        <v>7898</v>
      </c>
      <c r="E2681" s="2142"/>
      <c r="F2681" s="2142"/>
      <c r="G2681" s="2142"/>
      <c r="H2681" s="1532">
        <f>H2680+H2677</f>
        <v>32.72</v>
      </c>
    </row>
    <row r="2682" spans="1:13" x14ac:dyDescent="0.25">
      <c r="A2682" s="1514"/>
      <c r="B2682" s="1514"/>
      <c r="C2682" s="1514"/>
      <c r="F2682" s="1533"/>
      <c r="G2682" s="1534"/>
      <c r="H2682" s="1514"/>
    </row>
    <row r="2683" spans="1:13" s="1517" customFormat="1" x14ac:dyDescent="0.25">
      <c r="A2683" s="146" t="s">
        <v>6</v>
      </c>
      <c r="B2683" s="2143" t="s">
        <v>7</v>
      </c>
      <c r="C2683" s="2143"/>
      <c r="D2683" s="1518" t="s">
        <v>121</v>
      </c>
      <c r="E2683" s="278" t="s">
        <v>5282</v>
      </c>
      <c r="F2683" s="1518" t="s">
        <v>31</v>
      </c>
      <c r="G2683" s="1519" t="s">
        <v>122</v>
      </c>
      <c r="H2683" s="1520" t="s">
        <v>123</v>
      </c>
      <c r="I2683" s="1830"/>
      <c r="J2683" s="1795"/>
      <c r="K2683" s="1795"/>
      <c r="L2683" s="169"/>
      <c r="M2683" s="1783"/>
    </row>
    <row r="2684" spans="1:13" s="1526" customFormat="1" ht="30" x14ac:dyDescent="0.2">
      <c r="A2684" s="1895" t="str">
        <f>'Orç - Prédio'!A481</f>
        <v>06.01.263.26</v>
      </c>
      <c r="B2684" s="1895" t="str">
        <f>'Orç - Prédio'!B481</f>
        <v>ORSE</v>
      </c>
      <c r="C2684" s="1895" t="str">
        <f>'Orç - Prédio'!C481</f>
        <v>3291 MOD</v>
      </c>
      <c r="D2684" s="1865" t="s">
        <v>9367</v>
      </c>
      <c r="E2684" s="1866">
        <f>'Orç - Prédio'!E481</f>
        <v>1</v>
      </c>
      <c r="F2684" s="1895" t="s">
        <v>5284</v>
      </c>
      <c r="G2684" s="1524">
        <v>141.91</v>
      </c>
      <c r="H2684" s="1525">
        <f>H2692</f>
        <v>141.91</v>
      </c>
      <c r="I2684" s="1910" t="s">
        <v>14965</v>
      </c>
      <c r="J2684" s="1793"/>
      <c r="K2684" s="1793"/>
      <c r="L2684" s="141"/>
      <c r="M2684" s="1515"/>
    </row>
    <row r="2685" spans="1:13" s="1859" customFormat="1" ht="30" x14ac:dyDescent="0.2">
      <c r="A2685" s="2144">
        <v>3490</v>
      </c>
      <c r="B2685" s="2144"/>
      <c r="C2685" s="1863" t="s">
        <v>5281</v>
      </c>
      <c r="D2685" s="1862" t="s">
        <v>9368</v>
      </c>
      <c r="E2685" s="1864">
        <v>3</v>
      </c>
      <c r="F2685" s="1894" t="s">
        <v>31</v>
      </c>
      <c r="G2685" s="367">
        <v>29.6</v>
      </c>
      <c r="H2685" s="1857">
        <f>ROUNDDOWN(G2685*E2685,2)</f>
        <v>88.8</v>
      </c>
      <c r="I2685" s="1856"/>
      <c r="J2685" s="1797"/>
      <c r="K2685" s="1797"/>
      <c r="L2685" s="1784"/>
      <c r="M2685" s="1785"/>
    </row>
    <row r="2686" spans="1:13" s="1859" customFormat="1" ht="30" x14ac:dyDescent="0.2">
      <c r="A2686" s="2144">
        <v>88316</v>
      </c>
      <c r="B2686" s="2144"/>
      <c r="C2686" s="1863" t="s">
        <v>4448</v>
      </c>
      <c r="D2686" s="1862" t="s">
        <v>64</v>
      </c>
      <c r="E2686" s="1864">
        <v>1.5</v>
      </c>
      <c r="F2686" s="1894" t="s">
        <v>65</v>
      </c>
      <c r="G2686" s="1860">
        <v>15.08</v>
      </c>
      <c r="H2686" s="1857">
        <f>ROUNDDOWN(G2686*E2686,2)</f>
        <v>22.62</v>
      </c>
      <c r="I2686" s="1856"/>
      <c r="J2686" s="1797"/>
      <c r="K2686" s="1797"/>
      <c r="L2686" s="1784"/>
      <c r="M2686" s="1785"/>
    </row>
    <row r="2687" spans="1:13" s="1859" customFormat="1" ht="30" x14ac:dyDescent="0.2">
      <c r="A2687" s="2144">
        <v>88264</v>
      </c>
      <c r="B2687" s="2144"/>
      <c r="C2687" s="1863" t="s">
        <v>4448</v>
      </c>
      <c r="D2687" s="1862" t="s">
        <v>81</v>
      </c>
      <c r="E2687" s="1864">
        <v>1.5</v>
      </c>
      <c r="F2687" s="1894" t="s">
        <v>65</v>
      </c>
      <c r="G2687" s="1860">
        <v>20.329999999999998</v>
      </c>
      <c r="H2687" s="1857">
        <f>ROUNDDOWN(G2687*E2687,2)</f>
        <v>30.49</v>
      </c>
      <c r="I2687" s="1856"/>
      <c r="J2687" s="1797"/>
      <c r="K2687" s="1797"/>
      <c r="L2687" s="1784"/>
      <c r="M2687" s="1785"/>
    </row>
    <row r="2688" spans="1:13" s="1517" customFormat="1" x14ac:dyDescent="0.25">
      <c r="A2688" s="1847"/>
      <c r="B2688" s="1847"/>
      <c r="C2688" s="1531"/>
      <c r="D2688" s="2141" t="s">
        <v>124</v>
      </c>
      <c r="E2688" s="2141"/>
      <c r="F2688" s="2141"/>
      <c r="G2688" s="2141"/>
      <c r="H2688" s="267">
        <f>SUMIF(F2685:F2687,("h"),H2685:H2687)</f>
        <v>53.11</v>
      </c>
      <c r="I2688" s="1830"/>
      <c r="J2688" s="1795"/>
      <c r="K2688" s="1795"/>
      <c r="L2688" s="169"/>
      <c r="M2688" s="1783"/>
    </row>
    <row r="2689" spans="1:13" s="1517" customFormat="1" x14ac:dyDescent="0.25">
      <c r="A2689" s="1847"/>
      <c r="B2689" s="1847"/>
      <c r="C2689" s="1531"/>
      <c r="D2689" s="2141" t="s">
        <v>125</v>
      </c>
      <c r="E2689" s="2141"/>
      <c r="F2689" s="2141"/>
      <c r="G2689" s="2141"/>
      <c r="H2689" s="267">
        <f>SUMIF(F2685:F2687,"&lt;&gt;h",H2685:H2687)</f>
        <v>88.8</v>
      </c>
      <c r="I2689" s="1830"/>
      <c r="J2689" s="1795"/>
      <c r="K2689" s="1795"/>
      <c r="L2689" s="169"/>
      <c r="M2689" s="1783"/>
    </row>
    <row r="2690" spans="1:13" s="1517" customFormat="1" x14ac:dyDescent="0.25">
      <c r="A2690" s="1847"/>
      <c r="B2690" s="1847"/>
      <c r="C2690" s="1531"/>
      <c r="D2690" s="2142" t="s">
        <v>126</v>
      </c>
      <c r="E2690" s="2142"/>
      <c r="F2690" s="2142"/>
      <c r="G2690" s="2142"/>
      <c r="H2690" s="1532">
        <f>SUM(H2688:H2689)</f>
        <v>141.91</v>
      </c>
      <c r="I2690" s="1830"/>
      <c r="J2690" s="1795"/>
      <c r="K2690" s="1795"/>
      <c r="L2690" s="169"/>
      <c r="M2690" s="1783"/>
    </row>
    <row r="2691" spans="1:13" s="1517" customFormat="1" x14ac:dyDescent="0.25">
      <c r="A2691" s="1847"/>
      <c r="B2691" s="1847"/>
      <c r="C2691" s="1531"/>
      <c r="D2691" s="2141" t="s">
        <v>28</v>
      </c>
      <c r="E2691" s="2141"/>
      <c r="F2691" s="2141"/>
      <c r="G2691" s="2141"/>
      <c r="H2691" s="269">
        <f>E2684</f>
        <v>1</v>
      </c>
      <c r="I2691" s="1830"/>
      <c r="J2691" s="1795"/>
      <c r="K2691" s="1795"/>
      <c r="L2691" s="169"/>
      <c r="M2691" s="1783"/>
    </row>
    <row r="2692" spans="1:13" s="1517" customFormat="1" x14ac:dyDescent="0.25">
      <c r="A2692" s="1847"/>
      <c r="B2692" s="1847"/>
      <c r="C2692" s="1531"/>
      <c r="D2692" s="2142" t="s">
        <v>127</v>
      </c>
      <c r="E2692" s="2142"/>
      <c r="F2692" s="2142"/>
      <c r="G2692" s="2142"/>
      <c r="H2692" s="1532">
        <f>ROUND(H2690*H2691,2)</f>
        <v>141.91</v>
      </c>
      <c r="I2692" s="1830"/>
      <c r="J2692" s="1795"/>
      <c r="K2692" s="1795"/>
      <c r="L2692" s="169"/>
      <c r="M2692" s="1783"/>
    </row>
    <row r="2693" spans="1:13" s="1517" customFormat="1" x14ac:dyDescent="0.25">
      <c r="A2693" s="1847"/>
      <c r="B2693" s="1847"/>
      <c r="C2693" s="1531"/>
      <c r="D2693" s="2141" t="s">
        <v>15335</v>
      </c>
      <c r="E2693" s="2141"/>
      <c r="F2693" s="2141"/>
      <c r="G2693" s="2141"/>
      <c r="H2693" s="267">
        <f>ROUND(H2690*$B$13,2)</f>
        <v>38.22</v>
      </c>
      <c r="I2693" s="1830"/>
      <c r="J2693" s="1795"/>
      <c r="K2693" s="1795"/>
      <c r="L2693" s="169"/>
      <c r="M2693" s="1783"/>
    </row>
    <row r="2694" spans="1:13" x14ac:dyDescent="0.25">
      <c r="A2694" s="1847"/>
      <c r="B2694" s="1847"/>
      <c r="C2694" s="1531"/>
      <c r="D2694" s="2142" t="s">
        <v>7898</v>
      </c>
      <c r="E2694" s="2142"/>
      <c r="F2694" s="2142"/>
      <c r="G2694" s="2142"/>
      <c r="H2694" s="1532">
        <f>H2693+H2690</f>
        <v>180.13</v>
      </c>
    </row>
    <row r="2695" spans="1:13" x14ac:dyDescent="0.25">
      <c r="A2695" s="1514"/>
      <c r="B2695" s="1514"/>
      <c r="C2695" s="1514"/>
      <c r="F2695" s="1533"/>
      <c r="G2695" s="1534"/>
      <c r="H2695" s="1514"/>
    </row>
    <row r="2696" spans="1:13" s="1517" customFormat="1" x14ac:dyDescent="0.25">
      <c r="A2696" s="146" t="s">
        <v>6</v>
      </c>
      <c r="B2696" s="2143" t="s">
        <v>7</v>
      </c>
      <c r="C2696" s="2143"/>
      <c r="D2696" s="1518" t="s">
        <v>121</v>
      </c>
      <c r="E2696" s="278" t="s">
        <v>5282</v>
      </c>
      <c r="F2696" s="1518" t="s">
        <v>31</v>
      </c>
      <c r="G2696" s="1519" t="s">
        <v>122</v>
      </c>
      <c r="H2696" s="1520" t="s">
        <v>123</v>
      </c>
      <c r="I2696" s="1830"/>
      <c r="J2696" s="1795"/>
      <c r="K2696" s="1795"/>
      <c r="L2696" s="169"/>
      <c r="M2696" s="1783"/>
    </row>
    <row r="2697" spans="1:13" s="1526" customFormat="1" ht="30" x14ac:dyDescent="0.2">
      <c r="A2697" s="1895" t="str">
        <f>'Orç - Prédio'!A482</f>
        <v>06.01.263.27</v>
      </c>
      <c r="B2697" s="1895" t="str">
        <f>'Orç - Prédio'!B482</f>
        <v>AGETOP</v>
      </c>
      <c r="C2697" s="1895">
        <f>'Orç - Prédio'!C482</f>
        <v>71110</v>
      </c>
      <c r="D2697" s="1865" t="s">
        <v>9093</v>
      </c>
      <c r="E2697" s="1866">
        <f>'Orç - Prédio'!E482</f>
        <v>2</v>
      </c>
      <c r="F2697" s="1895" t="s">
        <v>5284</v>
      </c>
      <c r="G2697" s="1524">
        <v>184.71</v>
      </c>
      <c r="H2697" s="1525">
        <f>H2705</f>
        <v>369.42</v>
      </c>
      <c r="I2697" s="1910" t="s">
        <v>9564</v>
      </c>
      <c r="J2697" s="1793"/>
      <c r="K2697" s="1793"/>
      <c r="L2697" s="141"/>
      <c r="M2697" s="1515"/>
    </row>
    <row r="2698" spans="1:13" s="1859" customFormat="1" x14ac:dyDescent="0.2">
      <c r="A2698" s="2144">
        <v>3692</v>
      </c>
      <c r="B2698" s="2144"/>
      <c r="C2698" s="1863" t="s">
        <v>5778</v>
      </c>
      <c r="D2698" s="1862" t="s">
        <v>9371</v>
      </c>
      <c r="E2698" s="1864">
        <v>1</v>
      </c>
      <c r="F2698" s="1894" t="s">
        <v>31</v>
      </c>
      <c r="G2698" s="367">
        <v>168</v>
      </c>
      <c r="H2698" s="1857">
        <f>ROUNDDOWN(G2698*E2698,2)</f>
        <v>168</v>
      </c>
      <c r="I2698" s="1856"/>
      <c r="J2698" s="1797"/>
      <c r="K2698" s="1797"/>
      <c r="L2698" s="1784"/>
      <c r="M2698" s="1785"/>
    </row>
    <row r="2699" spans="1:13" s="1859" customFormat="1" ht="30" x14ac:dyDescent="0.2">
      <c r="A2699" s="2144">
        <v>88247</v>
      </c>
      <c r="B2699" s="2144"/>
      <c r="C2699" s="1863" t="s">
        <v>4448</v>
      </c>
      <c r="D2699" s="1862" t="s">
        <v>71</v>
      </c>
      <c r="E2699" s="1864">
        <v>0.46</v>
      </c>
      <c r="F2699" s="1894" t="s">
        <v>65</v>
      </c>
      <c r="G2699" s="1860">
        <v>16.02</v>
      </c>
      <c r="H2699" s="1857">
        <f>ROUNDDOWN(G2699*E2699,2)</f>
        <v>7.36</v>
      </c>
      <c r="I2699" s="1856"/>
      <c r="J2699" s="1797"/>
      <c r="K2699" s="1797"/>
      <c r="L2699" s="1784"/>
      <c r="M2699" s="1785"/>
    </row>
    <row r="2700" spans="1:13" s="1859" customFormat="1" ht="30" x14ac:dyDescent="0.2">
      <c r="A2700" s="2144">
        <v>88264</v>
      </c>
      <c r="B2700" s="2144"/>
      <c r="C2700" s="1863" t="s">
        <v>4448</v>
      </c>
      <c r="D2700" s="1862" t="s">
        <v>81</v>
      </c>
      <c r="E2700" s="1864">
        <v>0.46</v>
      </c>
      <c r="F2700" s="1894" t="s">
        <v>65</v>
      </c>
      <c r="G2700" s="1860">
        <v>20.329999999999998</v>
      </c>
      <c r="H2700" s="1857">
        <f>ROUNDDOWN(G2700*E2700,2)</f>
        <v>9.35</v>
      </c>
      <c r="I2700" s="1856"/>
      <c r="J2700" s="1797"/>
      <c r="K2700" s="1797"/>
      <c r="L2700" s="1784"/>
      <c r="M2700" s="1785"/>
    </row>
    <row r="2701" spans="1:13" s="1517" customFormat="1" x14ac:dyDescent="0.25">
      <c r="A2701" s="1847"/>
      <c r="B2701" s="1847"/>
      <c r="C2701" s="1531"/>
      <c r="D2701" s="2141" t="s">
        <v>124</v>
      </c>
      <c r="E2701" s="2141"/>
      <c r="F2701" s="2141"/>
      <c r="G2701" s="2141"/>
      <c r="H2701" s="267">
        <f>SUMIF(F2698:F2700,("h"),H2698:H2700)</f>
        <v>16.71</v>
      </c>
      <c r="I2701" s="1830"/>
      <c r="J2701" s="1795"/>
      <c r="K2701" s="1795"/>
      <c r="L2701" s="169"/>
      <c r="M2701" s="1783"/>
    </row>
    <row r="2702" spans="1:13" s="1517" customFormat="1" x14ac:dyDescent="0.25">
      <c r="A2702" s="1847"/>
      <c r="B2702" s="1847"/>
      <c r="C2702" s="1531"/>
      <c r="D2702" s="2141" t="s">
        <v>125</v>
      </c>
      <c r="E2702" s="2141"/>
      <c r="F2702" s="2141"/>
      <c r="G2702" s="2141"/>
      <c r="H2702" s="267">
        <f>SUMIF(F2698:F2700,"&lt;&gt;h",H2698:H2700)</f>
        <v>168</v>
      </c>
      <c r="I2702" s="1830"/>
      <c r="J2702" s="1795"/>
      <c r="K2702" s="1795"/>
      <c r="L2702" s="169"/>
      <c r="M2702" s="1783"/>
    </row>
    <row r="2703" spans="1:13" s="1517" customFormat="1" x14ac:dyDescent="0.25">
      <c r="A2703" s="1847"/>
      <c r="B2703" s="1847"/>
      <c r="C2703" s="1531"/>
      <c r="D2703" s="2142" t="s">
        <v>126</v>
      </c>
      <c r="E2703" s="2142"/>
      <c r="F2703" s="2142"/>
      <c r="G2703" s="2142"/>
      <c r="H2703" s="1532">
        <f>SUM(H2701:H2702)</f>
        <v>184.71</v>
      </c>
      <c r="I2703" s="1830"/>
      <c r="J2703" s="1795"/>
      <c r="K2703" s="1795"/>
      <c r="L2703" s="169"/>
      <c r="M2703" s="1783"/>
    </row>
    <row r="2704" spans="1:13" s="1517" customFormat="1" x14ac:dyDescent="0.25">
      <c r="A2704" s="1847"/>
      <c r="B2704" s="1847"/>
      <c r="C2704" s="1531"/>
      <c r="D2704" s="2141" t="s">
        <v>28</v>
      </c>
      <c r="E2704" s="2141"/>
      <c r="F2704" s="2141"/>
      <c r="G2704" s="2141"/>
      <c r="H2704" s="269">
        <f>E2697</f>
        <v>2</v>
      </c>
      <c r="I2704" s="1830"/>
      <c r="J2704" s="1795"/>
      <c r="K2704" s="1795"/>
      <c r="L2704" s="169"/>
      <c r="M2704" s="1783"/>
    </row>
    <row r="2705" spans="1:13" s="1517" customFormat="1" x14ac:dyDescent="0.25">
      <c r="A2705" s="1847"/>
      <c r="B2705" s="1847"/>
      <c r="C2705" s="1531"/>
      <c r="D2705" s="2142" t="s">
        <v>127</v>
      </c>
      <c r="E2705" s="2142"/>
      <c r="F2705" s="2142"/>
      <c r="G2705" s="2142"/>
      <c r="H2705" s="1532">
        <f>ROUND(H2703*H2704,2)</f>
        <v>369.42</v>
      </c>
      <c r="I2705" s="1830"/>
      <c r="J2705" s="1795"/>
      <c r="K2705" s="1795"/>
      <c r="L2705" s="169"/>
      <c r="M2705" s="1783"/>
    </row>
    <row r="2706" spans="1:13" s="1517" customFormat="1" x14ac:dyDescent="0.25">
      <c r="A2706" s="1847"/>
      <c r="B2706" s="1847"/>
      <c r="C2706" s="1531"/>
      <c r="D2706" s="2141" t="s">
        <v>15335</v>
      </c>
      <c r="E2706" s="2141"/>
      <c r="F2706" s="2141"/>
      <c r="G2706" s="2141"/>
      <c r="H2706" s="267">
        <f>ROUND(H2703*$B$13,2)</f>
        <v>49.74</v>
      </c>
      <c r="I2706" s="1830"/>
      <c r="J2706" s="1795"/>
      <c r="K2706" s="1795"/>
      <c r="L2706" s="169"/>
      <c r="M2706" s="1783"/>
    </row>
    <row r="2707" spans="1:13" x14ac:dyDescent="0.25">
      <c r="A2707" s="1847"/>
      <c r="B2707" s="1847"/>
      <c r="C2707" s="1531"/>
      <c r="D2707" s="2142" t="s">
        <v>7898</v>
      </c>
      <c r="E2707" s="2142"/>
      <c r="F2707" s="2142"/>
      <c r="G2707" s="2142"/>
      <c r="H2707" s="1532">
        <f>H2706+H2703</f>
        <v>234.45000000000002</v>
      </c>
    </row>
    <row r="2708" spans="1:13" x14ac:dyDescent="0.25">
      <c r="A2708" s="1514"/>
      <c r="B2708" s="1514"/>
      <c r="C2708" s="1514"/>
      <c r="F2708" s="1533"/>
      <c r="G2708" s="1534"/>
      <c r="H2708" s="1514"/>
    </row>
    <row r="2709" spans="1:13" s="1517" customFormat="1" x14ac:dyDescent="0.25">
      <c r="A2709" s="146" t="s">
        <v>6</v>
      </c>
      <c r="B2709" s="2143" t="s">
        <v>7</v>
      </c>
      <c r="C2709" s="2143"/>
      <c r="D2709" s="1518" t="s">
        <v>121</v>
      </c>
      <c r="E2709" s="278" t="s">
        <v>5282</v>
      </c>
      <c r="F2709" s="1518" t="s">
        <v>31</v>
      </c>
      <c r="G2709" s="1519" t="s">
        <v>122</v>
      </c>
      <c r="H2709" s="1520" t="s">
        <v>123</v>
      </c>
      <c r="I2709" s="1830"/>
      <c r="J2709" s="1795"/>
      <c r="K2709" s="1795"/>
      <c r="L2709" s="169"/>
      <c r="M2709" s="1783"/>
    </row>
    <row r="2710" spans="1:13" s="1526" customFormat="1" ht="30" x14ac:dyDescent="0.2">
      <c r="A2710" s="1895" t="str">
        <f>'Orç - Prédio'!A483</f>
        <v>06.01.263.28</v>
      </c>
      <c r="B2710" s="1895" t="str">
        <f>'Orç - Prédio'!B483</f>
        <v>ORSE INSUMO</v>
      </c>
      <c r="C2710" s="1895">
        <f>'Orç - Prédio'!C483</f>
        <v>4634</v>
      </c>
      <c r="D2710" s="1865" t="s">
        <v>9094</v>
      </c>
      <c r="E2710" s="1866">
        <f>'Orç - Prédio'!E483</f>
        <v>6</v>
      </c>
      <c r="F2710" s="1895" t="s">
        <v>5284</v>
      </c>
      <c r="G2710" s="1524">
        <v>141.65</v>
      </c>
      <c r="H2710" s="1525">
        <f>H2716</f>
        <v>849.9</v>
      </c>
      <c r="I2710" s="1910" t="s">
        <v>14965</v>
      </c>
      <c r="J2710" s="1793"/>
      <c r="K2710" s="1793"/>
      <c r="L2710" s="141"/>
      <c r="M2710" s="1515"/>
    </row>
    <row r="2711" spans="1:13" s="1859" customFormat="1" x14ac:dyDescent="0.2">
      <c r="A2711" s="2144">
        <v>4634</v>
      </c>
      <c r="B2711" s="2144"/>
      <c r="C2711" s="1863" t="s">
        <v>5281</v>
      </c>
      <c r="D2711" s="1862" t="s">
        <v>9372</v>
      </c>
      <c r="E2711" s="1864">
        <v>1</v>
      </c>
      <c r="F2711" s="1894" t="s">
        <v>31</v>
      </c>
      <c r="G2711" s="367">
        <v>141.65</v>
      </c>
      <c r="H2711" s="1857">
        <f>ROUNDDOWN(G2711*E2711,2)</f>
        <v>141.65</v>
      </c>
      <c r="I2711" s="1856"/>
      <c r="J2711" s="1797"/>
      <c r="K2711" s="1797"/>
      <c r="L2711" s="1784"/>
      <c r="M2711" s="1785"/>
    </row>
    <row r="2712" spans="1:13" s="1517" customFormat="1" x14ac:dyDescent="0.25">
      <c r="A2712" s="1847"/>
      <c r="B2712" s="1847"/>
      <c r="C2712" s="1531"/>
      <c r="D2712" s="2141" t="s">
        <v>124</v>
      </c>
      <c r="E2712" s="2141"/>
      <c r="F2712" s="2141"/>
      <c r="G2712" s="2141"/>
      <c r="H2712" s="267">
        <f>SUMIF(F2711:F2711,("h"),H2711:H2711)</f>
        <v>0</v>
      </c>
      <c r="I2712" s="1830"/>
      <c r="J2712" s="1795"/>
      <c r="K2712" s="1795"/>
      <c r="L2712" s="169"/>
      <c r="M2712" s="1783"/>
    </row>
    <row r="2713" spans="1:13" s="1517" customFormat="1" x14ac:dyDescent="0.25">
      <c r="A2713" s="1847"/>
      <c r="B2713" s="1847"/>
      <c r="C2713" s="1531"/>
      <c r="D2713" s="2141" t="s">
        <v>125</v>
      </c>
      <c r="E2713" s="2141"/>
      <c r="F2713" s="2141"/>
      <c r="G2713" s="2141"/>
      <c r="H2713" s="267">
        <f>SUMIF(F2711:F2711,"&lt;&gt;h",H2711:H2711)</f>
        <v>141.65</v>
      </c>
      <c r="I2713" s="1830"/>
      <c r="J2713" s="1795"/>
      <c r="K2713" s="1795"/>
      <c r="L2713" s="169"/>
      <c r="M2713" s="1783"/>
    </row>
    <row r="2714" spans="1:13" s="1517" customFormat="1" x14ac:dyDescent="0.25">
      <c r="A2714" s="1847"/>
      <c r="B2714" s="1847"/>
      <c r="C2714" s="1531"/>
      <c r="D2714" s="2142" t="s">
        <v>126</v>
      </c>
      <c r="E2714" s="2142"/>
      <c r="F2714" s="2142"/>
      <c r="G2714" s="2142"/>
      <c r="H2714" s="1532">
        <f>SUM(H2712:H2713)</f>
        <v>141.65</v>
      </c>
      <c r="I2714" s="1830"/>
      <c r="J2714" s="1795"/>
      <c r="K2714" s="1795"/>
      <c r="L2714" s="169"/>
      <c r="M2714" s="1783"/>
    </row>
    <row r="2715" spans="1:13" s="1517" customFormat="1" x14ac:dyDescent="0.25">
      <c r="A2715" s="1847"/>
      <c r="B2715" s="1847"/>
      <c r="C2715" s="1531"/>
      <c r="D2715" s="2141" t="s">
        <v>28</v>
      </c>
      <c r="E2715" s="2141"/>
      <c r="F2715" s="2141"/>
      <c r="G2715" s="2141"/>
      <c r="H2715" s="269">
        <f>E2710</f>
        <v>6</v>
      </c>
      <c r="I2715" s="1830"/>
      <c r="J2715" s="1795"/>
      <c r="K2715" s="1795"/>
      <c r="L2715" s="169"/>
      <c r="M2715" s="1783"/>
    </row>
    <row r="2716" spans="1:13" s="1517" customFormat="1" x14ac:dyDescent="0.25">
      <c r="A2716" s="1847"/>
      <c r="B2716" s="1847"/>
      <c r="C2716" s="1531"/>
      <c r="D2716" s="2142" t="s">
        <v>127</v>
      </c>
      <c r="E2716" s="2142"/>
      <c r="F2716" s="2142"/>
      <c r="G2716" s="2142"/>
      <c r="H2716" s="1532">
        <f>ROUND(H2714*H2715,2)</f>
        <v>849.9</v>
      </c>
      <c r="I2716" s="1830"/>
      <c r="J2716" s="1795"/>
      <c r="K2716" s="1795"/>
      <c r="L2716" s="169"/>
      <c r="M2716" s="1783"/>
    </row>
    <row r="2717" spans="1:13" s="1517" customFormat="1" x14ac:dyDescent="0.25">
      <c r="A2717" s="1847"/>
      <c r="B2717" s="1847"/>
      <c r="C2717" s="1531"/>
      <c r="D2717" s="2141" t="s">
        <v>15335</v>
      </c>
      <c r="E2717" s="2141"/>
      <c r="F2717" s="2141"/>
      <c r="G2717" s="2141"/>
      <c r="H2717" s="267">
        <f>ROUND(H2714*$B$13,2)</f>
        <v>38.15</v>
      </c>
      <c r="I2717" s="1830"/>
      <c r="J2717" s="1795"/>
      <c r="K2717" s="1795"/>
      <c r="L2717" s="169"/>
      <c r="M2717" s="1783"/>
    </row>
    <row r="2718" spans="1:13" x14ac:dyDescent="0.25">
      <c r="A2718" s="1847"/>
      <c r="B2718" s="1847"/>
      <c r="C2718" s="1531"/>
      <c r="D2718" s="2142" t="s">
        <v>7898</v>
      </c>
      <c r="E2718" s="2142"/>
      <c r="F2718" s="2142"/>
      <c r="G2718" s="2142"/>
      <c r="H2718" s="1532">
        <f>H2717+H2714</f>
        <v>179.8</v>
      </c>
    </row>
    <row r="2719" spans="1:13" x14ac:dyDescent="0.25">
      <c r="A2719" s="1514"/>
      <c r="B2719" s="1514"/>
      <c r="C2719" s="1514"/>
      <c r="F2719" s="1533"/>
      <c r="G2719" s="1534"/>
      <c r="H2719" s="1514"/>
    </row>
    <row r="2720" spans="1:13" s="1517" customFormat="1" x14ac:dyDescent="0.25">
      <c r="A2720" s="146" t="s">
        <v>6</v>
      </c>
      <c r="B2720" s="2143" t="s">
        <v>7</v>
      </c>
      <c r="C2720" s="2143"/>
      <c r="D2720" s="1518" t="s">
        <v>121</v>
      </c>
      <c r="E2720" s="278" t="s">
        <v>5282</v>
      </c>
      <c r="F2720" s="1518" t="s">
        <v>31</v>
      </c>
      <c r="G2720" s="1519" t="s">
        <v>122</v>
      </c>
      <c r="H2720" s="1520" t="s">
        <v>123</v>
      </c>
      <c r="I2720" s="1830"/>
      <c r="J2720" s="1795"/>
      <c r="K2720" s="1795"/>
      <c r="L2720" s="169"/>
      <c r="M2720" s="1783"/>
    </row>
    <row r="2721" spans="1:13" s="1526" customFormat="1" ht="30" x14ac:dyDescent="0.2">
      <c r="A2721" s="1895" t="str">
        <f>'Orç - Prédio'!A484</f>
        <v>06.01.263.29</v>
      </c>
      <c r="B2721" s="1895" t="str">
        <f>'Orç - Prédio'!B484</f>
        <v>AGETOP</v>
      </c>
      <c r="C2721" s="1895">
        <f>'Orç - Prédio'!C484</f>
        <v>70771</v>
      </c>
      <c r="D2721" s="1865" t="s">
        <v>9095</v>
      </c>
      <c r="E2721" s="1866">
        <f>'Orç - Prédio'!E484</f>
        <v>4</v>
      </c>
      <c r="F2721" s="1895" t="s">
        <v>5284</v>
      </c>
      <c r="G2721" s="1524">
        <v>64.069999999999993</v>
      </c>
      <c r="H2721" s="1525">
        <f>H2729</f>
        <v>256.27999999999997</v>
      </c>
      <c r="I2721" s="1910" t="s">
        <v>9564</v>
      </c>
      <c r="J2721" s="1793"/>
      <c r="K2721" s="1793"/>
      <c r="L2721" s="141"/>
      <c r="M2721" s="1515"/>
    </row>
    <row r="2722" spans="1:13" s="1859" customFormat="1" x14ac:dyDescent="0.2">
      <c r="A2722" s="2144">
        <v>3968</v>
      </c>
      <c r="B2722" s="2144"/>
      <c r="C2722" s="1863" t="s">
        <v>5778</v>
      </c>
      <c r="D2722" s="1862" t="s">
        <v>9374</v>
      </c>
      <c r="E2722" s="1864">
        <v>1</v>
      </c>
      <c r="F2722" s="1894" t="s">
        <v>31</v>
      </c>
      <c r="G2722" s="367">
        <v>60.44</v>
      </c>
      <c r="H2722" s="1857">
        <f>ROUNDDOWN(G2722*E2722,2)</f>
        <v>60.44</v>
      </c>
      <c r="I2722" s="1856"/>
      <c r="J2722" s="1797"/>
      <c r="K2722" s="1797"/>
      <c r="L2722" s="1784"/>
      <c r="M2722" s="1785"/>
    </row>
    <row r="2723" spans="1:13" s="1859" customFormat="1" ht="30" x14ac:dyDescent="0.2">
      <c r="A2723" s="2144">
        <v>88247</v>
      </c>
      <c r="B2723" s="2144"/>
      <c r="C2723" s="1863" t="s">
        <v>4448</v>
      </c>
      <c r="D2723" s="1862" t="s">
        <v>71</v>
      </c>
      <c r="E2723" s="1864">
        <v>0.1</v>
      </c>
      <c r="F2723" s="1894" t="s">
        <v>65</v>
      </c>
      <c r="G2723" s="1860">
        <v>16.02</v>
      </c>
      <c r="H2723" s="1857">
        <f>ROUNDDOWN(G2723*E2723,2)</f>
        <v>1.6</v>
      </c>
      <c r="I2723" s="1856"/>
      <c r="J2723" s="1797"/>
      <c r="K2723" s="1797"/>
      <c r="L2723" s="1784"/>
      <c r="M2723" s="1785"/>
    </row>
    <row r="2724" spans="1:13" s="1859" customFormat="1" ht="30" x14ac:dyDescent="0.2">
      <c r="A2724" s="2144">
        <v>88264</v>
      </c>
      <c r="B2724" s="2144"/>
      <c r="C2724" s="1863" t="s">
        <v>4448</v>
      </c>
      <c r="D2724" s="1862" t="s">
        <v>81</v>
      </c>
      <c r="E2724" s="1864">
        <v>0.1</v>
      </c>
      <c r="F2724" s="1894" t="s">
        <v>65</v>
      </c>
      <c r="G2724" s="1860">
        <v>20.329999999999998</v>
      </c>
      <c r="H2724" s="1857">
        <f>ROUNDDOWN(G2724*E2724,2)</f>
        <v>2.0299999999999998</v>
      </c>
      <c r="I2724" s="1856"/>
      <c r="J2724" s="1797"/>
      <c r="K2724" s="1797"/>
      <c r="L2724" s="1784"/>
      <c r="M2724" s="1785"/>
    </row>
    <row r="2725" spans="1:13" s="1517" customFormat="1" x14ac:dyDescent="0.25">
      <c r="A2725" s="1847"/>
      <c r="B2725" s="1847"/>
      <c r="C2725" s="1531"/>
      <c r="D2725" s="2141" t="s">
        <v>124</v>
      </c>
      <c r="E2725" s="2141"/>
      <c r="F2725" s="2141"/>
      <c r="G2725" s="2141"/>
      <c r="H2725" s="267">
        <f>SUMIF(F2722:F2724,("h"),H2722:H2724)</f>
        <v>3.63</v>
      </c>
      <c r="I2725" s="1830"/>
      <c r="J2725" s="1795"/>
      <c r="K2725" s="1795"/>
      <c r="L2725" s="169"/>
      <c r="M2725" s="1783"/>
    </row>
    <row r="2726" spans="1:13" s="1517" customFormat="1" x14ac:dyDescent="0.25">
      <c r="A2726" s="1847"/>
      <c r="B2726" s="1847"/>
      <c r="C2726" s="1531"/>
      <c r="D2726" s="2141" t="s">
        <v>125</v>
      </c>
      <c r="E2726" s="2141"/>
      <c r="F2726" s="2141"/>
      <c r="G2726" s="2141"/>
      <c r="H2726" s="267">
        <f>SUMIF(F2722:F2724,"&lt;&gt;h",H2722:H2724)</f>
        <v>60.44</v>
      </c>
      <c r="I2726" s="1830"/>
      <c r="J2726" s="1795"/>
      <c r="K2726" s="1795"/>
      <c r="L2726" s="169"/>
      <c r="M2726" s="1783"/>
    </row>
    <row r="2727" spans="1:13" s="1517" customFormat="1" x14ac:dyDescent="0.25">
      <c r="A2727" s="1847"/>
      <c r="B2727" s="1847"/>
      <c r="C2727" s="1531"/>
      <c r="D2727" s="2142" t="s">
        <v>126</v>
      </c>
      <c r="E2727" s="2142"/>
      <c r="F2727" s="2142"/>
      <c r="G2727" s="2142"/>
      <c r="H2727" s="1532">
        <f>SUM(H2725:H2726)</f>
        <v>64.069999999999993</v>
      </c>
      <c r="I2727" s="1830"/>
      <c r="J2727" s="1795"/>
      <c r="K2727" s="1795"/>
      <c r="L2727" s="169"/>
      <c r="M2727" s="1783"/>
    </row>
    <row r="2728" spans="1:13" s="1517" customFormat="1" x14ac:dyDescent="0.25">
      <c r="A2728" s="1847"/>
      <c r="B2728" s="1847"/>
      <c r="C2728" s="1531"/>
      <c r="D2728" s="2141" t="s">
        <v>28</v>
      </c>
      <c r="E2728" s="2141"/>
      <c r="F2728" s="2141"/>
      <c r="G2728" s="2141"/>
      <c r="H2728" s="269">
        <f>E2721</f>
        <v>4</v>
      </c>
      <c r="I2728" s="1830"/>
      <c r="J2728" s="1795"/>
      <c r="K2728" s="1795"/>
      <c r="L2728" s="169"/>
      <c r="M2728" s="1783"/>
    </row>
    <row r="2729" spans="1:13" s="1517" customFormat="1" x14ac:dyDescent="0.25">
      <c r="A2729" s="1847"/>
      <c r="B2729" s="1847"/>
      <c r="C2729" s="1531"/>
      <c r="D2729" s="2142" t="s">
        <v>127</v>
      </c>
      <c r="E2729" s="2142"/>
      <c r="F2729" s="2142"/>
      <c r="G2729" s="2142"/>
      <c r="H2729" s="1532">
        <f>ROUND(H2727*H2728,2)</f>
        <v>256.27999999999997</v>
      </c>
      <c r="I2729" s="1830"/>
      <c r="J2729" s="1795"/>
      <c r="K2729" s="1795"/>
      <c r="L2729" s="169"/>
      <c r="M2729" s="1783"/>
    </row>
    <row r="2730" spans="1:13" s="1517" customFormat="1" x14ac:dyDescent="0.25">
      <c r="A2730" s="1847"/>
      <c r="B2730" s="1847"/>
      <c r="C2730" s="1531"/>
      <c r="D2730" s="2141" t="s">
        <v>15335</v>
      </c>
      <c r="E2730" s="2141"/>
      <c r="F2730" s="2141"/>
      <c r="G2730" s="2141"/>
      <c r="H2730" s="267">
        <f>ROUND(H2727*$B$13,2)</f>
        <v>17.25</v>
      </c>
      <c r="I2730" s="1830"/>
      <c r="J2730" s="1795"/>
      <c r="K2730" s="1795"/>
      <c r="L2730" s="169"/>
      <c r="M2730" s="1783"/>
    </row>
    <row r="2731" spans="1:13" x14ac:dyDescent="0.25">
      <c r="A2731" s="1847"/>
      <c r="B2731" s="1847"/>
      <c r="C2731" s="1531"/>
      <c r="D2731" s="2142" t="s">
        <v>7898</v>
      </c>
      <c r="E2731" s="2142"/>
      <c r="F2731" s="2142"/>
      <c r="G2731" s="2142"/>
      <c r="H2731" s="1532">
        <f>H2730+H2727</f>
        <v>81.319999999999993</v>
      </c>
    </row>
    <row r="2732" spans="1:13" x14ac:dyDescent="0.25">
      <c r="A2732" s="1514"/>
      <c r="B2732" s="1514"/>
      <c r="C2732" s="1514"/>
      <c r="F2732" s="1533"/>
      <c r="G2732" s="1534"/>
      <c r="H2732" s="1514"/>
    </row>
    <row r="2733" spans="1:13" s="1517" customFormat="1" x14ac:dyDescent="0.25">
      <c r="A2733" s="146" t="s">
        <v>6</v>
      </c>
      <c r="B2733" s="2143" t="s">
        <v>7</v>
      </c>
      <c r="C2733" s="2143"/>
      <c r="D2733" s="1518" t="s">
        <v>121</v>
      </c>
      <c r="E2733" s="278" t="s">
        <v>5282</v>
      </c>
      <c r="F2733" s="1518" t="s">
        <v>31</v>
      </c>
      <c r="G2733" s="1519" t="s">
        <v>122</v>
      </c>
      <c r="H2733" s="1520" t="s">
        <v>123</v>
      </c>
      <c r="I2733" s="1830"/>
      <c r="J2733" s="1795"/>
      <c r="K2733" s="1795"/>
      <c r="L2733" s="169"/>
      <c r="M2733" s="1783"/>
    </row>
    <row r="2734" spans="1:13" s="1526" customFormat="1" ht="30" x14ac:dyDescent="0.2">
      <c r="A2734" s="1895" t="str">
        <f>'Orç - Prédio'!A485</f>
        <v>06.01.263.30</v>
      </c>
      <c r="B2734" s="1895" t="str">
        <f>'Orç - Prédio'!B485</f>
        <v>ORSE INSUMO</v>
      </c>
      <c r="C2734" s="1895">
        <f>'Orç - Prédio'!C485</f>
        <v>10512</v>
      </c>
      <c r="D2734" s="1865" t="s">
        <v>9096</v>
      </c>
      <c r="E2734" s="1866">
        <f>'Orç - Prédio'!E485</f>
        <v>4</v>
      </c>
      <c r="F2734" s="1895" t="s">
        <v>5284</v>
      </c>
      <c r="G2734" s="1524">
        <v>11.96</v>
      </c>
      <c r="H2734" s="1525">
        <f>H2740</f>
        <v>47.84</v>
      </c>
      <c r="I2734" s="1910" t="s">
        <v>14965</v>
      </c>
      <c r="J2734" s="1793"/>
      <c r="K2734" s="1793"/>
      <c r="L2734" s="141"/>
      <c r="M2734" s="1515"/>
    </row>
    <row r="2735" spans="1:13" s="1859" customFormat="1" x14ac:dyDescent="0.2">
      <c r="A2735" s="2144">
        <v>10512</v>
      </c>
      <c r="B2735" s="2144"/>
      <c r="C2735" s="1863" t="s">
        <v>5281</v>
      </c>
      <c r="D2735" s="1862" t="s">
        <v>9376</v>
      </c>
      <c r="E2735" s="1864">
        <v>1</v>
      </c>
      <c r="F2735" s="1894" t="s">
        <v>31</v>
      </c>
      <c r="G2735" s="367">
        <v>11.96</v>
      </c>
      <c r="H2735" s="1857">
        <f>ROUNDDOWN(G2735*E2735,2)</f>
        <v>11.96</v>
      </c>
      <c r="I2735" s="1856"/>
      <c r="J2735" s="1797"/>
      <c r="K2735" s="1797"/>
      <c r="L2735" s="1784"/>
      <c r="M2735" s="1785"/>
    </row>
    <row r="2736" spans="1:13" s="1517" customFormat="1" x14ac:dyDescent="0.25">
      <c r="A2736" s="1847"/>
      <c r="B2736" s="1847"/>
      <c r="C2736" s="1531"/>
      <c r="D2736" s="2141" t="s">
        <v>124</v>
      </c>
      <c r="E2736" s="2141"/>
      <c r="F2736" s="2141"/>
      <c r="G2736" s="2141"/>
      <c r="H2736" s="267">
        <f>SUMIF(F2735:F2735,("h"),H2735:H2735)</f>
        <v>0</v>
      </c>
      <c r="I2736" s="1830"/>
      <c r="J2736" s="1795"/>
      <c r="K2736" s="1795"/>
      <c r="L2736" s="169"/>
      <c r="M2736" s="1783"/>
    </row>
    <row r="2737" spans="1:13" s="1517" customFormat="1" x14ac:dyDescent="0.25">
      <c r="A2737" s="1847"/>
      <c r="B2737" s="1847"/>
      <c r="C2737" s="1531"/>
      <c r="D2737" s="2141" t="s">
        <v>125</v>
      </c>
      <c r="E2737" s="2141"/>
      <c r="F2737" s="2141"/>
      <c r="G2737" s="2141"/>
      <c r="H2737" s="267">
        <f>SUMIF(F2735:F2735,"&lt;&gt;h",H2735:H2735)</f>
        <v>11.96</v>
      </c>
      <c r="I2737" s="1830"/>
      <c r="J2737" s="1795"/>
      <c r="K2737" s="1795"/>
      <c r="L2737" s="169"/>
      <c r="M2737" s="1783"/>
    </row>
    <row r="2738" spans="1:13" s="1517" customFormat="1" x14ac:dyDescent="0.25">
      <c r="A2738" s="1847"/>
      <c r="B2738" s="1847"/>
      <c r="C2738" s="1531"/>
      <c r="D2738" s="2142" t="s">
        <v>126</v>
      </c>
      <c r="E2738" s="2142"/>
      <c r="F2738" s="2142"/>
      <c r="G2738" s="2142"/>
      <c r="H2738" s="1532">
        <f>SUM(H2736:H2737)</f>
        <v>11.96</v>
      </c>
      <c r="I2738" s="1830"/>
      <c r="J2738" s="1795"/>
      <c r="K2738" s="1795"/>
      <c r="L2738" s="169"/>
      <c r="M2738" s="1783"/>
    </row>
    <row r="2739" spans="1:13" s="1517" customFormat="1" x14ac:dyDescent="0.25">
      <c r="A2739" s="1847"/>
      <c r="B2739" s="1847"/>
      <c r="C2739" s="1531"/>
      <c r="D2739" s="2141" t="s">
        <v>28</v>
      </c>
      <c r="E2739" s="2141"/>
      <c r="F2739" s="2141"/>
      <c r="G2739" s="2141"/>
      <c r="H2739" s="269">
        <f>E2734</f>
        <v>4</v>
      </c>
      <c r="I2739" s="1830"/>
      <c r="J2739" s="1795"/>
      <c r="K2739" s="1795"/>
      <c r="L2739" s="169"/>
      <c r="M2739" s="1783"/>
    </row>
    <row r="2740" spans="1:13" s="1517" customFormat="1" x14ac:dyDescent="0.25">
      <c r="A2740" s="1847"/>
      <c r="B2740" s="1847"/>
      <c r="C2740" s="1531"/>
      <c r="D2740" s="2142" t="s">
        <v>127</v>
      </c>
      <c r="E2740" s="2142"/>
      <c r="F2740" s="2142"/>
      <c r="G2740" s="2142"/>
      <c r="H2740" s="1532">
        <f>ROUND(H2738*H2739,2)</f>
        <v>47.84</v>
      </c>
      <c r="I2740" s="1830"/>
      <c r="J2740" s="1795"/>
      <c r="K2740" s="1795"/>
      <c r="L2740" s="169"/>
      <c r="M2740" s="1783"/>
    </row>
    <row r="2741" spans="1:13" s="1517" customFormat="1" x14ac:dyDescent="0.25">
      <c r="A2741" s="1847"/>
      <c r="B2741" s="1847"/>
      <c r="C2741" s="1531"/>
      <c r="D2741" s="2141" t="s">
        <v>15335</v>
      </c>
      <c r="E2741" s="2141"/>
      <c r="F2741" s="2141"/>
      <c r="G2741" s="2141"/>
      <c r="H2741" s="267">
        <f>ROUND(H2738*$B$13,2)</f>
        <v>3.22</v>
      </c>
      <c r="I2741" s="1830"/>
      <c r="J2741" s="1795"/>
      <c r="K2741" s="1795"/>
      <c r="L2741" s="169"/>
      <c r="M2741" s="1783"/>
    </row>
    <row r="2742" spans="1:13" x14ac:dyDescent="0.25">
      <c r="A2742" s="1847"/>
      <c r="B2742" s="1847"/>
      <c r="C2742" s="1531"/>
      <c r="D2742" s="2142" t="s">
        <v>7898</v>
      </c>
      <c r="E2742" s="2142"/>
      <c r="F2742" s="2142"/>
      <c r="G2742" s="2142"/>
      <c r="H2742" s="1532">
        <f>H2741+H2738</f>
        <v>15.180000000000001</v>
      </c>
    </row>
    <row r="2743" spans="1:13" x14ac:dyDescent="0.25">
      <c r="A2743" s="1514"/>
      <c r="B2743" s="1514"/>
      <c r="C2743" s="1514"/>
      <c r="F2743" s="1533"/>
      <c r="G2743" s="1534"/>
      <c r="H2743" s="1514"/>
    </row>
    <row r="2744" spans="1:13" s="1517" customFormat="1" x14ac:dyDescent="0.25">
      <c r="A2744" s="146" t="s">
        <v>6</v>
      </c>
      <c r="B2744" s="2143" t="s">
        <v>7</v>
      </c>
      <c r="C2744" s="2143"/>
      <c r="D2744" s="1518" t="s">
        <v>121</v>
      </c>
      <c r="E2744" s="278" t="s">
        <v>5282</v>
      </c>
      <c r="F2744" s="1518" t="s">
        <v>31</v>
      </c>
      <c r="G2744" s="1519" t="s">
        <v>122</v>
      </c>
      <c r="H2744" s="1520" t="s">
        <v>123</v>
      </c>
      <c r="I2744" s="1830"/>
      <c r="J2744" s="1795"/>
      <c r="K2744" s="1795"/>
      <c r="L2744" s="169"/>
      <c r="M2744" s="1783"/>
    </row>
    <row r="2745" spans="1:13" s="1526" customFormat="1" ht="30" x14ac:dyDescent="0.2">
      <c r="A2745" s="1895" t="str">
        <f>'Orç - Prédio'!A486</f>
        <v>06.01.263.31</v>
      </c>
      <c r="B2745" s="1895" t="str">
        <f>'Orç - Prédio'!B486</f>
        <v>ORSE INSUMO</v>
      </c>
      <c r="C2745" s="1895">
        <f>'Orç - Prédio'!C486</f>
        <v>1672</v>
      </c>
      <c r="D2745" s="1865" t="s">
        <v>9097</v>
      </c>
      <c r="E2745" s="1866">
        <f>'Orç - Prédio'!E486</f>
        <v>16</v>
      </c>
      <c r="F2745" s="1895" t="s">
        <v>5284</v>
      </c>
      <c r="G2745" s="1524">
        <v>9.52</v>
      </c>
      <c r="H2745" s="1525">
        <f>H2751</f>
        <v>152.32</v>
      </c>
      <c r="I2745" s="1910" t="s">
        <v>14965</v>
      </c>
      <c r="J2745" s="1793"/>
      <c r="K2745" s="1793"/>
      <c r="L2745" s="141"/>
      <c r="M2745" s="1515"/>
    </row>
    <row r="2746" spans="1:13" s="1859" customFormat="1" x14ac:dyDescent="0.2">
      <c r="A2746" s="2144">
        <v>1672</v>
      </c>
      <c r="B2746" s="2144"/>
      <c r="C2746" s="1863" t="s">
        <v>5281</v>
      </c>
      <c r="D2746" s="1862" t="s">
        <v>9378</v>
      </c>
      <c r="E2746" s="1864">
        <v>1</v>
      </c>
      <c r="F2746" s="1894" t="s">
        <v>31</v>
      </c>
      <c r="G2746" s="367">
        <v>9.52</v>
      </c>
      <c r="H2746" s="1857">
        <f>ROUNDDOWN(G2746*E2746,2)</f>
        <v>9.52</v>
      </c>
      <c r="I2746" s="1856"/>
      <c r="J2746" s="1797"/>
      <c r="K2746" s="1797"/>
      <c r="L2746" s="1784"/>
      <c r="M2746" s="1785"/>
    </row>
    <row r="2747" spans="1:13" s="1517" customFormat="1" x14ac:dyDescent="0.25">
      <c r="A2747" s="1847"/>
      <c r="B2747" s="1847"/>
      <c r="C2747" s="1531"/>
      <c r="D2747" s="2141" t="s">
        <v>124</v>
      </c>
      <c r="E2747" s="2141"/>
      <c r="F2747" s="2141"/>
      <c r="G2747" s="2141"/>
      <c r="H2747" s="267">
        <f>SUMIF(F2746:F2746,("h"),H2746:H2746)</f>
        <v>0</v>
      </c>
      <c r="I2747" s="1830"/>
      <c r="J2747" s="1795"/>
      <c r="K2747" s="1795"/>
      <c r="L2747" s="169"/>
      <c r="M2747" s="1783"/>
    </row>
    <row r="2748" spans="1:13" s="1517" customFormat="1" x14ac:dyDescent="0.25">
      <c r="A2748" s="1847"/>
      <c r="B2748" s="1847"/>
      <c r="C2748" s="1531"/>
      <c r="D2748" s="2141" t="s">
        <v>125</v>
      </c>
      <c r="E2748" s="2141"/>
      <c r="F2748" s="2141"/>
      <c r="G2748" s="2141"/>
      <c r="H2748" s="267">
        <f>SUMIF(F2746:F2746,"&lt;&gt;h",H2746:H2746)</f>
        <v>9.52</v>
      </c>
      <c r="I2748" s="1830"/>
      <c r="J2748" s="1795"/>
      <c r="K2748" s="1795"/>
      <c r="L2748" s="169"/>
      <c r="M2748" s="1783"/>
    </row>
    <row r="2749" spans="1:13" s="1517" customFormat="1" x14ac:dyDescent="0.25">
      <c r="A2749" s="1847"/>
      <c r="B2749" s="1847"/>
      <c r="C2749" s="1531"/>
      <c r="D2749" s="2142" t="s">
        <v>126</v>
      </c>
      <c r="E2749" s="2142"/>
      <c r="F2749" s="2142"/>
      <c r="G2749" s="2142"/>
      <c r="H2749" s="1532">
        <f>SUM(H2747:H2748)</f>
        <v>9.52</v>
      </c>
      <c r="I2749" s="1830"/>
      <c r="J2749" s="1795"/>
      <c r="K2749" s="1795"/>
      <c r="L2749" s="169"/>
      <c r="M2749" s="1783"/>
    </row>
    <row r="2750" spans="1:13" s="1517" customFormat="1" x14ac:dyDescent="0.25">
      <c r="A2750" s="1847"/>
      <c r="B2750" s="1847"/>
      <c r="C2750" s="1531"/>
      <c r="D2750" s="2141" t="s">
        <v>28</v>
      </c>
      <c r="E2750" s="2141"/>
      <c r="F2750" s="2141"/>
      <c r="G2750" s="2141"/>
      <c r="H2750" s="269">
        <f>E2745</f>
        <v>16</v>
      </c>
      <c r="I2750" s="1830"/>
      <c r="J2750" s="1795"/>
      <c r="K2750" s="1795"/>
      <c r="L2750" s="169"/>
      <c r="M2750" s="1783"/>
    </row>
    <row r="2751" spans="1:13" s="1517" customFormat="1" x14ac:dyDescent="0.25">
      <c r="A2751" s="1847"/>
      <c r="B2751" s="1847"/>
      <c r="C2751" s="1531"/>
      <c r="D2751" s="2142" t="s">
        <v>127</v>
      </c>
      <c r="E2751" s="2142"/>
      <c r="F2751" s="2142"/>
      <c r="G2751" s="2142"/>
      <c r="H2751" s="1532">
        <f>ROUND(H2749*H2750,2)</f>
        <v>152.32</v>
      </c>
      <c r="I2751" s="1830"/>
      <c r="J2751" s="1795"/>
      <c r="K2751" s="1795"/>
      <c r="L2751" s="169"/>
      <c r="M2751" s="1783"/>
    </row>
    <row r="2752" spans="1:13" s="1517" customFormat="1" x14ac:dyDescent="0.25">
      <c r="A2752" s="1847"/>
      <c r="B2752" s="1847"/>
      <c r="C2752" s="1531"/>
      <c r="D2752" s="2141" t="s">
        <v>15335</v>
      </c>
      <c r="E2752" s="2141"/>
      <c r="F2752" s="2141"/>
      <c r="G2752" s="2141"/>
      <c r="H2752" s="267">
        <f>ROUND(H2749*$B$13,2)</f>
        <v>2.56</v>
      </c>
      <c r="I2752" s="1830"/>
      <c r="J2752" s="1795"/>
      <c r="K2752" s="1795"/>
      <c r="L2752" s="169"/>
      <c r="M2752" s="1783"/>
    </row>
    <row r="2753" spans="1:13" x14ac:dyDescent="0.25">
      <c r="A2753" s="1847"/>
      <c r="B2753" s="1847"/>
      <c r="C2753" s="1531"/>
      <c r="D2753" s="2142" t="s">
        <v>7898</v>
      </c>
      <c r="E2753" s="2142"/>
      <c r="F2753" s="2142"/>
      <c r="G2753" s="2142"/>
      <c r="H2753" s="1532">
        <f>H2752+H2749</f>
        <v>12.08</v>
      </c>
    </row>
    <row r="2754" spans="1:13" x14ac:dyDescent="0.25">
      <c r="A2754" s="1514"/>
      <c r="B2754" s="1514"/>
      <c r="C2754" s="1514"/>
      <c r="F2754" s="1533"/>
      <c r="G2754" s="1534"/>
      <c r="H2754" s="1514"/>
    </row>
    <row r="2755" spans="1:13" s="1517" customFormat="1" x14ac:dyDescent="0.25">
      <c r="A2755" s="146" t="s">
        <v>6</v>
      </c>
      <c r="B2755" s="2143" t="s">
        <v>7</v>
      </c>
      <c r="C2755" s="2143"/>
      <c r="D2755" s="1518" t="s">
        <v>121</v>
      </c>
      <c r="E2755" s="278" t="s">
        <v>5282</v>
      </c>
      <c r="F2755" s="1518" t="s">
        <v>31</v>
      </c>
      <c r="G2755" s="1519" t="s">
        <v>122</v>
      </c>
      <c r="H2755" s="1520" t="s">
        <v>123</v>
      </c>
      <c r="I2755" s="1830"/>
      <c r="J2755" s="1795"/>
      <c r="K2755" s="1795"/>
      <c r="L2755" s="169"/>
      <c r="M2755" s="1783"/>
    </row>
    <row r="2756" spans="1:13" s="1526" customFormat="1" ht="30" x14ac:dyDescent="0.2">
      <c r="A2756" s="1895" t="str">
        <f>'Orç - Prédio'!A487</f>
        <v>06.01.263.32</v>
      </c>
      <c r="B2756" s="1895" t="str">
        <f>'Orç - Prédio'!B487</f>
        <v>ORSE INSUMO</v>
      </c>
      <c r="C2756" s="1895">
        <f>'Orç - Prédio'!C487</f>
        <v>4638</v>
      </c>
      <c r="D2756" s="1865" t="s">
        <v>9098</v>
      </c>
      <c r="E2756" s="1866">
        <f>'Orç - Prédio'!E487</f>
        <v>7</v>
      </c>
      <c r="F2756" s="1895" t="s">
        <v>5284</v>
      </c>
      <c r="G2756" s="1524">
        <v>20.6</v>
      </c>
      <c r="H2756" s="1525">
        <f>H2762</f>
        <v>144.19999999999999</v>
      </c>
      <c r="I2756" s="1910" t="s">
        <v>14965</v>
      </c>
      <c r="J2756" s="1793"/>
      <c r="K2756" s="1793"/>
      <c r="L2756" s="141"/>
      <c r="M2756" s="1515"/>
    </row>
    <row r="2757" spans="1:13" s="1859" customFormat="1" x14ac:dyDescent="0.2">
      <c r="A2757" s="2144">
        <v>4638</v>
      </c>
      <c r="B2757" s="2144"/>
      <c r="C2757" s="1863" t="s">
        <v>5281</v>
      </c>
      <c r="D2757" s="1862" t="s">
        <v>9380</v>
      </c>
      <c r="E2757" s="1864">
        <v>1</v>
      </c>
      <c r="F2757" s="1894" t="s">
        <v>31</v>
      </c>
      <c r="G2757" s="367">
        <v>20.6</v>
      </c>
      <c r="H2757" s="1857">
        <f>ROUNDDOWN(G2757*E2757,2)</f>
        <v>20.6</v>
      </c>
      <c r="I2757" s="1856"/>
      <c r="J2757" s="1797"/>
      <c r="K2757" s="1797"/>
      <c r="L2757" s="1784"/>
      <c r="M2757" s="1785"/>
    </row>
    <row r="2758" spans="1:13" s="1517" customFormat="1" x14ac:dyDescent="0.25">
      <c r="A2758" s="1847"/>
      <c r="B2758" s="1847"/>
      <c r="C2758" s="1531"/>
      <c r="D2758" s="2141" t="s">
        <v>124</v>
      </c>
      <c r="E2758" s="2141"/>
      <c r="F2758" s="2141"/>
      <c r="G2758" s="2141"/>
      <c r="H2758" s="267">
        <f>SUMIF(F2757:F2757,("h"),H2757:H2757)</f>
        <v>0</v>
      </c>
      <c r="I2758" s="1830"/>
      <c r="J2758" s="1795"/>
      <c r="K2758" s="1795"/>
      <c r="L2758" s="169"/>
      <c r="M2758" s="1783"/>
    </row>
    <row r="2759" spans="1:13" s="1517" customFormat="1" x14ac:dyDescent="0.25">
      <c r="A2759" s="1847"/>
      <c r="B2759" s="1847"/>
      <c r="C2759" s="1531"/>
      <c r="D2759" s="2141" t="s">
        <v>125</v>
      </c>
      <c r="E2759" s="2141"/>
      <c r="F2759" s="2141"/>
      <c r="G2759" s="2141"/>
      <c r="H2759" s="267">
        <f>SUMIF(F2757:F2757,"&lt;&gt;h",H2757:H2757)</f>
        <v>20.6</v>
      </c>
      <c r="I2759" s="1830"/>
      <c r="J2759" s="1795"/>
      <c r="K2759" s="1795"/>
      <c r="L2759" s="169"/>
      <c r="M2759" s="1783"/>
    </row>
    <row r="2760" spans="1:13" s="1517" customFormat="1" x14ac:dyDescent="0.25">
      <c r="A2760" s="1847"/>
      <c r="B2760" s="1847"/>
      <c r="C2760" s="1531"/>
      <c r="D2760" s="2142" t="s">
        <v>126</v>
      </c>
      <c r="E2760" s="2142"/>
      <c r="F2760" s="2142"/>
      <c r="G2760" s="2142"/>
      <c r="H2760" s="1532">
        <f>SUM(H2758:H2759)</f>
        <v>20.6</v>
      </c>
      <c r="I2760" s="1830"/>
      <c r="J2760" s="1795"/>
      <c r="K2760" s="1795"/>
      <c r="L2760" s="169"/>
      <c r="M2760" s="1783"/>
    </row>
    <row r="2761" spans="1:13" s="1517" customFormat="1" x14ac:dyDescent="0.25">
      <c r="A2761" s="1847"/>
      <c r="B2761" s="1847"/>
      <c r="C2761" s="1531"/>
      <c r="D2761" s="2141" t="s">
        <v>28</v>
      </c>
      <c r="E2761" s="2141"/>
      <c r="F2761" s="2141"/>
      <c r="G2761" s="2141"/>
      <c r="H2761" s="269">
        <f>E2756</f>
        <v>7</v>
      </c>
      <c r="I2761" s="1830"/>
      <c r="J2761" s="1795"/>
      <c r="K2761" s="1795"/>
      <c r="L2761" s="169"/>
      <c r="M2761" s="1783"/>
    </row>
    <row r="2762" spans="1:13" s="1517" customFormat="1" x14ac:dyDescent="0.25">
      <c r="A2762" s="1847"/>
      <c r="B2762" s="1847"/>
      <c r="C2762" s="1531"/>
      <c r="D2762" s="2142" t="s">
        <v>127</v>
      </c>
      <c r="E2762" s="2142"/>
      <c r="F2762" s="2142"/>
      <c r="G2762" s="2142"/>
      <c r="H2762" s="1532">
        <f>ROUND(H2760*H2761,2)</f>
        <v>144.19999999999999</v>
      </c>
      <c r="I2762" s="1830"/>
      <c r="J2762" s="1795"/>
      <c r="K2762" s="1795"/>
      <c r="L2762" s="169"/>
      <c r="M2762" s="1783"/>
    </row>
    <row r="2763" spans="1:13" s="1517" customFormat="1" x14ac:dyDescent="0.25">
      <c r="A2763" s="1847"/>
      <c r="B2763" s="1847"/>
      <c r="C2763" s="1531"/>
      <c r="D2763" s="2141" t="s">
        <v>15335</v>
      </c>
      <c r="E2763" s="2141"/>
      <c r="F2763" s="2141"/>
      <c r="G2763" s="2141"/>
      <c r="H2763" s="267">
        <f>ROUND(H2760*$B$13,2)</f>
        <v>5.55</v>
      </c>
      <c r="I2763" s="1830"/>
      <c r="J2763" s="1795"/>
      <c r="K2763" s="1795"/>
      <c r="L2763" s="169"/>
      <c r="M2763" s="1783"/>
    </row>
    <row r="2764" spans="1:13" x14ac:dyDescent="0.25">
      <c r="A2764" s="1847"/>
      <c r="B2764" s="1847"/>
      <c r="C2764" s="1531"/>
      <c r="D2764" s="2142" t="s">
        <v>7898</v>
      </c>
      <c r="E2764" s="2142"/>
      <c r="F2764" s="2142"/>
      <c r="G2764" s="2142"/>
      <c r="H2764" s="1532">
        <f>H2763+H2760</f>
        <v>26.150000000000002</v>
      </c>
    </row>
    <row r="2765" spans="1:13" x14ac:dyDescent="0.25">
      <c r="A2765" s="1514"/>
      <c r="B2765" s="1514"/>
      <c r="C2765" s="1514"/>
      <c r="F2765" s="1533"/>
      <c r="G2765" s="1534"/>
      <c r="H2765" s="1514"/>
    </row>
    <row r="2766" spans="1:13" s="1517" customFormat="1" x14ac:dyDescent="0.25">
      <c r="A2766" s="146" t="s">
        <v>6</v>
      </c>
      <c r="B2766" s="2143" t="s">
        <v>7</v>
      </c>
      <c r="C2766" s="2143"/>
      <c r="D2766" s="1518" t="s">
        <v>121</v>
      </c>
      <c r="E2766" s="278" t="s">
        <v>5282</v>
      </c>
      <c r="F2766" s="1518" t="s">
        <v>31</v>
      </c>
      <c r="G2766" s="1519" t="s">
        <v>122</v>
      </c>
      <c r="H2766" s="1520" t="s">
        <v>123</v>
      </c>
      <c r="I2766" s="1830"/>
      <c r="J2766" s="1795"/>
      <c r="K2766" s="1795"/>
      <c r="L2766" s="169"/>
      <c r="M2766" s="1783"/>
    </row>
    <row r="2767" spans="1:13" s="1526" customFormat="1" ht="45" x14ac:dyDescent="0.2">
      <c r="A2767" s="1895" t="str">
        <f>'Orç - Prédio'!A489</f>
        <v>06.01.263.34</v>
      </c>
      <c r="B2767" s="1895" t="str">
        <f>'Orç - Prédio'!B489</f>
        <v>ORSE</v>
      </c>
      <c r="C2767" s="1895">
        <f>'Orç - Prédio'!C489</f>
        <v>3230</v>
      </c>
      <c r="D2767" s="1865" t="s">
        <v>9383</v>
      </c>
      <c r="E2767" s="1866">
        <f>'Orç - Prédio'!E489</f>
        <v>1</v>
      </c>
      <c r="F2767" s="1895" t="s">
        <v>5284</v>
      </c>
      <c r="G2767" s="1524">
        <v>2034.97</v>
      </c>
      <c r="H2767" s="1525">
        <f>H2773</f>
        <v>2034.97</v>
      </c>
      <c r="I2767" s="1910" t="s">
        <v>14965</v>
      </c>
      <c r="J2767" s="1793"/>
      <c r="K2767" s="1793"/>
      <c r="L2767" s="141"/>
      <c r="M2767" s="1515"/>
    </row>
    <row r="2768" spans="1:13" s="1859" customFormat="1" x14ac:dyDescent="0.2">
      <c r="A2768" s="2144">
        <v>3230</v>
      </c>
      <c r="B2768" s="2144"/>
      <c r="C2768" s="1863" t="s">
        <v>5281</v>
      </c>
      <c r="D2768" s="1862" t="s">
        <v>9384</v>
      </c>
      <c r="E2768" s="1864">
        <v>1</v>
      </c>
      <c r="F2768" s="1894" t="s">
        <v>31</v>
      </c>
      <c r="G2768" s="367">
        <v>2034.97</v>
      </c>
      <c r="H2768" s="1857">
        <f>ROUNDDOWN(G2768*E2768,2)</f>
        <v>2034.97</v>
      </c>
      <c r="I2768" s="1856"/>
      <c r="J2768" s="1797"/>
      <c r="K2768" s="1797"/>
      <c r="L2768" s="1784"/>
      <c r="M2768" s="1785"/>
    </row>
    <row r="2769" spans="1:13" s="1517" customFormat="1" x14ac:dyDescent="0.25">
      <c r="A2769" s="1847"/>
      <c r="B2769" s="1847"/>
      <c r="C2769" s="1531"/>
      <c r="D2769" s="2141" t="s">
        <v>124</v>
      </c>
      <c r="E2769" s="2141"/>
      <c r="F2769" s="2141"/>
      <c r="G2769" s="2141"/>
      <c r="H2769" s="267">
        <f>SUMIF(F2768:F2768,("h"),H2768:H2768)</f>
        <v>0</v>
      </c>
      <c r="I2769" s="1830"/>
      <c r="J2769" s="1795"/>
      <c r="K2769" s="1795"/>
      <c r="L2769" s="169"/>
      <c r="M2769" s="1783"/>
    </row>
    <row r="2770" spans="1:13" s="1517" customFormat="1" x14ac:dyDescent="0.25">
      <c r="A2770" s="1847"/>
      <c r="B2770" s="1847"/>
      <c r="C2770" s="1531"/>
      <c r="D2770" s="2141" t="s">
        <v>125</v>
      </c>
      <c r="E2770" s="2141"/>
      <c r="F2770" s="2141"/>
      <c r="G2770" s="2141"/>
      <c r="H2770" s="267">
        <f>SUMIF(F2768:F2768,"&lt;&gt;h",H2768:H2768)</f>
        <v>2034.97</v>
      </c>
      <c r="I2770" s="1830"/>
      <c r="J2770" s="1795"/>
      <c r="K2770" s="1795"/>
      <c r="L2770" s="169"/>
      <c r="M2770" s="1783"/>
    </row>
    <row r="2771" spans="1:13" s="1517" customFormat="1" x14ac:dyDescent="0.25">
      <c r="A2771" s="1847"/>
      <c r="B2771" s="1847"/>
      <c r="C2771" s="1531"/>
      <c r="D2771" s="2142" t="s">
        <v>126</v>
      </c>
      <c r="E2771" s="2142"/>
      <c r="F2771" s="2142"/>
      <c r="G2771" s="2142"/>
      <c r="H2771" s="1532">
        <f>SUM(H2769:H2770)</f>
        <v>2034.97</v>
      </c>
      <c r="I2771" s="1830"/>
      <c r="J2771" s="1795"/>
      <c r="K2771" s="1795"/>
      <c r="L2771" s="169"/>
      <c r="M2771" s="1783"/>
    </row>
    <row r="2772" spans="1:13" s="1517" customFormat="1" x14ac:dyDescent="0.25">
      <c r="A2772" s="1847"/>
      <c r="B2772" s="1847"/>
      <c r="C2772" s="1531"/>
      <c r="D2772" s="2141" t="s">
        <v>28</v>
      </c>
      <c r="E2772" s="2141"/>
      <c r="F2772" s="2141"/>
      <c r="G2772" s="2141"/>
      <c r="H2772" s="269">
        <f>E2767</f>
        <v>1</v>
      </c>
      <c r="I2772" s="1830"/>
      <c r="J2772" s="1795"/>
      <c r="K2772" s="1795"/>
      <c r="L2772" s="169"/>
      <c r="M2772" s="1783"/>
    </row>
    <row r="2773" spans="1:13" s="1517" customFormat="1" x14ac:dyDescent="0.25">
      <c r="A2773" s="1847"/>
      <c r="B2773" s="1847"/>
      <c r="C2773" s="1531"/>
      <c r="D2773" s="2142" t="s">
        <v>127</v>
      </c>
      <c r="E2773" s="2142"/>
      <c r="F2773" s="2142"/>
      <c r="G2773" s="2142"/>
      <c r="H2773" s="1532">
        <f>ROUND(H2771*H2772,2)</f>
        <v>2034.97</v>
      </c>
      <c r="I2773" s="1830"/>
      <c r="J2773" s="1795"/>
      <c r="K2773" s="1795"/>
      <c r="L2773" s="169"/>
      <c r="M2773" s="1783"/>
    </row>
    <row r="2774" spans="1:13" s="1517" customFormat="1" x14ac:dyDescent="0.25">
      <c r="A2774" s="1847"/>
      <c r="B2774" s="1847"/>
      <c r="C2774" s="1531"/>
      <c r="D2774" s="2141" t="s">
        <v>15335</v>
      </c>
      <c r="E2774" s="2141"/>
      <c r="F2774" s="2141"/>
      <c r="G2774" s="2141"/>
      <c r="H2774" s="267">
        <f>ROUND(H2771*$B$13,2)</f>
        <v>548.02</v>
      </c>
      <c r="I2774" s="1830"/>
      <c r="J2774" s="1795"/>
      <c r="K2774" s="1795"/>
      <c r="L2774" s="169"/>
      <c r="M2774" s="1783"/>
    </row>
    <row r="2775" spans="1:13" x14ac:dyDescent="0.25">
      <c r="A2775" s="1847"/>
      <c r="B2775" s="1847"/>
      <c r="C2775" s="1531"/>
      <c r="D2775" s="2142" t="s">
        <v>7898</v>
      </c>
      <c r="E2775" s="2142"/>
      <c r="F2775" s="2142"/>
      <c r="G2775" s="2142"/>
      <c r="H2775" s="1532">
        <f>H2774+H2771</f>
        <v>2582.9899999999998</v>
      </c>
    </row>
    <row r="2776" spans="1:13" x14ac:dyDescent="0.25">
      <c r="A2776" s="1514"/>
      <c r="B2776" s="1514"/>
      <c r="C2776" s="1514"/>
      <c r="F2776" s="1533"/>
      <c r="G2776" s="1534"/>
      <c r="H2776" s="1514"/>
    </row>
    <row r="2777" spans="1:13" s="1517" customFormat="1" x14ac:dyDescent="0.25">
      <c r="A2777" s="146" t="s">
        <v>6</v>
      </c>
      <c r="B2777" s="2143" t="s">
        <v>7</v>
      </c>
      <c r="C2777" s="2143"/>
      <c r="D2777" s="1518" t="s">
        <v>121</v>
      </c>
      <c r="E2777" s="278" t="s">
        <v>5282</v>
      </c>
      <c r="F2777" s="1518" t="s">
        <v>31</v>
      </c>
      <c r="G2777" s="1519" t="s">
        <v>122</v>
      </c>
      <c r="H2777" s="1520" t="s">
        <v>123</v>
      </c>
      <c r="I2777" s="1830"/>
      <c r="J2777" s="1795"/>
      <c r="K2777" s="1795"/>
      <c r="L2777" s="169"/>
      <c r="M2777" s="1783"/>
    </row>
    <row r="2778" spans="1:13" s="1526" customFormat="1" ht="30" x14ac:dyDescent="0.2">
      <c r="A2778" s="1895" t="str">
        <f>'Orç - Prédio'!A490</f>
        <v>06.01.263.35</v>
      </c>
      <c r="B2778" s="1895" t="str">
        <f>'Orç - Prédio'!B490</f>
        <v>ORSE INSUMO</v>
      </c>
      <c r="C2778" s="1895">
        <f>'Orç - Prédio'!C490</f>
        <v>4633</v>
      </c>
      <c r="D2778" s="1865" t="s">
        <v>9099</v>
      </c>
      <c r="E2778" s="1866">
        <f>'Orç - Prédio'!E490</f>
        <v>2</v>
      </c>
      <c r="F2778" s="1895" t="s">
        <v>5284</v>
      </c>
      <c r="G2778" s="1524">
        <v>165.5</v>
      </c>
      <c r="H2778" s="1525">
        <f>H2784</f>
        <v>331</v>
      </c>
      <c r="I2778" s="1910" t="s">
        <v>14965</v>
      </c>
      <c r="J2778" s="1793"/>
      <c r="K2778" s="1793"/>
      <c r="L2778" s="141"/>
      <c r="M2778" s="1515"/>
    </row>
    <row r="2779" spans="1:13" s="1859" customFormat="1" x14ac:dyDescent="0.2">
      <c r="A2779" s="2144">
        <v>4633</v>
      </c>
      <c r="B2779" s="2144"/>
      <c r="C2779" s="1863" t="s">
        <v>5281</v>
      </c>
      <c r="D2779" s="1862" t="s">
        <v>9387</v>
      </c>
      <c r="E2779" s="1864">
        <v>1</v>
      </c>
      <c r="F2779" s="1894" t="s">
        <v>31</v>
      </c>
      <c r="G2779" s="367">
        <v>165.5</v>
      </c>
      <c r="H2779" s="1857">
        <f>ROUNDDOWN(G2779*E2779,2)</f>
        <v>165.5</v>
      </c>
      <c r="I2779" s="1856"/>
      <c r="J2779" s="1797"/>
      <c r="K2779" s="1797"/>
      <c r="L2779" s="1784"/>
      <c r="M2779" s="1785"/>
    </row>
    <row r="2780" spans="1:13" s="1517" customFormat="1" x14ac:dyDescent="0.25">
      <c r="A2780" s="1847"/>
      <c r="B2780" s="1847"/>
      <c r="C2780" s="1531"/>
      <c r="D2780" s="2141" t="s">
        <v>124</v>
      </c>
      <c r="E2780" s="2141"/>
      <c r="F2780" s="2141"/>
      <c r="G2780" s="2141"/>
      <c r="H2780" s="267">
        <f>SUMIF(F2779:F2779,("h"),H2779:H2779)</f>
        <v>0</v>
      </c>
      <c r="I2780" s="1830"/>
      <c r="J2780" s="1795"/>
      <c r="K2780" s="1795"/>
      <c r="L2780" s="169"/>
      <c r="M2780" s="1783"/>
    </row>
    <row r="2781" spans="1:13" s="1517" customFormat="1" x14ac:dyDescent="0.25">
      <c r="A2781" s="1847"/>
      <c r="B2781" s="1847"/>
      <c r="C2781" s="1531"/>
      <c r="D2781" s="2141" t="s">
        <v>125</v>
      </c>
      <c r="E2781" s="2141"/>
      <c r="F2781" s="2141"/>
      <c r="G2781" s="2141"/>
      <c r="H2781" s="267">
        <f>SUMIF(F2779:F2779,"&lt;&gt;h",H2779:H2779)</f>
        <v>165.5</v>
      </c>
      <c r="I2781" s="1830"/>
      <c r="J2781" s="1795"/>
      <c r="K2781" s="1795"/>
      <c r="L2781" s="169"/>
      <c r="M2781" s="1783"/>
    </row>
    <row r="2782" spans="1:13" s="1517" customFormat="1" x14ac:dyDescent="0.25">
      <c r="A2782" s="1847"/>
      <c r="B2782" s="1847"/>
      <c r="C2782" s="1531"/>
      <c r="D2782" s="2142" t="s">
        <v>126</v>
      </c>
      <c r="E2782" s="2142"/>
      <c r="F2782" s="2142"/>
      <c r="G2782" s="2142"/>
      <c r="H2782" s="1532">
        <f>SUM(H2780:H2781)</f>
        <v>165.5</v>
      </c>
      <c r="I2782" s="1830"/>
      <c r="J2782" s="1795"/>
      <c r="K2782" s="1795"/>
      <c r="L2782" s="169"/>
      <c r="M2782" s="1783"/>
    </row>
    <row r="2783" spans="1:13" s="1517" customFormat="1" x14ac:dyDescent="0.25">
      <c r="A2783" s="1847"/>
      <c r="B2783" s="1847"/>
      <c r="C2783" s="1531"/>
      <c r="D2783" s="2141" t="s">
        <v>28</v>
      </c>
      <c r="E2783" s="2141"/>
      <c r="F2783" s="2141"/>
      <c r="G2783" s="2141"/>
      <c r="H2783" s="269">
        <f>E2778</f>
        <v>2</v>
      </c>
      <c r="I2783" s="1830"/>
      <c r="J2783" s="1795"/>
      <c r="K2783" s="1795"/>
      <c r="L2783" s="169"/>
      <c r="M2783" s="1783"/>
    </row>
    <row r="2784" spans="1:13" s="1517" customFormat="1" x14ac:dyDescent="0.25">
      <c r="A2784" s="1847"/>
      <c r="B2784" s="1847"/>
      <c r="C2784" s="1531"/>
      <c r="D2784" s="2142" t="s">
        <v>127</v>
      </c>
      <c r="E2784" s="2142"/>
      <c r="F2784" s="2142"/>
      <c r="G2784" s="2142"/>
      <c r="H2784" s="1532">
        <f>ROUND(H2782*H2783,2)</f>
        <v>331</v>
      </c>
      <c r="I2784" s="1830"/>
      <c r="J2784" s="1795"/>
      <c r="K2784" s="1795"/>
      <c r="L2784" s="169"/>
      <c r="M2784" s="1783"/>
    </row>
    <row r="2785" spans="1:13" s="1517" customFormat="1" x14ac:dyDescent="0.25">
      <c r="A2785" s="1847"/>
      <c r="B2785" s="1847"/>
      <c r="C2785" s="1531"/>
      <c r="D2785" s="2141" t="s">
        <v>15335</v>
      </c>
      <c r="E2785" s="2141"/>
      <c r="F2785" s="2141"/>
      <c r="G2785" s="2141"/>
      <c r="H2785" s="267">
        <f>ROUND(H2782*$B$13,2)</f>
        <v>44.57</v>
      </c>
      <c r="I2785" s="1830"/>
      <c r="J2785" s="1795"/>
      <c r="K2785" s="1795"/>
      <c r="L2785" s="169"/>
      <c r="M2785" s="1783"/>
    </row>
    <row r="2786" spans="1:13" x14ac:dyDescent="0.25">
      <c r="A2786" s="1847"/>
      <c r="B2786" s="1847"/>
      <c r="C2786" s="1531"/>
      <c r="D2786" s="2142" t="s">
        <v>7898</v>
      </c>
      <c r="E2786" s="2142"/>
      <c r="F2786" s="2142"/>
      <c r="G2786" s="2142"/>
      <c r="H2786" s="1532">
        <f>H2785+H2782</f>
        <v>210.07</v>
      </c>
    </row>
    <row r="2787" spans="1:13" x14ac:dyDescent="0.25">
      <c r="A2787" s="1514"/>
      <c r="B2787" s="1514"/>
      <c r="C2787" s="1514"/>
      <c r="F2787" s="1533"/>
      <c r="G2787" s="1534"/>
      <c r="H2787" s="1514"/>
    </row>
    <row r="2788" spans="1:13" s="1517" customFormat="1" x14ac:dyDescent="0.25">
      <c r="A2788" s="146" t="s">
        <v>6</v>
      </c>
      <c r="B2788" s="2143" t="s">
        <v>7</v>
      </c>
      <c r="C2788" s="2143"/>
      <c r="D2788" s="1518" t="s">
        <v>121</v>
      </c>
      <c r="E2788" s="278" t="s">
        <v>5282</v>
      </c>
      <c r="F2788" s="1518" t="s">
        <v>31</v>
      </c>
      <c r="G2788" s="1519" t="s">
        <v>122</v>
      </c>
      <c r="H2788" s="1520" t="s">
        <v>123</v>
      </c>
      <c r="I2788" s="1830"/>
      <c r="J2788" s="1795"/>
      <c r="K2788" s="1795"/>
      <c r="L2788" s="169"/>
      <c r="M2788" s="1783"/>
    </row>
    <row r="2789" spans="1:13" s="1526" customFormat="1" ht="30" x14ac:dyDescent="0.2">
      <c r="A2789" s="1895" t="str">
        <f>'Orç - Prédio'!A491</f>
        <v>06.01.263.36</v>
      </c>
      <c r="B2789" s="1895" t="str">
        <f>'Orç - Prédio'!B491</f>
        <v>ORSE INSUMO</v>
      </c>
      <c r="C2789" s="1895">
        <f>'Orç - Prédio'!C491</f>
        <v>4635</v>
      </c>
      <c r="D2789" s="1865" t="s">
        <v>9100</v>
      </c>
      <c r="E2789" s="1866">
        <f>'Orç - Prédio'!E491</f>
        <v>2</v>
      </c>
      <c r="F2789" s="1895" t="s">
        <v>5284</v>
      </c>
      <c r="G2789" s="1524">
        <v>6.93</v>
      </c>
      <c r="H2789" s="1525">
        <f>H2795</f>
        <v>13.86</v>
      </c>
      <c r="I2789" s="1910" t="s">
        <v>14965</v>
      </c>
      <c r="J2789" s="1793"/>
      <c r="K2789" s="1793"/>
      <c r="L2789" s="141"/>
      <c r="M2789" s="1515"/>
    </row>
    <row r="2790" spans="1:13" s="1859" customFormat="1" x14ac:dyDescent="0.2">
      <c r="A2790" s="2144">
        <v>4635</v>
      </c>
      <c r="B2790" s="2144"/>
      <c r="C2790" s="1863" t="s">
        <v>5281</v>
      </c>
      <c r="D2790" s="1862" t="s">
        <v>9389</v>
      </c>
      <c r="E2790" s="1864">
        <v>1</v>
      </c>
      <c r="F2790" s="1894" t="s">
        <v>31</v>
      </c>
      <c r="G2790" s="367">
        <v>6.93</v>
      </c>
      <c r="H2790" s="1857">
        <f>ROUNDDOWN(G2790*E2790,2)</f>
        <v>6.93</v>
      </c>
      <c r="I2790" s="1856"/>
      <c r="J2790" s="1797"/>
      <c r="K2790" s="1797"/>
      <c r="L2790" s="1784"/>
      <c r="M2790" s="1785"/>
    </row>
    <row r="2791" spans="1:13" s="1517" customFormat="1" x14ac:dyDescent="0.25">
      <c r="A2791" s="1847"/>
      <c r="B2791" s="1847"/>
      <c r="C2791" s="1531"/>
      <c r="D2791" s="2141" t="s">
        <v>124</v>
      </c>
      <c r="E2791" s="2141"/>
      <c r="F2791" s="2141"/>
      <c r="G2791" s="2141"/>
      <c r="H2791" s="267">
        <f>SUMIF(F2790:F2790,("h"),H2790:H2790)</f>
        <v>0</v>
      </c>
      <c r="I2791" s="1830"/>
      <c r="J2791" s="1795"/>
      <c r="K2791" s="1795"/>
      <c r="L2791" s="169"/>
      <c r="M2791" s="1783"/>
    </row>
    <row r="2792" spans="1:13" s="1517" customFormat="1" x14ac:dyDescent="0.25">
      <c r="A2792" s="1847"/>
      <c r="B2792" s="1847"/>
      <c r="C2792" s="1531"/>
      <c r="D2792" s="2141" t="s">
        <v>125</v>
      </c>
      <c r="E2792" s="2141"/>
      <c r="F2792" s="2141"/>
      <c r="G2792" s="2141"/>
      <c r="H2792" s="267">
        <f>SUMIF(F2790:F2790,"&lt;&gt;h",H2790:H2790)</f>
        <v>6.93</v>
      </c>
      <c r="I2792" s="1830"/>
      <c r="J2792" s="1795"/>
      <c r="K2792" s="1795"/>
      <c r="L2792" s="169"/>
      <c r="M2792" s="1783"/>
    </row>
    <row r="2793" spans="1:13" s="1517" customFormat="1" x14ac:dyDescent="0.25">
      <c r="A2793" s="1847"/>
      <c r="B2793" s="1847"/>
      <c r="C2793" s="1531"/>
      <c r="D2793" s="2142" t="s">
        <v>126</v>
      </c>
      <c r="E2793" s="2142"/>
      <c r="F2793" s="2142"/>
      <c r="G2793" s="2142"/>
      <c r="H2793" s="1532">
        <f>SUM(H2791:H2792)</f>
        <v>6.93</v>
      </c>
      <c r="I2793" s="1830"/>
      <c r="J2793" s="1795"/>
      <c r="K2793" s="1795"/>
      <c r="L2793" s="169"/>
      <c r="M2793" s="1783"/>
    </row>
    <row r="2794" spans="1:13" s="1517" customFormat="1" x14ac:dyDescent="0.25">
      <c r="A2794" s="1847"/>
      <c r="B2794" s="1847"/>
      <c r="C2794" s="1531"/>
      <c r="D2794" s="2141" t="s">
        <v>28</v>
      </c>
      <c r="E2794" s="2141"/>
      <c r="F2794" s="2141"/>
      <c r="G2794" s="2141"/>
      <c r="H2794" s="269">
        <f>E2789</f>
        <v>2</v>
      </c>
      <c r="I2794" s="1830"/>
      <c r="J2794" s="1795"/>
      <c r="K2794" s="1795"/>
      <c r="L2794" s="169"/>
      <c r="M2794" s="1783"/>
    </row>
    <row r="2795" spans="1:13" s="1517" customFormat="1" x14ac:dyDescent="0.25">
      <c r="A2795" s="1847"/>
      <c r="B2795" s="1847"/>
      <c r="C2795" s="1531"/>
      <c r="D2795" s="2142" t="s">
        <v>127</v>
      </c>
      <c r="E2795" s="2142"/>
      <c r="F2795" s="2142"/>
      <c r="G2795" s="2142"/>
      <c r="H2795" s="1532">
        <f>ROUND(H2793*H2794,2)</f>
        <v>13.86</v>
      </c>
      <c r="I2795" s="1830"/>
      <c r="J2795" s="1795"/>
      <c r="K2795" s="1795"/>
      <c r="L2795" s="169"/>
      <c r="M2795" s="1783"/>
    </row>
    <row r="2796" spans="1:13" s="1517" customFormat="1" x14ac:dyDescent="0.25">
      <c r="A2796" s="1847"/>
      <c r="B2796" s="1847"/>
      <c r="C2796" s="1531"/>
      <c r="D2796" s="2141" t="s">
        <v>15335</v>
      </c>
      <c r="E2796" s="2141"/>
      <c r="F2796" s="2141"/>
      <c r="G2796" s="2141"/>
      <c r="H2796" s="267">
        <f>ROUND(H2793*$B$13,2)</f>
        <v>1.87</v>
      </c>
      <c r="I2796" s="1830"/>
      <c r="J2796" s="1795"/>
      <c r="K2796" s="1795"/>
      <c r="L2796" s="169"/>
      <c r="M2796" s="1783"/>
    </row>
    <row r="2797" spans="1:13" x14ac:dyDescent="0.25">
      <c r="A2797" s="1847"/>
      <c r="B2797" s="1847"/>
      <c r="C2797" s="1531"/>
      <c r="D2797" s="2142" t="s">
        <v>7898</v>
      </c>
      <c r="E2797" s="2142"/>
      <c r="F2797" s="2142"/>
      <c r="G2797" s="2142"/>
      <c r="H2797" s="1532">
        <f>H2796+H2793</f>
        <v>8.8000000000000007</v>
      </c>
    </row>
    <row r="2798" spans="1:13" x14ac:dyDescent="0.25">
      <c r="A2798" s="1514"/>
      <c r="B2798" s="1514"/>
      <c r="C2798" s="1514"/>
      <c r="F2798" s="1533"/>
      <c r="G2798" s="1534"/>
      <c r="H2798" s="1514"/>
    </row>
    <row r="2799" spans="1:13" s="1517" customFormat="1" x14ac:dyDescent="0.25">
      <c r="A2799" s="146" t="s">
        <v>6</v>
      </c>
      <c r="B2799" s="2143" t="s">
        <v>7</v>
      </c>
      <c r="C2799" s="2143"/>
      <c r="D2799" s="1518" t="s">
        <v>121</v>
      </c>
      <c r="E2799" s="278" t="s">
        <v>5282</v>
      </c>
      <c r="F2799" s="1518" t="s">
        <v>31</v>
      </c>
      <c r="G2799" s="1519" t="s">
        <v>122</v>
      </c>
      <c r="H2799" s="1520" t="s">
        <v>123</v>
      </c>
      <c r="I2799" s="1830"/>
      <c r="J2799" s="1795"/>
      <c r="K2799" s="1795"/>
      <c r="L2799" s="169"/>
      <c r="M2799" s="1783"/>
    </row>
    <row r="2800" spans="1:13" s="1526" customFormat="1" ht="30" x14ac:dyDescent="0.2">
      <c r="A2800" s="1895" t="str">
        <f>'Orç - Prédio'!A492</f>
        <v>06.01.263.37</v>
      </c>
      <c r="B2800" s="1895" t="str">
        <f>'Orç - Prédio'!B492</f>
        <v>ORSE INSUMO</v>
      </c>
      <c r="C2800" s="1895">
        <f>'Orç - Prédio'!C492</f>
        <v>4655</v>
      </c>
      <c r="D2800" s="1865" t="s">
        <v>9101</v>
      </c>
      <c r="E2800" s="1866">
        <f>'Orç - Prédio'!E492</f>
        <v>17</v>
      </c>
      <c r="F2800" s="1895" t="s">
        <v>5284</v>
      </c>
      <c r="G2800" s="1524">
        <v>26.9</v>
      </c>
      <c r="H2800" s="1525">
        <f>H2806</f>
        <v>457.3</v>
      </c>
      <c r="I2800" s="1910" t="s">
        <v>14965</v>
      </c>
      <c r="J2800" s="1793"/>
      <c r="K2800" s="1793"/>
      <c r="L2800" s="141"/>
      <c r="M2800" s="1515"/>
    </row>
    <row r="2801" spans="1:13" s="1859" customFormat="1" x14ac:dyDescent="0.2">
      <c r="A2801" s="2144">
        <v>4655</v>
      </c>
      <c r="B2801" s="2144"/>
      <c r="C2801" s="1863" t="s">
        <v>5281</v>
      </c>
      <c r="D2801" s="1862" t="s">
        <v>9391</v>
      </c>
      <c r="E2801" s="1864">
        <v>1</v>
      </c>
      <c r="F2801" s="1894" t="s">
        <v>31</v>
      </c>
      <c r="G2801" s="367">
        <v>26.9</v>
      </c>
      <c r="H2801" s="1857">
        <f>ROUNDDOWN(G2801*E2801,2)</f>
        <v>26.9</v>
      </c>
      <c r="I2801" s="1856"/>
      <c r="J2801" s="1797"/>
      <c r="K2801" s="1797"/>
      <c r="L2801" s="1784"/>
      <c r="M2801" s="1785"/>
    </row>
    <row r="2802" spans="1:13" s="1517" customFormat="1" x14ac:dyDescent="0.25">
      <c r="A2802" s="1847"/>
      <c r="B2802" s="1847"/>
      <c r="C2802" s="1531"/>
      <c r="D2802" s="2141" t="s">
        <v>124</v>
      </c>
      <c r="E2802" s="2141"/>
      <c r="F2802" s="2141"/>
      <c r="G2802" s="2141"/>
      <c r="H2802" s="267">
        <f>SUMIF(F2801:F2801,("h"),H2801:H2801)</f>
        <v>0</v>
      </c>
      <c r="I2802" s="1830"/>
      <c r="J2802" s="1795"/>
      <c r="K2802" s="1795"/>
      <c r="L2802" s="169"/>
      <c r="M2802" s="1783"/>
    </row>
    <row r="2803" spans="1:13" s="1517" customFormat="1" x14ac:dyDescent="0.25">
      <c r="A2803" s="1847"/>
      <c r="B2803" s="1847"/>
      <c r="C2803" s="1531"/>
      <c r="D2803" s="2141" t="s">
        <v>125</v>
      </c>
      <c r="E2803" s="2141"/>
      <c r="F2803" s="2141"/>
      <c r="G2803" s="2141"/>
      <c r="H2803" s="267">
        <f>SUMIF(F2801:F2801,"&lt;&gt;h",H2801:H2801)</f>
        <v>26.9</v>
      </c>
      <c r="I2803" s="1830"/>
      <c r="J2803" s="1795"/>
      <c r="K2803" s="1795"/>
      <c r="L2803" s="169"/>
      <c r="M2803" s="1783"/>
    </row>
    <row r="2804" spans="1:13" s="1517" customFormat="1" x14ac:dyDescent="0.25">
      <c r="A2804" s="1847"/>
      <c r="B2804" s="1847"/>
      <c r="C2804" s="1531"/>
      <c r="D2804" s="2142" t="s">
        <v>126</v>
      </c>
      <c r="E2804" s="2142"/>
      <c r="F2804" s="2142"/>
      <c r="G2804" s="2142"/>
      <c r="H2804" s="1532">
        <f>SUM(H2802:H2803)</f>
        <v>26.9</v>
      </c>
      <c r="I2804" s="1830"/>
      <c r="J2804" s="1795"/>
      <c r="K2804" s="1795"/>
      <c r="L2804" s="169"/>
      <c r="M2804" s="1783"/>
    </row>
    <row r="2805" spans="1:13" s="1517" customFormat="1" x14ac:dyDescent="0.25">
      <c r="A2805" s="1847"/>
      <c r="B2805" s="1847"/>
      <c r="C2805" s="1531"/>
      <c r="D2805" s="2141" t="s">
        <v>28</v>
      </c>
      <c r="E2805" s="2141"/>
      <c r="F2805" s="2141"/>
      <c r="G2805" s="2141"/>
      <c r="H2805" s="269">
        <f>E2800</f>
        <v>17</v>
      </c>
      <c r="I2805" s="1830"/>
      <c r="J2805" s="1795"/>
      <c r="K2805" s="1795"/>
      <c r="L2805" s="169"/>
      <c r="M2805" s="1783"/>
    </row>
    <row r="2806" spans="1:13" s="1517" customFormat="1" x14ac:dyDescent="0.25">
      <c r="A2806" s="1847"/>
      <c r="B2806" s="1847"/>
      <c r="C2806" s="1531"/>
      <c r="D2806" s="2142" t="s">
        <v>127</v>
      </c>
      <c r="E2806" s="2142"/>
      <c r="F2806" s="2142"/>
      <c r="G2806" s="2142"/>
      <c r="H2806" s="1532">
        <f>ROUND(H2804*H2805,2)</f>
        <v>457.3</v>
      </c>
      <c r="I2806" s="1830"/>
      <c r="J2806" s="1795"/>
      <c r="K2806" s="1795"/>
      <c r="L2806" s="169"/>
      <c r="M2806" s="1783"/>
    </row>
    <row r="2807" spans="1:13" s="1517" customFormat="1" x14ac:dyDescent="0.25">
      <c r="A2807" s="1847"/>
      <c r="B2807" s="1847"/>
      <c r="C2807" s="1531"/>
      <c r="D2807" s="2141" t="s">
        <v>15335</v>
      </c>
      <c r="E2807" s="2141"/>
      <c r="F2807" s="2141"/>
      <c r="G2807" s="2141"/>
      <c r="H2807" s="267">
        <f>ROUND(H2804*$B$13,2)</f>
        <v>7.24</v>
      </c>
      <c r="I2807" s="1830"/>
      <c r="J2807" s="1795"/>
      <c r="K2807" s="1795"/>
      <c r="L2807" s="169"/>
      <c r="M2807" s="1783"/>
    </row>
    <row r="2808" spans="1:13" x14ac:dyDescent="0.25">
      <c r="A2808" s="1847"/>
      <c r="B2808" s="1847"/>
      <c r="C2808" s="1531"/>
      <c r="D2808" s="2142" t="s">
        <v>7898</v>
      </c>
      <c r="E2808" s="2142"/>
      <c r="F2808" s="2142"/>
      <c r="G2808" s="2142"/>
      <c r="H2808" s="1532">
        <f>H2807+H2804</f>
        <v>34.14</v>
      </c>
    </row>
    <row r="2809" spans="1:13" x14ac:dyDescent="0.25">
      <c r="A2809" s="1514"/>
      <c r="B2809" s="1514"/>
      <c r="C2809" s="1514"/>
      <c r="F2809" s="1533"/>
      <c r="G2809" s="1534"/>
      <c r="H2809" s="1514"/>
    </row>
    <row r="2810" spans="1:13" s="1517" customFormat="1" x14ac:dyDescent="0.25">
      <c r="A2810" s="146" t="s">
        <v>6</v>
      </c>
      <c r="B2810" s="2143" t="s">
        <v>7</v>
      </c>
      <c r="C2810" s="2143"/>
      <c r="D2810" s="1518" t="s">
        <v>121</v>
      </c>
      <c r="E2810" s="278" t="s">
        <v>5282</v>
      </c>
      <c r="F2810" s="1518" t="s">
        <v>31</v>
      </c>
      <c r="G2810" s="1519" t="s">
        <v>122</v>
      </c>
      <c r="H2810" s="1520" t="s">
        <v>123</v>
      </c>
      <c r="I2810" s="1830"/>
      <c r="J2810" s="1795"/>
      <c r="K2810" s="1795"/>
      <c r="L2810" s="169"/>
      <c r="M2810" s="1783"/>
    </row>
    <row r="2811" spans="1:13" s="1526" customFormat="1" ht="45" x14ac:dyDescent="0.2">
      <c r="A2811" s="1897" t="str">
        <f>'Orç - Prédio'!A493</f>
        <v>06.01.263.38</v>
      </c>
      <c r="B2811" s="1897" t="str">
        <f>'Orç - Prédio'!B493</f>
        <v>Pesquisa de Mercado</v>
      </c>
      <c r="C2811" s="1897">
        <f>'Orç - Prédio'!C493</f>
        <v>0</v>
      </c>
      <c r="D2811" s="1865" t="s">
        <v>9102</v>
      </c>
      <c r="E2811" s="1866">
        <f>'Orç - Prédio'!E493</f>
        <v>2</v>
      </c>
      <c r="F2811" s="1897" t="s">
        <v>5284</v>
      </c>
      <c r="G2811" s="1524">
        <v>27.36</v>
      </c>
      <c r="H2811" s="1525">
        <f>H2817</f>
        <v>54.72</v>
      </c>
      <c r="I2811" s="1910" t="s">
        <v>9564</v>
      </c>
      <c r="J2811" s="1793"/>
      <c r="K2811" s="1793"/>
      <c r="L2811" s="141"/>
      <c r="M2811" s="1515"/>
    </row>
    <row r="2812" spans="1:13" s="1859" customFormat="1" x14ac:dyDescent="0.2">
      <c r="A2812" s="2144" t="s">
        <v>6257</v>
      </c>
      <c r="B2812" s="2144"/>
      <c r="C2812" s="2144"/>
      <c r="D2812" s="1862" t="s">
        <v>9423</v>
      </c>
      <c r="E2812" s="1864">
        <v>1</v>
      </c>
      <c r="F2812" s="1896" t="s">
        <v>31</v>
      </c>
      <c r="G2812" s="367">
        <v>27.36</v>
      </c>
      <c r="H2812" s="1857">
        <f>ROUNDDOWN(G2812*E2812,2)</f>
        <v>27.36</v>
      </c>
      <c r="I2812" s="1856"/>
      <c r="J2812" s="1797"/>
      <c r="K2812" s="1797"/>
      <c r="L2812" s="1784"/>
      <c r="M2812" s="1785"/>
    </row>
    <row r="2813" spans="1:13" s="1517" customFormat="1" x14ac:dyDescent="0.25">
      <c r="A2813" s="1847"/>
      <c r="B2813" s="1847"/>
      <c r="C2813" s="1531"/>
      <c r="D2813" s="2141" t="s">
        <v>124</v>
      </c>
      <c r="E2813" s="2141"/>
      <c r="F2813" s="2141"/>
      <c r="G2813" s="2141"/>
      <c r="H2813" s="267">
        <f>SUMIF(F2812:F2812,("h"),H2812:H2812)</f>
        <v>0</v>
      </c>
      <c r="I2813" s="1830"/>
      <c r="J2813" s="1795"/>
      <c r="K2813" s="1795"/>
      <c r="L2813" s="169"/>
      <c r="M2813" s="1783"/>
    </row>
    <row r="2814" spans="1:13" s="1517" customFormat="1" x14ac:dyDescent="0.25">
      <c r="A2814" s="1847"/>
      <c r="B2814" s="1847"/>
      <c r="C2814" s="1531"/>
      <c r="D2814" s="2141" t="s">
        <v>125</v>
      </c>
      <c r="E2814" s="2141"/>
      <c r="F2814" s="2141"/>
      <c r="G2814" s="2141"/>
      <c r="H2814" s="267">
        <f>SUMIF(F2812:F2812,"&lt;&gt;h",H2812:H2812)</f>
        <v>27.36</v>
      </c>
      <c r="I2814" s="1830"/>
      <c r="J2814" s="1795"/>
      <c r="K2814" s="1795"/>
      <c r="L2814" s="169"/>
      <c r="M2814" s="1783"/>
    </row>
    <row r="2815" spans="1:13" s="1517" customFormat="1" x14ac:dyDescent="0.25">
      <c r="A2815" s="1847"/>
      <c r="B2815" s="1847"/>
      <c r="C2815" s="1531"/>
      <c r="D2815" s="2142" t="s">
        <v>126</v>
      </c>
      <c r="E2815" s="2142"/>
      <c r="F2815" s="2142"/>
      <c r="G2815" s="2142"/>
      <c r="H2815" s="1532">
        <f>SUM(H2813:H2814)</f>
        <v>27.36</v>
      </c>
      <c r="I2815" s="1830"/>
      <c r="J2815" s="1795"/>
      <c r="K2815" s="1795"/>
      <c r="L2815" s="169"/>
      <c r="M2815" s="1783"/>
    </row>
    <row r="2816" spans="1:13" s="1517" customFormat="1" x14ac:dyDescent="0.25">
      <c r="A2816" s="1847"/>
      <c r="B2816" s="1847"/>
      <c r="C2816" s="1531"/>
      <c r="D2816" s="2141" t="s">
        <v>28</v>
      </c>
      <c r="E2816" s="2141"/>
      <c r="F2816" s="2141"/>
      <c r="G2816" s="2141"/>
      <c r="H2816" s="269">
        <f>E2811</f>
        <v>2</v>
      </c>
      <c r="I2816" s="1830"/>
      <c r="J2816" s="1795"/>
      <c r="K2816" s="1795"/>
      <c r="L2816" s="169"/>
      <c r="M2816" s="1783"/>
    </row>
    <row r="2817" spans="1:13" s="1517" customFormat="1" x14ac:dyDescent="0.25">
      <c r="A2817" s="1847"/>
      <c r="B2817" s="1847"/>
      <c r="C2817" s="1531"/>
      <c r="D2817" s="2142" t="s">
        <v>127</v>
      </c>
      <c r="E2817" s="2142"/>
      <c r="F2817" s="2142"/>
      <c r="G2817" s="2142"/>
      <c r="H2817" s="1532">
        <f>ROUND(H2815*H2816,2)</f>
        <v>54.72</v>
      </c>
      <c r="I2817" s="1830"/>
      <c r="J2817" s="1795"/>
      <c r="K2817" s="1795"/>
      <c r="L2817" s="169"/>
      <c r="M2817" s="1783"/>
    </row>
    <row r="2818" spans="1:13" s="1517" customFormat="1" x14ac:dyDescent="0.25">
      <c r="A2818" s="1847"/>
      <c r="B2818" s="1847"/>
      <c r="C2818" s="1531"/>
      <c r="D2818" s="2141" t="s">
        <v>15335</v>
      </c>
      <c r="E2818" s="2141"/>
      <c r="F2818" s="2141"/>
      <c r="G2818" s="2141"/>
      <c r="H2818" s="267">
        <f>ROUND(H2815*$B$13,2)</f>
        <v>7.37</v>
      </c>
      <c r="I2818" s="1830"/>
      <c r="J2818" s="1795"/>
      <c r="K2818" s="1795"/>
      <c r="L2818" s="169"/>
      <c r="M2818" s="1783"/>
    </row>
    <row r="2819" spans="1:13" x14ac:dyDescent="0.25">
      <c r="A2819" s="1847"/>
      <c r="B2819" s="1847"/>
      <c r="C2819" s="1531"/>
      <c r="D2819" s="2142" t="s">
        <v>7898</v>
      </c>
      <c r="E2819" s="2142"/>
      <c r="F2819" s="2142"/>
      <c r="G2819" s="2142"/>
      <c r="H2819" s="1532">
        <f>H2818+H2815</f>
        <v>34.729999999999997</v>
      </c>
    </row>
    <row r="2820" spans="1:13" x14ac:dyDescent="0.25">
      <c r="A2820" s="1514"/>
      <c r="B2820" s="1514"/>
      <c r="C2820" s="1514"/>
      <c r="F2820" s="1533"/>
      <c r="G2820" s="1534"/>
      <c r="H2820" s="1514"/>
    </row>
    <row r="2821" spans="1:13" s="1517" customFormat="1" x14ac:dyDescent="0.25">
      <c r="A2821" s="146" t="s">
        <v>6</v>
      </c>
      <c r="B2821" s="2143" t="s">
        <v>7</v>
      </c>
      <c r="C2821" s="2143"/>
      <c r="D2821" s="1518" t="s">
        <v>121</v>
      </c>
      <c r="E2821" s="278" t="s">
        <v>5282</v>
      </c>
      <c r="F2821" s="1518" t="s">
        <v>31</v>
      </c>
      <c r="G2821" s="1519" t="s">
        <v>122</v>
      </c>
      <c r="H2821" s="1520" t="s">
        <v>123</v>
      </c>
      <c r="I2821" s="1830"/>
      <c r="J2821" s="1795"/>
      <c r="K2821" s="1795"/>
      <c r="L2821" s="169"/>
      <c r="M2821" s="1783"/>
    </row>
    <row r="2822" spans="1:13" s="1526" customFormat="1" ht="30" x14ac:dyDescent="0.2">
      <c r="A2822" s="1895" t="str">
        <f>'Orç - Prédio'!A496</f>
        <v>06.01.263.41</v>
      </c>
      <c r="B2822" s="1895" t="str">
        <f>'Orç - Prédio'!B496</f>
        <v>ORSE INSUMO</v>
      </c>
      <c r="C2822" s="1895">
        <f>'Orç - Prédio'!C496</f>
        <v>4640</v>
      </c>
      <c r="D2822" s="1865" t="s">
        <v>9103</v>
      </c>
      <c r="E2822" s="1866">
        <f>'Orç - Prédio'!E496</f>
        <v>3</v>
      </c>
      <c r="F2822" s="1895" t="s">
        <v>5284</v>
      </c>
      <c r="G2822" s="1524">
        <v>14.83</v>
      </c>
      <c r="H2822" s="1525">
        <f>H2828</f>
        <v>44.49</v>
      </c>
      <c r="I2822" s="1910" t="s">
        <v>14965</v>
      </c>
      <c r="J2822" s="1793"/>
      <c r="K2822" s="1793"/>
      <c r="L2822" s="141"/>
      <c r="M2822" s="1515"/>
    </row>
    <row r="2823" spans="1:13" s="1859" customFormat="1" x14ac:dyDescent="0.2">
      <c r="A2823" s="2144">
        <v>4640</v>
      </c>
      <c r="B2823" s="2144"/>
      <c r="C2823" s="1863" t="s">
        <v>5281</v>
      </c>
      <c r="D2823" s="1862" t="s">
        <v>9397</v>
      </c>
      <c r="E2823" s="1864">
        <v>1</v>
      </c>
      <c r="F2823" s="1894" t="s">
        <v>31</v>
      </c>
      <c r="G2823" s="367">
        <v>14.83</v>
      </c>
      <c r="H2823" s="1857">
        <f>ROUNDDOWN(G2823*E2823,2)</f>
        <v>14.83</v>
      </c>
      <c r="I2823" s="1856"/>
      <c r="J2823" s="1797"/>
      <c r="K2823" s="1797"/>
      <c r="L2823" s="1784"/>
      <c r="M2823" s="1785"/>
    </row>
    <row r="2824" spans="1:13" s="1517" customFormat="1" x14ac:dyDescent="0.25">
      <c r="A2824" s="1847"/>
      <c r="B2824" s="1847"/>
      <c r="C2824" s="1531"/>
      <c r="D2824" s="2141" t="s">
        <v>124</v>
      </c>
      <c r="E2824" s="2141"/>
      <c r="F2824" s="2141"/>
      <c r="G2824" s="2141"/>
      <c r="H2824" s="267">
        <f>SUMIF(F2823:F2823,("h"),H2823:H2823)</f>
        <v>0</v>
      </c>
      <c r="I2824" s="1830"/>
      <c r="J2824" s="1795"/>
      <c r="K2824" s="1795"/>
      <c r="L2824" s="169"/>
      <c r="M2824" s="1783"/>
    </row>
    <row r="2825" spans="1:13" s="1517" customFormat="1" x14ac:dyDescent="0.25">
      <c r="A2825" s="1847"/>
      <c r="B2825" s="1847"/>
      <c r="C2825" s="1531"/>
      <c r="D2825" s="2141" t="s">
        <v>125</v>
      </c>
      <c r="E2825" s="2141"/>
      <c r="F2825" s="2141"/>
      <c r="G2825" s="2141"/>
      <c r="H2825" s="267">
        <f>SUMIF(F2823:F2823,"&lt;&gt;h",H2823:H2823)</f>
        <v>14.83</v>
      </c>
      <c r="I2825" s="1830"/>
      <c r="J2825" s="1795"/>
      <c r="K2825" s="1795"/>
      <c r="L2825" s="169"/>
      <c r="M2825" s="1783"/>
    </row>
    <row r="2826" spans="1:13" s="1517" customFormat="1" x14ac:dyDescent="0.25">
      <c r="A2826" s="1847"/>
      <c r="B2826" s="1847"/>
      <c r="C2826" s="1531"/>
      <c r="D2826" s="2142" t="s">
        <v>126</v>
      </c>
      <c r="E2826" s="2142"/>
      <c r="F2826" s="2142"/>
      <c r="G2826" s="2142"/>
      <c r="H2826" s="1532">
        <f>SUM(H2824:H2825)</f>
        <v>14.83</v>
      </c>
      <c r="I2826" s="1830"/>
      <c r="J2826" s="1795"/>
      <c r="K2826" s="1795"/>
      <c r="L2826" s="169"/>
      <c r="M2826" s="1783"/>
    </row>
    <row r="2827" spans="1:13" s="1517" customFormat="1" x14ac:dyDescent="0.25">
      <c r="A2827" s="1847"/>
      <c r="B2827" s="1847"/>
      <c r="C2827" s="1531"/>
      <c r="D2827" s="2141" t="s">
        <v>28</v>
      </c>
      <c r="E2827" s="2141"/>
      <c r="F2827" s="2141"/>
      <c r="G2827" s="2141"/>
      <c r="H2827" s="269">
        <f>E2822</f>
        <v>3</v>
      </c>
      <c r="I2827" s="1830"/>
      <c r="J2827" s="1795"/>
      <c r="K2827" s="1795"/>
      <c r="L2827" s="169"/>
      <c r="M2827" s="1783"/>
    </row>
    <row r="2828" spans="1:13" s="1517" customFormat="1" x14ac:dyDescent="0.25">
      <c r="A2828" s="1847"/>
      <c r="B2828" s="1847"/>
      <c r="C2828" s="1531"/>
      <c r="D2828" s="2142" t="s">
        <v>127</v>
      </c>
      <c r="E2828" s="2142"/>
      <c r="F2828" s="2142"/>
      <c r="G2828" s="2142"/>
      <c r="H2828" s="1532">
        <f>ROUND(H2826*H2827,2)</f>
        <v>44.49</v>
      </c>
      <c r="I2828" s="1830"/>
      <c r="J2828" s="1795"/>
      <c r="K2828" s="1795"/>
      <c r="L2828" s="169"/>
      <c r="M2828" s="1783"/>
    </row>
    <row r="2829" spans="1:13" s="1517" customFormat="1" x14ac:dyDescent="0.25">
      <c r="A2829" s="1847"/>
      <c r="B2829" s="1847"/>
      <c r="C2829" s="1531"/>
      <c r="D2829" s="2141" t="s">
        <v>15335</v>
      </c>
      <c r="E2829" s="2141"/>
      <c r="F2829" s="2141"/>
      <c r="G2829" s="2141"/>
      <c r="H2829" s="267">
        <f>ROUND(H2826*$B$13,2)</f>
        <v>3.99</v>
      </c>
      <c r="I2829" s="1830"/>
      <c r="J2829" s="1795"/>
      <c r="K2829" s="1795"/>
      <c r="L2829" s="169"/>
      <c r="M2829" s="1783"/>
    </row>
    <row r="2830" spans="1:13" x14ac:dyDescent="0.25">
      <c r="A2830" s="1847"/>
      <c r="B2830" s="1847"/>
      <c r="C2830" s="1531"/>
      <c r="D2830" s="2142" t="s">
        <v>7898</v>
      </c>
      <c r="E2830" s="2142"/>
      <c r="F2830" s="2142"/>
      <c r="G2830" s="2142"/>
      <c r="H2830" s="1532">
        <f>H2829+H2826</f>
        <v>18.82</v>
      </c>
    </row>
    <row r="2831" spans="1:13" x14ac:dyDescent="0.25">
      <c r="A2831" s="1514"/>
      <c r="B2831" s="1514"/>
      <c r="C2831" s="1514"/>
      <c r="F2831" s="1533"/>
      <c r="G2831" s="1534"/>
      <c r="H2831" s="1514"/>
    </row>
    <row r="2832" spans="1:13" s="1517" customFormat="1" x14ac:dyDescent="0.25">
      <c r="A2832" s="146" t="s">
        <v>6</v>
      </c>
      <c r="B2832" s="2143" t="s">
        <v>7</v>
      </c>
      <c r="C2832" s="2143"/>
      <c r="D2832" s="1518" t="s">
        <v>121</v>
      </c>
      <c r="E2832" s="278" t="s">
        <v>5282</v>
      </c>
      <c r="F2832" s="1518" t="s">
        <v>31</v>
      </c>
      <c r="G2832" s="1519" t="s">
        <v>122</v>
      </c>
      <c r="H2832" s="1520" t="s">
        <v>123</v>
      </c>
      <c r="I2832" s="1830"/>
      <c r="J2832" s="1795"/>
      <c r="K2832" s="1795"/>
      <c r="L2832" s="169"/>
      <c r="M2832" s="1783"/>
    </row>
    <row r="2833" spans="1:13" s="1526" customFormat="1" ht="45" x14ac:dyDescent="0.2">
      <c r="A2833" s="1895" t="str">
        <f>'Orç - Prédio'!A498</f>
        <v>06.01.263.43</v>
      </c>
      <c r="B2833" s="1895" t="str">
        <f>'Orç - Prédio'!B498</f>
        <v>ORSE INSUMO</v>
      </c>
      <c r="C2833" s="1895">
        <f>'Orç - Prédio'!C498</f>
        <v>4646</v>
      </c>
      <c r="D2833" s="1865" t="s">
        <v>9400</v>
      </c>
      <c r="E2833" s="1866">
        <f>'Orç - Prédio'!E498</f>
        <v>1</v>
      </c>
      <c r="F2833" s="1895" t="s">
        <v>5284</v>
      </c>
      <c r="G2833" s="1524">
        <v>1479.97</v>
      </c>
      <c r="H2833" s="1525">
        <f>H2839</f>
        <v>1479.97</v>
      </c>
      <c r="I2833" s="1910" t="s">
        <v>14965</v>
      </c>
      <c r="J2833" s="1793"/>
      <c r="K2833" s="1793"/>
      <c r="L2833" s="141"/>
      <c r="M2833" s="1515"/>
    </row>
    <row r="2834" spans="1:13" s="1859" customFormat="1" ht="30" x14ac:dyDescent="0.2">
      <c r="A2834" s="2144">
        <v>4646</v>
      </c>
      <c r="B2834" s="2144"/>
      <c r="C2834" s="1863" t="s">
        <v>5281</v>
      </c>
      <c r="D2834" s="1862" t="s">
        <v>9402</v>
      </c>
      <c r="E2834" s="1864">
        <v>1</v>
      </c>
      <c r="F2834" s="1894" t="s">
        <v>31</v>
      </c>
      <c r="G2834" s="367">
        <v>1479.97</v>
      </c>
      <c r="H2834" s="1857">
        <f>ROUNDDOWN(G2834*E2834,2)</f>
        <v>1479.97</v>
      </c>
      <c r="I2834" s="1856"/>
      <c r="J2834" s="1797"/>
      <c r="K2834" s="1797"/>
      <c r="L2834" s="1784"/>
      <c r="M2834" s="1785"/>
    </row>
    <row r="2835" spans="1:13" s="1517" customFormat="1" x14ac:dyDescent="0.25">
      <c r="A2835" s="1847"/>
      <c r="B2835" s="1847"/>
      <c r="C2835" s="1531"/>
      <c r="D2835" s="2155" t="s">
        <v>5191</v>
      </c>
      <c r="E2835" s="2141"/>
      <c r="F2835" s="2141"/>
      <c r="G2835" s="2141"/>
      <c r="H2835" s="267">
        <f>SUMIF(F2834:F2834,("h"),H2834:H2834)</f>
        <v>0</v>
      </c>
      <c r="I2835" s="1830"/>
      <c r="J2835" s="1795"/>
      <c r="K2835" s="1795"/>
      <c r="L2835" s="169"/>
      <c r="M2835" s="1783"/>
    </row>
    <row r="2836" spans="1:13" s="1517" customFormat="1" x14ac:dyDescent="0.25">
      <c r="A2836" s="1847"/>
      <c r="B2836" s="1847"/>
      <c r="C2836" s="1531"/>
      <c r="D2836" s="2141" t="s">
        <v>125</v>
      </c>
      <c r="E2836" s="2141"/>
      <c r="F2836" s="2141"/>
      <c r="G2836" s="2141"/>
      <c r="H2836" s="267">
        <f>SUMIF(F2834:F2834,"&lt;&gt;h",H2834:H2834)</f>
        <v>1479.97</v>
      </c>
      <c r="I2836" s="1830"/>
      <c r="J2836" s="1795"/>
      <c r="K2836" s="1795"/>
      <c r="L2836" s="169"/>
      <c r="M2836" s="1783"/>
    </row>
    <row r="2837" spans="1:13" s="1517" customFormat="1" x14ac:dyDescent="0.25">
      <c r="A2837" s="1847"/>
      <c r="B2837" s="1847"/>
      <c r="C2837" s="1531"/>
      <c r="D2837" s="2142" t="s">
        <v>126</v>
      </c>
      <c r="E2837" s="2142"/>
      <c r="F2837" s="2142"/>
      <c r="G2837" s="2142"/>
      <c r="H2837" s="1532">
        <f>SUM(H2835:H2836)</f>
        <v>1479.97</v>
      </c>
      <c r="I2837" s="1830"/>
      <c r="J2837" s="1795"/>
      <c r="K2837" s="1795"/>
      <c r="L2837" s="169"/>
      <c r="M2837" s="1783"/>
    </row>
    <row r="2838" spans="1:13" s="1517" customFormat="1" x14ac:dyDescent="0.25">
      <c r="A2838" s="1847"/>
      <c r="B2838" s="1847"/>
      <c r="C2838" s="1531"/>
      <c r="D2838" s="2141" t="s">
        <v>28</v>
      </c>
      <c r="E2838" s="2141"/>
      <c r="F2838" s="2141"/>
      <c r="G2838" s="2141"/>
      <c r="H2838" s="269">
        <f>E2833</f>
        <v>1</v>
      </c>
      <c r="I2838" s="1830"/>
      <c r="J2838" s="1795"/>
      <c r="K2838" s="1795"/>
      <c r="L2838" s="169"/>
      <c r="M2838" s="1783"/>
    </row>
    <row r="2839" spans="1:13" s="1517" customFormat="1" x14ac:dyDescent="0.25">
      <c r="A2839" s="1847"/>
      <c r="B2839" s="1847"/>
      <c r="C2839" s="1531"/>
      <c r="D2839" s="2142" t="s">
        <v>127</v>
      </c>
      <c r="E2839" s="2142"/>
      <c r="F2839" s="2142"/>
      <c r="G2839" s="2142"/>
      <c r="H2839" s="1532">
        <f>ROUND(H2837*H2838,2)</f>
        <v>1479.97</v>
      </c>
      <c r="I2839" s="1830"/>
      <c r="J2839" s="1795"/>
      <c r="K2839" s="1795"/>
      <c r="L2839" s="169"/>
      <c r="M2839" s="1783"/>
    </row>
    <row r="2840" spans="1:13" s="1517" customFormat="1" x14ac:dyDescent="0.25">
      <c r="A2840" s="1847"/>
      <c r="B2840" s="1847"/>
      <c r="C2840" s="1531"/>
      <c r="D2840" s="2141" t="s">
        <v>15335</v>
      </c>
      <c r="E2840" s="2141"/>
      <c r="F2840" s="2141"/>
      <c r="G2840" s="2141"/>
      <c r="H2840" s="267">
        <f>ROUND(H2837*$B$13,2)</f>
        <v>398.56</v>
      </c>
      <c r="I2840" s="1830"/>
      <c r="J2840" s="1795"/>
      <c r="K2840" s="1795"/>
      <c r="L2840" s="169"/>
      <c r="M2840" s="1783"/>
    </row>
    <row r="2841" spans="1:13" x14ac:dyDescent="0.25">
      <c r="A2841" s="1847"/>
      <c r="B2841" s="1847"/>
      <c r="C2841" s="1531"/>
      <c r="D2841" s="2142" t="s">
        <v>7898</v>
      </c>
      <c r="E2841" s="2142"/>
      <c r="F2841" s="2142"/>
      <c r="G2841" s="2142"/>
      <c r="H2841" s="1532">
        <f>H2840+H2837</f>
        <v>1878.53</v>
      </c>
    </row>
    <row r="2842" spans="1:13" x14ac:dyDescent="0.25">
      <c r="A2842" s="1514"/>
      <c r="B2842" s="1514"/>
      <c r="C2842" s="1514"/>
      <c r="F2842" s="1533"/>
      <c r="G2842" s="1534"/>
      <c r="H2842" s="1514"/>
    </row>
    <row r="2843" spans="1:13" s="1517" customFormat="1" x14ac:dyDescent="0.25">
      <c r="A2843" s="146" t="s">
        <v>6</v>
      </c>
      <c r="B2843" s="2143" t="s">
        <v>7</v>
      </c>
      <c r="C2843" s="2143"/>
      <c r="D2843" s="1518" t="s">
        <v>121</v>
      </c>
      <c r="E2843" s="278" t="s">
        <v>5282</v>
      </c>
      <c r="F2843" s="1518" t="s">
        <v>31</v>
      </c>
      <c r="G2843" s="1519" t="s">
        <v>122</v>
      </c>
      <c r="H2843" s="1520" t="s">
        <v>123</v>
      </c>
      <c r="I2843" s="1830"/>
      <c r="J2843" s="1795"/>
      <c r="K2843" s="1795"/>
      <c r="L2843" s="169"/>
      <c r="M2843" s="1783"/>
    </row>
    <row r="2844" spans="1:13" s="1526" customFormat="1" ht="30" x14ac:dyDescent="0.2">
      <c r="A2844" s="1895" t="str">
        <f>'Orç - Prédio'!A499</f>
        <v>06.01.263.44</v>
      </c>
      <c r="B2844" s="1895" t="str">
        <f>'Orç - Prédio'!B499</f>
        <v>ORSE INSUMO</v>
      </c>
      <c r="C2844" s="1895">
        <f>'Orç - Prédio'!C499</f>
        <v>2668</v>
      </c>
      <c r="D2844" s="1865" t="s">
        <v>9104</v>
      </c>
      <c r="E2844" s="1866">
        <f>'Orç - Prédio'!E499</f>
        <v>8</v>
      </c>
      <c r="F2844" s="1895" t="s">
        <v>5284</v>
      </c>
      <c r="G2844" s="1524">
        <v>8.49</v>
      </c>
      <c r="H2844" s="1525">
        <f>H2850</f>
        <v>67.92</v>
      </c>
      <c r="I2844" s="1910" t="s">
        <v>14965</v>
      </c>
      <c r="J2844" s="1793"/>
      <c r="K2844" s="1793"/>
      <c r="L2844" s="141"/>
      <c r="M2844" s="1515"/>
    </row>
    <row r="2845" spans="1:13" s="1859" customFormat="1" ht="30" x14ac:dyDescent="0.2">
      <c r="A2845" s="2144">
        <v>2668</v>
      </c>
      <c r="B2845" s="2144"/>
      <c r="C2845" s="1863" t="s">
        <v>5281</v>
      </c>
      <c r="D2845" s="1862" t="s">
        <v>9405</v>
      </c>
      <c r="E2845" s="1864">
        <v>1</v>
      </c>
      <c r="F2845" s="1894" t="s">
        <v>31</v>
      </c>
      <c r="G2845" s="367">
        <v>8.49</v>
      </c>
      <c r="H2845" s="1857">
        <f>ROUNDDOWN(G2845*E2845,2)</f>
        <v>8.49</v>
      </c>
      <c r="I2845" s="1856"/>
      <c r="J2845" s="1797"/>
      <c r="K2845" s="1797"/>
      <c r="L2845" s="1784"/>
      <c r="M2845" s="1785"/>
    </row>
    <row r="2846" spans="1:13" s="1517" customFormat="1" x14ac:dyDescent="0.25">
      <c r="A2846" s="1847"/>
      <c r="B2846" s="1847"/>
      <c r="C2846" s="1531"/>
      <c r="D2846" s="2155" t="s">
        <v>5191</v>
      </c>
      <c r="E2846" s="2141"/>
      <c r="F2846" s="2141"/>
      <c r="G2846" s="2141"/>
      <c r="H2846" s="267">
        <f>SUMIF(F2845:F2845,("h"),H2845:H2845)</f>
        <v>0</v>
      </c>
      <c r="I2846" s="1830"/>
      <c r="J2846" s="1795"/>
      <c r="K2846" s="1795"/>
      <c r="L2846" s="169"/>
      <c r="M2846" s="1783"/>
    </row>
    <row r="2847" spans="1:13" s="1517" customFormat="1" x14ac:dyDescent="0.25">
      <c r="A2847" s="1847"/>
      <c r="B2847" s="1847"/>
      <c r="C2847" s="1531"/>
      <c r="D2847" s="2141" t="s">
        <v>125</v>
      </c>
      <c r="E2847" s="2141"/>
      <c r="F2847" s="2141"/>
      <c r="G2847" s="2141"/>
      <c r="H2847" s="267">
        <f>SUMIF(F2845:F2845,"&lt;&gt;h",H2845:H2845)</f>
        <v>8.49</v>
      </c>
      <c r="I2847" s="1830"/>
      <c r="J2847" s="1795"/>
      <c r="K2847" s="1795"/>
      <c r="L2847" s="169"/>
      <c r="M2847" s="1783"/>
    </row>
    <row r="2848" spans="1:13" s="1517" customFormat="1" x14ac:dyDescent="0.25">
      <c r="A2848" s="1847"/>
      <c r="B2848" s="1847"/>
      <c r="C2848" s="1531"/>
      <c r="D2848" s="2142" t="s">
        <v>126</v>
      </c>
      <c r="E2848" s="2142"/>
      <c r="F2848" s="2142"/>
      <c r="G2848" s="2142"/>
      <c r="H2848" s="1532">
        <f>SUM(H2846:H2847)</f>
        <v>8.49</v>
      </c>
      <c r="I2848" s="1830"/>
      <c r="J2848" s="1795"/>
      <c r="K2848" s="1795"/>
      <c r="L2848" s="169"/>
      <c r="M2848" s="1783"/>
    </row>
    <row r="2849" spans="1:13" s="1517" customFormat="1" x14ac:dyDescent="0.25">
      <c r="A2849" s="1847"/>
      <c r="B2849" s="1847"/>
      <c r="C2849" s="1531"/>
      <c r="D2849" s="2141" t="s">
        <v>28</v>
      </c>
      <c r="E2849" s="2141"/>
      <c r="F2849" s="2141"/>
      <c r="G2849" s="2141"/>
      <c r="H2849" s="269">
        <f>E2844</f>
        <v>8</v>
      </c>
      <c r="I2849" s="1830"/>
      <c r="J2849" s="1795"/>
      <c r="K2849" s="1795"/>
      <c r="L2849" s="169"/>
      <c r="M2849" s="1783"/>
    </row>
    <row r="2850" spans="1:13" s="1517" customFormat="1" x14ac:dyDescent="0.25">
      <c r="A2850" s="1847"/>
      <c r="B2850" s="1847"/>
      <c r="C2850" s="1531"/>
      <c r="D2850" s="2142" t="s">
        <v>127</v>
      </c>
      <c r="E2850" s="2142"/>
      <c r="F2850" s="2142"/>
      <c r="G2850" s="2142"/>
      <c r="H2850" s="1532">
        <f>ROUND(H2848*H2849,2)</f>
        <v>67.92</v>
      </c>
      <c r="I2850" s="1830"/>
      <c r="J2850" s="1795"/>
      <c r="K2850" s="1795"/>
      <c r="L2850" s="169"/>
      <c r="M2850" s="1783"/>
    </row>
    <row r="2851" spans="1:13" s="1517" customFormat="1" x14ac:dyDescent="0.25">
      <c r="A2851" s="1847"/>
      <c r="B2851" s="1847"/>
      <c r="C2851" s="1531"/>
      <c r="D2851" s="2141" t="s">
        <v>15335</v>
      </c>
      <c r="E2851" s="2141"/>
      <c r="F2851" s="2141"/>
      <c r="G2851" s="2141"/>
      <c r="H2851" s="267">
        <f>ROUND(H2848*$B$13,2)</f>
        <v>2.29</v>
      </c>
      <c r="I2851" s="1830"/>
      <c r="J2851" s="1795"/>
      <c r="K2851" s="1795"/>
      <c r="L2851" s="169"/>
      <c r="M2851" s="1783"/>
    </row>
    <row r="2852" spans="1:13" x14ac:dyDescent="0.25">
      <c r="A2852" s="1847"/>
      <c r="B2852" s="1847"/>
      <c r="C2852" s="1531"/>
      <c r="D2852" s="2142" t="s">
        <v>7898</v>
      </c>
      <c r="E2852" s="2142"/>
      <c r="F2852" s="2142"/>
      <c r="G2852" s="2142"/>
      <c r="H2852" s="1532">
        <f>H2851+H2848</f>
        <v>10.780000000000001</v>
      </c>
    </row>
    <row r="2853" spans="1:13" x14ac:dyDescent="0.25">
      <c r="A2853" s="1514"/>
      <c r="B2853" s="1514"/>
      <c r="C2853" s="1514"/>
      <c r="F2853" s="1533"/>
      <c r="G2853" s="1534"/>
      <c r="H2853" s="1514"/>
    </row>
    <row r="2854" spans="1:13" s="1517" customFormat="1" x14ac:dyDescent="0.25">
      <c r="A2854" s="146" t="s">
        <v>6</v>
      </c>
      <c r="B2854" s="2143" t="s">
        <v>7</v>
      </c>
      <c r="C2854" s="2143"/>
      <c r="D2854" s="1518" t="s">
        <v>121</v>
      </c>
      <c r="E2854" s="278" t="s">
        <v>5282</v>
      </c>
      <c r="F2854" s="1518" t="s">
        <v>31</v>
      </c>
      <c r="G2854" s="1519" t="s">
        <v>122</v>
      </c>
      <c r="H2854" s="1520" t="s">
        <v>123</v>
      </c>
      <c r="I2854" s="1830"/>
      <c r="J2854" s="1795"/>
      <c r="K2854" s="1795"/>
      <c r="L2854" s="169"/>
      <c r="M2854" s="1783"/>
    </row>
    <row r="2855" spans="1:13" s="1526" customFormat="1" ht="30" x14ac:dyDescent="0.2">
      <c r="A2855" s="1895" t="str">
        <f>'Orç - Prédio'!A501</f>
        <v>06.01.263.46</v>
      </c>
      <c r="B2855" s="1895" t="str">
        <f>'Orç - Prédio'!B501</f>
        <v>ORSE INSUMO</v>
      </c>
      <c r="C2855" s="1895">
        <f>'Orç - Prédio'!C501</f>
        <v>9354</v>
      </c>
      <c r="D2855" s="1865" t="s">
        <v>9106</v>
      </c>
      <c r="E2855" s="1866">
        <f>'Orç - Prédio'!E501</f>
        <v>4</v>
      </c>
      <c r="F2855" s="1895" t="s">
        <v>5284</v>
      </c>
      <c r="G2855" s="1524">
        <v>5</v>
      </c>
      <c r="H2855" s="1525">
        <f>H2861</f>
        <v>20</v>
      </c>
      <c r="I2855" s="1910" t="s">
        <v>14965</v>
      </c>
      <c r="J2855" s="1793"/>
      <c r="K2855" s="1793"/>
      <c r="L2855" s="141"/>
      <c r="M2855" s="1515"/>
    </row>
    <row r="2856" spans="1:13" s="1859" customFormat="1" x14ac:dyDescent="0.2">
      <c r="A2856" s="2144">
        <v>9354</v>
      </c>
      <c r="B2856" s="2144"/>
      <c r="C2856" s="1863" t="s">
        <v>5281</v>
      </c>
      <c r="D2856" s="1862" t="s">
        <v>9408</v>
      </c>
      <c r="E2856" s="1864">
        <v>1</v>
      </c>
      <c r="F2856" s="1894" t="s">
        <v>31</v>
      </c>
      <c r="G2856" s="367">
        <v>5</v>
      </c>
      <c r="H2856" s="1857">
        <f>ROUNDDOWN(G2856*E2856,2)</f>
        <v>5</v>
      </c>
      <c r="I2856" s="1856"/>
      <c r="J2856" s="1797"/>
      <c r="K2856" s="1797"/>
      <c r="L2856" s="1784"/>
      <c r="M2856" s="1785"/>
    </row>
    <row r="2857" spans="1:13" s="1517" customFormat="1" x14ac:dyDescent="0.25">
      <c r="A2857" s="1847"/>
      <c r="B2857" s="1847"/>
      <c r="C2857" s="1531"/>
      <c r="D2857" s="2155" t="s">
        <v>5191</v>
      </c>
      <c r="E2857" s="2141"/>
      <c r="F2857" s="2141"/>
      <c r="G2857" s="2141"/>
      <c r="H2857" s="267">
        <f>SUMIF(F2856:F2856,("h"),H2856:H2856)</f>
        <v>0</v>
      </c>
      <c r="I2857" s="1830"/>
      <c r="J2857" s="1795"/>
      <c r="K2857" s="1795"/>
      <c r="L2857" s="169"/>
      <c r="M2857" s="1783"/>
    </row>
    <row r="2858" spans="1:13" s="1517" customFormat="1" x14ac:dyDescent="0.25">
      <c r="A2858" s="1847"/>
      <c r="B2858" s="1847"/>
      <c r="C2858" s="1531"/>
      <c r="D2858" s="2141" t="s">
        <v>125</v>
      </c>
      <c r="E2858" s="2141"/>
      <c r="F2858" s="2141"/>
      <c r="G2858" s="2141"/>
      <c r="H2858" s="267">
        <f>SUMIF(F2856:F2856,"&lt;&gt;h",H2856:H2856)</f>
        <v>5</v>
      </c>
      <c r="I2858" s="1830"/>
      <c r="J2858" s="1795"/>
      <c r="K2858" s="1795"/>
      <c r="L2858" s="169"/>
      <c r="M2858" s="1783"/>
    </row>
    <row r="2859" spans="1:13" s="1517" customFormat="1" x14ac:dyDescent="0.25">
      <c r="A2859" s="1847"/>
      <c r="B2859" s="1847"/>
      <c r="C2859" s="1531"/>
      <c r="D2859" s="2142" t="s">
        <v>126</v>
      </c>
      <c r="E2859" s="2142"/>
      <c r="F2859" s="2142"/>
      <c r="G2859" s="2142"/>
      <c r="H2859" s="1532">
        <f>SUM(H2857:H2858)</f>
        <v>5</v>
      </c>
      <c r="I2859" s="1830"/>
      <c r="J2859" s="1795"/>
      <c r="K2859" s="1795"/>
      <c r="L2859" s="169"/>
      <c r="M2859" s="1783"/>
    </row>
    <row r="2860" spans="1:13" s="1517" customFormat="1" x14ac:dyDescent="0.25">
      <c r="A2860" s="1847"/>
      <c r="B2860" s="1847"/>
      <c r="C2860" s="1531"/>
      <c r="D2860" s="2141" t="s">
        <v>28</v>
      </c>
      <c r="E2860" s="2141"/>
      <c r="F2860" s="2141"/>
      <c r="G2860" s="2141"/>
      <c r="H2860" s="269">
        <f>E2855</f>
        <v>4</v>
      </c>
      <c r="I2860" s="1830"/>
      <c r="J2860" s="1795"/>
      <c r="K2860" s="1795"/>
      <c r="L2860" s="169"/>
      <c r="M2860" s="1783"/>
    </row>
    <row r="2861" spans="1:13" s="1517" customFormat="1" x14ac:dyDescent="0.25">
      <c r="A2861" s="1847"/>
      <c r="B2861" s="1847"/>
      <c r="C2861" s="1531"/>
      <c r="D2861" s="2142" t="s">
        <v>127</v>
      </c>
      <c r="E2861" s="2142"/>
      <c r="F2861" s="2142"/>
      <c r="G2861" s="2142"/>
      <c r="H2861" s="1532">
        <f>ROUND(H2859*H2860,2)</f>
        <v>20</v>
      </c>
      <c r="I2861" s="1830"/>
      <c r="J2861" s="1795"/>
      <c r="K2861" s="1795"/>
      <c r="L2861" s="169"/>
      <c r="M2861" s="1783"/>
    </row>
    <row r="2862" spans="1:13" s="1517" customFormat="1" x14ac:dyDescent="0.25">
      <c r="A2862" s="1847"/>
      <c r="B2862" s="1847"/>
      <c r="C2862" s="1531"/>
      <c r="D2862" s="2141" t="s">
        <v>15335</v>
      </c>
      <c r="E2862" s="2141"/>
      <c r="F2862" s="2141"/>
      <c r="G2862" s="2141"/>
      <c r="H2862" s="267">
        <f>ROUND(H2859*$B$13,2)</f>
        <v>1.35</v>
      </c>
      <c r="I2862" s="1830"/>
      <c r="J2862" s="1795"/>
      <c r="K2862" s="1795"/>
      <c r="L2862" s="169"/>
      <c r="M2862" s="1783"/>
    </row>
    <row r="2863" spans="1:13" x14ac:dyDescent="0.25">
      <c r="A2863" s="1847"/>
      <c r="B2863" s="1847"/>
      <c r="C2863" s="1531"/>
      <c r="D2863" s="2142" t="s">
        <v>7898</v>
      </c>
      <c r="E2863" s="2142"/>
      <c r="F2863" s="2142"/>
      <c r="G2863" s="2142"/>
      <c r="H2863" s="1532">
        <f>H2862+H2859</f>
        <v>6.35</v>
      </c>
    </row>
    <row r="2864" spans="1:13" x14ac:dyDescent="0.25">
      <c r="A2864" s="1514"/>
      <c r="B2864" s="1514"/>
      <c r="C2864" s="1514"/>
      <c r="F2864" s="1533"/>
      <c r="G2864" s="1534"/>
      <c r="H2864" s="1514"/>
    </row>
    <row r="2865" spans="1:13" s="1517" customFormat="1" x14ac:dyDescent="0.25">
      <c r="A2865" s="146" t="s">
        <v>6</v>
      </c>
      <c r="B2865" s="2143" t="s">
        <v>7</v>
      </c>
      <c r="C2865" s="2143"/>
      <c r="D2865" s="1518" t="s">
        <v>121</v>
      </c>
      <c r="E2865" s="278" t="s">
        <v>5282</v>
      </c>
      <c r="F2865" s="1518" t="s">
        <v>31</v>
      </c>
      <c r="G2865" s="1519" t="s">
        <v>122</v>
      </c>
      <c r="H2865" s="1520" t="s">
        <v>123</v>
      </c>
      <c r="I2865" s="1830"/>
      <c r="J2865" s="1795"/>
      <c r="K2865" s="1795"/>
      <c r="L2865" s="169"/>
      <c r="M2865" s="1783"/>
    </row>
    <row r="2866" spans="1:13" s="1526" customFormat="1" ht="30" x14ac:dyDescent="0.2">
      <c r="A2866" s="1895" t="str">
        <f>'Orç - Prédio'!A502</f>
        <v>06.01.263.47</v>
      </c>
      <c r="B2866" s="1895" t="str">
        <f>'Orç - Prédio'!B502</f>
        <v>ORSE INSUMO</v>
      </c>
      <c r="C2866" s="1895">
        <f>'Orç - Prédio'!C502</f>
        <v>4641</v>
      </c>
      <c r="D2866" s="1865" t="s">
        <v>9107</v>
      </c>
      <c r="E2866" s="1866">
        <f>'Orç - Prédio'!E502</f>
        <v>12</v>
      </c>
      <c r="F2866" s="1895" t="s">
        <v>5284</v>
      </c>
      <c r="G2866" s="1524">
        <v>16.75</v>
      </c>
      <c r="H2866" s="1525">
        <f>H2872</f>
        <v>201</v>
      </c>
      <c r="I2866" s="1910" t="s">
        <v>14965</v>
      </c>
      <c r="J2866" s="1793"/>
      <c r="K2866" s="1793"/>
      <c r="L2866" s="141"/>
      <c r="M2866" s="1515"/>
    </row>
    <row r="2867" spans="1:13" s="1859" customFormat="1" x14ac:dyDescent="0.2">
      <c r="A2867" s="2144">
        <v>4641</v>
      </c>
      <c r="B2867" s="2144"/>
      <c r="C2867" s="1863" t="s">
        <v>5281</v>
      </c>
      <c r="D2867" s="1862" t="s">
        <v>9410</v>
      </c>
      <c r="E2867" s="1864">
        <v>1</v>
      </c>
      <c r="F2867" s="1894" t="s">
        <v>31</v>
      </c>
      <c r="G2867" s="367">
        <v>16.75</v>
      </c>
      <c r="H2867" s="1857">
        <f>ROUNDDOWN(G2867*E2867,2)</f>
        <v>16.75</v>
      </c>
      <c r="I2867" s="1856"/>
      <c r="J2867" s="1797"/>
      <c r="K2867" s="1797"/>
      <c r="L2867" s="1784"/>
      <c r="M2867" s="1785"/>
    </row>
    <row r="2868" spans="1:13" s="1517" customFormat="1" x14ac:dyDescent="0.25">
      <c r="A2868" s="1847"/>
      <c r="B2868" s="1847"/>
      <c r="C2868" s="1531"/>
      <c r="D2868" s="2141" t="s">
        <v>124</v>
      </c>
      <c r="E2868" s="2141"/>
      <c r="F2868" s="2141"/>
      <c r="G2868" s="2141"/>
      <c r="H2868" s="267">
        <f>SUMIF(F2867:F2867,("h"),H2867:H2867)</f>
        <v>0</v>
      </c>
      <c r="I2868" s="1830"/>
      <c r="J2868" s="1795"/>
      <c r="K2868" s="1795"/>
      <c r="L2868" s="169"/>
      <c r="M2868" s="1783"/>
    </row>
    <row r="2869" spans="1:13" s="1517" customFormat="1" x14ac:dyDescent="0.25">
      <c r="A2869" s="1847"/>
      <c r="B2869" s="1847"/>
      <c r="C2869" s="1531"/>
      <c r="D2869" s="2141" t="s">
        <v>125</v>
      </c>
      <c r="E2869" s="2141"/>
      <c r="F2869" s="2141"/>
      <c r="G2869" s="2141"/>
      <c r="H2869" s="267">
        <f>SUMIF(F2867:F2867,"&lt;&gt;h",H2867:H2867)</f>
        <v>16.75</v>
      </c>
      <c r="I2869" s="1830"/>
      <c r="J2869" s="1795"/>
      <c r="K2869" s="1795"/>
      <c r="L2869" s="169"/>
      <c r="M2869" s="1783"/>
    </row>
    <row r="2870" spans="1:13" s="1517" customFormat="1" x14ac:dyDescent="0.25">
      <c r="A2870" s="1847"/>
      <c r="B2870" s="1847"/>
      <c r="C2870" s="1531"/>
      <c r="D2870" s="2142" t="s">
        <v>126</v>
      </c>
      <c r="E2870" s="2142"/>
      <c r="F2870" s="2142"/>
      <c r="G2870" s="2142"/>
      <c r="H2870" s="1532">
        <f>SUM(H2868:H2869)</f>
        <v>16.75</v>
      </c>
      <c r="I2870" s="1830"/>
      <c r="J2870" s="1795"/>
      <c r="K2870" s="1795"/>
      <c r="L2870" s="169"/>
      <c r="M2870" s="1783"/>
    </row>
    <row r="2871" spans="1:13" s="1517" customFormat="1" x14ac:dyDescent="0.25">
      <c r="A2871" s="1847"/>
      <c r="B2871" s="1847"/>
      <c r="C2871" s="1531"/>
      <c r="D2871" s="2141" t="s">
        <v>28</v>
      </c>
      <c r="E2871" s="2141"/>
      <c r="F2871" s="2141"/>
      <c r="G2871" s="2141"/>
      <c r="H2871" s="269">
        <f>E2866</f>
        <v>12</v>
      </c>
      <c r="I2871" s="1830"/>
      <c r="J2871" s="1795"/>
      <c r="K2871" s="1795"/>
      <c r="L2871" s="169"/>
      <c r="M2871" s="1783"/>
    </row>
    <row r="2872" spans="1:13" s="1517" customFormat="1" x14ac:dyDescent="0.25">
      <c r="A2872" s="1847"/>
      <c r="B2872" s="1847"/>
      <c r="C2872" s="1531"/>
      <c r="D2872" s="2142" t="s">
        <v>127</v>
      </c>
      <c r="E2872" s="2142"/>
      <c r="F2872" s="2142"/>
      <c r="G2872" s="2142"/>
      <c r="H2872" s="1532">
        <f>ROUND(H2870*H2871,2)</f>
        <v>201</v>
      </c>
      <c r="I2872" s="1830"/>
      <c r="J2872" s="1795"/>
      <c r="K2872" s="1795"/>
      <c r="L2872" s="169"/>
      <c r="M2872" s="1783"/>
    </row>
    <row r="2873" spans="1:13" s="1517" customFormat="1" x14ac:dyDescent="0.25">
      <c r="A2873" s="1847"/>
      <c r="B2873" s="1847"/>
      <c r="C2873" s="1531"/>
      <c r="D2873" s="2141" t="s">
        <v>15335</v>
      </c>
      <c r="E2873" s="2141"/>
      <c r="F2873" s="2141"/>
      <c r="G2873" s="2141"/>
      <c r="H2873" s="267">
        <f>ROUND(H2870*$B$13,2)</f>
        <v>4.51</v>
      </c>
      <c r="I2873" s="1830"/>
      <c r="J2873" s="1795"/>
      <c r="K2873" s="1795"/>
      <c r="L2873" s="169"/>
      <c r="M2873" s="1783"/>
    </row>
    <row r="2874" spans="1:13" x14ac:dyDescent="0.25">
      <c r="A2874" s="1847"/>
      <c r="B2874" s="1847"/>
      <c r="C2874" s="1531"/>
      <c r="D2874" s="2142" t="s">
        <v>7898</v>
      </c>
      <c r="E2874" s="2142"/>
      <c r="F2874" s="2142"/>
      <c r="G2874" s="2142"/>
      <c r="H2874" s="1532">
        <f>H2873+H2870</f>
        <v>21.259999999999998</v>
      </c>
    </row>
    <row r="2875" spans="1:13" x14ac:dyDescent="0.25">
      <c r="A2875" s="1514"/>
      <c r="B2875" s="1514"/>
      <c r="C2875" s="1514"/>
      <c r="F2875" s="1533"/>
      <c r="G2875" s="1534"/>
      <c r="H2875" s="1514"/>
    </row>
    <row r="2876" spans="1:13" s="1517" customFormat="1" x14ac:dyDescent="0.25">
      <c r="A2876" s="146" t="s">
        <v>6</v>
      </c>
      <c r="B2876" s="2143" t="s">
        <v>7</v>
      </c>
      <c r="C2876" s="2143"/>
      <c r="D2876" s="1518" t="s">
        <v>121</v>
      </c>
      <c r="E2876" s="278" t="s">
        <v>5282</v>
      </c>
      <c r="F2876" s="1518" t="s">
        <v>31</v>
      </c>
      <c r="G2876" s="1519" t="s">
        <v>122</v>
      </c>
      <c r="H2876" s="1520" t="s">
        <v>123</v>
      </c>
      <c r="I2876" s="1830"/>
      <c r="J2876" s="1795"/>
      <c r="K2876" s="1795"/>
      <c r="L2876" s="169"/>
      <c r="M2876" s="1783"/>
    </row>
    <row r="2877" spans="1:13" s="1526" customFormat="1" ht="30" x14ac:dyDescent="0.2">
      <c r="A2877" s="1895" t="str">
        <f>'Orç - Prédio'!A506</f>
        <v>06.01.263.51</v>
      </c>
      <c r="B2877" s="1895" t="str">
        <f>'Orç - Prédio'!B506</f>
        <v>ORSE INSUMO</v>
      </c>
      <c r="C2877" s="1895">
        <f>'Orç - Prédio'!C506</f>
        <v>4650</v>
      </c>
      <c r="D2877" s="1865" t="s">
        <v>9418</v>
      </c>
      <c r="E2877" s="1866">
        <f>'Orç - Prédio'!E506</f>
        <v>0.4</v>
      </c>
      <c r="F2877" s="1895" t="s">
        <v>5688</v>
      </c>
      <c r="G2877" s="1524">
        <v>16.5</v>
      </c>
      <c r="H2877" s="1525">
        <f>H2883</f>
        <v>6.6</v>
      </c>
      <c r="I2877" s="1910" t="s">
        <v>14965</v>
      </c>
      <c r="J2877" s="1793"/>
      <c r="K2877" s="1793"/>
      <c r="L2877" s="141"/>
      <c r="M2877" s="1515"/>
    </row>
    <row r="2878" spans="1:13" s="1859" customFormat="1" ht="30" x14ac:dyDescent="0.2">
      <c r="A2878" s="2144">
        <v>4650</v>
      </c>
      <c r="B2878" s="2144"/>
      <c r="C2878" s="1863" t="s">
        <v>5281</v>
      </c>
      <c r="D2878" s="1862" t="s">
        <v>9419</v>
      </c>
      <c r="E2878" s="1864">
        <v>1</v>
      </c>
      <c r="F2878" s="1894" t="s">
        <v>305</v>
      </c>
      <c r="G2878" s="367">
        <v>16.5</v>
      </c>
      <c r="H2878" s="1857">
        <f>ROUNDDOWN(G2878*E2878,2)</f>
        <v>16.5</v>
      </c>
      <c r="I2878" s="1856"/>
      <c r="J2878" s="1797"/>
      <c r="K2878" s="1797"/>
      <c r="L2878" s="1784"/>
      <c r="M2878" s="1785"/>
    </row>
    <row r="2879" spans="1:13" s="1517" customFormat="1" x14ac:dyDescent="0.25">
      <c r="A2879" s="1847"/>
      <c r="B2879" s="1847"/>
      <c r="C2879" s="1531"/>
      <c r="D2879" s="2141" t="s">
        <v>124</v>
      </c>
      <c r="E2879" s="2141"/>
      <c r="F2879" s="2141"/>
      <c r="G2879" s="2141"/>
      <c r="H2879" s="267">
        <f>SUMIF(F2878:F2878,("h"),H2878:H2878)</f>
        <v>0</v>
      </c>
      <c r="I2879" s="1830"/>
      <c r="J2879" s="1795"/>
      <c r="K2879" s="1795"/>
      <c r="L2879" s="169"/>
      <c r="M2879" s="1783"/>
    </row>
    <row r="2880" spans="1:13" s="1517" customFormat="1" x14ac:dyDescent="0.25">
      <c r="A2880" s="1847"/>
      <c r="B2880" s="1847"/>
      <c r="C2880" s="1531"/>
      <c r="D2880" s="2141" t="s">
        <v>125</v>
      </c>
      <c r="E2880" s="2141"/>
      <c r="F2880" s="2141"/>
      <c r="G2880" s="2141"/>
      <c r="H2880" s="267">
        <f>SUMIF(F2878:F2878,"&lt;&gt;h",H2878:H2878)</f>
        <v>16.5</v>
      </c>
      <c r="I2880" s="1830"/>
      <c r="J2880" s="1795"/>
      <c r="K2880" s="1795"/>
      <c r="L2880" s="169"/>
      <c r="M2880" s="1783"/>
    </row>
    <row r="2881" spans="1:13" s="1517" customFormat="1" x14ac:dyDescent="0.25">
      <c r="A2881" s="1847"/>
      <c r="B2881" s="1847"/>
      <c r="C2881" s="1531"/>
      <c r="D2881" s="2142" t="s">
        <v>126</v>
      </c>
      <c r="E2881" s="2142"/>
      <c r="F2881" s="2142"/>
      <c r="G2881" s="2142"/>
      <c r="H2881" s="1532">
        <f>SUM(H2879:H2880)</f>
        <v>16.5</v>
      </c>
      <c r="I2881" s="1830"/>
      <c r="J2881" s="1795"/>
      <c r="K2881" s="1795"/>
      <c r="L2881" s="169"/>
      <c r="M2881" s="1783"/>
    </row>
    <row r="2882" spans="1:13" s="1517" customFormat="1" x14ac:dyDescent="0.25">
      <c r="A2882" s="1847"/>
      <c r="B2882" s="1847"/>
      <c r="C2882" s="1531"/>
      <c r="D2882" s="2141" t="s">
        <v>28</v>
      </c>
      <c r="E2882" s="2141"/>
      <c r="F2882" s="2141"/>
      <c r="G2882" s="2141"/>
      <c r="H2882" s="269">
        <f>E2877</f>
        <v>0.4</v>
      </c>
      <c r="I2882" s="1830"/>
      <c r="J2882" s="1795"/>
      <c r="K2882" s="1795"/>
      <c r="L2882" s="169"/>
      <c r="M2882" s="1783"/>
    </row>
    <row r="2883" spans="1:13" s="1517" customFormat="1" x14ac:dyDescent="0.25">
      <c r="A2883" s="1847"/>
      <c r="B2883" s="1847"/>
      <c r="C2883" s="1531"/>
      <c r="D2883" s="2142" t="s">
        <v>127</v>
      </c>
      <c r="E2883" s="2142"/>
      <c r="F2883" s="2142"/>
      <c r="G2883" s="2142"/>
      <c r="H2883" s="1532">
        <f>ROUND(H2881*H2882,2)</f>
        <v>6.6</v>
      </c>
      <c r="I2883" s="1830"/>
      <c r="J2883" s="1795"/>
      <c r="K2883" s="1795"/>
      <c r="L2883" s="169"/>
      <c r="M2883" s="1783"/>
    </row>
    <row r="2884" spans="1:13" s="1517" customFormat="1" x14ac:dyDescent="0.25">
      <c r="A2884" s="1847"/>
      <c r="B2884" s="1847"/>
      <c r="C2884" s="1531"/>
      <c r="D2884" s="2141" t="s">
        <v>15335</v>
      </c>
      <c r="E2884" s="2141"/>
      <c r="F2884" s="2141"/>
      <c r="G2884" s="2141"/>
      <c r="H2884" s="267">
        <f>ROUND(H2881*$B$13,2)</f>
        <v>4.4400000000000004</v>
      </c>
      <c r="I2884" s="1830"/>
      <c r="J2884" s="1795"/>
      <c r="K2884" s="1795"/>
      <c r="L2884" s="169"/>
      <c r="M2884" s="1783"/>
    </row>
    <row r="2885" spans="1:13" x14ac:dyDescent="0.25">
      <c r="A2885" s="1847"/>
      <c r="B2885" s="1847"/>
      <c r="C2885" s="1531"/>
      <c r="D2885" s="2142" t="s">
        <v>7898</v>
      </c>
      <c r="E2885" s="2142"/>
      <c r="F2885" s="2142"/>
      <c r="G2885" s="2142"/>
      <c r="H2885" s="1532">
        <f>H2884+H2881</f>
        <v>20.94</v>
      </c>
    </row>
    <row r="2886" spans="1:13" x14ac:dyDescent="0.25">
      <c r="A2886" s="1514"/>
      <c r="B2886" s="1514"/>
      <c r="C2886" s="1514"/>
      <c r="F2886" s="1533"/>
      <c r="G2886" s="1534"/>
      <c r="H2886" s="1514"/>
    </row>
    <row r="2887" spans="1:13" s="1517" customFormat="1" x14ac:dyDescent="0.25">
      <c r="A2887" s="146" t="s">
        <v>6</v>
      </c>
      <c r="B2887" s="2143" t="s">
        <v>7</v>
      </c>
      <c r="C2887" s="2143"/>
      <c r="D2887" s="1518" t="s">
        <v>121</v>
      </c>
      <c r="E2887" s="278" t="s">
        <v>5282</v>
      </c>
      <c r="F2887" s="1518" t="s">
        <v>31</v>
      </c>
      <c r="G2887" s="1519" t="s">
        <v>122</v>
      </c>
      <c r="H2887" s="1520" t="s">
        <v>123</v>
      </c>
      <c r="I2887" s="1830"/>
      <c r="J2887" s="1795"/>
      <c r="K2887" s="1795"/>
      <c r="L2887" s="169"/>
      <c r="M2887" s="1783"/>
    </row>
    <row r="2888" spans="1:13" s="1526" customFormat="1" ht="30" x14ac:dyDescent="0.2">
      <c r="A2888" s="1895" t="str">
        <f>'Orç - Prédio'!A509</f>
        <v>06.01.264.01</v>
      </c>
      <c r="B2888" s="1895" t="str">
        <f>'Orç - Prédio'!B509</f>
        <v>SBC</v>
      </c>
      <c r="C2888" s="1895" t="str">
        <f>'Orç - Prédio'!C509</f>
        <v>65125 MOD</v>
      </c>
      <c r="D2888" s="1865" t="s">
        <v>9124</v>
      </c>
      <c r="E2888" s="1866">
        <f>'Orç - Prédio'!E509</f>
        <v>1</v>
      </c>
      <c r="F2888" s="1895" t="s">
        <v>5284</v>
      </c>
      <c r="G2888" s="1524">
        <v>1131.5</v>
      </c>
      <c r="H2888" s="1525">
        <f>H2894</f>
        <v>1131.5</v>
      </c>
      <c r="I2888" s="1910" t="s">
        <v>14965</v>
      </c>
      <c r="J2888" s="1793"/>
      <c r="K2888" s="1793"/>
      <c r="L2888" s="141"/>
      <c r="M2888" s="1515"/>
    </row>
    <row r="2889" spans="1:13" s="1859" customFormat="1" ht="30" x14ac:dyDescent="0.2">
      <c r="A2889" s="2144">
        <v>5012</v>
      </c>
      <c r="B2889" s="2144"/>
      <c r="C2889" s="1863" t="s">
        <v>5737</v>
      </c>
      <c r="D2889" s="1862" t="s">
        <v>9421</v>
      </c>
      <c r="E2889" s="1864">
        <v>2.35</v>
      </c>
      <c r="F2889" s="1894" t="s">
        <v>306</v>
      </c>
      <c r="G2889" s="367">
        <v>481.49</v>
      </c>
      <c r="H2889" s="1857">
        <f>ROUNDDOWN(G2889*E2889,2)</f>
        <v>1131.5</v>
      </c>
      <c r="I2889" s="1856"/>
      <c r="J2889" s="1797"/>
      <c r="K2889" s="1797"/>
      <c r="L2889" s="1784"/>
      <c r="M2889" s="1785"/>
    </row>
    <row r="2890" spans="1:13" s="1517" customFormat="1" x14ac:dyDescent="0.25">
      <c r="A2890" s="1847"/>
      <c r="B2890" s="1847"/>
      <c r="C2890" s="1531"/>
      <c r="D2890" s="2141" t="s">
        <v>124</v>
      </c>
      <c r="E2890" s="2141"/>
      <c r="F2890" s="2141"/>
      <c r="G2890" s="2141"/>
      <c r="H2890" s="267">
        <f>SUMIF(F2889:F2889,("h"),H2889:H2889)</f>
        <v>0</v>
      </c>
      <c r="I2890" s="1830"/>
      <c r="J2890" s="1795"/>
      <c r="K2890" s="1795"/>
      <c r="L2890" s="169"/>
      <c r="M2890" s="1783"/>
    </row>
    <row r="2891" spans="1:13" s="1517" customFormat="1" x14ac:dyDescent="0.25">
      <c r="A2891" s="1847"/>
      <c r="B2891" s="1847"/>
      <c r="C2891" s="1531"/>
      <c r="D2891" s="2141" t="s">
        <v>125</v>
      </c>
      <c r="E2891" s="2141"/>
      <c r="F2891" s="2141"/>
      <c r="G2891" s="2141"/>
      <c r="H2891" s="267">
        <f>SUMIF(F2889:F2889,"&lt;&gt;h",H2889:H2889)</f>
        <v>1131.5</v>
      </c>
      <c r="I2891" s="1830"/>
      <c r="J2891" s="1795"/>
      <c r="K2891" s="1795"/>
      <c r="L2891" s="169"/>
      <c r="M2891" s="1783"/>
    </row>
    <row r="2892" spans="1:13" s="1517" customFormat="1" x14ac:dyDescent="0.25">
      <c r="A2892" s="1847"/>
      <c r="B2892" s="1847"/>
      <c r="C2892" s="1531"/>
      <c r="D2892" s="2142" t="s">
        <v>126</v>
      </c>
      <c r="E2892" s="2142"/>
      <c r="F2892" s="2142"/>
      <c r="G2892" s="2142"/>
      <c r="H2892" s="1532">
        <f>SUM(H2890:H2891)</f>
        <v>1131.5</v>
      </c>
      <c r="I2892" s="1830"/>
      <c r="J2892" s="1795"/>
      <c r="K2892" s="1795"/>
      <c r="L2892" s="169"/>
      <c r="M2892" s="1783"/>
    </row>
    <row r="2893" spans="1:13" s="1517" customFormat="1" x14ac:dyDescent="0.25">
      <c r="A2893" s="1847"/>
      <c r="B2893" s="1847"/>
      <c r="C2893" s="1531"/>
      <c r="D2893" s="2141" t="s">
        <v>28</v>
      </c>
      <c r="E2893" s="2141"/>
      <c r="F2893" s="2141"/>
      <c r="G2893" s="2141"/>
      <c r="H2893" s="269">
        <f>E2888</f>
        <v>1</v>
      </c>
      <c r="I2893" s="1830"/>
      <c r="J2893" s="1795"/>
      <c r="K2893" s="1795"/>
      <c r="L2893" s="169"/>
      <c r="M2893" s="1783"/>
    </row>
    <row r="2894" spans="1:13" s="1517" customFormat="1" x14ac:dyDescent="0.25">
      <c r="A2894" s="1847"/>
      <c r="B2894" s="1847"/>
      <c r="C2894" s="1531"/>
      <c r="D2894" s="2142" t="s">
        <v>127</v>
      </c>
      <c r="E2894" s="2142"/>
      <c r="F2894" s="2142"/>
      <c r="G2894" s="2142"/>
      <c r="H2894" s="1532">
        <f>ROUND(H2892*H2893,2)</f>
        <v>1131.5</v>
      </c>
      <c r="I2894" s="1830"/>
      <c r="J2894" s="1795"/>
      <c r="K2894" s="1795"/>
      <c r="L2894" s="169"/>
      <c r="M2894" s="1783"/>
    </row>
    <row r="2895" spans="1:13" s="1517" customFormat="1" x14ac:dyDescent="0.25">
      <c r="A2895" s="1847"/>
      <c r="B2895" s="1847"/>
      <c r="C2895" s="1531"/>
      <c r="D2895" s="2141" t="s">
        <v>15335</v>
      </c>
      <c r="E2895" s="2141"/>
      <c r="F2895" s="2141"/>
      <c r="G2895" s="2141"/>
      <c r="H2895" s="267">
        <f>ROUND(H2892*$B$13,2)</f>
        <v>304.70999999999998</v>
      </c>
      <c r="I2895" s="1830"/>
      <c r="J2895" s="1795"/>
      <c r="K2895" s="1795"/>
      <c r="L2895" s="169"/>
      <c r="M2895" s="1783"/>
    </row>
    <row r="2896" spans="1:13" x14ac:dyDescent="0.25">
      <c r="A2896" s="1847"/>
      <c r="B2896" s="1847"/>
      <c r="C2896" s="1531"/>
      <c r="D2896" s="2142" t="s">
        <v>7898</v>
      </c>
      <c r="E2896" s="2142"/>
      <c r="F2896" s="2142"/>
      <c r="G2896" s="2142"/>
      <c r="H2896" s="1532">
        <f>H2895+H2892</f>
        <v>1436.21</v>
      </c>
    </row>
    <row r="2897" spans="1:13" x14ac:dyDescent="0.25">
      <c r="A2897" s="1514"/>
      <c r="B2897" s="1514"/>
      <c r="C2897" s="1514"/>
      <c r="F2897" s="1533"/>
      <c r="G2897" s="1534"/>
      <c r="H2897" s="1514"/>
    </row>
    <row r="2898" spans="1:13" s="1517" customFormat="1" x14ac:dyDescent="0.25">
      <c r="A2898" s="146" t="s">
        <v>6</v>
      </c>
      <c r="B2898" s="2143" t="s">
        <v>7</v>
      </c>
      <c r="C2898" s="2143"/>
      <c r="D2898" s="1518" t="s">
        <v>121</v>
      </c>
      <c r="E2898" s="278" t="s">
        <v>5282</v>
      </c>
      <c r="F2898" s="1518" t="s">
        <v>31</v>
      </c>
      <c r="G2898" s="1519" t="s">
        <v>122</v>
      </c>
      <c r="H2898" s="1520" t="s">
        <v>123</v>
      </c>
      <c r="I2898" s="1830"/>
      <c r="J2898" s="1795"/>
      <c r="K2898" s="1795"/>
      <c r="L2898" s="169"/>
      <c r="M2898" s="1783"/>
    </row>
    <row r="2899" spans="1:13" s="1526" customFormat="1" ht="45" x14ac:dyDescent="0.2">
      <c r="A2899" s="1897" t="str">
        <f>'Orç - Prédio'!A510</f>
        <v>06.01.264.02</v>
      </c>
      <c r="B2899" s="1897" t="str">
        <f>'Orç - Prédio'!B510</f>
        <v>Pesquisa de Mercado</v>
      </c>
      <c r="C2899" s="1897">
        <f>'Orç - Prédio'!C510</f>
        <v>0</v>
      </c>
      <c r="D2899" s="1865" t="s">
        <v>9125</v>
      </c>
      <c r="E2899" s="1866">
        <f>'Orç - Prédio'!E510</f>
        <v>1</v>
      </c>
      <c r="F2899" s="1897" t="s">
        <v>5284</v>
      </c>
      <c r="G2899" s="1524">
        <v>9.9</v>
      </c>
      <c r="H2899" s="1525">
        <f>H2905</f>
        <v>9.9</v>
      </c>
      <c r="I2899" s="1910" t="s">
        <v>9564</v>
      </c>
      <c r="J2899" s="1793"/>
      <c r="K2899" s="1793"/>
      <c r="L2899" s="141"/>
      <c r="M2899" s="1515"/>
    </row>
    <row r="2900" spans="1:13" s="1859" customFormat="1" ht="30" x14ac:dyDescent="0.2">
      <c r="A2900" s="2144" t="s">
        <v>6257</v>
      </c>
      <c r="B2900" s="2144"/>
      <c r="C2900" s="2144"/>
      <c r="D2900" s="1862" t="s">
        <v>9431</v>
      </c>
      <c r="E2900" s="1864">
        <v>1</v>
      </c>
      <c r="F2900" s="1896" t="s">
        <v>31</v>
      </c>
      <c r="G2900" s="367">
        <v>9.9</v>
      </c>
      <c r="H2900" s="1857">
        <f>ROUNDDOWN(G2900*E2900,2)</f>
        <v>9.9</v>
      </c>
      <c r="I2900" s="1856"/>
      <c r="J2900" s="1797"/>
      <c r="K2900" s="1797"/>
      <c r="L2900" s="1784"/>
      <c r="M2900" s="1785"/>
    </row>
    <row r="2901" spans="1:13" s="1517" customFormat="1" x14ac:dyDescent="0.25">
      <c r="A2901" s="1847"/>
      <c r="B2901" s="1847"/>
      <c r="C2901" s="1531"/>
      <c r="D2901" s="2141" t="s">
        <v>124</v>
      </c>
      <c r="E2901" s="2141"/>
      <c r="F2901" s="2141"/>
      <c r="G2901" s="2141"/>
      <c r="H2901" s="267">
        <f>SUMIF(F2900:F2900,("h"),H2900:H2900)</f>
        <v>0</v>
      </c>
      <c r="I2901" s="1830"/>
      <c r="J2901" s="1795"/>
      <c r="K2901" s="1795"/>
      <c r="L2901" s="169"/>
      <c r="M2901" s="1783"/>
    </row>
    <row r="2902" spans="1:13" s="1517" customFormat="1" x14ac:dyDescent="0.25">
      <c r="A2902" s="1847"/>
      <c r="B2902" s="1847"/>
      <c r="C2902" s="1531"/>
      <c r="D2902" s="2141" t="s">
        <v>125</v>
      </c>
      <c r="E2902" s="2141"/>
      <c r="F2902" s="2141"/>
      <c r="G2902" s="2141"/>
      <c r="H2902" s="267">
        <f>SUMIF(F2900:F2900,"&lt;&gt;h",H2900:H2900)</f>
        <v>9.9</v>
      </c>
      <c r="I2902" s="1830"/>
      <c r="J2902" s="1795"/>
      <c r="K2902" s="1795"/>
      <c r="L2902" s="169"/>
      <c r="M2902" s="1783"/>
    </row>
    <row r="2903" spans="1:13" s="1517" customFormat="1" x14ac:dyDescent="0.25">
      <c r="A2903" s="1847"/>
      <c r="B2903" s="1847"/>
      <c r="C2903" s="1531"/>
      <c r="D2903" s="2142" t="s">
        <v>126</v>
      </c>
      <c r="E2903" s="2142"/>
      <c r="F2903" s="2142"/>
      <c r="G2903" s="2142"/>
      <c r="H2903" s="1532">
        <f>SUM(H2901:H2902)</f>
        <v>9.9</v>
      </c>
      <c r="I2903" s="1830"/>
      <c r="J2903" s="1795"/>
      <c r="K2903" s="1795"/>
      <c r="L2903" s="169"/>
      <c r="M2903" s="1783"/>
    </row>
    <row r="2904" spans="1:13" s="1517" customFormat="1" x14ac:dyDescent="0.25">
      <c r="A2904" s="1847"/>
      <c r="B2904" s="1847"/>
      <c r="C2904" s="1531"/>
      <c r="D2904" s="2141" t="s">
        <v>28</v>
      </c>
      <c r="E2904" s="2141"/>
      <c r="F2904" s="2141"/>
      <c r="G2904" s="2141"/>
      <c r="H2904" s="269">
        <f>E2899</f>
        <v>1</v>
      </c>
      <c r="I2904" s="1830"/>
      <c r="J2904" s="1795"/>
      <c r="K2904" s="1795"/>
      <c r="L2904" s="169"/>
      <c r="M2904" s="1783"/>
    </row>
    <row r="2905" spans="1:13" s="1517" customFormat="1" x14ac:dyDescent="0.25">
      <c r="A2905" s="1847"/>
      <c r="B2905" s="1847"/>
      <c r="C2905" s="1531"/>
      <c r="D2905" s="2142" t="s">
        <v>127</v>
      </c>
      <c r="E2905" s="2142"/>
      <c r="F2905" s="2142"/>
      <c r="G2905" s="2142"/>
      <c r="H2905" s="1532">
        <f>ROUND(H2903*H2904,2)</f>
        <v>9.9</v>
      </c>
      <c r="I2905" s="1830"/>
      <c r="J2905" s="1795"/>
      <c r="K2905" s="1795"/>
      <c r="L2905" s="169"/>
      <c r="M2905" s="1783"/>
    </row>
    <row r="2906" spans="1:13" s="1517" customFormat="1" x14ac:dyDescent="0.25">
      <c r="A2906" s="1847"/>
      <c r="B2906" s="1847"/>
      <c r="C2906" s="1531"/>
      <c r="D2906" s="2141" t="s">
        <v>15335</v>
      </c>
      <c r="E2906" s="2141"/>
      <c r="F2906" s="2141"/>
      <c r="G2906" s="2141"/>
      <c r="H2906" s="267">
        <f>ROUND(H2903*$B$13,2)</f>
        <v>2.67</v>
      </c>
      <c r="I2906" s="1830"/>
      <c r="J2906" s="1795"/>
      <c r="K2906" s="1795"/>
      <c r="L2906" s="169"/>
      <c r="M2906" s="1783"/>
    </row>
    <row r="2907" spans="1:13" x14ac:dyDescent="0.25">
      <c r="A2907" s="1847"/>
      <c r="B2907" s="1847"/>
      <c r="C2907" s="1531"/>
      <c r="D2907" s="2142" t="s">
        <v>7898</v>
      </c>
      <c r="E2907" s="2142"/>
      <c r="F2907" s="2142"/>
      <c r="G2907" s="2142"/>
      <c r="H2907" s="1532">
        <f>H2906+H2903</f>
        <v>12.57</v>
      </c>
    </row>
    <row r="2908" spans="1:13" x14ac:dyDescent="0.25">
      <c r="A2908" s="1514"/>
      <c r="B2908" s="1514"/>
      <c r="C2908" s="1514"/>
      <c r="F2908" s="1533"/>
      <c r="G2908" s="1534"/>
      <c r="H2908" s="1514"/>
    </row>
    <row r="2909" spans="1:13" s="1517" customFormat="1" x14ac:dyDescent="0.25">
      <c r="A2909" s="146" t="s">
        <v>6</v>
      </c>
      <c r="B2909" s="2143" t="s">
        <v>7</v>
      </c>
      <c r="C2909" s="2143"/>
      <c r="D2909" s="1518" t="s">
        <v>121</v>
      </c>
      <c r="E2909" s="278" t="s">
        <v>5282</v>
      </c>
      <c r="F2909" s="1518" t="s">
        <v>31</v>
      </c>
      <c r="G2909" s="1519" t="s">
        <v>122</v>
      </c>
      <c r="H2909" s="1520" t="s">
        <v>123</v>
      </c>
      <c r="I2909" s="1830"/>
      <c r="J2909" s="1795"/>
      <c r="K2909" s="1795"/>
      <c r="L2909" s="169"/>
      <c r="M2909" s="1783"/>
    </row>
    <row r="2910" spans="1:13" s="1526" customFormat="1" ht="30" x14ac:dyDescent="0.2">
      <c r="A2910" s="1897" t="str">
        <f>'Orç - Prédio'!A511</f>
        <v>06.01.264.03</v>
      </c>
      <c r="B2910" s="1897" t="str">
        <f>'Orç - Prédio'!B511</f>
        <v>Comp. Montada</v>
      </c>
      <c r="C2910" s="1897">
        <f>'Orç - Prédio'!C511</f>
        <v>12</v>
      </c>
      <c r="D2910" s="1865" t="s">
        <v>9126</v>
      </c>
      <c r="E2910" s="1866">
        <f>'Orç - Prédio'!E511</f>
        <v>2.57</v>
      </c>
      <c r="F2910" s="1897" t="s">
        <v>5713</v>
      </c>
      <c r="G2910" s="1524">
        <v>315.36</v>
      </c>
      <c r="H2910" s="1525">
        <f>H2920</f>
        <v>810.48</v>
      </c>
      <c r="I2910" s="1910" t="s">
        <v>14965</v>
      </c>
      <c r="J2910" s="1793"/>
      <c r="K2910" s="1793"/>
      <c r="L2910" s="141"/>
      <c r="M2910" s="1515"/>
    </row>
    <row r="2911" spans="1:13" s="1859" customFormat="1" x14ac:dyDescent="0.2">
      <c r="A2911" s="2144">
        <v>1074</v>
      </c>
      <c r="B2911" s="2144"/>
      <c r="C2911" s="1863" t="s">
        <v>5281</v>
      </c>
      <c r="D2911" s="1862" t="s">
        <v>9450</v>
      </c>
      <c r="E2911" s="1864">
        <f>0.5</f>
        <v>0.5</v>
      </c>
      <c r="F2911" s="1896" t="s">
        <v>306</v>
      </c>
      <c r="G2911" s="367">
        <v>252.69</v>
      </c>
      <c r="H2911" s="1857">
        <f>ROUNDDOWN(G2911*E2911,2)</f>
        <v>126.34</v>
      </c>
      <c r="I2911" s="1856"/>
      <c r="J2911" s="1797"/>
      <c r="K2911" s="1797"/>
      <c r="L2911" s="1784"/>
      <c r="M2911" s="1785"/>
    </row>
    <row r="2912" spans="1:13" s="1859" customFormat="1" ht="30" x14ac:dyDescent="0.2">
      <c r="A2912" s="2144">
        <v>97628</v>
      </c>
      <c r="B2912" s="2144"/>
      <c r="C2912" s="1863" t="s">
        <v>4448</v>
      </c>
      <c r="D2912" s="1862" t="s">
        <v>5054</v>
      </c>
      <c r="E2912" s="1864">
        <f>0.78*0.07</f>
        <v>5.460000000000001E-2</v>
      </c>
      <c r="F2912" s="1896" t="s">
        <v>1208</v>
      </c>
      <c r="G2912" s="1860">
        <v>195.64</v>
      </c>
      <c r="H2912" s="1857">
        <f>ROUNDDOWN(G2912*E2912,2)</f>
        <v>10.68</v>
      </c>
      <c r="I2912" s="1856"/>
      <c r="J2912" s="1797"/>
      <c r="K2912" s="1797"/>
      <c r="L2912" s="1784"/>
      <c r="M2912" s="1785"/>
    </row>
    <row r="2913" spans="1:13" s="1859" customFormat="1" ht="45" x14ac:dyDescent="0.2">
      <c r="A2913" s="2144">
        <v>93358</v>
      </c>
      <c r="B2913" s="2144"/>
      <c r="C2913" s="1863" t="s">
        <v>4448</v>
      </c>
      <c r="D2913" s="1862" t="s">
        <v>5275</v>
      </c>
      <c r="E2913" s="1864">
        <f>0.78*0.6</f>
        <v>0.46799999999999997</v>
      </c>
      <c r="F2913" s="1896" t="s">
        <v>1208</v>
      </c>
      <c r="G2913" s="1860">
        <v>59.65</v>
      </c>
      <c r="H2913" s="1857">
        <f>ROUNDDOWN(G2913*E2913,2)</f>
        <v>27.91</v>
      </c>
      <c r="I2913" s="1856"/>
      <c r="J2913" s="1797"/>
      <c r="K2913" s="1797"/>
      <c r="L2913" s="1784"/>
      <c r="M2913" s="1785"/>
    </row>
    <row r="2914" spans="1:13" s="1859" customFormat="1" ht="90" x14ac:dyDescent="0.2">
      <c r="A2914" s="2144">
        <v>89480</v>
      </c>
      <c r="B2914" s="2144"/>
      <c r="C2914" s="1863" t="s">
        <v>4448</v>
      </c>
      <c r="D2914" s="1862" t="s">
        <v>3723</v>
      </c>
      <c r="E2914" s="1864">
        <f>2*0.48</f>
        <v>0.96</v>
      </c>
      <c r="F2914" s="1896" t="s">
        <v>306</v>
      </c>
      <c r="G2914" s="1860">
        <v>94.92</v>
      </c>
      <c r="H2914" s="1857">
        <f>ROUNDDOWN(G2914*E2914,2)</f>
        <v>91.12</v>
      </c>
      <c r="I2914" s="1856"/>
      <c r="J2914" s="1797"/>
      <c r="K2914" s="1797"/>
      <c r="L2914" s="1784"/>
      <c r="M2914" s="1785"/>
    </row>
    <row r="2915" spans="1:13" s="1859" customFormat="1" ht="45" x14ac:dyDescent="0.2">
      <c r="A2915" s="2144">
        <v>72183</v>
      </c>
      <c r="B2915" s="2144"/>
      <c r="C2915" s="1863" t="s">
        <v>4448</v>
      </c>
      <c r="D2915" s="1862" t="s">
        <v>3930</v>
      </c>
      <c r="E2915" s="1864">
        <f>2*0.15+0.48</f>
        <v>0.78</v>
      </c>
      <c r="F2915" s="1896" t="s">
        <v>306</v>
      </c>
      <c r="G2915" s="1860">
        <v>76.05</v>
      </c>
      <c r="H2915" s="1857">
        <f>ROUNDDOWN(G2915*E2915,2)</f>
        <v>59.31</v>
      </c>
      <c r="I2915" s="1856"/>
      <c r="J2915" s="1797"/>
      <c r="K2915" s="1797"/>
      <c r="L2915" s="1784"/>
      <c r="M2915" s="1785"/>
    </row>
    <row r="2916" spans="1:13" s="1517" customFormat="1" x14ac:dyDescent="0.25">
      <c r="A2916" s="1847"/>
      <c r="B2916" s="1847"/>
      <c r="C2916" s="1531"/>
      <c r="D2916" s="2141" t="s">
        <v>124</v>
      </c>
      <c r="E2916" s="2141"/>
      <c r="F2916" s="2141"/>
      <c r="G2916" s="2141"/>
      <c r="H2916" s="267">
        <f>SUMIF(F2911:F2915,("h"),H2911:H2915)</f>
        <v>0</v>
      </c>
      <c r="I2916" s="1830"/>
      <c r="J2916" s="1795"/>
      <c r="K2916" s="1795"/>
      <c r="L2916" s="169"/>
      <c r="M2916" s="1783"/>
    </row>
    <row r="2917" spans="1:13" s="1517" customFormat="1" x14ac:dyDescent="0.25">
      <c r="A2917" s="1847"/>
      <c r="B2917" s="1847"/>
      <c r="C2917" s="1531"/>
      <c r="D2917" s="2141" t="s">
        <v>125</v>
      </c>
      <c r="E2917" s="2141"/>
      <c r="F2917" s="2141"/>
      <c r="G2917" s="2141"/>
      <c r="H2917" s="267">
        <f>SUMIF(F2911:F2915,"&lt;&gt;h",H2911:H2915)</f>
        <v>315.36</v>
      </c>
      <c r="I2917" s="1830"/>
      <c r="J2917" s="1795"/>
      <c r="K2917" s="1795"/>
      <c r="L2917" s="169"/>
      <c r="M2917" s="1783"/>
    </row>
    <row r="2918" spans="1:13" s="1517" customFormat="1" x14ac:dyDescent="0.25">
      <c r="A2918" s="1847"/>
      <c r="B2918" s="1847"/>
      <c r="C2918" s="1531"/>
      <c r="D2918" s="2142" t="s">
        <v>126</v>
      </c>
      <c r="E2918" s="2142"/>
      <c r="F2918" s="2142"/>
      <c r="G2918" s="2142"/>
      <c r="H2918" s="1532">
        <f>SUM(H2916:H2917)</f>
        <v>315.36</v>
      </c>
      <c r="I2918" s="1830"/>
      <c r="J2918" s="1795"/>
      <c r="K2918" s="1795"/>
      <c r="L2918" s="169"/>
      <c r="M2918" s="1783"/>
    </row>
    <row r="2919" spans="1:13" s="1517" customFormat="1" x14ac:dyDescent="0.25">
      <c r="A2919" s="1847"/>
      <c r="B2919" s="1847"/>
      <c r="C2919" s="1531"/>
      <c r="D2919" s="2141" t="s">
        <v>28</v>
      </c>
      <c r="E2919" s="2141"/>
      <c r="F2919" s="2141"/>
      <c r="G2919" s="2141"/>
      <c r="H2919" s="269">
        <f>E2910</f>
        <v>2.57</v>
      </c>
      <c r="I2919" s="1830"/>
      <c r="J2919" s="1795"/>
      <c r="K2919" s="1795"/>
      <c r="L2919" s="169"/>
      <c r="M2919" s="1783"/>
    </row>
    <row r="2920" spans="1:13" s="1517" customFormat="1" x14ac:dyDescent="0.25">
      <c r="A2920" s="1847"/>
      <c r="B2920" s="1847"/>
      <c r="C2920" s="1531"/>
      <c r="D2920" s="2142" t="s">
        <v>127</v>
      </c>
      <c r="E2920" s="2142"/>
      <c r="F2920" s="2142"/>
      <c r="G2920" s="2142"/>
      <c r="H2920" s="1532">
        <f>ROUND(H2918*H2919,2)</f>
        <v>810.48</v>
      </c>
      <c r="I2920" s="1830"/>
      <c r="J2920" s="1795"/>
      <c r="K2920" s="1795"/>
      <c r="L2920" s="169"/>
      <c r="M2920" s="1783"/>
    </row>
    <row r="2921" spans="1:13" s="1517" customFormat="1" x14ac:dyDescent="0.25">
      <c r="A2921" s="1847"/>
      <c r="B2921" s="1847"/>
      <c r="C2921" s="1531"/>
      <c r="D2921" s="2141" t="s">
        <v>15335</v>
      </c>
      <c r="E2921" s="2141"/>
      <c r="F2921" s="2141"/>
      <c r="G2921" s="2141"/>
      <c r="H2921" s="267">
        <f>ROUND(H2918*$B$13,2)</f>
        <v>84.93</v>
      </c>
      <c r="I2921" s="1830"/>
      <c r="J2921" s="1795"/>
      <c r="K2921" s="1795"/>
      <c r="L2921" s="169"/>
      <c r="M2921" s="1783"/>
    </row>
    <row r="2922" spans="1:13" x14ac:dyDescent="0.25">
      <c r="A2922" s="1847"/>
      <c r="B2922" s="1847"/>
      <c r="C2922" s="1531"/>
      <c r="D2922" s="2142" t="s">
        <v>7898</v>
      </c>
      <c r="E2922" s="2142"/>
      <c r="F2922" s="2142"/>
      <c r="G2922" s="2142"/>
      <c r="H2922" s="1532">
        <f>H2921+H2918</f>
        <v>400.29</v>
      </c>
    </row>
    <row r="2923" spans="1:13" x14ac:dyDescent="0.25">
      <c r="A2923" s="1514"/>
      <c r="B2923" s="1514"/>
      <c r="C2923" s="1514"/>
      <c r="F2923" s="1533"/>
      <c r="G2923" s="1534"/>
      <c r="H2923" s="1514"/>
    </row>
    <row r="2924" spans="1:13" s="1517" customFormat="1" x14ac:dyDescent="0.25">
      <c r="A2924" s="146" t="s">
        <v>6</v>
      </c>
      <c r="B2924" s="2143" t="s">
        <v>7</v>
      </c>
      <c r="C2924" s="2143"/>
      <c r="D2924" s="912" t="s">
        <v>121</v>
      </c>
      <c r="E2924" s="278" t="s">
        <v>5282</v>
      </c>
      <c r="F2924" s="912" t="s">
        <v>31</v>
      </c>
      <c r="G2924" s="913" t="s">
        <v>122</v>
      </c>
      <c r="H2924" s="914" t="s">
        <v>123</v>
      </c>
      <c r="I2924" s="1830"/>
      <c r="J2924" s="1795"/>
      <c r="K2924" s="1795"/>
      <c r="L2924" s="169"/>
      <c r="M2924" s="1783"/>
    </row>
    <row r="2925" spans="1:13" s="1526" customFormat="1" ht="30" x14ac:dyDescent="0.2">
      <c r="A2925" s="915" t="str">
        <f>'Orç - Prédio'!A514</f>
        <v>06.01.302.01</v>
      </c>
      <c r="B2925" s="1876" t="str">
        <f>'Orç - Prédio'!B514</f>
        <v>CPOS</v>
      </c>
      <c r="C2925" s="1876" t="str">
        <f>'Orç - Prédio'!C514</f>
        <v>37.04.250 MOD</v>
      </c>
      <c r="D2925" s="1560" t="s">
        <v>8941</v>
      </c>
      <c r="E2925" s="1866">
        <f>'Orç - Prédio'!E514</f>
        <v>11</v>
      </c>
      <c r="F2925" s="1876" t="s">
        <v>5284</v>
      </c>
      <c r="G2925" s="917">
        <v>298.85000000000002</v>
      </c>
      <c r="H2925" s="918">
        <f>H2934</f>
        <v>3287.35</v>
      </c>
      <c r="I2925" s="1910" t="s">
        <v>9564</v>
      </c>
      <c r="J2925" s="1793"/>
      <c r="K2925" s="1793"/>
      <c r="L2925" s="141"/>
      <c r="M2925" s="1515"/>
    </row>
    <row r="2926" spans="1:13" s="156" customFormat="1" ht="60" x14ac:dyDescent="0.2">
      <c r="A2926" s="2144">
        <v>39756</v>
      </c>
      <c r="B2926" s="2144"/>
      <c r="C2926" s="1516" t="s">
        <v>4448</v>
      </c>
      <c r="D2926" s="182" t="s">
        <v>13543</v>
      </c>
      <c r="E2926" s="1527">
        <v>1</v>
      </c>
      <c r="F2926" s="1617" t="s">
        <v>39</v>
      </c>
      <c r="G2926" s="1529">
        <v>214.11</v>
      </c>
      <c r="H2926" s="1530">
        <f>ROUNDDOWN(G2926*E2926,2)</f>
        <v>214.11</v>
      </c>
      <c r="I2926" s="1642"/>
      <c r="J2926" s="1797"/>
      <c r="K2926" s="1797"/>
      <c r="L2926" s="1784"/>
      <c r="M2926" s="1785"/>
    </row>
    <row r="2927" spans="1:13" s="1859" customFormat="1" ht="30" x14ac:dyDescent="0.2">
      <c r="A2927" s="2144">
        <v>88309</v>
      </c>
      <c r="B2927" s="2144"/>
      <c r="C2927" s="1863" t="s">
        <v>4448</v>
      </c>
      <c r="D2927" s="1862" t="s">
        <v>87</v>
      </c>
      <c r="E2927" s="1864">
        <v>1.5</v>
      </c>
      <c r="F2927" s="1875" t="s">
        <v>65</v>
      </c>
      <c r="G2927" s="1860">
        <v>20.149999999999999</v>
      </c>
      <c r="H2927" s="1857">
        <f>ROUNDDOWN(G2927*E2927,2)</f>
        <v>30.22</v>
      </c>
      <c r="I2927" s="1856"/>
      <c r="J2927" s="1797"/>
      <c r="K2927" s="1797"/>
      <c r="L2927" s="1784"/>
      <c r="M2927" s="1785"/>
    </row>
    <row r="2928" spans="1:13" s="156" customFormat="1" ht="30" x14ac:dyDescent="0.2">
      <c r="A2928" s="2144">
        <v>88264</v>
      </c>
      <c r="B2928" s="2144"/>
      <c r="C2928" s="1516" t="s">
        <v>4448</v>
      </c>
      <c r="D2928" s="182" t="s">
        <v>81</v>
      </c>
      <c r="E2928" s="1527">
        <v>1.5</v>
      </c>
      <c r="F2928" s="1617" t="s">
        <v>65</v>
      </c>
      <c r="G2928" s="1529">
        <v>20.329999999999998</v>
      </c>
      <c r="H2928" s="1530">
        <f>ROUNDDOWN(G2928*E2928,2)</f>
        <v>30.49</v>
      </c>
      <c r="I2928" s="1642"/>
      <c r="J2928" s="1797"/>
      <c r="K2928" s="1797"/>
      <c r="L2928" s="1784"/>
      <c r="M2928" s="1785"/>
    </row>
    <row r="2929" spans="1:13" s="1859" customFormat="1" ht="30" x14ac:dyDescent="0.2">
      <c r="A2929" s="2144">
        <v>88247</v>
      </c>
      <c r="B2929" s="2144"/>
      <c r="C2929" s="1863" t="s">
        <v>4448</v>
      </c>
      <c r="D2929" s="1862" t="s">
        <v>71</v>
      </c>
      <c r="E2929" s="1864">
        <v>1.5</v>
      </c>
      <c r="F2929" s="1875" t="s">
        <v>65</v>
      </c>
      <c r="G2929" s="1860">
        <v>16.02</v>
      </c>
      <c r="H2929" s="1857">
        <f>ROUNDDOWN(G2929*E2929,2)</f>
        <v>24.03</v>
      </c>
      <c r="I2929" s="1856"/>
      <c r="J2929" s="1797"/>
      <c r="K2929" s="1797"/>
      <c r="L2929" s="1784"/>
      <c r="M2929" s="1785"/>
    </row>
    <row r="2930" spans="1:13" s="1517" customFormat="1" x14ac:dyDescent="0.25">
      <c r="A2930" s="179"/>
      <c r="B2930" s="179"/>
      <c r="C2930" s="923"/>
      <c r="D2930" s="2141" t="s">
        <v>124</v>
      </c>
      <c r="E2930" s="2141"/>
      <c r="F2930" s="2141"/>
      <c r="G2930" s="2141"/>
      <c r="H2930" s="267">
        <f>SUMIF(F2926:F2929,("h"),H2926:H2929)</f>
        <v>84.74</v>
      </c>
      <c r="I2930" s="1830"/>
      <c r="J2930" s="1795"/>
      <c r="K2930" s="1795"/>
      <c r="L2930" s="169"/>
      <c r="M2930" s="1783"/>
    </row>
    <row r="2931" spans="1:13" s="1517" customFormat="1" x14ac:dyDescent="0.25">
      <c r="A2931" s="179"/>
      <c r="B2931" s="179"/>
      <c r="C2931" s="923"/>
      <c r="D2931" s="2141" t="s">
        <v>125</v>
      </c>
      <c r="E2931" s="2141"/>
      <c r="F2931" s="2141"/>
      <c r="G2931" s="2141"/>
      <c r="H2931" s="267">
        <f>SUMIF(F2926:F2929,"&lt;&gt;h",H2926:H2929)</f>
        <v>214.11</v>
      </c>
      <c r="I2931" s="1830"/>
      <c r="J2931" s="1795"/>
      <c r="K2931" s="1795"/>
      <c r="L2931" s="169"/>
      <c r="M2931" s="1783"/>
    </row>
    <row r="2932" spans="1:13" s="1517" customFormat="1" x14ac:dyDescent="0.25">
      <c r="A2932" s="179"/>
      <c r="B2932" s="179"/>
      <c r="C2932" s="923"/>
      <c r="D2932" s="2142" t="s">
        <v>126</v>
      </c>
      <c r="E2932" s="2142"/>
      <c r="F2932" s="2142"/>
      <c r="G2932" s="2142"/>
      <c r="H2932" s="924">
        <f>SUM(H2930:H2931)</f>
        <v>298.85000000000002</v>
      </c>
      <c r="I2932" s="1830"/>
      <c r="J2932" s="1795"/>
      <c r="K2932" s="1795"/>
      <c r="L2932" s="169"/>
      <c r="M2932" s="1783"/>
    </row>
    <row r="2933" spans="1:13" s="1517" customFormat="1" x14ac:dyDescent="0.25">
      <c r="A2933" s="179"/>
      <c r="B2933" s="179"/>
      <c r="C2933" s="923"/>
      <c r="D2933" s="2141" t="s">
        <v>28</v>
      </c>
      <c r="E2933" s="2141"/>
      <c r="F2933" s="2141"/>
      <c r="G2933" s="2141"/>
      <c r="H2933" s="269">
        <f>E2925</f>
        <v>11</v>
      </c>
      <c r="I2933" s="1830"/>
      <c r="J2933" s="1795"/>
      <c r="K2933" s="1795"/>
      <c r="L2933" s="169"/>
      <c r="M2933" s="1783"/>
    </row>
    <row r="2934" spans="1:13" s="1517" customFormat="1" x14ac:dyDescent="0.25">
      <c r="A2934" s="179"/>
      <c r="B2934" s="179"/>
      <c r="C2934" s="923"/>
      <c r="D2934" s="2142" t="s">
        <v>127</v>
      </c>
      <c r="E2934" s="2142"/>
      <c r="F2934" s="2142"/>
      <c r="G2934" s="2142"/>
      <c r="H2934" s="924">
        <f>ROUND(H2932*H2933,2)</f>
        <v>3287.35</v>
      </c>
      <c r="I2934" s="1830"/>
      <c r="J2934" s="1795"/>
      <c r="K2934" s="1795"/>
      <c r="L2934" s="169"/>
      <c r="M2934" s="1783"/>
    </row>
    <row r="2935" spans="1:13" s="1517" customFormat="1" x14ac:dyDescent="0.25">
      <c r="A2935" s="179"/>
      <c r="B2935" s="179"/>
      <c r="C2935" s="1531"/>
      <c r="D2935" s="2141" t="s">
        <v>15335</v>
      </c>
      <c r="E2935" s="2141"/>
      <c r="F2935" s="2141"/>
      <c r="G2935" s="2141"/>
      <c r="H2935" s="267">
        <f>ROUND(H2932*$B$13,2)</f>
        <v>80.48</v>
      </c>
      <c r="I2935" s="1830"/>
      <c r="J2935" s="1795"/>
      <c r="K2935" s="1795"/>
      <c r="L2935" s="169"/>
      <c r="M2935" s="1783"/>
    </row>
    <row r="2936" spans="1:13" x14ac:dyDescent="0.25">
      <c r="A2936" s="179"/>
      <c r="B2936" s="179"/>
      <c r="C2936" s="1531"/>
      <c r="D2936" s="2142" t="s">
        <v>7898</v>
      </c>
      <c r="E2936" s="2142"/>
      <c r="F2936" s="2142"/>
      <c r="G2936" s="2142"/>
      <c r="H2936" s="1532">
        <f>H2935+H2932</f>
        <v>379.33000000000004</v>
      </c>
    </row>
    <row r="2937" spans="1:13" x14ac:dyDescent="0.25">
      <c r="A2937" s="910"/>
      <c r="B2937" s="910"/>
      <c r="C2937" s="910"/>
      <c r="F2937" s="925"/>
      <c r="G2937" s="926"/>
      <c r="H2937" s="910"/>
    </row>
    <row r="2938" spans="1:13" s="1517" customFormat="1" x14ac:dyDescent="0.25">
      <c r="A2938" s="146" t="s">
        <v>6</v>
      </c>
      <c r="B2938" s="2143" t="s">
        <v>7</v>
      </c>
      <c r="C2938" s="2143"/>
      <c r="D2938" s="1518" t="s">
        <v>121</v>
      </c>
      <c r="E2938" s="278" t="s">
        <v>5282</v>
      </c>
      <c r="F2938" s="1518" t="s">
        <v>31</v>
      </c>
      <c r="G2938" s="1519" t="s">
        <v>122</v>
      </c>
      <c r="H2938" s="1520" t="s">
        <v>123</v>
      </c>
      <c r="I2938" s="1830"/>
      <c r="J2938" s="1795"/>
      <c r="K2938" s="1795"/>
      <c r="L2938" s="169"/>
      <c r="M2938" s="1783"/>
    </row>
    <row r="2939" spans="1:13" s="1526" customFormat="1" ht="30" x14ac:dyDescent="0.2">
      <c r="A2939" s="1876" t="str">
        <f>'Orç - Prédio'!A515</f>
        <v>06.01.302.02</v>
      </c>
      <c r="B2939" s="1876" t="str">
        <f>'Orç - Prédio'!B515</f>
        <v>CPOS</v>
      </c>
      <c r="C2939" s="1876" t="str">
        <f>'Orç - Prédio'!C515</f>
        <v>37.04.270 MOD</v>
      </c>
      <c r="D2939" s="1865" t="s">
        <v>8942</v>
      </c>
      <c r="E2939" s="1866">
        <f>'Orç - Prédio'!E515</f>
        <v>15</v>
      </c>
      <c r="F2939" s="1876" t="s">
        <v>5284</v>
      </c>
      <c r="G2939" s="1524">
        <v>558.27</v>
      </c>
      <c r="H2939" s="1525">
        <f>H2948</f>
        <v>8374.0499999999993</v>
      </c>
      <c r="I2939" s="1910" t="s">
        <v>9564</v>
      </c>
      <c r="J2939" s="1793"/>
      <c r="K2939" s="1793"/>
      <c r="L2939" s="141"/>
      <c r="M2939" s="1515"/>
    </row>
    <row r="2940" spans="1:13" s="1859" customFormat="1" ht="60" x14ac:dyDescent="0.2">
      <c r="A2940" s="2144">
        <v>39759</v>
      </c>
      <c r="B2940" s="2144"/>
      <c r="C2940" s="1863" t="s">
        <v>4448</v>
      </c>
      <c r="D2940" s="1862" t="s">
        <v>13547</v>
      </c>
      <c r="E2940" s="1864">
        <v>1</v>
      </c>
      <c r="F2940" s="1875" t="s">
        <v>39</v>
      </c>
      <c r="G2940" s="1860">
        <v>445.27</v>
      </c>
      <c r="H2940" s="1857">
        <f>ROUNDDOWN(G2940*E2940,2)</f>
        <v>445.27</v>
      </c>
      <c r="I2940" s="1856"/>
      <c r="J2940" s="1797"/>
      <c r="K2940" s="1797"/>
      <c r="L2940" s="1784"/>
      <c r="M2940" s="1785"/>
    </row>
    <row r="2941" spans="1:13" s="1859" customFormat="1" ht="30" x14ac:dyDescent="0.2">
      <c r="A2941" s="2144">
        <v>88309</v>
      </c>
      <c r="B2941" s="2144"/>
      <c r="C2941" s="1863" t="s">
        <v>4448</v>
      </c>
      <c r="D2941" s="1862" t="s">
        <v>87</v>
      </c>
      <c r="E2941" s="1864">
        <v>2</v>
      </c>
      <c r="F2941" s="1875" t="s">
        <v>65</v>
      </c>
      <c r="G2941" s="1860">
        <v>20.149999999999999</v>
      </c>
      <c r="H2941" s="1857">
        <f>ROUNDDOWN(G2941*E2941,2)</f>
        <v>40.299999999999997</v>
      </c>
      <c r="I2941" s="1856"/>
      <c r="J2941" s="1797"/>
      <c r="K2941" s="1797"/>
      <c r="L2941" s="1784"/>
      <c r="M2941" s="1785"/>
    </row>
    <row r="2942" spans="1:13" s="1859" customFormat="1" ht="30" x14ac:dyDescent="0.2">
      <c r="A2942" s="2144">
        <v>88264</v>
      </c>
      <c r="B2942" s="2144"/>
      <c r="C2942" s="1863" t="s">
        <v>4448</v>
      </c>
      <c r="D2942" s="1862" t="s">
        <v>81</v>
      </c>
      <c r="E2942" s="1864">
        <v>2</v>
      </c>
      <c r="F2942" s="1875" t="s">
        <v>65</v>
      </c>
      <c r="G2942" s="1860">
        <v>20.329999999999998</v>
      </c>
      <c r="H2942" s="1857">
        <f>ROUNDDOWN(G2942*E2942,2)</f>
        <v>40.659999999999997</v>
      </c>
      <c r="I2942" s="1856"/>
      <c r="J2942" s="1797"/>
      <c r="K2942" s="1797"/>
      <c r="L2942" s="1784"/>
      <c r="M2942" s="1785"/>
    </row>
    <row r="2943" spans="1:13" s="1859" customFormat="1" ht="30" x14ac:dyDescent="0.2">
      <c r="A2943" s="2144">
        <v>88247</v>
      </c>
      <c r="B2943" s="2144"/>
      <c r="C2943" s="1863" t="s">
        <v>4448</v>
      </c>
      <c r="D2943" s="1862" t="s">
        <v>71</v>
      </c>
      <c r="E2943" s="1864">
        <v>2</v>
      </c>
      <c r="F2943" s="1875" t="s">
        <v>65</v>
      </c>
      <c r="G2943" s="1860">
        <v>16.02</v>
      </c>
      <c r="H2943" s="1857">
        <f>ROUNDDOWN(G2943*E2943,2)</f>
        <v>32.04</v>
      </c>
      <c r="I2943" s="1856"/>
      <c r="J2943" s="1797"/>
      <c r="K2943" s="1797"/>
      <c r="L2943" s="1784"/>
      <c r="M2943" s="1785"/>
    </row>
    <row r="2944" spans="1:13" s="1517" customFormat="1" x14ac:dyDescent="0.25">
      <c r="A2944" s="1847"/>
      <c r="B2944" s="1847"/>
      <c r="C2944" s="1531"/>
      <c r="D2944" s="2141" t="s">
        <v>124</v>
      </c>
      <c r="E2944" s="2141"/>
      <c r="F2944" s="2141"/>
      <c r="G2944" s="2141"/>
      <c r="H2944" s="267">
        <f>SUMIF(F2940:F2943,("h"),H2940:H2943)</f>
        <v>113</v>
      </c>
      <c r="I2944" s="1830"/>
      <c r="J2944" s="1795"/>
      <c r="K2944" s="1795"/>
      <c r="L2944" s="169"/>
      <c r="M2944" s="1783"/>
    </row>
    <row r="2945" spans="1:13" s="1517" customFormat="1" x14ac:dyDescent="0.25">
      <c r="A2945" s="1847"/>
      <c r="B2945" s="1847"/>
      <c r="C2945" s="1531"/>
      <c r="D2945" s="2141" t="s">
        <v>125</v>
      </c>
      <c r="E2945" s="2141"/>
      <c r="F2945" s="2141"/>
      <c r="G2945" s="2141"/>
      <c r="H2945" s="267">
        <f>SUMIF(F2940:F2943,"&lt;&gt;h",H2940:H2943)</f>
        <v>445.27</v>
      </c>
      <c r="I2945" s="1830"/>
      <c r="J2945" s="1795"/>
      <c r="K2945" s="1795"/>
      <c r="L2945" s="169"/>
      <c r="M2945" s="1783"/>
    </row>
    <row r="2946" spans="1:13" s="1517" customFormat="1" x14ac:dyDescent="0.25">
      <c r="A2946" s="1847"/>
      <c r="B2946" s="1847"/>
      <c r="C2946" s="1531"/>
      <c r="D2946" s="2142" t="s">
        <v>126</v>
      </c>
      <c r="E2946" s="2142"/>
      <c r="F2946" s="2142"/>
      <c r="G2946" s="2142"/>
      <c r="H2946" s="1532">
        <f>SUM(H2944:H2945)</f>
        <v>558.27</v>
      </c>
      <c r="I2946" s="1830"/>
      <c r="J2946" s="1795"/>
      <c r="K2946" s="1795"/>
      <c r="L2946" s="169"/>
      <c r="M2946" s="1783"/>
    </row>
    <row r="2947" spans="1:13" s="1517" customFormat="1" x14ac:dyDescent="0.25">
      <c r="A2947" s="1847"/>
      <c r="B2947" s="1847"/>
      <c r="C2947" s="1531"/>
      <c r="D2947" s="2141" t="s">
        <v>28</v>
      </c>
      <c r="E2947" s="2141"/>
      <c r="F2947" s="2141"/>
      <c r="G2947" s="2141"/>
      <c r="H2947" s="269">
        <f>E2939</f>
        <v>15</v>
      </c>
      <c r="I2947" s="1830"/>
      <c r="J2947" s="1795"/>
      <c r="K2947" s="1795"/>
      <c r="L2947" s="169"/>
      <c r="M2947" s="1783"/>
    </row>
    <row r="2948" spans="1:13" s="1517" customFormat="1" x14ac:dyDescent="0.25">
      <c r="A2948" s="1847"/>
      <c r="B2948" s="1847"/>
      <c r="C2948" s="1531"/>
      <c r="D2948" s="2142" t="s">
        <v>127</v>
      </c>
      <c r="E2948" s="2142"/>
      <c r="F2948" s="2142"/>
      <c r="G2948" s="2142"/>
      <c r="H2948" s="1532">
        <f>ROUND(H2946*H2947,2)</f>
        <v>8374.0499999999993</v>
      </c>
      <c r="I2948" s="1830"/>
      <c r="J2948" s="1795"/>
      <c r="K2948" s="1795"/>
      <c r="L2948" s="169"/>
      <c r="M2948" s="1783"/>
    </row>
    <row r="2949" spans="1:13" s="1517" customFormat="1" x14ac:dyDescent="0.25">
      <c r="A2949" s="1847"/>
      <c r="B2949" s="1847"/>
      <c r="C2949" s="1531"/>
      <c r="D2949" s="2141" t="s">
        <v>15335</v>
      </c>
      <c r="E2949" s="2141"/>
      <c r="F2949" s="2141"/>
      <c r="G2949" s="2141"/>
      <c r="H2949" s="267">
        <f>ROUND(H2946*$B$13,2)</f>
        <v>150.34</v>
      </c>
      <c r="I2949" s="1830"/>
      <c r="J2949" s="1795"/>
      <c r="K2949" s="1795"/>
      <c r="L2949" s="169"/>
      <c r="M2949" s="1783"/>
    </row>
    <row r="2950" spans="1:13" x14ac:dyDescent="0.25">
      <c r="A2950" s="1847"/>
      <c r="B2950" s="1847"/>
      <c r="C2950" s="1531"/>
      <c r="D2950" s="2142" t="s">
        <v>7898</v>
      </c>
      <c r="E2950" s="2142"/>
      <c r="F2950" s="2142"/>
      <c r="G2950" s="2142"/>
      <c r="H2950" s="1532">
        <f>H2949+H2946</f>
        <v>708.61</v>
      </c>
    </row>
    <row r="2951" spans="1:13" x14ac:dyDescent="0.25">
      <c r="A2951" s="1514"/>
      <c r="B2951" s="1514"/>
      <c r="C2951" s="1514"/>
      <c r="F2951" s="1533"/>
      <c r="G2951" s="1534"/>
      <c r="H2951" s="1514"/>
    </row>
    <row r="2952" spans="1:13" s="1517" customFormat="1" x14ac:dyDescent="0.25">
      <c r="A2952" s="146" t="s">
        <v>6</v>
      </c>
      <c r="B2952" s="2143" t="s">
        <v>7</v>
      </c>
      <c r="C2952" s="2143"/>
      <c r="D2952" s="1518" t="s">
        <v>121</v>
      </c>
      <c r="E2952" s="278" t="s">
        <v>5282</v>
      </c>
      <c r="F2952" s="1518" t="s">
        <v>31</v>
      </c>
      <c r="G2952" s="1519" t="s">
        <v>122</v>
      </c>
      <c r="H2952" s="1520" t="s">
        <v>123</v>
      </c>
      <c r="I2952" s="1830"/>
      <c r="J2952" s="1795"/>
      <c r="K2952" s="1795"/>
      <c r="L2952" s="169"/>
      <c r="M2952" s="1783"/>
    </row>
    <row r="2953" spans="1:13" s="1526" customFormat="1" ht="30" x14ac:dyDescent="0.2">
      <c r="A2953" s="1876" t="str">
        <f>'Orç - Prédio'!A516</f>
        <v>06.01.302.03</v>
      </c>
      <c r="B2953" s="1876" t="str">
        <f>'Orç - Prédio'!B516</f>
        <v>CPOS</v>
      </c>
      <c r="C2953" s="1876" t="str">
        <f>'Orç - Prédio'!C516</f>
        <v>37.04.280</v>
      </c>
      <c r="D2953" s="1865" t="s">
        <v>8943</v>
      </c>
      <c r="E2953" s="1866">
        <f>'Orç - Prédio'!E516</f>
        <v>1</v>
      </c>
      <c r="F2953" s="1876" t="s">
        <v>5284</v>
      </c>
      <c r="G2953" s="1524">
        <v>648.22</v>
      </c>
      <c r="H2953" s="1525">
        <f>H2962</f>
        <v>648.22</v>
      </c>
      <c r="I2953" s="1910" t="s">
        <v>9564</v>
      </c>
      <c r="J2953" s="1793"/>
      <c r="K2953" s="1793"/>
      <c r="L2953" s="141"/>
      <c r="M2953" s="1515"/>
    </row>
    <row r="2954" spans="1:13" s="1859" customFormat="1" ht="60" x14ac:dyDescent="0.2">
      <c r="A2954" s="2144">
        <v>39761</v>
      </c>
      <c r="B2954" s="2144"/>
      <c r="C2954" s="1863" t="s">
        <v>4448</v>
      </c>
      <c r="D2954" s="1862" t="s">
        <v>13549</v>
      </c>
      <c r="E2954" s="1864">
        <v>1</v>
      </c>
      <c r="F2954" s="1875" t="s">
        <v>39</v>
      </c>
      <c r="G2954" s="1860">
        <v>535.22</v>
      </c>
      <c r="H2954" s="1857">
        <f>ROUNDDOWN(G2954*E2954,2)</f>
        <v>535.22</v>
      </c>
      <c r="I2954" s="1856"/>
      <c r="J2954" s="1797"/>
      <c r="K2954" s="1797"/>
      <c r="L2954" s="1784"/>
      <c r="M2954" s="1785"/>
    </row>
    <row r="2955" spans="1:13" s="1859" customFormat="1" ht="30" x14ac:dyDescent="0.2">
      <c r="A2955" s="2144">
        <v>88309</v>
      </c>
      <c r="B2955" s="2144"/>
      <c r="C2955" s="1863" t="s">
        <v>4448</v>
      </c>
      <c r="D2955" s="1862" t="s">
        <v>87</v>
      </c>
      <c r="E2955" s="1864">
        <v>2</v>
      </c>
      <c r="F2955" s="1875" t="s">
        <v>65</v>
      </c>
      <c r="G2955" s="1860">
        <v>20.149999999999999</v>
      </c>
      <c r="H2955" s="1857">
        <f>ROUNDDOWN(G2955*E2955,2)</f>
        <v>40.299999999999997</v>
      </c>
      <c r="I2955" s="1856"/>
      <c r="J2955" s="1797"/>
      <c r="K2955" s="1797"/>
      <c r="L2955" s="1784"/>
      <c r="M2955" s="1785"/>
    </row>
    <row r="2956" spans="1:13" s="1859" customFormat="1" ht="30" x14ac:dyDescent="0.2">
      <c r="A2956" s="2144">
        <v>88264</v>
      </c>
      <c r="B2956" s="2144"/>
      <c r="C2956" s="1863" t="s">
        <v>4448</v>
      </c>
      <c r="D2956" s="1862" t="s">
        <v>81</v>
      </c>
      <c r="E2956" s="1864">
        <v>2</v>
      </c>
      <c r="F2956" s="1875" t="s">
        <v>65</v>
      </c>
      <c r="G2956" s="1860">
        <v>20.329999999999998</v>
      </c>
      <c r="H2956" s="1857">
        <f>ROUNDDOWN(G2956*E2956,2)</f>
        <v>40.659999999999997</v>
      </c>
      <c r="I2956" s="1856"/>
      <c r="J2956" s="1797"/>
      <c r="K2956" s="1797"/>
      <c r="L2956" s="1784"/>
      <c r="M2956" s="1785"/>
    </row>
    <row r="2957" spans="1:13" s="1859" customFormat="1" ht="30" x14ac:dyDescent="0.2">
      <c r="A2957" s="2144">
        <v>88247</v>
      </c>
      <c r="B2957" s="2144"/>
      <c r="C2957" s="1863" t="s">
        <v>4448</v>
      </c>
      <c r="D2957" s="1862" t="s">
        <v>71</v>
      </c>
      <c r="E2957" s="1864">
        <v>2</v>
      </c>
      <c r="F2957" s="1875" t="s">
        <v>65</v>
      </c>
      <c r="G2957" s="1860">
        <v>16.02</v>
      </c>
      <c r="H2957" s="1857">
        <f>ROUNDDOWN(G2957*E2957,2)</f>
        <v>32.04</v>
      </c>
      <c r="I2957" s="1856"/>
      <c r="J2957" s="1797"/>
      <c r="K2957" s="1797"/>
      <c r="L2957" s="1784"/>
      <c r="M2957" s="1785"/>
    </row>
    <row r="2958" spans="1:13" s="1517" customFormat="1" x14ac:dyDescent="0.25">
      <c r="A2958" s="1847"/>
      <c r="B2958" s="1847"/>
      <c r="C2958" s="1531"/>
      <c r="D2958" s="2141" t="s">
        <v>124</v>
      </c>
      <c r="E2958" s="2141"/>
      <c r="F2958" s="2141"/>
      <c r="G2958" s="2141"/>
      <c r="H2958" s="267">
        <f>SUMIF(F2954:F2957,("h"),H2954:H2957)</f>
        <v>113</v>
      </c>
      <c r="I2958" s="1830"/>
      <c r="J2958" s="1795"/>
      <c r="K2958" s="1795"/>
      <c r="L2958" s="169"/>
      <c r="M2958" s="1783"/>
    </row>
    <row r="2959" spans="1:13" s="1517" customFormat="1" x14ac:dyDescent="0.25">
      <c r="A2959" s="1847"/>
      <c r="B2959" s="1847"/>
      <c r="C2959" s="1531"/>
      <c r="D2959" s="2141" t="s">
        <v>125</v>
      </c>
      <c r="E2959" s="2141"/>
      <c r="F2959" s="2141"/>
      <c r="G2959" s="2141"/>
      <c r="H2959" s="267">
        <f>SUMIF(F2954:F2957,"&lt;&gt;h",H2954:H2957)</f>
        <v>535.22</v>
      </c>
      <c r="I2959" s="1830"/>
      <c r="J2959" s="1795"/>
      <c r="K2959" s="1795"/>
      <c r="L2959" s="169"/>
      <c r="M2959" s="1783"/>
    </row>
    <row r="2960" spans="1:13" s="1517" customFormat="1" x14ac:dyDescent="0.25">
      <c r="A2960" s="1847"/>
      <c r="B2960" s="1847"/>
      <c r="C2960" s="1531"/>
      <c r="D2960" s="2142" t="s">
        <v>126</v>
      </c>
      <c r="E2960" s="2142"/>
      <c r="F2960" s="2142"/>
      <c r="G2960" s="2142"/>
      <c r="H2960" s="1532">
        <f>SUM(H2958:H2959)</f>
        <v>648.22</v>
      </c>
      <c r="I2960" s="1830"/>
      <c r="J2960" s="1795"/>
      <c r="K2960" s="1795"/>
      <c r="L2960" s="169"/>
      <c r="M2960" s="1783"/>
    </row>
    <row r="2961" spans="1:13" s="1517" customFormat="1" x14ac:dyDescent="0.25">
      <c r="A2961" s="1847"/>
      <c r="B2961" s="1847"/>
      <c r="C2961" s="1531"/>
      <c r="D2961" s="2141" t="s">
        <v>28</v>
      </c>
      <c r="E2961" s="2141"/>
      <c r="F2961" s="2141"/>
      <c r="G2961" s="2141"/>
      <c r="H2961" s="269">
        <f>E2953</f>
        <v>1</v>
      </c>
      <c r="I2961" s="1830"/>
      <c r="J2961" s="1795"/>
      <c r="K2961" s="1795"/>
      <c r="L2961" s="169"/>
      <c r="M2961" s="1783"/>
    </row>
    <row r="2962" spans="1:13" s="1517" customFormat="1" x14ac:dyDescent="0.25">
      <c r="A2962" s="1847"/>
      <c r="B2962" s="1847"/>
      <c r="C2962" s="1531"/>
      <c r="D2962" s="2142" t="s">
        <v>127</v>
      </c>
      <c r="E2962" s="2142"/>
      <c r="F2962" s="2142"/>
      <c r="G2962" s="2142"/>
      <c r="H2962" s="1532">
        <f>ROUND(H2960*H2961,2)</f>
        <v>648.22</v>
      </c>
      <c r="I2962" s="1830"/>
      <c r="J2962" s="1795"/>
      <c r="K2962" s="1795"/>
      <c r="L2962" s="169"/>
      <c r="M2962" s="1783"/>
    </row>
    <row r="2963" spans="1:13" s="1517" customFormat="1" x14ac:dyDescent="0.25">
      <c r="A2963" s="1847"/>
      <c r="B2963" s="1847"/>
      <c r="C2963" s="1531"/>
      <c r="D2963" s="2141" t="s">
        <v>15335</v>
      </c>
      <c r="E2963" s="2141"/>
      <c r="F2963" s="2141"/>
      <c r="G2963" s="2141"/>
      <c r="H2963" s="267">
        <f>ROUND(H2960*$B$13,2)</f>
        <v>174.57</v>
      </c>
      <c r="I2963" s="1830"/>
      <c r="J2963" s="1795"/>
      <c r="K2963" s="1795"/>
      <c r="L2963" s="169"/>
      <c r="M2963" s="1783"/>
    </row>
    <row r="2964" spans="1:13" x14ac:dyDescent="0.25">
      <c r="A2964" s="1847"/>
      <c r="B2964" s="1847"/>
      <c r="C2964" s="1531"/>
      <c r="D2964" s="2142" t="s">
        <v>7898</v>
      </c>
      <c r="E2964" s="2142"/>
      <c r="F2964" s="2142"/>
      <c r="G2964" s="2142"/>
      <c r="H2964" s="1532">
        <f>H2963+H2960</f>
        <v>822.79</v>
      </c>
    </row>
    <row r="2965" spans="1:13" x14ac:dyDescent="0.25">
      <c r="A2965" s="1514"/>
      <c r="B2965" s="1514"/>
      <c r="C2965" s="1514"/>
      <c r="F2965" s="1533"/>
      <c r="G2965" s="1534"/>
      <c r="H2965" s="1514"/>
    </row>
    <row r="2966" spans="1:13" s="1517" customFormat="1" x14ac:dyDescent="0.25">
      <c r="A2966" s="146" t="s">
        <v>6</v>
      </c>
      <c r="B2966" s="2143" t="s">
        <v>7</v>
      </c>
      <c r="C2966" s="2143"/>
      <c r="D2966" s="912" t="s">
        <v>121</v>
      </c>
      <c r="E2966" s="278" t="s">
        <v>5282</v>
      </c>
      <c r="F2966" s="912" t="s">
        <v>31</v>
      </c>
      <c r="G2966" s="913" t="s">
        <v>122</v>
      </c>
      <c r="H2966" s="914" t="s">
        <v>123</v>
      </c>
      <c r="I2966" s="1830"/>
      <c r="J2966" s="1795"/>
      <c r="K2966" s="1795"/>
      <c r="L2966" s="169"/>
      <c r="M2966" s="1783"/>
    </row>
    <row r="2967" spans="1:13" s="1526" customFormat="1" ht="30" x14ac:dyDescent="0.2">
      <c r="A2967" s="915" t="str">
        <f>'Orç - Prédio'!A517</f>
        <v>06.01.304.01</v>
      </c>
      <c r="B2967" s="927" t="str">
        <f>'Orç - Prédio'!B517</f>
        <v>SINAPI</v>
      </c>
      <c r="C2967" s="927" t="str">
        <f>'Orç - Prédio'!C517</f>
        <v>95730 MOD</v>
      </c>
      <c r="D2967" s="928" t="s">
        <v>6134</v>
      </c>
      <c r="E2967" s="916">
        <f>'Orç - Prédio'!E517</f>
        <v>3401.56</v>
      </c>
      <c r="F2967" s="927" t="s">
        <v>5713</v>
      </c>
      <c r="G2967" s="917">
        <v>8.19</v>
      </c>
      <c r="H2967" s="918">
        <f>H2976</f>
        <v>27858.78</v>
      </c>
      <c r="I2967" s="1910" t="s">
        <v>9564</v>
      </c>
      <c r="J2967" s="1793"/>
      <c r="K2967" s="1793"/>
      <c r="L2967" s="141"/>
      <c r="M2967" s="1515"/>
    </row>
    <row r="2968" spans="1:13" s="156" customFormat="1" ht="30" x14ac:dyDescent="0.2">
      <c r="A2968" s="2144">
        <v>2674</v>
      </c>
      <c r="B2968" s="2144"/>
      <c r="C2968" s="911" t="s">
        <v>4448</v>
      </c>
      <c r="D2968" s="182" t="s">
        <v>11606</v>
      </c>
      <c r="E2968" s="919">
        <v>1.0481</v>
      </c>
      <c r="F2968" s="920" t="s">
        <v>47</v>
      </c>
      <c r="G2968" s="921">
        <v>2.89</v>
      </c>
      <c r="H2968" s="922">
        <f>ROUNDDOWN(G2968*E2968,2)</f>
        <v>3.02</v>
      </c>
      <c r="I2968" s="1642"/>
      <c r="J2968" s="1797"/>
      <c r="K2968" s="1797"/>
      <c r="L2968" s="1784"/>
      <c r="M2968" s="1785"/>
    </row>
    <row r="2969" spans="1:13" s="156" customFormat="1" ht="30" x14ac:dyDescent="0.2">
      <c r="A2969" s="2144">
        <v>88247</v>
      </c>
      <c r="B2969" s="2144"/>
      <c r="C2969" s="911" t="s">
        <v>4448</v>
      </c>
      <c r="D2969" s="182" t="s">
        <v>71</v>
      </c>
      <c r="E2969" s="919">
        <v>8.1100000000000005E-2</v>
      </c>
      <c r="F2969" s="920" t="s">
        <v>65</v>
      </c>
      <c r="G2969" s="921">
        <v>16.02</v>
      </c>
      <c r="H2969" s="922">
        <f>ROUNDDOWN(G2969*E2969,2)</f>
        <v>1.29</v>
      </c>
      <c r="I2969" s="1642"/>
      <c r="J2969" s="1797"/>
      <c r="K2969" s="1797"/>
      <c r="L2969" s="1784"/>
      <c r="M2969" s="1785"/>
    </row>
    <row r="2970" spans="1:13" s="156" customFormat="1" ht="30" x14ac:dyDescent="0.2">
      <c r="A2970" s="2144">
        <v>88264</v>
      </c>
      <c r="B2970" s="2144"/>
      <c r="C2970" s="911" t="s">
        <v>4448</v>
      </c>
      <c r="D2970" s="182" t="s">
        <v>81</v>
      </c>
      <c r="E2970" s="919">
        <v>8.1100000000000005E-2</v>
      </c>
      <c r="F2970" s="920" t="s">
        <v>65</v>
      </c>
      <c r="G2970" s="921">
        <v>20.329999999999998</v>
      </c>
      <c r="H2970" s="922">
        <f>ROUNDDOWN(G2970*E2970,2)</f>
        <v>1.64</v>
      </c>
      <c r="I2970" s="1642"/>
      <c r="J2970" s="1797"/>
      <c r="K2970" s="1797"/>
      <c r="L2970" s="1784"/>
      <c r="M2970" s="1785"/>
    </row>
    <row r="2971" spans="1:13" s="156" customFormat="1" ht="75" x14ac:dyDescent="0.2">
      <c r="A2971" s="2144">
        <v>91173</v>
      </c>
      <c r="B2971" s="2144"/>
      <c r="C2971" s="911" t="s">
        <v>4448</v>
      </c>
      <c r="D2971" s="182" t="s">
        <v>3330</v>
      </c>
      <c r="E2971" s="919">
        <v>2</v>
      </c>
      <c r="F2971" s="920" t="s">
        <v>136</v>
      </c>
      <c r="G2971" s="921">
        <v>1.1200000000000001</v>
      </c>
      <c r="H2971" s="922">
        <f>ROUNDDOWN(G2971*E2971,2)</f>
        <v>2.2400000000000002</v>
      </c>
      <c r="I2971" s="1642"/>
      <c r="J2971" s="1797"/>
      <c r="K2971" s="1797"/>
      <c r="L2971" s="1784"/>
      <c r="M2971" s="1785"/>
    </row>
    <row r="2972" spans="1:13" s="1517" customFormat="1" x14ac:dyDescent="0.25">
      <c r="A2972" s="179"/>
      <c r="B2972" s="179"/>
      <c r="C2972" s="923"/>
      <c r="D2972" s="2141" t="s">
        <v>124</v>
      </c>
      <c r="E2972" s="2141"/>
      <c r="F2972" s="2141"/>
      <c r="G2972" s="2141"/>
      <c r="H2972" s="267">
        <f>SUMIF(F2968:F2971,("h"),H2968:H2971)</f>
        <v>2.9299999999999997</v>
      </c>
      <c r="I2972" s="1830"/>
      <c r="J2972" s="1795"/>
      <c r="K2972" s="1795"/>
      <c r="L2972" s="169"/>
      <c r="M2972" s="1783"/>
    </row>
    <row r="2973" spans="1:13" s="1517" customFormat="1" x14ac:dyDescent="0.25">
      <c r="A2973" s="179"/>
      <c r="B2973" s="179"/>
      <c r="C2973" s="923"/>
      <c r="D2973" s="2141" t="s">
        <v>125</v>
      </c>
      <c r="E2973" s="2141"/>
      <c r="F2973" s="2141"/>
      <c r="G2973" s="2141"/>
      <c r="H2973" s="267">
        <f>SUMIF(F2968:F2971,"&lt;&gt;h",H2968:H2971)</f>
        <v>5.26</v>
      </c>
      <c r="I2973" s="1830"/>
      <c r="J2973" s="1795"/>
      <c r="K2973" s="1795"/>
      <c r="L2973" s="169"/>
      <c r="M2973" s="1783"/>
    </row>
    <row r="2974" spans="1:13" s="1517" customFormat="1" x14ac:dyDescent="0.25">
      <c r="A2974" s="179"/>
      <c r="B2974" s="179"/>
      <c r="C2974" s="923"/>
      <c r="D2974" s="2142" t="s">
        <v>126</v>
      </c>
      <c r="E2974" s="2142"/>
      <c r="F2974" s="2142"/>
      <c r="G2974" s="2142"/>
      <c r="H2974" s="924">
        <f>SUM(H2972:H2973)</f>
        <v>8.19</v>
      </c>
      <c r="I2974" s="1830"/>
      <c r="J2974" s="1795"/>
      <c r="K2974" s="1795"/>
      <c r="L2974" s="169"/>
      <c r="M2974" s="1783"/>
    </row>
    <row r="2975" spans="1:13" s="1517" customFormat="1" x14ac:dyDescent="0.25">
      <c r="A2975" s="179"/>
      <c r="B2975" s="179"/>
      <c r="C2975" s="923"/>
      <c r="D2975" s="2141" t="s">
        <v>28</v>
      </c>
      <c r="E2975" s="2141"/>
      <c r="F2975" s="2141"/>
      <c r="G2975" s="2141"/>
      <c r="H2975" s="269">
        <f>E2967</f>
        <v>3401.56</v>
      </c>
      <c r="I2975" s="1830"/>
      <c r="J2975" s="1795"/>
      <c r="K2975" s="1795"/>
      <c r="L2975" s="169"/>
      <c r="M2975" s="1783"/>
    </row>
    <row r="2976" spans="1:13" s="1517" customFormat="1" x14ac:dyDescent="0.25">
      <c r="A2976" s="179"/>
      <c r="B2976" s="179"/>
      <c r="C2976" s="923"/>
      <c r="D2976" s="2142" t="s">
        <v>127</v>
      </c>
      <c r="E2976" s="2142"/>
      <c r="F2976" s="2142"/>
      <c r="G2976" s="2142"/>
      <c r="H2976" s="924">
        <f>ROUND(H2974*H2975,2)</f>
        <v>27858.78</v>
      </c>
      <c r="I2976" s="1830"/>
      <c r="J2976" s="1795"/>
      <c r="K2976" s="1795"/>
      <c r="L2976" s="169"/>
      <c r="M2976" s="1783"/>
    </row>
    <row r="2977" spans="1:13" s="1517" customFormat="1" x14ac:dyDescent="0.25">
      <c r="A2977" s="179"/>
      <c r="B2977" s="179"/>
      <c r="C2977" s="1531"/>
      <c r="D2977" s="2141" t="s">
        <v>15335</v>
      </c>
      <c r="E2977" s="2141"/>
      <c r="F2977" s="2141"/>
      <c r="G2977" s="2141"/>
      <c r="H2977" s="267">
        <f>ROUND(H2974*$B$13,2)</f>
        <v>2.21</v>
      </c>
      <c r="I2977" s="1830"/>
      <c r="J2977" s="1795"/>
      <c r="K2977" s="1795"/>
      <c r="L2977" s="169"/>
      <c r="M2977" s="1783"/>
    </row>
    <row r="2978" spans="1:13" x14ac:dyDescent="0.25">
      <c r="A2978" s="179"/>
      <c r="B2978" s="179"/>
      <c r="C2978" s="1531"/>
      <c r="D2978" s="2142" t="s">
        <v>7898</v>
      </c>
      <c r="E2978" s="2142"/>
      <c r="F2978" s="2142"/>
      <c r="G2978" s="2142"/>
      <c r="H2978" s="1532">
        <f>H2977+H2974</f>
        <v>10.399999999999999</v>
      </c>
    </row>
    <row r="2979" spans="1:13" x14ac:dyDescent="0.25">
      <c r="A2979" s="910"/>
      <c r="B2979" s="910"/>
      <c r="C2979" s="910"/>
      <c r="F2979" s="925"/>
      <c r="G2979" s="926"/>
      <c r="H2979" s="910"/>
    </row>
    <row r="2980" spans="1:13" s="1517" customFormat="1" x14ac:dyDescent="0.25">
      <c r="A2980" s="146" t="s">
        <v>6</v>
      </c>
      <c r="B2980" s="2143" t="s">
        <v>7</v>
      </c>
      <c r="C2980" s="2143"/>
      <c r="D2980" s="912" t="s">
        <v>121</v>
      </c>
      <c r="E2980" s="278" t="s">
        <v>5282</v>
      </c>
      <c r="F2980" s="912" t="s">
        <v>31</v>
      </c>
      <c r="G2980" s="913" t="s">
        <v>122</v>
      </c>
      <c r="H2980" s="914" t="s">
        <v>123</v>
      </c>
      <c r="I2980" s="1830"/>
      <c r="J2980" s="1795"/>
      <c r="K2980" s="1795"/>
      <c r="L2980" s="169"/>
      <c r="M2980" s="1783"/>
    </row>
    <row r="2981" spans="1:13" s="1526" customFormat="1" ht="30" x14ac:dyDescent="0.2">
      <c r="A2981" s="915" t="str">
        <f>'Orç - Prédio'!A518</f>
        <v>06.01.304.02</v>
      </c>
      <c r="B2981" s="927" t="str">
        <f>'Orç - Prédio'!B518</f>
        <v>SINAPI</v>
      </c>
      <c r="C2981" s="927" t="str">
        <f>'Orç - Prédio'!C518</f>
        <v>95731 MOD</v>
      </c>
      <c r="D2981" s="928" t="s">
        <v>6135</v>
      </c>
      <c r="E2981" s="916">
        <f>'Orç - Prédio'!E518</f>
        <v>160.41999999999999</v>
      </c>
      <c r="F2981" s="927" t="s">
        <v>5713</v>
      </c>
      <c r="G2981" s="917">
        <v>10.32</v>
      </c>
      <c r="H2981" s="918">
        <f>H2990</f>
        <v>1655.53</v>
      </c>
      <c r="I2981" s="1910" t="s">
        <v>9564</v>
      </c>
      <c r="J2981" s="1793"/>
      <c r="K2981" s="1793"/>
      <c r="L2981" s="141"/>
      <c r="M2981" s="1515"/>
    </row>
    <row r="2982" spans="1:13" s="156" customFormat="1" ht="30" x14ac:dyDescent="0.2">
      <c r="A2982" s="2144">
        <v>2685</v>
      </c>
      <c r="B2982" s="2144"/>
      <c r="C2982" s="911" t="s">
        <v>4448</v>
      </c>
      <c r="D2982" s="182" t="s">
        <v>11599</v>
      </c>
      <c r="E2982" s="919">
        <v>1.0481</v>
      </c>
      <c r="F2982" s="920" t="s">
        <v>47</v>
      </c>
      <c r="G2982" s="921">
        <v>4.51</v>
      </c>
      <c r="H2982" s="922">
        <f>ROUNDDOWN(G2982*E2982,2)</f>
        <v>4.72</v>
      </c>
      <c r="I2982" s="1642"/>
      <c r="J2982" s="1797"/>
      <c r="K2982" s="1797"/>
      <c r="L2982" s="1784"/>
      <c r="M2982" s="1785"/>
    </row>
    <row r="2983" spans="1:13" s="156" customFormat="1" ht="30" x14ac:dyDescent="0.2">
      <c r="A2983" s="2144">
        <v>88247</v>
      </c>
      <c r="B2983" s="2144"/>
      <c r="C2983" s="911" t="s">
        <v>4448</v>
      </c>
      <c r="D2983" s="182" t="s">
        <v>71</v>
      </c>
      <c r="E2983" s="919">
        <v>9.2600000000000002E-2</v>
      </c>
      <c r="F2983" s="920" t="s">
        <v>65</v>
      </c>
      <c r="G2983" s="921">
        <v>16.02</v>
      </c>
      <c r="H2983" s="922">
        <f>ROUNDDOWN(G2983*E2983,2)</f>
        <v>1.48</v>
      </c>
      <c r="I2983" s="1642"/>
      <c r="J2983" s="1797"/>
      <c r="K2983" s="1797"/>
      <c r="L2983" s="1784"/>
      <c r="M2983" s="1785"/>
    </row>
    <row r="2984" spans="1:13" s="156" customFormat="1" ht="30" x14ac:dyDescent="0.2">
      <c r="A2984" s="2144">
        <v>88264</v>
      </c>
      <c r="B2984" s="2144"/>
      <c r="C2984" s="911" t="s">
        <v>4448</v>
      </c>
      <c r="D2984" s="182" t="s">
        <v>81</v>
      </c>
      <c r="E2984" s="919">
        <v>9.2600000000000002E-2</v>
      </c>
      <c r="F2984" s="920" t="s">
        <v>65</v>
      </c>
      <c r="G2984" s="921">
        <v>20.329999999999998</v>
      </c>
      <c r="H2984" s="922">
        <f>ROUNDDOWN(G2984*E2984,2)</f>
        <v>1.88</v>
      </c>
      <c r="I2984" s="1642"/>
      <c r="J2984" s="1797"/>
      <c r="K2984" s="1797"/>
      <c r="L2984" s="1784"/>
      <c r="M2984" s="1785"/>
    </row>
    <row r="2985" spans="1:13" s="156" customFormat="1" ht="75" x14ac:dyDescent="0.2">
      <c r="A2985" s="2144">
        <v>91173</v>
      </c>
      <c r="B2985" s="2144"/>
      <c r="C2985" s="911" t="s">
        <v>4448</v>
      </c>
      <c r="D2985" s="182" t="s">
        <v>3330</v>
      </c>
      <c r="E2985" s="919">
        <v>2</v>
      </c>
      <c r="F2985" s="920" t="s">
        <v>136</v>
      </c>
      <c r="G2985" s="921">
        <v>1.1200000000000001</v>
      </c>
      <c r="H2985" s="922">
        <f>ROUNDDOWN(G2985*E2985,2)</f>
        <v>2.2400000000000002</v>
      </c>
      <c r="I2985" s="1642"/>
      <c r="J2985" s="1797"/>
      <c r="K2985" s="1797"/>
      <c r="L2985" s="1784"/>
      <c r="M2985" s="1785"/>
    </row>
    <row r="2986" spans="1:13" s="1517" customFormat="1" x14ac:dyDescent="0.25">
      <c r="A2986" s="179"/>
      <c r="B2986" s="179"/>
      <c r="C2986" s="923"/>
      <c r="D2986" s="2141" t="s">
        <v>124</v>
      </c>
      <c r="E2986" s="2141"/>
      <c r="F2986" s="2141"/>
      <c r="G2986" s="2141"/>
      <c r="H2986" s="267">
        <f>SUMIF(F2982:F2985,("h"),H2982:H2985)</f>
        <v>3.36</v>
      </c>
      <c r="I2986" s="1830"/>
      <c r="J2986" s="1795"/>
      <c r="K2986" s="1795"/>
      <c r="L2986" s="169"/>
      <c r="M2986" s="1783"/>
    </row>
    <row r="2987" spans="1:13" s="1517" customFormat="1" x14ac:dyDescent="0.25">
      <c r="A2987" s="179"/>
      <c r="B2987" s="179"/>
      <c r="C2987" s="923"/>
      <c r="D2987" s="2141" t="s">
        <v>125</v>
      </c>
      <c r="E2987" s="2141"/>
      <c r="F2987" s="2141"/>
      <c r="G2987" s="2141"/>
      <c r="H2987" s="267">
        <f>SUMIF(F2982:F2985,"&lt;&gt;h",H2982:H2985)</f>
        <v>6.96</v>
      </c>
      <c r="I2987" s="1830"/>
      <c r="J2987" s="1795"/>
      <c r="K2987" s="1795"/>
      <c r="L2987" s="169"/>
      <c r="M2987" s="1783"/>
    </row>
    <row r="2988" spans="1:13" s="1517" customFormat="1" x14ac:dyDescent="0.25">
      <c r="A2988" s="179"/>
      <c r="B2988" s="179"/>
      <c r="C2988" s="923"/>
      <c r="D2988" s="2142" t="s">
        <v>126</v>
      </c>
      <c r="E2988" s="2142"/>
      <c r="F2988" s="2142"/>
      <c r="G2988" s="2142"/>
      <c r="H2988" s="924">
        <f>SUM(H2986:H2987)</f>
        <v>10.32</v>
      </c>
      <c r="I2988" s="1830"/>
      <c r="J2988" s="1795"/>
      <c r="K2988" s="1795"/>
      <c r="L2988" s="169"/>
      <c r="M2988" s="1783"/>
    </row>
    <row r="2989" spans="1:13" s="1517" customFormat="1" x14ac:dyDescent="0.25">
      <c r="A2989" s="179"/>
      <c r="B2989" s="179"/>
      <c r="C2989" s="923"/>
      <c r="D2989" s="2141" t="s">
        <v>28</v>
      </c>
      <c r="E2989" s="2141"/>
      <c r="F2989" s="2141"/>
      <c r="G2989" s="2141"/>
      <c r="H2989" s="269">
        <f>E2981</f>
        <v>160.41999999999999</v>
      </c>
      <c r="I2989" s="1830"/>
      <c r="J2989" s="1795"/>
      <c r="K2989" s="1795"/>
      <c r="L2989" s="169"/>
      <c r="M2989" s="1783"/>
    </row>
    <row r="2990" spans="1:13" s="1517" customFormat="1" x14ac:dyDescent="0.25">
      <c r="A2990" s="179"/>
      <c r="B2990" s="179"/>
      <c r="C2990" s="923"/>
      <c r="D2990" s="2142" t="s">
        <v>127</v>
      </c>
      <c r="E2990" s="2142"/>
      <c r="F2990" s="2142"/>
      <c r="G2990" s="2142"/>
      <c r="H2990" s="924">
        <f>ROUND(H2988*H2989,2)</f>
        <v>1655.53</v>
      </c>
      <c r="I2990" s="1830"/>
      <c r="J2990" s="1795"/>
      <c r="K2990" s="1795"/>
      <c r="L2990" s="169"/>
      <c r="M2990" s="1783"/>
    </row>
    <row r="2991" spans="1:13" s="1517" customFormat="1" x14ac:dyDescent="0.25">
      <c r="A2991" s="179"/>
      <c r="B2991" s="179"/>
      <c r="C2991" s="1531"/>
      <c r="D2991" s="2141" t="s">
        <v>15335</v>
      </c>
      <c r="E2991" s="2141"/>
      <c r="F2991" s="2141"/>
      <c r="G2991" s="2141"/>
      <c r="H2991" s="267">
        <f>ROUND(H2988*$B$13,2)</f>
        <v>2.78</v>
      </c>
      <c r="I2991" s="1830"/>
      <c r="J2991" s="1795"/>
      <c r="K2991" s="1795"/>
      <c r="L2991" s="169"/>
      <c r="M2991" s="1783"/>
    </row>
    <row r="2992" spans="1:13" x14ac:dyDescent="0.25">
      <c r="A2992" s="179"/>
      <c r="B2992" s="179"/>
      <c r="C2992" s="1531"/>
      <c r="D2992" s="2142" t="s">
        <v>7898</v>
      </c>
      <c r="E2992" s="2142"/>
      <c r="F2992" s="2142"/>
      <c r="G2992" s="2142"/>
      <c r="H2992" s="1532">
        <f>H2991+H2988</f>
        <v>13.1</v>
      </c>
    </row>
    <row r="2993" spans="1:13" x14ac:dyDescent="0.25">
      <c r="A2993" s="910"/>
      <c r="B2993" s="910"/>
      <c r="C2993" s="910"/>
      <c r="F2993" s="925"/>
      <c r="G2993" s="926"/>
      <c r="H2993" s="910"/>
    </row>
    <row r="2994" spans="1:13" s="1517" customFormat="1" x14ac:dyDescent="0.25">
      <c r="A2994" s="146" t="s">
        <v>6</v>
      </c>
      <c r="B2994" s="2143" t="s">
        <v>7</v>
      </c>
      <c r="C2994" s="2143"/>
      <c r="D2994" s="1518" t="s">
        <v>121</v>
      </c>
      <c r="E2994" s="278" t="s">
        <v>5282</v>
      </c>
      <c r="F2994" s="1518" t="s">
        <v>31</v>
      </c>
      <c r="G2994" s="1519" t="s">
        <v>122</v>
      </c>
      <c r="H2994" s="1520" t="s">
        <v>123</v>
      </c>
      <c r="I2994" s="1830"/>
      <c r="J2994" s="1795"/>
      <c r="K2994" s="1795"/>
      <c r="L2994" s="169"/>
      <c r="M2994" s="1783"/>
    </row>
    <row r="2995" spans="1:13" s="1526" customFormat="1" ht="45" x14ac:dyDescent="0.2">
      <c r="A2995" s="1521" t="str">
        <f>'Orç - Prédio'!A538</f>
        <v>06.01.305.07</v>
      </c>
      <c r="B2995" s="1521" t="str">
        <f>'Orç - Prédio'!B538</f>
        <v>CPOS</v>
      </c>
      <c r="C2995" s="1521" t="str">
        <f>'Orç - Prédio'!C538</f>
        <v>39.26.020</v>
      </c>
      <c r="D2995" s="1522" t="s">
        <v>8336</v>
      </c>
      <c r="E2995" s="1523">
        <f>'Orç - Prédio'!E538</f>
        <v>1895.55</v>
      </c>
      <c r="F2995" s="1521" t="s">
        <v>5713</v>
      </c>
      <c r="G2995" s="1524">
        <v>3.85</v>
      </c>
      <c r="H2995" s="1525">
        <f>H3003</f>
        <v>7297.87</v>
      </c>
      <c r="I2995" s="1910" t="s">
        <v>9564</v>
      </c>
      <c r="J2995" s="1793"/>
      <c r="K2995" s="1793"/>
      <c r="L2995" s="141"/>
      <c r="M2995" s="1515"/>
    </row>
    <row r="2996" spans="1:13" s="156" customFormat="1" ht="60" x14ac:dyDescent="0.2">
      <c r="A2996" s="2144" t="s">
        <v>8338</v>
      </c>
      <c r="B2996" s="2144"/>
      <c r="C2996" s="1516" t="s">
        <v>5696</v>
      </c>
      <c r="D2996" s="1497" t="s">
        <v>8337</v>
      </c>
      <c r="E2996" s="1527">
        <v>1.02</v>
      </c>
      <c r="F2996" s="1659" t="s">
        <v>136</v>
      </c>
      <c r="G2996" s="367">
        <v>2</v>
      </c>
      <c r="H2996" s="1530">
        <f>ROUNDDOWN(G2996*E2996,2)</f>
        <v>2.04</v>
      </c>
      <c r="I2996" s="1642"/>
      <c r="J2996" s="1797"/>
      <c r="K2996" s="1797"/>
      <c r="L2996" s="1784"/>
      <c r="M2996" s="1785"/>
    </row>
    <row r="2997" spans="1:13" s="156" customFormat="1" ht="30" x14ac:dyDescent="0.2">
      <c r="A2997" s="2144">
        <v>88247</v>
      </c>
      <c r="B2997" s="2144"/>
      <c r="C2997" s="1516" t="s">
        <v>4448</v>
      </c>
      <c r="D2997" s="182" t="s">
        <v>71</v>
      </c>
      <c r="E2997" s="1527">
        <v>0.05</v>
      </c>
      <c r="F2997" s="1659" t="s">
        <v>65</v>
      </c>
      <c r="G2997" s="1529">
        <v>16.02</v>
      </c>
      <c r="H2997" s="1530">
        <f>ROUNDDOWN(G2997*E2997,2)</f>
        <v>0.8</v>
      </c>
      <c r="I2997" s="1642"/>
      <c r="J2997" s="1797"/>
      <c r="K2997" s="1797"/>
      <c r="L2997" s="1784"/>
      <c r="M2997" s="1785"/>
    </row>
    <row r="2998" spans="1:13" s="156" customFormat="1" ht="30" x14ac:dyDescent="0.2">
      <c r="A2998" s="2144">
        <v>88264</v>
      </c>
      <c r="B2998" s="2144"/>
      <c r="C2998" s="1516" t="s">
        <v>4448</v>
      </c>
      <c r="D2998" s="182" t="s">
        <v>81</v>
      </c>
      <c r="E2998" s="1527">
        <v>0.05</v>
      </c>
      <c r="F2998" s="1659" t="s">
        <v>65</v>
      </c>
      <c r="G2998" s="1529">
        <v>20.329999999999998</v>
      </c>
      <c r="H2998" s="1530">
        <f>ROUNDDOWN(G2998*E2998,2)</f>
        <v>1.01</v>
      </c>
      <c r="I2998" s="1642"/>
      <c r="J2998" s="1797"/>
      <c r="K2998" s="1797"/>
      <c r="L2998" s="1784"/>
      <c r="M2998" s="1785"/>
    </row>
    <row r="2999" spans="1:13" s="1517" customFormat="1" x14ac:dyDescent="0.25">
      <c r="A2999" s="179"/>
      <c r="B2999" s="179"/>
      <c r="C2999" s="1531"/>
      <c r="D2999" s="2141" t="s">
        <v>124</v>
      </c>
      <c r="E2999" s="2141"/>
      <c r="F2999" s="2141"/>
      <c r="G2999" s="2141"/>
      <c r="H2999" s="267">
        <f>SUMIF(F2996:F2998,("h"),H2996:H2998)</f>
        <v>1.81</v>
      </c>
      <c r="I2999" s="1830"/>
      <c r="J2999" s="1795"/>
      <c r="K2999" s="1795"/>
      <c r="L2999" s="169"/>
      <c r="M2999" s="1783"/>
    </row>
    <row r="3000" spans="1:13" s="1517" customFormat="1" x14ac:dyDescent="0.25">
      <c r="A3000" s="179"/>
      <c r="B3000" s="179"/>
      <c r="C3000" s="1531"/>
      <c r="D3000" s="2141" t="s">
        <v>125</v>
      </c>
      <c r="E3000" s="2141"/>
      <c r="F3000" s="2141"/>
      <c r="G3000" s="2141"/>
      <c r="H3000" s="267">
        <f>SUMIF(F2996:F2998,"&lt;&gt;h",H2996:H2998)</f>
        <v>2.04</v>
      </c>
      <c r="I3000" s="1830"/>
      <c r="J3000" s="1795"/>
      <c r="K3000" s="1795"/>
      <c r="L3000" s="169"/>
      <c r="M3000" s="1783"/>
    </row>
    <row r="3001" spans="1:13" s="1517" customFormat="1" x14ac:dyDescent="0.25">
      <c r="A3001" s="179"/>
      <c r="B3001" s="179"/>
      <c r="C3001" s="1531"/>
      <c r="D3001" s="2142" t="s">
        <v>126</v>
      </c>
      <c r="E3001" s="2142"/>
      <c r="F3001" s="2142"/>
      <c r="G3001" s="2142"/>
      <c r="H3001" s="1532">
        <f>SUM(H2999:H3000)</f>
        <v>3.85</v>
      </c>
      <c r="I3001" s="1830"/>
      <c r="J3001" s="1795"/>
      <c r="K3001" s="1795"/>
      <c r="L3001" s="169"/>
      <c r="M3001" s="1783"/>
    </row>
    <row r="3002" spans="1:13" s="1517" customFormat="1" x14ac:dyDescent="0.25">
      <c r="A3002" s="179"/>
      <c r="B3002" s="179"/>
      <c r="C3002" s="1531"/>
      <c r="D3002" s="2141" t="s">
        <v>28</v>
      </c>
      <c r="E3002" s="2141"/>
      <c r="F3002" s="2141"/>
      <c r="G3002" s="2141"/>
      <c r="H3002" s="269">
        <f>E2995</f>
        <v>1895.55</v>
      </c>
      <c r="I3002" s="1830"/>
      <c r="J3002" s="1795"/>
      <c r="K3002" s="1795"/>
      <c r="L3002" s="169"/>
      <c r="M3002" s="1783"/>
    </row>
    <row r="3003" spans="1:13" s="1517" customFormat="1" x14ac:dyDescent="0.25">
      <c r="A3003" s="179"/>
      <c r="B3003" s="179"/>
      <c r="C3003" s="1531"/>
      <c r="D3003" s="2142" t="s">
        <v>127</v>
      </c>
      <c r="E3003" s="2142"/>
      <c r="F3003" s="2142"/>
      <c r="G3003" s="2142"/>
      <c r="H3003" s="1532">
        <f>ROUND(H3001*H3002,2)</f>
        <v>7297.87</v>
      </c>
      <c r="I3003" s="1830"/>
      <c r="J3003" s="1795"/>
      <c r="K3003" s="1795"/>
      <c r="L3003" s="169"/>
      <c r="M3003" s="1783"/>
    </row>
    <row r="3004" spans="1:13" s="1517" customFormat="1" x14ac:dyDescent="0.25">
      <c r="A3004" s="179"/>
      <c r="B3004" s="179"/>
      <c r="C3004" s="1531"/>
      <c r="D3004" s="2141" t="s">
        <v>15335</v>
      </c>
      <c r="E3004" s="2141"/>
      <c r="F3004" s="2141"/>
      <c r="G3004" s="2141"/>
      <c r="H3004" s="267">
        <f>ROUND(H3001*$B$13,2)</f>
        <v>1.04</v>
      </c>
      <c r="I3004" s="1830"/>
      <c r="J3004" s="1795"/>
      <c r="K3004" s="1795"/>
      <c r="L3004" s="169"/>
      <c r="M3004" s="1783"/>
    </row>
    <row r="3005" spans="1:13" x14ac:dyDescent="0.25">
      <c r="A3005" s="179"/>
      <c r="B3005" s="179"/>
      <c r="C3005" s="1531"/>
      <c r="D3005" s="2142" t="s">
        <v>7898</v>
      </c>
      <c r="E3005" s="2142"/>
      <c r="F3005" s="2142"/>
      <c r="G3005" s="2142"/>
      <c r="H3005" s="1532">
        <f>H3004+H3001</f>
        <v>4.8900000000000006</v>
      </c>
    </row>
    <row r="3006" spans="1:13" x14ac:dyDescent="0.25">
      <c r="A3006" s="1514"/>
      <c r="B3006" s="1514"/>
      <c r="C3006" s="1514"/>
      <c r="F3006" s="1533"/>
      <c r="G3006" s="1534"/>
      <c r="H3006" s="1514"/>
    </row>
    <row r="3007" spans="1:13" s="1517" customFormat="1" x14ac:dyDescent="0.25">
      <c r="A3007" s="146" t="s">
        <v>6</v>
      </c>
      <c r="B3007" s="2143" t="s">
        <v>7</v>
      </c>
      <c r="C3007" s="2143"/>
      <c r="D3007" s="912" t="s">
        <v>121</v>
      </c>
      <c r="E3007" s="278" t="s">
        <v>5282</v>
      </c>
      <c r="F3007" s="912" t="s">
        <v>31</v>
      </c>
      <c r="G3007" s="913" t="s">
        <v>122</v>
      </c>
      <c r="H3007" s="914" t="s">
        <v>123</v>
      </c>
      <c r="I3007" s="1830"/>
      <c r="J3007" s="1795"/>
      <c r="K3007" s="1795"/>
      <c r="L3007" s="169"/>
      <c r="M3007" s="1783"/>
    </row>
    <row r="3008" spans="1:13" s="1526" customFormat="1" ht="45" x14ac:dyDescent="0.2">
      <c r="A3008" s="915" t="str">
        <f>'Orç - Prédio'!A539</f>
        <v>06.01.305.08</v>
      </c>
      <c r="B3008" s="927" t="str">
        <f>'Orç - Prédio'!B539</f>
        <v>CPOS</v>
      </c>
      <c r="C3008" s="927" t="str">
        <f>'Orç - Prédio'!C539</f>
        <v>39.26.030</v>
      </c>
      <c r="D3008" s="928" t="s">
        <v>8339</v>
      </c>
      <c r="E3008" s="916">
        <f>'Orç - Prédio'!E539</f>
        <v>837.55</v>
      </c>
      <c r="F3008" s="927" t="s">
        <v>5713</v>
      </c>
      <c r="G3008" s="917">
        <v>4.88</v>
      </c>
      <c r="H3008" s="918">
        <f>H3016</f>
        <v>4087.24</v>
      </c>
      <c r="I3008" s="1910" t="s">
        <v>9564</v>
      </c>
      <c r="J3008" s="1793"/>
      <c r="K3008" s="1793"/>
      <c r="L3008" s="141"/>
      <c r="M3008" s="1515"/>
    </row>
    <row r="3009" spans="1:13" s="156" customFormat="1" ht="60" x14ac:dyDescent="0.2">
      <c r="A3009" s="2144" t="s">
        <v>8340</v>
      </c>
      <c r="B3009" s="2144"/>
      <c r="C3009" s="1516" t="s">
        <v>5696</v>
      </c>
      <c r="D3009" s="1497" t="s">
        <v>8341</v>
      </c>
      <c r="E3009" s="1527">
        <v>1.02</v>
      </c>
      <c r="F3009" s="1816" t="s">
        <v>136</v>
      </c>
      <c r="G3009" s="367">
        <v>2.66</v>
      </c>
      <c r="H3009" s="922">
        <f>ROUNDDOWN(G3009*E3009,2)</f>
        <v>2.71</v>
      </c>
      <c r="I3009" s="1642"/>
      <c r="J3009" s="1797"/>
      <c r="K3009" s="1797"/>
      <c r="L3009" s="1784"/>
      <c r="M3009" s="1785"/>
    </row>
    <row r="3010" spans="1:13" s="156" customFormat="1" ht="30" x14ac:dyDescent="0.2">
      <c r="A3010" s="2144">
        <v>88247</v>
      </c>
      <c r="B3010" s="2144"/>
      <c r="C3010" s="911" t="s">
        <v>4448</v>
      </c>
      <c r="D3010" s="182" t="s">
        <v>71</v>
      </c>
      <c r="E3010" s="919">
        <v>0.06</v>
      </c>
      <c r="F3010" s="920" t="s">
        <v>65</v>
      </c>
      <c r="G3010" s="921">
        <v>16.02</v>
      </c>
      <c r="H3010" s="922">
        <f>ROUNDDOWN(G3010*E3010,2)</f>
        <v>0.96</v>
      </c>
      <c r="I3010" s="1642"/>
      <c r="J3010" s="1797"/>
      <c r="K3010" s="1797"/>
      <c r="L3010" s="1784"/>
      <c r="M3010" s="1785"/>
    </row>
    <row r="3011" spans="1:13" s="156" customFormat="1" ht="30" x14ac:dyDescent="0.2">
      <c r="A3011" s="2144">
        <v>88264</v>
      </c>
      <c r="B3011" s="2144"/>
      <c r="C3011" s="911" t="s">
        <v>4448</v>
      </c>
      <c r="D3011" s="182" t="s">
        <v>81</v>
      </c>
      <c r="E3011" s="919">
        <v>0.06</v>
      </c>
      <c r="F3011" s="920" t="s">
        <v>65</v>
      </c>
      <c r="G3011" s="921">
        <v>20.329999999999998</v>
      </c>
      <c r="H3011" s="922">
        <f>ROUNDDOWN(G3011*E3011,2)</f>
        <v>1.21</v>
      </c>
      <c r="I3011" s="1642"/>
      <c r="J3011" s="1797"/>
      <c r="K3011" s="1797"/>
      <c r="L3011" s="1784"/>
      <c r="M3011" s="1785"/>
    </row>
    <row r="3012" spans="1:13" s="1517" customFormat="1" x14ac:dyDescent="0.25">
      <c r="A3012" s="179"/>
      <c r="B3012" s="179"/>
      <c r="C3012" s="923"/>
      <c r="D3012" s="2141" t="s">
        <v>124</v>
      </c>
      <c r="E3012" s="2141"/>
      <c r="F3012" s="2141"/>
      <c r="G3012" s="2141"/>
      <c r="H3012" s="267">
        <f>SUMIF(F3009:F3011,("h"),H3009:H3011)</f>
        <v>2.17</v>
      </c>
      <c r="I3012" s="1830"/>
      <c r="J3012" s="1795"/>
      <c r="K3012" s="1795"/>
      <c r="L3012" s="169"/>
      <c r="M3012" s="1783"/>
    </row>
    <row r="3013" spans="1:13" s="1517" customFormat="1" x14ac:dyDescent="0.25">
      <c r="A3013" s="179"/>
      <c r="B3013" s="179"/>
      <c r="C3013" s="923"/>
      <c r="D3013" s="2141" t="s">
        <v>125</v>
      </c>
      <c r="E3013" s="2141"/>
      <c r="F3013" s="2141"/>
      <c r="G3013" s="2141"/>
      <c r="H3013" s="267">
        <f>SUMIF(F3009:F3011,"&lt;&gt;h",H3009:H3011)</f>
        <v>2.71</v>
      </c>
      <c r="I3013" s="1830"/>
      <c r="J3013" s="1795"/>
      <c r="K3013" s="1795"/>
      <c r="L3013" s="169"/>
      <c r="M3013" s="1783"/>
    </row>
    <row r="3014" spans="1:13" s="1517" customFormat="1" x14ac:dyDescent="0.25">
      <c r="A3014" s="179"/>
      <c r="B3014" s="179"/>
      <c r="C3014" s="923"/>
      <c r="D3014" s="2142" t="s">
        <v>126</v>
      </c>
      <c r="E3014" s="2142"/>
      <c r="F3014" s="2142"/>
      <c r="G3014" s="2142"/>
      <c r="H3014" s="924">
        <f>SUM(H3012:H3013)</f>
        <v>4.88</v>
      </c>
      <c r="I3014" s="1830"/>
      <c r="J3014" s="1795"/>
      <c r="K3014" s="1795"/>
      <c r="L3014" s="169"/>
      <c r="M3014" s="1783"/>
    </row>
    <row r="3015" spans="1:13" s="1517" customFormat="1" x14ac:dyDescent="0.25">
      <c r="A3015" s="179"/>
      <c r="B3015" s="179"/>
      <c r="C3015" s="923"/>
      <c r="D3015" s="2141" t="s">
        <v>28</v>
      </c>
      <c r="E3015" s="2141"/>
      <c r="F3015" s="2141"/>
      <c r="G3015" s="2141"/>
      <c r="H3015" s="269">
        <f>E3008</f>
        <v>837.55</v>
      </c>
      <c r="I3015" s="1830"/>
      <c r="J3015" s="1795"/>
      <c r="K3015" s="1795"/>
      <c r="L3015" s="169"/>
      <c r="M3015" s="1783"/>
    </row>
    <row r="3016" spans="1:13" s="1517" customFormat="1" x14ac:dyDescent="0.25">
      <c r="A3016" s="179"/>
      <c r="B3016" s="179"/>
      <c r="C3016" s="923"/>
      <c r="D3016" s="2142" t="s">
        <v>127</v>
      </c>
      <c r="E3016" s="2142"/>
      <c r="F3016" s="2142"/>
      <c r="G3016" s="2142"/>
      <c r="H3016" s="924">
        <f>ROUND(H3014*H3015,2)</f>
        <v>4087.24</v>
      </c>
      <c r="I3016" s="1830"/>
      <c r="J3016" s="1795"/>
      <c r="K3016" s="1795"/>
      <c r="L3016" s="169"/>
      <c r="M3016" s="1783"/>
    </row>
    <row r="3017" spans="1:13" s="1517" customFormat="1" x14ac:dyDescent="0.25">
      <c r="A3017" s="179"/>
      <c r="B3017" s="179"/>
      <c r="C3017" s="1531"/>
      <c r="D3017" s="2141" t="s">
        <v>15335</v>
      </c>
      <c r="E3017" s="2141"/>
      <c r="F3017" s="2141"/>
      <c r="G3017" s="2141"/>
      <c r="H3017" s="267">
        <f>ROUND(H3014*$B$13,2)</f>
        <v>1.31</v>
      </c>
      <c r="I3017" s="1830"/>
      <c r="J3017" s="1795"/>
      <c r="K3017" s="1795"/>
      <c r="L3017" s="169"/>
      <c r="M3017" s="1783"/>
    </row>
    <row r="3018" spans="1:13" x14ac:dyDescent="0.25">
      <c r="A3018" s="179"/>
      <c r="B3018" s="179"/>
      <c r="C3018" s="1531"/>
      <c r="D3018" s="2142" t="s">
        <v>7898</v>
      </c>
      <c r="E3018" s="2142"/>
      <c r="F3018" s="2142"/>
      <c r="G3018" s="2142"/>
      <c r="H3018" s="1532">
        <f>H3017+H3014</f>
        <v>6.1899999999999995</v>
      </c>
    </row>
    <row r="3019" spans="1:13" x14ac:dyDescent="0.25">
      <c r="A3019" s="910"/>
      <c r="B3019" s="910"/>
      <c r="C3019" s="910"/>
      <c r="F3019" s="925"/>
      <c r="G3019" s="926"/>
      <c r="H3019" s="910"/>
    </row>
    <row r="3020" spans="1:13" s="1517" customFormat="1" x14ac:dyDescent="0.25">
      <c r="A3020" s="146" t="s">
        <v>6</v>
      </c>
      <c r="B3020" s="2143" t="s">
        <v>7</v>
      </c>
      <c r="C3020" s="2143"/>
      <c r="D3020" s="931" t="s">
        <v>121</v>
      </c>
      <c r="E3020" s="278" t="s">
        <v>5282</v>
      </c>
      <c r="F3020" s="931" t="s">
        <v>31</v>
      </c>
      <c r="G3020" s="932" t="s">
        <v>122</v>
      </c>
      <c r="H3020" s="933" t="s">
        <v>123</v>
      </c>
      <c r="I3020" s="1830"/>
      <c r="J3020" s="1795"/>
      <c r="K3020" s="1795"/>
      <c r="L3020" s="169"/>
      <c r="M3020" s="1783"/>
    </row>
    <row r="3021" spans="1:13" s="1526" customFormat="1" ht="45" x14ac:dyDescent="0.2">
      <c r="A3021" s="934" t="str">
        <f>'Orç - Prédio'!A540</f>
        <v>06.01.305.09</v>
      </c>
      <c r="B3021" s="947" t="str">
        <f>'Orç - Prédio'!B540</f>
        <v>CPOS</v>
      </c>
      <c r="C3021" s="947" t="str">
        <f>'Orç - Prédio'!C540</f>
        <v>39.26.040</v>
      </c>
      <c r="D3021" s="948" t="s">
        <v>8347</v>
      </c>
      <c r="E3021" s="935">
        <f>'Orç - Prédio'!E540</f>
        <v>286.5</v>
      </c>
      <c r="F3021" s="947" t="s">
        <v>5713</v>
      </c>
      <c r="G3021" s="936">
        <v>6.24</v>
      </c>
      <c r="H3021" s="937">
        <f>H3029</f>
        <v>1787.76</v>
      </c>
      <c r="I3021" s="1910" t="s">
        <v>9564</v>
      </c>
      <c r="J3021" s="1793"/>
      <c r="K3021" s="1793"/>
      <c r="L3021" s="141"/>
      <c r="M3021" s="1515"/>
    </row>
    <row r="3022" spans="1:13" s="156" customFormat="1" ht="60" x14ac:dyDescent="0.2">
      <c r="A3022" s="2144" t="s">
        <v>8345</v>
      </c>
      <c r="B3022" s="2144"/>
      <c r="C3022" s="1516" t="s">
        <v>5696</v>
      </c>
      <c r="D3022" s="1497" t="s">
        <v>8346</v>
      </c>
      <c r="E3022" s="1527">
        <v>1.02</v>
      </c>
      <c r="F3022" s="1816" t="s">
        <v>136</v>
      </c>
      <c r="G3022" s="367">
        <v>3.63</v>
      </c>
      <c r="H3022" s="942">
        <f>ROUNDDOWN(G3022*E3022,2)</f>
        <v>3.7</v>
      </c>
      <c r="I3022" s="1642"/>
      <c r="J3022" s="1797"/>
      <c r="K3022" s="1797"/>
      <c r="L3022" s="1784"/>
      <c r="M3022" s="1785"/>
    </row>
    <row r="3023" spans="1:13" s="156" customFormat="1" ht="30" x14ac:dyDescent="0.2">
      <c r="A3023" s="2144">
        <v>88247</v>
      </c>
      <c r="B3023" s="2144"/>
      <c r="C3023" s="930" t="s">
        <v>4448</v>
      </c>
      <c r="D3023" s="182" t="s">
        <v>71</v>
      </c>
      <c r="E3023" s="939">
        <v>7.0000000000000007E-2</v>
      </c>
      <c r="F3023" s="940" t="s">
        <v>65</v>
      </c>
      <c r="G3023" s="941">
        <v>16.02</v>
      </c>
      <c r="H3023" s="942">
        <f>ROUNDDOWN(G3023*E3023,2)</f>
        <v>1.1200000000000001</v>
      </c>
      <c r="I3023" s="1642"/>
      <c r="J3023" s="1797"/>
      <c r="K3023" s="1797"/>
      <c r="L3023" s="1784"/>
      <c r="M3023" s="1785"/>
    </row>
    <row r="3024" spans="1:13" s="156" customFormat="1" ht="30" x14ac:dyDescent="0.2">
      <c r="A3024" s="2144">
        <v>88264</v>
      </c>
      <c r="B3024" s="2144"/>
      <c r="C3024" s="930" t="s">
        <v>4448</v>
      </c>
      <c r="D3024" s="182" t="s">
        <v>81</v>
      </c>
      <c r="E3024" s="939">
        <v>7.0000000000000007E-2</v>
      </c>
      <c r="F3024" s="940" t="s">
        <v>65</v>
      </c>
      <c r="G3024" s="941">
        <v>20.329999999999998</v>
      </c>
      <c r="H3024" s="942">
        <f>ROUNDDOWN(G3024*E3024,2)</f>
        <v>1.42</v>
      </c>
      <c r="I3024" s="1642"/>
      <c r="J3024" s="1797"/>
      <c r="K3024" s="1797"/>
      <c r="L3024" s="1784"/>
      <c r="M3024" s="1785"/>
    </row>
    <row r="3025" spans="1:13" s="1517" customFormat="1" x14ac:dyDescent="0.25">
      <c r="A3025" s="179"/>
      <c r="B3025" s="179"/>
      <c r="C3025" s="943"/>
      <c r="D3025" s="2141" t="s">
        <v>124</v>
      </c>
      <c r="E3025" s="2141"/>
      <c r="F3025" s="2141"/>
      <c r="G3025" s="2141"/>
      <c r="H3025" s="267">
        <f>SUMIF(F3022:F3024,("h"),H3022:H3024)</f>
        <v>2.54</v>
      </c>
      <c r="I3025" s="1830"/>
      <c r="J3025" s="1795"/>
      <c r="K3025" s="1795"/>
      <c r="L3025" s="169"/>
      <c r="M3025" s="1783"/>
    </row>
    <row r="3026" spans="1:13" s="1517" customFormat="1" x14ac:dyDescent="0.25">
      <c r="A3026" s="179"/>
      <c r="B3026" s="179"/>
      <c r="C3026" s="943"/>
      <c r="D3026" s="2141" t="s">
        <v>125</v>
      </c>
      <c r="E3026" s="2141"/>
      <c r="F3026" s="2141"/>
      <c r="G3026" s="2141"/>
      <c r="H3026" s="267">
        <f>SUMIF(F3022:F3024,"&lt;&gt;h",H3022:H3024)</f>
        <v>3.7</v>
      </c>
      <c r="I3026" s="1830"/>
      <c r="J3026" s="1795"/>
      <c r="K3026" s="1795"/>
      <c r="L3026" s="169"/>
      <c r="M3026" s="1783"/>
    </row>
    <row r="3027" spans="1:13" s="1517" customFormat="1" x14ac:dyDescent="0.25">
      <c r="A3027" s="179"/>
      <c r="B3027" s="179"/>
      <c r="C3027" s="943"/>
      <c r="D3027" s="2142" t="s">
        <v>126</v>
      </c>
      <c r="E3027" s="2142"/>
      <c r="F3027" s="2142"/>
      <c r="G3027" s="2142"/>
      <c r="H3027" s="944">
        <f>SUM(H3025:H3026)</f>
        <v>6.24</v>
      </c>
      <c r="I3027" s="1830"/>
      <c r="J3027" s="1795"/>
      <c r="K3027" s="1795"/>
      <c r="L3027" s="169"/>
      <c r="M3027" s="1783"/>
    </row>
    <row r="3028" spans="1:13" s="1517" customFormat="1" x14ac:dyDescent="0.25">
      <c r="A3028" s="179"/>
      <c r="B3028" s="179"/>
      <c r="C3028" s="943"/>
      <c r="D3028" s="2141" t="s">
        <v>28</v>
      </c>
      <c r="E3028" s="2141"/>
      <c r="F3028" s="2141"/>
      <c r="G3028" s="2141"/>
      <c r="H3028" s="269">
        <f>E3021</f>
        <v>286.5</v>
      </c>
      <c r="I3028" s="1830"/>
      <c r="J3028" s="1795"/>
      <c r="K3028" s="1795"/>
      <c r="L3028" s="169"/>
      <c r="M3028" s="1783"/>
    </row>
    <row r="3029" spans="1:13" s="1517" customFormat="1" x14ac:dyDescent="0.25">
      <c r="A3029" s="179"/>
      <c r="B3029" s="179"/>
      <c r="C3029" s="943"/>
      <c r="D3029" s="2142" t="s">
        <v>127</v>
      </c>
      <c r="E3029" s="2142"/>
      <c r="F3029" s="2142"/>
      <c r="G3029" s="2142"/>
      <c r="H3029" s="944">
        <f>ROUND(H3027*H3028,2)</f>
        <v>1787.76</v>
      </c>
      <c r="I3029" s="1830"/>
      <c r="J3029" s="1795"/>
      <c r="K3029" s="1795"/>
      <c r="L3029" s="169"/>
      <c r="M3029" s="1783"/>
    </row>
    <row r="3030" spans="1:13" s="1517" customFormat="1" x14ac:dyDescent="0.25">
      <c r="A3030" s="179"/>
      <c r="B3030" s="179"/>
      <c r="C3030" s="1531"/>
      <c r="D3030" s="2141" t="s">
        <v>15335</v>
      </c>
      <c r="E3030" s="2141"/>
      <c r="F3030" s="2141"/>
      <c r="G3030" s="2141"/>
      <c r="H3030" s="267">
        <f>ROUND(H3027*$B$13,2)</f>
        <v>1.68</v>
      </c>
      <c r="I3030" s="1830"/>
      <c r="J3030" s="1795"/>
      <c r="K3030" s="1795"/>
      <c r="L3030" s="169"/>
      <c r="M3030" s="1783"/>
    </row>
    <row r="3031" spans="1:13" x14ac:dyDescent="0.25">
      <c r="A3031" s="179"/>
      <c r="B3031" s="179"/>
      <c r="C3031" s="1531"/>
      <c r="D3031" s="2142" t="s">
        <v>7898</v>
      </c>
      <c r="E3031" s="2142"/>
      <c r="F3031" s="2142"/>
      <c r="G3031" s="2142"/>
      <c r="H3031" s="1532">
        <f>H3030+H3027</f>
        <v>7.92</v>
      </c>
    </row>
    <row r="3032" spans="1:13" x14ac:dyDescent="0.25">
      <c r="A3032" s="929"/>
      <c r="B3032" s="929"/>
      <c r="C3032" s="929"/>
      <c r="F3032" s="945"/>
      <c r="G3032" s="946"/>
      <c r="H3032" s="929"/>
    </row>
    <row r="3033" spans="1:13" s="1517" customFormat="1" x14ac:dyDescent="0.25">
      <c r="A3033" s="146" t="s">
        <v>6</v>
      </c>
      <c r="B3033" s="2143" t="s">
        <v>7</v>
      </c>
      <c r="C3033" s="2143"/>
      <c r="D3033" s="931" t="s">
        <v>121</v>
      </c>
      <c r="E3033" s="278" t="s">
        <v>5282</v>
      </c>
      <c r="F3033" s="931" t="s">
        <v>31</v>
      </c>
      <c r="G3033" s="932" t="s">
        <v>122</v>
      </c>
      <c r="H3033" s="933" t="s">
        <v>123</v>
      </c>
      <c r="I3033" s="1830"/>
      <c r="J3033" s="1795"/>
      <c r="K3033" s="1795"/>
      <c r="L3033" s="169"/>
      <c r="M3033" s="1783"/>
    </row>
    <row r="3034" spans="1:13" s="1526" customFormat="1" ht="45" x14ac:dyDescent="0.2">
      <c r="A3034" s="934" t="str">
        <f>'Orç - Prédio'!A541</f>
        <v>06.01.305.10</v>
      </c>
      <c r="B3034" s="947" t="str">
        <f>'Orç - Prédio'!B541</f>
        <v>CPOS</v>
      </c>
      <c r="C3034" s="947" t="str">
        <f>'Orç - Prédio'!C541</f>
        <v>39.16.050</v>
      </c>
      <c r="D3034" s="948" t="s">
        <v>8349</v>
      </c>
      <c r="E3034" s="935">
        <f>'Orç - Prédio'!E541</f>
        <v>2110.75</v>
      </c>
      <c r="F3034" s="947" t="s">
        <v>5713</v>
      </c>
      <c r="G3034" s="936">
        <v>8.61</v>
      </c>
      <c r="H3034" s="937">
        <f>H3042</f>
        <v>18173.560000000001</v>
      </c>
      <c r="I3034" s="1910" t="s">
        <v>9564</v>
      </c>
      <c r="J3034" s="1793"/>
      <c r="K3034" s="1793"/>
      <c r="L3034" s="141"/>
      <c r="M3034" s="1515"/>
    </row>
    <row r="3035" spans="1:13" s="156" customFormat="1" ht="60" x14ac:dyDescent="0.2">
      <c r="A3035" s="2144" t="s">
        <v>8351</v>
      </c>
      <c r="B3035" s="2144"/>
      <c r="C3035" s="930" t="s">
        <v>5696</v>
      </c>
      <c r="D3035" s="1497" t="s">
        <v>8350</v>
      </c>
      <c r="E3035" s="939">
        <v>1.02</v>
      </c>
      <c r="F3035" s="940" t="s">
        <v>136</v>
      </c>
      <c r="G3035" s="367">
        <v>5.6</v>
      </c>
      <c r="H3035" s="942">
        <f>ROUNDDOWN(G3035*E3035,2)</f>
        <v>5.71</v>
      </c>
      <c r="I3035" s="1642"/>
      <c r="J3035" s="1797"/>
      <c r="K3035" s="1797"/>
      <c r="L3035" s="1784"/>
      <c r="M3035" s="1785"/>
    </row>
    <row r="3036" spans="1:13" s="156" customFormat="1" ht="30" x14ac:dyDescent="0.2">
      <c r="A3036" s="2144">
        <v>88247</v>
      </c>
      <c r="B3036" s="2144"/>
      <c r="C3036" s="930" t="s">
        <v>4448</v>
      </c>
      <c r="D3036" s="182" t="s">
        <v>71</v>
      </c>
      <c r="E3036" s="939">
        <v>0.08</v>
      </c>
      <c r="F3036" s="940" t="s">
        <v>65</v>
      </c>
      <c r="G3036" s="941">
        <v>16.02</v>
      </c>
      <c r="H3036" s="942">
        <f>ROUNDDOWN(G3036*E3036,2)</f>
        <v>1.28</v>
      </c>
      <c r="I3036" s="1642"/>
      <c r="J3036" s="1797"/>
      <c r="K3036" s="1797"/>
      <c r="L3036" s="1784"/>
      <c r="M3036" s="1785"/>
    </row>
    <row r="3037" spans="1:13" s="156" customFormat="1" ht="30" x14ac:dyDescent="0.2">
      <c r="A3037" s="2144">
        <v>88264</v>
      </c>
      <c r="B3037" s="2144"/>
      <c r="C3037" s="930" t="s">
        <v>4448</v>
      </c>
      <c r="D3037" s="182" t="s">
        <v>81</v>
      </c>
      <c r="E3037" s="939">
        <v>0.08</v>
      </c>
      <c r="F3037" s="940" t="s">
        <v>65</v>
      </c>
      <c r="G3037" s="941">
        <v>20.329999999999998</v>
      </c>
      <c r="H3037" s="942">
        <f>ROUNDDOWN(G3037*E3037,2)</f>
        <v>1.62</v>
      </c>
      <c r="I3037" s="1642"/>
      <c r="J3037" s="1797"/>
      <c r="K3037" s="1797"/>
      <c r="L3037" s="1784"/>
      <c r="M3037" s="1785"/>
    </row>
    <row r="3038" spans="1:13" s="1517" customFormat="1" x14ac:dyDescent="0.25">
      <c r="A3038" s="179"/>
      <c r="B3038" s="179"/>
      <c r="C3038" s="943"/>
      <c r="D3038" s="2141" t="s">
        <v>124</v>
      </c>
      <c r="E3038" s="2141"/>
      <c r="F3038" s="2141"/>
      <c r="G3038" s="2141"/>
      <c r="H3038" s="267">
        <f>SUMIF(F3035:F3037,("h"),H3035:H3037)</f>
        <v>2.9000000000000004</v>
      </c>
      <c r="I3038" s="1830"/>
      <c r="J3038" s="1795"/>
      <c r="K3038" s="1795"/>
      <c r="L3038" s="169"/>
      <c r="M3038" s="1783"/>
    </row>
    <row r="3039" spans="1:13" s="1517" customFormat="1" x14ac:dyDescent="0.25">
      <c r="A3039" s="179"/>
      <c r="B3039" s="179"/>
      <c r="C3039" s="943"/>
      <c r="D3039" s="2141" t="s">
        <v>125</v>
      </c>
      <c r="E3039" s="2141"/>
      <c r="F3039" s="2141"/>
      <c r="G3039" s="2141"/>
      <c r="H3039" s="267">
        <f>SUMIF(F3035:F3037,"&lt;&gt;h",H3035:H3037)</f>
        <v>5.71</v>
      </c>
      <c r="I3039" s="1830"/>
      <c r="J3039" s="1795"/>
      <c r="K3039" s="1795"/>
      <c r="L3039" s="169"/>
      <c r="M3039" s="1783"/>
    </row>
    <row r="3040" spans="1:13" s="1517" customFormat="1" x14ac:dyDescent="0.25">
      <c r="A3040" s="179"/>
      <c r="B3040" s="179"/>
      <c r="C3040" s="943"/>
      <c r="D3040" s="2142" t="s">
        <v>126</v>
      </c>
      <c r="E3040" s="2142"/>
      <c r="F3040" s="2142"/>
      <c r="G3040" s="2142"/>
      <c r="H3040" s="944">
        <f>SUM(H3038:H3039)</f>
        <v>8.61</v>
      </c>
      <c r="I3040" s="1830"/>
      <c r="J3040" s="1795"/>
      <c r="K3040" s="1795"/>
      <c r="L3040" s="169"/>
      <c r="M3040" s="1783"/>
    </row>
    <row r="3041" spans="1:13" s="1517" customFormat="1" x14ac:dyDescent="0.25">
      <c r="A3041" s="179"/>
      <c r="B3041" s="179"/>
      <c r="C3041" s="943"/>
      <c r="D3041" s="2141" t="s">
        <v>28</v>
      </c>
      <c r="E3041" s="2141"/>
      <c r="F3041" s="2141"/>
      <c r="G3041" s="2141"/>
      <c r="H3041" s="269">
        <f>E3034</f>
        <v>2110.75</v>
      </c>
      <c r="I3041" s="1830"/>
      <c r="J3041" s="1795"/>
      <c r="K3041" s="1795"/>
      <c r="L3041" s="169"/>
      <c r="M3041" s="1783"/>
    </row>
    <row r="3042" spans="1:13" s="1517" customFormat="1" x14ac:dyDescent="0.25">
      <c r="A3042" s="179"/>
      <c r="B3042" s="179"/>
      <c r="C3042" s="943"/>
      <c r="D3042" s="2142" t="s">
        <v>127</v>
      </c>
      <c r="E3042" s="2142"/>
      <c r="F3042" s="2142"/>
      <c r="G3042" s="2142"/>
      <c r="H3042" s="944">
        <f>ROUND(H3040*H3041,2)</f>
        <v>18173.560000000001</v>
      </c>
      <c r="I3042" s="1830"/>
      <c r="J3042" s="1795"/>
      <c r="K3042" s="1795"/>
      <c r="L3042" s="169"/>
      <c r="M3042" s="1783"/>
    </row>
    <row r="3043" spans="1:13" s="1517" customFormat="1" x14ac:dyDescent="0.25">
      <c r="A3043" s="179"/>
      <c r="B3043" s="179"/>
      <c r="C3043" s="1531"/>
      <c r="D3043" s="2141" t="s">
        <v>15335</v>
      </c>
      <c r="E3043" s="2141"/>
      <c r="F3043" s="2141"/>
      <c r="G3043" s="2141"/>
      <c r="H3043" s="267">
        <f>ROUND(H3040*$B$13,2)</f>
        <v>2.3199999999999998</v>
      </c>
      <c r="I3043" s="1830"/>
      <c r="J3043" s="1795"/>
      <c r="K3043" s="1795"/>
      <c r="L3043" s="169"/>
      <c r="M3043" s="1783"/>
    </row>
    <row r="3044" spans="1:13" x14ac:dyDescent="0.25">
      <c r="A3044" s="179"/>
      <c r="B3044" s="179"/>
      <c r="C3044" s="1531"/>
      <c r="D3044" s="2142" t="s">
        <v>7898</v>
      </c>
      <c r="E3044" s="2142"/>
      <c r="F3044" s="2142"/>
      <c r="G3044" s="2142"/>
      <c r="H3044" s="1532">
        <f>H3043+H3040</f>
        <v>10.93</v>
      </c>
    </row>
    <row r="3045" spans="1:13" x14ac:dyDescent="0.25">
      <c r="A3045" s="929"/>
      <c r="B3045" s="929"/>
      <c r="C3045" s="929"/>
      <c r="F3045" s="945"/>
      <c r="G3045" s="946"/>
      <c r="H3045" s="929"/>
    </row>
    <row r="3046" spans="1:13" s="1517" customFormat="1" x14ac:dyDescent="0.25">
      <c r="A3046" s="146" t="s">
        <v>6</v>
      </c>
      <c r="B3046" s="2143" t="s">
        <v>7</v>
      </c>
      <c r="C3046" s="2143"/>
      <c r="D3046" s="931" t="s">
        <v>121</v>
      </c>
      <c r="E3046" s="278" t="s">
        <v>5282</v>
      </c>
      <c r="F3046" s="931" t="s">
        <v>31</v>
      </c>
      <c r="G3046" s="932" t="s">
        <v>122</v>
      </c>
      <c r="H3046" s="933" t="s">
        <v>123</v>
      </c>
      <c r="I3046" s="1830"/>
      <c r="J3046" s="1795"/>
      <c r="K3046" s="1795"/>
      <c r="L3046" s="169"/>
      <c r="M3046" s="1783"/>
    </row>
    <row r="3047" spans="1:13" s="1526" customFormat="1" ht="45" x14ac:dyDescent="0.2">
      <c r="A3047" s="934" t="str">
        <f>'Orç - Prédio'!A542</f>
        <v>06.01.305.11</v>
      </c>
      <c r="B3047" s="947" t="str">
        <f>'Orç - Prédio'!B542</f>
        <v>CPOS</v>
      </c>
      <c r="C3047" s="947" t="str">
        <f>'Orç - Prédio'!C542</f>
        <v>39.16.060</v>
      </c>
      <c r="D3047" s="948" t="s">
        <v>8355</v>
      </c>
      <c r="E3047" s="935">
        <f>'Orç - Prédio'!E542</f>
        <v>798.25</v>
      </c>
      <c r="F3047" s="947" t="s">
        <v>5713</v>
      </c>
      <c r="G3047" s="936">
        <v>11.799999999999999</v>
      </c>
      <c r="H3047" s="937">
        <f>H3055</f>
        <v>9419.35</v>
      </c>
      <c r="I3047" s="1910" t="s">
        <v>9564</v>
      </c>
      <c r="J3047" s="1793"/>
      <c r="K3047" s="1793"/>
      <c r="L3047" s="141"/>
      <c r="M3047" s="1515"/>
    </row>
    <row r="3048" spans="1:13" s="156" customFormat="1" ht="60" x14ac:dyDescent="0.2">
      <c r="A3048" s="2144" t="s">
        <v>8353</v>
      </c>
      <c r="B3048" s="2144"/>
      <c r="C3048" s="1516" t="s">
        <v>5696</v>
      </c>
      <c r="D3048" s="1497" t="s">
        <v>8354</v>
      </c>
      <c r="E3048" s="1527">
        <v>1.02</v>
      </c>
      <c r="F3048" s="1816" t="s">
        <v>136</v>
      </c>
      <c r="G3048" s="367">
        <v>8.3800000000000008</v>
      </c>
      <c r="H3048" s="942">
        <f>ROUNDDOWN(G3048*E3048,2)</f>
        <v>8.5399999999999991</v>
      </c>
      <c r="I3048" s="1642"/>
      <c r="J3048" s="1797"/>
      <c r="K3048" s="1797"/>
      <c r="L3048" s="1784"/>
      <c r="M3048" s="1785"/>
    </row>
    <row r="3049" spans="1:13" s="156" customFormat="1" ht="30" x14ac:dyDescent="0.2">
      <c r="A3049" s="2144">
        <v>88247</v>
      </c>
      <c r="B3049" s="2144"/>
      <c r="C3049" s="930" t="s">
        <v>4448</v>
      </c>
      <c r="D3049" s="182" t="s">
        <v>71</v>
      </c>
      <c r="E3049" s="939">
        <v>0.09</v>
      </c>
      <c r="F3049" s="940" t="s">
        <v>65</v>
      </c>
      <c r="G3049" s="941">
        <v>16.02</v>
      </c>
      <c r="H3049" s="942">
        <f>ROUNDDOWN(G3049*E3049,2)</f>
        <v>1.44</v>
      </c>
      <c r="I3049" s="1642"/>
      <c r="J3049" s="1797"/>
      <c r="K3049" s="1797"/>
      <c r="L3049" s="1784"/>
      <c r="M3049" s="1785"/>
    </row>
    <row r="3050" spans="1:13" s="156" customFormat="1" ht="30" x14ac:dyDescent="0.2">
      <c r="A3050" s="2144">
        <v>88264</v>
      </c>
      <c r="B3050" s="2144"/>
      <c r="C3050" s="930" t="s">
        <v>4448</v>
      </c>
      <c r="D3050" s="182" t="s">
        <v>81</v>
      </c>
      <c r="E3050" s="939">
        <v>0.09</v>
      </c>
      <c r="F3050" s="940" t="s">
        <v>65</v>
      </c>
      <c r="G3050" s="941">
        <v>20.329999999999998</v>
      </c>
      <c r="H3050" s="942">
        <f>ROUNDDOWN(G3050*E3050,2)</f>
        <v>1.82</v>
      </c>
      <c r="I3050" s="1642"/>
      <c r="J3050" s="1797"/>
      <c r="K3050" s="1797"/>
      <c r="L3050" s="1784"/>
      <c r="M3050" s="1785"/>
    </row>
    <row r="3051" spans="1:13" s="1517" customFormat="1" x14ac:dyDescent="0.25">
      <c r="A3051" s="179"/>
      <c r="B3051" s="179"/>
      <c r="C3051" s="943"/>
      <c r="D3051" s="2141" t="s">
        <v>124</v>
      </c>
      <c r="E3051" s="2141"/>
      <c r="F3051" s="2141"/>
      <c r="G3051" s="2141"/>
      <c r="H3051" s="267">
        <f>SUMIF(F3048:F3050,("h"),H3048:H3050)</f>
        <v>3.26</v>
      </c>
      <c r="I3051" s="1830"/>
      <c r="J3051" s="1795"/>
      <c r="K3051" s="1795"/>
      <c r="L3051" s="169"/>
      <c r="M3051" s="1783"/>
    </row>
    <row r="3052" spans="1:13" s="1517" customFormat="1" x14ac:dyDescent="0.25">
      <c r="A3052" s="179"/>
      <c r="B3052" s="179"/>
      <c r="C3052" s="943"/>
      <c r="D3052" s="2141" t="s">
        <v>125</v>
      </c>
      <c r="E3052" s="2141"/>
      <c r="F3052" s="2141"/>
      <c r="G3052" s="2141"/>
      <c r="H3052" s="267">
        <f>SUMIF(F3048:F3050,"&lt;&gt;h",H3048:H3050)</f>
        <v>8.5399999999999991</v>
      </c>
      <c r="I3052" s="1830"/>
      <c r="J3052" s="1795"/>
      <c r="K3052" s="1795"/>
      <c r="L3052" s="169"/>
      <c r="M3052" s="1783"/>
    </row>
    <row r="3053" spans="1:13" s="1517" customFormat="1" x14ac:dyDescent="0.25">
      <c r="A3053" s="179"/>
      <c r="B3053" s="179"/>
      <c r="C3053" s="943"/>
      <c r="D3053" s="2142" t="s">
        <v>126</v>
      </c>
      <c r="E3053" s="2142"/>
      <c r="F3053" s="2142"/>
      <c r="G3053" s="2142"/>
      <c r="H3053" s="944">
        <f>SUM(H3051:H3052)</f>
        <v>11.799999999999999</v>
      </c>
      <c r="I3053" s="1830"/>
      <c r="J3053" s="1795"/>
      <c r="K3053" s="1795"/>
      <c r="L3053" s="169"/>
      <c r="M3053" s="1783"/>
    </row>
    <row r="3054" spans="1:13" s="1517" customFormat="1" x14ac:dyDescent="0.25">
      <c r="A3054" s="179"/>
      <c r="B3054" s="179"/>
      <c r="C3054" s="943"/>
      <c r="D3054" s="2141" t="s">
        <v>28</v>
      </c>
      <c r="E3054" s="2141"/>
      <c r="F3054" s="2141"/>
      <c r="G3054" s="2141"/>
      <c r="H3054" s="269">
        <f>E3047</f>
        <v>798.25</v>
      </c>
      <c r="I3054" s="1830"/>
      <c r="J3054" s="1795"/>
      <c r="K3054" s="1795"/>
      <c r="L3054" s="169"/>
      <c r="M3054" s="1783"/>
    </row>
    <row r="3055" spans="1:13" s="1517" customFormat="1" x14ac:dyDescent="0.25">
      <c r="A3055" s="179"/>
      <c r="B3055" s="179"/>
      <c r="C3055" s="943"/>
      <c r="D3055" s="2142" t="s">
        <v>127</v>
      </c>
      <c r="E3055" s="2142"/>
      <c r="F3055" s="2142"/>
      <c r="G3055" s="2142"/>
      <c r="H3055" s="944">
        <f>ROUND(H3053*H3054,2)</f>
        <v>9419.35</v>
      </c>
      <c r="I3055" s="1830"/>
      <c r="J3055" s="1795"/>
      <c r="K3055" s="1795"/>
      <c r="L3055" s="169"/>
      <c r="M3055" s="1783"/>
    </row>
    <row r="3056" spans="1:13" s="1517" customFormat="1" x14ac:dyDescent="0.25">
      <c r="A3056" s="179"/>
      <c r="B3056" s="179"/>
      <c r="C3056" s="1531"/>
      <c r="D3056" s="2141" t="s">
        <v>15335</v>
      </c>
      <c r="E3056" s="2141"/>
      <c r="F3056" s="2141"/>
      <c r="G3056" s="2141"/>
      <c r="H3056" s="267">
        <f>ROUND(H3053*$B$13,2)</f>
        <v>3.18</v>
      </c>
      <c r="I3056" s="1830"/>
      <c r="J3056" s="1795"/>
      <c r="K3056" s="1795"/>
      <c r="L3056" s="169"/>
      <c r="M3056" s="1783"/>
    </row>
    <row r="3057" spans="1:13" x14ac:dyDescent="0.25">
      <c r="A3057" s="179"/>
      <c r="B3057" s="179"/>
      <c r="C3057" s="1531"/>
      <c r="D3057" s="2142" t="s">
        <v>7898</v>
      </c>
      <c r="E3057" s="2142"/>
      <c r="F3057" s="2142"/>
      <c r="G3057" s="2142"/>
      <c r="H3057" s="1532">
        <f>H3056+H3053</f>
        <v>14.979999999999999</v>
      </c>
    </row>
    <row r="3058" spans="1:13" x14ac:dyDescent="0.25">
      <c r="A3058" s="929"/>
      <c r="B3058" s="929"/>
      <c r="C3058" s="929"/>
      <c r="F3058" s="945"/>
      <c r="G3058" s="946"/>
      <c r="H3058" s="929"/>
    </row>
    <row r="3059" spans="1:13" s="1517" customFormat="1" x14ac:dyDescent="0.25">
      <c r="A3059" s="146" t="s">
        <v>6</v>
      </c>
      <c r="B3059" s="2143" t="s">
        <v>7</v>
      </c>
      <c r="C3059" s="2143"/>
      <c r="D3059" s="931" t="s">
        <v>121</v>
      </c>
      <c r="E3059" s="278" t="s">
        <v>5282</v>
      </c>
      <c r="F3059" s="931" t="s">
        <v>31</v>
      </c>
      <c r="G3059" s="932" t="s">
        <v>122</v>
      </c>
      <c r="H3059" s="933" t="s">
        <v>123</v>
      </c>
      <c r="I3059" s="1830"/>
      <c r="J3059" s="1795"/>
      <c r="K3059" s="1795"/>
      <c r="L3059" s="169"/>
      <c r="M3059" s="1783"/>
    </row>
    <row r="3060" spans="1:13" s="1526" customFormat="1" ht="45" x14ac:dyDescent="0.2">
      <c r="A3060" s="934" t="str">
        <f>'Orç - Prédio'!A543</f>
        <v>06.01.305.12</v>
      </c>
      <c r="B3060" s="947" t="str">
        <f>'Orç - Prédio'!B543</f>
        <v>CPOS</v>
      </c>
      <c r="C3060" s="947" t="str">
        <f>'Orç - Prédio'!C543</f>
        <v>39.26.070</v>
      </c>
      <c r="D3060" s="948" t="s">
        <v>8359</v>
      </c>
      <c r="E3060" s="935">
        <f>'Orç - Prédio'!E543</f>
        <v>703.15</v>
      </c>
      <c r="F3060" s="947" t="s">
        <v>5713</v>
      </c>
      <c r="G3060" s="936">
        <v>16.68</v>
      </c>
      <c r="H3060" s="937">
        <f>H3068</f>
        <v>11728.54</v>
      </c>
      <c r="I3060" s="1910" t="s">
        <v>9564</v>
      </c>
      <c r="J3060" s="1793"/>
      <c r="K3060" s="1793"/>
      <c r="L3060" s="141"/>
      <c r="M3060" s="1515"/>
    </row>
    <row r="3061" spans="1:13" s="156" customFormat="1" ht="60" x14ac:dyDescent="0.2">
      <c r="A3061" s="2144" t="s">
        <v>8357</v>
      </c>
      <c r="B3061" s="2144"/>
      <c r="C3061" s="1516" t="s">
        <v>5696</v>
      </c>
      <c r="D3061" s="1497" t="s">
        <v>8358</v>
      </c>
      <c r="E3061" s="1527">
        <v>1.02</v>
      </c>
      <c r="F3061" s="1816" t="s">
        <v>136</v>
      </c>
      <c r="G3061" s="367">
        <v>12.8</v>
      </c>
      <c r="H3061" s="942">
        <f>ROUNDDOWN(G3061*E3061,2)</f>
        <v>13.05</v>
      </c>
      <c r="I3061" s="1642"/>
      <c r="J3061" s="1797"/>
      <c r="K3061" s="1797"/>
      <c r="L3061" s="1784"/>
      <c r="M3061" s="1785"/>
    </row>
    <row r="3062" spans="1:13" s="156" customFormat="1" ht="30" x14ac:dyDescent="0.2">
      <c r="A3062" s="2144">
        <v>88247</v>
      </c>
      <c r="B3062" s="2144"/>
      <c r="C3062" s="930" t="s">
        <v>4448</v>
      </c>
      <c r="D3062" s="182" t="s">
        <v>71</v>
      </c>
      <c r="E3062" s="939">
        <v>0.1</v>
      </c>
      <c r="F3062" s="940" t="s">
        <v>65</v>
      </c>
      <c r="G3062" s="941">
        <v>16.02</v>
      </c>
      <c r="H3062" s="942">
        <f>ROUNDDOWN(G3062*E3062,2)</f>
        <v>1.6</v>
      </c>
      <c r="I3062" s="1642"/>
      <c r="J3062" s="1797"/>
      <c r="K3062" s="1797"/>
      <c r="L3062" s="1784"/>
      <c r="M3062" s="1785"/>
    </row>
    <row r="3063" spans="1:13" s="156" customFormat="1" ht="30" x14ac:dyDescent="0.2">
      <c r="A3063" s="2144">
        <v>88264</v>
      </c>
      <c r="B3063" s="2144"/>
      <c r="C3063" s="930" t="s">
        <v>4448</v>
      </c>
      <c r="D3063" s="182" t="s">
        <v>81</v>
      </c>
      <c r="E3063" s="939">
        <v>0.1</v>
      </c>
      <c r="F3063" s="940" t="s">
        <v>65</v>
      </c>
      <c r="G3063" s="941">
        <v>20.329999999999998</v>
      </c>
      <c r="H3063" s="942">
        <f>ROUNDDOWN(G3063*E3063,2)</f>
        <v>2.0299999999999998</v>
      </c>
      <c r="I3063" s="1642"/>
      <c r="J3063" s="1797"/>
      <c r="K3063" s="1797"/>
      <c r="L3063" s="1784"/>
      <c r="M3063" s="1785"/>
    </row>
    <row r="3064" spans="1:13" s="1517" customFormat="1" x14ac:dyDescent="0.25">
      <c r="A3064" s="179"/>
      <c r="B3064" s="179"/>
      <c r="C3064" s="943"/>
      <c r="D3064" s="2141" t="s">
        <v>124</v>
      </c>
      <c r="E3064" s="2141"/>
      <c r="F3064" s="2141"/>
      <c r="G3064" s="2141"/>
      <c r="H3064" s="267">
        <f>SUMIF(F3061:F3063,("h"),H3061:H3063)</f>
        <v>3.63</v>
      </c>
      <c r="I3064" s="1830"/>
      <c r="J3064" s="1795"/>
      <c r="K3064" s="1795"/>
      <c r="L3064" s="169"/>
      <c r="M3064" s="1783"/>
    </row>
    <row r="3065" spans="1:13" s="1517" customFormat="1" x14ac:dyDescent="0.25">
      <c r="A3065" s="179"/>
      <c r="B3065" s="179"/>
      <c r="C3065" s="943"/>
      <c r="D3065" s="2141" t="s">
        <v>125</v>
      </c>
      <c r="E3065" s="2141"/>
      <c r="F3065" s="2141"/>
      <c r="G3065" s="2141"/>
      <c r="H3065" s="267">
        <f>SUMIF(F3061:F3063,"&lt;&gt;h",H3061:H3063)</f>
        <v>13.05</v>
      </c>
      <c r="I3065" s="1830"/>
      <c r="J3065" s="1795"/>
      <c r="K3065" s="1795"/>
      <c r="L3065" s="169"/>
      <c r="M3065" s="1783"/>
    </row>
    <row r="3066" spans="1:13" s="1517" customFormat="1" x14ac:dyDescent="0.25">
      <c r="A3066" s="179"/>
      <c r="B3066" s="179"/>
      <c r="C3066" s="943"/>
      <c r="D3066" s="2142" t="s">
        <v>126</v>
      </c>
      <c r="E3066" s="2142"/>
      <c r="F3066" s="2142"/>
      <c r="G3066" s="2142"/>
      <c r="H3066" s="944">
        <f>SUM(H3064:H3065)</f>
        <v>16.68</v>
      </c>
      <c r="I3066" s="1830"/>
      <c r="J3066" s="1795"/>
      <c r="K3066" s="1795"/>
      <c r="L3066" s="169"/>
      <c r="M3066" s="1783"/>
    </row>
    <row r="3067" spans="1:13" s="1517" customFormat="1" x14ac:dyDescent="0.25">
      <c r="A3067" s="179"/>
      <c r="B3067" s="179"/>
      <c r="C3067" s="943"/>
      <c r="D3067" s="2141" t="s">
        <v>28</v>
      </c>
      <c r="E3067" s="2141"/>
      <c r="F3067" s="2141"/>
      <c r="G3067" s="2141"/>
      <c r="H3067" s="269">
        <f>E3060</f>
        <v>703.15</v>
      </c>
      <c r="I3067" s="1830"/>
      <c r="J3067" s="1795"/>
      <c r="K3067" s="1795"/>
      <c r="L3067" s="169"/>
      <c r="M3067" s="1783"/>
    </row>
    <row r="3068" spans="1:13" s="1517" customFormat="1" x14ac:dyDescent="0.25">
      <c r="A3068" s="179"/>
      <c r="B3068" s="179"/>
      <c r="C3068" s="943"/>
      <c r="D3068" s="2142" t="s">
        <v>127</v>
      </c>
      <c r="E3068" s="2142"/>
      <c r="F3068" s="2142"/>
      <c r="G3068" s="2142"/>
      <c r="H3068" s="944">
        <f>ROUND(H3066*H3067,2)</f>
        <v>11728.54</v>
      </c>
      <c r="I3068" s="1830"/>
      <c r="J3068" s="1795"/>
      <c r="K3068" s="1795"/>
      <c r="L3068" s="169"/>
      <c r="M3068" s="1783"/>
    </row>
    <row r="3069" spans="1:13" s="1517" customFormat="1" x14ac:dyDescent="0.25">
      <c r="A3069" s="179"/>
      <c r="B3069" s="179"/>
      <c r="C3069" s="1531"/>
      <c r="D3069" s="2141" t="s">
        <v>15335</v>
      </c>
      <c r="E3069" s="2141"/>
      <c r="F3069" s="2141"/>
      <c r="G3069" s="2141"/>
      <c r="H3069" s="267">
        <f>ROUND(H3066*$B$13,2)</f>
        <v>4.49</v>
      </c>
      <c r="I3069" s="1830"/>
      <c r="J3069" s="1795"/>
      <c r="K3069" s="1795"/>
      <c r="L3069" s="169"/>
      <c r="M3069" s="1783"/>
    </row>
    <row r="3070" spans="1:13" x14ac:dyDescent="0.25">
      <c r="A3070" s="179"/>
      <c r="B3070" s="179"/>
      <c r="C3070" s="1531"/>
      <c r="D3070" s="2142" t="s">
        <v>7898</v>
      </c>
      <c r="E3070" s="2142"/>
      <c r="F3070" s="2142"/>
      <c r="G3070" s="2142"/>
      <c r="H3070" s="1532">
        <f>H3069+H3066</f>
        <v>21.17</v>
      </c>
    </row>
    <row r="3071" spans="1:13" x14ac:dyDescent="0.25">
      <c r="A3071" s="929"/>
      <c r="B3071" s="929"/>
      <c r="C3071" s="929"/>
      <c r="F3071" s="945"/>
      <c r="G3071" s="946"/>
      <c r="H3071" s="929"/>
    </row>
    <row r="3072" spans="1:13" s="1517" customFormat="1" x14ac:dyDescent="0.25">
      <c r="A3072" s="146" t="s">
        <v>6</v>
      </c>
      <c r="B3072" s="2143" t="s">
        <v>7</v>
      </c>
      <c r="C3072" s="2143"/>
      <c r="D3072" s="931" t="s">
        <v>121</v>
      </c>
      <c r="E3072" s="278" t="s">
        <v>5282</v>
      </c>
      <c r="F3072" s="931" t="s">
        <v>31</v>
      </c>
      <c r="G3072" s="932" t="s">
        <v>122</v>
      </c>
      <c r="H3072" s="933" t="s">
        <v>123</v>
      </c>
      <c r="I3072" s="1830"/>
      <c r="J3072" s="1795"/>
      <c r="K3072" s="1795"/>
      <c r="L3072" s="169"/>
      <c r="M3072" s="1783"/>
    </row>
    <row r="3073" spans="1:13" s="1526" customFormat="1" ht="45" x14ac:dyDescent="0.2">
      <c r="A3073" s="934" t="str">
        <f>'Orç - Prédio'!A544</f>
        <v>06.01.305.13</v>
      </c>
      <c r="B3073" s="947" t="str">
        <f>'Orç - Prédio'!B544</f>
        <v>CPOS</v>
      </c>
      <c r="C3073" s="947" t="str">
        <f>'Orç - Prédio'!C544</f>
        <v>39.26.080</v>
      </c>
      <c r="D3073" s="948" t="s">
        <v>8361</v>
      </c>
      <c r="E3073" s="935">
        <f>'Orç - Prédio'!E544</f>
        <v>1322.3</v>
      </c>
      <c r="F3073" s="947" t="s">
        <v>5713</v>
      </c>
      <c r="G3073" s="936">
        <v>22.939999999999998</v>
      </c>
      <c r="H3073" s="937">
        <f>H3081</f>
        <v>30333.56</v>
      </c>
      <c r="I3073" s="1910" t="s">
        <v>9564</v>
      </c>
      <c r="J3073" s="1793"/>
      <c r="K3073" s="1793"/>
      <c r="L3073" s="141"/>
      <c r="M3073" s="1515"/>
    </row>
    <row r="3074" spans="1:13" s="156" customFormat="1" ht="60" x14ac:dyDescent="0.2">
      <c r="A3074" s="2144" t="s">
        <v>8363</v>
      </c>
      <c r="B3074" s="2144"/>
      <c r="C3074" s="1516" t="s">
        <v>5696</v>
      </c>
      <c r="D3074" s="1497" t="s">
        <v>8362</v>
      </c>
      <c r="E3074" s="1527">
        <v>1.02</v>
      </c>
      <c r="F3074" s="1816" t="s">
        <v>136</v>
      </c>
      <c r="G3074" s="367">
        <v>17.16</v>
      </c>
      <c r="H3074" s="942">
        <f>ROUNDDOWN(G3074*E3074,2)</f>
        <v>17.5</v>
      </c>
      <c r="I3074" s="1642"/>
      <c r="J3074" s="1797"/>
      <c r="K3074" s="1797"/>
      <c r="L3074" s="1784"/>
      <c r="M3074" s="1785"/>
    </row>
    <row r="3075" spans="1:13" s="156" customFormat="1" ht="30" x14ac:dyDescent="0.2">
      <c r="A3075" s="2144">
        <v>88247</v>
      </c>
      <c r="B3075" s="2144"/>
      <c r="C3075" s="930" t="s">
        <v>4448</v>
      </c>
      <c r="D3075" s="182" t="s">
        <v>71</v>
      </c>
      <c r="E3075" s="939">
        <v>0.15</v>
      </c>
      <c r="F3075" s="940" t="s">
        <v>65</v>
      </c>
      <c r="G3075" s="367">
        <v>16.02</v>
      </c>
      <c r="H3075" s="942">
        <f>ROUNDDOWN(G3075*E3075,2)</f>
        <v>2.4</v>
      </c>
      <c r="I3075" s="1642"/>
      <c r="J3075" s="1797"/>
      <c r="K3075" s="1797"/>
      <c r="L3075" s="1784"/>
      <c r="M3075" s="1785"/>
    </row>
    <row r="3076" spans="1:13" s="156" customFormat="1" ht="30" x14ac:dyDescent="0.2">
      <c r="A3076" s="2144">
        <v>88264</v>
      </c>
      <c r="B3076" s="2144"/>
      <c r="C3076" s="930" t="s">
        <v>4448</v>
      </c>
      <c r="D3076" s="182" t="s">
        <v>81</v>
      </c>
      <c r="E3076" s="939">
        <v>0.15</v>
      </c>
      <c r="F3076" s="940" t="s">
        <v>65</v>
      </c>
      <c r="G3076" s="941">
        <v>20.329999999999998</v>
      </c>
      <c r="H3076" s="942">
        <f>ROUNDDOWN(G3076*E3076,2)</f>
        <v>3.04</v>
      </c>
      <c r="I3076" s="1642"/>
      <c r="J3076" s="1797"/>
      <c r="K3076" s="1797"/>
      <c r="L3076" s="1784"/>
      <c r="M3076" s="1785"/>
    </row>
    <row r="3077" spans="1:13" s="1517" customFormat="1" x14ac:dyDescent="0.25">
      <c r="A3077" s="179"/>
      <c r="B3077" s="179"/>
      <c r="C3077" s="943"/>
      <c r="D3077" s="2141" t="s">
        <v>124</v>
      </c>
      <c r="E3077" s="2141"/>
      <c r="F3077" s="2141"/>
      <c r="G3077" s="2141"/>
      <c r="H3077" s="267">
        <f>SUMIF(F3074:F3076,("h"),H3074:H3076)</f>
        <v>5.4399999999999995</v>
      </c>
      <c r="I3077" s="1830"/>
      <c r="J3077" s="1795"/>
      <c r="K3077" s="1795"/>
      <c r="L3077" s="169"/>
      <c r="M3077" s="1783"/>
    </row>
    <row r="3078" spans="1:13" s="1517" customFormat="1" x14ac:dyDescent="0.25">
      <c r="A3078" s="179"/>
      <c r="B3078" s="179"/>
      <c r="C3078" s="943"/>
      <c r="D3078" s="2141" t="s">
        <v>125</v>
      </c>
      <c r="E3078" s="2141"/>
      <c r="F3078" s="2141"/>
      <c r="G3078" s="2141"/>
      <c r="H3078" s="267">
        <f>SUMIF(F3074:F3076,"&lt;&gt;h",H3074:H3076)</f>
        <v>17.5</v>
      </c>
      <c r="I3078" s="1830"/>
      <c r="J3078" s="1795"/>
      <c r="K3078" s="1795"/>
      <c r="L3078" s="169"/>
      <c r="M3078" s="1783"/>
    </row>
    <row r="3079" spans="1:13" s="1517" customFormat="1" x14ac:dyDescent="0.25">
      <c r="A3079" s="179"/>
      <c r="B3079" s="179"/>
      <c r="C3079" s="943"/>
      <c r="D3079" s="2142" t="s">
        <v>126</v>
      </c>
      <c r="E3079" s="2142"/>
      <c r="F3079" s="2142"/>
      <c r="G3079" s="2142"/>
      <c r="H3079" s="944">
        <f>SUM(H3077:H3078)</f>
        <v>22.939999999999998</v>
      </c>
      <c r="I3079" s="1830"/>
      <c r="J3079" s="1795"/>
      <c r="K3079" s="1795"/>
      <c r="L3079" s="169"/>
      <c r="M3079" s="1783"/>
    </row>
    <row r="3080" spans="1:13" s="1517" customFormat="1" x14ac:dyDescent="0.25">
      <c r="A3080" s="179"/>
      <c r="B3080" s="179"/>
      <c r="C3080" s="943"/>
      <c r="D3080" s="2141" t="s">
        <v>28</v>
      </c>
      <c r="E3080" s="2141"/>
      <c r="F3080" s="2141"/>
      <c r="G3080" s="2141"/>
      <c r="H3080" s="269">
        <f>E3073</f>
        <v>1322.3</v>
      </c>
      <c r="I3080" s="1830"/>
      <c r="J3080" s="1795"/>
      <c r="K3080" s="1795"/>
      <c r="L3080" s="169"/>
      <c r="M3080" s="1783"/>
    </row>
    <row r="3081" spans="1:13" s="1517" customFormat="1" x14ac:dyDescent="0.25">
      <c r="A3081" s="179"/>
      <c r="B3081" s="179"/>
      <c r="C3081" s="943"/>
      <c r="D3081" s="2142" t="s">
        <v>127</v>
      </c>
      <c r="E3081" s="2142"/>
      <c r="F3081" s="2142"/>
      <c r="G3081" s="2142"/>
      <c r="H3081" s="944">
        <f>ROUND(H3079*H3080,2)</f>
        <v>30333.56</v>
      </c>
      <c r="I3081" s="1830"/>
      <c r="J3081" s="1795"/>
      <c r="K3081" s="1795"/>
      <c r="L3081" s="169"/>
      <c r="M3081" s="1783"/>
    </row>
    <row r="3082" spans="1:13" s="1517" customFormat="1" x14ac:dyDescent="0.25">
      <c r="A3082" s="179"/>
      <c r="B3082" s="179"/>
      <c r="C3082" s="1531"/>
      <c r="D3082" s="2141" t="s">
        <v>15335</v>
      </c>
      <c r="E3082" s="2141"/>
      <c r="F3082" s="2141"/>
      <c r="G3082" s="2141"/>
      <c r="H3082" s="267">
        <f>ROUND(H3079*$B$13,2)</f>
        <v>6.18</v>
      </c>
      <c r="I3082" s="1830"/>
      <c r="J3082" s="1795"/>
      <c r="K3082" s="1795"/>
      <c r="L3082" s="169"/>
      <c r="M3082" s="1783"/>
    </row>
    <row r="3083" spans="1:13" x14ac:dyDescent="0.25">
      <c r="A3083" s="179"/>
      <c r="B3083" s="179"/>
      <c r="C3083" s="1531"/>
      <c r="D3083" s="2142" t="s">
        <v>7898</v>
      </c>
      <c r="E3083" s="2142"/>
      <c r="F3083" s="2142"/>
      <c r="G3083" s="2142"/>
      <c r="H3083" s="1532">
        <f>H3082+H3079</f>
        <v>29.119999999999997</v>
      </c>
    </row>
    <row r="3084" spans="1:13" x14ac:dyDescent="0.25">
      <c r="A3084" s="929"/>
      <c r="B3084" s="929"/>
      <c r="C3084" s="929"/>
      <c r="F3084" s="945"/>
      <c r="G3084" s="946"/>
      <c r="H3084" s="929"/>
    </row>
    <row r="3085" spans="1:13" s="1517" customFormat="1" x14ac:dyDescent="0.25">
      <c r="A3085" s="146" t="s">
        <v>6</v>
      </c>
      <c r="B3085" s="2143" t="s">
        <v>7</v>
      </c>
      <c r="C3085" s="2143"/>
      <c r="D3085" s="931" t="s">
        <v>121</v>
      </c>
      <c r="E3085" s="278" t="s">
        <v>5282</v>
      </c>
      <c r="F3085" s="931" t="s">
        <v>31</v>
      </c>
      <c r="G3085" s="932" t="s">
        <v>122</v>
      </c>
      <c r="H3085" s="933" t="s">
        <v>123</v>
      </c>
      <c r="I3085" s="1830"/>
      <c r="J3085" s="1795"/>
      <c r="K3085" s="1795"/>
      <c r="L3085" s="169"/>
      <c r="M3085" s="1783"/>
    </row>
    <row r="3086" spans="1:13" s="1526" customFormat="1" ht="45" x14ac:dyDescent="0.2">
      <c r="A3086" s="934" t="str">
        <f>'Orç - Prédio'!A545</f>
        <v>06.01.305.14</v>
      </c>
      <c r="B3086" s="947" t="str">
        <f>'Orç - Prédio'!B545</f>
        <v>CPOS</v>
      </c>
      <c r="C3086" s="947" t="str">
        <f>'Orç - Prédio'!C545</f>
        <v>39.26.090</v>
      </c>
      <c r="D3086" s="948" t="s">
        <v>8365</v>
      </c>
      <c r="E3086" s="935">
        <f>'Orç - Prédio'!E545</f>
        <v>155.6</v>
      </c>
      <c r="F3086" s="947" t="s">
        <v>5713</v>
      </c>
      <c r="G3086" s="936">
        <v>32.409999999999997</v>
      </c>
      <c r="H3086" s="937">
        <f>H3094</f>
        <v>5043</v>
      </c>
      <c r="I3086" s="1910" t="s">
        <v>9564</v>
      </c>
      <c r="J3086" s="1793"/>
      <c r="K3086" s="1793"/>
      <c r="L3086" s="141"/>
      <c r="M3086" s="1515"/>
    </row>
    <row r="3087" spans="1:13" s="156" customFormat="1" ht="60" x14ac:dyDescent="0.2">
      <c r="A3087" s="2144" t="s">
        <v>8366</v>
      </c>
      <c r="B3087" s="2144"/>
      <c r="C3087" s="1516" t="s">
        <v>5696</v>
      </c>
      <c r="D3087" s="1497" t="s">
        <v>8367</v>
      </c>
      <c r="E3087" s="1527">
        <v>1.02</v>
      </c>
      <c r="F3087" s="1816" t="s">
        <v>136</v>
      </c>
      <c r="G3087" s="367">
        <v>24.66</v>
      </c>
      <c r="H3087" s="942">
        <f>ROUNDDOWN(G3087*E3087,2)</f>
        <v>25.15</v>
      </c>
      <c r="I3087" s="1642"/>
      <c r="J3087" s="1797"/>
      <c r="K3087" s="1797"/>
      <c r="L3087" s="1784"/>
      <c r="M3087" s="1785"/>
    </row>
    <row r="3088" spans="1:13" s="156" customFormat="1" ht="30" x14ac:dyDescent="0.2">
      <c r="A3088" s="2144">
        <v>88247</v>
      </c>
      <c r="B3088" s="2144"/>
      <c r="C3088" s="930" t="s">
        <v>4448</v>
      </c>
      <c r="D3088" s="182" t="s">
        <v>71</v>
      </c>
      <c r="E3088" s="939">
        <v>0.2</v>
      </c>
      <c r="F3088" s="940" t="s">
        <v>65</v>
      </c>
      <c r="G3088" s="941">
        <v>16.02</v>
      </c>
      <c r="H3088" s="942">
        <f>ROUNDDOWN(G3088*E3088,2)</f>
        <v>3.2</v>
      </c>
      <c r="I3088" s="1642"/>
      <c r="J3088" s="1797"/>
      <c r="K3088" s="1797"/>
      <c r="L3088" s="1784"/>
      <c r="M3088" s="1785"/>
    </row>
    <row r="3089" spans="1:13" s="156" customFormat="1" ht="30" x14ac:dyDescent="0.2">
      <c r="A3089" s="2144">
        <v>88264</v>
      </c>
      <c r="B3089" s="2144"/>
      <c r="C3089" s="930" t="s">
        <v>4448</v>
      </c>
      <c r="D3089" s="182" t="s">
        <v>81</v>
      </c>
      <c r="E3089" s="939">
        <v>0.2</v>
      </c>
      <c r="F3089" s="940" t="s">
        <v>65</v>
      </c>
      <c r="G3089" s="941">
        <v>20.329999999999998</v>
      </c>
      <c r="H3089" s="942">
        <f>ROUNDDOWN(G3089*E3089,2)</f>
        <v>4.0599999999999996</v>
      </c>
      <c r="I3089" s="1642"/>
      <c r="J3089" s="1797"/>
      <c r="K3089" s="1797"/>
      <c r="L3089" s="1784"/>
      <c r="M3089" s="1785"/>
    </row>
    <row r="3090" spans="1:13" s="1517" customFormat="1" x14ac:dyDescent="0.25">
      <c r="A3090" s="179"/>
      <c r="B3090" s="179"/>
      <c r="C3090" s="943"/>
      <c r="D3090" s="2141" t="s">
        <v>124</v>
      </c>
      <c r="E3090" s="2141"/>
      <c r="F3090" s="2141"/>
      <c r="G3090" s="2141"/>
      <c r="H3090" s="267">
        <f>SUMIF(F3087:F3089,("h"),H3087:H3089)</f>
        <v>7.26</v>
      </c>
      <c r="I3090" s="1830"/>
      <c r="J3090" s="1795"/>
      <c r="K3090" s="1795"/>
      <c r="L3090" s="169"/>
      <c r="M3090" s="1783"/>
    </row>
    <row r="3091" spans="1:13" s="1517" customFormat="1" x14ac:dyDescent="0.25">
      <c r="A3091" s="179"/>
      <c r="B3091" s="179"/>
      <c r="C3091" s="943"/>
      <c r="D3091" s="2141" t="s">
        <v>125</v>
      </c>
      <c r="E3091" s="2141"/>
      <c r="F3091" s="2141"/>
      <c r="G3091" s="2141"/>
      <c r="H3091" s="267">
        <f>SUMIF(F3087:F3089,"&lt;&gt;h",H3087:H3089)</f>
        <v>25.15</v>
      </c>
      <c r="I3091" s="1830"/>
      <c r="J3091" s="1795"/>
      <c r="K3091" s="1795"/>
      <c r="L3091" s="169"/>
      <c r="M3091" s="1783"/>
    </row>
    <row r="3092" spans="1:13" s="1517" customFormat="1" x14ac:dyDescent="0.25">
      <c r="A3092" s="179"/>
      <c r="B3092" s="179"/>
      <c r="C3092" s="943"/>
      <c r="D3092" s="2142" t="s">
        <v>126</v>
      </c>
      <c r="E3092" s="2142"/>
      <c r="F3092" s="2142"/>
      <c r="G3092" s="2142"/>
      <c r="H3092" s="944">
        <f>SUM(H3090:H3091)</f>
        <v>32.409999999999997</v>
      </c>
      <c r="I3092" s="1830"/>
      <c r="J3092" s="1795"/>
      <c r="K3092" s="1795"/>
      <c r="L3092" s="169"/>
      <c r="M3092" s="1783"/>
    </row>
    <row r="3093" spans="1:13" s="1517" customFormat="1" x14ac:dyDescent="0.25">
      <c r="A3093" s="179"/>
      <c r="B3093" s="179"/>
      <c r="C3093" s="943"/>
      <c r="D3093" s="2141" t="s">
        <v>28</v>
      </c>
      <c r="E3093" s="2141"/>
      <c r="F3093" s="2141"/>
      <c r="G3093" s="2141"/>
      <c r="H3093" s="269">
        <f>E3086</f>
        <v>155.6</v>
      </c>
      <c r="I3093" s="1830"/>
      <c r="J3093" s="1795"/>
      <c r="K3093" s="1795"/>
      <c r="L3093" s="169"/>
      <c r="M3093" s="1783"/>
    </row>
    <row r="3094" spans="1:13" s="1517" customFormat="1" x14ac:dyDescent="0.25">
      <c r="A3094" s="179"/>
      <c r="B3094" s="179"/>
      <c r="C3094" s="943"/>
      <c r="D3094" s="2142" t="s">
        <v>127</v>
      </c>
      <c r="E3094" s="2142"/>
      <c r="F3094" s="2142"/>
      <c r="G3094" s="2142"/>
      <c r="H3094" s="944">
        <f>ROUND(H3092*H3093,2)</f>
        <v>5043</v>
      </c>
      <c r="I3094" s="1830"/>
      <c r="J3094" s="1795"/>
      <c r="K3094" s="1795"/>
      <c r="L3094" s="169"/>
      <c r="M3094" s="1783"/>
    </row>
    <row r="3095" spans="1:13" s="1517" customFormat="1" x14ac:dyDescent="0.25">
      <c r="A3095" s="179"/>
      <c r="B3095" s="179"/>
      <c r="C3095" s="1531"/>
      <c r="D3095" s="2141" t="s">
        <v>15335</v>
      </c>
      <c r="E3095" s="2141"/>
      <c r="F3095" s="2141"/>
      <c r="G3095" s="2141"/>
      <c r="H3095" s="267">
        <f>ROUND(H3092*$B$13,2)</f>
        <v>8.73</v>
      </c>
      <c r="I3095" s="1830"/>
      <c r="J3095" s="1795"/>
      <c r="K3095" s="1795"/>
      <c r="L3095" s="169"/>
      <c r="M3095" s="1783"/>
    </row>
    <row r="3096" spans="1:13" x14ac:dyDescent="0.25">
      <c r="A3096" s="179"/>
      <c r="B3096" s="179"/>
      <c r="C3096" s="1531"/>
      <c r="D3096" s="2142" t="s">
        <v>7898</v>
      </c>
      <c r="E3096" s="2142"/>
      <c r="F3096" s="2142"/>
      <c r="G3096" s="2142"/>
      <c r="H3096" s="1532">
        <f>H3095+H3092</f>
        <v>41.14</v>
      </c>
    </row>
    <row r="3097" spans="1:13" x14ac:dyDescent="0.25">
      <c r="A3097" s="929"/>
      <c r="B3097" s="929"/>
      <c r="C3097" s="929"/>
      <c r="F3097" s="945"/>
      <c r="G3097" s="946"/>
      <c r="H3097" s="929"/>
    </row>
    <row r="3098" spans="1:13" s="1517" customFormat="1" x14ac:dyDescent="0.25">
      <c r="A3098" s="146" t="s">
        <v>6</v>
      </c>
      <c r="B3098" s="2143" t="s">
        <v>7</v>
      </c>
      <c r="C3098" s="2143"/>
      <c r="D3098" s="931" t="s">
        <v>121</v>
      </c>
      <c r="E3098" s="278" t="s">
        <v>5282</v>
      </c>
      <c r="F3098" s="931" t="s">
        <v>31</v>
      </c>
      <c r="G3098" s="932" t="s">
        <v>122</v>
      </c>
      <c r="H3098" s="933" t="s">
        <v>123</v>
      </c>
      <c r="I3098" s="1830"/>
      <c r="J3098" s="1795"/>
      <c r="K3098" s="1795"/>
      <c r="L3098" s="169"/>
      <c r="M3098" s="1783"/>
    </row>
    <row r="3099" spans="1:13" s="1526" customFormat="1" ht="45" x14ac:dyDescent="0.2">
      <c r="A3099" s="934" t="str">
        <f>'Orç - Prédio'!A546</f>
        <v>06.01.305.15</v>
      </c>
      <c r="B3099" s="947" t="str">
        <f>'Orç - Prédio'!B546</f>
        <v>CPOS</v>
      </c>
      <c r="C3099" s="947" t="str">
        <f>'Orç - Prédio'!C546</f>
        <v>39.26.100</v>
      </c>
      <c r="D3099" s="948" t="s">
        <v>8369</v>
      </c>
      <c r="E3099" s="935">
        <f>'Orç - Prédio'!E546</f>
        <v>112.2</v>
      </c>
      <c r="F3099" s="947" t="s">
        <v>5713</v>
      </c>
      <c r="G3099" s="936">
        <v>44.949999999999996</v>
      </c>
      <c r="H3099" s="937">
        <f>H3107</f>
        <v>5043.3900000000003</v>
      </c>
      <c r="I3099" s="1910" t="s">
        <v>9564</v>
      </c>
      <c r="J3099" s="1793"/>
      <c r="K3099" s="1793"/>
      <c r="L3099" s="141"/>
      <c r="M3099" s="1515"/>
    </row>
    <row r="3100" spans="1:13" s="156" customFormat="1" ht="60" x14ac:dyDescent="0.2">
      <c r="A3100" s="2144" t="s">
        <v>8370</v>
      </c>
      <c r="B3100" s="2144"/>
      <c r="C3100" s="1516" t="s">
        <v>5696</v>
      </c>
      <c r="D3100" s="1497" t="s">
        <v>8371</v>
      </c>
      <c r="E3100" s="1527">
        <v>1.02</v>
      </c>
      <c r="F3100" s="1816" t="s">
        <v>136</v>
      </c>
      <c r="G3100" s="367">
        <v>35.17</v>
      </c>
      <c r="H3100" s="942">
        <f>ROUNDDOWN(G3100*E3100,2)</f>
        <v>35.869999999999997</v>
      </c>
      <c r="I3100" s="1642"/>
      <c r="J3100" s="1797"/>
      <c r="K3100" s="1797"/>
      <c r="L3100" s="1784"/>
      <c r="M3100" s="1785"/>
    </row>
    <row r="3101" spans="1:13" s="156" customFormat="1" ht="30" x14ac:dyDescent="0.2">
      <c r="A3101" s="2144">
        <v>88247</v>
      </c>
      <c r="B3101" s="2144"/>
      <c r="C3101" s="930" t="s">
        <v>4448</v>
      </c>
      <c r="D3101" s="182" t="s">
        <v>71</v>
      </c>
      <c r="E3101" s="939">
        <v>0.25</v>
      </c>
      <c r="F3101" s="940" t="s">
        <v>65</v>
      </c>
      <c r="G3101" s="941">
        <v>16.02</v>
      </c>
      <c r="H3101" s="942">
        <f>ROUNDDOWN(G3101*E3101,2)</f>
        <v>4</v>
      </c>
      <c r="I3101" s="1642"/>
      <c r="J3101" s="1797"/>
      <c r="K3101" s="1797"/>
      <c r="L3101" s="1784"/>
      <c r="M3101" s="1785"/>
    </row>
    <row r="3102" spans="1:13" s="156" customFormat="1" ht="30" x14ac:dyDescent="0.2">
      <c r="A3102" s="2144">
        <v>88264</v>
      </c>
      <c r="B3102" s="2144"/>
      <c r="C3102" s="930" t="s">
        <v>4448</v>
      </c>
      <c r="D3102" s="182" t="s">
        <v>81</v>
      </c>
      <c r="E3102" s="939">
        <v>0.25</v>
      </c>
      <c r="F3102" s="940" t="s">
        <v>65</v>
      </c>
      <c r="G3102" s="941">
        <v>20.329999999999998</v>
      </c>
      <c r="H3102" s="942">
        <f>ROUNDDOWN(G3102*E3102,2)</f>
        <v>5.08</v>
      </c>
      <c r="I3102" s="1642"/>
      <c r="J3102" s="1797"/>
      <c r="K3102" s="1797"/>
      <c r="L3102" s="1784"/>
      <c r="M3102" s="1785"/>
    </row>
    <row r="3103" spans="1:13" s="1517" customFormat="1" x14ac:dyDescent="0.25">
      <c r="A3103" s="179"/>
      <c r="B3103" s="179"/>
      <c r="C3103" s="943"/>
      <c r="D3103" s="2141" t="s">
        <v>124</v>
      </c>
      <c r="E3103" s="2141"/>
      <c r="F3103" s="2141"/>
      <c r="G3103" s="2141"/>
      <c r="H3103" s="267">
        <f>SUMIF(F3100:F3102,("h"),H3100:H3102)</f>
        <v>9.08</v>
      </c>
      <c r="I3103" s="1830"/>
      <c r="J3103" s="1795"/>
      <c r="K3103" s="1795"/>
      <c r="L3103" s="169"/>
      <c r="M3103" s="1783"/>
    </row>
    <row r="3104" spans="1:13" s="1517" customFormat="1" x14ac:dyDescent="0.25">
      <c r="A3104" s="179"/>
      <c r="B3104" s="179"/>
      <c r="C3104" s="943"/>
      <c r="D3104" s="2141" t="s">
        <v>125</v>
      </c>
      <c r="E3104" s="2141"/>
      <c r="F3104" s="2141"/>
      <c r="G3104" s="2141"/>
      <c r="H3104" s="267">
        <f>SUMIF(F3100:F3102,"&lt;&gt;h",H3100:H3102)</f>
        <v>35.869999999999997</v>
      </c>
      <c r="I3104" s="1830"/>
      <c r="J3104" s="1795"/>
      <c r="K3104" s="1795"/>
      <c r="L3104" s="169"/>
      <c r="M3104" s="1783"/>
    </row>
    <row r="3105" spans="1:13" s="1517" customFormat="1" x14ac:dyDescent="0.25">
      <c r="A3105" s="179"/>
      <c r="B3105" s="179"/>
      <c r="C3105" s="943"/>
      <c r="D3105" s="2142" t="s">
        <v>126</v>
      </c>
      <c r="E3105" s="2142"/>
      <c r="F3105" s="2142"/>
      <c r="G3105" s="2142"/>
      <c r="H3105" s="944">
        <f>SUM(H3103:H3104)</f>
        <v>44.949999999999996</v>
      </c>
      <c r="I3105" s="1830"/>
      <c r="J3105" s="1795"/>
      <c r="K3105" s="1795"/>
      <c r="L3105" s="169"/>
      <c r="M3105" s="1783"/>
    </row>
    <row r="3106" spans="1:13" s="1517" customFormat="1" x14ac:dyDescent="0.25">
      <c r="A3106" s="179"/>
      <c r="B3106" s="179"/>
      <c r="C3106" s="943"/>
      <c r="D3106" s="2141" t="s">
        <v>28</v>
      </c>
      <c r="E3106" s="2141"/>
      <c r="F3106" s="2141"/>
      <c r="G3106" s="2141"/>
      <c r="H3106" s="269">
        <f>E3099</f>
        <v>112.2</v>
      </c>
      <c r="I3106" s="1830"/>
      <c r="J3106" s="1795"/>
      <c r="K3106" s="1795"/>
      <c r="L3106" s="169"/>
      <c r="M3106" s="1783"/>
    </row>
    <row r="3107" spans="1:13" s="1517" customFormat="1" x14ac:dyDescent="0.25">
      <c r="A3107" s="179"/>
      <c r="B3107" s="179"/>
      <c r="C3107" s="943"/>
      <c r="D3107" s="2142" t="s">
        <v>127</v>
      </c>
      <c r="E3107" s="2142"/>
      <c r="F3107" s="2142"/>
      <c r="G3107" s="2142"/>
      <c r="H3107" s="944">
        <f>ROUND(H3105*H3106,2)</f>
        <v>5043.3900000000003</v>
      </c>
      <c r="I3107" s="1830"/>
      <c r="J3107" s="1795"/>
      <c r="K3107" s="1795"/>
      <c r="L3107" s="169"/>
      <c r="M3107" s="1783"/>
    </row>
    <row r="3108" spans="1:13" s="1517" customFormat="1" x14ac:dyDescent="0.25">
      <c r="A3108" s="179"/>
      <c r="B3108" s="179"/>
      <c r="C3108" s="1531"/>
      <c r="D3108" s="2141" t="s">
        <v>15335</v>
      </c>
      <c r="E3108" s="2141"/>
      <c r="F3108" s="2141"/>
      <c r="G3108" s="2141"/>
      <c r="H3108" s="267">
        <f>ROUND(H3105*$B$13,2)</f>
        <v>12.11</v>
      </c>
      <c r="I3108" s="1830"/>
      <c r="J3108" s="1795"/>
      <c r="K3108" s="1795"/>
      <c r="L3108" s="169"/>
      <c r="M3108" s="1783"/>
    </row>
    <row r="3109" spans="1:13" x14ac:dyDescent="0.25">
      <c r="A3109" s="179"/>
      <c r="B3109" s="179"/>
      <c r="C3109" s="1531"/>
      <c r="D3109" s="2142" t="s">
        <v>7898</v>
      </c>
      <c r="E3109" s="2142"/>
      <c r="F3109" s="2142"/>
      <c r="G3109" s="2142"/>
      <c r="H3109" s="1532">
        <f>H3108+H3105</f>
        <v>57.059999999999995</v>
      </c>
    </row>
    <row r="3110" spans="1:13" x14ac:dyDescent="0.25">
      <c r="A3110" s="929"/>
      <c r="B3110" s="929"/>
      <c r="C3110" s="929"/>
      <c r="F3110" s="945"/>
      <c r="G3110" s="946"/>
      <c r="H3110" s="929"/>
    </row>
    <row r="3111" spans="1:13" s="1517" customFormat="1" x14ac:dyDescent="0.25">
      <c r="A3111" s="146" t="s">
        <v>6</v>
      </c>
      <c r="B3111" s="2143" t="s">
        <v>7</v>
      </c>
      <c r="C3111" s="2143"/>
      <c r="D3111" s="931" t="s">
        <v>121</v>
      </c>
      <c r="E3111" s="278" t="s">
        <v>5282</v>
      </c>
      <c r="F3111" s="931" t="s">
        <v>31</v>
      </c>
      <c r="G3111" s="932" t="s">
        <v>122</v>
      </c>
      <c r="H3111" s="933" t="s">
        <v>123</v>
      </c>
      <c r="I3111" s="1830"/>
      <c r="J3111" s="1795"/>
      <c r="K3111" s="1795"/>
      <c r="L3111" s="169"/>
      <c r="M3111" s="1783"/>
    </row>
    <row r="3112" spans="1:13" s="1526" customFormat="1" ht="45" x14ac:dyDescent="0.2">
      <c r="A3112" s="934" t="str">
        <f>'Orç - Prédio'!A547</f>
        <v>06.01.305.16</v>
      </c>
      <c r="B3112" s="1888" t="str">
        <f>'Orç - Prédio'!B547</f>
        <v>CPOS</v>
      </c>
      <c r="C3112" s="1888" t="str">
        <f>'Orç - Prédio'!C547</f>
        <v>39.26.110</v>
      </c>
      <c r="D3112" s="1865" t="s">
        <v>8328</v>
      </c>
      <c r="E3112" s="1888">
        <f>'Orç - Prédio'!E547</f>
        <v>45.55</v>
      </c>
      <c r="F3112" s="1888" t="s">
        <v>5713</v>
      </c>
      <c r="G3112" s="936">
        <v>56.5</v>
      </c>
      <c r="H3112" s="937">
        <f>H3120</f>
        <v>2573.58</v>
      </c>
      <c r="I3112" s="1910" t="s">
        <v>9564</v>
      </c>
      <c r="J3112" s="1793"/>
      <c r="K3112" s="1793"/>
      <c r="L3112" s="141"/>
      <c r="M3112" s="1515"/>
    </row>
    <row r="3113" spans="1:13" s="156" customFormat="1" ht="60" x14ac:dyDescent="0.2">
      <c r="A3113" s="2144" t="s">
        <v>8330</v>
      </c>
      <c r="B3113" s="2144"/>
      <c r="C3113" s="930" t="s">
        <v>5696</v>
      </c>
      <c r="D3113" s="938" t="s">
        <v>8331</v>
      </c>
      <c r="E3113" s="939">
        <v>1.02</v>
      </c>
      <c r="F3113" s="940" t="s">
        <v>136</v>
      </c>
      <c r="G3113" s="367">
        <v>44.72</v>
      </c>
      <c r="H3113" s="942">
        <f>ROUNDDOWN(G3113*E3113,2)</f>
        <v>45.61</v>
      </c>
      <c r="I3113" s="1642"/>
      <c r="J3113" s="1797"/>
      <c r="K3113" s="1797"/>
      <c r="L3113" s="1784"/>
      <c r="M3113" s="1785"/>
    </row>
    <row r="3114" spans="1:13" s="156" customFormat="1" ht="30" x14ac:dyDescent="0.2">
      <c r="A3114" s="2144">
        <v>88247</v>
      </c>
      <c r="B3114" s="2144"/>
      <c r="C3114" s="930" t="s">
        <v>4448</v>
      </c>
      <c r="D3114" s="182" t="s">
        <v>71</v>
      </c>
      <c r="E3114" s="939">
        <v>0.3</v>
      </c>
      <c r="F3114" s="940" t="s">
        <v>65</v>
      </c>
      <c r="G3114" s="941">
        <v>16.02</v>
      </c>
      <c r="H3114" s="942">
        <f>ROUNDDOWN(G3114*E3114,2)</f>
        <v>4.8</v>
      </c>
      <c r="I3114" s="1642"/>
      <c r="J3114" s="1797"/>
      <c r="K3114" s="1797"/>
      <c r="L3114" s="1784"/>
      <c r="M3114" s="1785"/>
    </row>
    <row r="3115" spans="1:13" s="156" customFormat="1" ht="30" x14ac:dyDescent="0.2">
      <c r="A3115" s="2144">
        <v>88264</v>
      </c>
      <c r="B3115" s="2144"/>
      <c r="C3115" s="930" t="s">
        <v>4448</v>
      </c>
      <c r="D3115" s="182" t="s">
        <v>81</v>
      </c>
      <c r="E3115" s="939">
        <v>0.3</v>
      </c>
      <c r="F3115" s="940" t="s">
        <v>65</v>
      </c>
      <c r="G3115" s="941">
        <v>20.329999999999998</v>
      </c>
      <c r="H3115" s="942">
        <f>ROUNDDOWN(G3115*E3115,2)</f>
        <v>6.09</v>
      </c>
      <c r="I3115" s="1642"/>
      <c r="J3115" s="1797"/>
      <c r="K3115" s="1797"/>
      <c r="L3115" s="1784"/>
      <c r="M3115" s="1785"/>
    </row>
    <row r="3116" spans="1:13" s="1517" customFormat="1" x14ac:dyDescent="0.25">
      <c r="A3116" s="179"/>
      <c r="B3116" s="179"/>
      <c r="C3116" s="943"/>
      <c r="D3116" s="2141" t="s">
        <v>124</v>
      </c>
      <c r="E3116" s="2141"/>
      <c r="F3116" s="2141"/>
      <c r="G3116" s="2141"/>
      <c r="H3116" s="267">
        <f>SUMIF(F3113:F3115,("h"),H3113:H3115)</f>
        <v>10.89</v>
      </c>
      <c r="I3116" s="1830"/>
      <c r="J3116" s="1795"/>
      <c r="K3116" s="1795"/>
      <c r="L3116" s="169"/>
      <c r="M3116" s="1783"/>
    </row>
    <row r="3117" spans="1:13" s="1517" customFormat="1" x14ac:dyDescent="0.25">
      <c r="A3117" s="179"/>
      <c r="B3117" s="179"/>
      <c r="C3117" s="943"/>
      <c r="D3117" s="2141" t="s">
        <v>125</v>
      </c>
      <c r="E3117" s="2141"/>
      <c r="F3117" s="2141"/>
      <c r="G3117" s="2141"/>
      <c r="H3117" s="267">
        <f>SUMIF(F3113:F3115,"&lt;&gt;h",H3113:H3115)</f>
        <v>45.61</v>
      </c>
      <c r="I3117" s="1830"/>
      <c r="J3117" s="1795"/>
      <c r="K3117" s="1795"/>
      <c r="L3117" s="169"/>
      <c r="M3117" s="1783"/>
    </row>
    <row r="3118" spans="1:13" s="1517" customFormat="1" x14ac:dyDescent="0.25">
      <c r="A3118" s="179"/>
      <c r="B3118" s="179"/>
      <c r="C3118" s="943"/>
      <c r="D3118" s="2142" t="s">
        <v>126</v>
      </c>
      <c r="E3118" s="2142"/>
      <c r="F3118" s="2142"/>
      <c r="G3118" s="2142"/>
      <c r="H3118" s="944">
        <f>SUM(H3116:H3117)</f>
        <v>56.5</v>
      </c>
      <c r="I3118" s="1830"/>
      <c r="J3118" s="1795"/>
      <c r="K3118" s="1795"/>
      <c r="L3118" s="169"/>
      <c r="M3118" s="1783"/>
    </row>
    <row r="3119" spans="1:13" s="1517" customFormat="1" x14ac:dyDescent="0.25">
      <c r="A3119" s="179"/>
      <c r="B3119" s="179"/>
      <c r="C3119" s="943"/>
      <c r="D3119" s="2141" t="s">
        <v>28</v>
      </c>
      <c r="E3119" s="2141"/>
      <c r="F3119" s="2141"/>
      <c r="G3119" s="2141"/>
      <c r="H3119" s="269">
        <f>E3112</f>
        <v>45.55</v>
      </c>
      <c r="I3119" s="1830"/>
      <c r="J3119" s="1795"/>
      <c r="K3119" s="1795"/>
      <c r="L3119" s="169"/>
      <c r="M3119" s="1783"/>
    </row>
    <row r="3120" spans="1:13" s="1517" customFormat="1" x14ac:dyDescent="0.25">
      <c r="A3120" s="179"/>
      <c r="B3120" s="179"/>
      <c r="C3120" s="943"/>
      <c r="D3120" s="2142" t="s">
        <v>127</v>
      </c>
      <c r="E3120" s="2142"/>
      <c r="F3120" s="2142"/>
      <c r="G3120" s="2142"/>
      <c r="H3120" s="944">
        <f>ROUND(H3118*H3119,2)</f>
        <v>2573.58</v>
      </c>
      <c r="I3120" s="1830"/>
      <c r="J3120" s="1795"/>
      <c r="K3120" s="1795"/>
      <c r="L3120" s="169"/>
      <c r="M3120" s="1783"/>
    </row>
    <row r="3121" spans="1:13" s="1517" customFormat="1" x14ac:dyDescent="0.25">
      <c r="A3121" s="179"/>
      <c r="B3121" s="179"/>
      <c r="C3121" s="1531"/>
      <c r="D3121" s="2141" t="s">
        <v>15335</v>
      </c>
      <c r="E3121" s="2141"/>
      <c r="F3121" s="2141"/>
      <c r="G3121" s="2141"/>
      <c r="H3121" s="267">
        <f>ROUND(H3118*$B$13,2)</f>
        <v>15.22</v>
      </c>
      <c r="I3121" s="1830"/>
      <c r="J3121" s="1795"/>
      <c r="K3121" s="1795"/>
      <c r="L3121" s="169"/>
      <c r="M3121" s="1783"/>
    </row>
    <row r="3122" spans="1:13" x14ac:dyDescent="0.25">
      <c r="A3122" s="179"/>
      <c r="B3122" s="179"/>
      <c r="C3122" s="1531"/>
      <c r="D3122" s="2142" t="s">
        <v>7898</v>
      </c>
      <c r="E3122" s="2142"/>
      <c r="F3122" s="2142"/>
      <c r="G3122" s="2142"/>
      <c r="H3122" s="1532">
        <f>H3121+H3118</f>
        <v>71.72</v>
      </c>
    </row>
    <row r="3123" spans="1:13" x14ac:dyDescent="0.25">
      <c r="A3123" s="929"/>
      <c r="B3123" s="929"/>
      <c r="C3123" s="929"/>
      <c r="F3123" s="945"/>
      <c r="G3123" s="946"/>
      <c r="H3123" s="929"/>
    </row>
    <row r="3124" spans="1:13" s="1517" customFormat="1" x14ac:dyDescent="0.25">
      <c r="A3124" s="146" t="s">
        <v>6</v>
      </c>
      <c r="B3124" s="2143" t="s">
        <v>7</v>
      </c>
      <c r="C3124" s="2143"/>
      <c r="D3124" s="931" t="s">
        <v>121</v>
      </c>
      <c r="E3124" s="278" t="s">
        <v>5282</v>
      </c>
      <c r="F3124" s="931" t="s">
        <v>31</v>
      </c>
      <c r="G3124" s="932" t="s">
        <v>122</v>
      </c>
      <c r="H3124" s="933" t="s">
        <v>123</v>
      </c>
      <c r="I3124" s="1830"/>
      <c r="J3124" s="1795"/>
      <c r="K3124" s="1795"/>
      <c r="L3124" s="169"/>
      <c r="M3124" s="1783"/>
    </row>
    <row r="3125" spans="1:13" s="1526" customFormat="1" ht="45" x14ac:dyDescent="0.2">
      <c r="A3125" s="934" t="str">
        <f>'Orç - Prédio'!A549</f>
        <v>06.01.305.18</v>
      </c>
      <c r="B3125" s="1888" t="str">
        <f>'Orç - Prédio'!B549</f>
        <v>CPOS</v>
      </c>
      <c r="C3125" s="1888" t="str">
        <f>'Orç - Prédio'!C549</f>
        <v>39.26.140</v>
      </c>
      <c r="D3125" s="1865" t="s">
        <v>8332</v>
      </c>
      <c r="E3125" s="1888">
        <f>'Orç - Prédio'!E549</f>
        <v>182.2</v>
      </c>
      <c r="F3125" s="1888" t="s">
        <v>5713</v>
      </c>
      <c r="G3125" s="936">
        <v>103.43</v>
      </c>
      <c r="H3125" s="937">
        <f>H3133</f>
        <v>18844.95</v>
      </c>
      <c r="I3125" s="1910" t="s">
        <v>9564</v>
      </c>
      <c r="J3125" s="1793"/>
      <c r="K3125" s="1793"/>
      <c r="L3125" s="141"/>
      <c r="M3125" s="1515"/>
    </row>
    <row r="3126" spans="1:13" s="156" customFormat="1" ht="60" x14ac:dyDescent="0.2">
      <c r="A3126" s="2144" t="s">
        <v>8334</v>
      </c>
      <c r="B3126" s="2144"/>
      <c r="C3126" s="930" t="s">
        <v>5696</v>
      </c>
      <c r="D3126" s="1497" t="s">
        <v>8335</v>
      </c>
      <c r="E3126" s="939">
        <v>1.02</v>
      </c>
      <c r="F3126" s="940" t="s">
        <v>136</v>
      </c>
      <c r="G3126" s="367">
        <v>85.39</v>
      </c>
      <c r="H3126" s="942">
        <f>ROUNDDOWN(G3126*E3126,2)</f>
        <v>87.09</v>
      </c>
      <c r="I3126" s="1642"/>
      <c r="J3126" s="1797"/>
      <c r="K3126" s="1797"/>
      <c r="L3126" s="1784"/>
      <c r="M3126" s="1785"/>
    </row>
    <row r="3127" spans="1:13" s="156" customFormat="1" ht="30" x14ac:dyDescent="0.2">
      <c r="A3127" s="2144">
        <v>88247</v>
      </c>
      <c r="B3127" s="2144"/>
      <c r="C3127" s="930" t="s">
        <v>4448</v>
      </c>
      <c r="D3127" s="182" t="s">
        <v>71</v>
      </c>
      <c r="E3127" s="939">
        <v>0.45</v>
      </c>
      <c r="F3127" s="940" t="s">
        <v>65</v>
      </c>
      <c r="G3127" s="941">
        <v>16.02</v>
      </c>
      <c r="H3127" s="942">
        <f>ROUNDDOWN(G3127*E3127,2)</f>
        <v>7.2</v>
      </c>
      <c r="I3127" s="1642"/>
      <c r="J3127" s="1797"/>
      <c r="K3127" s="1797"/>
      <c r="L3127" s="1784"/>
      <c r="M3127" s="1785"/>
    </row>
    <row r="3128" spans="1:13" s="156" customFormat="1" ht="30" x14ac:dyDescent="0.2">
      <c r="A3128" s="2144">
        <v>88264</v>
      </c>
      <c r="B3128" s="2144"/>
      <c r="C3128" s="930" t="s">
        <v>4448</v>
      </c>
      <c r="D3128" s="182" t="s">
        <v>81</v>
      </c>
      <c r="E3128" s="939">
        <v>0.45</v>
      </c>
      <c r="F3128" s="940" t="s">
        <v>65</v>
      </c>
      <c r="G3128" s="941">
        <v>20.329999999999998</v>
      </c>
      <c r="H3128" s="942">
        <f>ROUNDDOWN(G3128*E3128,2)</f>
        <v>9.14</v>
      </c>
      <c r="I3128" s="1642"/>
      <c r="J3128" s="1797"/>
      <c r="K3128" s="1797"/>
      <c r="L3128" s="1784"/>
      <c r="M3128" s="1785"/>
    </row>
    <row r="3129" spans="1:13" s="1517" customFormat="1" x14ac:dyDescent="0.25">
      <c r="A3129" s="179"/>
      <c r="B3129" s="179"/>
      <c r="C3129" s="943"/>
      <c r="D3129" s="2141" t="s">
        <v>124</v>
      </c>
      <c r="E3129" s="2141"/>
      <c r="F3129" s="2141"/>
      <c r="G3129" s="2141"/>
      <c r="H3129" s="267">
        <f>SUMIF(F3126:F3128,("h"),H3126:H3128)</f>
        <v>16.34</v>
      </c>
      <c r="I3129" s="1830"/>
      <c r="J3129" s="1795"/>
      <c r="K3129" s="1795"/>
      <c r="L3129" s="169"/>
      <c r="M3129" s="1783"/>
    </row>
    <row r="3130" spans="1:13" s="1517" customFormat="1" x14ac:dyDescent="0.25">
      <c r="A3130" s="179"/>
      <c r="B3130" s="179"/>
      <c r="C3130" s="943"/>
      <c r="D3130" s="2141" t="s">
        <v>125</v>
      </c>
      <c r="E3130" s="2141"/>
      <c r="F3130" s="2141"/>
      <c r="G3130" s="2141"/>
      <c r="H3130" s="267">
        <f>SUMIF(F3126:F3128,"&lt;&gt;h",H3126:H3128)</f>
        <v>87.09</v>
      </c>
      <c r="I3130" s="1830"/>
      <c r="J3130" s="1795"/>
      <c r="K3130" s="1795"/>
      <c r="L3130" s="169"/>
      <c r="M3130" s="1783"/>
    </row>
    <row r="3131" spans="1:13" s="1517" customFormat="1" x14ac:dyDescent="0.25">
      <c r="A3131" s="179"/>
      <c r="B3131" s="179"/>
      <c r="C3131" s="943"/>
      <c r="D3131" s="2142" t="s">
        <v>126</v>
      </c>
      <c r="E3131" s="2142"/>
      <c r="F3131" s="2142"/>
      <c r="G3131" s="2142"/>
      <c r="H3131" s="944">
        <f>SUM(H3129:H3130)</f>
        <v>103.43</v>
      </c>
      <c r="I3131" s="1830"/>
      <c r="J3131" s="1795"/>
      <c r="K3131" s="1795"/>
      <c r="L3131" s="169"/>
      <c r="M3131" s="1783"/>
    </row>
    <row r="3132" spans="1:13" s="1517" customFormat="1" x14ac:dyDescent="0.25">
      <c r="A3132" s="179"/>
      <c r="B3132" s="179"/>
      <c r="C3132" s="943"/>
      <c r="D3132" s="2141" t="s">
        <v>28</v>
      </c>
      <c r="E3132" s="2141"/>
      <c r="F3132" s="2141"/>
      <c r="G3132" s="2141"/>
      <c r="H3132" s="269">
        <f>E3125</f>
        <v>182.2</v>
      </c>
      <c r="I3132" s="1830"/>
      <c r="J3132" s="1795"/>
      <c r="K3132" s="1795"/>
      <c r="L3132" s="169"/>
      <c r="M3132" s="1783"/>
    </row>
    <row r="3133" spans="1:13" s="1517" customFormat="1" x14ac:dyDescent="0.25">
      <c r="A3133" s="179"/>
      <c r="B3133" s="179"/>
      <c r="C3133" s="943"/>
      <c r="D3133" s="2142" t="s">
        <v>127</v>
      </c>
      <c r="E3133" s="2142"/>
      <c r="F3133" s="2142"/>
      <c r="G3133" s="2142"/>
      <c r="H3133" s="944">
        <f>ROUND(H3131*H3132,2)</f>
        <v>18844.95</v>
      </c>
      <c r="I3133" s="1830"/>
      <c r="J3133" s="1795"/>
      <c r="K3133" s="1795"/>
      <c r="L3133" s="169"/>
      <c r="M3133" s="1783"/>
    </row>
    <row r="3134" spans="1:13" s="1517" customFormat="1" x14ac:dyDescent="0.25">
      <c r="A3134" s="179"/>
      <c r="B3134" s="179"/>
      <c r="C3134" s="1531"/>
      <c r="D3134" s="2141" t="s">
        <v>15335</v>
      </c>
      <c r="E3134" s="2141"/>
      <c r="F3134" s="2141"/>
      <c r="G3134" s="2141"/>
      <c r="H3134" s="267">
        <f>ROUND(H3131*$B$13,2)</f>
        <v>27.85</v>
      </c>
      <c r="I3134" s="1830"/>
      <c r="J3134" s="1795"/>
      <c r="K3134" s="1795"/>
      <c r="L3134" s="169"/>
      <c r="M3134" s="1783"/>
    </row>
    <row r="3135" spans="1:13" x14ac:dyDescent="0.25">
      <c r="A3135" s="179"/>
      <c r="B3135" s="179"/>
      <c r="C3135" s="1531"/>
      <c r="D3135" s="2142" t="s">
        <v>7898</v>
      </c>
      <c r="E3135" s="2142"/>
      <c r="F3135" s="2142"/>
      <c r="G3135" s="2142"/>
      <c r="H3135" s="1532">
        <f>H3134+H3131</f>
        <v>131.28</v>
      </c>
    </row>
    <row r="3136" spans="1:13" x14ac:dyDescent="0.25">
      <c r="A3136" s="929"/>
      <c r="B3136" s="929"/>
      <c r="C3136" s="929"/>
      <c r="F3136" s="945"/>
      <c r="G3136" s="946"/>
      <c r="H3136" s="929"/>
    </row>
    <row r="3137" spans="1:13" s="1517" customFormat="1" x14ac:dyDescent="0.25">
      <c r="A3137" s="146" t="s">
        <v>6</v>
      </c>
      <c r="B3137" s="2143" t="s">
        <v>7</v>
      </c>
      <c r="C3137" s="2143"/>
      <c r="D3137" s="1518" t="s">
        <v>121</v>
      </c>
      <c r="E3137" s="278" t="s">
        <v>5282</v>
      </c>
      <c r="F3137" s="1518" t="s">
        <v>31</v>
      </c>
      <c r="G3137" s="1519" t="s">
        <v>122</v>
      </c>
      <c r="H3137" s="1520" t="s">
        <v>123</v>
      </c>
      <c r="I3137" s="1830"/>
      <c r="J3137" s="1795"/>
      <c r="K3137" s="1795"/>
      <c r="L3137" s="169"/>
      <c r="M3137" s="1783"/>
    </row>
    <row r="3138" spans="1:13" s="1526" customFormat="1" ht="45" x14ac:dyDescent="0.2">
      <c r="A3138" s="1535" t="s">
        <v>7599</v>
      </c>
      <c r="B3138" s="1535" t="str">
        <f>'Orç - Prédio'!B571</f>
        <v>ORSE</v>
      </c>
      <c r="C3138" s="1535">
        <f>'Orç - Prédio'!C571</f>
        <v>452</v>
      </c>
      <c r="D3138" s="1536" t="s">
        <v>7100</v>
      </c>
      <c r="E3138" s="1523">
        <f>'Orç - Prédio'!E571</f>
        <v>5</v>
      </c>
      <c r="F3138" s="1535" t="s">
        <v>5284</v>
      </c>
      <c r="G3138" s="1524">
        <v>106.64999999999999</v>
      </c>
      <c r="H3138" s="1525">
        <f>H3146</f>
        <v>533.25</v>
      </c>
      <c r="I3138" s="1910" t="s">
        <v>14965</v>
      </c>
      <c r="J3138" s="1793"/>
      <c r="K3138" s="1793"/>
      <c r="L3138" s="141"/>
      <c r="M3138" s="1515"/>
    </row>
    <row r="3139" spans="1:13" s="156" customFormat="1" ht="30" x14ac:dyDescent="0.2">
      <c r="A3139" s="2144">
        <v>828</v>
      </c>
      <c r="B3139" s="2144"/>
      <c r="C3139" s="1516" t="s">
        <v>5281</v>
      </c>
      <c r="D3139" s="182" t="s">
        <v>7600</v>
      </c>
      <c r="E3139" s="1527">
        <v>1</v>
      </c>
      <c r="F3139" s="1665" t="s">
        <v>31</v>
      </c>
      <c r="G3139" s="367">
        <v>71.239999999999995</v>
      </c>
      <c r="H3139" s="1530">
        <f>ROUNDDOWN(G3139*E3139,2)</f>
        <v>71.239999999999995</v>
      </c>
      <c r="I3139" s="1642"/>
      <c r="J3139" s="1797"/>
      <c r="K3139" s="1797"/>
      <c r="L3139" s="1784"/>
      <c r="M3139" s="1785"/>
    </row>
    <row r="3140" spans="1:13" s="156" customFormat="1" ht="30" x14ac:dyDescent="0.2">
      <c r="A3140" s="2144">
        <v>88264</v>
      </c>
      <c r="B3140" s="2144"/>
      <c r="C3140" s="1516" t="s">
        <v>4448</v>
      </c>
      <c r="D3140" s="182" t="s">
        <v>81</v>
      </c>
      <c r="E3140" s="1527">
        <v>1</v>
      </c>
      <c r="F3140" s="1618" t="s">
        <v>65</v>
      </c>
      <c r="G3140" s="1529">
        <v>20.329999999999998</v>
      </c>
      <c r="H3140" s="1530">
        <f>ROUNDDOWN(G3140*E3140,2)</f>
        <v>20.329999999999998</v>
      </c>
      <c r="I3140" s="1642"/>
      <c r="J3140" s="1797"/>
      <c r="K3140" s="1797"/>
      <c r="L3140" s="1784"/>
      <c r="M3140" s="1785"/>
    </row>
    <row r="3141" spans="1:13" s="156" customFormat="1" ht="30" x14ac:dyDescent="0.2">
      <c r="A3141" s="2144">
        <v>88316</v>
      </c>
      <c r="B3141" s="2144"/>
      <c r="C3141" s="1516" t="s">
        <v>4448</v>
      </c>
      <c r="D3141" s="182" t="s">
        <v>64</v>
      </c>
      <c r="E3141" s="1527">
        <v>1</v>
      </c>
      <c r="F3141" s="1618" t="s">
        <v>65</v>
      </c>
      <c r="G3141" s="1529">
        <v>15.08</v>
      </c>
      <c r="H3141" s="1530">
        <f>ROUNDDOWN(G3141*E3141,2)</f>
        <v>15.08</v>
      </c>
      <c r="I3141" s="1642"/>
      <c r="J3141" s="1797"/>
      <c r="K3141" s="1797"/>
      <c r="L3141" s="1784"/>
      <c r="M3141" s="1785"/>
    </row>
    <row r="3142" spans="1:13" s="1517" customFormat="1" x14ac:dyDescent="0.25">
      <c r="A3142" s="179"/>
      <c r="B3142" s="179"/>
      <c r="C3142" s="1531"/>
      <c r="D3142" s="2141" t="s">
        <v>124</v>
      </c>
      <c r="E3142" s="2141"/>
      <c r="F3142" s="2141"/>
      <c r="G3142" s="2141"/>
      <c r="H3142" s="267">
        <f>SUMIF(F3139:F3141,("h"),H3139:H3141)</f>
        <v>35.409999999999997</v>
      </c>
      <c r="I3142" s="1830"/>
      <c r="J3142" s="1795"/>
      <c r="K3142" s="1795"/>
      <c r="L3142" s="169"/>
      <c r="M3142" s="1783"/>
    </row>
    <row r="3143" spans="1:13" s="1517" customFormat="1" x14ac:dyDescent="0.25">
      <c r="A3143" s="179"/>
      <c r="B3143" s="179"/>
      <c r="C3143" s="1531"/>
      <c r="D3143" s="2141" t="s">
        <v>125</v>
      </c>
      <c r="E3143" s="2141"/>
      <c r="F3143" s="2141"/>
      <c r="G3143" s="2141"/>
      <c r="H3143" s="267">
        <f>SUMIF(F3139:F3141,"&lt;&gt;h",H3139:H3141)</f>
        <v>71.239999999999995</v>
      </c>
      <c r="I3143" s="1830"/>
      <c r="J3143" s="1795"/>
      <c r="K3143" s="1795"/>
      <c r="L3143" s="169"/>
      <c r="M3143" s="1783"/>
    </row>
    <row r="3144" spans="1:13" s="1517" customFormat="1" x14ac:dyDescent="0.25">
      <c r="A3144" s="179"/>
      <c r="B3144" s="179"/>
      <c r="C3144" s="1531"/>
      <c r="D3144" s="2142" t="s">
        <v>126</v>
      </c>
      <c r="E3144" s="2142"/>
      <c r="F3144" s="2142"/>
      <c r="G3144" s="2142"/>
      <c r="H3144" s="1532">
        <f>SUM(H3142:H3143)</f>
        <v>106.64999999999999</v>
      </c>
      <c r="I3144" s="1830"/>
      <c r="J3144" s="1795"/>
      <c r="K3144" s="1795"/>
      <c r="L3144" s="169"/>
      <c r="M3144" s="1783"/>
    </row>
    <row r="3145" spans="1:13" s="1517" customFormat="1" x14ac:dyDescent="0.25">
      <c r="A3145" s="179"/>
      <c r="B3145" s="179"/>
      <c r="C3145" s="1531"/>
      <c r="D3145" s="2141" t="s">
        <v>28</v>
      </c>
      <c r="E3145" s="2141"/>
      <c r="F3145" s="2141"/>
      <c r="G3145" s="2141"/>
      <c r="H3145" s="269">
        <f>E3138</f>
        <v>5</v>
      </c>
      <c r="I3145" s="1830"/>
      <c r="J3145" s="1795"/>
      <c r="K3145" s="1795"/>
      <c r="L3145" s="169"/>
      <c r="M3145" s="1783"/>
    </row>
    <row r="3146" spans="1:13" s="1517" customFormat="1" x14ac:dyDescent="0.25">
      <c r="A3146" s="179"/>
      <c r="B3146" s="179"/>
      <c r="C3146" s="1531"/>
      <c r="D3146" s="2142" t="s">
        <v>127</v>
      </c>
      <c r="E3146" s="2142"/>
      <c r="F3146" s="2142"/>
      <c r="G3146" s="2142"/>
      <c r="H3146" s="1532">
        <f>ROUND(H3144*H3145,2)</f>
        <v>533.25</v>
      </c>
      <c r="I3146" s="1830"/>
      <c r="J3146" s="1795"/>
      <c r="K3146" s="1795"/>
      <c r="L3146" s="169"/>
      <c r="M3146" s="1783"/>
    </row>
    <row r="3147" spans="1:13" s="1517" customFormat="1" x14ac:dyDescent="0.25">
      <c r="A3147" s="179"/>
      <c r="B3147" s="179"/>
      <c r="C3147" s="1531"/>
      <c r="D3147" s="2141" t="s">
        <v>15335</v>
      </c>
      <c r="E3147" s="2141"/>
      <c r="F3147" s="2141"/>
      <c r="G3147" s="2141"/>
      <c r="H3147" s="267">
        <f>ROUND(H3144*$B$13,2)</f>
        <v>28.72</v>
      </c>
      <c r="I3147" s="1830"/>
      <c r="J3147" s="1795"/>
      <c r="K3147" s="1795"/>
      <c r="L3147" s="169"/>
      <c r="M3147" s="1783"/>
    </row>
    <row r="3148" spans="1:13" x14ac:dyDescent="0.25">
      <c r="A3148" s="179"/>
      <c r="B3148" s="179"/>
      <c r="C3148" s="1531"/>
      <c r="D3148" s="2142" t="s">
        <v>7898</v>
      </c>
      <c r="E3148" s="2142"/>
      <c r="F3148" s="2142"/>
      <c r="G3148" s="2142"/>
      <c r="H3148" s="1532">
        <f>H3147+H3144</f>
        <v>135.37</v>
      </c>
    </row>
    <row r="3149" spans="1:13" x14ac:dyDescent="0.25">
      <c r="A3149" s="1514"/>
      <c r="B3149" s="1514"/>
      <c r="C3149" s="1514"/>
      <c r="F3149" s="1533"/>
      <c r="G3149" s="1534"/>
      <c r="H3149" s="1514"/>
    </row>
    <row r="3150" spans="1:13" s="1517" customFormat="1" x14ac:dyDescent="0.25">
      <c r="A3150" s="146" t="s">
        <v>6</v>
      </c>
      <c r="B3150" s="2143" t="s">
        <v>7</v>
      </c>
      <c r="C3150" s="2143"/>
      <c r="D3150" s="1518" t="s">
        <v>121</v>
      </c>
      <c r="E3150" s="278" t="s">
        <v>5282</v>
      </c>
      <c r="F3150" s="1518" t="s">
        <v>31</v>
      </c>
      <c r="G3150" s="1519" t="s">
        <v>122</v>
      </c>
      <c r="H3150" s="1520" t="s">
        <v>123</v>
      </c>
      <c r="I3150" s="1830"/>
      <c r="J3150" s="1795"/>
      <c r="K3150" s="1795"/>
      <c r="L3150" s="169"/>
      <c r="M3150" s="1783"/>
    </row>
    <row r="3151" spans="1:13" s="1526" customFormat="1" ht="45" x14ac:dyDescent="0.2">
      <c r="A3151" s="1535" t="s">
        <v>7601</v>
      </c>
      <c r="B3151" s="1535" t="str">
        <f>'Orç - Prédio'!B573</f>
        <v>ORSE</v>
      </c>
      <c r="C3151" s="1535">
        <f>'Orç - Prédio'!C573</f>
        <v>8003</v>
      </c>
      <c r="D3151" s="1536" t="s">
        <v>7101</v>
      </c>
      <c r="E3151" s="1523">
        <f>'Orç - Prédio'!E573</f>
        <v>5</v>
      </c>
      <c r="F3151" s="1535" t="s">
        <v>5284</v>
      </c>
      <c r="G3151" s="1524">
        <v>121.71</v>
      </c>
      <c r="H3151" s="1525">
        <f>H3159</f>
        <v>608.54999999999995</v>
      </c>
      <c r="I3151" s="1910" t="s">
        <v>14965</v>
      </c>
      <c r="J3151" s="1793"/>
      <c r="K3151" s="1793"/>
      <c r="L3151" s="141"/>
      <c r="M3151" s="1515"/>
    </row>
    <row r="3152" spans="1:13" s="156" customFormat="1" ht="30" x14ac:dyDescent="0.2">
      <c r="A3152" s="2144">
        <v>3702</v>
      </c>
      <c r="B3152" s="2144"/>
      <c r="C3152" s="1516" t="s">
        <v>5281</v>
      </c>
      <c r="D3152" s="182" t="s">
        <v>7102</v>
      </c>
      <c r="E3152" s="1527">
        <v>1</v>
      </c>
      <c r="F3152" s="1618" t="s">
        <v>31</v>
      </c>
      <c r="G3152" s="367">
        <v>86.3</v>
      </c>
      <c r="H3152" s="1530">
        <f>ROUNDDOWN(G3152*E3152,2)</f>
        <v>86.3</v>
      </c>
      <c r="I3152" s="1642"/>
      <c r="J3152" s="1797"/>
      <c r="K3152" s="1797"/>
      <c r="L3152" s="1784"/>
      <c r="M3152" s="1785"/>
    </row>
    <row r="3153" spans="1:13" s="156" customFormat="1" ht="30" x14ac:dyDescent="0.2">
      <c r="A3153" s="2144">
        <v>88264</v>
      </c>
      <c r="B3153" s="2144"/>
      <c r="C3153" s="1516" t="s">
        <v>4448</v>
      </c>
      <c r="D3153" s="182" t="s">
        <v>81</v>
      </c>
      <c r="E3153" s="1527">
        <v>1</v>
      </c>
      <c r="F3153" s="1618" t="s">
        <v>65</v>
      </c>
      <c r="G3153" s="1529">
        <v>20.329999999999998</v>
      </c>
      <c r="H3153" s="1530">
        <f>ROUNDDOWN(G3153*E3153,2)</f>
        <v>20.329999999999998</v>
      </c>
      <c r="I3153" s="1642"/>
      <c r="J3153" s="1797"/>
      <c r="K3153" s="1797"/>
      <c r="L3153" s="1784"/>
      <c r="M3153" s="1785"/>
    </row>
    <row r="3154" spans="1:13" s="156" customFormat="1" ht="30" x14ac:dyDescent="0.2">
      <c r="A3154" s="2144">
        <v>88316</v>
      </c>
      <c r="B3154" s="2144"/>
      <c r="C3154" s="1516" t="s">
        <v>4448</v>
      </c>
      <c r="D3154" s="182" t="s">
        <v>64</v>
      </c>
      <c r="E3154" s="1527">
        <v>1</v>
      </c>
      <c r="F3154" s="1618" t="s">
        <v>65</v>
      </c>
      <c r="G3154" s="1529">
        <v>15.08</v>
      </c>
      <c r="H3154" s="1530">
        <f>ROUNDDOWN(G3154*E3154,2)</f>
        <v>15.08</v>
      </c>
      <c r="I3154" s="1642"/>
      <c r="J3154" s="1797"/>
      <c r="K3154" s="1797"/>
      <c r="L3154" s="1784"/>
      <c r="M3154" s="1785"/>
    </row>
    <row r="3155" spans="1:13" s="1517" customFormat="1" x14ac:dyDescent="0.25">
      <c r="A3155" s="179"/>
      <c r="B3155" s="179"/>
      <c r="C3155" s="1531"/>
      <c r="D3155" s="2141" t="s">
        <v>124</v>
      </c>
      <c r="E3155" s="2141"/>
      <c r="F3155" s="2141"/>
      <c r="G3155" s="2141"/>
      <c r="H3155" s="267">
        <f>SUMIF(F3152:F3154,("h"),H3152:H3154)</f>
        <v>35.409999999999997</v>
      </c>
      <c r="I3155" s="1830"/>
      <c r="J3155" s="1795"/>
      <c r="K3155" s="1795"/>
      <c r="L3155" s="169"/>
      <c r="M3155" s="1783"/>
    </row>
    <row r="3156" spans="1:13" s="1517" customFormat="1" x14ac:dyDescent="0.25">
      <c r="A3156" s="179"/>
      <c r="B3156" s="179"/>
      <c r="C3156" s="1531"/>
      <c r="D3156" s="2141" t="s">
        <v>125</v>
      </c>
      <c r="E3156" s="2141"/>
      <c r="F3156" s="2141"/>
      <c r="G3156" s="2141"/>
      <c r="H3156" s="267">
        <f>SUMIF(F3152:F3154,"&lt;&gt;h",H3152:H3154)</f>
        <v>86.3</v>
      </c>
      <c r="I3156" s="1830"/>
      <c r="J3156" s="1795"/>
      <c r="K3156" s="1795"/>
      <c r="L3156" s="169"/>
      <c r="M3156" s="1783"/>
    </row>
    <row r="3157" spans="1:13" s="1517" customFormat="1" x14ac:dyDescent="0.25">
      <c r="A3157" s="179"/>
      <c r="B3157" s="179"/>
      <c r="C3157" s="1531"/>
      <c r="D3157" s="2142" t="s">
        <v>126</v>
      </c>
      <c r="E3157" s="2142"/>
      <c r="F3157" s="2142"/>
      <c r="G3157" s="2142"/>
      <c r="H3157" s="1532">
        <f>SUM(H3155:H3156)</f>
        <v>121.71</v>
      </c>
      <c r="I3157" s="1830"/>
      <c r="J3157" s="1795"/>
      <c r="K3157" s="1795"/>
      <c r="L3157" s="169"/>
      <c r="M3157" s="1783"/>
    </row>
    <row r="3158" spans="1:13" s="1517" customFormat="1" x14ac:dyDescent="0.25">
      <c r="A3158" s="179"/>
      <c r="B3158" s="179"/>
      <c r="C3158" s="1531"/>
      <c r="D3158" s="2141" t="s">
        <v>28</v>
      </c>
      <c r="E3158" s="2141"/>
      <c r="F3158" s="2141"/>
      <c r="G3158" s="2141"/>
      <c r="H3158" s="269">
        <f>E3151</f>
        <v>5</v>
      </c>
      <c r="I3158" s="1830"/>
      <c r="J3158" s="1795"/>
      <c r="K3158" s="1795"/>
      <c r="L3158" s="169"/>
      <c r="M3158" s="1783"/>
    </row>
    <row r="3159" spans="1:13" s="1517" customFormat="1" x14ac:dyDescent="0.25">
      <c r="A3159" s="179"/>
      <c r="B3159" s="179"/>
      <c r="C3159" s="1531"/>
      <c r="D3159" s="2142" t="s">
        <v>127</v>
      </c>
      <c r="E3159" s="2142"/>
      <c r="F3159" s="2142"/>
      <c r="G3159" s="2142"/>
      <c r="H3159" s="1532">
        <f>ROUND(H3157*H3158,2)</f>
        <v>608.54999999999995</v>
      </c>
      <c r="I3159" s="1830"/>
      <c r="J3159" s="1795"/>
      <c r="K3159" s="1795"/>
      <c r="L3159" s="169"/>
      <c r="M3159" s="1783"/>
    </row>
    <row r="3160" spans="1:13" s="1517" customFormat="1" x14ac:dyDescent="0.25">
      <c r="A3160" s="179"/>
      <c r="B3160" s="179"/>
      <c r="C3160" s="1531"/>
      <c r="D3160" s="2141" t="s">
        <v>15335</v>
      </c>
      <c r="E3160" s="2141"/>
      <c r="F3160" s="2141"/>
      <c r="G3160" s="2141"/>
      <c r="H3160" s="267">
        <f>ROUND(H3157*$B$13,2)</f>
        <v>32.78</v>
      </c>
      <c r="I3160" s="1830"/>
      <c r="J3160" s="1795"/>
      <c r="K3160" s="1795"/>
      <c r="L3160" s="169"/>
      <c r="M3160" s="1783"/>
    </row>
    <row r="3161" spans="1:13" x14ac:dyDescent="0.25">
      <c r="A3161" s="179"/>
      <c r="B3161" s="179"/>
      <c r="C3161" s="1531"/>
      <c r="D3161" s="2142" t="s">
        <v>7898</v>
      </c>
      <c r="E3161" s="2142"/>
      <c r="F3161" s="2142"/>
      <c r="G3161" s="2142"/>
      <c r="H3161" s="1532">
        <f>H3160+H3157</f>
        <v>154.49</v>
      </c>
    </row>
    <row r="3162" spans="1:13" x14ac:dyDescent="0.25">
      <c r="A3162" s="1514"/>
      <c r="B3162" s="1514"/>
      <c r="C3162" s="1514"/>
      <c r="F3162" s="1533"/>
      <c r="G3162" s="1534"/>
      <c r="H3162" s="1514"/>
    </row>
    <row r="3163" spans="1:13" s="1517" customFormat="1" x14ac:dyDescent="0.25">
      <c r="A3163" s="146" t="s">
        <v>6</v>
      </c>
      <c r="B3163" s="2143" t="s">
        <v>7</v>
      </c>
      <c r="C3163" s="2143"/>
      <c r="D3163" s="1518" t="s">
        <v>121</v>
      </c>
      <c r="E3163" s="278" t="s">
        <v>5282</v>
      </c>
      <c r="F3163" s="1518" t="s">
        <v>31</v>
      </c>
      <c r="G3163" s="1519" t="s">
        <v>122</v>
      </c>
      <c r="H3163" s="1520" t="s">
        <v>123</v>
      </c>
      <c r="I3163" s="1830"/>
      <c r="J3163" s="1795"/>
      <c r="K3163" s="1795"/>
      <c r="L3163" s="169"/>
      <c r="M3163" s="1783"/>
    </row>
    <row r="3164" spans="1:13" s="1526" customFormat="1" ht="45" x14ac:dyDescent="0.2">
      <c r="A3164" s="1535" t="s">
        <v>9565</v>
      </c>
      <c r="B3164" s="1535" t="str">
        <f>'Orç - Prédio'!B575</f>
        <v>ORSE</v>
      </c>
      <c r="C3164" s="1535">
        <f>'Orç - Prédio'!C575</f>
        <v>8490</v>
      </c>
      <c r="D3164" s="1536" t="s">
        <v>7105</v>
      </c>
      <c r="E3164" s="1523">
        <f>'Orç - Prédio'!E575</f>
        <v>5</v>
      </c>
      <c r="F3164" s="1535" t="s">
        <v>5284</v>
      </c>
      <c r="G3164" s="1524">
        <v>385.82</v>
      </c>
      <c r="H3164" s="1525">
        <f>H3172</f>
        <v>1929.1</v>
      </c>
      <c r="I3164" s="1910" t="s">
        <v>14965</v>
      </c>
      <c r="J3164" s="1793"/>
      <c r="K3164" s="1793"/>
      <c r="L3164" s="141"/>
      <c r="M3164" s="1515"/>
    </row>
    <row r="3165" spans="1:13" s="156" customFormat="1" ht="30" x14ac:dyDescent="0.2">
      <c r="A3165" s="2144">
        <v>8830</v>
      </c>
      <c r="B3165" s="2144"/>
      <c r="C3165" s="1516" t="s">
        <v>5281</v>
      </c>
      <c r="D3165" s="182" t="s">
        <v>7106</v>
      </c>
      <c r="E3165" s="1527">
        <v>1</v>
      </c>
      <c r="F3165" s="1618" t="s">
        <v>31</v>
      </c>
      <c r="G3165" s="367">
        <v>315</v>
      </c>
      <c r="H3165" s="1530">
        <f>ROUNDDOWN(G3165*E3165,2)</f>
        <v>315</v>
      </c>
      <c r="I3165" s="1642"/>
      <c r="J3165" s="1797"/>
      <c r="K3165" s="1797"/>
      <c r="L3165" s="1784"/>
      <c r="M3165" s="1785"/>
    </row>
    <row r="3166" spans="1:13" s="156" customFormat="1" ht="30" x14ac:dyDescent="0.2">
      <c r="A3166" s="2144">
        <v>88264</v>
      </c>
      <c r="B3166" s="2144"/>
      <c r="C3166" s="1516" t="s">
        <v>4448</v>
      </c>
      <c r="D3166" s="182" t="s">
        <v>81</v>
      </c>
      <c r="E3166" s="1527">
        <v>2</v>
      </c>
      <c r="F3166" s="1618" t="s">
        <v>65</v>
      </c>
      <c r="G3166" s="1529">
        <v>20.329999999999998</v>
      </c>
      <c r="H3166" s="1530">
        <f>ROUNDDOWN(G3166*E3166,2)</f>
        <v>40.659999999999997</v>
      </c>
      <c r="I3166" s="1642"/>
      <c r="J3166" s="1797"/>
      <c r="K3166" s="1797"/>
      <c r="L3166" s="1784"/>
      <c r="M3166" s="1785"/>
    </row>
    <row r="3167" spans="1:13" s="156" customFormat="1" ht="30" x14ac:dyDescent="0.2">
      <c r="A3167" s="2144">
        <v>88316</v>
      </c>
      <c r="B3167" s="2144"/>
      <c r="C3167" s="1516" t="s">
        <v>4448</v>
      </c>
      <c r="D3167" s="182" t="s">
        <v>64</v>
      </c>
      <c r="E3167" s="1527">
        <v>2</v>
      </c>
      <c r="F3167" s="1618" t="s">
        <v>65</v>
      </c>
      <c r="G3167" s="1529">
        <v>15.08</v>
      </c>
      <c r="H3167" s="1530">
        <f>ROUNDDOWN(G3167*E3167,2)</f>
        <v>30.16</v>
      </c>
      <c r="I3167" s="1642"/>
      <c r="J3167" s="1797"/>
      <c r="K3167" s="1797"/>
      <c r="L3167" s="1784"/>
      <c r="M3167" s="1785"/>
    </row>
    <row r="3168" spans="1:13" s="1517" customFormat="1" x14ac:dyDescent="0.25">
      <c r="A3168" s="179"/>
      <c r="B3168" s="179"/>
      <c r="C3168" s="1531"/>
      <c r="D3168" s="2141" t="s">
        <v>124</v>
      </c>
      <c r="E3168" s="2141"/>
      <c r="F3168" s="2141"/>
      <c r="G3168" s="2141"/>
      <c r="H3168" s="267">
        <f>SUMIF(F3165:F3167,("h"),H3165:H3167)</f>
        <v>70.819999999999993</v>
      </c>
      <c r="I3168" s="1830"/>
      <c r="J3168" s="1795"/>
      <c r="K3168" s="1795"/>
      <c r="L3168" s="169"/>
      <c r="M3168" s="1783"/>
    </row>
    <row r="3169" spans="1:13" s="1517" customFormat="1" x14ac:dyDescent="0.25">
      <c r="A3169" s="179"/>
      <c r="B3169" s="179"/>
      <c r="C3169" s="1531"/>
      <c r="D3169" s="2141" t="s">
        <v>125</v>
      </c>
      <c r="E3169" s="2141"/>
      <c r="F3169" s="2141"/>
      <c r="G3169" s="2141"/>
      <c r="H3169" s="267">
        <f>SUMIF(F3165:F3167,"&lt;&gt;h",H3165:H3167)</f>
        <v>315</v>
      </c>
      <c r="I3169" s="1830"/>
      <c r="J3169" s="1795"/>
      <c r="K3169" s="1795"/>
      <c r="L3169" s="169"/>
      <c r="M3169" s="1783"/>
    </row>
    <row r="3170" spans="1:13" s="1517" customFormat="1" x14ac:dyDescent="0.25">
      <c r="A3170" s="179"/>
      <c r="B3170" s="179"/>
      <c r="C3170" s="1531"/>
      <c r="D3170" s="2142" t="s">
        <v>126</v>
      </c>
      <c r="E3170" s="2142"/>
      <c r="F3170" s="2142"/>
      <c r="G3170" s="2142"/>
      <c r="H3170" s="1532">
        <f>SUM(H3168:H3169)</f>
        <v>385.82</v>
      </c>
      <c r="I3170" s="1830"/>
      <c r="J3170" s="1795"/>
      <c r="K3170" s="1795"/>
      <c r="L3170" s="169"/>
      <c r="M3170" s="1783"/>
    </row>
    <row r="3171" spans="1:13" s="1517" customFormat="1" x14ac:dyDescent="0.25">
      <c r="A3171" s="179"/>
      <c r="B3171" s="179"/>
      <c r="C3171" s="1531"/>
      <c r="D3171" s="2141" t="s">
        <v>28</v>
      </c>
      <c r="E3171" s="2141"/>
      <c r="F3171" s="2141"/>
      <c r="G3171" s="2141"/>
      <c r="H3171" s="269">
        <f>E3164</f>
        <v>5</v>
      </c>
      <c r="I3171" s="1830"/>
      <c r="J3171" s="1795"/>
      <c r="K3171" s="1795"/>
      <c r="L3171" s="169"/>
      <c r="M3171" s="1783"/>
    </row>
    <row r="3172" spans="1:13" s="1517" customFormat="1" x14ac:dyDescent="0.25">
      <c r="A3172" s="179"/>
      <c r="B3172" s="179"/>
      <c r="C3172" s="1531"/>
      <c r="D3172" s="2142" t="s">
        <v>127</v>
      </c>
      <c r="E3172" s="2142"/>
      <c r="F3172" s="2142"/>
      <c r="G3172" s="2142"/>
      <c r="H3172" s="1532">
        <f>ROUND(H3170*H3171,2)</f>
        <v>1929.1</v>
      </c>
      <c r="I3172" s="1830"/>
      <c r="J3172" s="1795"/>
      <c r="K3172" s="1795"/>
      <c r="L3172" s="169"/>
      <c r="M3172" s="1783"/>
    </row>
    <row r="3173" spans="1:13" s="1517" customFormat="1" x14ac:dyDescent="0.25">
      <c r="A3173" s="179"/>
      <c r="B3173" s="179"/>
      <c r="C3173" s="1531"/>
      <c r="D3173" s="2141" t="s">
        <v>15335</v>
      </c>
      <c r="E3173" s="2141"/>
      <c r="F3173" s="2141"/>
      <c r="G3173" s="2141"/>
      <c r="H3173" s="267">
        <f>ROUND(H3170*$B$13,2)</f>
        <v>103.9</v>
      </c>
      <c r="I3173" s="1830"/>
      <c r="J3173" s="1795"/>
      <c r="K3173" s="1795"/>
      <c r="L3173" s="169"/>
      <c r="M3173" s="1783"/>
    </row>
    <row r="3174" spans="1:13" x14ac:dyDescent="0.25">
      <c r="A3174" s="179"/>
      <c r="B3174" s="179"/>
      <c r="C3174" s="1531"/>
      <c r="D3174" s="2142" t="s">
        <v>7898</v>
      </c>
      <c r="E3174" s="2142"/>
      <c r="F3174" s="2142"/>
      <c r="G3174" s="2142"/>
      <c r="H3174" s="1532">
        <f>H3173+H3170</f>
        <v>489.72</v>
      </c>
    </row>
    <row r="3175" spans="1:13" x14ac:dyDescent="0.25">
      <c r="A3175" s="1514"/>
      <c r="B3175" s="1514"/>
      <c r="C3175" s="1514"/>
      <c r="F3175" s="1533"/>
      <c r="G3175" s="1534"/>
      <c r="H3175" s="1514"/>
    </row>
    <row r="3176" spans="1:13" s="1517" customFormat="1" x14ac:dyDescent="0.25">
      <c r="A3176" s="146" t="s">
        <v>6</v>
      </c>
      <c r="B3176" s="2143" t="s">
        <v>7</v>
      </c>
      <c r="C3176" s="2143"/>
      <c r="D3176" s="1518" t="s">
        <v>121</v>
      </c>
      <c r="E3176" s="278" t="s">
        <v>5282</v>
      </c>
      <c r="F3176" s="1518" t="s">
        <v>31</v>
      </c>
      <c r="G3176" s="1519" t="s">
        <v>122</v>
      </c>
      <c r="H3176" s="1520" t="s">
        <v>123</v>
      </c>
      <c r="I3176" s="1830"/>
      <c r="J3176" s="1795"/>
      <c r="K3176" s="1795"/>
      <c r="L3176" s="169"/>
      <c r="M3176" s="1783"/>
    </row>
    <row r="3177" spans="1:13" s="1526" customFormat="1" ht="30" x14ac:dyDescent="0.2">
      <c r="A3177" s="1535" t="str">
        <f>'Orç - Prédio'!A577</f>
        <v>06.01.308.18</v>
      </c>
      <c r="B3177" s="1535" t="str">
        <f>'Orç - Prédio'!B577</f>
        <v>ORSE</v>
      </c>
      <c r="C3177" s="1535">
        <f>'Orç - Prédio'!C577</f>
        <v>8078</v>
      </c>
      <c r="D3177" s="1536" t="s">
        <v>8954</v>
      </c>
      <c r="E3177" s="1523">
        <f>'Orç - Prédio'!E577</f>
        <v>2</v>
      </c>
      <c r="F3177" s="1535" t="s">
        <v>5284</v>
      </c>
      <c r="G3177" s="1524">
        <v>396.17</v>
      </c>
      <c r="H3177" s="1525">
        <f>H3185</f>
        <v>792.34</v>
      </c>
      <c r="I3177" s="1910" t="s">
        <v>14965</v>
      </c>
      <c r="J3177" s="1793"/>
      <c r="K3177" s="1793"/>
      <c r="L3177" s="141"/>
      <c r="M3177" s="1515"/>
    </row>
    <row r="3178" spans="1:13" s="156" customFormat="1" ht="45" x14ac:dyDescent="0.2">
      <c r="A3178" s="2144">
        <v>830</v>
      </c>
      <c r="B3178" s="2144"/>
      <c r="C3178" s="1516" t="s">
        <v>5281</v>
      </c>
      <c r="D3178" s="1862" t="s">
        <v>8956</v>
      </c>
      <c r="E3178" s="1527">
        <v>1</v>
      </c>
      <c r="F3178" s="1618" t="s">
        <v>31</v>
      </c>
      <c r="G3178" s="367">
        <v>325.35000000000002</v>
      </c>
      <c r="H3178" s="1530">
        <f>ROUNDDOWN(G3178*E3178,2)</f>
        <v>325.35000000000002</v>
      </c>
      <c r="I3178" s="1642"/>
      <c r="J3178" s="1797"/>
      <c r="K3178" s="1797"/>
      <c r="L3178" s="1784"/>
      <c r="M3178" s="1785"/>
    </row>
    <row r="3179" spans="1:13" s="156" customFormat="1" ht="30" x14ac:dyDescent="0.2">
      <c r="A3179" s="2144">
        <v>88264</v>
      </c>
      <c r="B3179" s="2144"/>
      <c r="C3179" s="1516" t="s">
        <v>4448</v>
      </c>
      <c r="D3179" s="182" t="s">
        <v>81</v>
      </c>
      <c r="E3179" s="1527">
        <v>2</v>
      </c>
      <c r="F3179" s="1618" t="s">
        <v>65</v>
      </c>
      <c r="G3179" s="1529">
        <v>20.329999999999998</v>
      </c>
      <c r="H3179" s="1530">
        <f>ROUNDDOWN(G3179*E3179,2)</f>
        <v>40.659999999999997</v>
      </c>
      <c r="I3179" s="1642"/>
      <c r="J3179" s="1797"/>
      <c r="K3179" s="1797"/>
      <c r="L3179" s="1784"/>
      <c r="M3179" s="1785"/>
    </row>
    <row r="3180" spans="1:13" s="156" customFormat="1" ht="30" x14ac:dyDescent="0.2">
      <c r="A3180" s="2144">
        <v>88316</v>
      </c>
      <c r="B3180" s="2144"/>
      <c r="C3180" s="1516" t="s">
        <v>4448</v>
      </c>
      <c r="D3180" s="182" t="s">
        <v>64</v>
      </c>
      <c r="E3180" s="1527">
        <v>2</v>
      </c>
      <c r="F3180" s="1618" t="s">
        <v>65</v>
      </c>
      <c r="G3180" s="1529">
        <v>15.08</v>
      </c>
      <c r="H3180" s="1530">
        <f>ROUNDDOWN(G3180*E3180,2)</f>
        <v>30.16</v>
      </c>
      <c r="I3180" s="1642"/>
      <c r="J3180" s="1797"/>
      <c r="K3180" s="1797"/>
      <c r="L3180" s="1784"/>
      <c r="M3180" s="1785"/>
    </row>
    <row r="3181" spans="1:13" s="1517" customFormat="1" x14ac:dyDescent="0.25">
      <c r="A3181" s="179"/>
      <c r="B3181" s="179"/>
      <c r="C3181" s="1531"/>
      <c r="D3181" s="2141" t="s">
        <v>124</v>
      </c>
      <c r="E3181" s="2141"/>
      <c r="F3181" s="2141"/>
      <c r="G3181" s="2141"/>
      <c r="H3181" s="267">
        <f>SUMIF(F3178:F3180,("h"),H3178:H3180)</f>
        <v>70.819999999999993</v>
      </c>
      <c r="I3181" s="1830"/>
      <c r="J3181" s="1795"/>
      <c r="K3181" s="1795"/>
      <c r="L3181" s="169"/>
      <c r="M3181" s="1783"/>
    </row>
    <row r="3182" spans="1:13" s="1517" customFormat="1" x14ac:dyDescent="0.25">
      <c r="A3182" s="179"/>
      <c r="B3182" s="179"/>
      <c r="C3182" s="1531"/>
      <c r="D3182" s="2141" t="s">
        <v>125</v>
      </c>
      <c r="E3182" s="2141"/>
      <c r="F3182" s="2141"/>
      <c r="G3182" s="2141"/>
      <c r="H3182" s="267">
        <f>SUMIF(F3178:F3180,"&lt;&gt;h",H3178:H3180)</f>
        <v>325.35000000000002</v>
      </c>
      <c r="I3182" s="1830"/>
      <c r="J3182" s="1795"/>
      <c r="K3182" s="1795"/>
      <c r="L3182" s="169"/>
      <c r="M3182" s="1783"/>
    </row>
    <row r="3183" spans="1:13" s="1517" customFormat="1" x14ac:dyDescent="0.25">
      <c r="A3183" s="179"/>
      <c r="B3183" s="179"/>
      <c r="C3183" s="1531"/>
      <c r="D3183" s="2142" t="s">
        <v>126</v>
      </c>
      <c r="E3183" s="2142"/>
      <c r="F3183" s="2142"/>
      <c r="G3183" s="2142"/>
      <c r="H3183" s="1532">
        <f>SUM(H3181:H3182)</f>
        <v>396.17</v>
      </c>
      <c r="I3183" s="1830"/>
      <c r="J3183" s="1795"/>
      <c r="K3183" s="1795"/>
      <c r="L3183" s="169"/>
      <c r="M3183" s="1783"/>
    </row>
    <row r="3184" spans="1:13" s="1517" customFormat="1" x14ac:dyDescent="0.25">
      <c r="A3184" s="179"/>
      <c r="B3184" s="179"/>
      <c r="C3184" s="1531"/>
      <c r="D3184" s="2141" t="s">
        <v>28</v>
      </c>
      <c r="E3184" s="2141"/>
      <c r="F3184" s="2141"/>
      <c r="G3184" s="2141"/>
      <c r="H3184" s="269">
        <f>E3177</f>
        <v>2</v>
      </c>
      <c r="I3184" s="1830"/>
      <c r="J3184" s="1795"/>
      <c r="K3184" s="1795"/>
      <c r="L3184" s="169"/>
      <c r="M3184" s="1783"/>
    </row>
    <row r="3185" spans="1:13" s="1517" customFormat="1" x14ac:dyDescent="0.25">
      <c r="A3185" s="179"/>
      <c r="B3185" s="179"/>
      <c r="C3185" s="1531"/>
      <c r="D3185" s="2142" t="s">
        <v>127</v>
      </c>
      <c r="E3185" s="2142"/>
      <c r="F3185" s="2142"/>
      <c r="G3185" s="2142"/>
      <c r="H3185" s="1532">
        <f>ROUND(H3183*H3184,2)</f>
        <v>792.34</v>
      </c>
      <c r="I3185" s="1830"/>
      <c r="J3185" s="1795"/>
      <c r="K3185" s="1795"/>
      <c r="L3185" s="169"/>
      <c r="M3185" s="1783"/>
    </row>
    <row r="3186" spans="1:13" s="1517" customFormat="1" x14ac:dyDescent="0.25">
      <c r="A3186" s="179"/>
      <c r="B3186" s="179"/>
      <c r="C3186" s="1531"/>
      <c r="D3186" s="2141" t="s">
        <v>15335</v>
      </c>
      <c r="E3186" s="2141"/>
      <c r="F3186" s="2141"/>
      <c r="G3186" s="2141"/>
      <c r="H3186" s="267">
        <f>ROUND(H3183*$B$13,2)</f>
        <v>106.69</v>
      </c>
      <c r="I3186" s="1830"/>
      <c r="J3186" s="1795"/>
      <c r="K3186" s="1795"/>
      <c r="L3186" s="169"/>
      <c r="M3186" s="1783"/>
    </row>
    <row r="3187" spans="1:13" x14ac:dyDescent="0.25">
      <c r="A3187" s="179"/>
      <c r="B3187" s="179"/>
      <c r="C3187" s="1531"/>
      <c r="D3187" s="2142" t="s">
        <v>7898</v>
      </c>
      <c r="E3187" s="2142"/>
      <c r="F3187" s="2142"/>
      <c r="G3187" s="2142"/>
      <c r="H3187" s="1532">
        <f>H3186+H3183</f>
        <v>502.86</v>
      </c>
    </row>
    <row r="3188" spans="1:13" x14ac:dyDescent="0.25">
      <c r="A3188" s="1514"/>
      <c r="B3188" s="1514"/>
      <c r="C3188" s="1514"/>
      <c r="F3188" s="1533"/>
      <c r="G3188" s="1534"/>
      <c r="H3188" s="1514"/>
    </row>
    <row r="3189" spans="1:13" s="1517" customFormat="1" x14ac:dyDescent="0.25">
      <c r="A3189" s="146" t="s">
        <v>6</v>
      </c>
      <c r="B3189" s="2143" t="s">
        <v>7</v>
      </c>
      <c r="C3189" s="2143"/>
      <c r="D3189" s="1518" t="s">
        <v>121</v>
      </c>
      <c r="E3189" s="278" t="s">
        <v>5282</v>
      </c>
      <c r="F3189" s="1518" t="s">
        <v>31</v>
      </c>
      <c r="G3189" s="1519" t="s">
        <v>122</v>
      </c>
      <c r="H3189" s="1520" t="s">
        <v>123</v>
      </c>
      <c r="I3189" s="1830"/>
      <c r="J3189" s="1795"/>
      <c r="K3189" s="1795"/>
      <c r="L3189" s="169"/>
      <c r="M3189" s="1783"/>
    </row>
    <row r="3190" spans="1:13" s="1526" customFormat="1" ht="45" x14ac:dyDescent="0.2">
      <c r="A3190" s="1535" t="str">
        <f>'Orç - Prédio'!A578</f>
        <v>06.01.308.19</v>
      </c>
      <c r="B3190" s="1535" t="str">
        <f>'Orç - Prédio'!B578</f>
        <v>ORSE</v>
      </c>
      <c r="C3190" s="1535">
        <f>'Orç - Prédio'!C578</f>
        <v>11561</v>
      </c>
      <c r="D3190" s="1536" t="s">
        <v>8955</v>
      </c>
      <c r="E3190" s="1523">
        <f>'Orç - Prédio'!E578</f>
        <v>2</v>
      </c>
      <c r="F3190" s="1535" t="s">
        <v>5284</v>
      </c>
      <c r="G3190" s="1524">
        <v>450.82</v>
      </c>
      <c r="H3190" s="1525">
        <f>H3198</f>
        <v>901.64</v>
      </c>
      <c r="I3190" s="1910" t="s">
        <v>14965</v>
      </c>
      <c r="J3190" s="1793"/>
      <c r="K3190" s="1793"/>
      <c r="L3190" s="141"/>
      <c r="M3190" s="1515"/>
    </row>
    <row r="3191" spans="1:13" s="156" customFormat="1" ht="45" x14ac:dyDescent="0.2">
      <c r="A3191" s="2144">
        <v>3609</v>
      </c>
      <c r="B3191" s="2144"/>
      <c r="C3191" s="1516" t="s">
        <v>5281</v>
      </c>
      <c r="D3191" s="1862" t="s">
        <v>7108</v>
      </c>
      <c r="E3191" s="1527">
        <v>1</v>
      </c>
      <c r="F3191" s="1618" t="s">
        <v>31</v>
      </c>
      <c r="G3191" s="367">
        <v>380</v>
      </c>
      <c r="H3191" s="1530">
        <f>ROUNDDOWN(G3191*E3191,2)</f>
        <v>380</v>
      </c>
      <c r="I3191" s="1642"/>
      <c r="J3191" s="1797"/>
      <c r="K3191" s="1797"/>
      <c r="L3191" s="1784"/>
      <c r="M3191" s="1785"/>
    </row>
    <row r="3192" spans="1:13" s="156" customFormat="1" ht="30" x14ac:dyDescent="0.2">
      <c r="A3192" s="2144">
        <v>88264</v>
      </c>
      <c r="B3192" s="2144"/>
      <c r="C3192" s="1516" t="s">
        <v>4448</v>
      </c>
      <c r="D3192" s="182" t="s">
        <v>81</v>
      </c>
      <c r="E3192" s="1527">
        <v>2</v>
      </c>
      <c r="F3192" s="1618" t="s">
        <v>65</v>
      </c>
      <c r="G3192" s="1529">
        <v>20.329999999999998</v>
      </c>
      <c r="H3192" s="1530">
        <f>ROUNDDOWN(G3192*E3192,2)</f>
        <v>40.659999999999997</v>
      </c>
      <c r="I3192" s="1642"/>
      <c r="J3192" s="1797"/>
      <c r="K3192" s="1797"/>
      <c r="L3192" s="1784"/>
      <c r="M3192" s="1785"/>
    </row>
    <row r="3193" spans="1:13" s="156" customFormat="1" ht="30" x14ac:dyDescent="0.2">
      <c r="A3193" s="2144">
        <v>88316</v>
      </c>
      <c r="B3193" s="2144"/>
      <c r="C3193" s="1516" t="s">
        <v>4448</v>
      </c>
      <c r="D3193" s="182" t="s">
        <v>64</v>
      </c>
      <c r="E3193" s="1527">
        <v>2</v>
      </c>
      <c r="F3193" s="1618" t="s">
        <v>65</v>
      </c>
      <c r="G3193" s="1529">
        <v>15.08</v>
      </c>
      <c r="H3193" s="1530">
        <f>ROUNDDOWN(G3193*E3193,2)</f>
        <v>30.16</v>
      </c>
      <c r="I3193" s="1642"/>
      <c r="J3193" s="1797"/>
      <c r="K3193" s="1797"/>
      <c r="L3193" s="1784"/>
      <c r="M3193" s="1785"/>
    </row>
    <row r="3194" spans="1:13" s="1517" customFormat="1" x14ac:dyDescent="0.25">
      <c r="A3194" s="179"/>
      <c r="B3194" s="179"/>
      <c r="C3194" s="1531"/>
      <c r="D3194" s="2141" t="s">
        <v>124</v>
      </c>
      <c r="E3194" s="2141"/>
      <c r="F3194" s="2141"/>
      <c r="G3194" s="2141"/>
      <c r="H3194" s="267">
        <f>SUMIF(F3191:F3193,("h"),H3191:H3193)</f>
        <v>70.819999999999993</v>
      </c>
      <c r="I3194" s="1830"/>
      <c r="J3194" s="1795"/>
      <c r="K3194" s="1795"/>
      <c r="L3194" s="169"/>
      <c r="M3194" s="1783"/>
    </row>
    <row r="3195" spans="1:13" s="1517" customFormat="1" x14ac:dyDescent="0.25">
      <c r="A3195" s="179"/>
      <c r="B3195" s="179"/>
      <c r="C3195" s="1531"/>
      <c r="D3195" s="2141" t="s">
        <v>125</v>
      </c>
      <c r="E3195" s="2141"/>
      <c r="F3195" s="2141"/>
      <c r="G3195" s="2141"/>
      <c r="H3195" s="267">
        <f>SUMIF(F3191:F3193,"&lt;&gt;h",H3191:H3193)</f>
        <v>380</v>
      </c>
      <c r="I3195" s="1830"/>
      <c r="J3195" s="1795"/>
      <c r="K3195" s="1795"/>
      <c r="L3195" s="169"/>
      <c r="M3195" s="1783"/>
    </row>
    <row r="3196" spans="1:13" s="1517" customFormat="1" x14ac:dyDescent="0.25">
      <c r="A3196" s="179"/>
      <c r="B3196" s="179"/>
      <c r="C3196" s="1531"/>
      <c r="D3196" s="2142" t="s">
        <v>126</v>
      </c>
      <c r="E3196" s="2142"/>
      <c r="F3196" s="2142"/>
      <c r="G3196" s="2142"/>
      <c r="H3196" s="1532">
        <f>SUM(H3194:H3195)</f>
        <v>450.82</v>
      </c>
      <c r="I3196" s="1830"/>
      <c r="J3196" s="1795"/>
      <c r="K3196" s="1795"/>
      <c r="L3196" s="169"/>
      <c r="M3196" s="1783"/>
    </row>
    <row r="3197" spans="1:13" s="1517" customFormat="1" x14ac:dyDescent="0.25">
      <c r="A3197" s="179"/>
      <c r="B3197" s="179"/>
      <c r="C3197" s="1531"/>
      <c r="D3197" s="2141" t="s">
        <v>28</v>
      </c>
      <c r="E3197" s="2141"/>
      <c r="F3197" s="2141"/>
      <c r="G3197" s="2141"/>
      <c r="H3197" s="269">
        <f>E3190</f>
        <v>2</v>
      </c>
      <c r="I3197" s="1830"/>
      <c r="J3197" s="1795"/>
      <c r="K3197" s="1795"/>
      <c r="L3197" s="169"/>
      <c r="M3197" s="1783"/>
    </row>
    <row r="3198" spans="1:13" s="1517" customFormat="1" x14ac:dyDescent="0.25">
      <c r="A3198" s="179"/>
      <c r="B3198" s="179"/>
      <c r="C3198" s="1531"/>
      <c r="D3198" s="2142" t="s">
        <v>127</v>
      </c>
      <c r="E3198" s="2142"/>
      <c r="F3198" s="2142"/>
      <c r="G3198" s="2142"/>
      <c r="H3198" s="1532">
        <f>ROUND(H3196*H3197,2)</f>
        <v>901.64</v>
      </c>
      <c r="I3198" s="1830"/>
      <c r="J3198" s="1795"/>
      <c r="K3198" s="1795"/>
      <c r="L3198" s="169"/>
      <c r="M3198" s="1783"/>
    </row>
    <row r="3199" spans="1:13" s="1517" customFormat="1" x14ac:dyDescent="0.25">
      <c r="A3199" s="179"/>
      <c r="B3199" s="179"/>
      <c r="C3199" s="1531"/>
      <c r="D3199" s="2141" t="s">
        <v>15335</v>
      </c>
      <c r="E3199" s="2141"/>
      <c r="F3199" s="2141"/>
      <c r="G3199" s="2141"/>
      <c r="H3199" s="267">
        <f>ROUND(H3196*$B$13,2)</f>
        <v>121.41</v>
      </c>
      <c r="I3199" s="1830"/>
      <c r="J3199" s="1795"/>
      <c r="K3199" s="1795"/>
      <c r="L3199" s="169"/>
      <c r="M3199" s="1783"/>
    </row>
    <row r="3200" spans="1:13" x14ac:dyDescent="0.25">
      <c r="A3200" s="179"/>
      <c r="B3200" s="179"/>
      <c r="C3200" s="1531"/>
      <c r="D3200" s="2142" t="s">
        <v>7898</v>
      </c>
      <c r="E3200" s="2142"/>
      <c r="F3200" s="2142"/>
      <c r="G3200" s="2142"/>
      <c r="H3200" s="1532">
        <f>H3199+H3196</f>
        <v>572.23</v>
      </c>
    </row>
    <row r="3201" spans="1:13" x14ac:dyDescent="0.25">
      <c r="A3201" s="1514"/>
      <c r="B3201" s="1514"/>
      <c r="C3201" s="1514"/>
      <c r="F3201" s="1533"/>
      <c r="G3201" s="1534"/>
      <c r="H3201" s="1514"/>
    </row>
    <row r="3202" spans="1:13" s="1517" customFormat="1" x14ac:dyDescent="0.25">
      <c r="A3202" s="146" t="s">
        <v>6</v>
      </c>
      <c r="B3202" s="2143" t="s">
        <v>7</v>
      </c>
      <c r="C3202" s="2143"/>
      <c r="D3202" s="1518" t="s">
        <v>121</v>
      </c>
      <c r="E3202" s="278" t="s">
        <v>5282</v>
      </c>
      <c r="F3202" s="1518" t="s">
        <v>31</v>
      </c>
      <c r="G3202" s="1519" t="s">
        <v>122</v>
      </c>
      <c r="H3202" s="1520" t="s">
        <v>123</v>
      </c>
      <c r="I3202" s="1830"/>
      <c r="J3202" s="1795"/>
      <c r="K3202" s="1795"/>
      <c r="L3202" s="169"/>
      <c r="M3202" s="1783"/>
    </row>
    <row r="3203" spans="1:13" s="1526" customFormat="1" ht="30" x14ac:dyDescent="0.2">
      <c r="A3203" s="1535" t="str">
        <f>'Orç - Prédio'!A579</f>
        <v>06.01.308.20</v>
      </c>
      <c r="B3203" s="1535" t="str">
        <f>'Orç - Prédio'!B579</f>
        <v>ORSE</v>
      </c>
      <c r="C3203" s="1535" t="str">
        <f>'Orç - Prédio'!C579</f>
        <v>8420 MOD 1</v>
      </c>
      <c r="D3203" s="1536" t="s">
        <v>8957</v>
      </c>
      <c r="E3203" s="1866">
        <f>'Orç - Prédio'!E579</f>
        <v>1</v>
      </c>
      <c r="F3203" s="1535" t="s">
        <v>5284</v>
      </c>
      <c r="G3203" s="1524">
        <v>253.7</v>
      </c>
      <c r="H3203" s="1525">
        <f>H3211</f>
        <v>253.7</v>
      </c>
      <c r="I3203" s="1910" t="s">
        <v>14965</v>
      </c>
      <c r="J3203" s="1793"/>
      <c r="K3203" s="1793"/>
      <c r="L3203" s="141"/>
      <c r="M3203" s="1515"/>
    </row>
    <row r="3204" spans="1:13" s="1859" customFormat="1" ht="45" x14ac:dyDescent="0.2">
      <c r="A3204" s="2144">
        <v>3750</v>
      </c>
      <c r="B3204" s="2144"/>
      <c r="C3204" s="1863" t="s">
        <v>5281</v>
      </c>
      <c r="D3204" s="1862" t="s">
        <v>8958</v>
      </c>
      <c r="E3204" s="1864">
        <v>1</v>
      </c>
      <c r="F3204" s="1875" t="s">
        <v>31</v>
      </c>
      <c r="G3204" s="367">
        <v>182.88</v>
      </c>
      <c r="H3204" s="1857">
        <f>ROUNDDOWN(G3204*E3204,2)</f>
        <v>182.88</v>
      </c>
      <c r="I3204" s="1856"/>
      <c r="J3204" s="1797"/>
      <c r="K3204" s="1797"/>
      <c r="L3204" s="1784"/>
      <c r="M3204" s="1785"/>
    </row>
    <row r="3205" spans="1:13" s="1859" customFormat="1" ht="30" x14ac:dyDescent="0.2">
      <c r="A3205" s="2144">
        <v>88264</v>
      </c>
      <c r="B3205" s="2144"/>
      <c r="C3205" s="1863" t="s">
        <v>4448</v>
      </c>
      <c r="D3205" s="1862" t="s">
        <v>81</v>
      </c>
      <c r="E3205" s="1864">
        <v>2</v>
      </c>
      <c r="F3205" s="1875" t="s">
        <v>65</v>
      </c>
      <c r="G3205" s="1860">
        <v>20.329999999999998</v>
      </c>
      <c r="H3205" s="1857">
        <f>ROUNDDOWN(G3205*E3205,2)</f>
        <v>40.659999999999997</v>
      </c>
      <c r="I3205" s="1856"/>
      <c r="J3205" s="1797"/>
      <c r="K3205" s="1797"/>
      <c r="L3205" s="1784"/>
      <c r="M3205" s="1785"/>
    </row>
    <row r="3206" spans="1:13" s="1859" customFormat="1" ht="30" x14ac:dyDescent="0.2">
      <c r="A3206" s="2144">
        <v>88316</v>
      </c>
      <c r="B3206" s="2144"/>
      <c r="C3206" s="1863" t="s">
        <v>4448</v>
      </c>
      <c r="D3206" s="1862" t="s">
        <v>64</v>
      </c>
      <c r="E3206" s="1864">
        <v>2</v>
      </c>
      <c r="F3206" s="1875" t="s">
        <v>65</v>
      </c>
      <c r="G3206" s="1860">
        <v>15.08</v>
      </c>
      <c r="H3206" s="1857">
        <f>ROUNDDOWN(G3206*E3206,2)</f>
        <v>30.16</v>
      </c>
      <c r="I3206" s="1856"/>
      <c r="J3206" s="1797"/>
      <c r="K3206" s="1797"/>
      <c r="L3206" s="1784"/>
      <c r="M3206" s="1785"/>
    </row>
    <row r="3207" spans="1:13" s="1517" customFormat="1" x14ac:dyDescent="0.25">
      <c r="A3207" s="1847"/>
      <c r="B3207" s="1847"/>
      <c r="C3207" s="1531"/>
      <c r="D3207" s="2141" t="s">
        <v>124</v>
      </c>
      <c r="E3207" s="2141"/>
      <c r="F3207" s="2141"/>
      <c r="G3207" s="2141"/>
      <c r="H3207" s="267">
        <f>SUMIF(F3204:F3206,("h"),H3204:H3206)</f>
        <v>70.819999999999993</v>
      </c>
      <c r="I3207" s="1830"/>
      <c r="J3207" s="1795"/>
      <c r="K3207" s="1795"/>
      <c r="L3207" s="169"/>
      <c r="M3207" s="1783"/>
    </row>
    <row r="3208" spans="1:13" s="1517" customFormat="1" x14ac:dyDescent="0.25">
      <c r="A3208" s="1847"/>
      <c r="B3208" s="1847"/>
      <c r="C3208" s="1531"/>
      <c r="D3208" s="2141" t="s">
        <v>125</v>
      </c>
      <c r="E3208" s="2141"/>
      <c r="F3208" s="2141"/>
      <c r="G3208" s="2141"/>
      <c r="H3208" s="267">
        <f>SUMIF(F3204:F3206,"&lt;&gt;h",H3204:H3206)</f>
        <v>182.88</v>
      </c>
      <c r="I3208" s="1830"/>
      <c r="J3208" s="1795"/>
      <c r="K3208" s="1795"/>
      <c r="L3208" s="169"/>
      <c r="M3208" s="1783"/>
    </row>
    <row r="3209" spans="1:13" s="1517" customFormat="1" x14ac:dyDescent="0.25">
      <c r="A3209" s="1847"/>
      <c r="B3209" s="1847"/>
      <c r="C3209" s="1531"/>
      <c r="D3209" s="2142" t="s">
        <v>126</v>
      </c>
      <c r="E3209" s="2142"/>
      <c r="F3209" s="2142"/>
      <c r="G3209" s="2142"/>
      <c r="H3209" s="1532">
        <f>SUM(H3207:H3208)</f>
        <v>253.7</v>
      </c>
      <c r="I3209" s="1830"/>
      <c r="J3209" s="1795"/>
      <c r="K3209" s="1795"/>
      <c r="L3209" s="169"/>
      <c r="M3209" s="1783"/>
    </row>
    <row r="3210" spans="1:13" s="1517" customFormat="1" x14ac:dyDescent="0.25">
      <c r="A3210" s="1847"/>
      <c r="B3210" s="1847"/>
      <c r="C3210" s="1531"/>
      <c r="D3210" s="2141" t="s">
        <v>28</v>
      </c>
      <c r="E3210" s="2141"/>
      <c r="F3210" s="2141"/>
      <c r="G3210" s="2141"/>
      <c r="H3210" s="269">
        <f>E3203</f>
        <v>1</v>
      </c>
      <c r="I3210" s="1830"/>
      <c r="J3210" s="1795"/>
      <c r="K3210" s="1795"/>
      <c r="L3210" s="169"/>
      <c r="M3210" s="1783"/>
    </row>
    <row r="3211" spans="1:13" s="1517" customFormat="1" x14ac:dyDescent="0.25">
      <c r="A3211" s="1847"/>
      <c r="B3211" s="1847"/>
      <c r="C3211" s="1531"/>
      <c r="D3211" s="2142" t="s">
        <v>127</v>
      </c>
      <c r="E3211" s="2142"/>
      <c r="F3211" s="2142"/>
      <c r="G3211" s="2142"/>
      <c r="H3211" s="1532">
        <f>ROUND(H3209*H3210,2)</f>
        <v>253.7</v>
      </c>
      <c r="I3211" s="1830"/>
      <c r="J3211" s="1795"/>
      <c r="K3211" s="1795"/>
      <c r="L3211" s="169"/>
      <c r="M3211" s="1783"/>
    </row>
    <row r="3212" spans="1:13" s="1517" customFormat="1" x14ac:dyDescent="0.25">
      <c r="A3212" s="1847"/>
      <c r="B3212" s="1847"/>
      <c r="C3212" s="1531"/>
      <c r="D3212" s="2141" t="s">
        <v>15335</v>
      </c>
      <c r="E3212" s="2141"/>
      <c r="F3212" s="2141"/>
      <c r="G3212" s="2141"/>
      <c r="H3212" s="267">
        <f>ROUND(H3209*$B$13,2)</f>
        <v>68.319999999999993</v>
      </c>
      <c r="I3212" s="1830"/>
      <c r="J3212" s="1795"/>
      <c r="K3212" s="1795"/>
      <c r="L3212" s="169"/>
      <c r="M3212" s="1783"/>
    </row>
    <row r="3213" spans="1:13" x14ac:dyDescent="0.25">
      <c r="A3213" s="1847"/>
      <c r="B3213" s="1847"/>
      <c r="C3213" s="1531"/>
      <c r="D3213" s="2142" t="s">
        <v>7898</v>
      </c>
      <c r="E3213" s="2142"/>
      <c r="F3213" s="2142"/>
      <c r="G3213" s="2142"/>
      <c r="H3213" s="1532">
        <f>H3212+H3209</f>
        <v>322.02</v>
      </c>
    </row>
    <row r="3214" spans="1:13" x14ac:dyDescent="0.25">
      <c r="A3214" s="1514"/>
      <c r="B3214" s="1514"/>
      <c r="C3214" s="1514"/>
      <c r="F3214" s="1533"/>
      <c r="G3214" s="1534"/>
      <c r="H3214" s="1514"/>
    </row>
    <row r="3215" spans="1:13" s="1517" customFormat="1" x14ac:dyDescent="0.25">
      <c r="A3215" s="146" t="s">
        <v>6</v>
      </c>
      <c r="B3215" s="2143" t="s">
        <v>7</v>
      </c>
      <c r="C3215" s="2143"/>
      <c r="D3215" s="1518" t="s">
        <v>121</v>
      </c>
      <c r="E3215" s="278" t="s">
        <v>5282</v>
      </c>
      <c r="F3215" s="1518" t="s">
        <v>31</v>
      </c>
      <c r="G3215" s="1519" t="s">
        <v>122</v>
      </c>
      <c r="H3215" s="1520" t="s">
        <v>123</v>
      </c>
      <c r="I3215" s="1830"/>
      <c r="J3215" s="1795"/>
      <c r="K3215" s="1795"/>
      <c r="L3215" s="169"/>
      <c r="M3215" s="1783"/>
    </row>
    <row r="3216" spans="1:13" s="1526" customFormat="1" ht="30" x14ac:dyDescent="0.2">
      <c r="A3216" s="1535" t="str">
        <f>'Orç - Prédio'!A580</f>
        <v>06.01.308.21</v>
      </c>
      <c r="B3216" s="1535" t="str">
        <f>'Orç - Prédio'!B580</f>
        <v>ORSE</v>
      </c>
      <c r="C3216" s="1535" t="str">
        <f>'Orç - Prédio'!C580</f>
        <v>8420 MOD 2</v>
      </c>
      <c r="D3216" s="1536" t="s">
        <v>7107</v>
      </c>
      <c r="E3216" s="1523">
        <f>'Orç - Prédio'!E580</f>
        <v>1</v>
      </c>
      <c r="F3216" s="1535" t="s">
        <v>5284</v>
      </c>
      <c r="G3216" s="1524">
        <v>472.55</v>
      </c>
      <c r="H3216" s="1525">
        <f>H3224</f>
        <v>472.55</v>
      </c>
      <c r="I3216" s="1910" t="s">
        <v>14965</v>
      </c>
      <c r="J3216" s="1793"/>
      <c r="K3216" s="1793"/>
      <c r="L3216" s="141"/>
      <c r="M3216" s="1515"/>
    </row>
    <row r="3217" spans="1:13" s="156" customFormat="1" ht="45" x14ac:dyDescent="0.2">
      <c r="A3217" s="2144">
        <v>3704</v>
      </c>
      <c r="B3217" s="2144"/>
      <c r="C3217" s="1516" t="s">
        <v>5281</v>
      </c>
      <c r="D3217" s="182" t="s">
        <v>8283</v>
      </c>
      <c r="E3217" s="1527">
        <v>1</v>
      </c>
      <c r="F3217" s="1618" t="s">
        <v>31</v>
      </c>
      <c r="G3217" s="367">
        <v>401.73</v>
      </c>
      <c r="H3217" s="1530">
        <f>ROUNDDOWN(G3217*E3217,2)</f>
        <v>401.73</v>
      </c>
      <c r="I3217" s="1642"/>
      <c r="J3217" s="1797"/>
      <c r="K3217" s="1797"/>
      <c r="L3217" s="1784"/>
      <c r="M3217" s="1785"/>
    </row>
    <row r="3218" spans="1:13" s="156" customFormat="1" ht="30" x14ac:dyDescent="0.2">
      <c r="A3218" s="2144">
        <v>88264</v>
      </c>
      <c r="B3218" s="2144"/>
      <c r="C3218" s="1516" t="s">
        <v>4448</v>
      </c>
      <c r="D3218" s="182" t="s">
        <v>81</v>
      </c>
      <c r="E3218" s="1527">
        <v>2</v>
      </c>
      <c r="F3218" s="1618" t="s">
        <v>65</v>
      </c>
      <c r="G3218" s="1529">
        <v>20.329999999999998</v>
      </c>
      <c r="H3218" s="1530">
        <f>ROUNDDOWN(G3218*E3218,2)</f>
        <v>40.659999999999997</v>
      </c>
      <c r="I3218" s="1642"/>
      <c r="J3218" s="1797"/>
      <c r="K3218" s="1797"/>
      <c r="L3218" s="1784"/>
      <c r="M3218" s="1785"/>
    </row>
    <row r="3219" spans="1:13" s="156" customFormat="1" ht="30" x14ac:dyDescent="0.2">
      <c r="A3219" s="2144">
        <v>88316</v>
      </c>
      <c r="B3219" s="2144"/>
      <c r="C3219" s="1516" t="s">
        <v>4448</v>
      </c>
      <c r="D3219" s="182" t="s">
        <v>64</v>
      </c>
      <c r="E3219" s="1527">
        <v>2</v>
      </c>
      <c r="F3219" s="1618" t="s">
        <v>65</v>
      </c>
      <c r="G3219" s="1529">
        <v>15.08</v>
      </c>
      <c r="H3219" s="1530">
        <f>ROUNDDOWN(G3219*E3219,2)</f>
        <v>30.16</v>
      </c>
      <c r="I3219" s="1642"/>
      <c r="J3219" s="1797"/>
      <c r="K3219" s="1797"/>
      <c r="L3219" s="1784"/>
      <c r="M3219" s="1785"/>
    </row>
    <row r="3220" spans="1:13" s="1517" customFormat="1" x14ac:dyDescent="0.25">
      <c r="A3220" s="179"/>
      <c r="B3220" s="179"/>
      <c r="C3220" s="1531"/>
      <c r="D3220" s="2141" t="s">
        <v>124</v>
      </c>
      <c r="E3220" s="2141"/>
      <c r="F3220" s="2141"/>
      <c r="G3220" s="2141"/>
      <c r="H3220" s="267">
        <f>SUMIF(F3217:F3219,("h"),H3217:H3219)</f>
        <v>70.819999999999993</v>
      </c>
      <c r="I3220" s="1830"/>
      <c r="J3220" s="1795"/>
      <c r="K3220" s="1795"/>
      <c r="L3220" s="169"/>
      <c r="M3220" s="1783"/>
    </row>
    <row r="3221" spans="1:13" s="1517" customFormat="1" x14ac:dyDescent="0.25">
      <c r="A3221" s="179"/>
      <c r="B3221" s="179"/>
      <c r="C3221" s="1531"/>
      <c r="D3221" s="2141" t="s">
        <v>125</v>
      </c>
      <c r="E3221" s="2141"/>
      <c r="F3221" s="2141"/>
      <c r="G3221" s="2141"/>
      <c r="H3221" s="267">
        <f>SUMIF(F3217:F3219,"&lt;&gt;h",H3217:H3219)</f>
        <v>401.73</v>
      </c>
      <c r="I3221" s="1830"/>
      <c r="J3221" s="1795"/>
      <c r="K3221" s="1795"/>
      <c r="L3221" s="169"/>
      <c r="M3221" s="1783"/>
    </row>
    <row r="3222" spans="1:13" s="1517" customFormat="1" x14ac:dyDescent="0.25">
      <c r="A3222" s="179"/>
      <c r="B3222" s="179"/>
      <c r="C3222" s="1531"/>
      <c r="D3222" s="2142" t="s">
        <v>126</v>
      </c>
      <c r="E3222" s="2142"/>
      <c r="F3222" s="2142"/>
      <c r="G3222" s="2142"/>
      <c r="H3222" s="1532">
        <f>SUM(H3220:H3221)</f>
        <v>472.55</v>
      </c>
      <c r="I3222" s="1830"/>
      <c r="J3222" s="1795"/>
      <c r="K3222" s="1795"/>
      <c r="L3222" s="169"/>
      <c r="M3222" s="1783"/>
    </row>
    <row r="3223" spans="1:13" s="1517" customFormat="1" x14ac:dyDescent="0.25">
      <c r="A3223" s="179"/>
      <c r="B3223" s="179"/>
      <c r="C3223" s="1531"/>
      <c r="D3223" s="2141" t="s">
        <v>28</v>
      </c>
      <c r="E3223" s="2141"/>
      <c r="F3223" s="2141"/>
      <c r="G3223" s="2141"/>
      <c r="H3223" s="269">
        <f>E3216</f>
        <v>1</v>
      </c>
      <c r="I3223" s="1830"/>
      <c r="J3223" s="1795"/>
      <c r="K3223" s="1795"/>
      <c r="L3223" s="169"/>
      <c r="M3223" s="1783"/>
    </row>
    <row r="3224" spans="1:13" s="1517" customFormat="1" x14ac:dyDescent="0.25">
      <c r="A3224" s="179"/>
      <c r="B3224" s="179"/>
      <c r="C3224" s="1531"/>
      <c r="D3224" s="2142" t="s">
        <v>127</v>
      </c>
      <c r="E3224" s="2142"/>
      <c r="F3224" s="2142"/>
      <c r="G3224" s="2142"/>
      <c r="H3224" s="1532">
        <f>ROUND(H3222*H3223,2)</f>
        <v>472.55</v>
      </c>
      <c r="I3224" s="1830"/>
      <c r="J3224" s="1795"/>
      <c r="K3224" s="1795"/>
      <c r="L3224" s="169"/>
      <c r="M3224" s="1783"/>
    </row>
    <row r="3225" spans="1:13" s="1517" customFormat="1" x14ac:dyDescent="0.25">
      <c r="A3225" s="179"/>
      <c r="B3225" s="179"/>
      <c r="C3225" s="1531"/>
      <c r="D3225" s="2141" t="s">
        <v>15335</v>
      </c>
      <c r="E3225" s="2141"/>
      <c r="F3225" s="2141"/>
      <c r="G3225" s="2141"/>
      <c r="H3225" s="267">
        <f>ROUND(H3222*$B$13,2)</f>
        <v>127.26</v>
      </c>
      <c r="I3225" s="1830"/>
      <c r="J3225" s="1795"/>
      <c r="K3225" s="1795"/>
      <c r="L3225" s="169"/>
      <c r="M3225" s="1783"/>
    </row>
    <row r="3226" spans="1:13" x14ac:dyDescent="0.25">
      <c r="A3226" s="179"/>
      <c r="B3226" s="179"/>
      <c r="C3226" s="1531"/>
      <c r="D3226" s="2142" t="s">
        <v>7898</v>
      </c>
      <c r="E3226" s="2142"/>
      <c r="F3226" s="2142"/>
      <c r="G3226" s="2142"/>
      <c r="H3226" s="1532">
        <f>H3225+H3222</f>
        <v>599.81000000000006</v>
      </c>
    </row>
    <row r="3227" spans="1:13" x14ac:dyDescent="0.25">
      <c r="A3227" s="1514"/>
      <c r="B3227" s="1514"/>
      <c r="C3227" s="1514"/>
      <c r="F3227" s="1533"/>
      <c r="G3227" s="1534"/>
      <c r="H3227" s="1514"/>
    </row>
    <row r="3228" spans="1:13" s="1517" customFormat="1" x14ac:dyDescent="0.25">
      <c r="A3228" s="146" t="s">
        <v>6</v>
      </c>
      <c r="B3228" s="2143" t="s">
        <v>7</v>
      </c>
      <c r="C3228" s="2143"/>
      <c r="D3228" s="1518" t="s">
        <v>121</v>
      </c>
      <c r="E3228" s="278" t="s">
        <v>5282</v>
      </c>
      <c r="F3228" s="1518" t="s">
        <v>31</v>
      </c>
      <c r="G3228" s="1519" t="s">
        <v>122</v>
      </c>
      <c r="H3228" s="1520" t="s">
        <v>123</v>
      </c>
      <c r="I3228" s="1830"/>
      <c r="J3228" s="1795"/>
      <c r="K3228" s="1795"/>
      <c r="L3228" s="169"/>
      <c r="M3228" s="1783"/>
    </row>
    <row r="3229" spans="1:13" s="1526" customFormat="1" ht="45" x14ac:dyDescent="0.2">
      <c r="A3229" s="1535" t="str">
        <f>'Orç - Prédio'!A581</f>
        <v>06.01.308.22</v>
      </c>
      <c r="B3229" s="1535" t="str">
        <f>'Orç - Prédio'!B581</f>
        <v>ORSE</v>
      </c>
      <c r="C3229" s="1535">
        <f>'Orç - Prédio'!C581</f>
        <v>9689</v>
      </c>
      <c r="D3229" s="1536" t="s">
        <v>8959</v>
      </c>
      <c r="E3229" s="1523">
        <f>'Orç - Prédio'!E581</f>
        <v>1</v>
      </c>
      <c r="F3229" s="1535" t="s">
        <v>5284</v>
      </c>
      <c r="G3229" s="1524">
        <v>851.43000000000006</v>
      </c>
      <c r="H3229" s="1525">
        <f>H3237</f>
        <v>851.43</v>
      </c>
      <c r="I3229" s="1910" t="s">
        <v>14965</v>
      </c>
      <c r="J3229" s="1793"/>
      <c r="K3229" s="1793"/>
      <c r="L3229" s="141"/>
      <c r="M3229" s="1515"/>
    </row>
    <row r="3230" spans="1:13" s="156" customFormat="1" ht="30" x14ac:dyDescent="0.2">
      <c r="A3230" s="2144">
        <v>10065</v>
      </c>
      <c r="B3230" s="2144"/>
      <c r="C3230" s="1516" t="s">
        <v>5281</v>
      </c>
      <c r="D3230" s="182" t="s">
        <v>8960</v>
      </c>
      <c r="E3230" s="1527">
        <v>1</v>
      </c>
      <c r="F3230" s="1618" t="s">
        <v>31</v>
      </c>
      <c r="G3230" s="367">
        <v>830.2</v>
      </c>
      <c r="H3230" s="1530">
        <f>ROUNDDOWN(G3230*E3230,2)</f>
        <v>830.2</v>
      </c>
      <c r="I3230" s="1642"/>
      <c r="J3230" s="1797"/>
      <c r="K3230" s="1797"/>
      <c r="L3230" s="1784"/>
      <c r="M3230" s="1785"/>
    </row>
    <row r="3231" spans="1:13" s="156" customFormat="1" ht="30" x14ac:dyDescent="0.2">
      <c r="A3231" s="2144">
        <v>88264</v>
      </c>
      <c r="B3231" s="2144"/>
      <c r="C3231" s="1516" t="s">
        <v>4448</v>
      </c>
      <c r="D3231" s="182" t="s">
        <v>81</v>
      </c>
      <c r="E3231" s="1527">
        <v>0.6</v>
      </c>
      <c r="F3231" s="1618" t="s">
        <v>65</v>
      </c>
      <c r="G3231" s="1529">
        <v>20.329999999999998</v>
      </c>
      <c r="H3231" s="1530">
        <f>ROUNDDOWN(G3231*E3231,2)</f>
        <v>12.19</v>
      </c>
      <c r="I3231" s="1642"/>
      <c r="J3231" s="1797"/>
      <c r="K3231" s="1797"/>
      <c r="L3231" s="1784"/>
      <c r="M3231" s="1785"/>
    </row>
    <row r="3232" spans="1:13" s="156" customFormat="1" ht="30" x14ac:dyDescent="0.2">
      <c r="A3232" s="2144">
        <v>88316</v>
      </c>
      <c r="B3232" s="2144"/>
      <c r="C3232" s="1516" t="s">
        <v>4448</v>
      </c>
      <c r="D3232" s="182" t="s">
        <v>64</v>
      </c>
      <c r="E3232" s="1527">
        <v>0.6</v>
      </c>
      <c r="F3232" s="1618" t="s">
        <v>65</v>
      </c>
      <c r="G3232" s="1529">
        <v>15.08</v>
      </c>
      <c r="H3232" s="1530">
        <f>ROUNDDOWN(G3232*E3232,2)</f>
        <v>9.0399999999999991</v>
      </c>
      <c r="I3232" s="1642"/>
      <c r="J3232" s="1797"/>
      <c r="K3232" s="1797"/>
      <c r="L3232" s="1784"/>
      <c r="M3232" s="1785"/>
    </row>
    <row r="3233" spans="1:13" s="1517" customFormat="1" x14ac:dyDescent="0.25">
      <c r="A3233" s="179"/>
      <c r="B3233" s="179"/>
      <c r="C3233" s="1531"/>
      <c r="D3233" s="2141" t="s">
        <v>124</v>
      </c>
      <c r="E3233" s="2141"/>
      <c r="F3233" s="2141"/>
      <c r="G3233" s="2141"/>
      <c r="H3233" s="267">
        <f>SUMIF(F3230:F3232,("h"),H3230:H3232)</f>
        <v>21.229999999999997</v>
      </c>
      <c r="I3233" s="1830"/>
      <c r="J3233" s="1795"/>
      <c r="K3233" s="1795"/>
      <c r="L3233" s="169"/>
      <c r="M3233" s="1783"/>
    </row>
    <row r="3234" spans="1:13" s="1517" customFormat="1" x14ac:dyDescent="0.25">
      <c r="A3234" s="179"/>
      <c r="B3234" s="179"/>
      <c r="C3234" s="1531"/>
      <c r="D3234" s="2141" t="s">
        <v>125</v>
      </c>
      <c r="E3234" s="2141"/>
      <c r="F3234" s="2141"/>
      <c r="G3234" s="2141"/>
      <c r="H3234" s="267">
        <f>SUMIF(F3230:F3232,"&lt;&gt;h",H3230:H3232)</f>
        <v>830.2</v>
      </c>
      <c r="I3234" s="1830"/>
      <c r="J3234" s="1795"/>
      <c r="K3234" s="1795"/>
      <c r="L3234" s="169"/>
      <c r="M3234" s="1783"/>
    </row>
    <row r="3235" spans="1:13" s="1517" customFormat="1" x14ac:dyDescent="0.25">
      <c r="A3235" s="179"/>
      <c r="B3235" s="179"/>
      <c r="C3235" s="1531"/>
      <c r="D3235" s="2142" t="s">
        <v>126</v>
      </c>
      <c r="E3235" s="2142"/>
      <c r="F3235" s="2142"/>
      <c r="G3235" s="2142"/>
      <c r="H3235" s="1532">
        <f>SUM(H3233:H3234)</f>
        <v>851.43000000000006</v>
      </c>
      <c r="I3235" s="1830"/>
      <c r="J3235" s="1795"/>
      <c r="K3235" s="1795"/>
      <c r="L3235" s="169"/>
      <c r="M3235" s="1783"/>
    </row>
    <row r="3236" spans="1:13" s="1517" customFormat="1" x14ac:dyDescent="0.25">
      <c r="A3236" s="179"/>
      <c r="B3236" s="179"/>
      <c r="C3236" s="1531"/>
      <c r="D3236" s="2141" t="s">
        <v>28</v>
      </c>
      <c r="E3236" s="2141"/>
      <c r="F3236" s="2141"/>
      <c r="G3236" s="2141"/>
      <c r="H3236" s="269">
        <f>E3229</f>
        <v>1</v>
      </c>
      <c r="I3236" s="1830"/>
      <c r="J3236" s="1795"/>
      <c r="K3236" s="1795"/>
      <c r="L3236" s="169"/>
      <c r="M3236" s="1783"/>
    </row>
    <row r="3237" spans="1:13" s="1517" customFormat="1" x14ac:dyDescent="0.25">
      <c r="A3237" s="179"/>
      <c r="B3237" s="179"/>
      <c r="C3237" s="1531"/>
      <c r="D3237" s="2142" t="s">
        <v>127</v>
      </c>
      <c r="E3237" s="2142"/>
      <c r="F3237" s="2142"/>
      <c r="G3237" s="2142"/>
      <c r="H3237" s="1532">
        <f>ROUND(H3235*H3236,2)</f>
        <v>851.43</v>
      </c>
      <c r="I3237" s="1830"/>
      <c r="J3237" s="1795"/>
      <c r="K3237" s="1795"/>
      <c r="L3237" s="169"/>
      <c r="M3237" s="1783"/>
    </row>
    <row r="3238" spans="1:13" s="1517" customFormat="1" x14ac:dyDescent="0.25">
      <c r="A3238" s="179"/>
      <c r="B3238" s="179"/>
      <c r="C3238" s="1531"/>
      <c r="D3238" s="2141" t="s">
        <v>15335</v>
      </c>
      <c r="E3238" s="2141"/>
      <c r="F3238" s="2141"/>
      <c r="G3238" s="2141"/>
      <c r="H3238" s="267">
        <f>ROUND(H3235*$B$13,2)</f>
        <v>229.29</v>
      </c>
      <c r="I3238" s="1830"/>
      <c r="J3238" s="1795"/>
      <c r="K3238" s="1795"/>
      <c r="L3238" s="169"/>
      <c r="M3238" s="1783"/>
    </row>
    <row r="3239" spans="1:13" x14ac:dyDescent="0.25">
      <c r="A3239" s="179"/>
      <c r="B3239" s="179"/>
      <c r="C3239" s="1531"/>
      <c r="D3239" s="2142" t="s">
        <v>7898</v>
      </c>
      <c r="E3239" s="2142"/>
      <c r="F3239" s="2142"/>
      <c r="G3239" s="2142"/>
      <c r="H3239" s="1532">
        <f>H3238+H3235</f>
        <v>1080.72</v>
      </c>
    </row>
    <row r="3240" spans="1:13" x14ac:dyDescent="0.25">
      <c r="A3240" s="1514"/>
      <c r="B3240" s="1514"/>
      <c r="C3240" s="1514"/>
      <c r="F3240" s="1533"/>
      <c r="G3240" s="1534"/>
      <c r="H3240" s="1514"/>
    </row>
    <row r="3241" spans="1:13" s="1517" customFormat="1" x14ac:dyDescent="0.25">
      <c r="A3241" s="146" t="s">
        <v>6</v>
      </c>
      <c r="B3241" s="2143" t="s">
        <v>7</v>
      </c>
      <c r="C3241" s="2143"/>
      <c r="D3241" s="1518" t="s">
        <v>121</v>
      </c>
      <c r="E3241" s="278" t="s">
        <v>5282</v>
      </c>
      <c r="F3241" s="1518" t="s">
        <v>31</v>
      </c>
      <c r="G3241" s="1519" t="s">
        <v>122</v>
      </c>
      <c r="H3241" s="1520" t="s">
        <v>123</v>
      </c>
      <c r="I3241" s="1830"/>
      <c r="J3241" s="1795"/>
      <c r="K3241" s="1795"/>
      <c r="L3241" s="169"/>
      <c r="M3241" s="1783"/>
    </row>
    <row r="3242" spans="1:13" s="1526" customFormat="1" ht="45" x14ac:dyDescent="0.2">
      <c r="A3242" s="1535" t="str">
        <f>'Orç - Prédio'!A582</f>
        <v>06.01.308.23</v>
      </c>
      <c r="B3242" s="1535" t="str">
        <f>'Orç - Prédio'!B582</f>
        <v>ORSE</v>
      </c>
      <c r="C3242" s="1535">
        <f>'Orç - Prédio'!C582</f>
        <v>9685</v>
      </c>
      <c r="D3242" s="1536" t="s">
        <v>8961</v>
      </c>
      <c r="E3242" s="1866">
        <f>'Orç - Prédio'!E582</f>
        <v>1</v>
      </c>
      <c r="F3242" s="1535" t="s">
        <v>5284</v>
      </c>
      <c r="G3242" s="1524">
        <v>989.93000000000006</v>
      </c>
      <c r="H3242" s="1525">
        <f>H3250</f>
        <v>989.93</v>
      </c>
      <c r="I3242" s="1910" t="s">
        <v>14965</v>
      </c>
      <c r="J3242" s="1793"/>
      <c r="K3242" s="1793"/>
      <c r="L3242" s="141"/>
      <c r="M3242" s="1515"/>
    </row>
    <row r="3243" spans="1:13" s="156" customFormat="1" ht="30" x14ac:dyDescent="0.2">
      <c r="A3243" s="2144">
        <v>10061</v>
      </c>
      <c r="B3243" s="2144"/>
      <c r="C3243" s="1516" t="s">
        <v>5281</v>
      </c>
      <c r="D3243" s="182" t="s">
        <v>8962</v>
      </c>
      <c r="E3243" s="1527">
        <v>1</v>
      </c>
      <c r="F3243" s="1618" t="s">
        <v>31</v>
      </c>
      <c r="G3243" s="367">
        <v>968.7</v>
      </c>
      <c r="H3243" s="1530">
        <f>ROUNDDOWN(G3243*E3243,2)</f>
        <v>968.7</v>
      </c>
      <c r="I3243" s="1642"/>
      <c r="J3243" s="1797"/>
      <c r="K3243" s="1797"/>
      <c r="L3243" s="1784"/>
      <c r="M3243" s="1785"/>
    </row>
    <row r="3244" spans="1:13" s="156" customFormat="1" ht="30" x14ac:dyDescent="0.2">
      <c r="A3244" s="2144">
        <v>88264</v>
      </c>
      <c r="B3244" s="2144"/>
      <c r="C3244" s="1516" t="s">
        <v>4448</v>
      </c>
      <c r="D3244" s="182" t="s">
        <v>81</v>
      </c>
      <c r="E3244" s="1527">
        <v>0.6</v>
      </c>
      <c r="F3244" s="1618" t="s">
        <v>65</v>
      </c>
      <c r="G3244" s="1529">
        <v>20.329999999999998</v>
      </c>
      <c r="H3244" s="1530">
        <f>ROUNDDOWN(G3244*E3244,2)</f>
        <v>12.19</v>
      </c>
      <c r="I3244" s="1642"/>
      <c r="J3244" s="1797"/>
      <c r="K3244" s="1797"/>
      <c r="L3244" s="1784"/>
      <c r="M3244" s="1785"/>
    </row>
    <row r="3245" spans="1:13" s="156" customFormat="1" ht="30" x14ac:dyDescent="0.2">
      <c r="A3245" s="2144">
        <v>88316</v>
      </c>
      <c r="B3245" s="2144"/>
      <c r="C3245" s="1516" t="s">
        <v>4448</v>
      </c>
      <c r="D3245" s="182" t="s">
        <v>64</v>
      </c>
      <c r="E3245" s="1527">
        <v>0.6</v>
      </c>
      <c r="F3245" s="1618" t="s">
        <v>65</v>
      </c>
      <c r="G3245" s="1529">
        <v>15.08</v>
      </c>
      <c r="H3245" s="1530">
        <f>ROUNDDOWN(G3245*E3245,2)</f>
        <v>9.0399999999999991</v>
      </c>
      <c r="I3245" s="1642"/>
      <c r="J3245" s="1797"/>
      <c r="K3245" s="1797"/>
      <c r="L3245" s="1784"/>
      <c r="M3245" s="1785"/>
    </row>
    <row r="3246" spans="1:13" s="1517" customFormat="1" x14ac:dyDescent="0.25">
      <c r="A3246" s="179"/>
      <c r="B3246" s="179"/>
      <c r="C3246" s="1531"/>
      <c r="D3246" s="2141" t="s">
        <v>124</v>
      </c>
      <c r="E3246" s="2141"/>
      <c r="F3246" s="2141"/>
      <c r="G3246" s="2141"/>
      <c r="H3246" s="267">
        <f>SUMIF(F3243:F3245,("h"),H3243:H3245)</f>
        <v>21.229999999999997</v>
      </c>
      <c r="I3246" s="1830"/>
      <c r="J3246" s="1795"/>
      <c r="K3246" s="1795"/>
      <c r="L3246" s="169"/>
      <c r="M3246" s="1783"/>
    </row>
    <row r="3247" spans="1:13" s="1517" customFormat="1" x14ac:dyDescent="0.25">
      <c r="A3247" s="179"/>
      <c r="B3247" s="179"/>
      <c r="C3247" s="1531"/>
      <c r="D3247" s="2141" t="s">
        <v>125</v>
      </c>
      <c r="E3247" s="2141"/>
      <c r="F3247" s="2141"/>
      <c r="G3247" s="2141"/>
      <c r="H3247" s="267">
        <f>SUMIF(F3243:F3245,"&lt;&gt;h",H3243:H3245)</f>
        <v>968.7</v>
      </c>
      <c r="I3247" s="1830"/>
      <c r="J3247" s="1795"/>
      <c r="K3247" s="1795"/>
      <c r="L3247" s="169"/>
      <c r="M3247" s="1783"/>
    </row>
    <row r="3248" spans="1:13" s="1517" customFormat="1" x14ac:dyDescent="0.25">
      <c r="A3248" s="179"/>
      <c r="B3248" s="179"/>
      <c r="C3248" s="1531"/>
      <c r="D3248" s="2142" t="s">
        <v>126</v>
      </c>
      <c r="E3248" s="2142"/>
      <c r="F3248" s="2142"/>
      <c r="G3248" s="2142"/>
      <c r="H3248" s="1532">
        <f>SUM(H3246:H3247)</f>
        <v>989.93000000000006</v>
      </c>
      <c r="I3248" s="1830"/>
      <c r="J3248" s="1795"/>
      <c r="K3248" s="1795"/>
      <c r="L3248" s="169"/>
      <c r="M3248" s="1783"/>
    </row>
    <row r="3249" spans="1:13" s="1517" customFormat="1" x14ac:dyDescent="0.25">
      <c r="A3249" s="179"/>
      <c r="B3249" s="179"/>
      <c r="C3249" s="1531"/>
      <c r="D3249" s="2141" t="s">
        <v>28</v>
      </c>
      <c r="E3249" s="2141"/>
      <c r="F3249" s="2141"/>
      <c r="G3249" s="2141"/>
      <c r="H3249" s="269">
        <f>E3242</f>
        <v>1</v>
      </c>
      <c r="I3249" s="1830"/>
      <c r="J3249" s="1795"/>
      <c r="K3249" s="1795"/>
      <c r="L3249" s="169"/>
      <c r="M3249" s="1783"/>
    </row>
    <row r="3250" spans="1:13" s="1517" customFormat="1" x14ac:dyDescent="0.25">
      <c r="A3250" s="179"/>
      <c r="B3250" s="179"/>
      <c r="C3250" s="1531"/>
      <c r="D3250" s="2142" t="s">
        <v>127</v>
      </c>
      <c r="E3250" s="2142"/>
      <c r="F3250" s="2142"/>
      <c r="G3250" s="2142"/>
      <c r="H3250" s="1532">
        <f>ROUND(H3248*H3249,2)</f>
        <v>989.93</v>
      </c>
      <c r="I3250" s="1830"/>
      <c r="J3250" s="1795"/>
      <c r="K3250" s="1795"/>
      <c r="L3250" s="169"/>
      <c r="M3250" s="1783"/>
    </row>
    <row r="3251" spans="1:13" s="1517" customFormat="1" x14ac:dyDescent="0.25">
      <c r="A3251" s="179"/>
      <c r="B3251" s="179"/>
      <c r="C3251" s="1531"/>
      <c r="D3251" s="2141" t="s">
        <v>15335</v>
      </c>
      <c r="E3251" s="2141"/>
      <c r="F3251" s="2141"/>
      <c r="G3251" s="2141"/>
      <c r="H3251" s="267">
        <f>ROUND(H3248*$B$13,2)</f>
        <v>266.58999999999997</v>
      </c>
      <c r="I3251" s="1830"/>
      <c r="J3251" s="1795"/>
      <c r="K3251" s="1795"/>
      <c r="L3251" s="169"/>
      <c r="M3251" s="1783"/>
    </row>
    <row r="3252" spans="1:13" x14ac:dyDescent="0.25">
      <c r="A3252" s="179"/>
      <c r="B3252" s="179"/>
      <c r="C3252" s="1531"/>
      <c r="D3252" s="2142" t="s">
        <v>7898</v>
      </c>
      <c r="E3252" s="2142"/>
      <c r="F3252" s="2142"/>
      <c r="G3252" s="2142"/>
      <c r="H3252" s="1532">
        <f>H3251+H3248</f>
        <v>1256.52</v>
      </c>
    </row>
    <row r="3253" spans="1:13" x14ac:dyDescent="0.25">
      <c r="A3253" s="1514"/>
      <c r="B3253" s="1514"/>
      <c r="C3253" s="1514"/>
      <c r="F3253" s="1533"/>
      <c r="G3253" s="1534"/>
      <c r="H3253" s="1514"/>
    </row>
    <row r="3254" spans="1:13" s="1517" customFormat="1" x14ac:dyDescent="0.25">
      <c r="A3254" s="146" t="s">
        <v>6</v>
      </c>
      <c r="B3254" s="2143" t="s">
        <v>7</v>
      </c>
      <c r="C3254" s="2143"/>
      <c r="D3254" s="1518" t="s">
        <v>121</v>
      </c>
      <c r="E3254" s="278" t="s">
        <v>5282</v>
      </c>
      <c r="F3254" s="1518" t="s">
        <v>31</v>
      </c>
      <c r="G3254" s="1519" t="s">
        <v>122</v>
      </c>
      <c r="H3254" s="1520" t="s">
        <v>123</v>
      </c>
      <c r="I3254" s="1830"/>
      <c r="J3254" s="1795"/>
      <c r="K3254" s="1795"/>
      <c r="L3254" s="169"/>
      <c r="M3254" s="1783"/>
    </row>
    <row r="3255" spans="1:13" s="1526" customFormat="1" ht="45" x14ac:dyDescent="0.2">
      <c r="A3255" s="1535" t="str">
        <f>'Orç - Prédio'!A583</f>
        <v>06.01.308.24</v>
      </c>
      <c r="B3255" s="1535" t="str">
        <f>'Orç - Prédio'!B583</f>
        <v>ORSE</v>
      </c>
      <c r="C3255" s="1535">
        <f>'Orç - Prédio'!C583</f>
        <v>8902</v>
      </c>
      <c r="D3255" s="1536" t="s">
        <v>7109</v>
      </c>
      <c r="E3255" s="1523">
        <f>'Orç - Prédio'!E583</f>
        <v>2</v>
      </c>
      <c r="F3255" s="1535" t="s">
        <v>5284</v>
      </c>
      <c r="G3255" s="1524">
        <v>1569.63</v>
      </c>
      <c r="H3255" s="1525">
        <f>H3263</f>
        <v>3139.26</v>
      </c>
      <c r="I3255" s="1910" t="s">
        <v>14965</v>
      </c>
      <c r="J3255" s="1793"/>
      <c r="K3255" s="1793"/>
      <c r="L3255" s="141"/>
      <c r="M3255" s="1515"/>
    </row>
    <row r="3256" spans="1:13" s="156" customFormat="1" ht="30" x14ac:dyDescent="0.2">
      <c r="A3256" s="2144">
        <v>9172</v>
      </c>
      <c r="B3256" s="2144"/>
      <c r="C3256" s="1516" t="s">
        <v>5281</v>
      </c>
      <c r="D3256" s="1862" t="s">
        <v>8963</v>
      </c>
      <c r="E3256" s="1527">
        <v>1</v>
      </c>
      <c r="F3256" s="1618" t="s">
        <v>31</v>
      </c>
      <c r="G3256" s="367">
        <v>1548.4</v>
      </c>
      <c r="H3256" s="1530">
        <f>ROUNDDOWN(G3256*E3256,2)</f>
        <v>1548.4</v>
      </c>
      <c r="I3256" s="1642"/>
      <c r="J3256" s="1797"/>
      <c r="K3256" s="1797"/>
      <c r="L3256" s="1784"/>
      <c r="M3256" s="1785"/>
    </row>
    <row r="3257" spans="1:13" s="156" customFormat="1" ht="30" x14ac:dyDescent="0.2">
      <c r="A3257" s="2144">
        <v>88264</v>
      </c>
      <c r="B3257" s="2144"/>
      <c r="C3257" s="1516" t="s">
        <v>4448</v>
      </c>
      <c r="D3257" s="182" t="s">
        <v>81</v>
      </c>
      <c r="E3257" s="1527">
        <v>0.6</v>
      </c>
      <c r="F3257" s="1618" t="s">
        <v>65</v>
      </c>
      <c r="G3257" s="1529">
        <v>20.329999999999998</v>
      </c>
      <c r="H3257" s="1530">
        <f>ROUNDDOWN(G3257*E3257,2)</f>
        <v>12.19</v>
      </c>
      <c r="I3257" s="1642"/>
      <c r="J3257" s="1797"/>
      <c r="K3257" s="1797"/>
      <c r="L3257" s="1784"/>
      <c r="M3257" s="1785"/>
    </row>
    <row r="3258" spans="1:13" s="156" customFormat="1" ht="30" x14ac:dyDescent="0.2">
      <c r="A3258" s="2144">
        <v>88316</v>
      </c>
      <c r="B3258" s="2144"/>
      <c r="C3258" s="1516" t="s">
        <v>4448</v>
      </c>
      <c r="D3258" s="182" t="s">
        <v>64</v>
      </c>
      <c r="E3258" s="1527">
        <v>0.6</v>
      </c>
      <c r="F3258" s="1618" t="s">
        <v>65</v>
      </c>
      <c r="G3258" s="1529">
        <v>15.08</v>
      </c>
      <c r="H3258" s="1530">
        <f>ROUNDDOWN(G3258*E3258,2)</f>
        <v>9.0399999999999991</v>
      </c>
      <c r="I3258" s="1642"/>
      <c r="J3258" s="1797"/>
      <c r="K3258" s="1797"/>
      <c r="L3258" s="1784"/>
      <c r="M3258" s="1785"/>
    </row>
    <row r="3259" spans="1:13" s="1517" customFormat="1" x14ac:dyDescent="0.25">
      <c r="A3259" s="179"/>
      <c r="B3259" s="179"/>
      <c r="C3259" s="1531"/>
      <c r="D3259" s="2141" t="s">
        <v>124</v>
      </c>
      <c r="E3259" s="2141"/>
      <c r="F3259" s="2141"/>
      <c r="G3259" s="2141"/>
      <c r="H3259" s="267">
        <f>SUMIF(F3256:F3258,("h"),H3256:H3258)</f>
        <v>21.229999999999997</v>
      </c>
      <c r="I3259" s="1830"/>
      <c r="J3259" s="1795"/>
      <c r="K3259" s="1795"/>
      <c r="L3259" s="169"/>
      <c r="M3259" s="1783"/>
    </row>
    <row r="3260" spans="1:13" s="1517" customFormat="1" x14ac:dyDescent="0.25">
      <c r="A3260" s="179"/>
      <c r="B3260" s="179"/>
      <c r="C3260" s="1531"/>
      <c r="D3260" s="2141" t="s">
        <v>125</v>
      </c>
      <c r="E3260" s="2141"/>
      <c r="F3260" s="2141"/>
      <c r="G3260" s="2141"/>
      <c r="H3260" s="267">
        <f>SUMIF(F3256:F3258,"&lt;&gt;h",H3256:H3258)</f>
        <v>1548.4</v>
      </c>
      <c r="I3260" s="1830"/>
      <c r="J3260" s="1795"/>
      <c r="K3260" s="1795"/>
      <c r="L3260" s="169"/>
      <c r="M3260" s="1783"/>
    </row>
    <row r="3261" spans="1:13" s="1517" customFormat="1" x14ac:dyDescent="0.25">
      <c r="A3261" s="179"/>
      <c r="B3261" s="179"/>
      <c r="C3261" s="1531"/>
      <c r="D3261" s="2142" t="s">
        <v>126</v>
      </c>
      <c r="E3261" s="2142"/>
      <c r="F3261" s="2142"/>
      <c r="G3261" s="2142"/>
      <c r="H3261" s="1532">
        <f>SUM(H3259:H3260)</f>
        <v>1569.63</v>
      </c>
      <c r="I3261" s="1830"/>
      <c r="J3261" s="1795"/>
      <c r="K3261" s="1795"/>
      <c r="L3261" s="169"/>
      <c r="M3261" s="1783"/>
    </row>
    <row r="3262" spans="1:13" s="1517" customFormat="1" x14ac:dyDescent="0.25">
      <c r="A3262" s="179"/>
      <c r="B3262" s="179"/>
      <c r="C3262" s="1531"/>
      <c r="D3262" s="2141" t="s">
        <v>28</v>
      </c>
      <c r="E3262" s="2141"/>
      <c r="F3262" s="2141"/>
      <c r="G3262" s="2141"/>
      <c r="H3262" s="269">
        <f>E3255</f>
        <v>2</v>
      </c>
      <c r="I3262" s="1830"/>
      <c r="J3262" s="1795"/>
      <c r="K3262" s="1795"/>
      <c r="L3262" s="169"/>
      <c r="M3262" s="1783"/>
    </row>
    <row r="3263" spans="1:13" s="1517" customFormat="1" x14ac:dyDescent="0.25">
      <c r="A3263" s="179"/>
      <c r="B3263" s="179"/>
      <c r="C3263" s="1531"/>
      <c r="D3263" s="2142" t="s">
        <v>127</v>
      </c>
      <c r="E3263" s="2142"/>
      <c r="F3263" s="2142"/>
      <c r="G3263" s="2142"/>
      <c r="H3263" s="1532">
        <f>ROUND(H3261*H3262,2)</f>
        <v>3139.26</v>
      </c>
      <c r="I3263" s="1830"/>
      <c r="J3263" s="1795"/>
      <c r="K3263" s="1795"/>
      <c r="L3263" s="169"/>
      <c r="M3263" s="1783"/>
    </row>
    <row r="3264" spans="1:13" s="1517" customFormat="1" x14ac:dyDescent="0.25">
      <c r="A3264" s="179"/>
      <c r="B3264" s="179"/>
      <c r="C3264" s="1531"/>
      <c r="D3264" s="2141" t="s">
        <v>15335</v>
      </c>
      <c r="E3264" s="2141"/>
      <c r="F3264" s="2141"/>
      <c r="G3264" s="2141"/>
      <c r="H3264" s="267">
        <f>ROUND(H3261*$B$13,2)</f>
        <v>422.7</v>
      </c>
      <c r="I3264" s="1830"/>
      <c r="J3264" s="1795"/>
      <c r="K3264" s="1795"/>
      <c r="L3264" s="169"/>
      <c r="M3264" s="1783"/>
    </row>
    <row r="3265" spans="1:13" x14ac:dyDescent="0.25">
      <c r="A3265" s="179"/>
      <c r="B3265" s="179"/>
      <c r="C3265" s="1531"/>
      <c r="D3265" s="2142" t="s">
        <v>7898</v>
      </c>
      <c r="E3265" s="2142"/>
      <c r="F3265" s="2142"/>
      <c r="G3265" s="2142"/>
      <c r="H3265" s="1532">
        <f>H3264+H3261</f>
        <v>1992.3300000000002</v>
      </c>
    </row>
    <row r="3266" spans="1:13" x14ac:dyDescent="0.25">
      <c r="A3266" s="1514"/>
      <c r="B3266" s="1514"/>
      <c r="C3266" s="1514"/>
      <c r="F3266" s="1533"/>
      <c r="G3266" s="1534"/>
      <c r="H3266" s="1514"/>
    </row>
    <row r="3267" spans="1:13" s="1517" customFormat="1" x14ac:dyDescent="0.25">
      <c r="A3267" s="146" t="s">
        <v>6</v>
      </c>
      <c r="B3267" s="2143" t="s">
        <v>7</v>
      </c>
      <c r="C3267" s="2143"/>
      <c r="D3267" s="931" t="s">
        <v>121</v>
      </c>
      <c r="E3267" s="278" t="s">
        <v>5282</v>
      </c>
      <c r="F3267" s="931" t="s">
        <v>31</v>
      </c>
      <c r="G3267" s="932" t="s">
        <v>122</v>
      </c>
      <c r="H3267" s="933" t="s">
        <v>123</v>
      </c>
      <c r="I3267" s="1830"/>
      <c r="J3267" s="1795"/>
      <c r="K3267" s="1795"/>
      <c r="L3267" s="169"/>
      <c r="M3267" s="1783"/>
    </row>
    <row r="3268" spans="1:13" s="1526" customFormat="1" ht="30" x14ac:dyDescent="0.2">
      <c r="A3268" s="947" t="str">
        <f>'Orç - Prédio'!A585</f>
        <v>06.01.309.01</v>
      </c>
      <c r="B3268" s="947" t="str">
        <f>'Orç - Prédio'!B585</f>
        <v>ORSE</v>
      </c>
      <c r="C3268" s="947">
        <f>'Orç - Prédio'!C585</f>
        <v>764</v>
      </c>
      <c r="D3268" s="948" t="s">
        <v>7187</v>
      </c>
      <c r="E3268" s="935">
        <f>'Orç - Prédio'!E585</f>
        <v>33.58</v>
      </c>
      <c r="F3268" s="947" t="s">
        <v>5713</v>
      </c>
      <c r="G3268" s="936">
        <v>55.83</v>
      </c>
      <c r="H3268" s="937">
        <f>H3276</f>
        <v>1874.77</v>
      </c>
      <c r="I3268" s="1910" t="s">
        <v>14965</v>
      </c>
      <c r="J3268" s="1793"/>
      <c r="K3268" s="1793"/>
      <c r="L3268" s="141"/>
      <c r="M3268" s="1515"/>
    </row>
    <row r="3269" spans="1:13" s="156" customFormat="1" ht="30" x14ac:dyDescent="0.2">
      <c r="A3269" s="2144">
        <v>862</v>
      </c>
      <c r="B3269" s="2144"/>
      <c r="C3269" s="930" t="s">
        <v>5281</v>
      </c>
      <c r="D3269" s="182" t="s">
        <v>6159</v>
      </c>
      <c r="E3269" s="939">
        <v>1</v>
      </c>
      <c r="F3269" s="940" t="s">
        <v>136</v>
      </c>
      <c r="G3269" s="367">
        <v>41.67</v>
      </c>
      <c r="H3269" s="942">
        <f>ROUNDDOWN(G3269*E3269,2)</f>
        <v>41.67</v>
      </c>
      <c r="I3269" s="1642"/>
      <c r="J3269" s="1797"/>
      <c r="K3269" s="1797"/>
      <c r="L3269" s="1784"/>
      <c r="M3269" s="1785"/>
    </row>
    <row r="3270" spans="1:13" s="156" customFormat="1" ht="30" x14ac:dyDescent="0.2">
      <c r="A3270" s="2144">
        <v>88264</v>
      </c>
      <c r="B3270" s="2144"/>
      <c r="C3270" s="930" t="s">
        <v>4448</v>
      </c>
      <c r="D3270" s="182" t="s">
        <v>81</v>
      </c>
      <c r="E3270" s="939">
        <v>0.4</v>
      </c>
      <c r="F3270" s="940" t="s">
        <v>65</v>
      </c>
      <c r="G3270" s="941">
        <v>20.329999999999998</v>
      </c>
      <c r="H3270" s="942">
        <f>ROUNDDOWN(G3270*E3270,2)</f>
        <v>8.1300000000000008</v>
      </c>
      <c r="I3270" s="1642"/>
      <c r="J3270" s="1797"/>
      <c r="K3270" s="1797"/>
      <c r="L3270" s="1784"/>
      <c r="M3270" s="1785"/>
    </row>
    <row r="3271" spans="1:13" s="156" customFormat="1" ht="30" x14ac:dyDescent="0.2">
      <c r="A3271" s="2144">
        <v>88316</v>
      </c>
      <c r="B3271" s="2144"/>
      <c r="C3271" s="930" t="s">
        <v>4448</v>
      </c>
      <c r="D3271" s="182" t="s">
        <v>64</v>
      </c>
      <c r="E3271" s="939">
        <v>0.4</v>
      </c>
      <c r="F3271" s="940" t="s">
        <v>65</v>
      </c>
      <c r="G3271" s="941">
        <v>15.08</v>
      </c>
      <c r="H3271" s="942">
        <f>ROUNDDOWN(G3271*E3271,2)</f>
        <v>6.03</v>
      </c>
      <c r="I3271" s="1642"/>
      <c r="J3271" s="1797"/>
      <c r="K3271" s="1797"/>
      <c r="L3271" s="1784"/>
      <c r="M3271" s="1785"/>
    </row>
    <row r="3272" spans="1:13" s="1517" customFormat="1" x14ac:dyDescent="0.25">
      <c r="A3272" s="179"/>
      <c r="B3272" s="179"/>
      <c r="C3272" s="943"/>
      <c r="D3272" s="2141" t="s">
        <v>124</v>
      </c>
      <c r="E3272" s="2141"/>
      <c r="F3272" s="2141"/>
      <c r="G3272" s="2141"/>
      <c r="H3272" s="267">
        <f>SUMIF(F3269:F3271,("h"),H3269:H3271)</f>
        <v>14.16</v>
      </c>
      <c r="I3272" s="1830"/>
      <c r="J3272" s="1795"/>
      <c r="K3272" s="1795"/>
      <c r="L3272" s="169"/>
      <c r="M3272" s="1783"/>
    </row>
    <row r="3273" spans="1:13" s="1517" customFormat="1" x14ac:dyDescent="0.25">
      <c r="A3273" s="179"/>
      <c r="B3273" s="179"/>
      <c r="C3273" s="943"/>
      <c r="D3273" s="2141" t="s">
        <v>125</v>
      </c>
      <c r="E3273" s="2141"/>
      <c r="F3273" s="2141"/>
      <c r="G3273" s="2141"/>
      <c r="H3273" s="267">
        <f>SUMIF(F3269:F3271,"&lt;&gt;h",H3269:H3271)</f>
        <v>41.67</v>
      </c>
      <c r="I3273" s="1830"/>
      <c r="J3273" s="1795"/>
      <c r="K3273" s="1795"/>
      <c r="L3273" s="169"/>
      <c r="M3273" s="1783"/>
    </row>
    <row r="3274" spans="1:13" s="1517" customFormat="1" x14ac:dyDescent="0.25">
      <c r="A3274" s="179"/>
      <c r="B3274" s="179"/>
      <c r="C3274" s="943"/>
      <c r="D3274" s="2142" t="s">
        <v>126</v>
      </c>
      <c r="E3274" s="2142"/>
      <c r="F3274" s="2142"/>
      <c r="G3274" s="2142"/>
      <c r="H3274" s="944">
        <f>SUM(H3272:H3273)</f>
        <v>55.83</v>
      </c>
      <c r="I3274" s="1830"/>
      <c r="J3274" s="1795"/>
      <c r="K3274" s="1795"/>
      <c r="L3274" s="169"/>
      <c r="M3274" s="1783"/>
    </row>
    <row r="3275" spans="1:13" s="1517" customFormat="1" x14ac:dyDescent="0.25">
      <c r="A3275" s="179"/>
      <c r="B3275" s="179"/>
      <c r="C3275" s="943"/>
      <c r="D3275" s="2141" t="s">
        <v>28</v>
      </c>
      <c r="E3275" s="2141"/>
      <c r="F3275" s="2141"/>
      <c r="G3275" s="2141"/>
      <c r="H3275" s="269">
        <f>E3268</f>
        <v>33.58</v>
      </c>
      <c r="I3275" s="1830"/>
      <c r="J3275" s="1795"/>
      <c r="K3275" s="1795"/>
      <c r="L3275" s="169"/>
      <c r="M3275" s="1783"/>
    </row>
    <row r="3276" spans="1:13" s="1517" customFormat="1" x14ac:dyDescent="0.25">
      <c r="A3276" s="179"/>
      <c r="B3276" s="179"/>
      <c r="C3276" s="943"/>
      <c r="D3276" s="2142" t="s">
        <v>127</v>
      </c>
      <c r="E3276" s="2142"/>
      <c r="F3276" s="2142"/>
      <c r="G3276" s="2142"/>
      <c r="H3276" s="944">
        <f>ROUND(H3274*H3275,2)</f>
        <v>1874.77</v>
      </c>
      <c r="I3276" s="1830"/>
      <c r="J3276" s="1795"/>
      <c r="K3276" s="1795"/>
      <c r="L3276" s="169"/>
      <c r="M3276" s="1783"/>
    </row>
    <row r="3277" spans="1:13" s="1517" customFormat="1" x14ac:dyDescent="0.25">
      <c r="A3277" s="179"/>
      <c r="B3277" s="179"/>
      <c r="C3277" s="1531"/>
      <c r="D3277" s="2141" t="s">
        <v>15335</v>
      </c>
      <c r="E3277" s="2141"/>
      <c r="F3277" s="2141"/>
      <c r="G3277" s="2141"/>
      <c r="H3277" s="267">
        <f>ROUND(H3274*$B$13,2)</f>
        <v>15.04</v>
      </c>
      <c r="I3277" s="1830"/>
      <c r="J3277" s="1795"/>
      <c r="K3277" s="1795"/>
      <c r="L3277" s="169"/>
      <c r="M3277" s="1783"/>
    </row>
    <row r="3278" spans="1:13" x14ac:dyDescent="0.25">
      <c r="A3278" s="179"/>
      <c r="B3278" s="179"/>
      <c r="C3278" s="1531"/>
      <c r="D3278" s="2142" t="s">
        <v>7898</v>
      </c>
      <c r="E3278" s="2142"/>
      <c r="F3278" s="2142"/>
      <c r="G3278" s="2142"/>
      <c r="H3278" s="1532">
        <f>H3277+H3274</f>
        <v>70.87</v>
      </c>
    </row>
    <row r="3279" spans="1:13" x14ac:dyDescent="0.25">
      <c r="A3279" s="929"/>
      <c r="B3279" s="929"/>
      <c r="C3279" s="929"/>
      <c r="F3279" s="945"/>
      <c r="G3279" s="946"/>
      <c r="H3279" s="929"/>
    </row>
    <row r="3280" spans="1:13" s="1517" customFormat="1" x14ac:dyDescent="0.25">
      <c r="A3280" s="146" t="s">
        <v>6</v>
      </c>
      <c r="B3280" s="2143" t="s">
        <v>7</v>
      </c>
      <c r="C3280" s="2143"/>
      <c r="D3280" s="931" t="s">
        <v>121</v>
      </c>
      <c r="E3280" s="278" t="s">
        <v>5282</v>
      </c>
      <c r="F3280" s="931" t="s">
        <v>31</v>
      </c>
      <c r="G3280" s="932" t="s">
        <v>122</v>
      </c>
      <c r="H3280" s="933" t="s">
        <v>123</v>
      </c>
      <c r="I3280" s="1830"/>
      <c r="J3280" s="1795"/>
      <c r="K3280" s="1795"/>
      <c r="L3280" s="169"/>
      <c r="M3280" s="1783"/>
    </row>
    <row r="3281" spans="1:13" s="1526" customFormat="1" ht="30" x14ac:dyDescent="0.2">
      <c r="A3281" s="947" t="str">
        <f>'Orç - Prédio'!A586</f>
        <v>06.01.309.02</v>
      </c>
      <c r="B3281" s="947" t="str">
        <f>'Orç - Prédio'!B586</f>
        <v>ORSE</v>
      </c>
      <c r="C3281" s="947">
        <f>'Orç - Prédio'!C586</f>
        <v>763</v>
      </c>
      <c r="D3281" s="948" t="s">
        <v>7188</v>
      </c>
      <c r="E3281" s="935">
        <f>'Orç - Prédio'!E586</f>
        <v>127.61</v>
      </c>
      <c r="F3281" s="947" t="s">
        <v>5713</v>
      </c>
      <c r="G3281" s="936">
        <v>41.19</v>
      </c>
      <c r="H3281" s="937">
        <f>H3289</f>
        <v>5256.26</v>
      </c>
      <c r="I3281" s="1910" t="s">
        <v>14965</v>
      </c>
      <c r="J3281" s="1793"/>
      <c r="K3281" s="1793"/>
      <c r="L3281" s="141"/>
      <c r="M3281" s="1515"/>
    </row>
    <row r="3282" spans="1:13" s="156" customFormat="1" ht="30" x14ac:dyDescent="0.2">
      <c r="A3282" s="2144">
        <v>861</v>
      </c>
      <c r="B3282" s="2144"/>
      <c r="C3282" s="930" t="s">
        <v>5281</v>
      </c>
      <c r="D3282" s="182" t="s">
        <v>6160</v>
      </c>
      <c r="E3282" s="939">
        <v>1</v>
      </c>
      <c r="F3282" s="940" t="s">
        <v>136</v>
      </c>
      <c r="G3282" s="367">
        <v>27.03</v>
      </c>
      <c r="H3282" s="942">
        <f>ROUNDDOWN(G3282*E3282,2)</f>
        <v>27.03</v>
      </c>
      <c r="I3282" s="1642"/>
      <c r="J3282" s="1797"/>
      <c r="K3282" s="1797"/>
      <c r="L3282" s="1784"/>
      <c r="M3282" s="1785"/>
    </row>
    <row r="3283" spans="1:13" s="156" customFormat="1" ht="30" x14ac:dyDescent="0.2">
      <c r="A3283" s="2144">
        <v>88264</v>
      </c>
      <c r="B3283" s="2144"/>
      <c r="C3283" s="930" t="s">
        <v>4448</v>
      </c>
      <c r="D3283" s="182" t="s">
        <v>81</v>
      </c>
      <c r="E3283" s="939">
        <v>0.4</v>
      </c>
      <c r="F3283" s="940" t="s">
        <v>65</v>
      </c>
      <c r="G3283" s="941">
        <v>20.329999999999998</v>
      </c>
      <c r="H3283" s="942">
        <f>ROUNDDOWN(G3283*E3283,2)</f>
        <v>8.1300000000000008</v>
      </c>
      <c r="I3283" s="1642"/>
      <c r="J3283" s="1797"/>
      <c r="K3283" s="1797"/>
      <c r="L3283" s="1784"/>
      <c r="M3283" s="1785"/>
    </row>
    <row r="3284" spans="1:13" s="156" customFormat="1" ht="30" x14ac:dyDescent="0.2">
      <c r="A3284" s="2144">
        <v>88316</v>
      </c>
      <c r="B3284" s="2144"/>
      <c r="C3284" s="930" t="s">
        <v>4448</v>
      </c>
      <c r="D3284" s="182" t="s">
        <v>64</v>
      </c>
      <c r="E3284" s="939">
        <v>0.4</v>
      </c>
      <c r="F3284" s="940" t="s">
        <v>65</v>
      </c>
      <c r="G3284" s="941">
        <v>15.08</v>
      </c>
      <c r="H3284" s="942">
        <f>ROUNDDOWN(G3284*E3284,2)</f>
        <v>6.03</v>
      </c>
      <c r="I3284" s="1642"/>
      <c r="J3284" s="1797"/>
      <c r="K3284" s="1797"/>
      <c r="L3284" s="1784"/>
      <c r="M3284" s="1785"/>
    </row>
    <row r="3285" spans="1:13" s="1517" customFormat="1" x14ac:dyDescent="0.25">
      <c r="A3285" s="179"/>
      <c r="B3285" s="179"/>
      <c r="C3285" s="943"/>
      <c r="D3285" s="2141" t="s">
        <v>124</v>
      </c>
      <c r="E3285" s="2141"/>
      <c r="F3285" s="2141"/>
      <c r="G3285" s="2141"/>
      <c r="H3285" s="267">
        <f>SUMIF(F3282:F3284,("h"),H3282:H3284)</f>
        <v>14.16</v>
      </c>
      <c r="I3285" s="1830"/>
      <c r="J3285" s="1795"/>
      <c r="K3285" s="1795"/>
      <c r="L3285" s="169"/>
      <c r="M3285" s="1783"/>
    </row>
    <row r="3286" spans="1:13" s="1517" customFormat="1" x14ac:dyDescent="0.25">
      <c r="A3286" s="179"/>
      <c r="B3286" s="179"/>
      <c r="C3286" s="943"/>
      <c r="D3286" s="2141" t="s">
        <v>125</v>
      </c>
      <c r="E3286" s="2141"/>
      <c r="F3286" s="2141"/>
      <c r="G3286" s="2141"/>
      <c r="H3286" s="267">
        <f>SUMIF(F3282:F3284,"&lt;&gt;h",H3282:H3284)</f>
        <v>27.03</v>
      </c>
      <c r="I3286" s="1830"/>
      <c r="J3286" s="1795"/>
      <c r="K3286" s="1795"/>
      <c r="L3286" s="169"/>
      <c r="M3286" s="1783"/>
    </row>
    <row r="3287" spans="1:13" s="1517" customFormat="1" x14ac:dyDescent="0.25">
      <c r="A3287" s="179"/>
      <c r="B3287" s="179"/>
      <c r="C3287" s="943"/>
      <c r="D3287" s="2142" t="s">
        <v>126</v>
      </c>
      <c r="E3287" s="2142"/>
      <c r="F3287" s="2142"/>
      <c r="G3287" s="2142"/>
      <c r="H3287" s="944">
        <f>SUM(H3285:H3286)</f>
        <v>41.19</v>
      </c>
      <c r="I3287" s="1830"/>
      <c r="J3287" s="1795"/>
      <c r="K3287" s="1795"/>
      <c r="L3287" s="169"/>
      <c r="M3287" s="1783"/>
    </row>
    <row r="3288" spans="1:13" s="1517" customFormat="1" x14ac:dyDescent="0.25">
      <c r="A3288" s="179"/>
      <c r="B3288" s="179"/>
      <c r="C3288" s="943"/>
      <c r="D3288" s="2141" t="s">
        <v>28</v>
      </c>
      <c r="E3288" s="2141"/>
      <c r="F3288" s="2141"/>
      <c r="G3288" s="2141"/>
      <c r="H3288" s="269">
        <f>E3281</f>
        <v>127.61</v>
      </c>
      <c r="I3288" s="1830"/>
      <c r="J3288" s="1795"/>
      <c r="K3288" s="1795"/>
      <c r="L3288" s="169"/>
      <c r="M3288" s="1783"/>
    </row>
    <row r="3289" spans="1:13" s="1517" customFormat="1" x14ac:dyDescent="0.25">
      <c r="A3289" s="179"/>
      <c r="B3289" s="179"/>
      <c r="C3289" s="943"/>
      <c r="D3289" s="2142" t="s">
        <v>127</v>
      </c>
      <c r="E3289" s="2142"/>
      <c r="F3289" s="2142"/>
      <c r="G3289" s="2142"/>
      <c r="H3289" s="944">
        <f>ROUND(H3287*H3288,2)</f>
        <v>5256.26</v>
      </c>
      <c r="I3289" s="1830"/>
      <c r="J3289" s="1795"/>
      <c r="K3289" s="1795"/>
      <c r="L3289" s="169"/>
      <c r="M3289" s="1783"/>
    </row>
    <row r="3290" spans="1:13" s="1517" customFormat="1" x14ac:dyDescent="0.25">
      <c r="A3290" s="179"/>
      <c r="B3290" s="179"/>
      <c r="C3290" s="1531"/>
      <c r="D3290" s="2141" t="s">
        <v>15335</v>
      </c>
      <c r="E3290" s="2141"/>
      <c r="F3290" s="2141"/>
      <c r="G3290" s="2141"/>
      <c r="H3290" s="267">
        <f>ROUND(H3287*$B$13,2)</f>
        <v>11.09</v>
      </c>
      <c r="I3290" s="1830"/>
      <c r="J3290" s="1795"/>
      <c r="K3290" s="1795"/>
      <c r="L3290" s="169"/>
      <c r="M3290" s="1783"/>
    </row>
    <row r="3291" spans="1:13" x14ac:dyDescent="0.25">
      <c r="A3291" s="179"/>
      <c r="B3291" s="179"/>
      <c r="C3291" s="1531"/>
      <c r="D3291" s="2142" t="s">
        <v>7898</v>
      </c>
      <c r="E3291" s="2142"/>
      <c r="F3291" s="2142"/>
      <c r="G3291" s="2142"/>
      <c r="H3291" s="1532">
        <f>H3290+H3287</f>
        <v>52.28</v>
      </c>
    </row>
    <row r="3292" spans="1:13" x14ac:dyDescent="0.25">
      <c r="A3292" s="929"/>
      <c r="B3292" s="929"/>
      <c r="C3292" s="929"/>
      <c r="F3292" s="945"/>
      <c r="G3292" s="946"/>
      <c r="H3292" s="929"/>
    </row>
    <row r="3293" spans="1:13" s="1517" customFormat="1" x14ac:dyDescent="0.25">
      <c r="A3293" s="146" t="s">
        <v>6</v>
      </c>
      <c r="B3293" s="2143" t="s">
        <v>7</v>
      </c>
      <c r="C3293" s="2143"/>
      <c r="D3293" s="931" t="s">
        <v>121</v>
      </c>
      <c r="E3293" s="278" t="s">
        <v>5282</v>
      </c>
      <c r="F3293" s="931" t="s">
        <v>31</v>
      </c>
      <c r="G3293" s="932" t="s">
        <v>122</v>
      </c>
      <c r="H3293" s="933" t="s">
        <v>123</v>
      </c>
      <c r="I3293" s="1830"/>
      <c r="J3293" s="1795"/>
      <c r="K3293" s="1795"/>
      <c r="L3293" s="169"/>
      <c r="M3293" s="1783"/>
    </row>
    <row r="3294" spans="1:13" s="1526" customFormat="1" ht="30" x14ac:dyDescent="0.2">
      <c r="A3294" s="947" t="str">
        <f>'Orç - Prédio'!A587</f>
        <v>06.01.309.03</v>
      </c>
      <c r="B3294" s="947" t="str">
        <f>'Orç - Prédio'!B587</f>
        <v>ORSE</v>
      </c>
      <c r="C3294" s="947">
        <f>'Orç - Prédio'!C587</f>
        <v>8684</v>
      </c>
      <c r="D3294" s="948" t="s">
        <v>7189</v>
      </c>
      <c r="E3294" s="935">
        <f>'Orç - Prédio'!E587</f>
        <v>760.41</v>
      </c>
      <c r="F3294" s="947" t="s">
        <v>5713</v>
      </c>
      <c r="G3294" s="936">
        <v>31.72</v>
      </c>
      <c r="H3294" s="937">
        <f>H3302</f>
        <v>24120.21</v>
      </c>
      <c r="I3294" s="1910" t="s">
        <v>14965</v>
      </c>
      <c r="J3294" s="1793"/>
      <c r="K3294" s="1793"/>
      <c r="L3294" s="141"/>
      <c r="M3294" s="1515"/>
    </row>
    <row r="3295" spans="1:13" s="156" customFormat="1" ht="30" x14ac:dyDescent="0.2">
      <c r="A3295" s="2144">
        <v>3633</v>
      </c>
      <c r="B3295" s="2144"/>
      <c r="C3295" s="930" t="s">
        <v>5281</v>
      </c>
      <c r="D3295" s="182" t="s">
        <v>6161</v>
      </c>
      <c r="E3295" s="939">
        <v>1</v>
      </c>
      <c r="F3295" s="940" t="s">
        <v>136</v>
      </c>
      <c r="G3295" s="367">
        <v>17.566666666666666</v>
      </c>
      <c r="H3295" s="942">
        <f>ROUNDDOWN(G3295*E3295,2)</f>
        <v>17.559999999999999</v>
      </c>
      <c r="I3295" s="1642"/>
      <c r="J3295" s="1797"/>
      <c r="K3295" s="1797"/>
      <c r="L3295" s="1784"/>
      <c r="M3295" s="1785"/>
    </row>
    <row r="3296" spans="1:13" s="156" customFormat="1" ht="30" x14ac:dyDescent="0.2">
      <c r="A3296" s="2144">
        <v>88264</v>
      </c>
      <c r="B3296" s="2144"/>
      <c r="C3296" s="930" t="s">
        <v>4448</v>
      </c>
      <c r="D3296" s="182" t="s">
        <v>81</v>
      </c>
      <c r="E3296" s="939">
        <v>0.4</v>
      </c>
      <c r="F3296" s="940" t="s">
        <v>65</v>
      </c>
      <c r="G3296" s="941">
        <v>20.329999999999998</v>
      </c>
      <c r="H3296" s="942">
        <f>ROUNDDOWN(G3296*E3296,2)</f>
        <v>8.1300000000000008</v>
      </c>
      <c r="I3296" s="1642"/>
      <c r="J3296" s="1797"/>
      <c r="K3296" s="1797"/>
      <c r="L3296" s="1784"/>
      <c r="M3296" s="1785"/>
    </row>
    <row r="3297" spans="1:13" s="156" customFormat="1" ht="30" x14ac:dyDescent="0.2">
      <c r="A3297" s="2144">
        <v>88316</v>
      </c>
      <c r="B3297" s="2144"/>
      <c r="C3297" s="930" t="s">
        <v>4448</v>
      </c>
      <c r="D3297" s="182" t="s">
        <v>64</v>
      </c>
      <c r="E3297" s="939">
        <v>0.4</v>
      </c>
      <c r="F3297" s="940" t="s">
        <v>65</v>
      </c>
      <c r="G3297" s="941">
        <v>15.08</v>
      </c>
      <c r="H3297" s="942">
        <f>ROUNDDOWN(G3297*E3297,2)</f>
        <v>6.03</v>
      </c>
      <c r="I3297" s="1642"/>
      <c r="J3297" s="1797"/>
      <c r="K3297" s="1797"/>
      <c r="L3297" s="1784"/>
      <c r="M3297" s="1785"/>
    </row>
    <row r="3298" spans="1:13" s="1517" customFormat="1" x14ac:dyDescent="0.25">
      <c r="A3298" s="179"/>
      <c r="B3298" s="179"/>
      <c r="C3298" s="943"/>
      <c r="D3298" s="2141" t="s">
        <v>124</v>
      </c>
      <c r="E3298" s="2141"/>
      <c r="F3298" s="2141"/>
      <c r="G3298" s="2141"/>
      <c r="H3298" s="267">
        <f>SUMIF(F3295:F3297,("h"),H3295:H3297)</f>
        <v>14.16</v>
      </c>
      <c r="I3298" s="1830"/>
      <c r="J3298" s="1795"/>
      <c r="K3298" s="1795"/>
      <c r="L3298" s="169"/>
      <c r="M3298" s="1783"/>
    </row>
    <row r="3299" spans="1:13" s="1517" customFormat="1" x14ac:dyDescent="0.25">
      <c r="A3299" s="179"/>
      <c r="B3299" s="179"/>
      <c r="C3299" s="943"/>
      <c r="D3299" s="2141" t="s">
        <v>125</v>
      </c>
      <c r="E3299" s="2141"/>
      <c r="F3299" s="2141"/>
      <c r="G3299" s="2141"/>
      <c r="H3299" s="267">
        <f>SUMIF(F3295:F3297,"&lt;&gt;h",H3295:H3297)</f>
        <v>17.559999999999999</v>
      </c>
      <c r="I3299" s="1830"/>
      <c r="J3299" s="1795"/>
      <c r="K3299" s="1795"/>
      <c r="L3299" s="169"/>
      <c r="M3299" s="1783"/>
    </row>
    <row r="3300" spans="1:13" s="1517" customFormat="1" x14ac:dyDescent="0.25">
      <c r="A3300" s="179"/>
      <c r="B3300" s="179"/>
      <c r="C3300" s="943"/>
      <c r="D3300" s="2142" t="s">
        <v>126</v>
      </c>
      <c r="E3300" s="2142"/>
      <c r="F3300" s="2142"/>
      <c r="G3300" s="2142"/>
      <c r="H3300" s="944">
        <f>SUM(H3298:H3299)</f>
        <v>31.72</v>
      </c>
      <c r="I3300" s="1830"/>
      <c r="J3300" s="1795"/>
      <c r="K3300" s="1795"/>
      <c r="L3300" s="169"/>
      <c r="M3300" s="1783"/>
    </row>
    <row r="3301" spans="1:13" s="1517" customFormat="1" x14ac:dyDescent="0.25">
      <c r="A3301" s="179"/>
      <c r="B3301" s="179"/>
      <c r="C3301" s="943"/>
      <c r="D3301" s="2141" t="s">
        <v>28</v>
      </c>
      <c r="E3301" s="2141"/>
      <c r="F3301" s="2141"/>
      <c r="G3301" s="2141"/>
      <c r="H3301" s="269">
        <f>E3294</f>
        <v>760.41</v>
      </c>
      <c r="I3301" s="1830"/>
      <c r="J3301" s="1795"/>
      <c r="K3301" s="1795"/>
      <c r="L3301" s="169"/>
      <c r="M3301" s="1783"/>
    </row>
    <row r="3302" spans="1:13" s="1517" customFormat="1" x14ac:dyDescent="0.25">
      <c r="A3302" s="179"/>
      <c r="B3302" s="179"/>
      <c r="C3302" s="943"/>
      <c r="D3302" s="2142" t="s">
        <v>127</v>
      </c>
      <c r="E3302" s="2142"/>
      <c r="F3302" s="2142"/>
      <c r="G3302" s="2142"/>
      <c r="H3302" s="944">
        <f>ROUND(H3300*H3301,2)</f>
        <v>24120.21</v>
      </c>
      <c r="I3302" s="1830"/>
      <c r="J3302" s="1795"/>
      <c r="K3302" s="1795"/>
      <c r="L3302" s="169"/>
      <c r="M3302" s="1783"/>
    </row>
    <row r="3303" spans="1:13" s="1517" customFormat="1" x14ac:dyDescent="0.25">
      <c r="A3303" s="179"/>
      <c r="B3303" s="179"/>
      <c r="C3303" s="1531"/>
      <c r="D3303" s="2141" t="s">
        <v>15335</v>
      </c>
      <c r="E3303" s="2141"/>
      <c r="F3303" s="2141"/>
      <c r="G3303" s="2141"/>
      <c r="H3303" s="267">
        <f>ROUND(H3300*$B$13,2)</f>
        <v>8.5399999999999991</v>
      </c>
      <c r="I3303" s="1830"/>
      <c r="J3303" s="1795"/>
      <c r="K3303" s="1795"/>
      <c r="L3303" s="169"/>
      <c r="M3303" s="1783"/>
    </row>
    <row r="3304" spans="1:13" x14ac:dyDescent="0.25">
      <c r="A3304" s="179"/>
      <c r="B3304" s="179"/>
      <c r="C3304" s="1531"/>
      <c r="D3304" s="2142" t="s">
        <v>7898</v>
      </c>
      <c r="E3304" s="2142"/>
      <c r="F3304" s="2142"/>
      <c r="G3304" s="2142"/>
      <c r="H3304" s="1532">
        <f>H3303+H3300</f>
        <v>40.26</v>
      </c>
    </row>
    <row r="3305" spans="1:13" x14ac:dyDescent="0.25">
      <c r="A3305" s="929"/>
      <c r="B3305" s="929"/>
      <c r="C3305" s="929"/>
      <c r="F3305" s="945"/>
      <c r="G3305" s="946"/>
      <c r="H3305" s="929"/>
    </row>
    <row r="3306" spans="1:13" s="1517" customFormat="1" x14ac:dyDescent="0.25">
      <c r="A3306" s="146" t="s">
        <v>6</v>
      </c>
      <c r="B3306" s="2143" t="s">
        <v>7</v>
      </c>
      <c r="C3306" s="2143"/>
      <c r="D3306" s="1518" t="s">
        <v>121</v>
      </c>
      <c r="E3306" s="278" t="s">
        <v>5282</v>
      </c>
      <c r="F3306" s="1518" t="s">
        <v>31</v>
      </c>
      <c r="G3306" s="1519" t="s">
        <v>122</v>
      </c>
      <c r="H3306" s="1520" t="s">
        <v>123</v>
      </c>
      <c r="I3306" s="1830"/>
      <c r="J3306" s="1795"/>
      <c r="K3306" s="1795"/>
      <c r="L3306" s="169"/>
      <c r="M3306" s="1783"/>
    </row>
    <row r="3307" spans="1:13" s="1526" customFormat="1" ht="30" x14ac:dyDescent="0.2">
      <c r="A3307" s="1535" t="str">
        <f>'Orç - Prédio'!A588</f>
        <v>06.01.309.04</v>
      </c>
      <c r="B3307" s="1535" t="str">
        <f>'Orç - Prédio'!B588</f>
        <v>ORSE</v>
      </c>
      <c r="C3307" s="1535">
        <f>'Orç - Prédio'!C588</f>
        <v>9520</v>
      </c>
      <c r="D3307" s="1536" t="s">
        <v>7165</v>
      </c>
      <c r="E3307" s="1523">
        <f>'Orç - Prédio'!E588</f>
        <v>3</v>
      </c>
      <c r="F3307" s="1535" t="s">
        <v>5284</v>
      </c>
      <c r="G3307" s="1524">
        <v>47.06</v>
      </c>
      <c r="H3307" s="1525">
        <f>H3315</f>
        <v>141.18</v>
      </c>
      <c r="I3307" s="1910" t="s">
        <v>14965</v>
      </c>
      <c r="J3307" s="1793"/>
      <c r="K3307" s="1793"/>
      <c r="L3307" s="141"/>
      <c r="M3307" s="1515"/>
    </row>
    <row r="3308" spans="1:13" s="156" customFormat="1" ht="30" x14ac:dyDescent="0.2">
      <c r="A3308" s="2144">
        <v>4020</v>
      </c>
      <c r="B3308" s="2144"/>
      <c r="C3308" s="1516" t="s">
        <v>5281</v>
      </c>
      <c r="D3308" s="182" t="s">
        <v>7185</v>
      </c>
      <c r="E3308" s="1527">
        <v>1</v>
      </c>
      <c r="F3308" s="1619" t="s">
        <v>31</v>
      </c>
      <c r="G3308" s="367">
        <v>39.99</v>
      </c>
      <c r="H3308" s="1530">
        <f>ROUNDDOWN(G3308*E3308,2)</f>
        <v>39.99</v>
      </c>
      <c r="I3308" s="1642"/>
      <c r="J3308" s="1797"/>
      <c r="K3308" s="1797"/>
      <c r="L3308" s="1784"/>
      <c r="M3308" s="1785"/>
    </row>
    <row r="3309" spans="1:13" s="156" customFormat="1" ht="30" x14ac:dyDescent="0.2">
      <c r="A3309" s="2144">
        <v>88264</v>
      </c>
      <c r="B3309" s="2144"/>
      <c r="C3309" s="1516" t="s">
        <v>4448</v>
      </c>
      <c r="D3309" s="182" t="s">
        <v>81</v>
      </c>
      <c r="E3309" s="1527">
        <v>0.2</v>
      </c>
      <c r="F3309" s="1619" t="s">
        <v>65</v>
      </c>
      <c r="G3309" s="1529">
        <v>20.329999999999998</v>
      </c>
      <c r="H3309" s="1530">
        <f>ROUNDDOWN(G3309*E3309,2)</f>
        <v>4.0599999999999996</v>
      </c>
      <c r="I3309" s="1642"/>
      <c r="J3309" s="1797"/>
      <c r="K3309" s="1797"/>
      <c r="L3309" s="1784"/>
      <c r="M3309" s="1785"/>
    </row>
    <row r="3310" spans="1:13" s="156" customFormat="1" ht="30" x14ac:dyDescent="0.2">
      <c r="A3310" s="2144">
        <v>88316</v>
      </c>
      <c r="B3310" s="2144"/>
      <c r="C3310" s="1516" t="s">
        <v>4448</v>
      </c>
      <c r="D3310" s="182" t="s">
        <v>64</v>
      </c>
      <c r="E3310" s="1527">
        <v>0.2</v>
      </c>
      <c r="F3310" s="1619" t="s">
        <v>65</v>
      </c>
      <c r="G3310" s="1529">
        <v>15.08</v>
      </c>
      <c r="H3310" s="1530">
        <f>ROUNDDOWN(G3310*E3310,2)</f>
        <v>3.01</v>
      </c>
      <c r="I3310" s="1642"/>
      <c r="J3310" s="1797"/>
      <c r="K3310" s="1797"/>
      <c r="L3310" s="1784"/>
      <c r="M3310" s="1785"/>
    </row>
    <row r="3311" spans="1:13" s="1517" customFormat="1" x14ac:dyDescent="0.25">
      <c r="A3311" s="179"/>
      <c r="B3311" s="179"/>
      <c r="C3311" s="1531"/>
      <c r="D3311" s="2141" t="s">
        <v>124</v>
      </c>
      <c r="E3311" s="2141"/>
      <c r="F3311" s="2141"/>
      <c r="G3311" s="2141"/>
      <c r="H3311" s="267">
        <f>SUMIF(F3308:F3310,("h"),H3308:H3310)</f>
        <v>7.0699999999999994</v>
      </c>
      <c r="I3311" s="1830"/>
      <c r="J3311" s="1795"/>
      <c r="K3311" s="1795"/>
      <c r="L3311" s="169"/>
      <c r="M3311" s="1783"/>
    </row>
    <row r="3312" spans="1:13" s="1517" customFormat="1" x14ac:dyDescent="0.25">
      <c r="A3312" s="179"/>
      <c r="B3312" s="179"/>
      <c r="C3312" s="1531"/>
      <c r="D3312" s="2141" t="s">
        <v>125</v>
      </c>
      <c r="E3312" s="2141"/>
      <c r="F3312" s="2141"/>
      <c r="G3312" s="2141"/>
      <c r="H3312" s="267">
        <f>SUMIF(F3308:F3310,"&lt;&gt;h",H3308:H3310)</f>
        <v>39.99</v>
      </c>
      <c r="I3312" s="1830"/>
      <c r="J3312" s="1795"/>
      <c r="K3312" s="1795"/>
      <c r="L3312" s="169"/>
      <c r="M3312" s="1783"/>
    </row>
    <row r="3313" spans="1:13" s="1517" customFormat="1" x14ac:dyDescent="0.25">
      <c r="A3313" s="179"/>
      <c r="B3313" s="179"/>
      <c r="C3313" s="1531"/>
      <c r="D3313" s="2142" t="s">
        <v>126</v>
      </c>
      <c r="E3313" s="2142"/>
      <c r="F3313" s="2142"/>
      <c r="G3313" s="2142"/>
      <c r="H3313" s="1532">
        <f>SUM(H3311:H3312)</f>
        <v>47.06</v>
      </c>
      <c r="I3313" s="1830"/>
      <c r="J3313" s="1795"/>
      <c r="K3313" s="1795"/>
      <c r="L3313" s="169"/>
      <c r="M3313" s="1783"/>
    </row>
    <row r="3314" spans="1:13" s="1517" customFormat="1" x14ac:dyDescent="0.25">
      <c r="A3314" s="179"/>
      <c r="B3314" s="179"/>
      <c r="C3314" s="1531"/>
      <c r="D3314" s="2141" t="s">
        <v>28</v>
      </c>
      <c r="E3314" s="2141"/>
      <c r="F3314" s="2141"/>
      <c r="G3314" s="2141"/>
      <c r="H3314" s="269">
        <f>E3307</f>
        <v>3</v>
      </c>
      <c r="I3314" s="1830"/>
      <c r="J3314" s="1795"/>
      <c r="K3314" s="1795"/>
      <c r="L3314" s="169"/>
      <c r="M3314" s="1783"/>
    </row>
    <row r="3315" spans="1:13" s="1517" customFormat="1" x14ac:dyDescent="0.25">
      <c r="A3315" s="179"/>
      <c r="B3315" s="179"/>
      <c r="C3315" s="1531"/>
      <c r="D3315" s="2142" t="s">
        <v>127</v>
      </c>
      <c r="E3315" s="2142"/>
      <c r="F3315" s="2142"/>
      <c r="G3315" s="2142"/>
      <c r="H3315" s="1532">
        <f>ROUND(H3313*H3314,2)</f>
        <v>141.18</v>
      </c>
      <c r="I3315" s="1830"/>
      <c r="J3315" s="1795"/>
      <c r="K3315" s="1795"/>
      <c r="L3315" s="169"/>
      <c r="M3315" s="1783"/>
    </row>
    <row r="3316" spans="1:13" s="1517" customFormat="1" x14ac:dyDescent="0.25">
      <c r="A3316" s="179"/>
      <c r="B3316" s="179"/>
      <c r="C3316" s="1531"/>
      <c r="D3316" s="2141" t="s">
        <v>15335</v>
      </c>
      <c r="E3316" s="2141"/>
      <c r="F3316" s="2141"/>
      <c r="G3316" s="2141"/>
      <c r="H3316" s="267">
        <f>ROUND(H3313*$B$13,2)</f>
        <v>12.67</v>
      </c>
      <c r="I3316" s="1830"/>
      <c r="J3316" s="1795"/>
      <c r="K3316" s="1795"/>
      <c r="L3316" s="169"/>
      <c r="M3316" s="1783"/>
    </row>
    <row r="3317" spans="1:13" x14ac:dyDescent="0.25">
      <c r="A3317" s="179"/>
      <c r="B3317" s="179"/>
      <c r="C3317" s="1531"/>
      <c r="D3317" s="2142" t="s">
        <v>7898</v>
      </c>
      <c r="E3317" s="2142"/>
      <c r="F3317" s="2142"/>
      <c r="G3317" s="2142"/>
      <c r="H3317" s="1532">
        <f>H3316+H3313</f>
        <v>59.730000000000004</v>
      </c>
    </row>
    <row r="3318" spans="1:13" x14ac:dyDescent="0.25">
      <c r="A3318" s="1514"/>
      <c r="B3318" s="1514"/>
      <c r="C3318" s="1514"/>
      <c r="F3318" s="1533"/>
      <c r="G3318" s="1534"/>
      <c r="H3318" s="1514"/>
    </row>
    <row r="3319" spans="1:13" s="1517" customFormat="1" x14ac:dyDescent="0.25">
      <c r="A3319" s="146" t="s">
        <v>6</v>
      </c>
      <c r="B3319" s="2143" t="s">
        <v>7</v>
      </c>
      <c r="C3319" s="2143"/>
      <c r="D3319" s="1518" t="s">
        <v>121</v>
      </c>
      <c r="E3319" s="278" t="s">
        <v>5282</v>
      </c>
      <c r="F3319" s="1518" t="s">
        <v>31</v>
      </c>
      <c r="G3319" s="1519" t="s">
        <v>122</v>
      </c>
      <c r="H3319" s="1520" t="s">
        <v>123</v>
      </c>
      <c r="I3319" s="1830"/>
      <c r="J3319" s="1795"/>
      <c r="K3319" s="1795"/>
      <c r="L3319" s="169"/>
      <c r="M3319" s="1783"/>
    </row>
    <row r="3320" spans="1:13" s="1526" customFormat="1" ht="30" x14ac:dyDescent="0.2">
      <c r="A3320" s="1535" t="str">
        <f>'Orç - Prédio'!A589</f>
        <v>06.01.309.05</v>
      </c>
      <c r="B3320" s="1535" t="str">
        <f>'Orç - Prédio'!B589</f>
        <v>ORSE</v>
      </c>
      <c r="C3320" s="1535">
        <f>'Orç - Prédio'!C589</f>
        <v>11290</v>
      </c>
      <c r="D3320" s="1536" t="s">
        <v>7166</v>
      </c>
      <c r="E3320" s="1523">
        <f>'Orç - Prédio'!E589</f>
        <v>13</v>
      </c>
      <c r="F3320" s="1535" t="s">
        <v>5284</v>
      </c>
      <c r="G3320" s="1524">
        <v>48.27</v>
      </c>
      <c r="H3320" s="1525">
        <f>H3328</f>
        <v>627.51</v>
      </c>
      <c r="I3320" s="1910" t="s">
        <v>14965</v>
      </c>
      <c r="J3320" s="1793"/>
      <c r="K3320" s="1793"/>
      <c r="L3320" s="141"/>
      <c r="M3320" s="1515"/>
    </row>
    <row r="3321" spans="1:13" s="156" customFormat="1" ht="30" x14ac:dyDescent="0.2">
      <c r="A3321" s="2144">
        <v>4018</v>
      </c>
      <c r="B3321" s="2144"/>
      <c r="C3321" s="1516" t="s">
        <v>5281</v>
      </c>
      <c r="D3321" s="182" t="s">
        <v>7186</v>
      </c>
      <c r="E3321" s="1527">
        <v>1</v>
      </c>
      <c r="F3321" s="1619" t="s">
        <v>31</v>
      </c>
      <c r="G3321" s="367">
        <v>41.2</v>
      </c>
      <c r="H3321" s="1530">
        <f>ROUNDDOWN(G3321*E3321,2)</f>
        <v>41.2</v>
      </c>
      <c r="I3321" s="1642"/>
      <c r="J3321" s="1797"/>
      <c r="K3321" s="1797"/>
      <c r="L3321" s="1784"/>
      <c r="M3321" s="1785"/>
    </row>
    <row r="3322" spans="1:13" s="156" customFormat="1" ht="30" x14ac:dyDescent="0.2">
      <c r="A3322" s="2144">
        <v>88264</v>
      </c>
      <c r="B3322" s="2144"/>
      <c r="C3322" s="1516" t="s">
        <v>4448</v>
      </c>
      <c r="D3322" s="182" t="s">
        <v>81</v>
      </c>
      <c r="E3322" s="1527">
        <v>0.2</v>
      </c>
      <c r="F3322" s="1619" t="s">
        <v>65</v>
      </c>
      <c r="G3322" s="1529">
        <v>20.329999999999998</v>
      </c>
      <c r="H3322" s="1530">
        <f>ROUNDDOWN(G3322*E3322,2)</f>
        <v>4.0599999999999996</v>
      </c>
      <c r="I3322" s="1642"/>
      <c r="J3322" s="1797"/>
      <c r="K3322" s="1797"/>
      <c r="L3322" s="1784"/>
      <c r="M3322" s="1785"/>
    </row>
    <row r="3323" spans="1:13" s="156" customFormat="1" ht="30" x14ac:dyDescent="0.2">
      <c r="A3323" s="2144">
        <v>88316</v>
      </c>
      <c r="B3323" s="2144"/>
      <c r="C3323" s="1516" t="s">
        <v>4448</v>
      </c>
      <c r="D3323" s="182" t="s">
        <v>64</v>
      </c>
      <c r="E3323" s="1527">
        <v>0.2</v>
      </c>
      <c r="F3323" s="1619" t="s">
        <v>65</v>
      </c>
      <c r="G3323" s="1529">
        <v>15.08</v>
      </c>
      <c r="H3323" s="1530">
        <f>ROUNDDOWN(G3323*E3323,2)</f>
        <v>3.01</v>
      </c>
      <c r="I3323" s="1642"/>
      <c r="J3323" s="1797"/>
      <c r="K3323" s="1797"/>
      <c r="L3323" s="1784"/>
      <c r="M3323" s="1785"/>
    </row>
    <row r="3324" spans="1:13" s="1517" customFormat="1" x14ac:dyDescent="0.25">
      <c r="A3324" s="179"/>
      <c r="B3324" s="179"/>
      <c r="C3324" s="1531"/>
      <c r="D3324" s="2141" t="s">
        <v>124</v>
      </c>
      <c r="E3324" s="2141"/>
      <c r="F3324" s="2141"/>
      <c r="G3324" s="2141"/>
      <c r="H3324" s="267">
        <f>SUMIF(F3321:F3323,("h"),H3321:H3323)</f>
        <v>7.0699999999999994</v>
      </c>
      <c r="I3324" s="1830"/>
      <c r="J3324" s="1795"/>
      <c r="K3324" s="1795"/>
      <c r="L3324" s="169"/>
      <c r="M3324" s="1783"/>
    </row>
    <row r="3325" spans="1:13" s="1517" customFormat="1" x14ac:dyDescent="0.25">
      <c r="A3325" s="179"/>
      <c r="B3325" s="179"/>
      <c r="C3325" s="1531"/>
      <c r="D3325" s="2141" t="s">
        <v>125</v>
      </c>
      <c r="E3325" s="2141"/>
      <c r="F3325" s="2141"/>
      <c r="G3325" s="2141"/>
      <c r="H3325" s="267">
        <f>SUMIF(F3321:F3323,"&lt;&gt;h",H3321:H3323)</f>
        <v>41.2</v>
      </c>
      <c r="I3325" s="1830"/>
      <c r="J3325" s="1795"/>
      <c r="K3325" s="1795"/>
      <c r="L3325" s="169"/>
      <c r="M3325" s="1783"/>
    </row>
    <row r="3326" spans="1:13" s="1517" customFormat="1" x14ac:dyDescent="0.25">
      <c r="A3326" s="179"/>
      <c r="B3326" s="179"/>
      <c r="C3326" s="1531"/>
      <c r="D3326" s="2142" t="s">
        <v>126</v>
      </c>
      <c r="E3326" s="2142"/>
      <c r="F3326" s="2142"/>
      <c r="G3326" s="2142"/>
      <c r="H3326" s="1532">
        <f>SUM(H3324:H3325)</f>
        <v>48.27</v>
      </c>
      <c r="I3326" s="1830"/>
      <c r="J3326" s="1795"/>
      <c r="K3326" s="1795"/>
      <c r="L3326" s="169"/>
      <c r="M3326" s="1783"/>
    </row>
    <row r="3327" spans="1:13" s="1517" customFormat="1" x14ac:dyDescent="0.25">
      <c r="A3327" s="179"/>
      <c r="B3327" s="179"/>
      <c r="C3327" s="1531"/>
      <c r="D3327" s="2141" t="s">
        <v>28</v>
      </c>
      <c r="E3327" s="2141"/>
      <c r="F3327" s="2141"/>
      <c r="G3327" s="2141"/>
      <c r="H3327" s="269">
        <f>E3320</f>
        <v>13</v>
      </c>
      <c r="I3327" s="1830"/>
      <c r="J3327" s="1795"/>
      <c r="K3327" s="1795"/>
      <c r="L3327" s="169"/>
      <c r="M3327" s="1783"/>
    </row>
    <row r="3328" spans="1:13" s="1517" customFormat="1" x14ac:dyDescent="0.25">
      <c r="A3328" s="179"/>
      <c r="B3328" s="179"/>
      <c r="C3328" s="1531"/>
      <c r="D3328" s="2142" t="s">
        <v>127</v>
      </c>
      <c r="E3328" s="2142"/>
      <c r="F3328" s="2142"/>
      <c r="G3328" s="2142"/>
      <c r="H3328" s="1532">
        <f>ROUND(H3326*H3327,2)</f>
        <v>627.51</v>
      </c>
      <c r="I3328" s="1830"/>
      <c r="J3328" s="1795"/>
      <c r="K3328" s="1795"/>
      <c r="L3328" s="169"/>
      <c r="M3328" s="1783"/>
    </row>
    <row r="3329" spans="1:13" s="1517" customFormat="1" x14ac:dyDescent="0.25">
      <c r="A3329" s="179"/>
      <c r="B3329" s="179"/>
      <c r="C3329" s="1531"/>
      <c r="D3329" s="2141" t="s">
        <v>15335</v>
      </c>
      <c r="E3329" s="2141"/>
      <c r="F3329" s="2141"/>
      <c r="G3329" s="2141"/>
      <c r="H3329" s="267">
        <f>ROUND(H3326*$B$13,2)</f>
        <v>13</v>
      </c>
      <c r="I3329" s="1830"/>
      <c r="J3329" s="1795"/>
      <c r="K3329" s="1795"/>
      <c r="L3329" s="169"/>
      <c r="M3329" s="1783"/>
    </row>
    <row r="3330" spans="1:13" x14ac:dyDescent="0.25">
      <c r="A3330" s="179"/>
      <c r="B3330" s="179"/>
      <c r="C3330" s="1531"/>
      <c r="D3330" s="2142" t="s">
        <v>7898</v>
      </c>
      <c r="E3330" s="2142"/>
      <c r="F3330" s="2142"/>
      <c r="G3330" s="2142"/>
      <c r="H3330" s="1532">
        <f>H3329+H3326</f>
        <v>61.27</v>
      </c>
    </row>
    <row r="3331" spans="1:13" x14ac:dyDescent="0.25">
      <c r="A3331" s="1514"/>
      <c r="B3331" s="1514"/>
      <c r="C3331" s="1514"/>
      <c r="F3331" s="1533"/>
      <c r="G3331" s="1534"/>
      <c r="H3331" s="1514"/>
    </row>
    <row r="3332" spans="1:13" s="1517" customFormat="1" x14ac:dyDescent="0.25">
      <c r="A3332" s="146" t="s">
        <v>6</v>
      </c>
      <c r="B3332" s="2143" t="s">
        <v>7</v>
      </c>
      <c r="C3332" s="2143"/>
      <c r="D3332" s="1518" t="s">
        <v>121</v>
      </c>
      <c r="E3332" s="278" t="s">
        <v>5282</v>
      </c>
      <c r="F3332" s="1518" t="s">
        <v>31</v>
      </c>
      <c r="G3332" s="1519" t="s">
        <v>122</v>
      </c>
      <c r="H3332" s="1520" t="s">
        <v>123</v>
      </c>
      <c r="I3332" s="1830"/>
      <c r="J3332" s="1795"/>
      <c r="K3332" s="1795"/>
      <c r="L3332" s="169"/>
      <c r="M3332" s="1783"/>
    </row>
    <row r="3333" spans="1:13" s="1526" customFormat="1" ht="30" x14ac:dyDescent="0.2">
      <c r="A3333" s="1535" t="str">
        <f>'Orç - Prédio'!A590</f>
        <v>06.01.309.06</v>
      </c>
      <c r="B3333" s="1535" t="str">
        <f>'Orç - Prédio'!B590</f>
        <v>ORSE</v>
      </c>
      <c r="C3333" s="1535">
        <f>'Orç - Prédio'!C590</f>
        <v>8701</v>
      </c>
      <c r="D3333" s="1536" t="s">
        <v>7167</v>
      </c>
      <c r="E3333" s="1523">
        <f>'Orç - Prédio'!E590</f>
        <v>24</v>
      </c>
      <c r="F3333" s="1535" t="s">
        <v>5284</v>
      </c>
      <c r="G3333" s="1524">
        <v>34.590000000000003</v>
      </c>
      <c r="H3333" s="1525">
        <f>H3341</f>
        <v>830.16</v>
      </c>
      <c r="I3333" s="1910" t="s">
        <v>14965</v>
      </c>
      <c r="J3333" s="1793"/>
      <c r="K3333" s="1793"/>
      <c r="L3333" s="141"/>
      <c r="M3333" s="1515"/>
    </row>
    <row r="3334" spans="1:13" s="156" customFormat="1" ht="30" x14ac:dyDescent="0.2">
      <c r="A3334" s="2144">
        <v>4015</v>
      </c>
      <c r="B3334" s="2144"/>
      <c r="C3334" s="1516" t="s">
        <v>5281</v>
      </c>
      <c r="D3334" s="182" t="s">
        <v>8284</v>
      </c>
      <c r="E3334" s="1527">
        <v>1</v>
      </c>
      <c r="F3334" s="1619" t="s">
        <v>31</v>
      </c>
      <c r="G3334" s="367">
        <v>20.43</v>
      </c>
      <c r="H3334" s="1530">
        <f>ROUNDDOWN(G3334*E3334,2)</f>
        <v>20.43</v>
      </c>
      <c r="I3334" s="1642"/>
      <c r="J3334" s="1797"/>
      <c r="K3334" s="1797"/>
      <c r="L3334" s="1784"/>
      <c r="M3334" s="1785"/>
    </row>
    <row r="3335" spans="1:13" s="156" customFormat="1" ht="30" x14ac:dyDescent="0.2">
      <c r="A3335" s="2144">
        <v>88264</v>
      </c>
      <c r="B3335" s="2144"/>
      <c r="C3335" s="1516" t="s">
        <v>4448</v>
      </c>
      <c r="D3335" s="182" t="s">
        <v>81</v>
      </c>
      <c r="E3335" s="1527">
        <v>0.4</v>
      </c>
      <c r="F3335" s="1619" t="s">
        <v>65</v>
      </c>
      <c r="G3335" s="1529">
        <v>20.329999999999998</v>
      </c>
      <c r="H3335" s="1530">
        <f>ROUNDDOWN(G3335*E3335,2)</f>
        <v>8.1300000000000008</v>
      </c>
      <c r="I3335" s="1642"/>
      <c r="J3335" s="1797"/>
      <c r="K3335" s="1797"/>
      <c r="L3335" s="1784"/>
      <c r="M3335" s="1785"/>
    </row>
    <row r="3336" spans="1:13" s="156" customFormat="1" ht="30" x14ac:dyDescent="0.2">
      <c r="A3336" s="2144">
        <v>88316</v>
      </c>
      <c r="B3336" s="2144"/>
      <c r="C3336" s="1516" t="s">
        <v>4448</v>
      </c>
      <c r="D3336" s="182" t="s">
        <v>64</v>
      </c>
      <c r="E3336" s="1527">
        <v>0.4</v>
      </c>
      <c r="F3336" s="1619" t="s">
        <v>65</v>
      </c>
      <c r="G3336" s="1529">
        <v>15.08</v>
      </c>
      <c r="H3336" s="1530">
        <f>ROUNDDOWN(G3336*E3336,2)</f>
        <v>6.03</v>
      </c>
      <c r="I3336" s="1642"/>
      <c r="J3336" s="1797"/>
      <c r="K3336" s="1797"/>
      <c r="L3336" s="1784"/>
      <c r="M3336" s="1785"/>
    </row>
    <row r="3337" spans="1:13" s="1517" customFormat="1" x14ac:dyDescent="0.25">
      <c r="A3337" s="179"/>
      <c r="B3337" s="179"/>
      <c r="C3337" s="1531"/>
      <c r="D3337" s="2141" t="s">
        <v>124</v>
      </c>
      <c r="E3337" s="2141"/>
      <c r="F3337" s="2141"/>
      <c r="G3337" s="2141"/>
      <c r="H3337" s="267">
        <f>SUMIF(F3334:F3336,("h"),H3334:H3336)</f>
        <v>14.16</v>
      </c>
      <c r="I3337" s="1830"/>
      <c r="J3337" s="1795"/>
      <c r="K3337" s="1795"/>
      <c r="L3337" s="169"/>
      <c r="M3337" s="1783"/>
    </row>
    <row r="3338" spans="1:13" s="1517" customFormat="1" x14ac:dyDescent="0.25">
      <c r="A3338" s="179"/>
      <c r="B3338" s="179"/>
      <c r="C3338" s="1531"/>
      <c r="D3338" s="2141" t="s">
        <v>125</v>
      </c>
      <c r="E3338" s="2141"/>
      <c r="F3338" s="2141"/>
      <c r="G3338" s="2141"/>
      <c r="H3338" s="267">
        <f>SUMIF(F3334:F3336,"&lt;&gt;h",H3334:H3336)</f>
        <v>20.43</v>
      </c>
      <c r="I3338" s="1830"/>
      <c r="J3338" s="1795"/>
      <c r="K3338" s="1795"/>
      <c r="L3338" s="169"/>
      <c r="M3338" s="1783"/>
    </row>
    <row r="3339" spans="1:13" s="1517" customFormat="1" x14ac:dyDescent="0.25">
      <c r="A3339" s="179"/>
      <c r="B3339" s="179"/>
      <c r="C3339" s="1531"/>
      <c r="D3339" s="2142" t="s">
        <v>126</v>
      </c>
      <c r="E3339" s="2142"/>
      <c r="F3339" s="2142"/>
      <c r="G3339" s="2142"/>
      <c r="H3339" s="1532">
        <f>SUM(H3337:H3338)</f>
        <v>34.590000000000003</v>
      </c>
      <c r="I3339" s="1830"/>
      <c r="J3339" s="1795"/>
      <c r="K3339" s="1795"/>
      <c r="L3339" s="169"/>
      <c r="M3339" s="1783"/>
    </row>
    <row r="3340" spans="1:13" s="1517" customFormat="1" x14ac:dyDescent="0.25">
      <c r="A3340" s="179"/>
      <c r="B3340" s="179"/>
      <c r="C3340" s="1531"/>
      <c r="D3340" s="2141" t="s">
        <v>28</v>
      </c>
      <c r="E3340" s="2141"/>
      <c r="F3340" s="2141"/>
      <c r="G3340" s="2141"/>
      <c r="H3340" s="269">
        <f>E3333</f>
        <v>24</v>
      </c>
      <c r="I3340" s="1830"/>
      <c r="J3340" s="1795"/>
      <c r="K3340" s="1795"/>
      <c r="L3340" s="169"/>
      <c r="M3340" s="1783"/>
    </row>
    <row r="3341" spans="1:13" s="1517" customFormat="1" x14ac:dyDescent="0.25">
      <c r="A3341" s="179"/>
      <c r="B3341" s="179"/>
      <c r="C3341" s="1531"/>
      <c r="D3341" s="2142" t="s">
        <v>127</v>
      </c>
      <c r="E3341" s="2142"/>
      <c r="F3341" s="2142"/>
      <c r="G3341" s="2142"/>
      <c r="H3341" s="1532">
        <f>ROUND(H3339*H3340,2)</f>
        <v>830.16</v>
      </c>
      <c r="I3341" s="1830"/>
      <c r="J3341" s="1795"/>
      <c r="K3341" s="1795"/>
      <c r="L3341" s="169"/>
      <c r="M3341" s="1783"/>
    </row>
    <row r="3342" spans="1:13" s="1517" customFormat="1" x14ac:dyDescent="0.25">
      <c r="A3342" s="179"/>
      <c r="B3342" s="179"/>
      <c r="C3342" s="1531"/>
      <c r="D3342" s="2141" t="s">
        <v>15335</v>
      </c>
      <c r="E3342" s="2141"/>
      <c r="F3342" s="2141"/>
      <c r="G3342" s="2141"/>
      <c r="H3342" s="267">
        <f>ROUND(H3339*$B$13,2)</f>
        <v>9.32</v>
      </c>
      <c r="I3342" s="1830"/>
      <c r="J3342" s="1795"/>
      <c r="K3342" s="1795"/>
      <c r="L3342" s="169"/>
      <c r="M3342" s="1783"/>
    </row>
    <row r="3343" spans="1:13" x14ac:dyDescent="0.25">
      <c r="A3343" s="179"/>
      <c r="B3343" s="179"/>
      <c r="C3343" s="1531"/>
      <c r="D3343" s="2142" t="s">
        <v>7898</v>
      </c>
      <c r="E3343" s="2142"/>
      <c r="F3343" s="2142"/>
      <c r="G3343" s="2142"/>
      <c r="H3343" s="1532">
        <f>H3342+H3339</f>
        <v>43.910000000000004</v>
      </c>
    </row>
    <row r="3344" spans="1:13" x14ac:dyDescent="0.25">
      <c r="A3344" s="1514"/>
      <c r="B3344" s="1514"/>
      <c r="C3344" s="1514"/>
      <c r="F3344" s="1533"/>
      <c r="G3344" s="1534"/>
      <c r="H3344" s="1514"/>
    </row>
    <row r="3345" spans="1:13" s="1517" customFormat="1" x14ac:dyDescent="0.25">
      <c r="A3345" s="146" t="s">
        <v>6</v>
      </c>
      <c r="B3345" s="2143" t="s">
        <v>7</v>
      </c>
      <c r="C3345" s="2143"/>
      <c r="D3345" s="1518" t="s">
        <v>121</v>
      </c>
      <c r="E3345" s="278" t="s">
        <v>5282</v>
      </c>
      <c r="F3345" s="1518" t="s">
        <v>31</v>
      </c>
      <c r="G3345" s="1519" t="s">
        <v>122</v>
      </c>
      <c r="H3345" s="1520" t="s">
        <v>123</v>
      </c>
      <c r="I3345" s="1830"/>
      <c r="J3345" s="1795"/>
      <c r="K3345" s="1795"/>
      <c r="L3345" s="169"/>
      <c r="M3345" s="1783"/>
    </row>
    <row r="3346" spans="1:13" s="1526" customFormat="1" ht="30" x14ac:dyDescent="0.2">
      <c r="A3346" s="1535" t="str">
        <f>'Orç - Prédio'!A591</f>
        <v>06.01.309.07</v>
      </c>
      <c r="B3346" s="1535" t="str">
        <f>'Orç - Prédio'!B591</f>
        <v>ORSE</v>
      </c>
      <c r="C3346" s="1535">
        <f>'Orç - Prédio'!C591</f>
        <v>9521</v>
      </c>
      <c r="D3346" s="1536" t="s">
        <v>7168</v>
      </c>
      <c r="E3346" s="1523">
        <f>'Orç - Prédio'!E591</f>
        <v>3</v>
      </c>
      <c r="F3346" s="1535" t="s">
        <v>5284</v>
      </c>
      <c r="G3346" s="1524">
        <v>40.97</v>
      </c>
      <c r="H3346" s="1525">
        <f>H3354</f>
        <v>122.91</v>
      </c>
      <c r="I3346" s="1910" t="s">
        <v>14965</v>
      </c>
      <c r="J3346" s="1793"/>
      <c r="K3346" s="1793"/>
      <c r="L3346" s="141"/>
      <c r="M3346" s="1515"/>
    </row>
    <row r="3347" spans="1:13" s="156" customFormat="1" ht="30" x14ac:dyDescent="0.2">
      <c r="A3347" s="2144">
        <v>4001</v>
      </c>
      <c r="B3347" s="2144"/>
      <c r="C3347" s="1516" t="s">
        <v>5281</v>
      </c>
      <c r="D3347" s="182" t="s">
        <v>7190</v>
      </c>
      <c r="E3347" s="1527">
        <v>1</v>
      </c>
      <c r="F3347" s="1619" t="s">
        <v>31</v>
      </c>
      <c r="G3347" s="367">
        <v>33.9</v>
      </c>
      <c r="H3347" s="1530">
        <f>ROUNDDOWN(G3347*E3347,2)</f>
        <v>33.9</v>
      </c>
      <c r="I3347" s="1642"/>
      <c r="J3347" s="1797"/>
      <c r="K3347" s="1797"/>
      <c r="L3347" s="1784"/>
      <c r="M3347" s="1785"/>
    </row>
    <row r="3348" spans="1:13" s="156" customFormat="1" ht="30" x14ac:dyDescent="0.2">
      <c r="A3348" s="2144">
        <v>88264</v>
      </c>
      <c r="B3348" s="2144"/>
      <c r="C3348" s="1516" t="s">
        <v>4448</v>
      </c>
      <c r="D3348" s="182" t="s">
        <v>81</v>
      </c>
      <c r="E3348" s="1527">
        <v>0.2</v>
      </c>
      <c r="F3348" s="1619" t="s">
        <v>65</v>
      </c>
      <c r="G3348" s="1529">
        <v>20.329999999999998</v>
      </c>
      <c r="H3348" s="1530">
        <f>ROUNDDOWN(G3348*E3348,2)</f>
        <v>4.0599999999999996</v>
      </c>
      <c r="I3348" s="1642"/>
      <c r="J3348" s="1797"/>
      <c r="K3348" s="1797"/>
      <c r="L3348" s="1784"/>
      <c r="M3348" s="1785"/>
    </row>
    <row r="3349" spans="1:13" s="156" customFormat="1" ht="30" x14ac:dyDescent="0.2">
      <c r="A3349" s="2144">
        <v>88316</v>
      </c>
      <c r="B3349" s="2144"/>
      <c r="C3349" s="1516" t="s">
        <v>4448</v>
      </c>
      <c r="D3349" s="182" t="s">
        <v>64</v>
      </c>
      <c r="E3349" s="1527">
        <v>0.2</v>
      </c>
      <c r="F3349" s="1619" t="s">
        <v>65</v>
      </c>
      <c r="G3349" s="1529">
        <v>15.08</v>
      </c>
      <c r="H3349" s="1530">
        <f>ROUNDDOWN(G3349*E3349,2)</f>
        <v>3.01</v>
      </c>
      <c r="I3349" s="1642"/>
      <c r="J3349" s="1797"/>
      <c r="K3349" s="1797"/>
      <c r="L3349" s="1784"/>
      <c r="M3349" s="1785"/>
    </row>
    <row r="3350" spans="1:13" s="1517" customFormat="1" x14ac:dyDescent="0.25">
      <c r="A3350" s="179"/>
      <c r="B3350" s="179"/>
      <c r="C3350" s="1531"/>
      <c r="D3350" s="2141" t="s">
        <v>124</v>
      </c>
      <c r="E3350" s="2141"/>
      <c r="F3350" s="2141"/>
      <c r="G3350" s="2141"/>
      <c r="H3350" s="267">
        <f>SUMIF(F3347:F3349,("h"),H3347:H3349)</f>
        <v>7.0699999999999994</v>
      </c>
      <c r="I3350" s="1830"/>
      <c r="J3350" s="1795"/>
      <c r="K3350" s="1795"/>
      <c r="L3350" s="169"/>
      <c r="M3350" s="1783"/>
    </row>
    <row r="3351" spans="1:13" s="1517" customFormat="1" x14ac:dyDescent="0.25">
      <c r="A3351" s="179"/>
      <c r="B3351" s="179"/>
      <c r="C3351" s="1531"/>
      <c r="D3351" s="2141" t="s">
        <v>125</v>
      </c>
      <c r="E3351" s="2141"/>
      <c r="F3351" s="2141"/>
      <c r="G3351" s="2141"/>
      <c r="H3351" s="267">
        <f>SUMIF(F3347:F3349,"&lt;&gt;h",H3347:H3349)</f>
        <v>33.9</v>
      </c>
      <c r="I3351" s="1830"/>
      <c r="J3351" s="1795"/>
      <c r="K3351" s="1795"/>
      <c r="L3351" s="169"/>
      <c r="M3351" s="1783"/>
    </row>
    <row r="3352" spans="1:13" s="1517" customFormat="1" x14ac:dyDescent="0.25">
      <c r="A3352" s="179"/>
      <c r="B3352" s="179"/>
      <c r="C3352" s="1531"/>
      <c r="D3352" s="2142" t="s">
        <v>126</v>
      </c>
      <c r="E3352" s="2142"/>
      <c r="F3352" s="2142"/>
      <c r="G3352" s="2142"/>
      <c r="H3352" s="1532">
        <f>SUM(H3350:H3351)</f>
        <v>40.97</v>
      </c>
      <c r="I3352" s="1830"/>
      <c r="J3352" s="1795"/>
      <c r="K3352" s="1795"/>
      <c r="L3352" s="169"/>
      <c r="M3352" s="1783"/>
    </row>
    <row r="3353" spans="1:13" s="1517" customFormat="1" x14ac:dyDescent="0.25">
      <c r="A3353" s="179"/>
      <c r="B3353" s="179"/>
      <c r="C3353" s="1531"/>
      <c r="D3353" s="2141" t="s">
        <v>28</v>
      </c>
      <c r="E3353" s="2141"/>
      <c r="F3353" s="2141"/>
      <c r="G3353" s="2141"/>
      <c r="H3353" s="269">
        <f>E3346</f>
        <v>3</v>
      </c>
      <c r="I3353" s="1830"/>
      <c r="J3353" s="1795"/>
      <c r="K3353" s="1795"/>
      <c r="L3353" s="169"/>
      <c r="M3353" s="1783"/>
    </row>
    <row r="3354" spans="1:13" s="1517" customFormat="1" x14ac:dyDescent="0.25">
      <c r="A3354" s="179"/>
      <c r="B3354" s="179"/>
      <c r="C3354" s="1531"/>
      <c r="D3354" s="2142" t="s">
        <v>127</v>
      </c>
      <c r="E3354" s="2142"/>
      <c r="F3354" s="2142"/>
      <c r="G3354" s="2142"/>
      <c r="H3354" s="1532">
        <f>ROUND(H3352*H3353,2)</f>
        <v>122.91</v>
      </c>
      <c r="I3354" s="1830"/>
      <c r="J3354" s="1795"/>
      <c r="K3354" s="1795"/>
      <c r="L3354" s="169"/>
      <c r="M3354" s="1783"/>
    </row>
    <row r="3355" spans="1:13" s="1517" customFormat="1" x14ac:dyDescent="0.25">
      <c r="A3355" s="179"/>
      <c r="B3355" s="179"/>
      <c r="C3355" s="1531"/>
      <c r="D3355" s="2141" t="s">
        <v>15335</v>
      </c>
      <c r="E3355" s="2141"/>
      <c r="F3355" s="2141"/>
      <c r="G3355" s="2141"/>
      <c r="H3355" s="267">
        <f>ROUND(H3352*$B$13,2)</f>
        <v>11.03</v>
      </c>
      <c r="I3355" s="1830"/>
      <c r="J3355" s="1795"/>
      <c r="K3355" s="1795"/>
      <c r="L3355" s="169"/>
      <c r="M3355" s="1783"/>
    </row>
    <row r="3356" spans="1:13" x14ac:dyDescent="0.25">
      <c r="A3356" s="179"/>
      <c r="B3356" s="179"/>
      <c r="C3356" s="1531"/>
      <c r="D3356" s="2142" t="s">
        <v>7898</v>
      </c>
      <c r="E3356" s="2142"/>
      <c r="F3356" s="2142"/>
      <c r="G3356" s="2142"/>
      <c r="H3356" s="1532">
        <f>H3355+H3352</f>
        <v>52</v>
      </c>
    </row>
    <row r="3357" spans="1:13" x14ac:dyDescent="0.25">
      <c r="A3357" s="1514"/>
      <c r="B3357" s="1514"/>
      <c r="C3357" s="1514"/>
      <c r="F3357" s="1533"/>
      <c r="G3357" s="1534"/>
      <c r="H3357" s="1514"/>
    </row>
    <row r="3358" spans="1:13" s="1517" customFormat="1" x14ac:dyDescent="0.25">
      <c r="A3358" s="146" t="s">
        <v>6</v>
      </c>
      <c r="B3358" s="2143" t="s">
        <v>7</v>
      </c>
      <c r="C3358" s="2143"/>
      <c r="D3358" s="1518" t="s">
        <v>121</v>
      </c>
      <c r="E3358" s="278" t="s">
        <v>5282</v>
      </c>
      <c r="F3358" s="1518" t="s">
        <v>31</v>
      </c>
      <c r="G3358" s="1519" t="s">
        <v>122</v>
      </c>
      <c r="H3358" s="1520" t="s">
        <v>123</v>
      </c>
      <c r="I3358" s="1830"/>
      <c r="J3358" s="1795"/>
      <c r="K3358" s="1795"/>
      <c r="L3358" s="169"/>
      <c r="M3358" s="1783"/>
    </row>
    <row r="3359" spans="1:13" s="1526" customFormat="1" ht="30" x14ac:dyDescent="0.2">
      <c r="A3359" s="1535" t="str">
        <f>'Orç - Prédio'!A592</f>
        <v>06.01.309.08</v>
      </c>
      <c r="B3359" s="1535" t="str">
        <f>'Orç - Prédio'!B592</f>
        <v>ORSE</v>
      </c>
      <c r="C3359" s="1535">
        <f>'Orç - Prédio'!C592</f>
        <v>8356</v>
      </c>
      <c r="D3359" s="1536" t="s">
        <v>7169</v>
      </c>
      <c r="E3359" s="1523">
        <f>'Orç - Prédio'!E592</f>
        <v>6</v>
      </c>
      <c r="F3359" s="1535" t="s">
        <v>5284</v>
      </c>
      <c r="G3359" s="1524">
        <v>31.27</v>
      </c>
      <c r="H3359" s="1525">
        <f>H3367</f>
        <v>187.62</v>
      </c>
      <c r="I3359" s="1910" t="s">
        <v>14965</v>
      </c>
      <c r="J3359" s="1793"/>
      <c r="K3359" s="1793"/>
      <c r="L3359" s="141"/>
      <c r="M3359" s="1515"/>
    </row>
    <row r="3360" spans="1:13" s="156" customFormat="1" ht="30" x14ac:dyDescent="0.2">
      <c r="A3360" s="2144">
        <v>3999</v>
      </c>
      <c r="B3360" s="2144"/>
      <c r="C3360" s="1516" t="s">
        <v>5281</v>
      </c>
      <c r="D3360" s="182" t="s">
        <v>8285</v>
      </c>
      <c r="E3360" s="1527">
        <v>1</v>
      </c>
      <c r="F3360" s="1619" t="s">
        <v>31</v>
      </c>
      <c r="G3360" s="367">
        <v>24.2</v>
      </c>
      <c r="H3360" s="1530">
        <f>ROUNDDOWN(G3360*E3360,2)</f>
        <v>24.2</v>
      </c>
      <c r="I3360" s="1642"/>
      <c r="J3360" s="1797"/>
      <c r="K3360" s="1797"/>
      <c r="L3360" s="1784"/>
      <c r="M3360" s="1785"/>
    </row>
    <row r="3361" spans="1:13" s="156" customFormat="1" ht="30" x14ac:dyDescent="0.2">
      <c r="A3361" s="2144">
        <v>88264</v>
      </c>
      <c r="B3361" s="2144"/>
      <c r="C3361" s="1516" t="s">
        <v>4448</v>
      </c>
      <c r="D3361" s="182" t="s">
        <v>81</v>
      </c>
      <c r="E3361" s="1527">
        <v>0.2</v>
      </c>
      <c r="F3361" s="1619" t="s">
        <v>65</v>
      </c>
      <c r="G3361" s="1529">
        <v>20.329999999999998</v>
      </c>
      <c r="H3361" s="1530">
        <f>ROUNDDOWN(G3361*E3361,2)</f>
        <v>4.0599999999999996</v>
      </c>
      <c r="I3361" s="1642"/>
      <c r="J3361" s="1797"/>
      <c r="K3361" s="1797"/>
      <c r="L3361" s="1784"/>
      <c r="M3361" s="1785"/>
    </row>
    <row r="3362" spans="1:13" s="156" customFormat="1" ht="30" x14ac:dyDescent="0.2">
      <c r="A3362" s="2144">
        <v>88316</v>
      </c>
      <c r="B3362" s="2144"/>
      <c r="C3362" s="1516" t="s">
        <v>4448</v>
      </c>
      <c r="D3362" s="182" t="s">
        <v>64</v>
      </c>
      <c r="E3362" s="1527">
        <v>0.2</v>
      </c>
      <c r="F3362" s="1619" t="s">
        <v>65</v>
      </c>
      <c r="G3362" s="1529">
        <v>15.08</v>
      </c>
      <c r="H3362" s="1530">
        <f>ROUNDDOWN(G3362*E3362,2)</f>
        <v>3.01</v>
      </c>
      <c r="I3362" s="1642"/>
      <c r="J3362" s="1797"/>
      <c r="K3362" s="1797"/>
      <c r="L3362" s="1784"/>
      <c r="M3362" s="1785"/>
    </row>
    <row r="3363" spans="1:13" s="1517" customFormat="1" x14ac:dyDescent="0.25">
      <c r="A3363" s="179"/>
      <c r="B3363" s="179"/>
      <c r="C3363" s="1531"/>
      <c r="D3363" s="2141" t="s">
        <v>124</v>
      </c>
      <c r="E3363" s="2141"/>
      <c r="F3363" s="2141"/>
      <c r="G3363" s="2141"/>
      <c r="H3363" s="267">
        <f>SUMIF(F3360:F3362,("h"),H3360:H3362)</f>
        <v>7.0699999999999994</v>
      </c>
      <c r="I3363" s="1830"/>
      <c r="J3363" s="1795"/>
      <c r="K3363" s="1795"/>
      <c r="L3363" s="169"/>
      <c r="M3363" s="1783"/>
    </row>
    <row r="3364" spans="1:13" s="1517" customFormat="1" x14ac:dyDescent="0.25">
      <c r="A3364" s="179"/>
      <c r="B3364" s="179"/>
      <c r="C3364" s="1531"/>
      <c r="D3364" s="2141" t="s">
        <v>125</v>
      </c>
      <c r="E3364" s="2141"/>
      <c r="F3364" s="2141"/>
      <c r="G3364" s="2141"/>
      <c r="H3364" s="267">
        <f>SUMIF(F3360:F3362,"&lt;&gt;h",H3360:H3362)</f>
        <v>24.2</v>
      </c>
      <c r="I3364" s="1830"/>
      <c r="J3364" s="1795"/>
      <c r="K3364" s="1795"/>
      <c r="L3364" s="169"/>
      <c r="M3364" s="1783"/>
    </row>
    <row r="3365" spans="1:13" s="1517" customFormat="1" x14ac:dyDescent="0.25">
      <c r="A3365" s="179"/>
      <c r="B3365" s="179"/>
      <c r="C3365" s="1531"/>
      <c r="D3365" s="2142" t="s">
        <v>126</v>
      </c>
      <c r="E3365" s="2142"/>
      <c r="F3365" s="2142"/>
      <c r="G3365" s="2142"/>
      <c r="H3365" s="1532">
        <f>SUM(H3363:H3364)</f>
        <v>31.27</v>
      </c>
      <c r="I3365" s="1830"/>
      <c r="J3365" s="1795"/>
      <c r="K3365" s="1795"/>
      <c r="L3365" s="169"/>
      <c r="M3365" s="1783"/>
    </row>
    <row r="3366" spans="1:13" s="1517" customFormat="1" x14ac:dyDescent="0.25">
      <c r="A3366" s="179"/>
      <c r="B3366" s="179"/>
      <c r="C3366" s="1531"/>
      <c r="D3366" s="2141" t="s">
        <v>28</v>
      </c>
      <c r="E3366" s="2141"/>
      <c r="F3366" s="2141"/>
      <c r="G3366" s="2141"/>
      <c r="H3366" s="269">
        <f>E3359</f>
        <v>6</v>
      </c>
      <c r="I3366" s="1830"/>
      <c r="J3366" s="1795"/>
      <c r="K3366" s="1795"/>
      <c r="L3366" s="169"/>
      <c r="M3366" s="1783"/>
    </row>
    <row r="3367" spans="1:13" s="1517" customFormat="1" x14ac:dyDescent="0.25">
      <c r="A3367" s="179"/>
      <c r="B3367" s="179"/>
      <c r="C3367" s="1531"/>
      <c r="D3367" s="2142" t="s">
        <v>127</v>
      </c>
      <c r="E3367" s="2142"/>
      <c r="F3367" s="2142"/>
      <c r="G3367" s="2142"/>
      <c r="H3367" s="1532">
        <f>ROUND(H3365*H3366,2)</f>
        <v>187.62</v>
      </c>
      <c r="I3367" s="1830"/>
      <c r="J3367" s="1795"/>
      <c r="K3367" s="1795"/>
      <c r="L3367" s="169"/>
      <c r="M3367" s="1783"/>
    </row>
    <row r="3368" spans="1:13" s="1517" customFormat="1" x14ac:dyDescent="0.25">
      <c r="A3368" s="179"/>
      <c r="B3368" s="179"/>
      <c r="C3368" s="1531"/>
      <c r="D3368" s="2141" t="s">
        <v>15335</v>
      </c>
      <c r="E3368" s="2141"/>
      <c r="F3368" s="2141"/>
      <c r="G3368" s="2141"/>
      <c r="H3368" s="267">
        <f>ROUND(H3365*$B$13,2)</f>
        <v>8.42</v>
      </c>
      <c r="I3368" s="1830"/>
      <c r="J3368" s="1795"/>
      <c r="K3368" s="1795"/>
      <c r="L3368" s="169"/>
      <c r="M3368" s="1783"/>
    </row>
    <row r="3369" spans="1:13" x14ac:dyDescent="0.25">
      <c r="A3369" s="179"/>
      <c r="B3369" s="179"/>
      <c r="C3369" s="1531"/>
      <c r="D3369" s="2142" t="s">
        <v>7898</v>
      </c>
      <c r="E3369" s="2142"/>
      <c r="F3369" s="2142"/>
      <c r="G3369" s="2142"/>
      <c r="H3369" s="1532">
        <f>H3368+H3365</f>
        <v>39.69</v>
      </c>
    </row>
    <row r="3370" spans="1:13" x14ac:dyDescent="0.25">
      <c r="A3370" s="1514"/>
      <c r="B3370" s="1514"/>
      <c r="C3370" s="1514"/>
      <c r="F3370" s="1533"/>
      <c r="G3370" s="1534"/>
      <c r="H3370" s="1514"/>
    </row>
    <row r="3371" spans="1:13" s="1517" customFormat="1" x14ac:dyDescent="0.25">
      <c r="A3371" s="146" t="s">
        <v>6</v>
      </c>
      <c r="B3371" s="2143" t="s">
        <v>7</v>
      </c>
      <c r="C3371" s="2143"/>
      <c r="D3371" s="1518" t="s">
        <v>121</v>
      </c>
      <c r="E3371" s="278" t="s">
        <v>5282</v>
      </c>
      <c r="F3371" s="1518" t="s">
        <v>31</v>
      </c>
      <c r="G3371" s="1519" t="s">
        <v>122</v>
      </c>
      <c r="H3371" s="1520" t="s">
        <v>123</v>
      </c>
      <c r="I3371" s="1830"/>
      <c r="J3371" s="1795"/>
      <c r="K3371" s="1795"/>
      <c r="L3371" s="169"/>
      <c r="M3371" s="1783"/>
    </row>
    <row r="3372" spans="1:13" s="1526" customFormat="1" ht="30" x14ac:dyDescent="0.2">
      <c r="A3372" s="1535" t="str">
        <f>'Orç - Prédio'!A593</f>
        <v>06.01.309.09</v>
      </c>
      <c r="B3372" s="1535" t="str">
        <f>'Orç - Prédio'!B593</f>
        <v>ORSE</v>
      </c>
      <c r="C3372" s="1535">
        <f>'Orç - Prédio'!C593</f>
        <v>8688</v>
      </c>
      <c r="D3372" s="1536" t="s">
        <v>7170</v>
      </c>
      <c r="E3372" s="1523">
        <f>'Orç - Prédio'!E593</f>
        <v>23</v>
      </c>
      <c r="F3372" s="1523" t="s">
        <v>5284</v>
      </c>
      <c r="G3372" s="1524">
        <v>19.669999999999998</v>
      </c>
      <c r="H3372" s="1525">
        <f>H3380</f>
        <v>452.41</v>
      </c>
      <c r="I3372" s="1910" t="s">
        <v>14965</v>
      </c>
      <c r="J3372" s="1793"/>
      <c r="K3372" s="1793"/>
      <c r="L3372" s="141"/>
      <c r="M3372" s="1515"/>
    </row>
    <row r="3373" spans="1:13" s="156" customFormat="1" ht="30" x14ac:dyDescent="0.2">
      <c r="A3373" s="2144">
        <v>8945</v>
      </c>
      <c r="B3373" s="2144"/>
      <c r="C3373" s="1516" t="s">
        <v>5281</v>
      </c>
      <c r="D3373" s="182" t="s">
        <v>7191</v>
      </c>
      <c r="E3373" s="1527">
        <v>1</v>
      </c>
      <c r="F3373" s="1619" t="s">
        <v>31</v>
      </c>
      <c r="G3373" s="367">
        <v>12.6</v>
      </c>
      <c r="H3373" s="1530">
        <f>ROUNDDOWN(G3373*E3373,2)</f>
        <v>12.6</v>
      </c>
      <c r="I3373" s="1642"/>
      <c r="J3373" s="1797"/>
      <c r="K3373" s="1797"/>
      <c r="L3373" s="1784"/>
      <c r="M3373" s="1785"/>
    </row>
    <row r="3374" spans="1:13" s="156" customFormat="1" ht="30" x14ac:dyDescent="0.2">
      <c r="A3374" s="2144">
        <v>88264</v>
      </c>
      <c r="B3374" s="2144"/>
      <c r="C3374" s="1516" t="s">
        <v>4448</v>
      </c>
      <c r="D3374" s="182" t="s">
        <v>81</v>
      </c>
      <c r="E3374" s="1527">
        <v>0.2</v>
      </c>
      <c r="F3374" s="1619" t="s">
        <v>65</v>
      </c>
      <c r="G3374" s="1529">
        <v>20.329999999999998</v>
      </c>
      <c r="H3374" s="1530">
        <f>ROUNDDOWN(G3374*E3374,2)</f>
        <v>4.0599999999999996</v>
      </c>
      <c r="I3374" s="1642"/>
      <c r="J3374" s="1797"/>
      <c r="K3374" s="1797"/>
      <c r="L3374" s="1784"/>
      <c r="M3374" s="1785"/>
    </row>
    <row r="3375" spans="1:13" s="156" customFormat="1" ht="30" x14ac:dyDescent="0.2">
      <c r="A3375" s="2144">
        <v>88316</v>
      </c>
      <c r="B3375" s="2144"/>
      <c r="C3375" s="1516" t="s">
        <v>4448</v>
      </c>
      <c r="D3375" s="182" t="s">
        <v>64</v>
      </c>
      <c r="E3375" s="1527">
        <v>0.2</v>
      </c>
      <c r="F3375" s="1619" t="s">
        <v>65</v>
      </c>
      <c r="G3375" s="1529">
        <v>15.08</v>
      </c>
      <c r="H3375" s="1530">
        <f>ROUNDDOWN(G3375*E3375,2)</f>
        <v>3.01</v>
      </c>
      <c r="I3375" s="1642"/>
      <c r="J3375" s="1797"/>
      <c r="K3375" s="1797"/>
      <c r="L3375" s="1784"/>
      <c r="M3375" s="1785"/>
    </row>
    <row r="3376" spans="1:13" s="1517" customFormat="1" x14ac:dyDescent="0.25">
      <c r="A3376" s="179"/>
      <c r="B3376" s="179"/>
      <c r="C3376" s="1531"/>
      <c r="D3376" s="2141" t="s">
        <v>124</v>
      </c>
      <c r="E3376" s="2141"/>
      <c r="F3376" s="2141"/>
      <c r="G3376" s="2141"/>
      <c r="H3376" s="267">
        <f>SUMIF(F3373:F3375,("h"),H3373:H3375)</f>
        <v>7.0699999999999994</v>
      </c>
      <c r="I3376" s="1830"/>
      <c r="J3376" s="1795"/>
      <c r="K3376" s="1795"/>
      <c r="L3376" s="169"/>
      <c r="M3376" s="1783"/>
    </row>
    <row r="3377" spans="1:13" s="1517" customFormat="1" x14ac:dyDescent="0.25">
      <c r="A3377" s="179"/>
      <c r="B3377" s="179"/>
      <c r="C3377" s="1531"/>
      <c r="D3377" s="2141" t="s">
        <v>125</v>
      </c>
      <c r="E3377" s="2141"/>
      <c r="F3377" s="2141"/>
      <c r="G3377" s="2141"/>
      <c r="H3377" s="267">
        <f>SUMIF(F3373:F3375,"&lt;&gt;h",H3373:H3375)</f>
        <v>12.6</v>
      </c>
      <c r="I3377" s="1830"/>
      <c r="J3377" s="1795"/>
      <c r="K3377" s="1795"/>
      <c r="L3377" s="169"/>
      <c r="M3377" s="1783"/>
    </row>
    <row r="3378" spans="1:13" s="1517" customFormat="1" x14ac:dyDescent="0.25">
      <c r="A3378" s="179"/>
      <c r="B3378" s="179"/>
      <c r="C3378" s="1531"/>
      <c r="D3378" s="2142" t="s">
        <v>126</v>
      </c>
      <c r="E3378" s="2142"/>
      <c r="F3378" s="2142"/>
      <c r="G3378" s="2142"/>
      <c r="H3378" s="1532">
        <f>SUM(H3376:H3377)</f>
        <v>19.669999999999998</v>
      </c>
      <c r="I3378" s="1830"/>
      <c r="J3378" s="1795"/>
      <c r="K3378" s="1795"/>
      <c r="L3378" s="169"/>
      <c r="M3378" s="1783"/>
    </row>
    <row r="3379" spans="1:13" s="1517" customFormat="1" x14ac:dyDescent="0.25">
      <c r="A3379" s="179"/>
      <c r="B3379" s="179"/>
      <c r="C3379" s="1531"/>
      <c r="D3379" s="2141" t="s">
        <v>28</v>
      </c>
      <c r="E3379" s="2141"/>
      <c r="F3379" s="2141"/>
      <c r="G3379" s="2141"/>
      <c r="H3379" s="269">
        <f>E3372</f>
        <v>23</v>
      </c>
      <c r="I3379" s="1830"/>
      <c r="J3379" s="1795"/>
      <c r="K3379" s="1795"/>
      <c r="L3379" s="169"/>
      <c r="M3379" s="1783"/>
    </row>
    <row r="3380" spans="1:13" s="1517" customFormat="1" x14ac:dyDescent="0.25">
      <c r="A3380" s="179"/>
      <c r="B3380" s="179"/>
      <c r="C3380" s="1531"/>
      <c r="D3380" s="2142" t="s">
        <v>127</v>
      </c>
      <c r="E3380" s="2142"/>
      <c r="F3380" s="2142"/>
      <c r="G3380" s="2142"/>
      <c r="H3380" s="1532">
        <f>ROUND(H3378*H3379,2)</f>
        <v>452.41</v>
      </c>
      <c r="I3380" s="1830"/>
      <c r="J3380" s="1795"/>
      <c r="K3380" s="1795"/>
      <c r="L3380" s="169"/>
      <c r="M3380" s="1783"/>
    </row>
    <row r="3381" spans="1:13" s="1517" customFormat="1" x14ac:dyDescent="0.25">
      <c r="A3381" s="179"/>
      <c r="B3381" s="179"/>
      <c r="C3381" s="1531"/>
      <c r="D3381" s="2141" t="s">
        <v>15335</v>
      </c>
      <c r="E3381" s="2141"/>
      <c r="F3381" s="2141"/>
      <c r="G3381" s="2141"/>
      <c r="H3381" s="267">
        <f>ROUND(H3378*$B$13,2)</f>
        <v>5.3</v>
      </c>
      <c r="I3381" s="1830"/>
      <c r="J3381" s="1795"/>
      <c r="K3381" s="1795"/>
      <c r="L3381" s="169"/>
      <c r="M3381" s="1783"/>
    </row>
    <row r="3382" spans="1:13" x14ac:dyDescent="0.25">
      <c r="A3382" s="179"/>
      <c r="B3382" s="179"/>
      <c r="C3382" s="1531"/>
      <c r="D3382" s="2142" t="s">
        <v>7898</v>
      </c>
      <c r="E3382" s="2142"/>
      <c r="F3382" s="2142"/>
      <c r="G3382" s="2142"/>
      <c r="H3382" s="1532">
        <f>H3381+H3378</f>
        <v>24.97</v>
      </c>
    </row>
    <row r="3383" spans="1:13" x14ac:dyDescent="0.25">
      <c r="A3383" s="1514"/>
      <c r="B3383" s="1514"/>
      <c r="C3383" s="1514"/>
      <c r="F3383" s="1533"/>
      <c r="G3383" s="1534"/>
      <c r="H3383" s="1514"/>
    </row>
    <row r="3384" spans="1:13" s="1517" customFormat="1" x14ac:dyDescent="0.25">
      <c r="A3384" s="146" t="s">
        <v>6</v>
      </c>
      <c r="B3384" s="2143" t="s">
        <v>7</v>
      </c>
      <c r="C3384" s="2143"/>
      <c r="D3384" s="1518" t="s">
        <v>121</v>
      </c>
      <c r="E3384" s="278" t="s">
        <v>5282</v>
      </c>
      <c r="F3384" s="1518" t="s">
        <v>31</v>
      </c>
      <c r="G3384" s="1519" t="s">
        <v>122</v>
      </c>
      <c r="H3384" s="1520" t="s">
        <v>123</v>
      </c>
      <c r="I3384" s="1830"/>
      <c r="J3384" s="1795"/>
      <c r="K3384" s="1795"/>
      <c r="L3384" s="169"/>
      <c r="M3384" s="1783"/>
    </row>
    <row r="3385" spans="1:13" s="1526" customFormat="1" ht="30" x14ac:dyDescent="0.2">
      <c r="A3385" s="1535" t="str">
        <f>'Orç - Prédio'!A594</f>
        <v>06.01.309.10</v>
      </c>
      <c r="B3385" s="1535" t="str">
        <f>'Orç - Prédio'!B594</f>
        <v>ORSE</v>
      </c>
      <c r="C3385" s="1535">
        <f>'Orç - Prédio'!C594</f>
        <v>8782</v>
      </c>
      <c r="D3385" s="1536" t="s">
        <v>8972</v>
      </c>
      <c r="E3385" s="1523">
        <f>'Orç - Prédio'!E594</f>
        <v>6</v>
      </c>
      <c r="F3385" s="1535" t="s">
        <v>5284</v>
      </c>
      <c r="G3385" s="1621">
        <v>80.569999999999993</v>
      </c>
      <c r="H3385" s="1525">
        <f>H3393</f>
        <v>483.42</v>
      </c>
      <c r="I3385" s="1910" t="s">
        <v>14965</v>
      </c>
      <c r="J3385" s="1793"/>
      <c r="K3385" s="1793"/>
      <c r="L3385" s="141"/>
      <c r="M3385" s="1515"/>
    </row>
    <row r="3386" spans="1:13" s="156" customFormat="1" ht="30" x14ac:dyDescent="0.2">
      <c r="A3386" s="2144">
        <v>9075</v>
      </c>
      <c r="B3386" s="2144"/>
      <c r="C3386" s="1516" t="s">
        <v>5281</v>
      </c>
      <c r="D3386" s="182" t="s">
        <v>8973</v>
      </c>
      <c r="E3386" s="1527">
        <v>1</v>
      </c>
      <c r="F3386" s="1619" t="s">
        <v>31</v>
      </c>
      <c r="G3386" s="367">
        <v>73.5</v>
      </c>
      <c r="H3386" s="1530">
        <f>ROUNDDOWN(G3386*E3386,2)</f>
        <v>73.5</v>
      </c>
      <c r="I3386" s="1642"/>
      <c r="J3386" s="1797"/>
      <c r="K3386" s="1797"/>
      <c r="L3386" s="1784"/>
      <c r="M3386" s="1785"/>
    </row>
    <row r="3387" spans="1:13" s="156" customFormat="1" ht="30" x14ac:dyDescent="0.2">
      <c r="A3387" s="2144">
        <v>88264</v>
      </c>
      <c r="B3387" s="2144"/>
      <c r="C3387" s="1516" t="s">
        <v>4448</v>
      </c>
      <c r="D3387" s="182" t="s">
        <v>81</v>
      </c>
      <c r="E3387" s="1527">
        <v>0.2</v>
      </c>
      <c r="F3387" s="1619" t="s">
        <v>65</v>
      </c>
      <c r="G3387" s="1529">
        <v>20.329999999999998</v>
      </c>
      <c r="H3387" s="1530">
        <f>ROUNDDOWN(G3387*E3387,2)</f>
        <v>4.0599999999999996</v>
      </c>
      <c r="I3387" s="1642"/>
      <c r="J3387" s="1797"/>
      <c r="K3387" s="1797"/>
      <c r="L3387" s="1784"/>
      <c r="M3387" s="1785"/>
    </row>
    <row r="3388" spans="1:13" s="156" customFormat="1" ht="30" x14ac:dyDescent="0.2">
      <c r="A3388" s="2144">
        <v>88316</v>
      </c>
      <c r="B3388" s="2144"/>
      <c r="C3388" s="1516" t="s">
        <v>4448</v>
      </c>
      <c r="D3388" s="182" t="s">
        <v>64</v>
      </c>
      <c r="E3388" s="1527">
        <v>0.2</v>
      </c>
      <c r="F3388" s="1619" t="s">
        <v>65</v>
      </c>
      <c r="G3388" s="1529">
        <v>15.08</v>
      </c>
      <c r="H3388" s="1530">
        <f>ROUNDDOWN(G3388*E3388,2)</f>
        <v>3.01</v>
      </c>
      <c r="I3388" s="1642"/>
      <c r="J3388" s="1797"/>
      <c r="K3388" s="1797"/>
      <c r="L3388" s="1784"/>
      <c r="M3388" s="1785"/>
    </row>
    <row r="3389" spans="1:13" s="1517" customFormat="1" x14ac:dyDescent="0.25">
      <c r="A3389" s="179"/>
      <c r="B3389" s="179"/>
      <c r="C3389" s="1531"/>
      <c r="D3389" s="2141" t="s">
        <v>124</v>
      </c>
      <c r="E3389" s="2141"/>
      <c r="F3389" s="2141"/>
      <c r="G3389" s="2141"/>
      <c r="H3389" s="267">
        <f>SUMIF(F3386:F3388,("h"),H3386:H3388)</f>
        <v>7.0699999999999994</v>
      </c>
      <c r="I3389" s="1830"/>
      <c r="J3389" s="1795"/>
      <c r="K3389" s="1795"/>
      <c r="L3389" s="169"/>
      <c r="M3389" s="1783"/>
    </row>
    <row r="3390" spans="1:13" s="1517" customFormat="1" x14ac:dyDescent="0.25">
      <c r="A3390" s="179"/>
      <c r="B3390" s="179"/>
      <c r="C3390" s="1531"/>
      <c r="D3390" s="2141" t="s">
        <v>125</v>
      </c>
      <c r="E3390" s="2141"/>
      <c r="F3390" s="2141"/>
      <c r="G3390" s="2141"/>
      <c r="H3390" s="267">
        <f>SUMIF(F3386:F3388,"&lt;&gt;h",H3386:H3388)</f>
        <v>73.5</v>
      </c>
      <c r="I3390" s="1830"/>
      <c r="J3390" s="1795"/>
      <c r="K3390" s="1795"/>
      <c r="L3390" s="169"/>
      <c r="M3390" s="1783"/>
    </row>
    <row r="3391" spans="1:13" s="1517" customFormat="1" x14ac:dyDescent="0.25">
      <c r="A3391" s="179"/>
      <c r="B3391" s="179"/>
      <c r="C3391" s="1531"/>
      <c r="D3391" s="2142" t="s">
        <v>126</v>
      </c>
      <c r="E3391" s="2142"/>
      <c r="F3391" s="2142"/>
      <c r="G3391" s="2142"/>
      <c r="H3391" s="1532">
        <f>SUM(H3389:H3390)</f>
        <v>80.569999999999993</v>
      </c>
      <c r="I3391" s="1830"/>
      <c r="J3391" s="1795"/>
      <c r="K3391" s="1795"/>
      <c r="L3391" s="169"/>
      <c r="M3391" s="1783"/>
    </row>
    <row r="3392" spans="1:13" s="1517" customFormat="1" x14ac:dyDescent="0.25">
      <c r="A3392" s="179"/>
      <c r="B3392" s="179"/>
      <c r="C3392" s="1531"/>
      <c r="D3392" s="2141" t="s">
        <v>28</v>
      </c>
      <c r="E3392" s="2141"/>
      <c r="F3392" s="2141"/>
      <c r="G3392" s="2141"/>
      <c r="H3392" s="269">
        <f>E3385</f>
        <v>6</v>
      </c>
      <c r="I3392" s="1830"/>
      <c r="J3392" s="1795"/>
      <c r="K3392" s="1795"/>
      <c r="L3392" s="169"/>
      <c r="M3392" s="1783"/>
    </row>
    <row r="3393" spans="1:13" s="1517" customFormat="1" x14ac:dyDescent="0.25">
      <c r="A3393" s="179"/>
      <c r="B3393" s="179"/>
      <c r="C3393" s="1531"/>
      <c r="D3393" s="2142" t="s">
        <v>127</v>
      </c>
      <c r="E3393" s="2142"/>
      <c r="F3393" s="2142"/>
      <c r="G3393" s="2142"/>
      <c r="H3393" s="1532">
        <f>ROUND(H3391*H3392,2)</f>
        <v>483.42</v>
      </c>
      <c r="I3393" s="1830"/>
      <c r="J3393" s="1795"/>
      <c r="K3393" s="1795"/>
      <c r="L3393" s="169"/>
      <c r="M3393" s="1783"/>
    </row>
    <row r="3394" spans="1:13" s="1517" customFormat="1" x14ac:dyDescent="0.25">
      <c r="A3394" s="179"/>
      <c r="B3394" s="179"/>
      <c r="C3394" s="1531"/>
      <c r="D3394" s="2141" t="s">
        <v>15335</v>
      </c>
      <c r="E3394" s="2141"/>
      <c r="F3394" s="2141"/>
      <c r="G3394" s="2141"/>
      <c r="H3394" s="267">
        <f>ROUND(H3391*$B$13,2)</f>
        <v>21.7</v>
      </c>
      <c r="I3394" s="1830"/>
      <c r="J3394" s="1795"/>
      <c r="K3394" s="1795"/>
      <c r="L3394" s="169"/>
      <c r="M3394" s="1783"/>
    </row>
    <row r="3395" spans="1:13" x14ac:dyDescent="0.25">
      <c r="A3395" s="179"/>
      <c r="B3395" s="179"/>
      <c r="C3395" s="1531"/>
      <c r="D3395" s="2142" t="s">
        <v>7898</v>
      </c>
      <c r="E3395" s="2142"/>
      <c r="F3395" s="2142"/>
      <c r="G3395" s="2142"/>
      <c r="H3395" s="1532">
        <f>H3394+H3391</f>
        <v>102.27</v>
      </c>
    </row>
    <row r="3396" spans="1:13" x14ac:dyDescent="0.25">
      <c r="A3396" s="1514"/>
      <c r="B3396" s="1514"/>
      <c r="C3396" s="1514"/>
      <c r="F3396" s="1533"/>
      <c r="G3396" s="1534"/>
      <c r="H3396" s="1514"/>
    </row>
    <row r="3397" spans="1:13" s="1517" customFormat="1" x14ac:dyDescent="0.25">
      <c r="A3397" s="146" t="s">
        <v>6</v>
      </c>
      <c r="B3397" s="2143" t="s">
        <v>7</v>
      </c>
      <c r="C3397" s="2143"/>
      <c r="D3397" s="1518" t="s">
        <v>121</v>
      </c>
      <c r="E3397" s="278" t="s">
        <v>5282</v>
      </c>
      <c r="F3397" s="1518" t="s">
        <v>31</v>
      </c>
      <c r="G3397" s="1519" t="s">
        <v>122</v>
      </c>
      <c r="H3397" s="1520" t="s">
        <v>123</v>
      </c>
      <c r="I3397" s="1830"/>
      <c r="J3397" s="1795"/>
      <c r="K3397" s="1795"/>
      <c r="L3397" s="169"/>
      <c r="M3397" s="1783"/>
    </row>
    <row r="3398" spans="1:13" s="1526" customFormat="1" ht="30" x14ac:dyDescent="0.2">
      <c r="A3398" s="1535" t="str">
        <f>'Orç - Prédio'!A595</f>
        <v>06.01.309.11</v>
      </c>
      <c r="B3398" s="1535" t="str">
        <f>'Orç - Prédio'!B595</f>
        <v>ORSE</v>
      </c>
      <c r="C3398" s="1535">
        <f>'Orç - Prédio'!C595</f>
        <v>11292</v>
      </c>
      <c r="D3398" s="1536" t="s">
        <v>7171</v>
      </c>
      <c r="E3398" s="1523">
        <f>'Orç - Prédio'!E595</f>
        <v>5</v>
      </c>
      <c r="F3398" s="1535" t="s">
        <v>5284</v>
      </c>
      <c r="G3398" s="1621">
        <v>55.28</v>
      </c>
      <c r="H3398" s="1525">
        <f>H3406</f>
        <v>276.39999999999998</v>
      </c>
      <c r="I3398" s="1910" t="s">
        <v>14965</v>
      </c>
      <c r="J3398" s="1793"/>
      <c r="K3398" s="1793"/>
      <c r="L3398" s="141"/>
      <c r="M3398" s="1515"/>
    </row>
    <row r="3399" spans="1:13" s="156" customFormat="1" ht="30" x14ac:dyDescent="0.2">
      <c r="A3399" s="2144">
        <v>12158</v>
      </c>
      <c r="B3399" s="2144"/>
      <c r="C3399" s="1516" t="s">
        <v>5281</v>
      </c>
      <c r="D3399" s="182" t="s">
        <v>7193</v>
      </c>
      <c r="E3399" s="1527">
        <v>1</v>
      </c>
      <c r="F3399" s="1619" t="s">
        <v>31</v>
      </c>
      <c r="G3399" s="367">
        <v>48.21</v>
      </c>
      <c r="H3399" s="1530">
        <f>ROUNDDOWN(G3399*E3399,2)</f>
        <v>48.21</v>
      </c>
      <c r="I3399" s="1642"/>
      <c r="J3399" s="1797"/>
      <c r="K3399" s="1797"/>
      <c r="L3399" s="1784"/>
      <c r="M3399" s="1785"/>
    </row>
    <row r="3400" spans="1:13" s="156" customFormat="1" ht="30" x14ac:dyDescent="0.2">
      <c r="A3400" s="2144">
        <v>88264</v>
      </c>
      <c r="B3400" s="2144"/>
      <c r="C3400" s="1516" t="s">
        <v>4448</v>
      </c>
      <c r="D3400" s="182" t="s">
        <v>81</v>
      </c>
      <c r="E3400" s="1527">
        <v>0.2</v>
      </c>
      <c r="F3400" s="1619" t="s">
        <v>65</v>
      </c>
      <c r="G3400" s="1529">
        <v>20.329999999999998</v>
      </c>
      <c r="H3400" s="1530">
        <f>ROUNDDOWN(G3400*E3400,2)</f>
        <v>4.0599999999999996</v>
      </c>
      <c r="I3400" s="1642"/>
      <c r="J3400" s="1797"/>
      <c r="K3400" s="1797"/>
      <c r="L3400" s="1784"/>
      <c r="M3400" s="1785"/>
    </row>
    <row r="3401" spans="1:13" s="156" customFormat="1" ht="30" x14ac:dyDescent="0.2">
      <c r="A3401" s="2144">
        <v>88316</v>
      </c>
      <c r="B3401" s="2144"/>
      <c r="C3401" s="1516" t="s">
        <v>4448</v>
      </c>
      <c r="D3401" s="182" t="s">
        <v>64</v>
      </c>
      <c r="E3401" s="1527">
        <v>0.2</v>
      </c>
      <c r="F3401" s="1619" t="s">
        <v>65</v>
      </c>
      <c r="G3401" s="1529">
        <v>15.08</v>
      </c>
      <c r="H3401" s="1530">
        <f>ROUNDDOWN(G3401*E3401,2)</f>
        <v>3.01</v>
      </c>
      <c r="I3401" s="1642"/>
      <c r="J3401" s="1797"/>
      <c r="K3401" s="1797"/>
      <c r="L3401" s="1784"/>
      <c r="M3401" s="1785"/>
    </row>
    <row r="3402" spans="1:13" s="1517" customFormat="1" x14ac:dyDescent="0.25">
      <c r="A3402" s="179"/>
      <c r="B3402" s="179"/>
      <c r="C3402" s="1531"/>
      <c r="D3402" s="2141" t="s">
        <v>124</v>
      </c>
      <c r="E3402" s="2141"/>
      <c r="F3402" s="2141"/>
      <c r="G3402" s="2141"/>
      <c r="H3402" s="267">
        <f>SUMIF(F3399:F3401,("h"),H3399:H3401)</f>
        <v>7.0699999999999994</v>
      </c>
      <c r="I3402" s="1830"/>
      <c r="J3402" s="1795"/>
      <c r="K3402" s="1795"/>
      <c r="L3402" s="169"/>
      <c r="M3402" s="1783"/>
    </row>
    <row r="3403" spans="1:13" s="1517" customFormat="1" x14ac:dyDescent="0.25">
      <c r="A3403" s="179"/>
      <c r="B3403" s="179"/>
      <c r="C3403" s="1531"/>
      <c r="D3403" s="2141" t="s">
        <v>125</v>
      </c>
      <c r="E3403" s="2141"/>
      <c r="F3403" s="2141"/>
      <c r="G3403" s="2141"/>
      <c r="H3403" s="267">
        <f>SUMIF(F3399:F3401,"&lt;&gt;h",H3399:H3401)</f>
        <v>48.21</v>
      </c>
      <c r="I3403" s="1830"/>
      <c r="J3403" s="1795"/>
      <c r="K3403" s="1795"/>
      <c r="L3403" s="169"/>
      <c r="M3403" s="1783"/>
    </row>
    <row r="3404" spans="1:13" s="1517" customFormat="1" x14ac:dyDescent="0.25">
      <c r="A3404" s="179"/>
      <c r="B3404" s="179"/>
      <c r="C3404" s="1531"/>
      <c r="D3404" s="2142" t="s">
        <v>126</v>
      </c>
      <c r="E3404" s="2142"/>
      <c r="F3404" s="2142"/>
      <c r="G3404" s="2142"/>
      <c r="H3404" s="1532">
        <f>SUM(H3402:H3403)</f>
        <v>55.28</v>
      </c>
      <c r="I3404" s="1830"/>
      <c r="J3404" s="1795"/>
      <c r="K3404" s="1795"/>
      <c r="L3404" s="169"/>
      <c r="M3404" s="1783"/>
    </row>
    <row r="3405" spans="1:13" s="1517" customFormat="1" x14ac:dyDescent="0.25">
      <c r="A3405" s="179"/>
      <c r="B3405" s="179"/>
      <c r="C3405" s="1531"/>
      <c r="D3405" s="2141" t="s">
        <v>28</v>
      </c>
      <c r="E3405" s="2141"/>
      <c r="F3405" s="2141"/>
      <c r="G3405" s="2141"/>
      <c r="H3405" s="269">
        <f>E3398</f>
        <v>5</v>
      </c>
      <c r="I3405" s="1830"/>
      <c r="J3405" s="1795"/>
      <c r="K3405" s="1795"/>
      <c r="L3405" s="169"/>
      <c r="M3405" s="1783"/>
    </row>
    <row r="3406" spans="1:13" s="1517" customFormat="1" x14ac:dyDescent="0.25">
      <c r="A3406" s="179"/>
      <c r="B3406" s="179"/>
      <c r="C3406" s="1531"/>
      <c r="D3406" s="2142" t="s">
        <v>127</v>
      </c>
      <c r="E3406" s="2142"/>
      <c r="F3406" s="2142"/>
      <c r="G3406" s="2142"/>
      <c r="H3406" s="1532">
        <f>ROUND(H3404*H3405,2)</f>
        <v>276.39999999999998</v>
      </c>
      <c r="I3406" s="1830"/>
      <c r="J3406" s="1795"/>
      <c r="K3406" s="1795"/>
      <c r="L3406" s="169"/>
      <c r="M3406" s="1783"/>
    </row>
    <row r="3407" spans="1:13" s="1517" customFormat="1" x14ac:dyDescent="0.25">
      <c r="A3407" s="179"/>
      <c r="B3407" s="179"/>
      <c r="C3407" s="1531"/>
      <c r="D3407" s="2141" t="s">
        <v>15335</v>
      </c>
      <c r="E3407" s="2141"/>
      <c r="F3407" s="2141"/>
      <c r="G3407" s="2141"/>
      <c r="H3407" s="267">
        <f>ROUND(H3404*$B$13,2)</f>
        <v>14.89</v>
      </c>
      <c r="I3407" s="1830"/>
      <c r="J3407" s="1795"/>
      <c r="K3407" s="1795"/>
      <c r="L3407" s="169"/>
      <c r="M3407" s="1783"/>
    </row>
    <row r="3408" spans="1:13" x14ac:dyDescent="0.25">
      <c r="A3408" s="179"/>
      <c r="B3408" s="179"/>
      <c r="C3408" s="1531"/>
      <c r="D3408" s="2142" t="s">
        <v>7898</v>
      </c>
      <c r="E3408" s="2142"/>
      <c r="F3408" s="2142"/>
      <c r="G3408" s="2142"/>
      <c r="H3408" s="1532">
        <f>H3407+H3404</f>
        <v>70.17</v>
      </c>
    </row>
    <row r="3409" spans="1:13" x14ac:dyDescent="0.25">
      <c r="A3409" s="1514"/>
      <c r="B3409" s="1514"/>
      <c r="C3409" s="1514"/>
      <c r="F3409" s="1533"/>
      <c r="G3409" s="1534"/>
      <c r="H3409" s="1514"/>
    </row>
    <row r="3410" spans="1:13" s="1517" customFormat="1" x14ac:dyDescent="0.25">
      <c r="A3410" s="146" t="s">
        <v>6</v>
      </c>
      <c r="B3410" s="2143" t="s">
        <v>7</v>
      </c>
      <c r="C3410" s="2143"/>
      <c r="D3410" s="1518" t="s">
        <v>121</v>
      </c>
      <c r="E3410" s="278" t="s">
        <v>5282</v>
      </c>
      <c r="F3410" s="1518" t="s">
        <v>31</v>
      </c>
      <c r="G3410" s="1519" t="s">
        <v>122</v>
      </c>
      <c r="H3410" s="1520" t="s">
        <v>123</v>
      </c>
      <c r="I3410" s="1830"/>
      <c r="J3410" s="1795"/>
      <c r="K3410" s="1795"/>
      <c r="L3410" s="169"/>
      <c r="M3410" s="1783"/>
    </row>
    <row r="3411" spans="1:13" s="1526" customFormat="1" ht="30" x14ac:dyDescent="0.2">
      <c r="A3411" s="1535" t="str">
        <f>'Orç - Prédio'!A596</f>
        <v>06.01.309.12</v>
      </c>
      <c r="B3411" s="1535" t="str">
        <f>'Orç - Prédio'!B596</f>
        <v>ORSE</v>
      </c>
      <c r="C3411" s="1535">
        <f>'Orç - Prédio'!C596</f>
        <v>8687</v>
      </c>
      <c r="D3411" s="1536" t="s">
        <v>7172</v>
      </c>
      <c r="E3411" s="1523">
        <f>'Orç - Prédio'!E596</f>
        <v>33</v>
      </c>
      <c r="F3411" s="1535" t="s">
        <v>5284</v>
      </c>
      <c r="G3411" s="1621">
        <v>29.32</v>
      </c>
      <c r="H3411" s="1525">
        <f>H3419</f>
        <v>967.56</v>
      </c>
      <c r="I3411" s="1910" t="s">
        <v>14965</v>
      </c>
      <c r="J3411" s="1793"/>
      <c r="K3411" s="1793"/>
      <c r="L3411" s="141"/>
      <c r="M3411" s="1515"/>
    </row>
    <row r="3412" spans="1:13" s="156" customFormat="1" ht="30" x14ac:dyDescent="0.2">
      <c r="A3412" s="2144">
        <v>4096</v>
      </c>
      <c r="B3412" s="2144"/>
      <c r="C3412" s="1516" t="s">
        <v>5281</v>
      </c>
      <c r="D3412" s="182" t="s">
        <v>7192</v>
      </c>
      <c r="E3412" s="1527">
        <v>1</v>
      </c>
      <c r="F3412" s="1619" t="s">
        <v>31</v>
      </c>
      <c r="G3412" s="367">
        <v>22.25</v>
      </c>
      <c r="H3412" s="1530">
        <f>ROUNDDOWN(G3412*E3412,2)</f>
        <v>22.25</v>
      </c>
      <c r="I3412" s="1642"/>
      <c r="J3412" s="1797"/>
      <c r="K3412" s="1797"/>
      <c r="L3412" s="1784"/>
      <c r="M3412" s="1785"/>
    </row>
    <row r="3413" spans="1:13" s="156" customFormat="1" ht="30" x14ac:dyDescent="0.2">
      <c r="A3413" s="2144">
        <v>88264</v>
      </c>
      <c r="B3413" s="2144"/>
      <c r="C3413" s="1516" t="s">
        <v>4448</v>
      </c>
      <c r="D3413" s="182" t="s">
        <v>81</v>
      </c>
      <c r="E3413" s="1527">
        <v>0.2</v>
      </c>
      <c r="F3413" s="1619" t="s">
        <v>65</v>
      </c>
      <c r="G3413" s="1529">
        <v>20.329999999999998</v>
      </c>
      <c r="H3413" s="1530">
        <f>ROUNDDOWN(G3413*E3413,2)</f>
        <v>4.0599999999999996</v>
      </c>
      <c r="I3413" s="1642"/>
      <c r="J3413" s="1797"/>
      <c r="K3413" s="1797"/>
      <c r="L3413" s="1784"/>
      <c r="M3413" s="1785"/>
    </row>
    <row r="3414" spans="1:13" s="156" customFormat="1" ht="30" x14ac:dyDescent="0.2">
      <c r="A3414" s="2144">
        <v>88316</v>
      </c>
      <c r="B3414" s="2144"/>
      <c r="C3414" s="1516" t="s">
        <v>4448</v>
      </c>
      <c r="D3414" s="182" t="s">
        <v>64</v>
      </c>
      <c r="E3414" s="1527">
        <v>0.2</v>
      </c>
      <c r="F3414" s="1619" t="s">
        <v>65</v>
      </c>
      <c r="G3414" s="1529">
        <v>15.08</v>
      </c>
      <c r="H3414" s="1530">
        <f>ROUNDDOWN(G3414*E3414,2)</f>
        <v>3.01</v>
      </c>
      <c r="I3414" s="1642"/>
      <c r="J3414" s="1797"/>
      <c r="K3414" s="1797"/>
      <c r="L3414" s="1784"/>
      <c r="M3414" s="1785"/>
    </row>
    <row r="3415" spans="1:13" s="1517" customFormat="1" x14ac:dyDescent="0.25">
      <c r="A3415" s="179"/>
      <c r="B3415" s="179"/>
      <c r="C3415" s="1531"/>
      <c r="D3415" s="2141" t="s">
        <v>124</v>
      </c>
      <c r="E3415" s="2141"/>
      <c r="F3415" s="2141"/>
      <c r="G3415" s="2141"/>
      <c r="H3415" s="267">
        <f>SUMIF(F3412:F3414,("h"),H3412:H3414)</f>
        <v>7.0699999999999994</v>
      </c>
      <c r="I3415" s="1830"/>
      <c r="J3415" s="1795"/>
      <c r="K3415" s="1795"/>
      <c r="L3415" s="169"/>
      <c r="M3415" s="1783"/>
    </row>
    <row r="3416" spans="1:13" s="1517" customFormat="1" x14ac:dyDescent="0.25">
      <c r="A3416" s="179"/>
      <c r="B3416" s="179"/>
      <c r="C3416" s="1531"/>
      <c r="D3416" s="2141" t="s">
        <v>125</v>
      </c>
      <c r="E3416" s="2141"/>
      <c r="F3416" s="2141"/>
      <c r="G3416" s="2141"/>
      <c r="H3416" s="267">
        <f>SUMIF(F3412:F3414,"&lt;&gt;h",H3412:H3414)</f>
        <v>22.25</v>
      </c>
      <c r="I3416" s="1830"/>
      <c r="J3416" s="1795"/>
      <c r="K3416" s="1795"/>
      <c r="L3416" s="169"/>
      <c r="M3416" s="1783"/>
    </row>
    <row r="3417" spans="1:13" s="1517" customFormat="1" x14ac:dyDescent="0.25">
      <c r="A3417" s="179"/>
      <c r="B3417" s="179"/>
      <c r="C3417" s="1531"/>
      <c r="D3417" s="2142" t="s">
        <v>126</v>
      </c>
      <c r="E3417" s="2142"/>
      <c r="F3417" s="2142"/>
      <c r="G3417" s="2142"/>
      <c r="H3417" s="1532">
        <f>SUM(H3415:H3416)</f>
        <v>29.32</v>
      </c>
      <c r="I3417" s="1830"/>
      <c r="J3417" s="1795"/>
      <c r="K3417" s="1795"/>
      <c r="L3417" s="169"/>
      <c r="M3417" s="1783"/>
    </row>
    <row r="3418" spans="1:13" s="1517" customFormat="1" x14ac:dyDescent="0.25">
      <c r="A3418" s="179"/>
      <c r="B3418" s="179"/>
      <c r="C3418" s="1531"/>
      <c r="D3418" s="2141" t="s">
        <v>28</v>
      </c>
      <c r="E3418" s="2141"/>
      <c r="F3418" s="2141"/>
      <c r="G3418" s="2141"/>
      <c r="H3418" s="269">
        <f>E3411</f>
        <v>33</v>
      </c>
      <c r="I3418" s="1830"/>
      <c r="J3418" s="1795"/>
      <c r="K3418" s="1795"/>
      <c r="L3418" s="169"/>
      <c r="M3418" s="1783"/>
    </row>
    <row r="3419" spans="1:13" s="1517" customFormat="1" x14ac:dyDescent="0.25">
      <c r="A3419" s="179"/>
      <c r="B3419" s="179"/>
      <c r="C3419" s="1531"/>
      <c r="D3419" s="2142" t="s">
        <v>127</v>
      </c>
      <c r="E3419" s="2142"/>
      <c r="F3419" s="2142"/>
      <c r="G3419" s="2142"/>
      <c r="H3419" s="1532">
        <f>ROUND(H3417*H3418,2)</f>
        <v>967.56</v>
      </c>
      <c r="I3419" s="1830"/>
      <c r="J3419" s="1795"/>
      <c r="K3419" s="1795"/>
      <c r="L3419" s="169"/>
      <c r="M3419" s="1783"/>
    </row>
    <row r="3420" spans="1:13" s="1517" customFormat="1" x14ac:dyDescent="0.25">
      <c r="A3420" s="179"/>
      <c r="B3420" s="179"/>
      <c r="C3420" s="1531"/>
      <c r="D3420" s="2141" t="s">
        <v>15335</v>
      </c>
      <c r="E3420" s="2141"/>
      <c r="F3420" s="2141"/>
      <c r="G3420" s="2141"/>
      <c r="H3420" s="267">
        <f>ROUND(H3417*$B$13,2)</f>
        <v>7.9</v>
      </c>
      <c r="I3420" s="1830"/>
      <c r="J3420" s="1795"/>
      <c r="K3420" s="1795"/>
      <c r="L3420" s="169"/>
      <c r="M3420" s="1783"/>
    </row>
    <row r="3421" spans="1:13" x14ac:dyDescent="0.25">
      <c r="A3421" s="179"/>
      <c r="B3421" s="179"/>
      <c r="C3421" s="1531"/>
      <c r="D3421" s="2142" t="s">
        <v>7898</v>
      </c>
      <c r="E3421" s="2142"/>
      <c r="F3421" s="2142"/>
      <c r="G3421" s="2142"/>
      <c r="H3421" s="1532">
        <f>H3420+H3417</f>
        <v>37.22</v>
      </c>
    </row>
    <row r="3422" spans="1:13" x14ac:dyDescent="0.25">
      <c r="A3422" s="1514"/>
      <c r="B3422" s="1514"/>
      <c r="C3422" s="1514"/>
      <c r="F3422" s="1533"/>
      <c r="G3422" s="1534"/>
      <c r="H3422" s="1514"/>
    </row>
    <row r="3423" spans="1:13" s="1517" customFormat="1" x14ac:dyDescent="0.25">
      <c r="A3423" s="146" t="s">
        <v>6</v>
      </c>
      <c r="B3423" s="2143" t="s">
        <v>7</v>
      </c>
      <c r="C3423" s="2143"/>
      <c r="D3423" s="1518" t="s">
        <v>121</v>
      </c>
      <c r="E3423" s="278" t="s">
        <v>5282</v>
      </c>
      <c r="F3423" s="1518" t="s">
        <v>31</v>
      </c>
      <c r="G3423" s="1519" t="s">
        <v>122</v>
      </c>
      <c r="H3423" s="1520" t="s">
        <v>123</v>
      </c>
      <c r="I3423" s="1830"/>
      <c r="J3423" s="1795"/>
      <c r="K3423" s="1795"/>
      <c r="L3423" s="169"/>
      <c r="M3423" s="1783"/>
    </row>
    <row r="3424" spans="1:13" s="1526" customFormat="1" ht="30" x14ac:dyDescent="0.2">
      <c r="A3424" s="1535" t="str">
        <f>'Orç - Prédio'!A597</f>
        <v>06.01.309.13</v>
      </c>
      <c r="B3424" s="1535" t="str">
        <f>'Orç - Prédio'!B597</f>
        <v>ORSE</v>
      </c>
      <c r="C3424" s="1535">
        <f>'Orç - Prédio'!C597</f>
        <v>12804</v>
      </c>
      <c r="D3424" s="1536" t="s">
        <v>7173</v>
      </c>
      <c r="E3424" s="1523">
        <f>'Orç - Prédio'!E597</f>
        <v>2</v>
      </c>
      <c r="F3424" s="1535" t="s">
        <v>5284</v>
      </c>
      <c r="G3424" s="1621">
        <v>67.06</v>
      </c>
      <c r="H3424" s="1525">
        <f>H3432</f>
        <v>134.12</v>
      </c>
      <c r="I3424" s="1910" t="s">
        <v>14965</v>
      </c>
      <c r="J3424" s="1793"/>
      <c r="K3424" s="1793"/>
      <c r="L3424" s="141"/>
      <c r="M3424" s="1515"/>
    </row>
    <row r="3425" spans="1:13" s="156" customFormat="1" ht="30" x14ac:dyDescent="0.2">
      <c r="A3425" s="2144">
        <v>3993</v>
      </c>
      <c r="B3425" s="2144"/>
      <c r="C3425" s="1516" t="s">
        <v>5281</v>
      </c>
      <c r="D3425" s="182" t="s">
        <v>7195</v>
      </c>
      <c r="E3425" s="1527">
        <v>1</v>
      </c>
      <c r="F3425" s="1619" t="s">
        <v>31</v>
      </c>
      <c r="G3425" s="367">
        <v>59.99</v>
      </c>
      <c r="H3425" s="1530">
        <f>ROUNDDOWN(G3425*E3425,2)</f>
        <v>59.99</v>
      </c>
      <c r="I3425" s="1642"/>
      <c r="J3425" s="1797"/>
      <c r="K3425" s="1797"/>
      <c r="L3425" s="1784"/>
      <c r="M3425" s="1785"/>
    </row>
    <row r="3426" spans="1:13" s="156" customFormat="1" ht="30" x14ac:dyDescent="0.2">
      <c r="A3426" s="2144">
        <v>88264</v>
      </c>
      <c r="B3426" s="2144"/>
      <c r="C3426" s="1516" t="s">
        <v>4448</v>
      </c>
      <c r="D3426" s="182" t="s">
        <v>81</v>
      </c>
      <c r="E3426" s="1527">
        <v>0.2</v>
      </c>
      <c r="F3426" s="1619" t="s">
        <v>65</v>
      </c>
      <c r="G3426" s="1529">
        <v>20.329999999999998</v>
      </c>
      <c r="H3426" s="1530">
        <f>ROUNDDOWN(G3426*E3426,2)</f>
        <v>4.0599999999999996</v>
      </c>
      <c r="I3426" s="1642"/>
      <c r="J3426" s="1797"/>
      <c r="K3426" s="1797"/>
      <c r="L3426" s="1784"/>
      <c r="M3426" s="1785"/>
    </row>
    <row r="3427" spans="1:13" s="156" customFormat="1" ht="30" x14ac:dyDescent="0.2">
      <c r="A3427" s="2144">
        <v>88316</v>
      </c>
      <c r="B3427" s="2144"/>
      <c r="C3427" s="1516" t="s">
        <v>4448</v>
      </c>
      <c r="D3427" s="182" t="s">
        <v>64</v>
      </c>
      <c r="E3427" s="1527">
        <v>0.2</v>
      </c>
      <c r="F3427" s="1619" t="s">
        <v>65</v>
      </c>
      <c r="G3427" s="1529">
        <v>15.08</v>
      </c>
      <c r="H3427" s="1530">
        <f>ROUNDDOWN(G3427*E3427,2)</f>
        <v>3.01</v>
      </c>
      <c r="I3427" s="1642"/>
      <c r="J3427" s="1797"/>
      <c r="K3427" s="1797"/>
      <c r="L3427" s="1784"/>
      <c r="M3427" s="1785"/>
    </row>
    <row r="3428" spans="1:13" s="1517" customFormat="1" x14ac:dyDescent="0.25">
      <c r="A3428" s="179"/>
      <c r="B3428" s="179"/>
      <c r="C3428" s="1531"/>
      <c r="D3428" s="2141" t="s">
        <v>124</v>
      </c>
      <c r="E3428" s="2141"/>
      <c r="F3428" s="2141"/>
      <c r="G3428" s="2141"/>
      <c r="H3428" s="267">
        <f>SUMIF(F3425:F3427,("h"),H3425:H3427)</f>
        <v>7.0699999999999994</v>
      </c>
      <c r="I3428" s="1830"/>
      <c r="J3428" s="1795"/>
      <c r="K3428" s="1795"/>
      <c r="L3428" s="169"/>
      <c r="M3428" s="1783"/>
    </row>
    <row r="3429" spans="1:13" s="1517" customFormat="1" x14ac:dyDescent="0.25">
      <c r="A3429" s="179"/>
      <c r="B3429" s="179"/>
      <c r="C3429" s="1531"/>
      <c r="D3429" s="2141" t="s">
        <v>125</v>
      </c>
      <c r="E3429" s="2141"/>
      <c r="F3429" s="2141"/>
      <c r="G3429" s="2141"/>
      <c r="H3429" s="267">
        <f>SUMIF(F3425:F3427,"&lt;&gt;h",H3425:H3427)</f>
        <v>59.99</v>
      </c>
      <c r="I3429" s="1830"/>
      <c r="J3429" s="1795"/>
      <c r="K3429" s="1795"/>
      <c r="L3429" s="169"/>
      <c r="M3429" s="1783"/>
    </row>
    <row r="3430" spans="1:13" s="1517" customFormat="1" x14ac:dyDescent="0.25">
      <c r="A3430" s="179"/>
      <c r="B3430" s="179"/>
      <c r="C3430" s="1531"/>
      <c r="D3430" s="2142" t="s">
        <v>126</v>
      </c>
      <c r="E3430" s="2142"/>
      <c r="F3430" s="2142"/>
      <c r="G3430" s="2142"/>
      <c r="H3430" s="1532">
        <f>SUM(H3428:H3429)</f>
        <v>67.06</v>
      </c>
      <c r="I3430" s="1830"/>
      <c r="J3430" s="1795"/>
      <c r="K3430" s="1795"/>
      <c r="L3430" s="169"/>
      <c r="M3430" s="1783"/>
    </row>
    <row r="3431" spans="1:13" s="1517" customFormat="1" x14ac:dyDescent="0.25">
      <c r="A3431" s="179"/>
      <c r="B3431" s="179"/>
      <c r="C3431" s="1531"/>
      <c r="D3431" s="2141" t="s">
        <v>28</v>
      </c>
      <c r="E3431" s="2141"/>
      <c r="F3431" s="2141"/>
      <c r="G3431" s="2141"/>
      <c r="H3431" s="269">
        <f>E3424</f>
        <v>2</v>
      </c>
      <c r="I3431" s="1830"/>
      <c r="J3431" s="1795"/>
      <c r="K3431" s="1795"/>
      <c r="L3431" s="169"/>
      <c r="M3431" s="1783"/>
    </row>
    <row r="3432" spans="1:13" s="1517" customFormat="1" x14ac:dyDescent="0.25">
      <c r="A3432" s="179"/>
      <c r="B3432" s="179"/>
      <c r="C3432" s="1531"/>
      <c r="D3432" s="2142" t="s">
        <v>127</v>
      </c>
      <c r="E3432" s="2142"/>
      <c r="F3432" s="2142"/>
      <c r="G3432" s="2142"/>
      <c r="H3432" s="1532">
        <f>ROUND(H3430*H3431,2)</f>
        <v>134.12</v>
      </c>
      <c r="I3432" s="1830"/>
      <c r="J3432" s="1795"/>
      <c r="K3432" s="1795"/>
      <c r="L3432" s="169"/>
      <c r="M3432" s="1783"/>
    </row>
    <row r="3433" spans="1:13" s="1517" customFormat="1" x14ac:dyDescent="0.25">
      <c r="A3433" s="179"/>
      <c r="B3433" s="179"/>
      <c r="C3433" s="1531"/>
      <c r="D3433" s="2141" t="s">
        <v>15335</v>
      </c>
      <c r="E3433" s="2141"/>
      <c r="F3433" s="2141"/>
      <c r="G3433" s="2141"/>
      <c r="H3433" s="267">
        <f>ROUND(H3430*$B$13,2)</f>
        <v>18.059999999999999</v>
      </c>
      <c r="I3433" s="1830"/>
      <c r="J3433" s="1795"/>
      <c r="K3433" s="1795"/>
      <c r="L3433" s="169"/>
      <c r="M3433" s="1783"/>
    </row>
    <row r="3434" spans="1:13" x14ac:dyDescent="0.25">
      <c r="A3434" s="179"/>
      <c r="B3434" s="179"/>
      <c r="C3434" s="1531"/>
      <c r="D3434" s="2142" t="s">
        <v>7898</v>
      </c>
      <c r="E3434" s="2142"/>
      <c r="F3434" s="2142"/>
      <c r="G3434" s="2142"/>
      <c r="H3434" s="1532">
        <f>H3433+H3430</f>
        <v>85.12</v>
      </c>
    </row>
    <row r="3435" spans="1:13" x14ac:dyDescent="0.25">
      <c r="A3435" s="1514"/>
      <c r="B3435" s="1514"/>
      <c r="C3435" s="1514"/>
      <c r="F3435" s="1533"/>
      <c r="G3435" s="1534"/>
      <c r="H3435" s="1514"/>
    </row>
    <row r="3436" spans="1:13" s="1517" customFormat="1" x14ac:dyDescent="0.25">
      <c r="A3436" s="146" t="s">
        <v>6</v>
      </c>
      <c r="B3436" s="2143" t="s">
        <v>7</v>
      </c>
      <c r="C3436" s="2143"/>
      <c r="D3436" s="1518" t="s">
        <v>121</v>
      </c>
      <c r="E3436" s="278" t="s">
        <v>5282</v>
      </c>
      <c r="F3436" s="1518" t="s">
        <v>31</v>
      </c>
      <c r="G3436" s="1519" t="s">
        <v>122</v>
      </c>
      <c r="H3436" s="1520" t="s">
        <v>123</v>
      </c>
      <c r="I3436" s="1830"/>
      <c r="J3436" s="1795"/>
      <c r="K3436" s="1795"/>
      <c r="L3436" s="169"/>
      <c r="M3436" s="1783"/>
    </row>
    <row r="3437" spans="1:13" s="1526" customFormat="1" ht="30" x14ac:dyDescent="0.2">
      <c r="A3437" s="1535" t="str">
        <f>'Orç - Prédio'!A598</f>
        <v>06.01.309.14</v>
      </c>
      <c r="B3437" s="1535" t="str">
        <f>'Orç - Prédio'!B598</f>
        <v>ORSE</v>
      </c>
      <c r="C3437" s="1535" t="str">
        <f>'Orç - Prédio'!C598</f>
        <v>12804 MOD</v>
      </c>
      <c r="D3437" s="1536" t="s">
        <v>8996</v>
      </c>
      <c r="E3437" s="1866">
        <f>'Orç - Prédio'!E598</f>
        <v>6.5</v>
      </c>
      <c r="F3437" s="1535" t="s">
        <v>5284</v>
      </c>
      <c r="G3437" s="1621">
        <v>63.08</v>
      </c>
      <c r="H3437" s="1525">
        <f>H3445</f>
        <v>410.02</v>
      </c>
      <c r="I3437" s="1910" t="s">
        <v>14965</v>
      </c>
      <c r="J3437" s="1793"/>
      <c r="K3437" s="1793"/>
      <c r="L3437" s="141"/>
      <c r="M3437" s="1515"/>
    </row>
    <row r="3438" spans="1:13" s="1859" customFormat="1" ht="30" x14ac:dyDescent="0.2">
      <c r="A3438" s="2144">
        <v>3991</v>
      </c>
      <c r="B3438" s="2144"/>
      <c r="C3438" s="1863" t="s">
        <v>5281</v>
      </c>
      <c r="D3438" s="1862" t="s">
        <v>8998</v>
      </c>
      <c r="E3438" s="1864">
        <v>3</v>
      </c>
      <c r="F3438" s="1881" t="s">
        <v>136</v>
      </c>
      <c r="G3438" s="367">
        <v>18.670000000000002</v>
      </c>
      <c r="H3438" s="1857">
        <f>ROUNDDOWN(G3438*E3438,2)</f>
        <v>56.01</v>
      </c>
      <c r="I3438" s="1856"/>
      <c r="J3438" s="1797"/>
      <c r="K3438" s="1797"/>
      <c r="L3438" s="1784"/>
      <c r="M3438" s="1785"/>
    </row>
    <row r="3439" spans="1:13" s="1859" customFormat="1" ht="30" x14ac:dyDescent="0.2">
      <c r="A3439" s="2144">
        <v>88264</v>
      </c>
      <c r="B3439" s="2144"/>
      <c r="C3439" s="1863" t="s">
        <v>4448</v>
      </c>
      <c r="D3439" s="1862" t="s">
        <v>81</v>
      </c>
      <c r="E3439" s="1864">
        <v>0.2</v>
      </c>
      <c r="F3439" s="1881" t="s">
        <v>65</v>
      </c>
      <c r="G3439" s="1860">
        <v>20.329999999999998</v>
      </c>
      <c r="H3439" s="1857">
        <f>ROUNDDOWN(G3439*E3439,2)</f>
        <v>4.0599999999999996</v>
      </c>
      <c r="I3439" s="1856"/>
      <c r="J3439" s="1797"/>
      <c r="K3439" s="1797"/>
      <c r="L3439" s="1784"/>
      <c r="M3439" s="1785"/>
    </row>
    <row r="3440" spans="1:13" s="1859" customFormat="1" ht="30" x14ac:dyDescent="0.2">
      <c r="A3440" s="2144">
        <v>88316</v>
      </c>
      <c r="B3440" s="2144"/>
      <c r="C3440" s="1863" t="s">
        <v>4448</v>
      </c>
      <c r="D3440" s="1862" t="s">
        <v>64</v>
      </c>
      <c r="E3440" s="1864">
        <v>0.2</v>
      </c>
      <c r="F3440" s="1881" t="s">
        <v>65</v>
      </c>
      <c r="G3440" s="1860">
        <v>15.08</v>
      </c>
      <c r="H3440" s="1857">
        <f>ROUNDDOWN(G3440*E3440,2)</f>
        <v>3.01</v>
      </c>
      <c r="I3440" s="1856"/>
      <c r="J3440" s="1797"/>
      <c r="K3440" s="1797"/>
      <c r="L3440" s="1784"/>
      <c r="M3440" s="1785"/>
    </row>
    <row r="3441" spans="1:13" s="1517" customFormat="1" x14ac:dyDescent="0.25">
      <c r="A3441" s="1847"/>
      <c r="B3441" s="1847"/>
      <c r="C3441" s="1531"/>
      <c r="D3441" s="2141" t="s">
        <v>124</v>
      </c>
      <c r="E3441" s="2141"/>
      <c r="F3441" s="2141"/>
      <c r="G3441" s="2141"/>
      <c r="H3441" s="267">
        <f>SUMIF(F3438:F3440,("h"),H3438:H3440)</f>
        <v>7.0699999999999994</v>
      </c>
      <c r="I3441" s="1830"/>
      <c r="J3441" s="1795"/>
      <c r="K3441" s="1795"/>
      <c r="L3441" s="169"/>
      <c r="M3441" s="1783"/>
    </row>
    <row r="3442" spans="1:13" s="1517" customFormat="1" x14ac:dyDescent="0.25">
      <c r="A3442" s="1847"/>
      <c r="B3442" s="1847"/>
      <c r="C3442" s="1531"/>
      <c r="D3442" s="2141" t="s">
        <v>125</v>
      </c>
      <c r="E3442" s="2141"/>
      <c r="F3442" s="2141"/>
      <c r="G3442" s="2141"/>
      <c r="H3442" s="267">
        <f>SUMIF(F3438:F3440,"&lt;&gt;h",H3438:H3440)</f>
        <v>56.01</v>
      </c>
      <c r="I3442" s="1830"/>
      <c r="J3442" s="1795"/>
      <c r="K3442" s="1795"/>
      <c r="L3442" s="169"/>
      <c r="M3442" s="1783"/>
    </row>
    <row r="3443" spans="1:13" s="1517" customFormat="1" x14ac:dyDescent="0.25">
      <c r="A3443" s="1847"/>
      <c r="B3443" s="1847"/>
      <c r="C3443" s="1531"/>
      <c r="D3443" s="2142" t="s">
        <v>126</v>
      </c>
      <c r="E3443" s="2142"/>
      <c r="F3443" s="2142"/>
      <c r="G3443" s="2142"/>
      <c r="H3443" s="1532">
        <f>SUM(H3441:H3442)</f>
        <v>63.08</v>
      </c>
      <c r="I3443" s="1830"/>
      <c r="J3443" s="1795"/>
      <c r="K3443" s="1795"/>
      <c r="L3443" s="169"/>
      <c r="M3443" s="1783"/>
    </row>
    <row r="3444" spans="1:13" s="1517" customFormat="1" x14ac:dyDescent="0.25">
      <c r="A3444" s="1847"/>
      <c r="B3444" s="1847"/>
      <c r="C3444" s="1531"/>
      <c r="D3444" s="2141" t="s">
        <v>28</v>
      </c>
      <c r="E3444" s="2141"/>
      <c r="F3444" s="2141"/>
      <c r="G3444" s="2141"/>
      <c r="H3444" s="269">
        <f>E3437</f>
        <v>6.5</v>
      </c>
      <c r="I3444" s="1830"/>
      <c r="J3444" s="1795"/>
      <c r="K3444" s="1795"/>
      <c r="L3444" s="169"/>
      <c r="M3444" s="1783"/>
    </row>
    <row r="3445" spans="1:13" s="1517" customFormat="1" x14ac:dyDescent="0.25">
      <c r="A3445" s="1847"/>
      <c r="B3445" s="1847"/>
      <c r="C3445" s="1531"/>
      <c r="D3445" s="2142" t="s">
        <v>127</v>
      </c>
      <c r="E3445" s="2142"/>
      <c r="F3445" s="2142"/>
      <c r="G3445" s="2142"/>
      <c r="H3445" s="1532">
        <f>ROUND(H3443*H3444,2)</f>
        <v>410.02</v>
      </c>
      <c r="I3445" s="1830"/>
      <c r="J3445" s="1795"/>
      <c r="K3445" s="1795"/>
      <c r="L3445" s="169"/>
      <c r="M3445" s="1783"/>
    </row>
    <row r="3446" spans="1:13" s="1517" customFormat="1" x14ac:dyDescent="0.25">
      <c r="A3446" s="1847"/>
      <c r="B3446" s="1847"/>
      <c r="C3446" s="1531"/>
      <c r="D3446" s="2141" t="s">
        <v>15335</v>
      </c>
      <c r="E3446" s="2141"/>
      <c r="F3446" s="2141"/>
      <c r="G3446" s="2141"/>
      <c r="H3446" s="267">
        <f>ROUND(H3443*$B$13,2)</f>
        <v>16.989999999999998</v>
      </c>
      <c r="I3446" s="1830"/>
      <c r="J3446" s="1795"/>
      <c r="K3446" s="1795"/>
      <c r="L3446" s="169"/>
      <c r="M3446" s="1783"/>
    </row>
    <row r="3447" spans="1:13" x14ac:dyDescent="0.25">
      <c r="A3447" s="1847"/>
      <c r="B3447" s="1847"/>
      <c r="C3447" s="1531"/>
      <c r="D3447" s="2142" t="s">
        <v>7898</v>
      </c>
      <c r="E3447" s="2142"/>
      <c r="F3447" s="2142"/>
      <c r="G3447" s="2142"/>
      <c r="H3447" s="1532">
        <f>H3446+H3443</f>
        <v>80.069999999999993</v>
      </c>
    </row>
    <row r="3448" spans="1:13" x14ac:dyDescent="0.25">
      <c r="A3448" s="1514"/>
      <c r="B3448" s="1514"/>
      <c r="C3448" s="1514"/>
      <c r="F3448" s="1533"/>
      <c r="G3448" s="1534"/>
      <c r="H3448" s="1514"/>
    </row>
    <row r="3449" spans="1:13" s="1517" customFormat="1" x14ac:dyDescent="0.25">
      <c r="A3449" s="146" t="s">
        <v>6</v>
      </c>
      <c r="B3449" s="2143" t="s">
        <v>7</v>
      </c>
      <c r="C3449" s="2143"/>
      <c r="D3449" s="1518" t="s">
        <v>121</v>
      </c>
      <c r="E3449" s="278" t="s">
        <v>5282</v>
      </c>
      <c r="F3449" s="1518" t="s">
        <v>31</v>
      </c>
      <c r="G3449" s="1519" t="s">
        <v>122</v>
      </c>
      <c r="H3449" s="1520" t="s">
        <v>123</v>
      </c>
      <c r="I3449" s="1830"/>
      <c r="J3449" s="1795"/>
      <c r="K3449" s="1795"/>
      <c r="L3449" s="169"/>
      <c r="M3449" s="1783"/>
    </row>
    <row r="3450" spans="1:13" s="1526" customFormat="1" ht="30" x14ac:dyDescent="0.2">
      <c r="A3450" s="1535" t="str">
        <f>'Orç - Prédio'!A599</f>
        <v>06.01.309.15</v>
      </c>
      <c r="B3450" s="1535" t="str">
        <f>'Orç - Prédio'!B599</f>
        <v>ORSE</v>
      </c>
      <c r="C3450" s="1535">
        <f>'Orç - Prédio'!C599</f>
        <v>12523</v>
      </c>
      <c r="D3450" s="1536" t="s">
        <v>7174</v>
      </c>
      <c r="E3450" s="1866">
        <f>'Orç - Prédio'!E599</f>
        <v>12</v>
      </c>
      <c r="F3450" s="1535" t="s">
        <v>5284</v>
      </c>
      <c r="G3450" s="1621">
        <v>57.15</v>
      </c>
      <c r="H3450" s="1525">
        <f>H3458</f>
        <v>685.8</v>
      </c>
      <c r="I3450" s="1910" t="s">
        <v>14965</v>
      </c>
      <c r="J3450" s="1793"/>
      <c r="K3450" s="1793"/>
      <c r="L3450" s="141"/>
      <c r="M3450" s="1515"/>
    </row>
    <row r="3451" spans="1:13" s="156" customFormat="1" ht="30" x14ac:dyDescent="0.2">
      <c r="A3451" s="2144">
        <v>13301</v>
      </c>
      <c r="B3451" s="2144"/>
      <c r="C3451" s="1516" t="s">
        <v>5281</v>
      </c>
      <c r="D3451" s="182" t="s">
        <v>7196</v>
      </c>
      <c r="E3451" s="1527">
        <v>1</v>
      </c>
      <c r="F3451" s="1619" t="s">
        <v>31</v>
      </c>
      <c r="G3451" s="367">
        <v>50.08</v>
      </c>
      <c r="H3451" s="1530">
        <f>ROUNDDOWN(G3451*E3451,2)</f>
        <v>50.08</v>
      </c>
      <c r="I3451" s="1642"/>
      <c r="J3451" s="1797"/>
      <c r="K3451" s="1797"/>
      <c r="L3451" s="1784"/>
      <c r="M3451" s="1785"/>
    </row>
    <row r="3452" spans="1:13" s="156" customFormat="1" ht="30" x14ac:dyDescent="0.2">
      <c r="A3452" s="2144">
        <v>88264</v>
      </c>
      <c r="B3452" s="2144"/>
      <c r="C3452" s="1516" t="s">
        <v>4448</v>
      </c>
      <c r="D3452" s="182" t="s">
        <v>81</v>
      </c>
      <c r="E3452" s="1527">
        <v>0.2</v>
      </c>
      <c r="F3452" s="1619" t="s">
        <v>65</v>
      </c>
      <c r="G3452" s="1529">
        <v>20.329999999999998</v>
      </c>
      <c r="H3452" s="1530">
        <f>ROUNDDOWN(G3452*E3452,2)</f>
        <v>4.0599999999999996</v>
      </c>
      <c r="I3452" s="1642"/>
      <c r="J3452" s="1797"/>
      <c r="K3452" s="1797"/>
      <c r="L3452" s="1784"/>
      <c r="M3452" s="1785"/>
    </row>
    <row r="3453" spans="1:13" s="156" customFormat="1" ht="30" x14ac:dyDescent="0.2">
      <c r="A3453" s="2144">
        <v>88316</v>
      </c>
      <c r="B3453" s="2144"/>
      <c r="C3453" s="1516" t="s">
        <v>4448</v>
      </c>
      <c r="D3453" s="182" t="s">
        <v>64</v>
      </c>
      <c r="E3453" s="1527">
        <v>0.2</v>
      </c>
      <c r="F3453" s="1619" t="s">
        <v>65</v>
      </c>
      <c r="G3453" s="1529">
        <v>15.08</v>
      </c>
      <c r="H3453" s="1530">
        <f>ROUNDDOWN(G3453*E3453,2)</f>
        <v>3.01</v>
      </c>
      <c r="I3453" s="1642"/>
      <c r="J3453" s="1797"/>
      <c r="K3453" s="1797"/>
      <c r="L3453" s="1784"/>
      <c r="M3453" s="1785"/>
    </row>
    <row r="3454" spans="1:13" s="1517" customFormat="1" x14ac:dyDescent="0.25">
      <c r="A3454" s="179"/>
      <c r="B3454" s="179"/>
      <c r="C3454" s="1531"/>
      <c r="D3454" s="2141" t="s">
        <v>124</v>
      </c>
      <c r="E3454" s="2141"/>
      <c r="F3454" s="2141"/>
      <c r="G3454" s="2141"/>
      <c r="H3454" s="267">
        <f>SUMIF(F3451:F3453,("h"),H3451:H3453)</f>
        <v>7.0699999999999994</v>
      </c>
      <c r="I3454" s="1830"/>
      <c r="J3454" s="1795"/>
      <c r="K3454" s="1795"/>
      <c r="L3454" s="169"/>
      <c r="M3454" s="1783"/>
    </row>
    <row r="3455" spans="1:13" s="1517" customFormat="1" x14ac:dyDescent="0.25">
      <c r="A3455" s="179"/>
      <c r="B3455" s="179"/>
      <c r="C3455" s="1531"/>
      <c r="D3455" s="2141" t="s">
        <v>125</v>
      </c>
      <c r="E3455" s="2141"/>
      <c r="F3455" s="2141"/>
      <c r="G3455" s="2141"/>
      <c r="H3455" s="267">
        <f>SUMIF(F3451:F3453,"&lt;&gt;h",H3451:H3453)</f>
        <v>50.08</v>
      </c>
      <c r="I3455" s="1830"/>
      <c r="J3455" s="1795"/>
      <c r="K3455" s="1795"/>
      <c r="L3455" s="169"/>
      <c r="M3455" s="1783"/>
    </row>
    <row r="3456" spans="1:13" s="1517" customFormat="1" x14ac:dyDescent="0.25">
      <c r="A3456" s="179"/>
      <c r="B3456" s="179"/>
      <c r="C3456" s="1531"/>
      <c r="D3456" s="2142" t="s">
        <v>126</v>
      </c>
      <c r="E3456" s="2142"/>
      <c r="F3456" s="2142"/>
      <c r="G3456" s="2142"/>
      <c r="H3456" s="1532">
        <f>SUM(H3454:H3455)</f>
        <v>57.15</v>
      </c>
      <c r="I3456" s="1830"/>
      <c r="J3456" s="1795"/>
      <c r="K3456" s="1795"/>
      <c r="L3456" s="169"/>
      <c r="M3456" s="1783"/>
    </row>
    <row r="3457" spans="1:13" s="1517" customFormat="1" x14ac:dyDescent="0.25">
      <c r="A3457" s="179"/>
      <c r="B3457" s="179"/>
      <c r="C3457" s="1531"/>
      <c r="D3457" s="2141" t="s">
        <v>28</v>
      </c>
      <c r="E3457" s="2141"/>
      <c r="F3457" s="2141"/>
      <c r="G3457" s="2141"/>
      <c r="H3457" s="269">
        <f>E3450</f>
        <v>12</v>
      </c>
      <c r="I3457" s="1830"/>
      <c r="J3457" s="1795"/>
      <c r="K3457" s="1795"/>
      <c r="L3457" s="169"/>
      <c r="M3457" s="1783"/>
    </row>
    <row r="3458" spans="1:13" s="1517" customFormat="1" x14ac:dyDescent="0.25">
      <c r="A3458" s="179"/>
      <c r="B3458" s="179"/>
      <c r="C3458" s="1531"/>
      <c r="D3458" s="2142" t="s">
        <v>127</v>
      </c>
      <c r="E3458" s="2142"/>
      <c r="F3458" s="2142"/>
      <c r="G3458" s="2142"/>
      <c r="H3458" s="1532">
        <f>ROUND(H3456*H3457,2)</f>
        <v>685.8</v>
      </c>
      <c r="I3458" s="1830"/>
      <c r="J3458" s="1795"/>
      <c r="K3458" s="1795"/>
      <c r="L3458" s="169"/>
      <c r="M3458" s="1783"/>
    </row>
    <row r="3459" spans="1:13" s="1517" customFormat="1" x14ac:dyDescent="0.25">
      <c r="A3459" s="179"/>
      <c r="B3459" s="179"/>
      <c r="C3459" s="1531"/>
      <c r="D3459" s="2141" t="s">
        <v>15335</v>
      </c>
      <c r="E3459" s="2141"/>
      <c r="F3459" s="2141"/>
      <c r="G3459" s="2141"/>
      <c r="H3459" s="267">
        <f>ROUND(H3456*$B$13,2)</f>
        <v>15.39</v>
      </c>
      <c r="I3459" s="1830"/>
      <c r="J3459" s="1795"/>
      <c r="K3459" s="1795"/>
      <c r="L3459" s="169"/>
      <c r="M3459" s="1783"/>
    </row>
    <row r="3460" spans="1:13" x14ac:dyDescent="0.25">
      <c r="A3460" s="179"/>
      <c r="B3460" s="179"/>
      <c r="C3460" s="1531"/>
      <c r="D3460" s="2142" t="s">
        <v>7898</v>
      </c>
      <c r="E3460" s="2142"/>
      <c r="F3460" s="2142"/>
      <c r="G3460" s="2142"/>
      <c r="H3460" s="1532">
        <f>H3459+H3456</f>
        <v>72.539999999999992</v>
      </c>
    </row>
    <row r="3461" spans="1:13" x14ac:dyDescent="0.25">
      <c r="A3461" s="1514"/>
      <c r="B3461" s="1514"/>
      <c r="C3461" s="1514"/>
      <c r="F3461" s="1533"/>
      <c r="G3461" s="1534"/>
      <c r="H3461" s="1514"/>
    </row>
    <row r="3462" spans="1:13" s="1517" customFormat="1" x14ac:dyDescent="0.25">
      <c r="A3462" s="146" t="s">
        <v>6</v>
      </c>
      <c r="B3462" s="2143" t="s">
        <v>7</v>
      </c>
      <c r="C3462" s="2143"/>
      <c r="D3462" s="1518" t="s">
        <v>121</v>
      </c>
      <c r="E3462" s="278" t="s">
        <v>5282</v>
      </c>
      <c r="F3462" s="1518" t="s">
        <v>31</v>
      </c>
      <c r="G3462" s="1519" t="s">
        <v>122</v>
      </c>
      <c r="H3462" s="1520" t="s">
        <v>123</v>
      </c>
      <c r="I3462" s="1830"/>
      <c r="J3462" s="1795"/>
      <c r="K3462" s="1795"/>
      <c r="L3462" s="169"/>
      <c r="M3462" s="1783"/>
    </row>
    <row r="3463" spans="1:13" s="1526" customFormat="1" ht="30" x14ac:dyDescent="0.2">
      <c r="A3463" s="1535" t="str">
        <f>'Orç - Prédio'!A600</f>
        <v>06.01.309.16</v>
      </c>
      <c r="B3463" s="1535" t="str">
        <f>'Orç - Prédio'!B600</f>
        <v>ORSE</v>
      </c>
      <c r="C3463" s="1535" t="str">
        <f>'Orç - Prédio'!C600</f>
        <v>10276 MOD</v>
      </c>
      <c r="D3463" s="1536" t="s">
        <v>8990</v>
      </c>
      <c r="E3463" s="1866">
        <f>'Orç - Prédio'!E600</f>
        <v>37.299999999999997</v>
      </c>
      <c r="F3463" s="1535" t="s">
        <v>5713</v>
      </c>
      <c r="G3463" s="1621">
        <v>75.040000000000006</v>
      </c>
      <c r="H3463" s="1525">
        <f>H3471</f>
        <v>2798.99</v>
      </c>
      <c r="I3463" s="1910" t="s">
        <v>14965</v>
      </c>
      <c r="J3463" s="1793"/>
      <c r="K3463" s="1793"/>
      <c r="L3463" s="141"/>
      <c r="M3463" s="1515"/>
    </row>
    <row r="3464" spans="1:13" s="1859" customFormat="1" ht="30" x14ac:dyDescent="0.2">
      <c r="A3464" s="2144">
        <v>21279</v>
      </c>
      <c r="B3464" s="2144"/>
      <c r="C3464" s="1863" t="s">
        <v>5737</v>
      </c>
      <c r="D3464" s="1862" t="s">
        <v>8992</v>
      </c>
      <c r="E3464" s="1864">
        <v>1</v>
      </c>
      <c r="F3464" s="1881" t="s">
        <v>136</v>
      </c>
      <c r="G3464" s="367">
        <v>48.49</v>
      </c>
      <c r="H3464" s="1857">
        <f>ROUNDDOWN(G3464*E3464,2)</f>
        <v>48.49</v>
      </c>
      <c r="I3464" s="1856"/>
      <c r="J3464" s="1797"/>
      <c r="K3464" s="1797"/>
      <c r="L3464" s="1784"/>
      <c r="M3464" s="1785"/>
    </row>
    <row r="3465" spans="1:13" s="1859" customFormat="1" ht="30" x14ac:dyDescent="0.2">
      <c r="A3465" s="2144">
        <v>88264</v>
      </c>
      <c r="B3465" s="2144"/>
      <c r="C3465" s="1863" t="s">
        <v>4448</v>
      </c>
      <c r="D3465" s="1862" t="s">
        <v>81</v>
      </c>
      <c r="E3465" s="1864">
        <v>0.75</v>
      </c>
      <c r="F3465" s="1881" t="s">
        <v>65</v>
      </c>
      <c r="G3465" s="1860">
        <v>20.329999999999998</v>
      </c>
      <c r="H3465" s="1857">
        <f>ROUNDDOWN(G3465*E3465,2)</f>
        <v>15.24</v>
      </c>
      <c r="I3465" s="1856"/>
      <c r="J3465" s="1797"/>
      <c r="K3465" s="1797"/>
      <c r="L3465" s="1784"/>
      <c r="M3465" s="1785"/>
    </row>
    <row r="3466" spans="1:13" s="1859" customFormat="1" ht="30" x14ac:dyDescent="0.2">
      <c r="A3466" s="2144">
        <v>88316</v>
      </c>
      <c r="B3466" s="2144"/>
      <c r="C3466" s="1863" t="s">
        <v>4448</v>
      </c>
      <c r="D3466" s="1862" t="s">
        <v>64</v>
      </c>
      <c r="E3466" s="1864">
        <v>0.75</v>
      </c>
      <c r="F3466" s="1881" t="s">
        <v>65</v>
      </c>
      <c r="G3466" s="1860">
        <v>15.08</v>
      </c>
      <c r="H3466" s="1857">
        <f>ROUNDDOWN(G3466*E3466,2)</f>
        <v>11.31</v>
      </c>
      <c r="I3466" s="1856"/>
      <c r="J3466" s="1797"/>
      <c r="K3466" s="1797"/>
      <c r="L3466" s="1784"/>
      <c r="M3466" s="1785"/>
    </row>
    <row r="3467" spans="1:13" s="1517" customFormat="1" x14ac:dyDescent="0.25">
      <c r="A3467" s="1847"/>
      <c r="B3467" s="1847"/>
      <c r="C3467" s="1531"/>
      <c r="D3467" s="2141" t="s">
        <v>124</v>
      </c>
      <c r="E3467" s="2141"/>
      <c r="F3467" s="2141"/>
      <c r="G3467" s="2141"/>
      <c r="H3467" s="267">
        <f>SUMIF(F3464:F3466,("h"),H3464:H3466)</f>
        <v>26.55</v>
      </c>
      <c r="I3467" s="1830"/>
      <c r="J3467" s="1795"/>
      <c r="K3467" s="1795"/>
      <c r="L3467" s="169"/>
      <c r="M3467" s="1783"/>
    </row>
    <row r="3468" spans="1:13" s="1517" customFormat="1" x14ac:dyDescent="0.25">
      <c r="A3468" s="1847"/>
      <c r="B3468" s="1847"/>
      <c r="C3468" s="1531"/>
      <c r="D3468" s="2141" t="s">
        <v>125</v>
      </c>
      <c r="E3468" s="2141"/>
      <c r="F3468" s="2141"/>
      <c r="G3468" s="2141"/>
      <c r="H3468" s="267">
        <f>SUMIF(F3464:F3466,"&lt;&gt;h",H3464:H3466)</f>
        <v>48.49</v>
      </c>
      <c r="I3468" s="1830"/>
      <c r="J3468" s="1795"/>
      <c r="K3468" s="1795"/>
      <c r="L3468" s="169"/>
      <c r="M3468" s="1783"/>
    </row>
    <row r="3469" spans="1:13" s="1517" customFormat="1" x14ac:dyDescent="0.25">
      <c r="A3469" s="1847"/>
      <c r="B3469" s="1847"/>
      <c r="C3469" s="1531"/>
      <c r="D3469" s="2142" t="s">
        <v>126</v>
      </c>
      <c r="E3469" s="2142"/>
      <c r="F3469" s="2142"/>
      <c r="G3469" s="2142"/>
      <c r="H3469" s="1532">
        <f>SUM(H3467:H3468)</f>
        <v>75.040000000000006</v>
      </c>
      <c r="I3469" s="1830"/>
      <c r="J3469" s="1795"/>
      <c r="K3469" s="1795"/>
      <c r="L3469" s="169"/>
      <c r="M3469" s="1783"/>
    </row>
    <row r="3470" spans="1:13" s="1517" customFormat="1" x14ac:dyDescent="0.25">
      <c r="A3470" s="1847"/>
      <c r="B3470" s="1847"/>
      <c r="C3470" s="1531"/>
      <c r="D3470" s="2141" t="s">
        <v>28</v>
      </c>
      <c r="E3470" s="2141"/>
      <c r="F3470" s="2141"/>
      <c r="G3470" s="2141"/>
      <c r="H3470" s="269">
        <f>E3463</f>
        <v>37.299999999999997</v>
      </c>
      <c r="I3470" s="1830"/>
      <c r="J3470" s="1795"/>
      <c r="K3470" s="1795"/>
      <c r="L3470" s="169"/>
      <c r="M3470" s="1783"/>
    </row>
    <row r="3471" spans="1:13" s="1517" customFormat="1" x14ac:dyDescent="0.25">
      <c r="A3471" s="1847"/>
      <c r="B3471" s="1847"/>
      <c r="C3471" s="1531"/>
      <c r="D3471" s="2142" t="s">
        <v>127</v>
      </c>
      <c r="E3471" s="2142"/>
      <c r="F3471" s="2142"/>
      <c r="G3471" s="2142"/>
      <c r="H3471" s="1532">
        <f>ROUND(H3469*H3470,2)</f>
        <v>2798.99</v>
      </c>
      <c r="I3471" s="1830"/>
      <c r="J3471" s="1795"/>
      <c r="K3471" s="1795"/>
      <c r="L3471" s="169"/>
      <c r="M3471" s="1783"/>
    </row>
    <row r="3472" spans="1:13" s="1517" customFormat="1" x14ac:dyDescent="0.25">
      <c r="A3472" s="1847"/>
      <c r="B3472" s="1847"/>
      <c r="C3472" s="1531"/>
      <c r="D3472" s="2141" t="s">
        <v>15335</v>
      </c>
      <c r="E3472" s="2141"/>
      <c r="F3472" s="2141"/>
      <c r="G3472" s="2141"/>
      <c r="H3472" s="267">
        <f>ROUND(H3469*$B$13,2)</f>
        <v>20.21</v>
      </c>
      <c r="I3472" s="1830"/>
      <c r="J3472" s="1795"/>
      <c r="K3472" s="1795"/>
      <c r="L3472" s="169"/>
      <c r="M3472" s="1783"/>
    </row>
    <row r="3473" spans="1:13" x14ac:dyDescent="0.25">
      <c r="A3473" s="1847"/>
      <c r="B3473" s="1847"/>
      <c r="C3473" s="1531"/>
      <c r="D3473" s="2142" t="s">
        <v>7898</v>
      </c>
      <c r="E3473" s="2142"/>
      <c r="F3473" s="2142"/>
      <c r="G3473" s="2142"/>
      <c r="H3473" s="1532">
        <f>H3472+H3469</f>
        <v>95.25</v>
      </c>
    </row>
    <row r="3474" spans="1:13" x14ac:dyDescent="0.25">
      <c r="A3474" s="1514"/>
      <c r="B3474" s="1514"/>
      <c r="C3474" s="1514"/>
      <c r="F3474" s="1533"/>
      <c r="G3474" s="1534"/>
      <c r="H3474" s="1514"/>
    </row>
    <row r="3475" spans="1:13" s="1517" customFormat="1" x14ac:dyDescent="0.25">
      <c r="A3475" s="146" t="s">
        <v>6</v>
      </c>
      <c r="B3475" s="2143" t="s">
        <v>7</v>
      </c>
      <c r="C3475" s="2143"/>
      <c r="D3475" s="931" t="s">
        <v>121</v>
      </c>
      <c r="E3475" s="278" t="s">
        <v>5282</v>
      </c>
      <c r="F3475" s="931" t="s">
        <v>31</v>
      </c>
      <c r="G3475" s="932" t="s">
        <v>122</v>
      </c>
      <c r="H3475" s="933" t="s">
        <v>123</v>
      </c>
      <c r="I3475" s="1830"/>
      <c r="J3475" s="1795"/>
      <c r="K3475" s="1795"/>
      <c r="L3475" s="169"/>
      <c r="M3475" s="1783"/>
    </row>
    <row r="3476" spans="1:13" s="1526" customFormat="1" ht="30" x14ac:dyDescent="0.2">
      <c r="A3476" s="947" t="str">
        <f>'Orç - Prédio'!A601</f>
        <v>06.01.312.01</v>
      </c>
      <c r="B3476" s="947" t="str">
        <f>'Orç - Prédio'!B601</f>
        <v>ORSE</v>
      </c>
      <c r="C3476" s="947" t="str">
        <f>'Orç - Prédio'!C601</f>
        <v>9041 MOD 1</v>
      </c>
      <c r="D3476" s="948" t="s">
        <v>6147</v>
      </c>
      <c r="E3476" s="935">
        <f>'Orç - Prédio'!E601</f>
        <v>108</v>
      </c>
      <c r="F3476" s="947" t="s">
        <v>5284</v>
      </c>
      <c r="G3476" s="936">
        <v>73.88</v>
      </c>
      <c r="H3476" s="937">
        <f>H3484</f>
        <v>7979.04</v>
      </c>
      <c r="I3476" s="1910" t="s">
        <v>9564</v>
      </c>
      <c r="J3476" s="1793"/>
      <c r="K3476" s="1793"/>
      <c r="L3476" s="141"/>
      <c r="M3476" s="1515"/>
    </row>
    <row r="3477" spans="1:13" s="156" customFormat="1" ht="45" x14ac:dyDescent="0.2">
      <c r="A3477" s="2144">
        <v>39469</v>
      </c>
      <c r="B3477" s="2144"/>
      <c r="C3477" s="930" t="s">
        <v>4448</v>
      </c>
      <c r="D3477" s="182" t="s">
        <v>11502</v>
      </c>
      <c r="E3477" s="939">
        <v>1</v>
      </c>
      <c r="F3477" s="940" t="s">
        <v>39</v>
      </c>
      <c r="G3477" s="941">
        <v>63.27</v>
      </c>
      <c r="H3477" s="942">
        <f>ROUNDDOWN(G3477*E3477,2)</f>
        <v>63.27</v>
      </c>
      <c r="I3477" s="1642"/>
      <c r="J3477" s="1797"/>
      <c r="K3477" s="1797"/>
      <c r="L3477" s="1784"/>
      <c r="M3477" s="1785"/>
    </row>
    <row r="3478" spans="1:13" s="156" customFormat="1" ht="30" x14ac:dyDescent="0.2">
      <c r="A3478" s="2144">
        <v>88264</v>
      </c>
      <c r="B3478" s="2144"/>
      <c r="C3478" s="930" t="s">
        <v>4448</v>
      </c>
      <c r="D3478" s="182" t="s">
        <v>81</v>
      </c>
      <c r="E3478" s="939">
        <v>0.3</v>
      </c>
      <c r="F3478" s="940" t="s">
        <v>65</v>
      </c>
      <c r="G3478" s="941">
        <v>20.329999999999998</v>
      </c>
      <c r="H3478" s="942">
        <f>ROUNDDOWN(G3478*E3478,2)</f>
        <v>6.09</v>
      </c>
      <c r="I3478" s="1642"/>
      <c r="J3478" s="1797"/>
      <c r="K3478" s="1797"/>
      <c r="L3478" s="1784"/>
      <c r="M3478" s="1785"/>
    </row>
    <row r="3479" spans="1:13" s="156" customFormat="1" ht="30" x14ac:dyDescent="0.2">
      <c r="A3479" s="2144">
        <v>88316</v>
      </c>
      <c r="B3479" s="2144"/>
      <c r="C3479" s="930" t="s">
        <v>4448</v>
      </c>
      <c r="D3479" s="182" t="s">
        <v>64</v>
      </c>
      <c r="E3479" s="939">
        <v>0.3</v>
      </c>
      <c r="F3479" s="940" t="s">
        <v>65</v>
      </c>
      <c r="G3479" s="941">
        <v>15.08</v>
      </c>
      <c r="H3479" s="942">
        <f>ROUNDDOWN(G3479*E3479,2)</f>
        <v>4.5199999999999996</v>
      </c>
      <c r="I3479" s="1642"/>
      <c r="J3479" s="1797"/>
      <c r="K3479" s="1797"/>
      <c r="L3479" s="1784"/>
      <c r="M3479" s="1785"/>
    </row>
    <row r="3480" spans="1:13" s="1517" customFormat="1" x14ac:dyDescent="0.25">
      <c r="A3480" s="179"/>
      <c r="B3480" s="179"/>
      <c r="C3480" s="943"/>
      <c r="D3480" s="2141" t="s">
        <v>124</v>
      </c>
      <c r="E3480" s="2141"/>
      <c r="F3480" s="2141"/>
      <c r="G3480" s="2141"/>
      <c r="H3480" s="267">
        <f>SUMIF(F3477:F3479,("h"),H3477:H3479)</f>
        <v>10.61</v>
      </c>
      <c r="I3480" s="1830"/>
      <c r="J3480" s="1795"/>
      <c r="K3480" s="1795"/>
      <c r="L3480" s="169"/>
      <c r="M3480" s="1783"/>
    </row>
    <row r="3481" spans="1:13" s="1517" customFormat="1" x14ac:dyDescent="0.25">
      <c r="A3481" s="179"/>
      <c r="B3481" s="179"/>
      <c r="C3481" s="943"/>
      <c r="D3481" s="2141" t="s">
        <v>125</v>
      </c>
      <c r="E3481" s="2141"/>
      <c r="F3481" s="2141"/>
      <c r="G3481" s="2141"/>
      <c r="H3481" s="267">
        <f>SUMIF(F3477:F3479,"&lt;&gt;h",H3477:H3479)</f>
        <v>63.27</v>
      </c>
      <c r="I3481" s="1830"/>
      <c r="J3481" s="1795"/>
      <c r="K3481" s="1795"/>
      <c r="L3481" s="169"/>
      <c r="M3481" s="1783"/>
    </row>
    <row r="3482" spans="1:13" s="1517" customFormat="1" x14ac:dyDescent="0.25">
      <c r="A3482" s="179"/>
      <c r="B3482" s="179"/>
      <c r="C3482" s="943"/>
      <c r="D3482" s="2142" t="s">
        <v>126</v>
      </c>
      <c r="E3482" s="2142"/>
      <c r="F3482" s="2142"/>
      <c r="G3482" s="2142"/>
      <c r="H3482" s="944">
        <f>SUM(H3480:H3481)</f>
        <v>73.88</v>
      </c>
      <c r="I3482" s="1830"/>
      <c r="J3482" s="1795"/>
      <c r="K3482" s="1795"/>
      <c r="L3482" s="169"/>
      <c r="M3482" s="1783"/>
    </row>
    <row r="3483" spans="1:13" s="1517" customFormat="1" x14ac:dyDescent="0.25">
      <c r="A3483" s="179"/>
      <c r="B3483" s="179"/>
      <c r="C3483" s="943"/>
      <c r="D3483" s="2141" t="s">
        <v>28</v>
      </c>
      <c r="E3483" s="2141"/>
      <c r="F3483" s="2141"/>
      <c r="G3483" s="2141"/>
      <c r="H3483" s="269">
        <f>E3476</f>
        <v>108</v>
      </c>
      <c r="I3483" s="1830"/>
      <c r="J3483" s="1795"/>
      <c r="K3483" s="1795"/>
      <c r="L3483" s="169"/>
      <c r="M3483" s="1783"/>
    </row>
    <row r="3484" spans="1:13" s="1517" customFormat="1" x14ac:dyDescent="0.25">
      <c r="A3484" s="179"/>
      <c r="B3484" s="179"/>
      <c r="C3484" s="943"/>
      <c r="D3484" s="2142" t="s">
        <v>127</v>
      </c>
      <c r="E3484" s="2142"/>
      <c r="F3484" s="2142"/>
      <c r="G3484" s="2142"/>
      <c r="H3484" s="944">
        <f>ROUND(H3482*H3483,2)</f>
        <v>7979.04</v>
      </c>
      <c r="I3484" s="1830"/>
      <c r="J3484" s="1795"/>
      <c r="K3484" s="1795"/>
      <c r="L3484" s="169"/>
      <c r="M3484" s="1783"/>
    </row>
    <row r="3485" spans="1:13" s="1517" customFormat="1" x14ac:dyDescent="0.25">
      <c r="A3485" s="179"/>
      <c r="B3485" s="179"/>
      <c r="C3485" s="1531"/>
      <c r="D3485" s="2141" t="s">
        <v>15335</v>
      </c>
      <c r="E3485" s="2141"/>
      <c r="F3485" s="2141"/>
      <c r="G3485" s="2141"/>
      <c r="H3485" s="267">
        <f>ROUND(H3482*$B$13,2)</f>
        <v>19.899999999999999</v>
      </c>
      <c r="I3485" s="1830"/>
      <c r="J3485" s="1795"/>
      <c r="K3485" s="1795"/>
      <c r="L3485" s="169"/>
      <c r="M3485" s="1783"/>
    </row>
    <row r="3486" spans="1:13" x14ac:dyDescent="0.25">
      <c r="A3486" s="179"/>
      <c r="B3486" s="179"/>
      <c r="C3486" s="1531"/>
      <c r="D3486" s="2142" t="s">
        <v>7898</v>
      </c>
      <c r="E3486" s="2142"/>
      <c r="F3486" s="2142"/>
      <c r="G3486" s="2142"/>
      <c r="H3486" s="1532">
        <f>H3485+H3482</f>
        <v>93.78</v>
      </c>
    </row>
    <row r="3487" spans="1:13" x14ac:dyDescent="0.25">
      <c r="A3487" s="929"/>
      <c r="B3487" s="929"/>
      <c r="C3487" s="929"/>
      <c r="F3487" s="945"/>
      <c r="G3487" s="946"/>
      <c r="H3487" s="929"/>
    </row>
    <row r="3488" spans="1:13" s="1517" customFormat="1" x14ac:dyDescent="0.25">
      <c r="A3488" s="146" t="s">
        <v>6</v>
      </c>
      <c r="B3488" s="2143" t="s">
        <v>7</v>
      </c>
      <c r="C3488" s="2143"/>
      <c r="D3488" s="931" t="s">
        <v>121</v>
      </c>
      <c r="E3488" s="278" t="s">
        <v>5282</v>
      </c>
      <c r="F3488" s="931" t="s">
        <v>31</v>
      </c>
      <c r="G3488" s="932" t="s">
        <v>122</v>
      </c>
      <c r="H3488" s="933" t="s">
        <v>123</v>
      </c>
      <c r="I3488" s="1830"/>
      <c r="J3488" s="1795"/>
      <c r="K3488" s="1795"/>
      <c r="L3488" s="169"/>
      <c r="M3488" s="1783"/>
    </row>
    <row r="3489" spans="1:13" s="1526" customFormat="1" ht="30" x14ac:dyDescent="0.2">
      <c r="A3489" s="947" t="str">
        <f>'Orç - Prédio'!A602</f>
        <v>06.01.312.02</v>
      </c>
      <c r="B3489" s="947" t="str">
        <f>'Orç - Prédio'!B602</f>
        <v>ORSE</v>
      </c>
      <c r="C3489" s="947" t="str">
        <f>'Orç - Prédio'!C602</f>
        <v>9041 MOD 2</v>
      </c>
      <c r="D3489" s="948" t="s">
        <v>6148</v>
      </c>
      <c r="E3489" s="935">
        <f>'Orç - Prédio'!E602</f>
        <v>4</v>
      </c>
      <c r="F3489" s="947" t="s">
        <v>5284</v>
      </c>
      <c r="G3489" s="936">
        <v>104.03</v>
      </c>
      <c r="H3489" s="937">
        <f>H3497</f>
        <v>416.12</v>
      </c>
      <c r="I3489" s="1910" t="s">
        <v>9564</v>
      </c>
      <c r="J3489" s="1793"/>
      <c r="K3489" s="1793"/>
      <c r="L3489" s="141"/>
      <c r="M3489" s="1515"/>
    </row>
    <row r="3490" spans="1:13" s="156" customFormat="1" ht="45" x14ac:dyDescent="0.2">
      <c r="A3490" s="2144">
        <v>39471</v>
      </c>
      <c r="B3490" s="2144"/>
      <c r="C3490" s="930" t="s">
        <v>4448</v>
      </c>
      <c r="D3490" s="182" t="s">
        <v>11504</v>
      </c>
      <c r="E3490" s="939">
        <v>1</v>
      </c>
      <c r="F3490" s="940" t="s">
        <v>39</v>
      </c>
      <c r="G3490" s="941">
        <v>93.42</v>
      </c>
      <c r="H3490" s="942">
        <f>ROUNDDOWN(G3490*E3490,2)</f>
        <v>93.42</v>
      </c>
      <c r="I3490" s="1642"/>
      <c r="J3490" s="1797"/>
      <c r="K3490" s="1797"/>
      <c r="L3490" s="1784"/>
      <c r="M3490" s="1785"/>
    </row>
    <row r="3491" spans="1:13" s="156" customFormat="1" ht="30" x14ac:dyDescent="0.2">
      <c r="A3491" s="2144">
        <v>88264</v>
      </c>
      <c r="B3491" s="2144"/>
      <c r="C3491" s="930" t="s">
        <v>4448</v>
      </c>
      <c r="D3491" s="182" t="s">
        <v>81</v>
      </c>
      <c r="E3491" s="939">
        <v>0.3</v>
      </c>
      <c r="F3491" s="940" t="s">
        <v>65</v>
      </c>
      <c r="G3491" s="941">
        <v>20.329999999999998</v>
      </c>
      <c r="H3491" s="942">
        <f>ROUNDDOWN(G3491*E3491,2)</f>
        <v>6.09</v>
      </c>
      <c r="I3491" s="1642"/>
      <c r="J3491" s="1797"/>
      <c r="K3491" s="1797"/>
      <c r="L3491" s="1784"/>
      <c r="M3491" s="1785"/>
    </row>
    <row r="3492" spans="1:13" s="156" customFormat="1" ht="30" x14ac:dyDescent="0.2">
      <c r="A3492" s="2144">
        <v>88316</v>
      </c>
      <c r="B3492" s="2144"/>
      <c r="C3492" s="930" t="s">
        <v>4448</v>
      </c>
      <c r="D3492" s="182" t="s">
        <v>64</v>
      </c>
      <c r="E3492" s="939">
        <v>0.3</v>
      </c>
      <c r="F3492" s="940" t="s">
        <v>65</v>
      </c>
      <c r="G3492" s="941">
        <v>15.08</v>
      </c>
      <c r="H3492" s="942">
        <f>ROUNDDOWN(G3492*E3492,2)</f>
        <v>4.5199999999999996</v>
      </c>
      <c r="I3492" s="1642"/>
      <c r="J3492" s="1797"/>
      <c r="K3492" s="1797"/>
      <c r="L3492" s="1784"/>
      <c r="M3492" s="1785"/>
    </row>
    <row r="3493" spans="1:13" s="1517" customFormat="1" x14ac:dyDescent="0.25">
      <c r="A3493" s="179"/>
      <c r="B3493" s="179"/>
      <c r="C3493" s="943"/>
      <c r="D3493" s="2141" t="s">
        <v>124</v>
      </c>
      <c r="E3493" s="2141"/>
      <c r="F3493" s="2141"/>
      <c r="G3493" s="2141"/>
      <c r="H3493" s="267">
        <f>SUMIF(F3490:F3492,("h"),H3490:H3492)</f>
        <v>10.61</v>
      </c>
      <c r="I3493" s="1830"/>
      <c r="J3493" s="1795"/>
      <c r="K3493" s="1795"/>
      <c r="L3493" s="169"/>
      <c r="M3493" s="1783"/>
    </row>
    <row r="3494" spans="1:13" s="1517" customFormat="1" x14ac:dyDescent="0.25">
      <c r="A3494" s="179"/>
      <c r="B3494" s="179"/>
      <c r="C3494" s="943"/>
      <c r="D3494" s="2141" t="s">
        <v>125</v>
      </c>
      <c r="E3494" s="2141"/>
      <c r="F3494" s="2141"/>
      <c r="G3494" s="2141"/>
      <c r="H3494" s="267">
        <f>SUMIF(F3490:F3492,"&lt;&gt;h",H3490:H3492)</f>
        <v>93.42</v>
      </c>
      <c r="I3494" s="1830"/>
      <c r="J3494" s="1795"/>
      <c r="K3494" s="1795"/>
      <c r="L3494" s="169"/>
      <c r="M3494" s="1783"/>
    </row>
    <row r="3495" spans="1:13" s="1517" customFormat="1" x14ac:dyDescent="0.25">
      <c r="A3495" s="179"/>
      <c r="B3495" s="179"/>
      <c r="C3495" s="943"/>
      <c r="D3495" s="2142" t="s">
        <v>126</v>
      </c>
      <c r="E3495" s="2142"/>
      <c r="F3495" s="2142"/>
      <c r="G3495" s="2142"/>
      <c r="H3495" s="944">
        <f>SUM(H3493:H3494)</f>
        <v>104.03</v>
      </c>
      <c r="I3495" s="1830"/>
      <c r="J3495" s="1795"/>
      <c r="K3495" s="1795"/>
      <c r="L3495" s="169"/>
      <c r="M3495" s="1783"/>
    </row>
    <row r="3496" spans="1:13" s="1517" customFormat="1" x14ac:dyDescent="0.25">
      <c r="A3496" s="179"/>
      <c r="B3496" s="179"/>
      <c r="C3496" s="943"/>
      <c r="D3496" s="2141" t="s">
        <v>28</v>
      </c>
      <c r="E3496" s="2141"/>
      <c r="F3496" s="2141"/>
      <c r="G3496" s="2141"/>
      <c r="H3496" s="269">
        <f>E3489</f>
        <v>4</v>
      </c>
      <c r="I3496" s="1830"/>
      <c r="J3496" s="1795"/>
      <c r="K3496" s="1795"/>
      <c r="L3496" s="169"/>
      <c r="M3496" s="1783"/>
    </row>
    <row r="3497" spans="1:13" s="1517" customFormat="1" x14ac:dyDescent="0.25">
      <c r="A3497" s="179"/>
      <c r="B3497" s="179"/>
      <c r="C3497" s="943"/>
      <c r="D3497" s="2142" t="s">
        <v>127</v>
      </c>
      <c r="E3497" s="2142"/>
      <c r="F3497" s="2142"/>
      <c r="G3497" s="2142"/>
      <c r="H3497" s="944">
        <f>ROUND(H3495*H3496,2)</f>
        <v>416.12</v>
      </c>
      <c r="I3497" s="1830"/>
      <c r="J3497" s="1795"/>
      <c r="K3497" s="1795"/>
      <c r="L3497" s="169"/>
      <c r="M3497" s="1783"/>
    </row>
    <row r="3498" spans="1:13" s="1517" customFormat="1" x14ac:dyDescent="0.25">
      <c r="A3498" s="179"/>
      <c r="B3498" s="179"/>
      <c r="C3498" s="1531"/>
      <c r="D3498" s="2141" t="s">
        <v>15335</v>
      </c>
      <c r="E3498" s="2141"/>
      <c r="F3498" s="2141"/>
      <c r="G3498" s="2141"/>
      <c r="H3498" s="267">
        <f>ROUND(H3495*$B$13,2)</f>
        <v>28.02</v>
      </c>
      <c r="I3498" s="1830"/>
      <c r="J3498" s="1795"/>
      <c r="K3498" s="1795"/>
      <c r="L3498" s="169"/>
      <c r="M3498" s="1783"/>
    </row>
    <row r="3499" spans="1:13" x14ac:dyDescent="0.25">
      <c r="A3499" s="179"/>
      <c r="B3499" s="179"/>
      <c r="C3499" s="1531"/>
      <c r="D3499" s="2142" t="s">
        <v>7898</v>
      </c>
      <c r="E3499" s="2142"/>
      <c r="F3499" s="2142"/>
      <c r="G3499" s="2142"/>
      <c r="H3499" s="1532">
        <f>H3498+H3495</f>
        <v>132.05000000000001</v>
      </c>
    </row>
    <row r="3500" spans="1:13" x14ac:dyDescent="0.25">
      <c r="A3500" s="929"/>
      <c r="B3500" s="929"/>
      <c r="C3500" s="929"/>
      <c r="F3500" s="945"/>
      <c r="G3500" s="946"/>
      <c r="H3500" s="929"/>
    </row>
    <row r="3501" spans="1:13" s="1517" customFormat="1" x14ac:dyDescent="0.25">
      <c r="A3501" s="146" t="s">
        <v>6</v>
      </c>
      <c r="B3501" s="2143" t="s">
        <v>7</v>
      </c>
      <c r="C3501" s="2143"/>
      <c r="D3501" s="1518" t="s">
        <v>121</v>
      </c>
      <c r="E3501" s="278" t="s">
        <v>5282</v>
      </c>
      <c r="F3501" s="1518" t="s">
        <v>31</v>
      </c>
      <c r="G3501" s="1519" t="s">
        <v>122</v>
      </c>
      <c r="H3501" s="1520" t="s">
        <v>123</v>
      </c>
      <c r="I3501" s="1830"/>
      <c r="J3501" s="1795"/>
      <c r="K3501" s="1795"/>
      <c r="L3501" s="169"/>
      <c r="M3501" s="1783"/>
    </row>
    <row r="3502" spans="1:13" s="1526" customFormat="1" ht="30" x14ac:dyDescent="0.2">
      <c r="A3502" s="1535" t="str">
        <f>'Orç - Prédio'!A603</f>
        <v>06.01.313.01</v>
      </c>
      <c r="B3502" s="1535" t="str">
        <f>'Orç - Prédio'!B603</f>
        <v>ORSE</v>
      </c>
      <c r="C3502" s="1535" t="str">
        <f>'Orç - Prédio'!C603</f>
        <v>8194 MOD 1</v>
      </c>
      <c r="D3502" s="1536" t="s">
        <v>8970</v>
      </c>
      <c r="E3502" s="1866">
        <f>'Orç - Prédio'!E603</f>
        <v>2</v>
      </c>
      <c r="F3502" s="1535" t="s">
        <v>5284</v>
      </c>
      <c r="G3502" s="1524">
        <v>162.70999999999998</v>
      </c>
      <c r="H3502" s="1525">
        <f>H3510</f>
        <v>325.42</v>
      </c>
      <c r="I3502" s="1910" t="s">
        <v>9564</v>
      </c>
      <c r="J3502" s="1793"/>
      <c r="K3502" s="1793"/>
      <c r="L3502" s="141"/>
      <c r="M3502" s="1515"/>
    </row>
    <row r="3503" spans="1:13" s="1859" customFormat="1" ht="30" x14ac:dyDescent="0.2">
      <c r="A3503" s="2144">
        <v>39450</v>
      </c>
      <c r="B3503" s="2144"/>
      <c r="C3503" s="1863" t="s">
        <v>4448</v>
      </c>
      <c r="D3503" s="1862" t="s">
        <v>11519</v>
      </c>
      <c r="E3503" s="1864">
        <v>1</v>
      </c>
      <c r="F3503" s="1881" t="s">
        <v>39</v>
      </c>
      <c r="G3503" s="1860">
        <v>141.47999999999999</v>
      </c>
      <c r="H3503" s="1857">
        <f>ROUNDDOWN(G3503*E3503,2)</f>
        <v>141.47999999999999</v>
      </c>
      <c r="I3503" s="1856"/>
      <c r="J3503" s="1797"/>
      <c r="K3503" s="1797"/>
      <c r="L3503" s="1784"/>
      <c r="M3503" s="1785"/>
    </row>
    <row r="3504" spans="1:13" s="1859" customFormat="1" ht="30" x14ac:dyDescent="0.2">
      <c r="A3504" s="2144">
        <v>88264</v>
      </c>
      <c r="B3504" s="2144"/>
      <c r="C3504" s="1863" t="s">
        <v>4448</v>
      </c>
      <c r="D3504" s="1862" t="s">
        <v>81</v>
      </c>
      <c r="E3504" s="1864">
        <v>0.6</v>
      </c>
      <c r="F3504" s="1881" t="s">
        <v>65</v>
      </c>
      <c r="G3504" s="1860">
        <v>20.329999999999998</v>
      </c>
      <c r="H3504" s="1857">
        <f>ROUNDDOWN(G3504*E3504,2)</f>
        <v>12.19</v>
      </c>
      <c r="I3504" s="1856"/>
      <c r="J3504" s="1797"/>
      <c r="K3504" s="1797"/>
      <c r="L3504" s="1784"/>
      <c r="M3504" s="1785"/>
    </row>
    <row r="3505" spans="1:13" s="1859" customFormat="1" ht="30" x14ac:dyDescent="0.2">
      <c r="A3505" s="2144">
        <v>88316</v>
      </c>
      <c r="B3505" s="2144"/>
      <c r="C3505" s="1863" t="s">
        <v>4448</v>
      </c>
      <c r="D3505" s="1862" t="s">
        <v>64</v>
      </c>
      <c r="E3505" s="1864">
        <v>0.6</v>
      </c>
      <c r="F3505" s="1881" t="s">
        <v>65</v>
      </c>
      <c r="G3505" s="1860">
        <v>15.08</v>
      </c>
      <c r="H3505" s="1857">
        <f>ROUNDDOWN(G3505*E3505,2)</f>
        <v>9.0399999999999991</v>
      </c>
      <c r="I3505" s="1856"/>
      <c r="J3505" s="1797"/>
      <c r="K3505" s="1797"/>
      <c r="L3505" s="1784"/>
      <c r="M3505" s="1785"/>
    </row>
    <row r="3506" spans="1:13" s="1517" customFormat="1" x14ac:dyDescent="0.25">
      <c r="A3506" s="1847"/>
      <c r="B3506" s="1847"/>
      <c r="C3506" s="1531"/>
      <c r="D3506" s="2141" t="s">
        <v>124</v>
      </c>
      <c r="E3506" s="2141"/>
      <c r="F3506" s="2141"/>
      <c r="G3506" s="2141"/>
      <c r="H3506" s="267">
        <f>SUMIF(F3503:F3505,("h"),H3503:H3505)</f>
        <v>21.229999999999997</v>
      </c>
      <c r="I3506" s="1830"/>
      <c r="J3506" s="1795"/>
      <c r="K3506" s="1795"/>
      <c r="L3506" s="169"/>
      <c r="M3506" s="1783"/>
    </row>
    <row r="3507" spans="1:13" s="1517" customFormat="1" x14ac:dyDescent="0.25">
      <c r="A3507" s="1847"/>
      <c r="B3507" s="1847"/>
      <c r="C3507" s="1531"/>
      <c r="D3507" s="2141" t="s">
        <v>125</v>
      </c>
      <c r="E3507" s="2141"/>
      <c r="F3507" s="2141"/>
      <c r="G3507" s="2141"/>
      <c r="H3507" s="267">
        <f>SUMIF(F3503:F3505,"&lt;&gt;h",H3503:H3505)</f>
        <v>141.47999999999999</v>
      </c>
      <c r="I3507" s="1830"/>
      <c r="J3507" s="1795"/>
      <c r="K3507" s="1795"/>
      <c r="L3507" s="169"/>
      <c r="M3507" s="1783"/>
    </row>
    <row r="3508" spans="1:13" s="1517" customFormat="1" x14ac:dyDescent="0.25">
      <c r="A3508" s="1847"/>
      <c r="B3508" s="1847"/>
      <c r="C3508" s="1531"/>
      <c r="D3508" s="2142" t="s">
        <v>126</v>
      </c>
      <c r="E3508" s="2142"/>
      <c r="F3508" s="2142"/>
      <c r="G3508" s="2142"/>
      <c r="H3508" s="1532">
        <f>SUM(H3506:H3507)</f>
        <v>162.70999999999998</v>
      </c>
      <c r="I3508" s="1830"/>
      <c r="J3508" s="1795"/>
      <c r="K3508" s="1795"/>
      <c r="L3508" s="169"/>
      <c r="M3508" s="1783"/>
    </row>
    <row r="3509" spans="1:13" s="1517" customFormat="1" x14ac:dyDescent="0.25">
      <c r="A3509" s="1847"/>
      <c r="B3509" s="1847"/>
      <c r="C3509" s="1531"/>
      <c r="D3509" s="2141" t="s">
        <v>28</v>
      </c>
      <c r="E3509" s="2141"/>
      <c r="F3509" s="2141"/>
      <c r="G3509" s="2141"/>
      <c r="H3509" s="269">
        <f>E3502</f>
        <v>2</v>
      </c>
      <c r="I3509" s="1830"/>
      <c r="J3509" s="1795"/>
      <c r="K3509" s="1795"/>
      <c r="L3509" s="169"/>
      <c r="M3509" s="1783"/>
    </row>
    <row r="3510" spans="1:13" s="1517" customFormat="1" x14ac:dyDescent="0.25">
      <c r="A3510" s="1847"/>
      <c r="B3510" s="1847"/>
      <c r="C3510" s="1531"/>
      <c r="D3510" s="2142" t="s">
        <v>127</v>
      </c>
      <c r="E3510" s="2142"/>
      <c r="F3510" s="2142"/>
      <c r="G3510" s="2142"/>
      <c r="H3510" s="1532">
        <f>ROUND(H3508*H3509,2)</f>
        <v>325.42</v>
      </c>
      <c r="I3510" s="1830"/>
      <c r="J3510" s="1795"/>
      <c r="K3510" s="1795"/>
      <c r="L3510" s="169"/>
      <c r="M3510" s="1783"/>
    </row>
    <row r="3511" spans="1:13" s="1517" customFormat="1" x14ac:dyDescent="0.25">
      <c r="A3511" s="1847"/>
      <c r="B3511" s="1847"/>
      <c r="C3511" s="1531"/>
      <c r="D3511" s="2141" t="s">
        <v>15335</v>
      </c>
      <c r="E3511" s="2141"/>
      <c r="F3511" s="2141"/>
      <c r="G3511" s="2141"/>
      <c r="H3511" s="267">
        <f>ROUND(H3508*$B$13,2)</f>
        <v>43.82</v>
      </c>
      <c r="I3511" s="1830"/>
      <c r="J3511" s="1795"/>
      <c r="K3511" s="1795"/>
      <c r="L3511" s="169"/>
      <c r="M3511" s="1783"/>
    </row>
    <row r="3512" spans="1:13" x14ac:dyDescent="0.25">
      <c r="A3512" s="1847"/>
      <c r="B3512" s="1847"/>
      <c r="C3512" s="1531"/>
      <c r="D3512" s="2142" t="s">
        <v>7898</v>
      </c>
      <c r="E3512" s="2142"/>
      <c r="F3512" s="2142"/>
      <c r="G3512" s="2142"/>
      <c r="H3512" s="1532">
        <f>H3511+H3508</f>
        <v>206.52999999999997</v>
      </c>
    </row>
    <row r="3513" spans="1:13" x14ac:dyDescent="0.25">
      <c r="A3513" s="1514"/>
      <c r="B3513" s="1514"/>
      <c r="C3513" s="1514"/>
      <c r="F3513" s="1533"/>
      <c r="G3513" s="1534"/>
      <c r="H3513" s="1514"/>
    </row>
    <row r="3514" spans="1:13" s="1517" customFormat="1" x14ac:dyDescent="0.25">
      <c r="A3514" s="146" t="s">
        <v>6</v>
      </c>
      <c r="B3514" s="2143" t="s">
        <v>7</v>
      </c>
      <c r="C3514" s="2143"/>
      <c r="D3514" s="1518" t="s">
        <v>121</v>
      </c>
      <c r="E3514" s="278" t="s">
        <v>5282</v>
      </c>
      <c r="F3514" s="1518" t="s">
        <v>31</v>
      </c>
      <c r="G3514" s="1519" t="s">
        <v>122</v>
      </c>
      <c r="H3514" s="1520" t="s">
        <v>123</v>
      </c>
      <c r="I3514" s="1830"/>
      <c r="J3514" s="1795"/>
      <c r="K3514" s="1795"/>
      <c r="L3514" s="169"/>
      <c r="M3514" s="1783"/>
    </row>
    <row r="3515" spans="1:13" s="1526" customFormat="1" ht="45" x14ac:dyDescent="0.2">
      <c r="A3515" s="1535" t="str">
        <f>'Orç - Prédio'!A604</f>
        <v>06.01.313.02</v>
      </c>
      <c r="B3515" s="1535" t="str">
        <f>'Orç - Prédio'!B604</f>
        <v>ORSE</v>
      </c>
      <c r="C3515" s="1535" t="str">
        <f>'Orç - Prédio'!C604</f>
        <v>8194 MOD 2</v>
      </c>
      <c r="D3515" s="1536" t="s">
        <v>8964</v>
      </c>
      <c r="E3515" s="1523">
        <f>'Orç - Prédio'!E604</f>
        <v>3</v>
      </c>
      <c r="F3515" s="1535" t="s">
        <v>5284</v>
      </c>
      <c r="G3515" s="1524">
        <v>163.59</v>
      </c>
      <c r="H3515" s="1525">
        <f>H3523</f>
        <v>490.77</v>
      </c>
      <c r="I3515" s="1910" t="s">
        <v>9564</v>
      </c>
      <c r="J3515" s="1793"/>
      <c r="K3515" s="1793"/>
      <c r="L3515" s="141"/>
      <c r="M3515" s="1515"/>
    </row>
    <row r="3516" spans="1:13" s="156" customFormat="1" ht="30" x14ac:dyDescent="0.2">
      <c r="A3516" s="2144">
        <v>39455</v>
      </c>
      <c r="B3516" s="2144"/>
      <c r="C3516" s="1516" t="s">
        <v>4448</v>
      </c>
      <c r="D3516" s="182" t="s">
        <v>11524</v>
      </c>
      <c r="E3516" s="1527">
        <v>1</v>
      </c>
      <c r="F3516" s="1618" t="s">
        <v>39</v>
      </c>
      <c r="G3516" s="1529">
        <v>142.36000000000001</v>
      </c>
      <c r="H3516" s="1530">
        <f>ROUNDDOWN(G3516*E3516,2)</f>
        <v>142.36000000000001</v>
      </c>
      <c r="I3516" s="1642"/>
      <c r="J3516" s="1797"/>
      <c r="K3516" s="1797"/>
      <c r="L3516" s="1784"/>
      <c r="M3516" s="1785"/>
    </row>
    <row r="3517" spans="1:13" s="156" customFormat="1" ht="30" x14ac:dyDescent="0.2">
      <c r="A3517" s="2144">
        <v>88264</v>
      </c>
      <c r="B3517" s="2144"/>
      <c r="C3517" s="1516" t="s">
        <v>4448</v>
      </c>
      <c r="D3517" s="182" t="s">
        <v>81</v>
      </c>
      <c r="E3517" s="1527">
        <v>0.6</v>
      </c>
      <c r="F3517" s="1618" t="s">
        <v>65</v>
      </c>
      <c r="G3517" s="1529">
        <v>20.329999999999998</v>
      </c>
      <c r="H3517" s="1530">
        <f>ROUNDDOWN(G3517*E3517,2)</f>
        <v>12.19</v>
      </c>
      <c r="I3517" s="1642"/>
      <c r="J3517" s="1797"/>
      <c r="K3517" s="1797"/>
      <c r="L3517" s="1784"/>
      <c r="M3517" s="1785"/>
    </row>
    <row r="3518" spans="1:13" s="156" customFormat="1" ht="30" x14ac:dyDescent="0.2">
      <c r="A3518" s="2144">
        <v>88316</v>
      </c>
      <c r="B3518" s="2144"/>
      <c r="C3518" s="1516" t="s">
        <v>4448</v>
      </c>
      <c r="D3518" s="182" t="s">
        <v>64</v>
      </c>
      <c r="E3518" s="1527">
        <v>0.6</v>
      </c>
      <c r="F3518" s="1618" t="s">
        <v>65</v>
      </c>
      <c r="G3518" s="1529">
        <v>15.08</v>
      </c>
      <c r="H3518" s="1530">
        <f>ROUNDDOWN(G3518*E3518,2)</f>
        <v>9.0399999999999991</v>
      </c>
      <c r="I3518" s="1642"/>
      <c r="J3518" s="1797"/>
      <c r="K3518" s="1797"/>
      <c r="L3518" s="1784"/>
      <c r="M3518" s="1785"/>
    </row>
    <row r="3519" spans="1:13" s="1517" customFormat="1" x14ac:dyDescent="0.25">
      <c r="A3519" s="179"/>
      <c r="B3519" s="179"/>
      <c r="C3519" s="1531"/>
      <c r="D3519" s="2141" t="s">
        <v>124</v>
      </c>
      <c r="E3519" s="2141"/>
      <c r="F3519" s="2141"/>
      <c r="G3519" s="2141"/>
      <c r="H3519" s="267">
        <f>SUMIF(F3516:F3518,("h"),H3516:H3518)</f>
        <v>21.229999999999997</v>
      </c>
      <c r="I3519" s="1830"/>
      <c r="J3519" s="1795"/>
      <c r="K3519" s="1795"/>
      <c r="L3519" s="169"/>
      <c r="M3519" s="1783"/>
    </row>
    <row r="3520" spans="1:13" s="1517" customFormat="1" x14ac:dyDescent="0.25">
      <c r="A3520" s="179"/>
      <c r="B3520" s="179"/>
      <c r="C3520" s="1531"/>
      <c r="D3520" s="2141" t="s">
        <v>125</v>
      </c>
      <c r="E3520" s="2141"/>
      <c r="F3520" s="2141"/>
      <c r="G3520" s="2141"/>
      <c r="H3520" s="267">
        <f>SUMIF(F3516:F3518,"&lt;&gt;h",H3516:H3518)</f>
        <v>142.36000000000001</v>
      </c>
      <c r="I3520" s="1830"/>
      <c r="J3520" s="1795"/>
      <c r="K3520" s="1795"/>
      <c r="L3520" s="169"/>
      <c r="M3520" s="1783"/>
    </row>
    <row r="3521" spans="1:13" s="1517" customFormat="1" x14ac:dyDescent="0.25">
      <c r="A3521" s="179"/>
      <c r="B3521" s="179"/>
      <c r="C3521" s="1531"/>
      <c r="D3521" s="2142" t="s">
        <v>126</v>
      </c>
      <c r="E3521" s="2142"/>
      <c r="F3521" s="2142"/>
      <c r="G3521" s="2142"/>
      <c r="H3521" s="1532">
        <f>SUM(H3519:H3520)</f>
        <v>163.59</v>
      </c>
      <c r="I3521" s="1830"/>
      <c r="J3521" s="1795"/>
      <c r="K3521" s="1795"/>
      <c r="L3521" s="169"/>
      <c r="M3521" s="1783"/>
    </row>
    <row r="3522" spans="1:13" s="1517" customFormat="1" x14ac:dyDescent="0.25">
      <c r="A3522" s="179"/>
      <c r="B3522" s="179"/>
      <c r="C3522" s="1531"/>
      <c r="D3522" s="2141" t="s">
        <v>28</v>
      </c>
      <c r="E3522" s="2141"/>
      <c r="F3522" s="2141"/>
      <c r="G3522" s="2141"/>
      <c r="H3522" s="269">
        <f>E3515</f>
        <v>3</v>
      </c>
      <c r="I3522" s="1830"/>
      <c r="J3522" s="1795"/>
      <c r="K3522" s="1795"/>
      <c r="L3522" s="169"/>
      <c r="M3522" s="1783"/>
    </row>
    <row r="3523" spans="1:13" s="1517" customFormat="1" x14ac:dyDescent="0.25">
      <c r="A3523" s="179"/>
      <c r="B3523" s="179"/>
      <c r="C3523" s="1531"/>
      <c r="D3523" s="2142" t="s">
        <v>127</v>
      </c>
      <c r="E3523" s="2142"/>
      <c r="F3523" s="2142"/>
      <c r="G3523" s="2142"/>
      <c r="H3523" s="1532">
        <f>ROUND(H3521*H3522,2)</f>
        <v>490.77</v>
      </c>
      <c r="I3523" s="1830"/>
      <c r="J3523" s="1795"/>
      <c r="K3523" s="1795"/>
      <c r="L3523" s="169"/>
      <c r="M3523" s="1783"/>
    </row>
    <row r="3524" spans="1:13" s="1517" customFormat="1" x14ac:dyDescent="0.25">
      <c r="A3524" s="179"/>
      <c r="B3524" s="179"/>
      <c r="C3524" s="1531"/>
      <c r="D3524" s="2141" t="s">
        <v>15335</v>
      </c>
      <c r="E3524" s="2141"/>
      <c r="F3524" s="2141"/>
      <c r="G3524" s="2141"/>
      <c r="H3524" s="267">
        <f>ROUND(H3521*$B$13,2)</f>
        <v>44.05</v>
      </c>
      <c r="I3524" s="1830"/>
      <c r="J3524" s="1795"/>
      <c r="K3524" s="1795"/>
      <c r="L3524" s="169"/>
      <c r="M3524" s="1783"/>
    </row>
    <row r="3525" spans="1:13" x14ac:dyDescent="0.25">
      <c r="A3525" s="179"/>
      <c r="B3525" s="179"/>
      <c r="C3525" s="1531"/>
      <c r="D3525" s="2142" t="s">
        <v>7898</v>
      </c>
      <c r="E3525" s="2142"/>
      <c r="F3525" s="2142"/>
      <c r="G3525" s="2142"/>
      <c r="H3525" s="1532">
        <f>H3524+H3521</f>
        <v>207.64</v>
      </c>
    </row>
    <row r="3526" spans="1:13" x14ac:dyDescent="0.25">
      <c r="A3526" s="1514"/>
      <c r="B3526" s="1514"/>
      <c r="C3526" s="1514"/>
      <c r="F3526" s="1533"/>
      <c r="G3526" s="1534"/>
      <c r="H3526" s="1514"/>
    </row>
    <row r="3527" spans="1:13" s="1517" customFormat="1" x14ac:dyDescent="0.25">
      <c r="A3527" s="146" t="s">
        <v>6</v>
      </c>
      <c r="B3527" s="2143" t="s">
        <v>7</v>
      </c>
      <c r="C3527" s="2143"/>
      <c r="D3527" s="1518" t="s">
        <v>121</v>
      </c>
      <c r="E3527" s="278" t="s">
        <v>5282</v>
      </c>
      <c r="F3527" s="1518" t="s">
        <v>31</v>
      </c>
      <c r="G3527" s="1519" t="s">
        <v>122</v>
      </c>
      <c r="H3527" s="1520" t="s">
        <v>123</v>
      </c>
      <c r="I3527" s="1830"/>
      <c r="J3527" s="1795"/>
      <c r="K3527" s="1795"/>
      <c r="L3527" s="169"/>
      <c r="M3527" s="1783"/>
    </row>
    <row r="3528" spans="1:13" s="1526" customFormat="1" ht="45" x14ac:dyDescent="0.2">
      <c r="A3528" s="1535" t="str">
        <f>'Orç - Prédio'!A605</f>
        <v>06.01.313.03</v>
      </c>
      <c r="B3528" s="1535" t="str">
        <f>'Orç - Prédio'!B605</f>
        <v>ORSE</v>
      </c>
      <c r="C3528" s="1535" t="str">
        <f>'Orç - Prédio'!C605</f>
        <v>8194 MOD 3</v>
      </c>
      <c r="D3528" s="1536" t="s">
        <v>8965</v>
      </c>
      <c r="E3528" s="1523">
        <f>'Orç - Prédio'!E605</f>
        <v>9</v>
      </c>
      <c r="F3528" s="1535" t="s">
        <v>5284</v>
      </c>
      <c r="G3528" s="1524">
        <v>163.69</v>
      </c>
      <c r="H3528" s="1525">
        <f>H3536</f>
        <v>1473.21</v>
      </c>
      <c r="I3528" s="1910" t="s">
        <v>9564</v>
      </c>
      <c r="J3528" s="1793"/>
      <c r="K3528" s="1793"/>
      <c r="L3528" s="141"/>
      <c r="M3528" s="1515"/>
    </row>
    <row r="3529" spans="1:13" s="156" customFormat="1" ht="30" x14ac:dyDescent="0.2">
      <c r="A3529" s="2144">
        <v>39456</v>
      </c>
      <c r="B3529" s="2144"/>
      <c r="C3529" s="1516" t="s">
        <v>4448</v>
      </c>
      <c r="D3529" s="182" t="s">
        <v>11525</v>
      </c>
      <c r="E3529" s="1527">
        <v>1</v>
      </c>
      <c r="F3529" s="1618" t="s">
        <v>39</v>
      </c>
      <c r="G3529" s="1529">
        <v>142.46</v>
      </c>
      <c r="H3529" s="1530">
        <f>ROUNDDOWN(G3529*E3529,2)</f>
        <v>142.46</v>
      </c>
      <c r="I3529" s="1642"/>
      <c r="J3529" s="1797"/>
      <c r="K3529" s="1797"/>
      <c r="L3529" s="1784"/>
      <c r="M3529" s="1785"/>
    </row>
    <row r="3530" spans="1:13" s="156" customFormat="1" ht="30" x14ac:dyDescent="0.2">
      <c r="A3530" s="2144">
        <v>88264</v>
      </c>
      <c r="B3530" s="2144"/>
      <c r="C3530" s="1516" t="s">
        <v>4448</v>
      </c>
      <c r="D3530" s="182" t="s">
        <v>81</v>
      </c>
      <c r="E3530" s="1527">
        <v>0.6</v>
      </c>
      <c r="F3530" s="1618" t="s">
        <v>65</v>
      </c>
      <c r="G3530" s="1529">
        <v>20.329999999999998</v>
      </c>
      <c r="H3530" s="1530">
        <f>ROUNDDOWN(G3530*E3530,2)</f>
        <v>12.19</v>
      </c>
      <c r="I3530" s="1642"/>
      <c r="J3530" s="1797"/>
      <c r="K3530" s="1797"/>
      <c r="L3530" s="1784"/>
      <c r="M3530" s="1785"/>
    </row>
    <row r="3531" spans="1:13" s="156" customFormat="1" ht="30" x14ac:dyDescent="0.2">
      <c r="A3531" s="2144">
        <v>88316</v>
      </c>
      <c r="B3531" s="2144"/>
      <c r="C3531" s="1516" t="s">
        <v>4448</v>
      </c>
      <c r="D3531" s="182" t="s">
        <v>64</v>
      </c>
      <c r="E3531" s="1527">
        <v>0.6</v>
      </c>
      <c r="F3531" s="1618" t="s">
        <v>65</v>
      </c>
      <c r="G3531" s="1529">
        <v>15.08</v>
      </c>
      <c r="H3531" s="1530">
        <f>ROUNDDOWN(G3531*E3531,2)</f>
        <v>9.0399999999999991</v>
      </c>
      <c r="I3531" s="1642"/>
      <c r="J3531" s="1797"/>
      <c r="K3531" s="1797"/>
      <c r="L3531" s="1784"/>
      <c r="M3531" s="1785"/>
    </row>
    <row r="3532" spans="1:13" s="1517" customFormat="1" x14ac:dyDescent="0.25">
      <c r="A3532" s="179"/>
      <c r="B3532" s="179"/>
      <c r="C3532" s="1531"/>
      <c r="D3532" s="2141" t="s">
        <v>124</v>
      </c>
      <c r="E3532" s="2141"/>
      <c r="F3532" s="2141"/>
      <c r="G3532" s="2141"/>
      <c r="H3532" s="267">
        <f>SUMIF(F3529:F3531,("h"),H3529:H3531)</f>
        <v>21.229999999999997</v>
      </c>
      <c r="I3532" s="1830"/>
      <c r="J3532" s="1795"/>
      <c r="K3532" s="1795"/>
      <c r="L3532" s="169"/>
      <c r="M3532" s="1783"/>
    </row>
    <row r="3533" spans="1:13" s="1517" customFormat="1" x14ac:dyDescent="0.25">
      <c r="A3533" s="179"/>
      <c r="B3533" s="179"/>
      <c r="C3533" s="1531"/>
      <c r="D3533" s="2141" t="s">
        <v>125</v>
      </c>
      <c r="E3533" s="2141"/>
      <c r="F3533" s="2141"/>
      <c r="G3533" s="2141"/>
      <c r="H3533" s="267">
        <f>SUMIF(F3529:F3531,"&lt;&gt;h",H3529:H3531)</f>
        <v>142.46</v>
      </c>
      <c r="I3533" s="1830"/>
      <c r="J3533" s="1795"/>
      <c r="K3533" s="1795"/>
      <c r="L3533" s="169"/>
      <c r="M3533" s="1783"/>
    </row>
    <row r="3534" spans="1:13" s="1517" customFormat="1" x14ac:dyDescent="0.25">
      <c r="A3534" s="179"/>
      <c r="B3534" s="179"/>
      <c r="C3534" s="1531"/>
      <c r="D3534" s="2142" t="s">
        <v>126</v>
      </c>
      <c r="E3534" s="2142"/>
      <c r="F3534" s="2142"/>
      <c r="G3534" s="2142"/>
      <c r="H3534" s="1532">
        <f>SUM(H3532:H3533)</f>
        <v>163.69</v>
      </c>
      <c r="I3534" s="1830"/>
      <c r="J3534" s="1795"/>
      <c r="K3534" s="1795"/>
      <c r="L3534" s="169"/>
      <c r="M3534" s="1783"/>
    </row>
    <row r="3535" spans="1:13" s="1517" customFormat="1" x14ac:dyDescent="0.25">
      <c r="A3535" s="179"/>
      <c r="B3535" s="179"/>
      <c r="C3535" s="1531"/>
      <c r="D3535" s="2141" t="s">
        <v>28</v>
      </c>
      <c r="E3535" s="2141"/>
      <c r="F3535" s="2141"/>
      <c r="G3535" s="2141"/>
      <c r="H3535" s="269">
        <f>E3528</f>
        <v>9</v>
      </c>
      <c r="I3535" s="1830"/>
      <c r="J3535" s="1795"/>
      <c r="K3535" s="1795"/>
      <c r="L3535" s="169"/>
      <c r="M3535" s="1783"/>
    </row>
    <row r="3536" spans="1:13" s="1517" customFormat="1" x14ac:dyDescent="0.25">
      <c r="A3536" s="179"/>
      <c r="B3536" s="179"/>
      <c r="C3536" s="1531"/>
      <c r="D3536" s="2142" t="s">
        <v>127</v>
      </c>
      <c r="E3536" s="2142"/>
      <c r="F3536" s="2142"/>
      <c r="G3536" s="2142"/>
      <c r="H3536" s="1532">
        <f>ROUND(H3534*H3535,2)</f>
        <v>1473.21</v>
      </c>
      <c r="I3536" s="1830"/>
      <c r="J3536" s="1795"/>
      <c r="K3536" s="1795"/>
      <c r="L3536" s="169"/>
      <c r="M3536" s="1783"/>
    </row>
    <row r="3537" spans="1:13" s="1517" customFormat="1" x14ac:dyDescent="0.25">
      <c r="A3537" s="179"/>
      <c r="B3537" s="179"/>
      <c r="C3537" s="1531"/>
      <c r="D3537" s="2141" t="s">
        <v>15335</v>
      </c>
      <c r="E3537" s="2141"/>
      <c r="F3537" s="2141"/>
      <c r="G3537" s="2141"/>
      <c r="H3537" s="267">
        <f>ROUND(H3534*$B$13,2)</f>
        <v>44.08</v>
      </c>
      <c r="I3537" s="1830"/>
      <c r="J3537" s="1795"/>
      <c r="K3537" s="1795"/>
      <c r="L3537" s="169"/>
      <c r="M3537" s="1783"/>
    </row>
    <row r="3538" spans="1:13" x14ac:dyDescent="0.25">
      <c r="A3538" s="179"/>
      <c r="B3538" s="179"/>
      <c r="C3538" s="1531"/>
      <c r="D3538" s="2142" t="s">
        <v>7898</v>
      </c>
      <c r="E3538" s="2142"/>
      <c r="F3538" s="2142"/>
      <c r="G3538" s="2142"/>
      <c r="H3538" s="1532">
        <f>H3537+H3534</f>
        <v>207.76999999999998</v>
      </c>
    </row>
    <row r="3539" spans="1:13" x14ac:dyDescent="0.25">
      <c r="A3539" s="1514"/>
      <c r="B3539" s="1514"/>
      <c r="C3539" s="1514"/>
      <c r="F3539" s="1533"/>
      <c r="G3539" s="1534"/>
      <c r="H3539" s="1514"/>
    </row>
    <row r="3540" spans="1:13" s="1517" customFormat="1" x14ac:dyDescent="0.25">
      <c r="A3540" s="146" t="s">
        <v>6</v>
      </c>
      <c r="B3540" s="2143" t="s">
        <v>7</v>
      </c>
      <c r="C3540" s="2143"/>
      <c r="D3540" s="1518" t="s">
        <v>121</v>
      </c>
      <c r="E3540" s="278" t="s">
        <v>5282</v>
      </c>
      <c r="F3540" s="1518" t="s">
        <v>31</v>
      </c>
      <c r="G3540" s="1519" t="s">
        <v>122</v>
      </c>
      <c r="H3540" s="1520" t="s">
        <v>123</v>
      </c>
      <c r="I3540" s="1830"/>
      <c r="J3540" s="1795"/>
      <c r="K3540" s="1795"/>
      <c r="L3540" s="169"/>
      <c r="M3540" s="1783"/>
    </row>
    <row r="3541" spans="1:13" s="1526" customFormat="1" ht="45" x14ac:dyDescent="0.2">
      <c r="A3541" s="1535" t="str">
        <f>'Orç - Prédio'!A606</f>
        <v>06.01.313.04</v>
      </c>
      <c r="B3541" s="1535" t="str">
        <f>'Orç - Prédio'!B606</f>
        <v>ORSE</v>
      </c>
      <c r="C3541" s="1535" t="str">
        <f>'Orç - Prédio'!C606</f>
        <v>8194 MOD 4</v>
      </c>
      <c r="D3541" s="1536" t="s">
        <v>8966</v>
      </c>
      <c r="E3541" s="1523">
        <f>'Orç - Prédio'!E606</f>
        <v>4</v>
      </c>
      <c r="F3541" s="1535" t="s">
        <v>5284</v>
      </c>
      <c r="G3541" s="1524">
        <v>176.54</v>
      </c>
      <c r="H3541" s="1525">
        <f>H3549</f>
        <v>706.16</v>
      </c>
      <c r="I3541" s="1910" t="s">
        <v>9564</v>
      </c>
      <c r="J3541" s="1793"/>
      <c r="K3541" s="1793"/>
      <c r="L3541" s="141"/>
      <c r="M3541" s="1515"/>
    </row>
    <row r="3542" spans="1:13" s="156" customFormat="1" ht="30" x14ac:dyDescent="0.2">
      <c r="A3542" s="2144">
        <v>39457</v>
      </c>
      <c r="B3542" s="2144"/>
      <c r="C3542" s="1516" t="s">
        <v>4448</v>
      </c>
      <c r="D3542" s="182" t="s">
        <v>11526</v>
      </c>
      <c r="E3542" s="1527">
        <v>1</v>
      </c>
      <c r="F3542" s="1618" t="s">
        <v>39</v>
      </c>
      <c r="G3542" s="1529">
        <v>155.31</v>
      </c>
      <c r="H3542" s="1530">
        <f>ROUNDDOWN(G3542*E3542,2)</f>
        <v>155.31</v>
      </c>
      <c r="I3542" s="1642"/>
      <c r="J3542" s="1797"/>
      <c r="K3542" s="1797"/>
      <c r="L3542" s="1784"/>
      <c r="M3542" s="1785"/>
    </row>
    <row r="3543" spans="1:13" s="156" customFormat="1" ht="30" x14ac:dyDescent="0.2">
      <c r="A3543" s="2144">
        <v>88264</v>
      </c>
      <c r="B3543" s="2144"/>
      <c r="C3543" s="1516" t="s">
        <v>4448</v>
      </c>
      <c r="D3543" s="182" t="s">
        <v>81</v>
      </c>
      <c r="E3543" s="1527">
        <v>0.6</v>
      </c>
      <c r="F3543" s="1618" t="s">
        <v>65</v>
      </c>
      <c r="G3543" s="1529">
        <v>20.329999999999998</v>
      </c>
      <c r="H3543" s="1530">
        <f>ROUNDDOWN(G3543*E3543,2)</f>
        <v>12.19</v>
      </c>
      <c r="I3543" s="1642"/>
      <c r="J3543" s="1797"/>
      <c r="K3543" s="1797"/>
      <c r="L3543" s="1784"/>
      <c r="M3543" s="1785"/>
    </row>
    <row r="3544" spans="1:13" s="156" customFormat="1" ht="30" x14ac:dyDescent="0.2">
      <c r="A3544" s="2144">
        <v>88316</v>
      </c>
      <c r="B3544" s="2144"/>
      <c r="C3544" s="1516" t="s">
        <v>4448</v>
      </c>
      <c r="D3544" s="182" t="s">
        <v>64</v>
      </c>
      <c r="E3544" s="1527">
        <v>0.6</v>
      </c>
      <c r="F3544" s="1618" t="s">
        <v>65</v>
      </c>
      <c r="G3544" s="1529">
        <v>15.08</v>
      </c>
      <c r="H3544" s="1530">
        <f>ROUNDDOWN(G3544*E3544,2)</f>
        <v>9.0399999999999991</v>
      </c>
      <c r="I3544" s="1642"/>
      <c r="J3544" s="1797"/>
      <c r="K3544" s="1797"/>
      <c r="L3544" s="1784"/>
      <c r="M3544" s="1785"/>
    </row>
    <row r="3545" spans="1:13" s="1517" customFormat="1" x14ac:dyDescent="0.25">
      <c r="A3545" s="179"/>
      <c r="B3545" s="179"/>
      <c r="C3545" s="1531"/>
      <c r="D3545" s="2141" t="s">
        <v>124</v>
      </c>
      <c r="E3545" s="2141"/>
      <c r="F3545" s="2141"/>
      <c r="G3545" s="2141"/>
      <c r="H3545" s="267">
        <f>SUMIF(F3542:F3544,("h"),H3542:H3544)</f>
        <v>21.229999999999997</v>
      </c>
      <c r="I3545" s="1830"/>
      <c r="J3545" s="1795"/>
      <c r="K3545" s="1795"/>
      <c r="L3545" s="169"/>
      <c r="M3545" s="1783"/>
    </row>
    <row r="3546" spans="1:13" s="1517" customFormat="1" x14ac:dyDescent="0.25">
      <c r="A3546" s="179"/>
      <c r="B3546" s="179"/>
      <c r="C3546" s="1531"/>
      <c r="D3546" s="2141" t="s">
        <v>125</v>
      </c>
      <c r="E3546" s="2141"/>
      <c r="F3546" s="2141"/>
      <c r="G3546" s="2141"/>
      <c r="H3546" s="267">
        <f>SUMIF(F3542:F3544,"&lt;&gt;h",H3542:H3544)</f>
        <v>155.31</v>
      </c>
      <c r="I3546" s="1830"/>
      <c r="J3546" s="1795"/>
      <c r="K3546" s="1795"/>
      <c r="L3546" s="169"/>
      <c r="M3546" s="1783"/>
    </row>
    <row r="3547" spans="1:13" s="1517" customFormat="1" x14ac:dyDescent="0.25">
      <c r="A3547" s="179"/>
      <c r="B3547" s="179"/>
      <c r="C3547" s="1531"/>
      <c r="D3547" s="2142" t="s">
        <v>126</v>
      </c>
      <c r="E3547" s="2142"/>
      <c r="F3547" s="2142"/>
      <c r="G3547" s="2142"/>
      <c r="H3547" s="1532">
        <f>SUM(H3545:H3546)</f>
        <v>176.54</v>
      </c>
      <c r="I3547" s="1830"/>
      <c r="J3547" s="1795"/>
      <c r="K3547" s="1795"/>
      <c r="L3547" s="169"/>
      <c r="M3547" s="1783"/>
    </row>
    <row r="3548" spans="1:13" s="1517" customFormat="1" x14ac:dyDescent="0.25">
      <c r="A3548" s="179"/>
      <c r="B3548" s="179"/>
      <c r="C3548" s="1531"/>
      <c r="D3548" s="2141" t="s">
        <v>28</v>
      </c>
      <c r="E3548" s="2141"/>
      <c r="F3548" s="2141"/>
      <c r="G3548" s="2141"/>
      <c r="H3548" s="269">
        <f>E3541</f>
        <v>4</v>
      </c>
      <c r="I3548" s="1830"/>
      <c r="J3548" s="1795"/>
      <c r="K3548" s="1795"/>
      <c r="L3548" s="169"/>
      <c r="M3548" s="1783"/>
    </row>
    <row r="3549" spans="1:13" s="1517" customFormat="1" x14ac:dyDescent="0.25">
      <c r="A3549" s="179"/>
      <c r="B3549" s="179"/>
      <c r="C3549" s="1531"/>
      <c r="D3549" s="2142" t="s">
        <v>127</v>
      </c>
      <c r="E3549" s="2142"/>
      <c r="F3549" s="2142"/>
      <c r="G3549" s="2142"/>
      <c r="H3549" s="1532">
        <f>ROUND(H3547*H3548,2)</f>
        <v>706.16</v>
      </c>
      <c r="I3549" s="1830"/>
      <c r="J3549" s="1795"/>
      <c r="K3549" s="1795"/>
      <c r="L3549" s="169"/>
      <c r="M3549" s="1783"/>
    </row>
    <row r="3550" spans="1:13" s="1517" customFormat="1" x14ac:dyDescent="0.25">
      <c r="A3550" s="179"/>
      <c r="B3550" s="179"/>
      <c r="C3550" s="1531"/>
      <c r="D3550" s="2141" t="s">
        <v>15335</v>
      </c>
      <c r="E3550" s="2141"/>
      <c r="F3550" s="2141"/>
      <c r="G3550" s="2141"/>
      <c r="H3550" s="267">
        <f>ROUND(H3547*$B$13,2)</f>
        <v>47.54</v>
      </c>
      <c r="I3550" s="1830"/>
      <c r="J3550" s="1795"/>
      <c r="K3550" s="1795"/>
      <c r="L3550" s="169"/>
      <c r="M3550" s="1783"/>
    </row>
    <row r="3551" spans="1:13" x14ac:dyDescent="0.25">
      <c r="A3551" s="179"/>
      <c r="B3551" s="179"/>
      <c r="C3551" s="1531"/>
      <c r="D3551" s="2142" t="s">
        <v>7898</v>
      </c>
      <c r="E3551" s="2142"/>
      <c r="F3551" s="2142"/>
      <c r="G3551" s="2142"/>
      <c r="H3551" s="1532">
        <f>H3550+H3547</f>
        <v>224.07999999999998</v>
      </c>
    </row>
    <row r="3552" spans="1:13" x14ac:dyDescent="0.25">
      <c r="A3552" s="1514"/>
      <c r="B3552" s="1514"/>
      <c r="C3552" s="1514"/>
      <c r="F3552" s="1533"/>
      <c r="G3552" s="1534"/>
      <c r="H3552" s="1514"/>
    </row>
    <row r="3553" spans="1:13" s="1517" customFormat="1" x14ac:dyDescent="0.25">
      <c r="A3553" s="146" t="s">
        <v>6</v>
      </c>
      <c r="B3553" s="2143" t="s">
        <v>7</v>
      </c>
      <c r="C3553" s="2143"/>
      <c r="D3553" s="1518" t="s">
        <v>121</v>
      </c>
      <c r="E3553" s="278" t="s">
        <v>5282</v>
      </c>
      <c r="F3553" s="1518" t="s">
        <v>31</v>
      </c>
      <c r="G3553" s="1519" t="s">
        <v>122</v>
      </c>
      <c r="H3553" s="1520" t="s">
        <v>123</v>
      </c>
      <c r="I3553" s="1830"/>
      <c r="J3553" s="1795"/>
      <c r="K3553" s="1795"/>
      <c r="L3553" s="169"/>
      <c r="M3553" s="1783"/>
    </row>
    <row r="3554" spans="1:13" s="1526" customFormat="1" ht="45" x14ac:dyDescent="0.2">
      <c r="A3554" s="1535" t="str">
        <f>'Orç - Prédio'!A607</f>
        <v>06.01.313.05</v>
      </c>
      <c r="B3554" s="1535" t="str">
        <f>'Orç - Prédio'!B607</f>
        <v>ORSE</v>
      </c>
      <c r="C3554" s="1535" t="str">
        <f>'Orç - Prédio'!C607</f>
        <v>8194 MOD 5</v>
      </c>
      <c r="D3554" s="1536" t="s">
        <v>8967</v>
      </c>
      <c r="E3554" s="1523">
        <f>'Orç - Prédio'!E607</f>
        <v>4</v>
      </c>
      <c r="F3554" s="1535" t="s">
        <v>5284</v>
      </c>
      <c r="G3554" s="1524">
        <v>311.05</v>
      </c>
      <c r="H3554" s="1525">
        <f>H3562</f>
        <v>1244.2</v>
      </c>
      <c r="I3554" s="1910" t="s">
        <v>9564</v>
      </c>
      <c r="J3554" s="1793"/>
      <c r="K3554" s="1793"/>
      <c r="L3554" s="141"/>
      <c r="M3554" s="1515"/>
    </row>
    <row r="3555" spans="1:13" s="156" customFormat="1" ht="30" x14ac:dyDescent="0.2">
      <c r="A3555" s="2144">
        <v>39458</v>
      </c>
      <c r="B3555" s="2144"/>
      <c r="C3555" s="1516" t="s">
        <v>4448</v>
      </c>
      <c r="D3555" s="182" t="s">
        <v>11527</v>
      </c>
      <c r="E3555" s="1527">
        <v>1</v>
      </c>
      <c r="F3555" s="1618" t="s">
        <v>39</v>
      </c>
      <c r="G3555" s="1529">
        <v>289.82</v>
      </c>
      <c r="H3555" s="1530">
        <f>ROUNDDOWN(G3555*E3555,2)</f>
        <v>289.82</v>
      </c>
      <c r="I3555" s="1642"/>
      <c r="J3555" s="1797"/>
      <c r="K3555" s="1797"/>
      <c r="L3555" s="1784"/>
      <c r="M3555" s="1785"/>
    </row>
    <row r="3556" spans="1:13" s="156" customFormat="1" ht="30" x14ac:dyDescent="0.2">
      <c r="A3556" s="2144">
        <v>88264</v>
      </c>
      <c r="B3556" s="2144"/>
      <c r="C3556" s="1516" t="s">
        <v>4448</v>
      </c>
      <c r="D3556" s="182" t="s">
        <v>81</v>
      </c>
      <c r="E3556" s="1527">
        <v>0.6</v>
      </c>
      <c r="F3556" s="1618" t="s">
        <v>65</v>
      </c>
      <c r="G3556" s="1529">
        <v>20.329999999999998</v>
      </c>
      <c r="H3556" s="1530">
        <f>ROUNDDOWN(G3556*E3556,2)</f>
        <v>12.19</v>
      </c>
      <c r="I3556" s="1642"/>
      <c r="J3556" s="1797"/>
      <c r="K3556" s="1797"/>
      <c r="L3556" s="1784"/>
      <c r="M3556" s="1785"/>
    </row>
    <row r="3557" spans="1:13" s="156" customFormat="1" ht="30" x14ac:dyDescent="0.2">
      <c r="A3557" s="2144">
        <v>88316</v>
      </c>
      <c r="B3557" s="2144"/>
      <c r="C3557" s="1516" t="s">
        <v>4448</v>
      </c>
      <c r="D3557" s="182" t="s">
        <v>64</v>
      </c>
      <c r="E3557" s="1527">
        <v>0.6</v>
      </c>
      <c r="F3557" s="1618" t="s">
        <v>65</v>
      </c>
      <c r="G3557" s="1529">
        <v>15.08</v>
      </c>
      <c r="H3557" s="1530">
        <f>ROUNDDOWN(G3557*E3557,2)</f>
        <v>9.0399999999999991</v>
      </c>
      <c r="I3557" s="1642"/>
      <c r="J3557" s="1797"/>
      <c r="K3557" s="1797"/>
      <c r="L3557" s="1784"/>
      <c r="M3557" s="1785"/>
    </row>
    <row r="3558" spans="1:13" s="1517" customFormat="1" x14ac:dyDescent="0.25">
      <c r="A3558" s="179"/>
      <c r="B3558" s="179"/>
      <c r="C3558" s="1531"/>
      <c r="D3558" s="2141" t="s">
        <v>124</v>
      </c>
      <c r="E3558" s="2141"/>
      <c r="F3558" s="2141"/>
      <c r="G3558" s="2141"/>
      <c r="H3558" s="267">
        <f>SUMIF(F3555:F3557,("h"),H3555:H3557)</f>
        <v>21.229999999999997</v>
      </c>
      <c r="I3558" s="1830"/>
      <c r="J3558" s="1795"/>
      <c r="K3558" s="1795"/>
      <c r="L3558" s="169"/>
      <c r="M3558" s="1783"/>
    </row>
    <row r="3559" spans="1:13" s="1517" customFormat="1" x14ac:dyDescent="0.25">
      <c r="A3559" s="179"/>
      <c r="B3559" s="179"/>
      <c r="C3559" s="1531"/>
      <c r="D3559" s="2141" t="s">
        <v>125</v>
      </c>
      <c r="E3559" s="2141"/>
      <c r="F3559" s="2141"/>
      <c r="G3559" s="2141"/>
      <c r="H3559" s="267">
        <f>SUMIF(F3555:F3557,"&lt;&gt;h",H3555:H3557)</f>
        <v>289.82</v>
      </c>
      <c r="I3559" s="1830"/>
      <c r="J3559" s="1795"/>
      <c r="K3559" s="1795"/>
      <c r="L3559" s="169"/>
      <c r="M3559" s="1783"/>
    </row>
    <row r="3560" spans="1:13" s="1517" customFormat="1" x14ac:dyDescent="0.25">
      <c r="A3560" s="179"/>
      <c r="B3560" s="179"/>
      <c r="C3560" s="1531"/>
      <c r="D3560" s="2142" t="s">
        <v>126</v>
      </c>
      <c r="E3560" s="2142"/>
      <c r="F3560" s="2142"/>
      <c r="G3560" s="2142"/>
      <c r="H3560" s="1532">
        <f>SUM(H3558:H3559)</f>
        <v>311.05</v>
      </c>
      <c r="I3560" s="1830"/>
      <c r="J3560" s="1795"/>
      <c r="K3560" s="1795"/>
      <c r="L3560" s="169"/>
      <c r="M3560" s="1783"/>
    </row>
    <row r="3561" spans="1:13" s="1517" customFormat="1" x14ac:dyDescent="0.25">
      <c r="A3561" s="179"/>
      <c r="B3561" s="179"/>
      <c r="C3561" s="1531"/>
      <c r="D3561" s="2141" t="s">
        <v>28</v>
      </c>
      <c r="E3561" s="2141"/>
      <c r="F3561" s="2141"/>
      <c r="G3561" s="2141"/>
      <c r="H3561" s="269">
        <f>E3554</f>
        <v>4</v>
      </c>
      <c r="I3561" s="1830"/>
      <c r="J3561" s="1795"/>
      <c r="K3561" s="1795"/>
      <c r="L3561" s="169"/>
      <c r="M3561" s="1783"/>
    </row>
    <row r="3562" spans="1:13" s="1517" customFormat="1" x14ac:dyDescent="0.25">
      <c r="A3562" s="179"/>
      <c r="B3562" s="179"/>
      <c r="C3562" s="1531"/>
      <c r="D3562" s="2142" t="s">
        <v>127</v>
      </c>
      <c r="E3562" s="2142"/>
      <c r="F3562" s="2142"/>
      <c r="G3562" s="2142"/>
      <c r="H3562" s="1532">
        <f>ROUND(H3560*H3561,2)</f>
        <v>1244.2</v>
      </c>
      <c r="I3562" s="1830"/>
      <c r="J3562" s="1795"/>
      <c r="K3562" s="1795"/>
      <c r="L3562" s="169"/>
      <c r="M3562" s="1783"/>
    </row>
    <row r="3563" spans="1:13" s="1517" customFormat="1" x14ac:dyDescent="0.25">
      <c r="A3563" s="179"/>
      <c r="B3563" s="179"/>
      <c r="C3563" s="1531"/>
      <c r="D3563" s="2141" t="s">
        <v>15335</v>
      </c>
      <c r="E3563" s="2141"/>
      <c r="F3563" s="2141"/>
      <c r="G3563" s="2141"/>
      <c r="H3563" s="267">
        <f>ROUND(H3560*$B$13,2)</f>
        <v>83.77</v>
      </c>
      <c r="I3563" s="1830"/>
      <c r="J3563" s="1795"/>
      <c r="K3563" s="1795"/>
      <c r="L3563" s="169"/>
      <c r="M3563" s="1783"/>
    </row>
    <row r="3564" spans="1:13" x14ac:dyDescent="0.25">
      <c r="A3564" s="179"/>
      <c r="B3564" s="179"/>
      <c r="C3564" s="1531"/>
      <c r="D3564" s="2142" t="s">
        <v>7898</v>
      </c>
      <c r="E3564" s="2142"/>
      <c r="F3564" s="2142"/>
      <c r="G3564" s="2142"/>
      <c r="H3564" s="1532">
        <f>H3563+H3560</f>
        <v>394.82</v>
      </c>
    </row>
    <row r="3565" spans="1:13" x14ac:dyDescent="0.25">
      <c r="A3565" s="1514"/>
      <c r="B3565" s="1514"/>
      <c r="C3565" s="1514"/>
      <c r="F3565" s="1533"/>
      <c r="G3565" s="1534"/>
      <c r="H3565" s="1514"/>
    </row>
    <row r="3566" spans="1:13" s="1517" customFormat="1" x14ac:dyDescent="0.25">
      <c r="A3566" s="146" t="s">
        <v>6</v>
      </c>
      <c r="B3566" s="2143" t="s">
        <v>7</v>
      </c>
      <c r="C3566" s="2143"/>
      <c r="D3566" s="1518" t="s">
        <v>121</v>
      </c>
      <c r="E3566" s="278" t="s">
        <v>5282</v>
      </c>
      <c r="F3566" s="1518" t="s">
        <v>31</v>
      </c>
      <c r="G3566" s="1519" t="s">
        <v>122</v>
      </c>
      <c r="H3566" s="1520" t="s">
        <v>123</v>
      </c>
      <c r="I3566" s="1830"/>
      <c r="J3566" s="1795"/>
      <c r="K3566" s="1795"/>
      <c r="L3566" s="169"/>
      <c r="M3566" s="1783"/>
    </row>
    <row r="3567" spans="1:13" s="1526" customFormat="1" ht="45" x14ac:dyDescent="0.2">
      <c r="A3567" s="1535" t="str">
        <f>'Orç - Prédio'!A608</f>
        <v>06.01.313.06</v>
      </c>
      <c r="B3567" s="1535" t="str">
        <f>'Orç - Prédio'!B608</f>
        <v>ORSE</v>
      </c>
      <c r="C3567" s="1535" t="str">
        <f>'Orç - Prédio'!C608</f>
        <v>8194 MOD 6</v>
      </c>
      <c r="D3567" s="1536" t="s">
        <v>8968</v>
      </c>
      <c r="E3567" s="1523">
        <f>'Orç - Prédio'!E608</f>
        <v>3</v>
      </c>
      <c r="F3567" s="1535" t="s">
        <v>5284</v>
      </c>
      <c r="G3567" s="1524">
        <v>323.11</v>
      </c>
      <c r="H3567" s="1525">
        <f>H3575</f>
        <v>969.33</v>
      </c>
      <c r="I3567" s="1910" t="s">
        <v>9564</v>
      </c>
      <c r="J3567" s="1793"/>
      <c r="K3567" s="1793"/>
      <c r="L3567" s="141"/>
      <c r="M3567" s="1515"/>
    </row>
    <row r="3568" spans="1:13" s="156" customFormat="1" ht="30" x14ac:dyDescent="0.2">
      <c r="A3568" s="2144">
        <v>39449</v>
      </c>
      <c r="B3568" s="2144"/>
      <c r="C3568" s="1516" t="s">
        <v>4448</v>
      </c>
      <c r="D3568" s="182" t="s">
        <v>11523</v>
      </c>
      <c r="E3568" s="1527">
        <v>1</v>
      </c>
      <c r="F3568" s="1618" t="s">
        <v>39</v>
      </c>
      <c r="G3568" s="1529">
        <v>287.7</v>
      </c>
      <c r="H3568" s="1530">
        <f>ROUNDDOWN(G3568*E3568,2)</f>
        <v>287.7</v>
      </c>
      <c r="I3568" s="1642"/>
      <c r="J3568" s="1797"/>
      <c r="K3568" s="1797"/>
      <c r="L3568" s="1784"/>
      <c r="M3568" s="1785"/>
    </row>
    <row r="3569" spans="1:13" s="156" customFormat="1" ht="30" x14ac:dyDescent="0.2">
      <c r="A3569" s="2144">
        <v>88264</v>
      </c>
      <c r="B3569" s="2144"/>
      <c r="C3569" s="1516" t="s">
        <v>4448</v>
      </c>
      <c r="D3569" s="182" t="s">
        <v>81</v>
      </c>
      <c r="E3569" s="1527">
        <v>1</v>
      </c>
      <c r="F3569" s="1618" t="s">
        <v>65</v>
      </c>
      <c r="G3569" s="1529">
        <v>20.329999999999998</v>
      </c>
      <c r="H3569" s="1530">
        <f>ROUNDDOWN(G3569*E3569,2)</f>
        <v>20.329999999999998</v>
      </c>
      <c r="I3569" s="1642"/>
      <c r="J3569" s="1797"/>
      <c r="K3569" s="1797"/>
      <c r="L3569" s="1784"/>
      <c r="M3569" s="1785"/>
    </row>
    <row r="3570" spans="1:13" s="156" customFormat="1" ht="30" x14ac:dyDescent="0.2">
      <c r="A3570" s="2144">
        <v>88316</v>
      </c>
      <c r="B3570" s="2144"/>
      <c r="C3570" s="1516" t="s">
        <v>4448</v>
      </c>
      <c r="D3570" s="182" t="s">
        <v>64</v>
      </c>
      <c r="E3570" s="1527">
        <v>1</v>
      </c>
      <c r="F3570" s="1618" t="s">
        <v>65</v>
      </c>
      <c r="G3570" s="1529">
        <v>15.08</v>
      </c>
      <c r="H3570" s="1530">
        <f>ROUNDDOWN(G3570*E3570,2)</f>
        <v>15.08</v>
      </c>
      <c r="I3570" s="1642"/>
      <c r="J3570" s="1797"/>
      <c r="K3570" s="1797"/>
      <c r="L3570" s="1784"/>
      <c r="M3570" s="1785"/>
    </row>
    <row r="3571" spans="1:13" s="1517" customFormat="1" x14ac:dyDescent="0.25">
      <c r="A3571" s="179"/>
      <c r="B3571" s="179"/>
      <c r="C3571" s="1531"/>
      <c r="D3571" s="2141" t="s">
        <v>124</v>
      </c>
      <c r="E3571" s="2141"/>
      <c r="F3571" s="2141"/>
      <c r="G3571" s="2141"/>
      <c r="H3571" s="267">
        <f>SUMIF(F3568:F3570,("h"),H3568:H3570)</f>
        <v>35.409999999999997</v>
      </c>
      <c r="I3571" s="1830"/>
      <c r="J3571" s="1795"/>
      <c r="K3571" s="1795"/>
      <c r="L3571" s="169"/>
      <c r="M3571" s="1783"/>
    </row>
    <row r="3572" spans="1:13" s="1517" customFormat="1" x14ac:dyDescent="0.25">
      <c r="A3572" s="179"/>
      <c r="B3572" s="179"/>
      <c r="C3572" s="1531"/>
      <c r="D3572" s="2141" t="s">
        <v>125</v>
      </c>
      <c r="E3572" s="2141"/>
      <c r="F3572" s="2141"/>
      <c r="G3572" s="2141"/>
      <c r="H3572" s="267">
        <f>SUMIF(F3568:F3570,"&lt;&gt;h",H3568:H3570)</f>
        <v>287.7</v>
      </c>
      <c r="I3572" s="1830"/>
      <c r="J3572" s="1795"/>
      <c r="K3572" s="1795"/>
      <c r="L3572" s="169"/>
      <c r="M3572" s="1783"/>
    </row>
    <row r="3573" spans="1:13" s="1517" customFormat="1" x14ac:dyDescent="0.25">
      <c r="A3573" s="179"/>
      <c r="B3573" s="179"/>
      <c r="C3573" s="1531"/>
      <c r="D3573" s="2142" t="s">
        <v>126</v>
      </c>
      <c r="E3573" s="2142"/>
      <c r="F3573" s="2142"/>
      <c r="G3573" s="2142"/>
      <c r="H3573" s="1532">
        <f>SUM(H3571:H3572)</f>
        <v>323.11</v>
      </c>
      <c r="I3573" s="1830"/>
      <c r="J3573" s="1795"/>
      <c r="K3573" s="1795"/>
      <c r="L3573" s="169"/>
      <c r="M3573" s="1783"/>
    </row>
    <row r="3574" spans="1:13" s="1517" customFormat="1" x14ac:dyDescent="0.25">
      <c r="A3574" s="179"/>
      <c r="B3574" s="179"/>
      <c r="C3574" s="1531"/>
      <c r="D3574" s="2141" t="s">
        <v>28</v>
      </c>
      <c r="E3574" s="2141"/>
      <c r="F3574" s="2141"/>
      <c r="G3574" s="2141"/>
      <c r="H3574" s="269">
        <f>E3567</f>
        <v>3</v>
      </c>
      <c r="I3574" s="1830"/>
      <c r="J3574" s="1795"/>
      <c r="K3574" s="1795"/>
      <c r="L3574" s="169"/>
      <c r="M3574" s="1783"/>
    </row>
    <row r="3575" spans="1:13" s="1517" customFormat="1" x14ac:dyDescent="0.25">
      <c r="A3575" s="179"/>
      <c r="B3575" s="179"/>
      <c r="C3575" s="1531"/>
      <c r="D3575" s="2142" t="s">
        <v>127</v>
      </c>
      <c r="E3575" s="2142"/>
      <c r="F3575" s="2142"/>
      <c r="G3575" s="2142"/>
      <c r="H3575" s="1532">
        <f>ROUND(H3573*H3574,2)</f>
        <v>969.33</v>
      </c>
      <c r="I3575" s="1830"/>
      <c r="J3575" s="1795"/>
      <c r="K3575" s="1795"/>
      <c r="L3575" s="169"/>
      <c r="M3575" s="1783"/>
    </row>
    <row r="3576" spans="1:13" s="1517" customFormat="1" x14ac:dyDescent="0.25">
      <c r="A3576" s="179"/>
      <c r="B3576" s="179"/>
      <c r="C3576" s="1531"/>
      <c r="D3576" s="2141" t="s">
        <v>15335</v>
      </c>
      <c r="E3576" s="2141"/>
      <c r="F3576" s="2141"/>
      <c r="G3576" s="2141"/>
      <c r="H3576" s="267">
        <f>ROUND(H3573*$B$13,2)</f>
        <v>87.01</v>
      </c>
      <c r="I3576" s="1830"/>
      <c r="J3576" s="1795"/>
      <c r="K3576" s="1795"/>
      <c r="L3576" s="169"/>
      <c r="M3576" s="1783"/>
    </row>
    <row r="3577" spans="1:13" x14ac:dyDescent="0.25">
      <c r="A3577" s="179"/>
      <c r="B3577" s="179"/>
      <c r="C3577" s="1531"/>
      <c r="D3577" s="2142" t="s">
        <v>7898</v>
      </c>
      <c r="E3577" s="2142"/>
      <c r="F3577" s="2142"/>
      <c r="G3577" s="2142"/>
      <c r="H3577" s="1532">
        <f>H3576+H3573</f>
        <v>410.12</v>
      </c>
    </row>
    <row r="3578" spans="1:13" x14ac:dyDescent="0.25">
      <c r="A3578" s="1514"/>
      <c r="B3578" s="1514"/>
      <c r="C3578" s="1514"/>
      <c r="F3578" s="1533"/>
      <c r="G3578" s="1534"/>
      <c r="H3578" s="1514"/>
    </row>
    <row r="3579" spans="1:13" s="1517" customFormat="1" x14ac:dyDescent="0.25">
      <c r="A3579" s="146" t="s">
        <v>6</v>
      </c>
      <c r="B3579" s="2143" t="s">
        <v>7</v>
      </c>
      <c r="C3579" s="2143"/>
      <c r="D3579" s="1518" t="s">
        <v>121</v>
      </c>
      <c r="E3579" s="278" t="s">
        <v>5282</v>
      </c>
      <c r="F3579" s="1518" t="s">
        <v>31</v>
      </c>
      <c r="G3579" s="1519" t="s">
        <v>122</v>
      </c>
      <c r="H3579" s="1520" t="s">
        <v>123</v>
      </c>
      <c r="I3579" s="1830"/>
      <c r="J3579" s="1795"/>
      <c r="K3579" s="1795"/>
      <c r="L3579" s="169"/>
      <c r="M3579" s="1783"/>
    </row>
    <row r="3580" spans="1:13" s="1526" customFormat="1" ht="45" x14ac:dyDescent="0.2">
      <c r="A3580" s="1535" t="str">
        <f>'Orç - Prédio'!A610</f>
        <v>06.01.314.02</v>
      </c>
      <c r="B3580" s="1535" t="str">
        <f>'Orç - Prédio'!B610</f>
        <v>CPOS</v>
      </c>
      <c r="C3580" s="1535" t="str">
        <f>'Orç - Prédio'!C610</f>
        <v>69.05.230 MOD</v>
      </c>
      <c r="D3580" s="1536" t="s">
        <v>7784</v>
      </c>
      <c r="E3580" s="1523">
        <f>'Orç - Prédio'!E610</f>
        <v>1</v>
      </c>
      <c r="F3580" s="1535" t="s">
        <v>5284</v>
      </c>
      <c r="G3580" s="1524">
        <v>53.11</v>
      </c>
      <c r="H3580" s="1525">
        <f>H3587</f>
        <v>53.11</v>
      </c>
      <c r="I3580" s="1910" t="s">
        <v>9564</v>
      </c>
      <c r="J3580" s="1793"/>
      <c r="K3580" s="1793"/>
      <c r="L3580" s="141"/>
      <c r="M3580" s="1515"/>
    </row>
    <row r="3581" spans="1:13" s="156" customFormat="1" ht="30" x14ac:dyDescent="0.2">
      <c r="A3581" s="2144">
        <v>88264</v>
      </c>
      <c r="B3581" s="2144"/>
      <c r="C3581" s="1516" t="s">
        <v>4448</v>
      </c>
      <c r="D3581" s="182" t="s">
        <v>81</v>
      </c>
      <c r="E3581" s="1527">
        <v>1.5</v>
      </c>
      <c r="F3581" s="1669" t="s">
        <v>65</v>
      </c>
      <c r="G3581" s="1529">
        <v>20.329999999999998</v>
      </c>
      <c r="H3581" s="1530">
        <f>ROUNDDOWN(G3581*E3581,2)</f>
        <v>30.49</v>
      </c>
      <c r="I3581" s="1642"/>
      <c r="J3581" s="1797"/>
      <c r="K3581" s="1797"/>
      <c r="L3581" s="1784"/>
      <c r="M3581" s="1785"/>
    </row>
    <row r="3582" spans="1:13" s="156" customFormat="1" ht="30" x14ac:dyDescent="0.2">
      <c r="A3582" s="2144">
        <v>88316</v>
      </c>
      <c r="B3582" s="2144"/>
      <c r="C3582" s="1516" t="s">
        <v>4448</v>
      </c>
      <c r="D3582" s="182" t="s">
        <v>64</v>
      </c>
      <c r="E3582" s="1527">
        <v>1.5</v>
      </c>
      <c r="F3582" s="1669" t="s">
        <v>65</v>
      </c>
      <c r="G3582" s="1529">
        <v>15.08</v>
      </c>
      <c r="H3582" s="1530">
        <f>ROUNDDOWN(G3582*E3582,2)</f>
        <v>22.62</v>
      </c>
      <c r="I3582" s="1642"/>
      <c r="J3582" s="1797"/>
      <c r="K3582" s="1797"/>
      <c r="L3582" s="1784"/>
      <c r="M3582" s="1785"/>
    </row>
    <row r="3583" spans="1:13" s="1517" customFormat="1" x14ac:dyDescent="0.25">
      <c r="A3583" s="179"/>
      <c r="B3583" s="179"/>
      <c r="C3583" s="1531"/>
      <c r="D3583" s="2141" t="s">
        <v>124</v>
      </c>
      <c r="E3583" s="2141"/>
      <c r="F3583" s="2141"/>
      <c r="G3583" s="2141"/>
      <c r="H3583" s="267">
        <f>SUMIF(F3581:F3582,("h"),H3581:H3582)</f>
        <v>53.11</v>
      </c>
      <c r="I3583" s="1830"/>
      <c r="J3583" s="1795"/>
      <c r="K3583" s="1795"/>
      <c r="L3583" s="169"/>
      <c r="M3583" s="1783"/>
    </row>
    <row r="3584" spans="1:13" s="1517" customFormat="1" x14ac:dyDescent="0.25">
      <c r="A3584" s="179"/>
      <c r="B3584" s="179"/>
      <c r="C3584" s="1531"/>
      <c r="D3584" s="2141" t="s">
        <v>125</v>
      </c>
      <c r="E3584" s="2141"/>
      <c r="F3584" s="2141"/>
      <c r="G3584" s="2141"/>
      <c r="H3584" s="267">
        <f>SUMIF(F3581:F3582,"&lt;&gt;h",H3581:H3582)</f>
        <v>0</v>
      </c>
      <c r="I3584" s="1830"/>
      <c r="J3584" s="1795"/>
      <c r="K3584" s="1795"/>
      <c r="L3584" s="169"/>
      <c r="M3584" s="1783"/>
    </row>
    <row r="3585" spans="1:13" s="1517" customFormat="1" x14ac:dyDescent="0.25">
      <c r="A3585" s="179"/>
      <c r="B3585" s="179"/>
      <c r="C3585" s="1531"/>
      <c r="D3585" s="2142" t="s">
        <v>126</v>
      </c>
      <c r="E3585" s="2142"/>
      <c r="F3585" s="2142"/>
      <c r="G3585" s="2142"/>
      <c r="H3585" s="1532">
        <f>SUM(H3583:H3584)</f>
        <v>53.11</v>
      </c>
      <c r="I3585" s="1830"/>
      <c r="J3585" s="1795"/>
      <c r="K3585" s="1795"/>
      <c r="L3585" s="169"/>
      <c r="M3585" s="1783"/>
    </row>
    <row r="3586" spans="1:13" s="1517" customFormat="1" x14ac:dyDescent="0.25">
      <c r="A3586" s="179"/>
      <c r="B3586" s="179"/>
      <c r="C3586" s="1531"/>
      <c r="D3586" s="2141" t="s">
        <v>28</v>
      </c>
      <c r="E3586" s="2141"/>
      <c r="F3586" s="2141"/>
      <c r="G3586" s="2141"/>
      <c r="H3586" s="269">
        <f>E3580</f>
        <v>1</v>
      </c>
      <c r="I3586" s="1830"/>
      <c r="J3586" s="1795"/>
      <c r="K3586" s="1795"/>
      <c r="L3586" s="169"/>
      <c r="M3586" s="1783"/>
    </row>
    <row r="3587" spans="1:13" s="1517" customFormat="1" x14ac:dyDescent="0.25">
      <c r="A3587" s="179"/>
      <c r="B3587" s="179"/>
      <c r="C3587" s="1531"/>
      <c r="D3587" s="2142" t="s">
        <v>127</v>
      </c>
      <c r="E3587" s="2142"/>
      <c r="F3587" s="2142"/>
      <c r="G3587" s="2142"/>
      <c r="H3587" s="1532">
        <f>ROUND(H3585*H3586,2)</f>
        <v>53.11</v>
      </c>
      <c r="I3587" s="1830"/>
      <c r="J3587" s="1795"/>
      <c r="K3587" s="1795"/>
      <c r="L3587" s="169"/>
      <c r="M3587" s="1783"/>
    </row>
    <row r="3588" spans="1:13" s="1517" customFormat="1" x14ac:dyDescent="0.25">
      <c r="A3588" s="179"/>
      <c r="B3588" s="179"/>
      <c r="C3588" s="1531"/>
      <c r="D3588" s="2141" t="s">
        <v>15335</v>
      </c>
      <c r="E3588" s="2141"/>
      <c r="F3588" s="2141"/>
      <c r="G3588" s="2141"/>
      <c r="H3588" s="267">
        <f>ROUND(H3585*$B$13,2)</f>
        <v>14.3</v>
      </c>
      <c r="I3588" s="1830"/>
      <c r="J3588" s="1795"/>
      <c r="K3588" s="1795"/>
      <c r="L3588" s="169"/>
      <c r="M3588" s="1783"/>
    </row>
    <row r="3589" spans="1:13" x14ac:dyDescent="0.25">
      <c r="A3589" s="179"/>
      <c r="B3589" s="179"/>
      <c r="C3589" s="1531"/>
      <c r="D3589" s="2142" t="s">
        <v>7898</v>
      </c>
      <c r="E3589" s="2142"/>
      <c r="F3589" s="2142"/>
      <c r="G3589" s="2142"/>
      <c r="H3589" s="1532">
        <f>H3588+H3585</f>
        <v>67.41</v>
      </c>
    </row>
    <row r="3590" spans="1:13" x14ac:dyDescent="0.25">
      <c r="A3590" s="1514"/>
      <c r="B3590" s="1514"/>
      <c r="C3590" s="1514"/>
      <c r="F3590" s="1533"/>
      <c r="G3590" s="1534"/>
      <c r="H3590" s="1514"/>
    </row>
    <row r="3591" spans="1:13" s="1517" customFormat="1" x14ac:dyDescent="0.25">
      <c r="A3591" s="146" t="s">
        <v>6</v>
      </c>
      <c r="B3591" s="2143" t="s">
        <v>7</v>
      </c>
      <c r="C3591" s="2143"/>
      <c r="D3591" s="1518" t="s">
        <v>121</v>
      </c>
      <c r="E3591" s="278" t="s">
        <v>5282</v>
      </c>
      <c r="F3591" s="1518" t="s">
        <v>31</v>
      </c>
      <c r="G3591" s="1519" t="s">
        <v>122</v>
      </c>
      <c r="H3591" s="1520" t="s">
        <v>123</v>
      </c>
      <c r="I3591" s="1830"/>
      <c r="J3591" s="1795"/>
      <c r="K3591" s="1795"/>
      <c r="L3591" s="169"/>
      <c r="M3591" s="1783"/>
    </row>
    <row r="3592" spans="1:13" s="1526" customFormat="1" ht="45" x14ac:dyDescent="0.2">
      <c r="A3592" s="1535" t="str">
        <f>'Orç - Prédio'!A612</f>
        <v>06.01.315.02</v>
      </c>
      <c r="B3592" s="1535" t="str">
        <f>'Orç - Prédio'!B612</f>
        <v>CPOS</v>
      </c>
      <c r="C3592" s="1535" t="str">
        <f>'Orç - Prédio'!C612</f>
        <v>69.06.200 MOD</v>
      </c>
      <c r="D3592" s="1536" t="s">
        <v>7780</v>
      </c>
      <c r="E3592" s="1523">
        <f>'Orç - Prédio'!E612</f>
        <v>1</v>
      </c>
      <c r="F3592" s="1535" t="s">
        <v>5284</v>
      </c>
      <c r="G3592" s="1524">
        <v>100.97999999999999</v>
      </c>
      <c r="H3592" s="1525">
        <f>H3599</f>
        <v>100.98</v>
      </c>
      <c r="I3592" s="1910" t="s">
        <v>9564</v>
      </c>
      <c r="J3592" s="1793"/>
      <c r="K3592" s="1793"/>
      <c r="L3592" s="141"/>
      <c r="M3592" s="1515"/>
    </row>
    <row r="3593" spans="1:13" s="156" customFormat="1" ht="30" x14ac:dyDescent="0.2">
      <c r="A3593" s="2144">
        <v>88264</v>
      </c>
      <c r="B3593" s="2144"/>
      <c r="C3593" s="1516" t="s">
        <v>4448</v>
      </c>
      <c r="D3593" s="182" t="s">
        <v>81</v>
      </c>
      <c r="E3593" s="1527">
        <v>2</v>
      </c>
      <c r="F3593" s="1669" t="s">
        <v>65</v>
      </c>
      <c r="G3593" s="1529">
        <v>20.329999999999998</v>
      </c>
      <c r="H3593" s="1530">
        <f>ROUNDDOWN(G3593*E3593,2)</f>
        <v>40.659999999999997</v>
      </c>
      <c r="I3593" s="1642"/>
      <c r="J3593" s="1797"/>
      <c r="K3593" s="1797"/>
      <c r="L3593" s="1784"/>
      <c r="M3593" s="1785"/>
    </row>
    <row r="3594" spans="1:13" s="156" customFormat="1" ht="30" x14ac:dyDescent="0.2">
      <c r="A3594" s="2144">
        <v>88316</v>
      </c>
      <c r="B3594" s="2144"/>
      <c r="C3594" s="1516" t="s">
        <v>4448</v>
      </c>
      <c r="D3594" s="182" t="s">
        <v>64</v>
      </c>
      <c r="E3594" s="1527">
        <v>4</v>
      </c>
      <c r="F3594" s="1669" t="s">
        <v>65</v>
      </c>
      <c r="G3594" s="1529">
        <v>15.08</v>
      </c>
      <c r="H3594" s="1530">
        <f>ROUNDDOWN(G3594*E3594,2)</f>
        <v>60.32</v>
      </c>
      <c r="I3594" s="1642"/>
      <c r="J3594" s="1797"/>
      <c r="K3594" s="1797"/>
      <c r="L3594" s="1784"/>
      <c r="M3594" s="1785"/>
    </row>
    <row r="3595" spans="1:13" s="1517" customFormat="1" x14ac:dyDescent="0.25">
      <c r="A3595" s="179"/>
      <c r="B3595" s="179"/>
      <c r="C3595" s="1531"/>
      <c r="D3595" s="2141" t="s">
        <v>124</v>
      </c>
      <c r="E3595" s="2141"/>
      <c r="F3595" s="2141"/>
      <c r="G3595" s="2141"/>
      <c r="H3595" s="267">
        <f>SUMIF(F3593:F3594,("h"),H3593:H3594)</f>
        <v>100.97999999999999</v>
      </c>
      <c r="I3595" s="1830"/>
      <c r="J3595" s="1795"/>
      <c r="K3595" s="1795"/>
      <c r="L3595" s="169"/>
      <c r="M3595" s="1783"/>
    </row>
    <row r="3596" spans="1:13" s="1517" customFormat="1" x14ac:dyDescent="0.25">
      <c r="A3596" s="179"/>
      <c r="B3596" s="179"/>
      <c r="C3596" s="1531"/>
      <c r="D3596" s="2141" t="s">
        <v>125</v>
      </c>
      <c r="E3596" s="2141"/>
      <c r="F3596" s="2141"/>
      <c r="G3596" s="2141"/>
      <c r="H3596" s="267">
        <f>SUMIF(F3593:F3594,"&lt;&gt;h",H3593:H3594)</f>
        <v>0</v>
      </c>
      <c r="I3596" s="1830"/>
      <c r="J3596" s="1795"/>
      <c r="K3596" s="1795"/>
      <c r="L3596" s="169"/>
      <c r="M3596" s="1783"/>
    </row>
    <row r="3597" spans="1:13" s="1517" customFormat="1" x14ac:dyDescent="0.25">
      <c r="A3597" s="179"/>
      <c r="B3597" s="179"/>
      <c r="C3597" s="1531"/>
      <c r="D3597" s="2142" t="s">
        <v>126</v>
      </c>
      <c r="E3597" s="2142"/>
      <c r="F3597" s="2142"/>
      <c r="G3597" s="2142"/>
      <c r="H3597" s="1532">
        <f>SUM(H3595:H3596)</f>
        <v>100.97999999999999</v>
      </c>
      <c r="I3597" s="1830"/>
      <c r="J3597" s="1795"/>
      <c r="K3597" s="1795"/>
      <c r="L3597" s="169"/>
      <c r="M3597" s="1783"/>
    </row>
    <row r="3598" spans="1:13" s="1517" customFormat="1" x14ac:dyDescent="0.25">
      <c r="A3598" s="179"/>
      <c r="B3598" s="179"/>
      <c r="C3598" s="1531"/>
      <c r="D3598" s="2141" t="s">
        <v>28</v>
      </c>
      <c r="E3598" s="2141"/>
      <c r="F3598" s="2141"/>
      <c r="G3598" s="2141"/>
      <c r="H3598" s="269">
        <f>E3592</f>
        <v>1</v>
      </c>
      <c r="I3598" s="1830"/>
      <c r="J3598" s="1795"/>
      <c r="K3598" s="1795"/>
      <c r="L3598" s="169"/>
      <c r="M3598" s="1783"/>
    </row>
    <row r="3599" spans="1:13" s="1517" customFormat="1" x14ac:dyDescent="0.25">
      <c r="A3599" s="179"/>
      <c r="B3599" s="179"/>
      <c r="C3599" s="1531"/>
      <c r="D3599" s="2142" t="s">
        <v>127</v>
      </c>
      <c r="E3599" s="2142"/>
      <c r="F3599" s="2142"/>
      <c r="G3599" s="2142"/>
      <c r="H3599" s="1532">
        <f>ROUND(H3597*H3598,2)</f>
        <v>100.98</v>
      </c>
      <c r="I3599" s="1830"/>
      <c r="J3599" s="1795"/>
      <c r="K3599" s="1795"/>
      <c r="L3599" s="169"/>
      <c r="M3599" s="1783"/>
    </row>
    <row r="3600" spans="1:13" s="1517" customFormat="1" x14ac:dyDescent="0.25">
      <c r="A3600" s="179"/>
      <c r="B3600" s="179"/>
      <c r="C3600" s="1531"/>
      <c r="D3600" s="2141" t="s">
        <v>15335</v>
      </c>
      <c r="E3600" s="2141"/>
      <c r="F3600" s="2141"/>
      <c r="G3600" s="2141"/>
      <c r="H3600" s="267">
        <f>ROUND(H3597*$B$13,2)</f>
        <v>27.19</v>
      </c>
      <c r="I3600" s="1830"/>
      <c r="J3600" s="1795"/>
      <c r="K3600" s="1795"/>
      <c r="L3600" s="169"/>
      <c r="M3600" s="1783"/>
    </row>
    <row r="3601" spans="1:13" x14ac:dyDescent="0.25">
      <c r="A3601" s="179"/>
      <c r="B3601" s="179"/>
      <c r="C3601" s="1531"/>
      <c r="D3601" s="2142" t="s">
        <v>7898</v>
      </c>
      <c r="E3601" s="2142"/>
      <c r="F3601" s="2142"/>
      <c r="G3601" s="2142"/>
      <c r="H3601" s="1532">
        <f>H3600+H3597</f>
        <v>128.16999999999999</v>
      </c>
    </row>
    <row r="3602" spans="1:13" x14ac:dyDescent="0.25">
      <c r="A3602" s="1514"/>
      <c r="B3602" s="1514"/>
      <c r="C3602" s="1514"/>
      <c r="F3602" s="1533"/>
      <c r="G3602" s="1534"/>
      <c r="H3602" s="1514"/>
    </row>
    <row r="3603" spans="1:13" s="1517" customFormat="1" x14ac:dyDescent="0.25">
      <c r="A3603" s="146" t="s">
        <v>6</v>
      </c>
      <c r="B3603" s="2143" t="s">
        <v>7</v>
      </c>
      <c r="C3603" s="2143"/>
      <c r="D3603" s="1518" t="s">
        <v>121</v>
      </c>
      <c r="E3603" s="278" t="s">
        <v>5282</v>
      </c>
      <c r="F3603" s="1518" t="s">
        <v>31</v>
      </c>
      <c r="G3603" s="1519" t="s">
        <v>122</v>
      </c>
      <c r="H3603" s="1520" t="s">
        <v>123</v>
      </c>
      <c r="I3603" s="1830"/>
      <c r="J3603" s="1795"/>
      <c r="K3603" s="1795"/>
      <c r="L3603" s="169"/>
      <c r="M3603" s="1783"/>
    </row>
    <row r="3604" spans="1:13" s="1526" customFormat="1" ht="30" x14ac:dyDescent="0.2">
      <c r="A3604" s="1535" t="str">
        <f>'Orç - Prédio'!A613</f>
        <v>06.01.316</v>
      </c>
      <c r="B3604" s="1535" t="str">
        <f>'Orç - Prédio'!B613</f>
        <v>ORSE</v>
      </c>
      <c r="C3604" s="1535">
        <f>'Orç - Prédio'!C613</f>
        <v>11961</v>
      </c>
      <c r="D3604" s="1536" t="s">
        <v>7836</v>
      </c>
      <c r="E3604" s="1523">
        <f>'Orç - Prédio'!E613</f>
        <v>4</v>
      </c>
      <c r="F3604" s="1535" t="s">
        <v>5284</v>
      </c>
      <c r="G3604" s="1524">
        <v>506.34</v>
      </c>
      <c r="H3604" s="1525">
        <f>H3612</f>
        <v>2025.36</v>
      </c>
      <c r="I3604" s="1910" t="s">
        <v>14965</v>
      </c>
      <c r="J3604" s="1793"/>
      <c r="K3604" s="1793"/>
      <c r="L3604" s="141"/>
      <c r="M3604" s="1515"/>
    </row>
    <row r="3605" spans="1:13" s="156" customFormat="1" ht="30" x14ac:dyDescent="0.2">
      <c r="A3605" s="2144">
        <v>12838</v>
      </c>
      <c r="B3605" s="2144"/>
      <c r="C3605" s="1516" t="s">
        <v>5281</v>
      </c>
      <c r="D3605" s="182" t="s">
        <v>7837</v>
      </c>
      <c r="E3605" s="1527">
        <v>1</v>
      </c>
      <c r="F3605" s="1699" t="s">
        <v>31</v>
      </c>
      <c r="G3605" s="367">
        <v>500.33</v>
      </c>
      <c r="H3605" s="1530">
        <f>ROUNDDOWN(G3605*E3605,2)</f>
        <v>500.33</v>
      </c>
      <c r="I3605" s="1642"/>
      <c r="J3605" s="1797"/>
      <c r="K3605" s="1797"/>
      <c r="L3605" s="1784"/>
      <c r="M3605" s="1785"/>
    </row>
    <row r="3606" spans="1:13" s="156" customFormat="1" ht="30" x14ac:dyDescent="0.2">
      <c r="A3606" s="2144">
        <v>88264</v>
      </c>
      <c r="B3606" s="2144"/>
      <c r="C3606" s="1516" t="s">
        <v>4448</v>
      </c>
      <c r="D3606" s="182" t="s">
        <v>81</v>
      </c>
      <c r="E3606" s="1527">
        <v>0.17</v>
      </c>
      <c r="F3606" s="1699" t="s">
        <v>65</v>
      </c>
      <c r="G3606" s="1529">
        <v>20.329999999999998</v>
      </c>
      <c r="H3606" s="1530">
        <f>ROUNDDOWN(G3606*E3606,2)</f>
        <v>3.45</v>
      </c>
      <c r="I3606" s="1642"/>
      <c r="J3606" s="1797"/>
      <c r="K3606" s="1797"/>
      <c r="L3606" s="1784"/>
      <c r="M3606" s="1785"/>
    </row>
    <row r="3607" spans="1:13" s="156" customFormat="1" ht="30" x14ac:dyDescent="0.2">
      <c r="A3607" s="2144">
        <v>88316</v>
      </c>
      <c r="B3607" s="2144"/>
      <c r="C3607" s="1516" t="s">
        <v>4448</v>
      </c>
      <c r="D3607" s="182" t="s">
        <v>64</v>
      </c>
      <c r="E3607" s="1527">
        <v>0.17</v>
      </c>
      <c r="F3607" s="1699" t="s">
        <v>65</v>
      </c>
      <c r="G3607" s="1529">
        <v>15.08</v>
      </c>
      <c r="H3607" s="1530">
        <f>ROUNDDOWN(G3607*E3607,2)</f>
        <v>2.56</v>
      </c>
      <c r="I3607" s="1642"/>
      <c r="J3607" s="1797"/>
      <c r="K3607" s="1797"/>
      <c r="L3607" s="1784"/>
      <c r="M3607" s="1785"/>
    </row>
    <row r="3608" spans="1:13" s="1517" customFormat="1" x14ac:dyDescent="0.25">
      <c r="A3608" s="179"/>
      <c r="B3608" s="179"/>
      <c r="C3608" s="1531"/>
      <c r="D3608" s="2141" t="s">
        <v>124</v>
      </c>
      <c r="E3608" s="2141"/>
      <c r="F3608" s="2141"/>
      <c r="G3608" s="2141"/>
      <c r="H3608" s="267">
        <f>SUMIF(F3605:F3607,("h"),H3605:H3607)</f>
        <v>6.01</v>
      </c>
      <c r="I3608" s="1830"/>
      <c r="J3608" s="1795"/>
      <c r="K3608" s="1795"/>
      <c r="L3608" s="169"/>
      <c r="M3608" s="1783"/>
    </row>
    <row r="3609" spans="1:13" s="1517" customFormat="1" x14ac:dyDescent="0.25">
      <c r="A3609" s="179"/>
      <c r="B3609" s="179"/>
      <c r="C3609" s="1531"/>
      <c r="D3609" s="2141" t="s">
        <v>125</v>
      </c>
      <c r="E3609" s="2141"/>
      <c r="F3609" s="2141"/>
      <c r="G3609" s="2141"/>
      <c r="H3609" s="267">
        <f>SUMIF(F3605:F3607,"&lt;&gt;h",H3605:H3607)</f>
        <v>500.33</v>
      </c>
      <c r="I3609" s="1830"/>
      <c r="J3609" s="1795"/>
      <c r="K3609" s="1795"/>
      <c r="L3609" s="169"/>
      <c r="M3609" s="1783"/>
    </row>
    <row r="3610" spans="1:13" s="1517" customFormat="1" x14ac:dyDescent="0.25">
      <c r="A3610" s="179"/>
      <c r="B3610" s="179"/>
      <c r="C3610" s="1531"/>
      <c r="D3610" s="2142" t="s">
        <v>126</v>
      </c>
      <c r="E3610" s="2142"/>
      <c r="F3610" s="2142"/>
      <c r="G3610" s="2142"/>
      <c r="H3610" s="1532">
        <f>SUM(H3608:H3609)</f>
        <v>506.34</v>
      </c>
      <c r="I3610" s="1830"/>
      <c r="J3610" s="1795"/>
      <c r="K3610" s="1795"/>
      <c r="L3610" s="169"/>
      <c r="M3610" s="1783"/>
    </row>
    <row r="3611" spans="1:13" s="1517" customFormat="1" x14ac:dyDescent="0.25">
      <c r="A3611" s="179"/>
      <c r="B3611" s="179"/>
      <c r="C3611" s="1531"/>
      <c r="D3611" s="2141" t="s">
        <v>28</v>
      </c>
      <c r="E3611" s="2141"/>
      <c r="F3611" s="2141"/>
      <c r="G3611" s="2141"/>
      <c r="H3611" s="269">
        <f>E3604</f>
        <v>4</v>
      </c>
      <c r="I3611" s="1830"/>
      <c r="J3611" s="1795"/>
      <c r="K3611" s="1795"/>
      <c r="L3611" s="169"/>
      <c r="M3611" s="1783"/>
    </row>
    <row r="3612" spans="1:13" s="1517" customFormat="1" x14ac:dyDescent="0.25">
      <c r="A3612" s="179"/>
      <c r="B3612" s="179"/>
      <c r="C3612" s="1531"/>
      <c r="D3612" s="2142" t="s">
        <v>127</v>
      </c>
      <c r="E3612" s="2142"/>
      <c r="F3612" s="2142"/>
      <c r="G3612" s="2142"/>
      <c r="H3612" s="1532">
        <f>ROUND(H3610*H3611,2)</f>
        <v>2025.36</v>
      </c>
      <c r="I3612" s="1830"/>
      <c r="J3612" s="1795"/>
      <c r="K3612" s="1795"/>
      <c r="L3612" s="169"/>
      <c r="M3612" s="1783"/>
    </row>
    <row r="3613" spans="1:13" s="1517" customFormat="1" x14ac:dyDescent="0.25">
      <c r="A3613" s="179"/>
      <c r="B3613" s="179"/>
      <c r="C3613" s="1531"/>
      <c r="D3613" s="2141" t="s">
        <v>15335</v>
      </c>
      <c r="E3613" s="2141"/>
      <c r="F3613" s="2141"/>
      <c r="G3613" s="2141"/>
      <c r="H3613" s="267">
        <f>ROUND(H3610*$B$13,2)</f>
        <v>136.36000000000001</v>
      </c>
      <c r="I3613" s="1830"/>
      <c r="J3613" s="1795"/>
      <c r="K3613" s="1795"/>
      <c r="L3613" s="169"/>
      <c r="M3613" s="1783"/>
    </row>
    <row r="3614" spans="1:13" x14ac:dyDescent="0.25">
      <c r="A3614" s="179"/>
      <c r="B3614" s="179"/>
      <c r="C3614" s="1531"/>
      <c r="D3614" s="2142" t="s">
        <v>7898</v>
      </c>
      <c r="E3614" s="2142"/>
      <c r="F3614" s="2142"/>
      <c r="G3614" s="2142"/>
      <c r="H3614" s="1532">
        <f>H3613+H3610</f>
        <v>642.70000000000005</v>
      </c>
    </row>
    <row r="3615" spans="1:13" x14ac:dyDescent="0.25">
      <c r="A3615" s="1514"/>
      <c r="B3615" s="1514"/>
      <c r="C3615" s="1514"/>
      <c r="F3615" s="1533"/>
      <c r="G3615" s="1534"/>
      <c r="H3615" s="1514"/>
    </row>
    <row r="3616" spans="1:13" s="1517" customFormat="1" x14ac:dyDescent="0.25">
      <c r="A3616" s="146" t="s">
        <v>6</v>
      </c>
      <c r="B3616" s="2143" t="s">
        <v>7</v>
      </c>
      <c r="C3616" s="2143"/>
      <c r="D3616" s="951" t="s">
        <v>121</v>
      </c>
      <c r="E3616" s="278" t="s">
        <v>5282</v>
      </c>
      <c r="F3616" s="951" t="s">
        <v>31</v>
      </c>
      <c r="G3616" s="952" t="s">
        <v>122</v>
      </c>
      <c r="H3616" s="953" t="s">
        <v>123</v>
      </c>
      <c r="I3616" s="1830"/>
      <c r="J3616" s="1795"/>
      <c r="K3616" s="1795"/>
      <c r="L3616" s="169"/>
      <c r="M3616" s="1783"/>
    </row>
    <row r="3617" spans="1:13" s="1526" customFormat="1" ht="105" x14ac:dyDescent="0.2">
      <c r="A3617" s="954" t="str">
        <f>'Orç - Prédio'!A615</f>
        <v>06.01.401.01</v>
      </c>
      <c r="B3617" s="966" t="str">
        <f>'Orç - Prédio'!B615</f>
        <v>CPOS</v>
      </c>
      <c r="C3617" s="966" t="str">
        <f>'Orç - Prédio'!C615</f>
        <v>41.14.620</v>
      </c>
      <c r="D3617" s="967" t="s">
        <v>6166</v>
      </c>
      <c r="E3617" s="955">
        <f>'Orç - Prédio'!E615</f>
        <v>2</v>
      </c>
      <c r="F3617" s="966" t="s">
        <v>5284</v>
      </c>
      <c r="G3617" s="956">
        <v>195.37</v>
      </c>
      <c r="H3617" s="957">
        <f>H3628</f>
        <v>390.74</v>
      </c>
      <c r="I3617" s="1910" t="s">
        <v>14965</v>
      </c>
      <c r="J3617" s="1793"/>
      <c r="K3617" s="1793"/>
      <c r="L3617" s="141"/>
      <c r="M3617" s="1515"/>
    </row>
    <row r="3618" spans="1:13" s="156" customFormat="1" ht="60" x14ac:dyDescent="0.2">
      <c r="A3618" s="2144" t="s">
        <v>6181</v>
      </c>
      <c r="B3618" s="2144"/>
      <c r="C3618" s="950" t="s">
        <v>5696</v>
      </c>
      <c r="D3618" s="968" t="s">
        <v>6182</v>
      </c>
      <c r="E3618" s="958">
        <v>1</v>
      </c>
      <c r="F3618" s="959" t="s">
        <v>31</v>
      </c>
      <c r="G3618" s="367">
        <v>109.79</v>
      </c>
      <c r="H3618" s="961">
        <f t="shared" ref="H3618:H3623" si="155">ROUNDDOWN(G3618*E3618,2)</f>
        <v>109.79</v>
      </c>
      <c r="I3618" s="1642"/>
      <c r="J3618" s="1797"/>
      <c r="K3618" s="1797"/>
      <c r="L3618" s="1784"/>
      <c r="M3618" s="1785"/>
    </row>
    <row r="3619" spans="1:13" s="156" customFormat="1" ht="30" x14ac:dyDescent="0.2">
      <c r="A3619" s="2144">
        <v>20111</v>
      </c>
      <c r="B3619" s="2144"/>
      <c r="C3619" s="950" t="s">
        <v>4448</v>
      </c>
      <c r="D3619" s="182" t="s">
        <v>11896</v>
      </c>
      <c r="E3619" s="958">
        <v>0.01</v>
      </c>
      <c r="F3619" s="959" t="s">
        <v>39</v>
      </c>
      <c r="G3619" s="960">
        <v>10.43</v>
      </c>
      <c r="H3619" s="961">
        <f t="shared" si="155"/>
        <v>0.1</v>
      </c>
      <c r="I3619" s="1642"/>
      <c r="J3619" s="1797"/>
      <c r="K3619" s="1797"/>
      <c r="L3619" s="1784"/>
      <c r="M3619" s="1785"/>
    </row>
    <row r="3620" spans="1:13" s="156" customFormat="1" ht="30" x14ac:dyDescent="0.2">
      <c r="A3620" s="2144">
        <v>12384</v>
      </c>
      <c r="B3620" s="2144"/>
      <c r="C3620" s="950" t="s">
        <v>5281</v>
      </c>
      <c r="D3620" s="977" t="s">
        <v>6183</v>
      </c>
      <c r="E3620" s="958">
        <v>1</v>
      </c>
      <c r="F3620" s="959" t="s">
        <v>31</v>
      </c>
      <c r="G3620" s="367">
        <v>40.049999999999997</v>
      </c>
      <c r="H3620" s="961">
        <f t="shared" si="155"/>
        <v>40.049999999999997</v>
      </c>
      <c r="I3620" s="1642"/>
      <c r="J3620" s="1797"/>
      <c r="K3620" s="1797"/>
      <c r="L3620" s="1784"/>
      <c r="M3620" s="1785"/>
    </row>
    <row r="3621" spans="1:13" s="156" customFormat="1" x14ac:dyDescent="0.2">
      <c r="A3621" s="2144">
        <v>12385</v>
      </c>
      <c r="B3621" s="2144"/>
      <c r="C3621" s="950" t="s">
        <v>5281</v>
      </c>
      <c r="D3621" s="977" t="s">
        <v>6184</v>
      </c>
      <c r="E3621" s="958">
        <v>2</v>
      </c>
      <c r="F3621" s="979" t="s">
        <v>31</v>
      </c>
      <c r="G3621" s="367">
        <v>6.94</v>
      </c>
      <c r="H3621" s="961">
        <f t="shared" si="155"/>
        <v>13.88</v>
      </c>
      <c r="I3621" s="1642"/>
      <c r="J3621" s="1797"/>
      <c r="K3621" s="1797"/>
      <c r="L3621" s="1784"/>
      <c r="M3621" s="1785"/>
    </row>
    <row r="3622" spans="1:13" s="156" customFormat="1" ht="30" x14ac:dyDescent="0.2">
      <c r="A3622" s="2144">
        <v>88264</v>
      </c>
      <c r="B3622" s="2144"/>
      <c r="C3622" s="950" t="s">
        <v>4448</v>
      </c>
      <c r="D3622" s="182" t="s">
        <v>81</v>
      </c>
      <c r="E3622" s="958">
        <v>0.99560000000000004</v>
      </c>
      <c r="F3622" s="959" t="s">
        <v>65</v>
      </c>
      <c r="G3622" s="960">
        <v>20.329999999999998</v>
      </c>
      <c r="H3622" s="961">
        <f t="shared" si="155"/>
        <v>20.239999999999998</v>
      </c>
      <c r="I3622" s="1642"/>
      <c r="J3622" s="1797"/>
      <c r="K3622" s="1797"/>
      <c r="L3622" s="1784"/>
      <c r="M3622" s="1785"/>
    </row>
    <row r="3623" spans="1:13" s="156" customFormat="1" ht="30" x14ac:dyDescent="0.2">
      <c r="A3623" s="2144">
        <v>88247</v>
      </c>
      <c r="B3623" s="2144"/>
      <c r="C3623" s="950" t="s">
        <v>4448</v>
      </c>
      <c r="D3623" s="182" t="s">
        <v>71</v>
      </c>
      <c r="E3623" s="958">
        <v>0.70660000000000001</v>
      </c>
      <c r="F3623" s="959" t="s">
        <v>65</v>
      </c>
      <c r="G3623" s="960">
        <v>16.02</v>
      </c>
      <c r="H3623" s="961">
        <f t="shared" si="155"/>
        <v>11.31</v>
      </c>
      <c r="I3623" s="1642"/>
      <c r="J3623" s="1797"/>
      <c r="K3623" s="1797"/>
      <c r="L3623" s="1784"/>
      <c r="M3623" s="1785"/>
    </row>
    <row r="3624" spans="1:13" s="1517" customFormat="1" x14ac:dyDescent="0.25">
      <c r="A3624" s="179"/>
      <c r="B3624" s="179"/>
      <c r="C3624" s="962"/>
      <c r="D3624" s="2141" t="s">
        <v>124</v>
      </c>
      <c r="E3624" s="2141"/>
      <c r="F3624" s="2141"/>
      <c r="G3624" s="2141"/>
      <c r="H3624" s="267">
        <f>SUMIF(F3618:F3623,("h"),H3618:H3623)</f>
        <v>31.549999999999997</v>
      </c>
      <c r="I3624" s="1830"/>
      <c r="J3624" s="1795"/>
      <c r="K3624" s="1795"/>
      <c r="L3624" s="169"/>
      <c r="M3624" s="1783"/>
    </row>
    <row r="3625" spans="1:13" s="1517" customFormat="1" x14ac:dyDescent="0.25">
      <c r="A3625" s="179"/>
      <c r="B3625" s="179"/>
      <c r="C3625" s="962"/>
      <c r="D3625" s="2141" t="s">
        <v>125</v>
      </c>
      <c r="E3625" s="2141"/>
      <c r="F3625" s="2141"/>
      <c r="G3625" s="2141"/>
      <c r="H3625" s="267">
        <f>SUMIF(F3618:F3623,"&lt;&gt;h",H3618:H3623)</f>
        <v>163.82</v>
      </c>
      <c r="I3625" s="1830"/>
      <c r="J3625" s="1795"/>
      <c r="K3625" s="1795"/>
      <c r="L3625" s="169"/>
      <c r="M3625" s="1783"/>
    </row>
    <row r="3626" spans="1:13" s="1517" customFormat="1" x14ac:dyDescent="0.25">
      <c r="A3626" s="179"/>
      <c r="B3626" s="179"/>
      <c r="C3626" s="962"/>
      <c r="D3626" s="2142" t="s">
        <v>126</v>
      </c>
      <c r="E3626" s="2142"/>
      <c r="F3626" s="2142"/>
      <c r="G3626" s="2142"/>
      <c r="H3626" s="963">
        <f>SUM(H3624:H3625)</f>
        <v>195.37</v>
      </c>
      <c r="I3626" s="1830"/>
      <c r="J3626" s="1795"/>
      <c r="K3626" s="1795"/>
      <c r="L3626" s="169"/>
      <c r="M3626" s="1783"/>
    </row>
    <row r="3627" spans="1:13" s="1517" customFormat="1" x14ac:dyDescent="0.25">
      <c r="A3627" s="179"/>
      <c r="B3627" s="179"/>
      <c r="C3627" s="962"/>
      <c r="D3627" s="2141" t="s">
        <v>28</v>
      </c>
      <c r="E3627" s="2141"/>
      <c r="F3627" s="2141"/>
      <c r="G3627" s="2141"/>
      <c r="H3627" s="269">
        <f>E3617</f>
        <v>2</v>
      </c>
      <c r="I3627" s="1830"/>
      <c r="J3627" s="1795"/>
      <c r="K3627" s="1795"/>
      <c r="L3627" s="169"/>
      <c r="M3627" s="1783"/>
    </row>
    <row r="3628" spans="1:13" s="1517" customFormat="1" x14ac:dyDescent="0.25">
      <c r="A3628" s="179"/>
      <c r="B3628" s="179"/>
      <c r="C3628" s="962"/>
      <c r="D3628" s="2142" t="s">
        <v>127</v>
      </c>
      <c r="E3628" s="2142"/>
      <c r="F3628" s="2142"/>
      <c r="G3628" s="2142"/>
      <c r="H3628" s="963">
        <f>ROUND(H3626*H3627,2)</f>
        <v>390.74</v>
      </c>
      <c r="I3628" s="1830"/>
      <c r="J3628" s="1795"/>
      <c r="K3628" s="1795"/>
      <c r="L3628" s="169"/>
      <c r="M3628" s="1783"/>
    </row>
    <row r="3629" spans="1:13" s="1517" customFormat="1" x14ac:dyDescent="0.25">
      <c r="A3629" s="179"/>
      <c r="B3629" s="179"/>
      <c r="C3629" s="1531"/>
      <c r="D3629" s="2141" t="s">
        <v>15335</v>
      </c>
      <c r="E3629" s="2141"/>
      <c r="F3629" s="2141"/>
      <c r="G3629" s="2141"/>
      <c r="H3629" s="267">
        <f>ROUND(H3626*$B$13,2)</f>
        <v>52.61</v>
      </c>
      <c r="I3629" s="1830"/>
      <c r="J3629" s="1795"/>
      <c r="K3629" s="1795"/>
      <c r="L3629" s="169"/>
      <c r="M3629" s="1783"/>
    </row>
    <row r="3630" spans="1:13" x14ac:dyDescent="0.25">
      <c r="A3630" s="179"/>
      <c r="B3630" s="179"/>
      <c r="C3630" s="1531"/>
      <c r="D3630" s="2142" t="s">
        <v>7898</v>
      </c>
      <c r="E3630" s="2142"/>
      <c r="F3630" s="2142"/>
      <c r="G3630" s="2142"/>
      <c r="H3630" s="1532">
        <f>H3629+H3626</f>
        <v>247.98000000000002</v>
      </c>
    </row>
    <row r="3631" spans="1:13" x14ac:dyDescent="0.25">
      <c r="A3631" s="949"/>
      <c r="B3631" s="949"/>
      <c r="C3631" s="949"/>
      <c r="F3631" s="964"/>
      <c r="G3631" s="965"/>
      <c r="H3631" s="949"/>
    </row>
    <row r="3632" spans="1:13" s="1517" customFormat="1" x14ac:dyDescent="0.25">
      <c r="A3632" s="146" t="s">
        <v>6</v>
      </c>
      <c r="B3632" s="2143" t="s">
        <v>7</v>
      </c>
      <c r="C3632" s="2143"/>
      <c r="D3632" s="971" t="s">
        <v>121</v>
      </c>
      <c r="E3632" s="278" t="s">
        <v>5282</v>
      </c>
      <c r="F3632" s="971" t="s">
        <v>31</v>
      </c>
      <c r="G3632" s="972" t="s">
        <v>122</v>
      </c>
      <c r="H3632" s="973" t="s">
        <v>123</v>
      </c>
      <c r="I3632" s="1830"/>
      <c r="J3632" s="1795"/>
      <c r="K3632" s="1795"/>
      <c r="L3632" s="169"/>
      <c r="M3632" s="1783"/>
    </row>
    <row r="3633" spans="1:13" s="1526" customFormat="1" ht="120" x14ac:dyDescent="0.2">
      <c r="A3633" s="974" t="str">
        <f>'Orç - Prédio'!A616</f>
        <v>06.01.401.02</v>
      </c>
      <c r="B3633" s="986" t="str">
        <f>'Orç - Prédio'!B616</f>
        <v>CPOS</v>
      </c>
      <c r="C3633" s="993" t="str">
        <f>'Orç - Prédio'!C616</f>
        <v>41.14.770</v>
      </c>
      <c r="D3633" s="994" t="s">
        <v>6167</v>
      </c>
      <c r="E3633" s="992">
        <f>'Orç - Prédio'!E616</f>
        <v>199</v>
      </c>
      <c r="F3633" s="993" t="s">
        <v>5284</v>
      </c>
      <c r="G3633" s="975">
        <v>288.37</v>
      </c>
      <c r="H3633" s="976">
        <f>H3644</f>
        <v>57385.63</v>
      </c>
      <c r="I3633" s="1910" t="s">
        <v>9564</v>
      </c>
      <c r="J3633" s="1793"/>
      <c r="K3633" s="1793"/>
      <c r="L3633" s="141"/>
      <c r="M3633" s="1515"/>
    </row>
    <row r="3634" spans="1:13" s="156" customFormat="1" ht="45" x14ac:dyDescent="0.2">
      <c r="A3634" s="2144" t="s">
        <v>6186</v>
      </c>
      <c r="B3634" s="2144"/>
      <c r="C3634" s="970" t="s">
        <v>5696</v>
      </c>
      <c r="D3634" s="1004" t="s">
        <v>6187</v>
      </c>
      <c r="E3634" s="978">
        <v>1</v>
      </c>
      <c r="F3634" s="979" t="s">
        <v>31</v>
      </c>
      <c r="G3634" s="367">
        <v>146.37</v>
      </c>
      <c r="H3634" s="981">
        <f t="shared" ref="H3634:H3639" si="156">ROUNDDOWN(G3634*E3634,2)</f>
        <v>146.37</v>
      </c>
      <c r="I3634" s="1642"/>
      <c r="J3634" s="1797"/>
      <c r="K3634" s="1797"/>
      <c r="L3634" s="1784"/>
      <c r="M3634" s="1785"/>
    </row>
    <row r="3635" spans="1:13" s="156" customFormat="1" ht="30" x14ac:dyDescent="0.2">
      <c r="A3635" s="2144">
        <v>20111</v>
      </c>
      <c r="B3635" s="2144"/>
      <c r="C3635" s="970" t="s">
        <v>4448</v>
      </c>
      <c r="D3635" s="182" t="s">
        <v>11896</v>
      </c>
      <c r="E3635" s="978">
        <v>0.01</v>
      </c>
      <c r="F3635" s="979" t="s">
        <v>39</v>
      </c>
      <c r="G3635" s="980">
        <v>10.43</v>
      </c>
      <c r="H3635" s="981">
        <f t="shared" si="156"/>
        <v>0.1</v>
      </c>
      <c r="I3635" s="1642"/>
      <c r="J3635" s="1797"/>
      <c r="K3635" s="1797"/>
      <c r="L3635" s="1784"/>
      <c r="M3635" s="1785"/>
    </row>
    <row r="3636" spans="1:13" s="156" customFormat="1" ht="30" x14ac:dyDescent="0.2">
      <c r="A3636" s="2144">
        <v>38782</v>
      </c>
      <c r="B3636" s="2144"/>
      <c r="C3636" s="987" t="s">
        <v>4448</v>
      </c>
      <c r="D3636" s="182" t="s">
        <v>12431</v>
      </c>
      <c r="E3636" s="988">
        <v>4</v>
      </c>
      <c r="F3636" s="989" t="s">
        <v>39</v>
      </c>
      <c r="G3636" s="990">
        <v>7.87</v>
      </c>
      <c r="H3636" s="991">
        <f>ROUNDDOWN(G3636*E3636,2)</f>
        <v>31.48</v>
      </c>
      <c r="I3636" s="1642"/>
      <c r="J3636" s="1797"/>
      <c r="K3636" s="1797"/>
      <c r="L3636" s="1784"/>
      <c r="M3636" s="1785"/>
    </row>
    <row r="3637" spans="1:13" s="156" customFormat="1" ht="30" x14ac:dyDescent="0.2">
      <c r="A3637" s="2144">
        <v>38777</v>
      </c>
      <c r="B3637" s="2144"/>
      <c r="C3637" s="987" t="s">
        <v>4448</v>
      </c>
      <c r="D3637" s="182" t="s">
        <v>13585</v>
      </c>
      <c r="E3637" s="988">
        <v>2</v>
      </c>
      <c r="F3637" s="989" t="s">
        <v>39</v>
      </c>
      <c r="G3637" s="990">
        <v>34.56</v>
      </c>
      <c r="H3637" s="991">
        <f>ROUNDDOWN(G3637*E3637,2)</f>
        <v>69.12</v>
      </c>
      <c r="I3637" s="1642"/>
      <c r="J3637" s="1797"/>
      <c r="K3637" s="1797"/>
      <c r="L3637" s="1784"/>
      <c r="M3637" s="1785"/>
    </row>
    <row r="3638" spans="1:13" s="156" customFormat="1" ht="30" x14ac:dyDescent="0.2">
      <c r="A3638" s="2144">
        <v>88264</v>
      </c>
      <c r="B3638" s="2144"/>
      <c r="C3638" s="970" t="s">
        <v>4448</v>
      </c>
      <c r="D3638" s="182" t="s">
        <v>81</v>
      </c>
      <c r="E3638" s="978">
        <v>1.3912</v>
      </c>
      <c r="F3638" s="979" t="s">
        <v>65</v>
      </c>
      <c r="G3638" s="980">
        <v>20.329999999999998</v>
      </c>
      <c r="H3638" s="981">
        <f t="shared" si="156"/>
        <v>28.28</v>
      </c>
      <c r="I3638" s="1642"/>
      <c r="J3638" s="1797"/>
      <c r="K3638" s="1797"/>
      <c r="L3638" s="1784"/>
      <c r="M3638" s="1785"/>
    </row>
    <row r="3639" spans="1:13" s="156" customFormat="1" ht="30" x14ac:dyDescent="0.2">
      <c r="A3639" s="2144">
        <v>88247</v>
      </c>
      <c r="B3639" s="2144"/>
      <c r="C3639" s="970" t="s">
        <v>4448</v>
      </c>
      <c r="D3639" s="182" t="s">
        <v>71</v>
      </c>
      <c r="E3639" s="978">
        <v>0.81320000000000003</v>
      </c>
      <c r="F3639" s="979" t="s">
        <v>65</v>
      </c>
      <c r="G3639" s="980">
        <v>16.02</v>
      </c>
      <c r="H3639" s="981">
        <f t="shared" si="156"/>
        <v>13.02</v>
      </c>
      <c r="I3639" s="1642"/>
      <c r="J3639" s="1797"/>
      <c r="K3639" s="1797"/>
      <c r="L3639" s="1784"/>
      <c r="M3639" s="1785"/>
    </row>
    <row r="3640" spans="1:13" s="1517" customFormat="1" x14ac:dyDescent="0.25">
      <c r="A3640" s="179"/>
      <c r="B3640" s="179"/>
      <c r="C3640" s="982"/>
      <c r="D3640" s="2141" t="s">
        <v>124</v>
      </c>
      <c r="E3640" s="2141"/>
      <c r="F3640" s="2141"/>
      <c r="G3640" s="2141"/>
      <c r="H3640" s="267">
        <f>SUMIF(F3634:F3639,("h"),H3634:H3639)</f>
        <v>41.3</v>
      </c>
      <c r="I3640" s="1830"/>
      <c r="J3640" s="1795"/>
      <c r="K3640" s="1795"/>
      <c r="L3640" s="169"/>
      <c r="M3640" s="1783"/>
    </row>
    <row r="3641" spans="1:13" s="1517" customFormat="1" x14ac:dyDescent="0.25">
      <c r="A3641" s="179"/>
      <c r="B3641" s="179"/>
      <c r="C3641" s="982"/>
      <c r="D3641" s="2141" t="s">
        <v>125</v>
      </c>
      <c r="E3641" s="2141"/>
      <c r="F3641" s="2141"/>
      <c r="G3641" s="2141"/>
      <c r="H3641" s="267">
        <f>SUMIF(F3634:F3639,"&lt;&gt;h",H3634:H3639)</f>
        <v>247.07</v>
      </c>
      <c r="I3641" s="1830"/>
      <c r="J3641" s="1795"/>
      <c r="K3641" s="1795"/>
      <c r="L3641" s="169"/>
      <c r="M3641" s="1783"/>
    </row>
    <row r="3642" spans="1:13" s="1517" customFormat="1" x14ac:dyDescent="0.25">
      <c r="A3642" s="179"/>
      <c r="B3642" s="179"/>
      <c r="C3642" s="982"/>
      <c r="D3642" s="2142" t="s">
        <v>126</v>
      </c>
      <c r="E3642" s="2142"/>
      <c r="F3642" s="2142"/>
      <c r="G3642" s="2142"/>
      <c r="H3642" s="983">
        <f>SUM(H3640:H3641)</f>
        <v>288.37</v>
      </c>
      <c r="I3642" s="1830"/>
      <c r="J3642" s="1795"/>
      <c r="K3642" s="1795"/>
      <c r="L3642" s="169"/>
      <c r="M3642" s="1783"/>
    </row>
    <row r="3643" spans="1:13" s="1517" customFormat="1" x14ac:dyDescent="0.25">
      <c r="A3643" s="179"/>
      <c r="B3643" s="179"/>
      <c r="C3643" s="982"/>
      <c r="D3643" s="2141" t="s">
        <v>28</v>
      </c>
      <c r="E3643" s="2141"/>
      <c r="F3643" s="2141"/>
      <c r="G3643" s="2141"/>
      <c r="H3643" s="269">
        <f>E3633</f>
        <v>199</v>
      </c>
      <c r="I3643" s="1830"/>
      <c r="J3643" s="1795"/>
      <c r="K3643" s="1795"/>
      <c r="L3643" s="169"/>
      <c r="M3643" s="1783"/>
    </row>
    <row r="3644" spans="1:13" s="1517" customFormat="1" x14ac:dyDescent="0.25">
      <c r="A3644" s="179"/>
      <c r="B3644" s="179"/>
      <c r="C3644" s="982"/>
      <c r="D3644" s="2142" t="s">
        <v>127</v>
      </c>
      <c r="E3644" s="2142"/>
      <c r="F3644" s="2142"/>
      <c r="G3644" s="2142"/>
      <c r="H3644" s="983">
        <f>ROUND(H3642*H3643,2)</f>
        <v>57385.63</v>
      </c>
      <c r="I3644" s="1830"/>
      <c r="J3644" s="1795"/>
      <c r="K3644" s="1795"/>
      <c r="L3644" s="169"/>
      <c r="M3644" s="1783"/>
    </row>
    <row r="3645" spans="1:13" s="1517" customFormat="1" x14ac:dyDescent="0.25">
      <c r="A3645" s="179"/>
      <c r="B3645" s="179"/>
      <c r="C3645" s="1531"/>
      <c r="D3645" s="2141" t="s">
        <v>15335</v>
      </c>
      <c r="E3645" s="2141"/>
      <c r="F3645" s="2141"/>
      <c r="G3645" s="2141"/>
      <c r="H3645" s="267">
        <f>ROUND(H3642*$B$13,2)</f>
        <v>77.66</v>
      </c>
      <c r="I3645" s="1830"/>
      <c r="J3645" s="1795"/>
      <c r="K3645" s="1795"/>
      <c r="L3645" s="169"/>
      <c r="M3645" s="1783"/>
    </row>
    <row r="3646" spans="1:13" x14ac:dyDescent="0.25">
      <c r="A3646" s="179"/>
      <c r="B3646" s="179"/>
      <c r="C3646" s="1531"/>
      <c r="D3646" s="2142" t="s">
        <v>7898</v>
      </c>
      <c r="E3646" s="2142"/>
      <c r="F3646" s="2142"/>
      <c r="G3646" s="2142"/>
      <c r="H3646" s="1532">
        <f>H3645+H3642</f>
        <v>366.03</v>
      </c>
    </row>
    <row r="3647" spans="1:13" x14ac:dyDescent="0.25">
      <c r="A3647" s="969"/>
      <c r="B3647" s="969"/>
      <c r="C3647" s="969"/>
      <c r="F3647" s="984"/>
      <c r="G3647" s="985"/>
      <c r="H3647" s="969"/>
    </row>
    <row r="3648" spans="1:13" s="1517" customFormat="1" x14ac:dyDescent="0.25">
      <c r="A3648" s="146" t="s">
        <v>6</v>
      </c>
      <c r="B3648" s="2143" t="s">
        <v>7</v>
      </c>
      <c r="C3648" s="2143"/>
      <c r="D3648" s="997" t="s">
        <v>121</v>
      </c>
      <c r="E3648" s="278" t="s">
        <v>5282</v>
      </c>
      <c r="F3648" s="997" t="s">
        <v>31</v>
      </c>
      <c r="G3648" s="998" t="s">
        <v>122</v>
      </c>
      <c r="H3648" s="999" t="s">
        <v>123</v>
      </c>
      <c r="I3648" s="1830"/>
      <c r="J3648" s="1795"/>
      <c r="K3648" s="1795"/>
      <c r="L3648" s="169"/>
      <c r="M3648" s="1783"/>
    </row>
    <row r="3649" spans="1:13" s="1526" customFormat="1" ht="135" x14ac:dyDescent="0.2">
      <c r="A3649" s="1000" t="str">
        <f>'Orç - Prédio'!A617</f>
        <v>06.01.401.03</v>
      </c>
      <c r="B3649" s="1013" t="str">
        <f>'Orç - Prédio'!B617</f>
        <v>CPOS</v>
      </c>
      <c r="C3649" s="1013" t="str">
        <f>'Orç - Prédio'!C617</f>
        <v>41.14.430</v>
      </c>
      <c r="D3649" s="1014" t="s">
        <v>6168</v>
      </c>
      <c r="E3649" s="1001">
        <f>'Orç - Prédio'!E617</f>
        <v>83</v>
      </c>
      <c r="F3649" s="1013" t="s">
        <v>5284</v>
      </c>
      <c r="G3649" s="1002">
        <v>287.64</v>
      </c>
      <c r="H3649" s="1003">
        <f>H3660</f>
        <v>23874.12</v>
      </c>
      <c r="I3649" s="1910" t="s">
        <v>9564</v>
      </c>
      <c r="J3649" s="1793"/>
      <c r="K3649" s="1793"/>
      <c r="L3649" s="141"/>
      <c r="M3649" s="1515"/>
    </row>
    <row r="3650" spans="1:13" s="156" customFormat="1" ht="60" x14ac:dyDescent="0.2">
      <c r="A3650" s="2144" t="s">
        <v>8286</v>
      </c>
      <c r="B3650" s="2144"/>
      <c r="C3650" s="1017" t="s">
        <v>5696</v>
      </c>
      <c r="D3650" s="1025" t="s">
        <v>6194</v>
      </c>
      <c r="E3650" s="1026">
        <v>1</v>
      </c>
      <c r="F3650" s="1027" t="s">
        <v>31</v>
      </c>
      <c r="G3650" s="367">
        <v>145.63999999999999</v>
      </c>
      <c r="H3650" s="1008">
        <f t="shared" ref="H3650:H3655" si="157">ROUNDDOWN(G3650*E3650,2)</f>
        <v>145.63999999999999</v>
      </c>
      <c r="I3650" s="1642"/>
      <c r="J3650" s="1797"/>
      <c r="K3650" s="1797"/>
      <c r="L3650" s="1784"/>
      <c r="M3650" s="1785"/>
    </row>
    <row r="3651" spans="1:13" s="156" customFormat="1" ht="30" x14ac:dyDescent="0.2">
      <c r="A3651" s="2144">
        <v>20111</v>
      </c>
      <c r="B3651" s="2144"/>
      <c r="C3651" s="996" t="s">
        <v>4448</v>
      </c>
      <c r="D3651" s="182" t="s">
        <v>11896</v>
      </c>
      <c r="E3651" s="1005">
        <v>0.01</v>
      </c>
      <c r="F3651" s="1006" t="s">
        <v>39</v>
      </c>
      <c r="G3651" s="1007">
        <v>10.43</v>
      </c>
      <c r="H3651" s="1008">
        <f t="shared" si="157"/>
        <v>0.1</v>
      </c>
      <c r="I3651" s="1642"/>
      <c r="J3651" s="1797"/>
      <c r="K3651" s="1797"/>
      <c r="L3651" s="1784"/>
      <c r="M3651" s="1785"/>
    </row>
    <row r="3652" spans="1:13" s="156" customFormat="1" ht="30" x14ac:dyDescent="0.2">
      <c r="A3652" s="2144">
        <v>38782</v>
      </c>
      <c r="B3652" s="2144"/>
      <c r="C3652" s="996" t="s">
        <v>4448</v>
      </c>
      <c r="D3652" s="182" t="s">
        <v>12431</v>
      </c>
      <c r="E3652" s="1005">
        <v>4</v>
      </c>
      <c r="F3652" s="1006" t="s">
        <v>39</v>
      </c>
      <c r="G3652" s="1007">
        <v>7.87</v>
      </c>
      <c r="H3652" s="1008">
        <f t="shared" si="157"/>
        <v>31.48</v>
      </c>
      <c r="I3652" s="1642"/>
      <c r="J3652" s="1797"/>
      <c r="K3652" s="1797"/>
      <c r="L3652" s="1784"/>
      <c r="M3652" s="1785"/>
    </row>
    <row r="3653" spans="1:13" s="156" customFormat="1" ht="30" x14ac:dyDescent="0.2">
      <c r="A3653" s="2144">
        <v>38777</v>
      </c>
      <c r="B3653" s="2144"/>
      <c r="C3653" s="996" t="s">
        <v>4448</v>
      </c>
      <c r="D3653" s="182" t="s">
        <v>13585</v>
      </c>
      <c r="E3653" s="1005">
        <v>2</v>
      </c>
      <c r="F3653" s="1006" t="s">
        <v>39</v>
      </c>
      <c r="G3653" s="1007">
        <v>34.56</v>
      </c>
      <c r="H3653" s="1008">
        <f t="shared" si="157"/>
        <v>69.12</v>
      </c>
      <c r="I3653" s="1642"/>
      <c r="J3653" s="1797"/>
      <c r="K3653" s="1797"/>
      <c r="L3653" s="1784"/>
      <c r="M3653" s="1785"/>
    </row>
    <row r="3654" spans="1:13" s="156" customFormat="1" ht="30" x14ac:dyDescent="0.2">
      <c r="A3654" s="2144">
        <v>88264</v>
      </c>
      <c r="B3654" s="2144"/>
      <c r="C3654" s="996" t="s">
        <v>4448</v>
      </c>
      <c r="D3654" s="182" t="s">
        <v>81</v>
      </c>
      <c r="E3654" s="1005">
        <v>1.3912</v>
      </c>
      <c r="F3654" s="1006" t="s">
        <v>65</v>
      </c>
      <c r="G3654" s="1007">
        <v>20.329999999999998</v>
      </c>
      <c r="H3654" s="1008">
        <f t="shared" si="157"/>
        <v>28.28</v>
      </c>
      <c r="I3654" s="1642"/>
      <c r="J3654" s="1797"/>
      <c r="K3654" s="1797"/>
      <c r="L3654" s="1784"/>
      <c r="M3654" s="1785"/>
    </row>
    <row r="3655" spans="1:13" s="156" customFormat="1" ht="30" x14ac:dyDescent="0.2">
      <c r="A3655" s="2144">
        <v>88247</v>
      </c>
      <c r="B3655" s="2144"/>
      <c r="C3655" s="996" t="s">
        <v>4448</v>
      </c>
      <c r="D3655" s="182" t="s">
        <v>71</v>
      </c>
      <c r="E3655" s="1005">
        <v>0.81320000000000003</v>
      </c>
      <c r="F3655" s="1006" t="s">
        <v>65</v>
      </c>
      <c r="G3655" s="1007">
        <v>16.02</v>
      </c>
      <c r="H3655" s="1008">
        <f t="shared" si="157"/>
        <v>13.02</v>
      </c>
      <c r="I3655" s="1642"/>
      <c r="J3655" s="1797"/>
      <c r="K3655" s="1797"/>
      <c r="L3655" s="1784"/>
      <c r="M3655" s="1785"/>
    </row>
    <row r="3656" spans="1:13" s="1517" customFormat="1" x14ac:dyDescent="0.25">
      <c r="A3656" s="179"/>
      <c r="B3656" s="179"/>
      <c r="C3656" s="1009"/>
      <c r="D3656" s="2141" t="s">
        <v>124</v>
      </c>
      <c r="E3656" s="2141"/>
      <c r="F3656" s="2141"/>
      <c r="G3656" s="2141"/>
      <c r="H3656" s="267">
        <f>SUMIF(F3650:F3655,("h"),H3650:H3655)</f>
        <v>41.3</v>
      </c>
      <c r="I3656" s="1830"/>
      <c r="J3656" s="1795"/>
      <c r="K3656" s="1795"/>
      <c r="L3656" s="169"/>
      <c r="M3656" s="1783"/>
    </row>
    <row r="3657" spans="1:13" s="1517" customFormat="1" x14ac:dyDescent="0.25">
      <c r="A3657" s="179"/>
      <c r="B3657" s="179"/>
      <c r="C3657" s="1009"/>
      <c r="D3657" s="2141" t="s">
        <v>125</v>
      </c>
      <c r="E3657" s="2141"/>
      <c r="F3657" s="2141"/>
      <c r="G3657" s="2141"/>
      <c r="H3657" s="267">
        <f>SUMIF(F3650:F3655,"&lt;&gt;h",H3650:H3655)</f>
        <v>246.33999999999997</v>
      </c>
      <c r="I3657" s="1830"/>
      <c r="J3657" s="1795"/>
      <c r="K3657" s="1795"/>
      <c r="L3657" s="169"/>
      <c r="M3657" s="1783"/>
    </row>
    <row r="3658" spans="1:13" s="1517" customFormat="1" x14ac:dyDescent="0.25">
      <c r="A3658" s="179"/>
      <c r="B3658" s="179"/>
      <c r="C3658" s="1009"/>
      <c r="D3658" s="2142" t="s">
        <v>126</v>
      </c>
      <c r="E3658" s="2142"/>
      <c r="F3658" s="2142"/>
      <c r="G3658" s="2142"/>
      <c r="H3658" s="1010">
        <f>SUM(H3656:H3657)</f>
        <v>287.64</v>
      </c>
      <c r="I3658" s="1830"/>
      <c r="J3658" s="1795"/>
      <c r="K3658" s="1795"/>
      <c r="L3658" s="169"/>
      <c r="M3658" s="1783"/>
    </row>
    <row r="3659" spans="1:13" s="1517" customFormat="1" x14ac:dyDescent="0.25">
      <c r="A3659" s="179"/>
      <c r="B3659" s="179"/>
      <c r="C3659" s="1009"/>
      <c r="D3659" s="2141" t="s">
        <v>28</v>
      </c>
      <c r="E3659" s="2141"/>
      <c r="F3659" s="2141"/>
      <c r="G3659" s="2141"/>
      <c r="H3659" s="269">
        <f>E3649</f>
        <v>83</v>
      </c>
      <c r="I3659" s="1830"/>
      <c r="J3659" s="1795"/>
      <c r="K3659" s="1795"/>
      <c r="L3659" s="169"/>
      <c r="M3659" s="1783"/>
    </row>
    <row r="3660" spans="1:13" s="1517" customFormat="1" x14ac:dyDescent="0.25">
      <c r="A3660" s="179"/>
      <c r="B3660" s="179"/>
      <c r="C3660" s="1009"/>
      <c r="D3660" s="2142" t="s">
        <v>127</v>
      </c>
      <c r="E3660" s="2142"/>
      <c r="F3660" s="2142"/>
      <c r="G3660" s="2142"/>
      <c r="H3660" s="1010">
        <f>ROUND(H3658*H3659,2)</f>
        <v>23874.12</v>
      </c>
      <c r="I3660" s="1830"/>
      <c r="J3660" s="1795"/>
      <c r="K3660" s="1795"/>
      <c r="L3660" s="169"/>
      <c r="M3660" s="1783"/>
    </row>
    <row r="3661" spans="1:13" s="1517" customFormat="1" x14ac:dyDescent="0.25">
      <c r="A3661" s="179"/>
      <c r="B3661" s="179"/>
      <c r="C3661" s="1531"/>
      <c r="D3661" s="2141" t="s">
        <v>15335</v>
      </c>
      <c r="E3661" s="2141"/>
      <c r="F3661" s="2141"/>
      <c r="G3661" s="2141"/>
      <c r="H3661" s="267">
        <f>ROUND(H3658*$B$13,2)</f>
        <v>77.459999999999994</v>
      </c>
      <c r="I3661" s="1830"/>
      <c r="J3661" s="1795"/>
      <c r="K3661" s="1795"/>
      <c r="L3661" s="169"/>
      <c r="M3661" s="1783"/>
    </row>
    <row r="3662" spans="1:13" x14ac:dyDescent="0.25">
      <c r="A3662" s="179"/>
      <c r="B3662" s="179"/>
      <c r="C3662" s="1531"/>
      <c r="D3662" s="2142" t="s">
        <v>7898</v>
      </c>
      <c r="E3662" s="2142"/>
      <c r="F3662" s="2142"/>
      <c r="G3662" s="2142"/>
      <c r="H3662" s="1532">
        <f>H3661+H3658</f>
        <v>365.09999999999997</v>
      </c>
    </row>
    <row r="3663" spans="1:13" x14ac:dyDescent="0.25">
      <c r="A3663" s="995"/>
      <c r="B3663" s="995"/>
      <c r="C3663" s="995"/>
      <c r="F3663" s="1011"/>
      <c r="G3663" s="1012"/>
      <c r="H3663" s="995"/>
    </row>
    <row r="3664" spans="1:13" s="1517" customFormat="1" x14ac:dyDescent="0.25">
      <c r="A3664" s="146" t="s">
        <v>6</v>
      </c>
      <c r="B3664" s="2143" t="s">
        <v>7</v>
      </c>
      <c r="C3664" s="2143"/>
      <c r="D3664" s="1018" t="s">
        <v>121</v>
      </c>
      <c r="E3664" s="278" t="s">
        <v>5282</v>
      </c>
      <c r="F3664" s="1018" t="s">
        <v>31</v>
      </c>
      <c r="G3664" s="1019" t="s">
        <v>122</v>
      </c>
      <c r="H3664" s="1020" t="s">
        <v>123</v>
      </c>
      <c r="I3664" s="1830"/>
      <c r="J3664" s="1795"/>
      <c r="K3664" s="1795"/>
      <c r="L3664" s="169"/>
      <c r="M3664" s="1783"/>
    </row>
    <row r="3665" spans="1:13" s="1526" customFormat="1" ht="105" x14ac:dyDescent="0.2">
      <c r="A3665" s="1021" t="str">
        <f>'Orç - Prédio'!A615</f>
        <v>06.01.401.01</v>
      </c>
      <c r="B3665" s="1034" t="str">
        <f>'Orç - Prédio'!B618</f>
        <v>CPOS</v>
      </c>
      <c r="C3665" s="1034" t="str">
        <f>'Orç - Prédio'!C618</f>
        <v>41.14.310</v>
      </c>
      <c r="D3665" s="1035" t="s">
        <v>6169</v>
      </c>
      <c r="E3665" s="1022">
        <f>'Orç - Prédio'!E618</f>
        <v>38</v>
      </c>
      <c r="F3665" s="1034" t="s">
        <v>5284</v>
      </c>
      <c r="G3665" s="1023">
        <v>117.34</v>
      </c>
      <c r="H3665" s="1024">
        <f>H3676</f>
        <v>4458.92</v>
      </c>
      <c r="I3665" s="1910" t="s">
        <v>9564</v>
      </c>
      <c r="J3665" s="1793"/>
      <c r="K3665" s="1793"/>
      <c r="L3665" s="141"/>
      <c r="M3665" s="1515"/>
    </row>
    <row r="3666" spans="1:13" s="156" customFormat="1" ht="30" x14ac:dyDescent="0.2">
      <c r="A3666" s="2144" t="s">
        <v>6195</v>
      </c>
      <c r="B3666" s="2144"/>
      <c r="C3666" s="1038" t="s">
        <v>5696</v>
      </c>
      <c r="D3666" s="1046" t="s">
        <v>6196</v>
      </c>
      <c r="E3666" s="1047">
        <v>1</v>
      </c>
      <c r="F3666" s="1048" t="s">
        <v>31</v>
      </c>
      <c r="G3666" s="367">
        <v>57.79</v>
      </c>
      <c r="H3666" s="1029">
        <f t="shared" ref="H3666:H3671" si="158">ROUNDDOWN(G3666*E3666,2)</f>
        <v>57.79</v>
      </c>
      <c r="I3666" s="1642"/>
      <c r="J3666" s="1797"/>
      <c r="K3666" s="1797"/>
      <c r="L3666" s="1784"/>
      <c r="M3666" s="1785"/>
    </row>
    <row r="3667" spans="1:13" s="156" customFormat="1" ht="30" x14ac:dyDescent="0.2">
      <c r="A3667" s="2144">
        <v>20111</v>
      </c>
      <c r="B3667" s="2144"/>
      <c r="C3667" s="1016" t="s">
        <v>4448</v>
      </c>
      <c r="D3667" s="182" t="s">
        <v>11896</v>
      </c>
      <c r="E3667" s="1026">
        <v>0.01</v>
      </c>
      <c r="F3667" s="1027" t="s">
        <v>39</v>
      </c>
      <c r="G3667" s="1028">
        <v>10.43</v>
      </c>
      <c r="H3667" s="1029">
        <f t="shared" si="158"/>
        <v>0.1</v>
      </c>
      <c r="I3667" s="1642"/>
      <c r="J3667" s="1797"/>
      <c r="K3667" s="1797"/>
      <c r="L3667" s="1784"/>
      <c r="M3667" s="1785"/>
    </row>
    <row r="3668" spans="1:13" s="156" customFormat="1" ht="30" x14ac:dyDescent="0.2">
      <c r="A3668" s="2144">
        <v>38780</v>
      </c>
      <c r="B3668" s="2144"/>
      <c r="C3668" s="1016" t="s">
        <v>4448</v>
      </c>
      <c r="D3668" s="182" t="s">
        <v>12427</v>
      </c>
      <c r="E3668" s="1026">
        <v>2</v>
      </c>
      <c r="F3668" s="1027" t="s">
        <v>39</v>
      </c>
      <c r="G3668" s="1028">
        <v>11.31</v>
      </c>
      <c r="H3668" s="1029">
        <f t="shared" si="158"/>
        <v>22.62</v>
      </c>
      <c r="I3668" s="1642"/>
      <c r="J3668" s="1797"/>
      <c r="K3668" s="1797"/>
      <c r="L3668" s="1784"/>
      <c r="M3668" s="1785"/>
    </row>
    <row r="3669" spans="1:13" s="156" customFormat="1" ht="30" x14ac:dyDescent="0.2">
      <c r="A3669" s="2144">
        <v>1086</v>
      </c>
      <c r="B3669" s="2144"/>
      <c r="C3669" s="1016" t="s">
        <v>4448</v>
      </c>
      <c r="D3669" s="182" t="s">
        <v>13586</v>
      </c>
      <c r="E3669" s="1026">
        <v>1</v>
      </c>
      <c r="F3669" s="1027" t="s">
        <v>39</v>
      </c>
      <c r="G3669" s="1028">
        <v>18.239999999999998</v>
      </c>
      <c r="H3669" s="1029">
        <f t="shared" si="158"/>
        <v>18.239999999999998</v>
      </c>
      <c r="I3669" s="1642"/>
      <c r="J3669" s="1797"/>
      <c r="K3669" s="1797"/>
      <c r="L3669" s="1784"/>
      <c r="M3669" s="1785"/>
    </row>
    <row r="3670" spans="1:13" s="156" customFormat="1" ht="30" x14ac:dyDescent="0.2">
      <c r="A3670" s="2144">
        <v>88264</v>
      </c>
      <c r="B3670" s="2144"/>
      <c r="C3670" s="1016" t="s">
        <v>4448</v>
      </c>
      <c r="D3670" s="182" t="s">
        <v>81</v>
      </c>
      <c r="E3670" s="1026">
        <v>0.6</v>
      </c>
      <c r="F3670" s="1027" t="s">
        <v>65</v>
      </c>
      <c r="G3670" s="1028">
        <v>20.329999999999998</v>
      </c>
      <c r="H3670" s="1029">
        <f t="shared" si="158"/>
        <v>12.19</v>
      </c>
      <c r="I3670" s="1642"/>
      <c r="J3670" s="1797"/>
      <c r="K3670" s="1797"/>
      <c r="L3670" s="1784"/>
      <c r="M3670" s="1785"/>
    </row>
    <row r="3671" spans="1:13" s="156" customFormat="1" ht="30" x14ac:dyDescent="0.2">
      <c r="A3671" s="2144">
        <v>88247</v>
      </c>
      <c r="B3671" s="2144"/>
      <c r="C3671" s="1016" t="s">
        <v>4448</v>
      </c>
      <c r="D3671" s="182" t="s">
        <v>71</v>
      </c>
      <c r="E3671" s="1026">
        <v>0.4</v>
      </c>
      <c r="F3671" s="1027" t="s">
        <v>65</v>
      </c>
      <c r="G3671" s="1028">
        <v>16.02</v>
      </c>
      <c r="H3671" s="1029">
        <f t="shared" si="158"/>
        <v>6.4</v>
      </c>
      <c r="I3671" s="1642"/>
      <c r="J3671" s="1797"/>
      <c r="K3671" s="1797"/>
      <c r="L3671" s="1784"/>
      <c r="M3671" s="1785"/>
    </row>
    <row r="3672" spans="1:13" s="1517" customFormat="1" x14ac:dyDescent="0.25">
      <c r="A3672" s="179"/>
      <c r="B3672" s="179"/>
      <c r="C3672" s="1030"/>
      <c r="D3672" s="2141" t="s">
        <v>124</v>
      </c>
      <c r="E3672" s="2141"/>
      <c r="F3672" s="2141"/>
      <c r="G3672" s="2141"/>
      <c r="H3672" s="267">
        <f>SUMIF(F3666:F3671,("h"),H3666:H3671)</f>
        <v>18.59</v>
      </c>
      <c r="I3672" s="1830"/>
      <c r="J3672" s="1795"/>
      <c r="K3672" s="1795"/>
      <c r="L3672" s="169"/>
      <c r="M3672" s="1783"/>
    </row>
    <row r="3673" spans="1:13" s="1517" customFormat="1" x14ac:dyDescent="0.25">
      <c r="A3673" s="179"/>
      <c r="B3673" s="179"/>
      <c r="C3673" s="1030"/>
      <c r="D3673" s="2141" t="s">
        <v>125</v>
      </c>
      <c r="E3673" s="2141"/>
      <c r="F3673" s="2141"/>
      <c r="G3673" s="2141"/>
      <c r="H3673" s="267">
        <f>SUMIF(F3666:F3671,"&lt;&gt;h",H3666:H3671)</f>
        <v>98.75</v>
      </c>
      <c r="I3673" s="1830"/>
      <c r="J3673" s="1795"/>
      <c r="K3673" s="1795"/>
      <c r="L3673" s="169"/>
      <c r="M3673" s="1783"/>
    </row>
    <row r="3674" spans="1:13" s="1517" customFormat="1" x14ac:dyDescent="0.25">
      <c r="A3674" s="179"/>
      <c r="B3674" s="179"/>
      <c r="C3674" s="1030"/>
      <c r="D3674" s="2142" t="s">
        <v>126</v>
      </c>
      <c r="E3674" s="2142"/>
      <c r="F3674" s="2142"/>
      <c r="G3674" s="2142"/>
      <c r="H3674" s="1031">
        <f>SUM(H3672:H3673)</f>
        <v>117.34</v>
      </c>
      <c r="I3674" s="1830"/>
      <c r="J3674" s="1795"/>
      <c r="K3674" s="1795"/>
      <c r="L3674" s="169"/>
      <c r="M3674" s="1783"/>
    </row>
    <row r="3675" spans="1:13" s="1517" customFormat="1" x14ac:dyDescent="0.25">
      <c r="A3675" s="179"/>
      <c r="B3675" s="179"/>
      <c r="C3675" s="1030"/>
      <c r="D3675" s="2141" t="s">
        <v>28</v>
      </c>
      <c r="E3675" s="2141"/>
      <c r="F3675" s="2141"/>
      <c r="G3675" s="2141"/>
      <c r="H3675" s="269">
        <f>E3665</f>
        <v>38</v>
      </c>
      <c r="I3675" s="1830"/>
      <c r="J3675" s="1795"/>
      <c r="K3675" s="1795"/>
      <c r="L3675" s="169"/>
      <c r="M3675" s="1783"/>
    </row>
    <row r="3676" spans="1:13" s="1517" customFormat="1" x14ac:dyDescent="0.25">
      <c r="A3676" s="179"/>
      <c r="B3676" s="179"/>
      <c r="C3676" s="1030"/>
      <c r="D3676" s="2142" t="s">
        <v>127</v>
      </c>
      <c r="E3676" s="2142"/>
      <c r="F3676" s="2142"/>
      <c r="G3676" s="2142"/>
      <c r="H3676" s="1031">
        <f>ROUND(H3674*H3675,2)</f>
        <v>4458.92</v>
      </c>
      <c r="I3676" s="1830"/>
      <c r="J3676" s="1795"/>
      <c r="K3676" s="1795"/>
      <c r="L3676" s="169"/>
      <c r="M3676" s="1783"/>
    </row>
    <row r="3677" spans="1:13" s="1517" customFormat="1" x14ac:dyDescent="0.25">
      <c r="A3677" s="179"/>
      <c r="B3677" s="179"/>
      <c r="C3677" s="1531"/>
      <c r="D3677" s="2141" t="s">
        <v>15335</v>
      </c>
      <c r="E3677" s="2141"/>
      <c r="F3677" s="2141"/>
      <c r="G3677" s="2141"/>
      <c r="H3677" s="267">
        <f>ROUND(H3674*$B$13,2)</f>
        <v>31.6</v>
      </c>
      <c r="I3677" s="1830"/>
      <c r="J3677" s="1795"/>
      <c r="K3677" s="1795"/>
      <c r="L3677" s="169"/>
      <c r="M3677" s="1783"/>
    </row>
    <row r="3678" spans="1:13" x14ac:dyDescent="0.25">
      <c r="A3678" s="179"/>
      <c r="B3678" s="179"/>
      <c r="C3678" s="1531"/>
      <c r="D3678" s="2142" t="s">
        <v>7898</v>
      </c>
      <c r="E3678" s="2142"/>
      <c r="F3678" s="2142"/>
      <c r="G3678" s="2142"/>
      <c r="H3678" s="1532">
        <f>H3677+H3674</f>
        <v>148.94</v>
      </c>
    </row>
    <row r="3679" spans="1:13" x14ac:dyDescent="0.25">
      <c r="A3679" s="1015"/>
      <c r="B3679" s="1015"/>
      <c r="C3679" s="1015"/>
      <c r="F3679" s="1032"/>
      <c r="G3679" s="1033"/>
      <c r="H3679" s="1015"/>
    </row>
    <row r="3680" spans="1:13" s="1517" customFormat="1" x14ac:dyDescent="0.25">
      <c r="A3680" s="146" t="s">
        <v>6</v>
      </c>
      <c r="B3680" s="2143" t="s">
        <v>7</v>
      </c>
      <c r="C3680" s="2143"/>
      <c r="D3680" s="1039" t="s">
        <v>121</v>
      </c>
      <c r="E3680" s="278" t="s">
        <v>5282</v>
      </c>
      <c r="F3680" s="1039" t="s">
        <v>31</v>
      </c>
      <c r="G3680" s="1040" t="s">
        <v>122</v>
      </c>
      <c r="H3680" s="1041" t="s">
        <v>123</v>
      </c>
      <c r="I3680" s="1830"/>
      <c r="J3680" s="1795"/>
      <c r="K3680" s="1795"/>
      <c r="L3680" s="169"/>
      <c r="M3680" s="1783"/>
    </row>
    <row r="3681" spans="1:13" s="1526" customFormat="1" ht="150" x14ac:dyDescent="0.2">
      <c r="A3681" s="1042" t="str">
        <f>'Orç - Prédio'!A615</f>
        <v>06.01.401.01</v>
      </c>
      <c r="B3681" s="1055" t="str">
        <f>'Orç - Prédio'!B619</f>
        <v>ORSE</v>
      </c>
      <c r="C3681" s="1055">
        <f>'Orç - Prédio'!C619</f>
        <v>7715</v>
      </c>
      <c r="D3681" s="1056" t="s">
        <v>6170</v>
      </c>
      <c r="E3681" s="1043">
        <f>'Orç - Prédio'!E619</f>
        <v>35</v>
      </c>
      <c r="F3681" s="1055" t="s">
        <v>5284</v>
      </c>
      <c r="G3681" s="1044">
        <v>244.10000000000002</v>
      </c>
      <c r="H3681" s="1045">
        <f>H3692</f>
        <v>8543.5</v>
      </c>
      <c r="I3681" s="1910" t="s">
        <v>14965</v>
      </c>
      <c r="J3681" s="1793"/>
      <c r="K3681" s="1793"/>
      <c r="L3681" s="141"/>
      <c r="M3681" s="1515"/>
    </row>
    <row r="3682" spans="1:13" s="156" customFormat="1" x14ac:dyDescent="0.2">
      <c r="A3682" s="2144">
        <v>7292</v>
      </c>
      <c r="B3682" s="2144"/>
      <c r="C3682" s="1059" t="s">
        <v>5281</v>
      </c>
      <c r="D3682" s="1067" t="s">
        <v>6197</v>
      </c>
      <c r="E3682" s="1068">
        <v>1</v>
      </c>
      <c r="F3682" s="1069" t="s">
        <v>31</v>
      </c>
      <c r="G3682" s="367">
        <v>136.74</v>
      </c>
      <c r="H3682" s="1050">
        <f t="shared" ref="H3682:H3687" si="159">ROUNDDOWN(G3682*E3682,2)</f>
        <v>136.74</v>
      </c>
      <c r="I3682" s="1642"/>
      <c r="J3682" s="1797"/>
      <c r="K3682" s="1797"/>
      <c r="L3682" s="1784"/>
      <c r="M3682" s="1785"/>
    </row>
    <row r="3683" spans="1:13" s="156" customFormat="1" ht="30" x14ac:dyDescent="0.2">
      <c r="A3683" s="2144">
        <v>7331</v>
      </c>
      <c r="B3683" s="2144"/>
      <c r="C3683" s="1059" t="s">
        <v>5281</v>
      </c>
      <c r="D3683" s="1067" t="s">
        <v>6198</v>
      </c>
      <c r="E3683" s="1068">
        <v>1</v>
      </c>
      <c r="F3683" s="1069" t="s">
        <v>31</v>
      </c>
      <c r="G3683" s="367">
        <v>38.18</v>
      </c>
      <c r="H3683" s="1050">
        <f>ROUNDDOWN(G3683*E3683,2)</f>
        <v>38.18</v>
      </c>
      <c r="I3683" s="1642"/>
      <c r="J3683" s="1797"/>
      <c r="K3683" s="1797"/>
      <c r="L3683" s="1784"/>
      <c r="M3683" s="1785"/>
    </row>
    <row r="3684" spans="1:13" s="156" customFormat="1" ht="30" x14ac:dyDescent="0.2">
      <c r="A3684" s="2144">
        <v>38780</v>
      </c>
      <c r="B3684" s="2144"/>
      <c r="C3684" s="1037" t="s">
        <v>4448</v>
      </c>
      <c r="D3684" s="182" t="s">
        <v>12427</v>
      </c>
      <c r="E3684" s="1047">
        <v>2</v>
      </c>
      <c r="F3684" s="1048" t="s">
        <v>39</v>
      </c>
      <c r="G3684" s="1049">
        <v>11.31</v>
      </c>
      <c r="H3684" s="1050">
        <f t="shared" si="159"/>
        <v>22.62</v>
      </c>
      <c r="I3684" s="1642"/>
      <c r="J3684" s="1797"/>
      <c r="K3684" s="1797"/>
      <c r="L3684" s="1784"/>
      <c r="M3684" s="1785"/>
    </row>
    <row r="3685" spans="1:13" s="156" customFormat="1" ht="30" x14ac:dyDescent="0.2">
      <c r="A3685" s="2144">
        <v>1086</v>
      </c>
      <c r="B3685" s="2144"/>
      <c r="C3685" s="1037" t="s">
        <v>4448</v>
      </c>
      <c r="D3685" s="182" t="s">
        <v>13586</v>
      </c>
      <c r="E3685" s="1047">
        <v>1</v>
      </c>
      <c r="F3685" s="1048" t="s">
        <v>39</v>
      </c>
      <c r="G3685" s="1049">
        <v>18.239999999999998</v>
      </c>
      <c r="H3685" s="1050">
        <f t="shared" si="159"/>
        <v>18.239999999999998</v>
      </c>
      <c r="I3685" s="1642"/>
      <c r="J3685" s="1797"/>
      <c r="K3685" s="1797"/>
      <c r="L3685" s="1784"/>
      <c r="M3685" s="1785"/>
    </row>
    <row r="3686" spans="1:13" s="156" customFormat="1" ht="30" x14ac:dyDescent="0.2">
      <c r="A3686" s="2144">
        <v>88264</v>
      </c>
      <c r="B3686" s="2144"/>
      <c r="C3686" s="1037" t="s">
        <v>4448</v>
      </c>
      <c r="D3686" s="182" t="s">
        <v>81</v>
      </c>
      <c r="E3686" s="1047">
        <v>0.8</v>
      </c>
      <c r="F3686" s="1048" t="s">
        <v>65</v>
      </c>
      <c r="G3686" s="1049">
        <v>20.329999999999998</v>
      </c>
      <c r="H3686" s="1050">
        <f t="shared" si="159"/>
        <v>16.260000000000002</v>
      </c>
      <c r="I3686" s="1642"/>
      <c r="J3686" s="1797"/>
      <c r="K3686" s="1797"/>
      <c r="L3686" s="1784"/>
      <c r="M3686" s="1785"/>
    </row>
    <row r="3687" spans="1:13" s="156" customFormat="1" ht="30" x14ac:dyDescent="0.2">
      <c r="A3687" s="2144">
        <v>88316</v>
      </c>
      <c r="B3687" s="2144"/>
      <c r="C3687" s="1037" t="s">
        <v>4448</v>
      </c>
      <c r="D3687" s="182" t="s">
        <v>64</v>
      </c>
      <c r="E3687" s="1047">
        <v>0.8</v>
      </c>
      <c r="F3687" s="1048" t="s">
        <v>65</v>
      </c>
      <c r="G3687" s="1049">
        <v>15.08</v>
      </c>
      <c r="H3687" s="1050">
        <f t="shared" si="159"/>
        <v>12.06</v>
      </c>
      <c r="I3687" s="1642"/>
      <c r="J3687" s="1797"/>
      <c r="K3687" s="1797"/>
      <c r="L3687" s="1784"/>
      <c r="M3687" s="1785"/>
    </row>
    <row r="3688" spans="1:13" s="1517" customFormat="1" x14ac:dyDescent="0.25">
      <c r="A3688" s="179"/>
      <c r="B3688" s="179"/>
      <c r="C3688" s="1051"/>
      <c r="D3688" s="2141" t="s">
        <v>124</v>
      </c>
      <c r="E3688" s="2141"/>
      <c r="F3688" s="2141"/>
      <c r="G3688" s="2141"/>
      <c r="H3688" s="267">
        <f>SUMIF(F3682:F3687,("h"),H3682:H3687)</f>
        <v>28.32</v>
      </c>
      <c r="I3688" s="1830"/>
      <c r="J3688" s="1795"/>
      <c r="K3688" s="1795"/>
      <c r="L3688" s="169"/>
      <c r="M3688" s="1783"/>
    </row>
    <row r="3689" spans="1:13" s="1517" customFormat="1" x14ac:dyDescent="0.25">
      <c r="A3689" s="179"/>
      <c r="B3689" s="179"/>
      <c r="C3689" s="1051"/>
      <c r="D3689" s="2141" t="s">
        <v>125</v>
      </c>
      <c r="E3689" s="2141"/>
      <c r="F3689" s="2141"/>
      <c r="G3689" s="2141"/>
      <c r="H3689" s="267">
        <f>SUMIF(F3682:F3687,"&lt;&gt;h",H3682:H3687)</f>
        <v>215.78000000000003</v>
      </c>
      <c r="I3689" s="1830"/>
      <c r="J3689" s="1795"/>
      <c r="K3689" s="1795"/>
      <c r="L3689" s="169"/>
      <c r="M3689" s="1783"/>
    </row>
    <row r="3690" spans="1:13" s="1517" customFormat="1" x14ac:dyDescent="0.25">
      <c r="A3690" s="179"/>
      <c r="B3690" s="179"/>
      <c r="C3690" s="1051"/>
      <c r="D3690" s="2142" t="s">
        <v>126</v>
      </c>
      <c r="E3690" s="2142"/>
      <c r="F3690" s="2142"/>
      <c r="G3690" s="2142"/>
      <c r="H3690" s="1052">
        <f>SUM(H3688:H3689)</f>
        <v>244.10000000000002</v>
      </c>
      <c r="I3690" s="1830"/>
      <c r="J3690" s="1795"/>
      <c r="K3690" s="1795"/>
      <c r="L3690" s="169"/>
      <c r="M3690" s="1783"/>
    </row>
    <row r="3691" spans="1:13" s="1517" customFormat="1" x14ac:dyDescent="0.25">
      <c r="A3691" s="179"/>
      <c r="B3691" s="179"/>
      <c r="C3691" s="1051"/>
      <c r="D3691" s="2141" t="s">
        <v>28</v>
      </c>
      <c r="E3691" s="2141"/>
      <c r="F3691" s="2141"/>
      <c r="G3691" s="2141"/>
      <c r="H3691" s="269">
        <f>E3681</f>
        <v>35</v>
      </c>
      <c r="I3691" s="1830"/>
      <c r="J3691" s="1795"/>
      <c r="K3691" s="1795"/>
      <c r="L3691" s="169"/>
      <c r="M3691" s="1783"/>
    </row>
    <row r="3692" spans="1:13" s="1517" customFormat="1" x14ac:dyDescent="0.25">
      <c r="A3692" s="179"/>
      <c r="B3692" s="179"/>
      <c r="C3692" s="1051"/>
      <c r="D3692" s="2142" t="s">
        <v>127</v>
      </c>
      <c r="E3692" s="2142"/>
      <c r="F3692" s="2142"/>
      <c r="G3692" s="2142"/>
      <c r="H3692" s="1052">
        <f>ROUND(H3690*H3691,2)</f>
        <v>8543.5</v>
      </c>
      <c r="I3692" s="1830"/>
      <c r="J3692" s="1795"/>
      <c r="K3692" s="1795"/>
      <c r="L3692" s="169"/>
      <c r="M3692" s="1783"/>
    </row>
    <row r="3693" spans="1:13" s="1517" customFormat="1" x14ac:dyDescent="0.25">
      <c r="A3693" s="179"/>
      <c r="B3693" s="179"/>
      <c r="C3693" s="1531"/>
      <c r="D3693" s="2141" t="s">
        <v>15335</v>
      </c>
      <c r="E3693" s="2141"/>
      <c r="F3693" s="2141"/>
      <c r="G3693" s="2141"/>
      <c r="H3693" s="267">
        <f>ROUND(H3690*$B$13,2)</f>
        <v>65.739999999999995</v>
      </c>
      <c r="I3693" s="1830"/>
      <c r="J3693" s="1795"/>
      <c r="K3693" s="1795"/>
      <c r="L3693" s="169"/>
      <c r="M3693" s="1783"/>
    </row>
    <row r="3694" spans="1:13" x14ac:dyDescent="0.25">
      <c r="A3694" s="179"/>
      <c r="B3694" s="179"/>
      <c r="C3694" s="1531"/>
      <c r="D3694" s="2142" t="s">
        <v>7898</v>
      </c>
      <c r="E3694" s="2142"/>
      <c r="F3694" s="2142"/>
      <c r="G3694" s="2142"/>
      <c r="H3694" s="1532">
        <f>H3693+H3690</f>
        <v>309.84000000000003</v>
      </c>
    </row>
    <row r="3695" spans="1:13" x14ac:dyDescent="0.25">
      <c r="A3695" s="1036"/>
      <c r="B3695" s="1036"/>
      <c r="C3695" s="1036"/>
      <c r="F3695" s="1053"/>
      <c r="G3695" s="1054"/>
      <c r="H3695" s="1036"/>
    </row>
    <row r="3696" spans="1:13" s="1517" customFormat="1" x14ac:dyDescent="0.25">
      <c r="A3696" s="146" t="s">
        <v>6</v>
      </c>
      <c r="B3696" s="2143" t="s">
        <v>7</v>
      </c>
      <c r="C3696" s="2143"/>
      <c r="D3696" s="1060" t="s">
        <v>121</v>
      </c>
      <c r="E3696" s="278" t="s">
        <v>5282</v>
      </c>
      <c r="F3696" s="1060" t="s">
        <v>31</v>
      </c>
      <c r="G3696" s="1061" t="s">
        <v>122</v>
      </c>
      <c r="H3696" s="1062" t="s">
        <v>123</v>
      </c>
      <c r="I3696" s="1830"/>
      <c r="J3696" s="1795"/>
      <c r="K3696" s="1795"/>
      <c r="L3696" s="169"/>
      <c r="M3696" s="1783"/>
    </row>
    <row r="3697" spans="1:13" s="1526" customFormat="1" ht="105" x14ac:dyDescent="0.2">
      <c r="A3697" s="1063" t="str">
        <f>'Orç - Prédio'!A620</f>
        <v>06.01.401.06</v>
      </c>
      <c r="B3697" s="1076" t="str">
        <f>'Orç - Prédio'!B620</f>
        <v>SINAPI</v>
      </c>
      <c r="C3697" s="1076" t="str">
        <f>'Orç - Prédio'!C620</f>
        <v>97608 MOD</v>
      </c>
      <c r="D3697" s="1077" t="s">
        <v>6171</v>
      </c>
      <c r="E3697" s="1064">
        <f>'Orç - Prédio'!E620</f>
        <v>4</v>
      </c>
      <c r="F3697" s="1076" t="s">
        <v>5284</v>
      </c>
      <c r="G3697" s="1065">
        <v>65.319999999999993</v>
      </c>
      <c r="H3697" s="1066">
        <f>H3706</f>
        <v>261.27999999999997</v>
      </c>
      <c r="I3697" s="1910" t="s">
        <v>9564</v>
      </c>
      <c r="J3697" s="1793"/>
      <c r="K3697" s="1793"/>
      <c r="L3697" s="141"/>
      <c r="M3697" s="1515"/>
    </row>
    <row r="3698" spans="1:13" s="156" customFormat="1" ht="30" x14ac:dyDescent="0.2">
      <c r="A3698" s="2144">
        <v>38780</v>
      </c>
      <c r="B3698" s="2144"/>
      <c r="C3698" s="1058" t="s">
        <v>4448</v>
      </c>
      <c r="D3698" s="182" t="s">
        <v>12427</v>
      </c>
      <c r="E3698" s="1068">
        <v>1</v>
      </c>
      <c r="F3698" s="1069" t="s">
        <v>39</v>
      </c>
      <c r="G3698" s="1070">
        <v>11.31</v>
      </c>
      <c r="H3698" s="1071">
        <f>ROUNDDOWN(G3698*E3698,2)</f>
        <v>11.31</v>
      </c>
      <c r="I3698" s="1642"/>
      <c r="J3698" s="1797"/>
      <c r="K3698" s="1797"/>
      <c r="L3698" s="1784"/>
      <c r="M3698" s="1785"/>
    </row>
    <row r="3699" spans="1:13" s="156" customFormat="1" ht="60" x14ac:dyDescent="0.2">
      <c r="A3699" s="2144">
        <v>38775</v>
      </c>
      <c r="B3699" s="2144"/>
      <c r="C3699" s="1058" t="s">
        <v>4448</v>
      </c>
      <c r="D3699" s="182" t="s">
        <v>12545</v>
      </c>
      <c r="E3699" s="1068">
        <v>1</v>
      </c>
      <c r="F3699" s="1069" t="s">
        <v>39</v>
      </c>
      <c r="G3699" s="1070">
        <v>39.119999999999997</v>
      </c>
      <c r="H3699" s="1071">
        <f>ROUNDDOWN(G3699*E3699,2)</f>
        <v>39.119999999999997</v>
      </c>
      <c r="I3699" s="1642"/>
      <c r="J3699" s="1797"/>
      <c r="K3699" s="1797"/>
      <c r="L3699" s="1784"/>
      <c r="M3699" s="1785"/>
    </row>
    <row r="3700" spans="1:13" s="156" customFormat="1" ht="30" x14ac:dyDescent="0.2">
      <c r="A3700" s="2144">
        <v>88264</v>
      </c>
      <c r="B3700" s="2144"/>
      <c r="C3700" s="1058" t="s">
        <v>4448</v>
      </c>
      <c r="D3700" s="182" t="s">
        <v>81</v>
      </c>
      <c r="E3700" s="1068">
        <v>0.55179999999999996</v>
      </c>
      <c r="F3700" s="1069" t="s">
        <v>65</v>
      </c>
      <c r="G3700" s="1070">
        <v>20.329999999999998</v>
      </c>
      <c r="H3700" s="1071">
        <f>ROUNDDOWN(G3700*E3700,2)</f>
        <v>11.21</v>
      </c>
      <c r="I3700" s="1642"/>
      <c r="J3700" s="1797"/>
      <c r="K3700" s="1797"/>
      <c r="L3700" s="1784"/>
      <c r="M3700" s="1785"/>
    </row>
    <row r="3701" spans="1:13" s="156" customFormat="1" ht="30" x14ac:dyDescent="0.2">
      <c r="A3701" s="2144">
        <v>88247</v>
      </c>
      <c r="B3701" s="2144"/>
      <c r="C3701" s="1058" t="s">
        <v>4448</v>
      </c>
      <c r="D3701" s="182" t="s">
        <v>71</v>
      </c>
      <c r="E3701" s="1068">
        <v>0.22989999999999999</v>
      </c>
      <c r="F3701" s="1069" t="s">
        <v>65</v>
      </c>
      <c r="G3701" s="1070">
        <v>16.02</v>
      </c>
      <c r="H3701" s="1071">
        <f>ROUNDDOWN(G3701*E3701,2)</f>
        <v>3.68</v>
      </c>
      <c r="I3701" s="1642"/>
      <c r="J3701" s="1797"/>
      <c r="K3701" s="1797"/>
      <c r="L3701" s="1784"/>
      <c r="M3701" s="1785"/>
    </row>
    <row r="3702" spans="1:13" s="1517" customFormat="1" x14ac:dyDescent="0.25">
      <c r="A3702" s="179"/>
      <c r="B3702" s="179"/>
      <c r="C3702" s="1072"/>
      <c r="D3702" s="2141" t="s">
        <v>124</v>
      </c>
      <c r="E3702" s="2141"/>
      <c r="F3702" s="2141"/>
      <c r="G3702" s="2141"/>
      <c r="H3702" s="267">
        <f>SUMIF(F3698:F3701,("h"),H3698:H3701)</f>
        <v>14.89</v>
      </c>
      <c r="I3702" s="1830"/>
      <c r="J3702" s="1795"/>
      <c r="K3702" s="1795"/>
      <c r="L3702" s="169"/>
      <c r="M3702" s="1783"/>
    </row>
    <row r="3703" spans="1:13" s="1517" customFormat="1" x14ac:dyDescent="0.25">
      <c r="A3703" s="179"/>
      <c r="B3703" s="179"/>
      <c r="C3703" s="1072"/>
      <c r="D3703" s="2141" t="s">
        <v>125</v>
      </c>
      <c r="E3703" s="2141"/>
      <c r="F3703" s="2141"/>
      <c r="G3703" s="2141"/>
      <c r="H3703" s="267">
        <f>SUMIF(F3698:F3701,"&lt;&gt;h",H3698:H3701)</f>
        <v>50.43</v>
      </c>
      <c r="I3703" s="1830"/>
      <c r="J3703" s="1795"/>
      <c r="K3703" s="1795"/>
      <c r="L3703" s="169"/>
      <c r="M3703" s="1783"/>
    </row>
    <row r="3704" spans="1:13" s="1517" customFormat="1" x14ac:dyDescent="0.25">
      <c r="A3704" s="179"/>
      <c r="B3704" s="179"/>
      <c r="C3704" s="1072"/>
      <c r="D3704" s="2142" t="s">
        <v>126</v>
      </c>
      <c r="E3704" s="2142"/>
      <c r="F3704" s="2142"/>
      <c r="G3704" s="2142"/>
      <c r="H3704" s="1073">
        <f>SUM(H3702:H3703)</f>
        <v>65.319999999999993</v>
      </c>
      <c r="I3704" s="1830"/>
      <c r="J3704" s="1795"/>
      <c r="K3704" s="1795"/>
      <c r="L3704" s="169"/>
      <c r="M3704" s="1783"/>
    </row>
    <row r="3705" spans="1:13" s="1517" customFormat="1" x14ac:dyDescent="0.25">
      <c r="A3705" s="179"/>
      <c r="B3705" s="179"/>
      <c r="C3705" s="1072"/>
      <c r="D3705" s="2141" t="s">
        <v>28</v>
      </c>
      <c r="E3705" s="2141"/>
      <c r="F3705" s="2141"/>
      <c r="G3705" s="2141"/>
      <c r="H3705" s="269">
        <f>E3697</f>
        <v>4</v>
      </c>
      <c r="I3705" s="1830"/>
      <c r="J3705" s="1795"/>
      <c r="K3705" s="1795"/>
      <c r="L3705" s="169"/>
      <c r="M3705" s="1783"/>
    </row>
    <row r="3706" spans="1:13" s="1517" customFormat="1" x14ac:dyDescent="0.25">
      <c r="A3706" s="179"/>
      <c r="B3706" s="179"/>
      <c r="C3706" s="1072"/>
      <c r="D3706" s="2142" t="s">
        <v>127</v>
      </c>
      <c r="E3706" s="2142"/>
      <c r="F3706" s="2142"/>
      <c r="G3706" s="2142"/>
      <c r="H3706" s="1073">
        <f>ROUND(H3704*H3705,2)</f>
        <v>261.27999999999997</v>
      </c>
      <c r="I3706" s="1830"/>
      <c r="J3706" s="1795"/>
      <c r="K3706" s="1795"/>
      <c r="L3706" s="169"/>
      <c r="M3706" s="1783"/>
    </row>
    <row r="3707" spans="1:13" s="1517" customFormat="1" x14ac:dyDescent="0.25">
      <c r="A3707" s="179"/>
      <c r="B3707" s="179"/>
      <c r="C3707" s="1531"/>
      <c r="D3707" s="2141" t="s">
        <v>15335</v>
      </c>
      <c r="E3707" s="2141"/>
      <c r="F3707" s="2141"/>
      <c r="G3707" s="2141"/>
      <c r="H3707" s="267">
        <f>ROUND(H3704*$B$13,2)</f>
        <v>17.59</v>
      </c>
      <c r="I3707" s="1830"/>
      <c r="J3707" s="1795"/>
      <c r="K3707" s="1795"/>
      <c r="L3707" s="169"/>
      <c r="M3707" s="1783"/>
    </row>
    <row r="3708" spans="1:13" x14ac:dyDescent="0.25">
      <c r="A3708" s="179"/>
      <c r="B3708" s="179"/>
      <c r="C3708" s="1531"/>
      <c r="D3708" s="2142" t="s">
        <v>7898</v>
      </c>
      <c r="E3708" s="2142"/>
      <c r="F3708" s="2142"/>
      <c r="G3708" s="2142"/>
      <c r="H3708" s="1532">
        <f>H3707+H3704</f>
        <v>82.91</v>
      </c>
    </row>
    <row r="3709" spans="1:13" x14ac:dyDescent="0.25">
      <c r="A3709" s="1057"/>
      <c r="B3709" s="1057"/>
      <c r="C3709" s="1057"/>
      <c r="F3709" s="1074"/>
      <c r="G3709" s="1075"/>
      <c r="H3709" s="1057"/>
    </row>
    <row r="3710" spans="1:13" s="1517" customFormat="1" x14ac:dyDescent="0.25">
      <c r="A3710" s="146" t="s">
        <v>6</v>
      </c>
      <c r="B3710" s="2143" t="s">
        <v>7</v>
      </c>
      <c r="C3710" s="2143"/>
      <c r="D3710" s="1060" t="s">
        <v>121</v>
      </c>
      <c r="E3710" s="278" t="s">
        <v>5282</v>
      </c>
      <c r="F3710" s="1060" t="s">
        <v>31</v>
      </c>
      <c r="G3710" s="1061" t="s">
        <v>122</v>
      </c>
      <c r="H3710" s="1062" t="s">
        <v>123</v>
      </c>
      <c r="I3710" s="1830"/>
      <c r="J3710" s="1795"/>
      <c r="K3710" s="1795"/>
      <c r="L3710" s="169"/>
      <c r="M3710" s="1783"/>
    </row>
    <row r="3711" spans="1:13" s="1526" customFormat="1" ht="105" x14ac:dyDescent="0.2">
      <c r="A3711" s="1063" t="str">
        <f>'Orç - Prédio'!A621</f>
        <v>06.01.401.07</v>
      </c>
      <c r="B3711" s="1076" t="str">
        <f>'Orç - Prédio'!B621</f>
        <v>CPOS</v>
      </c>
      <c r="C3711" s="1076" t="str">
        <f>'Orç - Prédio'!C621</f>
        <v>41.14.310</v>
      </c>
      <c r="D3711" s="1077" t="s">
        <v>6172</v>
      </c>
      <c r="E3711" s="1064">
        <f>'Orç - Prédio'!E621</f>
        <v>6</v>
      </c>
      <c r="F3711" s="1076" t="s">
        <v>5284</v>
      </c>
      <c r="G3711" s="1065">
        <v>87.79</v>
      </c>
      <c r="H3711" s="1066">
        <f>H3721</f>
        <v>526.74</v>
      </c>
      <c r="I3711" s="1910" t="s">
        <v>9564</v>
      </c>
      <c r="J3711" s="1793"/>
      <c r="K3711" s="1793"/>
      <c r="L3711" s="141"/>
      <c r="M3711" s="1515"/>
    </row>
    <row r="3712" spans="1:13" s="156" customFormat="1" ht="30" x14ac:dyDescent="0.2">
      <c r="A3712" s="2144" t="s">
        <v>6195</v>
      </c>
      <c r="B3712" s="2144"/>
      <c r="C3712" s="1059" t="s">
        <v>5696</v>
      </c>
      <c r="D3712" s="1088" t="s">
        <v>6196</v>
      </c>
      <c r="E3712" s="1068">
        <v>1</v>
      </c>
      <c r="F3712" s="1069" t="s">
        <v>31</v>
      </c>
      <c r="G3712" s="367">
        <v>57.79</v>
      </c>
      <c r="H3712" s="1071">
        <f>ROUNDDOWN(G3712*E3712,2)</f>
        <v>57.79</v>
      </c>
      <c r="I3712" s="1642"/>
      <c r="J3712" s="1797"/>
      <c r="K3712" s="1797"/>
      <c r="L3712" s="1784"/>
      <c r="M3712" s="1785"/>
    </row>
    <row r="3713" spans="1:13" s="156" customFormat="1" ht="30" x14ac:dyDescent="0.2">
      <c r="A3713" s="2144">
        <v>20111</v>
      </c>
      <c r="B3713" s="2144"/>
      <c r="C3713" s="1058" t="s">
        <v>4448</v>
      </c>
      <c r="D3713" s="182" t="s">
        <v>11896</v>
      </c>
      <c r="E3713" s="1068">
        <v>0.01</v>
      </c>
      <c r="F3713" s="1069" t="s">
        <v>39</v>
      </c>
      <c r="G3713" s="1070">
        <v>10.43</v>
      </c>
      <c r="H3713" s="1071">
        <f>ROUNDDOWN(G3713*E3713,2)</f>
        <v>0.1</v>
      </c>
      <c r="I3713" s="1642"/>
      <c r="J3713" s="1797"/>
      <c r="K3713" s="1797"/>
      <c r="L3713" s="1784"/>
      <c r="M3713" s="1785"/>
    </row>
    <row r="3714" spans="1:13" s="156" customFormat="1" ht="30" x14ac:dyDescent="0.2">
      <c r="A3714" s="2144">
        <v>38780</v>
      </c>
      <c r="B3714" s="2144"/>
      <c r="C3714" s="1058" t="s">
        <v>4448</v>
      </c>
      <c r="D3714" s="182" t="s">
        <v>12427</v>
      </c>
      <c r="E3714" s="1068">
        <v>1</v>
      </c>
      <c r="F3714" s="1069" t="s">
        <v>39</v>
      </c>
      <c r="G3714" s="1070">
        <v>11.31</v>
      </c>
      <c r="H3714" s="1071">
        <f>ROUNDDOWN(G3714*E3714,2)</f>
        <v>11.31</v>
      </c>
      <c r="I3714" s="1642"/>
      <c r="J3714" s="1797"/>
      <c r="K3714" s="1797"/>
      <c r="L3714" s="1784"/>
      <c r="M3714" s="1785"/>
    </row>
    <row r="3715" spans="1:13" s="156" customFormat="1" ht="30" x14ac:dyDescent="0.2">
      <c r="A3715" s="2144">
        <v>88264</v>
      </c>
      <c r="B3715" s="2144"/>
      <c r="C3715" s="1058" t="s">
        <v>4448</v>
      </c>
      <c r="D3715" s="182" t="s">
        <v>81</v>
      </c>
      <c r="E3715" s="1068">
        <v>0.6</v>
      </c>
      <c r="F3715" s="1069" t="s">
        <v>65</v>
      </c>
      <c r="G3715" s="1070">
        <v>20.329999999999998</v>
      </c>
      <c r="H3715" s="1071">
        <f>ROUNDDOWN(G3715*E3715,2)</f>
        <v>12.19</v>
      </c>
      <c r="I3715" s="1642"/>
      <c r="J3715" s="1797"/>
      <c r="K3715" s="1797"/>
      <c r="L3715" s="1784"/>
      <c r="M3715" s="1785"/>
    </row>
    <row r="3716" spans="1:13" s="156" customFormat="1" ht="30" x14ac:dyDescent="0.2">
      <c r="A3716" s="2144">
        <v>88247</v>
      </c>
      <c r="B3716" s="2144"/>
      <c r="C3716" s="1058" t="s">
        <v>4448</v>
      </c>
      <c r="D3716" s="182" t="s">
        <v>71</v>
      </c>
      <c r="E3716" s="1068">
        <v>0.4</v>
      </c>
      <c r="F3716" s="1069" t="s">
        <v>65</v>
      </c>
      <c r="G3716" s="1070">
        <v>16.02</v>
      </c>
      <c r="H3716" s="1071">
        <f>ROUNDDOWN(G3716*E3716,2)</f>
        <v>6.4</v>
      </c>
      <c r="I3716" s="1642"/>
      <c r="J3716" s="1797"/>
      <c r="K3716" s="1797"/>
      <c r="L3716" s="1784"/>
      <c r="M3716" s="1785"/>
    </row>
    <row r="3717" spans="1:13" s="1517" customFormat="1" x14ac:dyDescent="0.25">
      <c r="A3717" s="179"/>
      <c r="B3717" s="179"/>
      <c r="C3717" s="1072"/>
      <c r="D3717" s="2141" t="s">
        <v>124</v>
      </c>
      <c r="E3717" s="2141"/>
      <c r="F3717" s="2141"/>
      <c r="G3717" s="2141"/>
      <c r="H3717" s="267">
        <f>SUMIF(F3712:F3716,("h"),H3712:H3716)</f>
        <v>18.59</v>
      </c>
      <c r="I3717" s="1830"/>
      <c r="J3717" s="1795"/>
      <c r="K3717" s="1795"/>
      <c r="L3717" s="169"/>
      <c r="M3717" s="1783"/>
    </row>
    <row r="3718" spans="1:13" s="1517" customFormat="1" x14ac:dyDescent="0.25">
      <c r="A3718" s="179"/>
      <c r="B3718" s="179"/>
      <c r="C3718" s="1072"/>
      <c r="D3718" s="2141" t="s">
        <v>125</v>
      </c>
      <c r="E3718" s="2141"/>
      <c r="F3718" s="2141"/>
      <c r="G3718" s="2141"/>
      <c r="H3718" s="267">
        <f>SUMIF(F3712:F3716,"&lt;&gt;h",H3712:H3716)</f>
        <v>69.2</v>
      </c>
      <c r="I3718" s="1830"/>
      <c r="J3718" s="1795"/>
      <c r="K3718" s="1795"/>
      <c r="L3718" s="169"/>
      <c r="M3718" s="1783"/>
    </row>
    <row r="3719" spans="1:13" s="1517" customFormat="1" x14ac:dyDescent="0.25">
      <c r="A3719" s="179"/>
      <c r="B3719" s="179"/>
      <c r="C3719" s="1072"/>
      <c r="D3719" s="2142" t="s">
        <v>126</v>
      </c>
      <c r="E3719" s="2142"/>
      <c r="F3719" s="2142"/>
      <c r="G3719" s="2142"/>
      <c r="H3719" s="1073">
        <f>SUM(H3717:H3718)</f>
        <v>87.79</v>
      </c>
      <c r="I3719" s="1830"/>
      <c r="J3719" s="1795"/>
      <c r="K3719" s="1795"/>
      <c r="L3719" s="169"/>
      <c r="M3719" s="1783"/>
    </row>
    <row r="3720" spans="1:13" s="1517" customFormat="1" x14ac:dyDescent="0.25">
      <c r="A3720" s="179"/>
      <c r="B3720" s="179"/>
      <c r="C3720" s="1072"/>
      <c r="D3720" s="2141" t="s">
        <v>28</v>
      </c>
      <c r="E3720" s="2141"/>
      <c r="F3720" s="2141"/>
      <c r="G3720" s="2141"/>
      <c r="H3720" s="269">
        <f>E3711</f>
        <v>6</v>
      </c>
      <c r="I3720" s="1830"/>
      <c r="J3720" s="1795"/>
      <c r="K3720" s="1795"/>
      <c r="L3720" s="169"/>
      <c r="M3720" s="1783"/>
    </row>
    <row r="3721" spans="1:13" s="1517" customFormat="1" x14ac:dyDescent="0.25">
      <c r="A3721" s="179"/>
      <c r="B3721" s="179"/>
      <c r="C3721" s="1072"/>
      <c r="D3721" s="2142" t="s">
        <v>127</v>
      </c>
      <c r="E3721" s="2142"/>
      <c r="F3721" s="2142"/>
      <c r="G3721" s="2142"/>
      <c r="H3721" s="1073">
        <f>ROUND(H3719*H3720,2)</f>
        <v>526.74</v>
      </c>
      <c r="I3721" s="1830"/>
      <c r="J3721" s="1795"/>
      <c r="K3721" s="1795"/>
      <c r="L3721" s="169"/>
      <c r="M3721" s="1783"/>
    </row>
    <row r="3722" spans="1:13" s="1517" customFormat="1" x14ac:dyDescent="0.25">
      <c r="A3722" s="179"/>
      <c r="B3722" s="179"/>
      <c r="C3722" s="1531"/>
      <c r="D3722" s="2141" t="s">
        <v>15335</v>
      </c>
      <c r="E3722" s="2141"/>
      <c r="F3722" s="2141"/>
      <c r="G3722" s="2141"/>
      <c r="H3722" s="267">
        <f>ROUND(H3719*$B$13,2)</f>
        <v>23.64</v>
      </c>
      <c r="I3722" s="1830"/>
      <c r="J3722" s="1795"/>
      <c r="K3722" s="1795"/>
      <c r="L3722" s="169"/>
      <c r="M3722" s="1783"/>
    </row>
    <row r="3723" spans="1:13" x14ac:dyDescent="0.25">
      <c r="A3723" s="179"/>
      <c r="B3723" s="179"/>
      <c r="C3723" s="1531"/>
      <c r="D3723" s="2142" t="s">
        <v>7898</v>
      </c>
      <c r="E3723" s="2142"/>
      <c r="F3723" s="2142"/>
      <c r="G3723" s="2142"/>
      <c r="H3723" s="1532">
        <f>H3722+H3719</f>
        <v>111.43</v>
      </c>
    </row>
    <row r="3724" spans="1:13" x14ac:dyDescent="0.25">
      <c r="A3724" s="1057"/>
      <c r="B3724" s="1057"/>
      <c r="C3724" s="1057"/>
      <c r="F3724" s="1074"/>
      <c r="G3724" s="1075"/>
      <c r="H3724" s="1057"/>
    </row>
    <row r="3725" spans="1:13" s="1517" customFormat="1" x14ac:dyDescent="0.25">
      <c r="A3725" s="146" t="s">
        <v>6</v>
      </c>
      <c r="B3725" s="2143" t="s">
        <v>7</v>
      </c>
      <c r="C3725" s="2143"/>
      <c r="D3725" s="1081" t="s">
        <v>121</v>
      </c>
      <c r="E3725" s="278" t="s">
        <v>5282</v>
      </c>
      <c r="F3725" s="1081" t="s">
        <v>31</v>
      </c>
      <c r="G3725" s="1082" t="s">
        <v>122</v>
      </c>
      <c r="H3725" s="1083" t="s">
        <v>123</v>
      </c>
      <c r="I3725" s="1830"/>
      <c r="J3725" s="1795"/>
      <c r="K3725" s="1795"/>
      <c r="L3725" s="169"/>
      <c r="M3725" s="1783"/>
    </row>
    <row r="3726" spans="1:13" s="1526" customFormat="1" ht="75" x14ac:dyDescent="0.2">
      <c r="A3726" s="1084" t="str">
        <f>'Orç - Prédio'!A622</f>
        <v>06.01.401.08</v>
      </c>
      <c r="B3726" s="1097" t="str">
        <f>'Orç - Prédio'!B622</f>
        <v>CPOS</v>
      </c>
      <c r="C3726" s="1097" t="str">
        <f>'Orç - Prédio'!C622</f>
        <v>41.14.020</v>
      </c>
      <c r="D3726" s="1098" t="s">
        <v>6173</v>
      </c>
      <c r="E3726" s="1085">
        <f>'Orç - Prédio'!E622</f>
        <v>10</v>
      </c>
      <c r="F3726" s="1097" t="s">
        <v>5284</v>
      </c>
      <c r="G3726" s="1086">
        <v>206.19</v>
      </c>
      <c r="H3726" s="1087">
        <f>H3737</f>
        <v>2061.9</v>
      </c>
      <c r="I3726" s="1910" t="s">
        <v>9564</v>
      </c>
      <c r="J3726" s="1793"/>
      <c r="K3726" s="1793"/>
      <c r="L3726" s="141"/>
      <c r="M3726" s="1515"/>
    </row>
    <row r="3727" spans="1:13" s="156" customFormat="1" ht="60" x14ac:dyDescent="0.2">
      <c r="A3727" s="2144" t="s">
        <v>6199</v>
      </c>
      <c r="B3727" s="2144"/>
      <c r="C3727" s="1080" t="s">
        <v>5696</v>
      </c>
      <c r="D3727" s="1109" t="s">
        <v>6200</v>
      </c>
      <c r="E3727" s="1089">
        <v>1</v>
      </c>
      <c r="F3727" s="1090" t="s">
        <v>31</v>
      </c>
      <c r="G3727" s="367">
        <v>137.19999999999999</v>
      </c>
      <c r="H3727" s="1092">
        <f t="shared" ref="H3727:H3732" si="160">ROUNDDOWN(G3727*E3727,2)</f>
        <v>137.19999999999999</v>
      </c>
      <c r="I3727" s="1642"/>
      <c r="J3727" s="1797"/>
      <c r="K3727" s="1797"/>
      <c r="L3727" s="1784"/>
      <c r="M3727" s="1785"/>
    </row>
    <row r="3728" spans="1:13" s="156" customFormat="1" ht="30" x14ac:dyDescent="0.2">
      <c r="A3728" s="2144">
        <v>20111</v>
      </c>
      <c r="B3728" s="2144"/>
      <c r="C3728" s="1079" t="s">
        <v>4448</v>
      </c>
      <c r="D3728" s="182" t="s">
        <v>11896</v>
      </c>
      <c r="E3728" s="1089">
        <v>0.01</v>
      </c>
      <c r="F3728" s="1090" t="s">
        <v>39</v>
      </c>
      <c r="G3728" s="1091">
        <v>10.43</v>
      </c>
      <c r="H3728" s="1092">
        <f t="shared" si="160"/>
        <v>0.1</v>
      </c>
      <c r="I3728" s="1642"/>
      <c r="J3728" s="1797"/>
      <c r="K3728" s="1797"/>
      <c r="L3728" s="1784"/>
      <c r="M3728" s="1785"/>
    </row>
    <row r="3729" spans="1:13" s="156" customFormat="1" ht="30" x14ac:dyDescent="0.2">
      <c r="A3729" s="2144">
        <v>38782</v>
      </c>
      <c r="B3729" s="2144"/>
      <c r="C3729" s="1079" t="s">
        <v>4448</v>
      </c>
      <c r="D3729" s="182" t="s">
        <v>12431</v>
      </c>
      <c r="E3729" s="1089">
        <v>2</v>
      </c>
      <c r="F3729" s="1090" t="s">
        <v>39</v>
      </c>
      <c r="G3729" s="1091">
        <v>7.87</v>
      </c>
      <c r="H3729" s="1092">
        <f t="shared" si="160"/>
        <v>15.74</v>
      </c>
      <c r="I3729" s="1642"/>
      <c r="J3729" s="1797"/>
      <c r="K3729" s="1797"/>
      <c r="L3729" s="1784"/>
      <c r="M3729" s="1785"/>
    </row>
    <row r="3730" spans="1:13" s="156" customFormat="1" ht="30" x14ac:dyDescent="0.2">
      <c r="A3730" s="2144">
        <v>38777</v>
      </c>
      <c r="B3730" s="2144"/>
      <c r="C3730" s="1079" t="s">
        <v>4448</v>
      </c>
      <c r="D3730" s="182" t="s">
        <v>13585</v>
      </c>
      <c r="E3730" s="1089">
        <v>1</v>
      </c>
      <c r="F3730" s="1090" t="s">
        <v>39</v>
      </c>
      <c r="G3730" s="1091">
        <v>34.56</v>
      </c>
      <c r="H3730" s="1092">
        <f t="shared" si="160"/>
        <v>34.56</v>
      </c>
      <c r="I3730" s="1642"/>
      <c r="J3730" s="1797"/>
      <c r="K3730" s="1797"/>
      <c r="L3730" s="1784"/>
      <c r="M3730" s="1785"/>
    </row>
    <row r="3731" spans="1:13" s="156" customFormat="1" ht="30" x14ac:dyDescent="0.2">
      <c r="A3731" s="2144">
        <v>88264</v>
      </c>
      <c r="B3731" s="2144"/>
      <c r="C3731" s="1079" t="s">
        <v>4448</v>
      </c>
      <c r="D3731" s="182" t="s">
        <v>81</v>
      </c>
      <c r="E3731" s="1089">
        <v>0.6</v>
      </c>
      <c r="F3731" s="1090" t="s">
        <v>65</v>
      </c>
      <c r="G3731" s="1091">
        <v>20.329999999999998</v>
      </c>
      <c r="H3731" s="1092">
        <f t="shared" si="160"/>
        <v>12.19</v>
      </c>
      <c r="I3731" s="1642"/>
      <c r="J3731" s="1797"/>
      <c r="K3731" s="1797"/>
      <c r="L3731" s="1784"/>
      <c r="M3731" s="1785"/>
    </row>
    <row r="3732" spans="1:13" s="156" customFormat="1" ht="30" x14ac:dyDescent="0.2">
      <c r="A3732" s="2144">
        <v>88247</v>
      </c>
      <c r="B3732" s="2144"/>
      <c r="C3732" s="1079" t="s">
        <v>4448</v>
      </c>
      <c r="D3732" s="182" t="s">
        <v>71</v>
      </c>
      <c r="E3732" s="1089">
        <v>0.4</v>
      </c>
      <c r="F3732" s="1090" t="s">
        <v>65</v>
      </c>
      <c r="G3732" s="1091">
        <v>16.02</v>
      </c>
      <c r="H3732" s="1092">
        <f t="shared" si="160"/>
        <v>6.4</v>
      </c>
      <c r="I3732" s="1642"/>
      <c r="J3732" s="1797"/>
      <c r="K3732" s="1797"/>
      <c r="L3732" s="1784"/>
      <c r="M3732" s="1785"/>
    </row>
    <row r="3733" spans="1:13" s="1517" customFormat="1" x14ac:dyDescent="0.25">
      <c r="A3733" s="179"/>
      <c r="B3733" s="179"/>
      <c r="C3733" s="1093"/>
      <c r="D3733" s="2141" t="s">
        <v>124</v>
      </c>
      <c r="E3733" s="2141"/>
      <c r="F3733" s="2141"/>
      <c r="G3733" s="2141"/>
      <c r="H3733" s="267">
        <f>SUMIF(F3727:F3732,("h"),H3727:H3732)</f>
        <v>18.59</v>
      </c>
      <c r="I3733" s="1830"/>
      <c r="J3733" s="1795"/>
      <c r="K3733" s="1795"/>
      <c r="L3733" s="169"/>
      <c r="M3733" s="1783"/>
    </row>
    <row r="3734" spans="1:13" s="1517" customFormat="1" x14ac:dyDescent="0.25">
      <c r="A3734" s="179"/>
      <c r="B3734" s="179"/>
      <c r="C3734" s="1093"/>
      <c r="D3734" s="2141" t="s">
        <v>125</v>
      </c>
      <c r="E3734" s="2141"/>
      <c r="F3734" s="2141"/>
      <c r="G3734" s="2141"/>
      <c r="H3734" s="267">
        <f>SUMIF(F3727:F3732,"&lt;&gt;h",H3727:H3732)</f>
        <v>187.6</v>
      </c>
      <c r="I3734" s="1830"/>
      <c r="J3734" s="1795"/>
      <c r="K3734" s="1795"/>
      <c r="L3734" s="169"/>
      <c r="M3734" s="1783"/>
    </row>
    <row r="3735" spans="1:13" s="1517" customFormat="1" x14ac:dyDescent="0.25">
      <c r="A3735" s="179"/>
      <c r="B3735" s="179"/>
      <c r="C3735" s="1093"/>
      <c r="D3735" s="2142" t="s">
        <v>126</v>
      </c>
      <c r="E3735" s="2142"/>
      <c r="F3735" s="2142"/>
      <c r="G3735" s="2142"/>
      <c r="H3735" s="1094">
        <f>SUM(H3733:H3734)</f>
        <v>206.19</v>
      </c>
      <c r="I3735" s="1830"/>
      <c r="J3735" s="1795"/>
      <c r="K3735" s="1795"/>
      <c r="L3735" s="169"/>
      <c r="M3735" s="1783"/>
    </row>
    <row r="3736" spans="1:13" s="1517" customFormat="1" x14ac:dyDescent="0.25">
      <c r="A3736" s="179"/>
      <c r="B3736" s="179"/>
      <c r="C3736" s="1093"/>
      <c r="D3736" s="2141" t="s">
        <v>28</v>
      </c>
      <c r="E3736" s="2141"/>
      <c r="F3736" s="2141"/>
      <c r="G3736" s="2141"/>
      <c r="H3736" s="269">
        <f>E3726</f>
        <v>10</v>
      </c>
      <c r="I3736" s="1830"/>
      <c r="J3736" s="1795"/>
      <c r="K3736" s="1795"/>
      <c r="L3736" s="169"/>
      <c r="M3736" s="1783"/>
    </row>
    <row r="3737" spans="1:13" s="1517" customFormat="1" x14ac:dyDescent="0.25">
      <c r="A3737" s="179"/>
      <c r="B3737" s="179"/>
      <c r="C3737" s="1093"/>
      <c r="D3737" s="2142" t="s">
        <v>127</v>
      </c>
      <c r="E3737" s="2142"/>
      <c r="F3737" s="2142"/>
      <c r="G3737" s="2142"/>
      <c r="H3737" s="1094">
        <f>ROUND(H3735*H3736,2)</f>
        <v>2061.9</v>
      </c>
      <c r="I3737" s="1830"/>
      <c r="J3737" s="1795"/>
      <c r="K3737" s="1795"/>
      <c r="L3737" s="169"/>
      <c r="M3737" s="1783"/>
    </row>
    <row r="3738" spans="1:13" s="1517" customFormat="1" x14ac:dyDescent="0.25">
      <c r="A3738" s="179"/>
      <c r="B3738" s="179"/>
      <c r="C3738" s="1531"/>
      <c r="D3738" s="2141" t="s">
        <v>15335</v>
      </c>
      <c r="E3738" s="2141"/>
      <c r="F3738" s="2141"/>
      <c r="G3738" s="2141"/>
      <c r="H3738" s="267">
        <f>ROUND(H3735*$B$13,2)</f>
        <v>55.53</v>
      </c>
      <c r="I3738" s="1830"/>
      <c r="J3738" s="1795"/>
      <c r="K3738" s="1795"/>
      <c r="L3738" s="169"/>
      <c r="M3738" s="1783"/>
    </row>
    <row r="3739" spans="1:13" x14ac:dyDescent="0.25">
      <c r="A3739" s="179"/>
      <c r="B3739" s="179"/>
      <c r="C3739" s="1531"/>
      <c r="D3739" s="2142" t="s">
        <v>7898</v>
      </c>
      <c r="E3739" s="2142"/>
      <c r="F3739" s="2142"/>
      <c r="G3739" s="2142"/>
      <c r="H3739" s="1532">
        <f>H3738+H3735</f>
        <v>261.72000000000003</v>
      </c>
    </row>
    <row r="3740" spans="1:13" x14ac:dyDescent="0.25">
      <c r="A3740" s="1078"/>
      <c r="B3740" s="1078"/>
      <c r="C3740" s="1078"/>
      <c r="F3740" s="1095"/>
      <c r="G3740" s="1096"/>
      <c r="H3740" s="1078"/>
    </row>
    <row r="3741" spans="1:13" s="1517" customFormat="1" x14ac:dyDescent="0.25">
      <c r="A3741" s="146" t="s">
        <v>6</v>
      </c>
      <c r="B3741" s="2143" t="s">
        <v>7</v>
      </c>
      <c r="C3741" s="2143"/>
      <c r="D3741" s="1102" t="s">
        <v>121</v>
      </c>
      <c r="E3741" s="278" t="s">
        <v>5282</v>
      </c>
      <c r="F3741" s="1102" t="s">
        <v>31</v>
      </c>
      <c r="G3741" s="1103" t="s">
        <v>122</v>
      </c>
      <c r="H3741" s="1104" t="s">
        <v>123</v>
      </c>
      <c r="I3741" s="1830"/>
      <c r="J3741" s="1795"/>
      <c r="K3741" s="1795"/>
      <c r="L3741" s="169"/>
      <c r="M3741" s="1783"/>
    </row>
    <row r="3742" spans="1:13" s="1526" customFormat="1" ht="90" x14ac:dyDescent="0.2">
      <c r="A3742" s="1105" t="str">
        <f>'Orç - Prédio'!A623</f>
        <v>06.01.401.09</v>
      </c>
      <c r="B3742" s="1118" t="str">
        <f>'Orç - Prédio'!B623</f>
        <v>CPOS</v>
      </c>
      <c r="C3742" s="1118" t="str">
        <f>'Orç - Prédio'!C623</f>
        <v>41.14.020</v>
      </c>
      <c r="D3742" s="1119" t="s">
        <v>6174</v>
      </c>
      <c r="E3742" s="1106">
        <f>'Orç - Prédio'!E623</f>
        <v>1</v>
      </c>
      <c r="F3742" s="1118" t="s">
        <v>5284</v>
      </c>
      <c r="G3742" s="1107">
        <v>206.19</v>
      </c>
      <c r="H3742" s="1108">
        <f>H3753</f>
        <v>206.19</v>
      </c>
      <c r="I3742" s="1910" t="s">
        <v>9564</v>
      </c>
      <c r="J3742" s="1793"/>
      <c r="K3742" s="1793"/>
      <c r="L3742" s="141"/>
      <c r="M3742" s="1515"/>
    </row>
    <row r="3743" spans="1:13" s="156" customFormat="1" ht="60" x14ac:dyDescent="0.2">
      <c r="A3743" s="2144" t="s">
        <v>6199</v>
      </c>
      <c r="B3743" s="2144"/>
      <c r="C3743" s="1101" t="s">
        <v>5696</v>
      </c>
      <c r="D3743" s="1109" t="s">
        <v>6200</v>
      </c>
      <c r="E3743" s="1110">
        <v>1</v>
      </c>
      <c r="F3743" s="1111" t="s">
        <v>31</v>
      </c>
      <c r="G3743" s="367">
        <v>137.19999999999999</v>
      </c>
      <c r="H3743" s="1113">
        <f t="shared" ref="H3743:H3748" si="161">ROUNDDOWN(G3743*E3743,2)</f>
        <v>137.19999999999999</v>
      </c>
      <c r="I3743" s="1642"/>
      <c r="J3743" s="1797"/>
      <c r="K3743" s="1797"/>
      <c r="L3743" s="1784"/>
      <c r="M3743" s="1785"/>
    </row>
    <row r="3744" spans="1:13" s="156" customFormat="1" ht="30" x14ac:dyDescent="0.2">
      <c r="A3744" s="2144">
        <v>20111</v>
      </c>
      <c r="B3744" s="2144"/>
      <c r="C3744" s="1100" t="s">
        <v>4448</v>
      </c>
      <c r="D3744" s="182" t="s">
        <v>11896</v>
      </c>
      <c r="E3744" s="1110">
        <v>0.01</v>
      </c>
      <c r="F3744" s="1111" t="s">
        <v>39</v>
      </c>
      <c r="G3744" s="1112">
        <v>10.43</v>
      </c>
      <c r="H3744" s="1113">
        <f t="shared" si="161"/>
        <v>0.1</v>
      </c>
      <c r="I3744" s="1642"/>
      <c r="J3744" s="1797"/>
      <c r="K3744" s="1797"/>
      <c r="L3744" s="1784"/>
      <c r="M3744" s="1785"/>
    </row>
    <row r="3745" spans="1:13" s="156" customFormat="1" ht="30" x14ac:dyDescent="0.2">
      <c r="A3745" s="2144">
        <v>38782</v>
      </c>
      <c r="B3745" s="2144"/>
      <c r="C3745" s="1100" t="s">
        <v>4448</v>
      </c>
      <c r="D3745" s="182" t="s">
        <v>12431</v>
      </c>
      <c r="E3745" s="1110">
        <v>2</v>
      </c>
      <c r="F3745" s="1111" t="s">
        <v>39</v>
      </c>
      <c r="G3745" s="1112">
        <v>7.87</v>
      </c>
      <c r="H3745" s="1113">
        <f t="shared" si="161"/>
        <v>15.74</v>
      </c>
      <c r="I3745" s="1642"/>
      <c r="J3745" s="1797"/>
      <c r="K3745" s="1797"/>
      <c r="L3745" s="1784"/>
      <c r="M3745" s="1785"/>
    </row>
    <row r="3746" spans="1:13" s="156" customFormat="1" ht="30" x14ac:dyDescent="0.2">
      <c r="A3746" s="2144">
        <v>38777</v>
      </c>
      <c r="B3746" s="2144"/>
      <c r="C3746" s="1100" t="s">
        <v>4448</v>
      </c>
      <c r="D3746" s="182" t="s">
        <v>13585</v>
      </c>
      <c r="E3746" s="1110">
        <v>1</v>
      </c>
      <c r="F3746" s="1111" t="s">
        <v>39</v>
      </c>
      <c r="G3746" s="1112">
        <v>34.56</v>
      </c>
      <c r="H3746" s="1113">
        <f t="shared" si="161"/>
        <v>34.56</v>
      </c>
      <c r="I3746" s="1642"/>
      <c r="J3746" s="1797"/>
      <c r="K3746" s="1797"/>
      <c r="L3746" s="1784"/>
      <c r="M3746" s="1785"/>
    </row>
    <row r="3747" spans="1:13" s="156" customFormat="1" ht="30" x14ac:dyDescent="0.2">
      <c r="A3747" s="2144">
        <v>88264</v>
      </c>
      <c r="B3747" s="2144"/>
      <c r="C3747" s="1100" t="s">
        <v>4448</v>
      </c>
      <c r="D3747" s="182" t="s">
        <v>81</v>
      </c>
      <c r="E3747" s="1110">
        <v>0.6</v>
      </c>
      <c r="F3747" s="1111" t="s">
        <v>65</v>
      </c>
      <c r="G3747" s="1112">
        <v>20.329999999999998</v>
      </c>
      <c r="H3747" s="1113">
        <f t="shared" si="161"/>
        <v>12.19</v>
      </c>
      <c r="I3747" s="1642"/>
      <c r="J3747" s="1797"/>
      <c r="K3747" s="1797"/>
      <c r="L3747" s="1784"/>
      <c r="M3747" s="1785"/>
    </row>
    <row r="3748" spans="1:13" s="156" customFormat="1" ht="30" x14ac:dyDescent="0.2">
      <c r="A3748" s="2144">
        <v>88247</v>
      </c>
      <c r="B3748" s="2144"/>
      <c r="C3748" s="1100" t="s">
        <v>4448</v>
      </c>
      <c r="D3748" s="182" t="s">
        <v>71</v>
      </c>
      <c r="E3748" s="1110">
        <v>0.4</v>
      </c>
      <c r="F3748" s="1111" t="s">
        <v>65</v>
      </c>
      <c r="G3748" s="1112">
        <v>16.02</v>
      </c>
      <c r="H3748" s="1113">
        <f t="shared" si="161"/>
        <v>6.4</v>
      </c>
      <c r="I3748" s="1642"/>
      <c r="J3748" s="1797"/>
      <c r="K3748" s="1797"/>
      <c r="L3748" s="1784"/>
      <c r="M3748" s="1785"/>
    </row>
    <row r="3749" spans="1:13" s="1517" customFormat="1" x14ac:dyDescent="0.25">
      <c r="A3749" s="179"/>
      <c r="B3749" s="179"/>
      <c r="C3749" s="1114"/>
      <c r="D3749" s="2141" t="s">
        <v>124</v>
      </c>
      <c r="E3749" s="2141"/>
      <c r="F3749" s="2141"/>
      <c r="G3749" s="2141"/>
      <c r="H3749" s="267">
        <f>SUMIF(F3743:F3748,("h"),H3743:H3748)</f>
        <v>18.59</v>
      </c>
      <c r="I3749" s="1830"/>
      <c r="J3749" s="1795"/>
      <c r="K3749" s="1795"/>
      <c r="L3749" s="169"/>
      <c r="M3749" s="1783"/>
    </row>
    <row r="3750" spans="1:13" s="1517" customFormat="1" x14ac:dyDescent="0.25">
      <c r="A3750" s="179"/>
      <c r="B3750" s="179"/>
      <c r="C3750" s="1114"/>
      <c r="D3750" s="2141" t="s">
        <v>125</v>
      </c>
      <c r="E3750" s="2141"/>
      <c r="F3750" s="2141"/>
      <c r="G3750" s="2141"/>
      <c r="H3750" s="267">
        <f>SUMIF(F3743:F3748,"&lt;&gt;h",H3743:H3748)</f>
        <v>187.6</v>
      </c>
      <c r="I3750" s="1830"/>
      <c r="J3750" s="1795"/>
      <c r="K3750" s="1795"/>
      <c r="L3750" s="169"/>
      <c r="M3750" s="1783"/>
    </row>
    <row r="3751" spans="1:13" s="1517" customFormat="1" x14ac:dyDescent="0.25">
      <c r="A3751" s="179"/>
      <c r="B3751" s="179"/>
      <c r="C3751" s="1114"/>
      <c r="D3751" s="2142" t="s">
        <v>126</v>
      </c>
      <c r="E3751" s="2142"/>
      <c r="F3751" s="2142"/>
      <c r="G3751" s="2142"/>
      <c r="H3751" s="1115">
        <f>SUM(H3749:H3750)</f>
        <v>206.19</v>
      </c>
      <c r="I3751" s="1830"/>
      <c r="J3751" s="1795"/>
      <c r="K3751" s="1795"/>
      <c r="L3751" s="169"/>
      <c r="M3751" s="1783"/>
    </row>
    <row r="3752" spans="1:13" s="1517" customFormat="1" x14ac:dyDescent="0.25">
      <c r="A3752" s="179"/>
      <c r="B3752" s="179"/>
      <c r="C3752" s="1114"/>
      <c r="D3752" s="2141" t="s">
        <v>28</v>
      </c>
      <c r="E3752" s="2141"/>
      <c r="F3752" s="2141"/>
      <c r="G3752" s="2141"/>
      <c r="H3752" s="269">
        <f>E3742</f>
        <v>1</v>
      </c>
      <c r="I3752" s="1830"/>
      <c r="J3752" s="1795"/>
      <c r="K3752" s="1795"/>
      <c r="L3752" s="169"/>
      <c r="M3752" s="1783"/>
    </row>
    <row r="3753" spans="1:13" s="1517" customFormat="1" x14ac:dyDescent="0.25">
      <c r="A3753" s="179"/>
      <c r="B3753" s="179"/>
      <c r="C3753" s="1114"/>
      <c r="D3753" s="2142" t="s">
        <v>127</v>
      </c>
      <c r="E3753" s="2142"/>
      <c r="F3753" s="2142"/>
      <c r="G3753" s="2142"/>
      <c r="H3753" s="1115">
        <f>ROUND(H3751*H3752,2)</f>
        <v>206.19</v>
      </c>
      <c r="I3753" s="1830"/>
      <c r="J3753" s="1795"/>
      <c r="K3753" s="1795"/>
      <c r="L3753" s="169"/>
      <c r="M3753" s="1783"/>
    </row>
    <row r="3754" spans="1:13" s="1517" customFormat="1" x14ac:dyDescent="0.25">
      <c r="A3754" s="179"/>
      <c r="B3754" s="179"/>
      <c r="C3754" s="1531"/>
      <c r="D3754" s="2141" t="s">
        <v>15335</v>
      </c>
      <c r="E3754" s="2141"/>
      <c r="F3754" s="2141"/>
      <c r="G3754" s="2141"/>
      <c r="H3754" s="267">
        <f>ROUND(H3751*$B$13,2)</f>
        <v>55.53</v>
      </c>
      <c r="I3754" s="1830"/>
      <c r="J3754" s="1795"/>
      <c r="K3754" s="1795"/>
      <c r="L3754" s="169"/>
      <c r="M3754" s="1783"/>
    </row>
    <row r="3755" spans="1:13" x14ac:dyDescent="0.25">
      <c r="A3755" s="179"/>
      <c r="B3755" s="179"/>
      <c r="C3755" s="1531"/>
      <c r="D3755" s="2142" t="s">
        <v>7898</v>
      </c>
      <c r="E3755" s="2142"/>
      <c r="F3755" s="2142"/>
      <c r="G3755" s="2142"/>
      <c r="H3755" s="1532">
        <f>H3754+H3751</f>
        <v>261.72000000000003</v>
      </c>
    </row>
    <row r="3756" spans="1:13" x14ac:dyDescent="0.25">
      <c r="A3756" s="1099"/>
      <c r="B3756" s="1099"/>
      <c r="C3756" s="1099"/>
      <c r="F3756" s="1116"/>
      <c r="G3756" s="1117"/>
      <c r="H3756" s="1099"/>
    </row>
    <row r="3757" spans="1:13" s="1517" customFormat="1" x14ac:dyDescent="0.25">
      <c r="A3757" s="146" t="s">
        <v>6</v>
      </c>
      <c r="B3757" s="2143" t="s">
        <v>7</v>
      </c>
      <c r="C3757" s="2143"/>
      <c r="D3757" s="1102" t="s">
        <v>121</v>
      </c>
      <c r="E3757" s="278" t="s">
        <v>5282</v>
      </c>
      <c r="F3757" s="1102" t="s">
        <v>31</v>
      </c>
      <c r="G3757" s="1103" t="s">
        <v>122</v>
      </c>
      <c r="H3757" s="1104" t="s">
        <v>123</v>
      </c>
      <c r="I3757" s="1830"/>
      <c r="J3757" s="1795"/>
      <c r="K3757" s="1795"/>
      <c r="L3757" s="169"/>
      <c r="M3757" s="1783"/>
    </row>
    <row r="3758" spans="1:13" s="1526" customFormat="1" ht="150" x14ac:dyDescent="0.2">
      <c r="A3758" s="1105" t="str">
        <f>'Orç - Prédio'!A624</f>
        <v>06.01.401.10</v>
      </c>
      <c r="B3758" s="1118" t="str">
        <f>'Orç - Prédio'!B624</f>
        <v>CPOS</v>
      </c>
      <c r="C3758" s="1118" t="str">
        <f>'Orç - Prédio'!C624</f>
        <v>41.14.440</v>
      </c>
      <c r="D3758" s="1119" t="s">
        <v>8993</v>
      </c>
      <c r="E3758" s="1106">
        <f>'Orç - Prédio'!E624</f>
        <v>2</v>
      </c>
      <c r="F3758" s="1118" t="s">
        <v>5284</v>
      </c>
      <c r="G3758" s="1107">
        <v>169.09</v>
      </c>
      <c r="H3758" s="1108">
        <f>H3769</f>
        <v>338.18</v>
      </c>
      <c r="I3758" s="1910" t="s">
        <v>9564</v>
      </c>
      <c r="J3758" s="1793"/>
      <c r="K3758" s="1793"/>
      <c r="L3758" s="141"/>
      <c r="M3758" s="1515"/>
    </row>
    <row r="3759" spans="1:13" s="156" customFormat="1" ht="60" x14ac:dyDescent="0.2">
      <c r="A3759" s="2144" t="s">
        <v>8287</v>
      </c>
      <c r="B3759" s="2144"/>
      <c r="C3759" s="1101" t="s">
        <v>5696</v>
      </c>
      <c r="D3759" s="1130" t="s">
        <v>6201</v>
      </c>
      <c r="E3759" s="1110">
        <v>1</v>
      </c>
      <c r="F3759" s="1111" t="s">
        <v>31</v>
      </c>
      <c r="G3759" s="367">
        <v>100.1</v>
      </c>
      <c r="H3759" s="1113">
        <f t="shared" ref="H3759:H3764" si="162">ROUNDDOWN(G3759*E3759,2)</f>
        <v>100.1</v>
      </c>
      <c r="I3759" s="1642"/>
      <c r="J3759" s="1797"/>
      <c r="K3759" s="1797"/>
      <c r="L3759" s="1784"/>
      <c r="M3759" s="1785"/>
    </row>
    <row r="3760" spans="1:13" s="156" customFormat="1" ht="30" x14ac:dyDescent="0.2">
      <c r="A3760" s="2144">
        <v>20111</v>
      </c>
      <c r="B3760" s="2144"/>
      <c r="C3760" s="1100" t="s">
        <v>4448</v>
      </c>
      <c r="D3760" s="182" t="s">
        <v>11896</v>
      </c>
      <c r="E3760" s="1110">
        <v>0.01</v>
      </c>
      <c r="F3760" s="1111" t="s">
        <v>39</v>
      </c>
      <c r="G3760" s="1112">
        <v>10.43</v>
      </c>
      <c r="H3760" s="1113">
        <f t="shared" si="162"/>
        <v>0.1</v>
      </c>
      <c r="I3760" s="1642"/>
      <c r="J3760" s="1797"/>
      <c r="K3760" s="1797"/>
      <c r="L3760" s="1784"/>
      <c r="M3760" s="1785"/>
    </row>
    <row r="3761" spans="1:13" s="156" customFormat="1" ht="30" x14ac:dyDescent="0.2">
      <c r="A3761" s="2144">
        <v>38782</v>
      </c>
      <c r="B3761" s="2144"/>
      <c r="C3761" s="1100" t="s">
        <v>4448</v>
      </c>
      <c r="D3761" s="182" t="s">
        <v>12431</v>
      </c>
      <c r="E3761" s="1110">
        <v>2</v>
      </c>
      <c r="F3761" s="1111" t="s">
        <v>39</v>
      </c>
      <c r="G3761" s="1112">
        <v>7.87</v>
      </c>
      <c r="H3761" s="1113">
        <f t="shared" si="162"/>
        <v>15.74</v>
      </c>
      <c r="I3761" s="1642"/>
      <c r="J3761" s="1797"/>
      <c r="K3761" s="1797"/>
      <c r="L3761" s="1784"/>
      <c r="M3761" s="1785"/>
    </row>
    <row r="3762" spans="1:13" s="156" customFormat="1" ht="30" x14ac:dyDescent="0.2">
      <c r="A3762" s="2144">
        <v>38777</v>
      </c>
      <c r="B3762" s="2144"/>
      <c r="C3762" s="1100" t="s">
        <v>4448</v>
      </c>
      <c r="D3762" s="182" t="s">
        <v>13585</v>
      </c>
      <c r="E3762" s="1110">
        <v>1</v>
      </c>
      <c r="F3762" s="1111" t="s">
        <v>39</v>
      </c>
      <c r="G3762" s="1112">
        <v>34.56</v>
      </c>
      <c r="H3762" s="1113">
        <f t="shared" si="162"/>
        <v>34.56</v>
      </c>
      <c r="I3762" s="1642"/>
      <c r="J3762" s="1797"/>
      <c r="K3762" s="1797"/>
      <c r="L3762" s="1784"/>
      <c r="M3762" s="1785"/>
    </row>
    <row r="3763" spans="1:13" s="156" customFormat="1" ht="30" x14ac:dyDescent="0.2">
      <c r="A3763" s="2144">
        <v>88264</v>
      </c>
      <c r="B3763" s="2144"/>
      <c r="C3763" s="1100" t="s">
        <v>4448</v>
      </c>
      <c r="D3763" s="182" t="s">
        <v>81</v>
      </c>
      <c r="E3763" s="1110">
        <v>0.6</v>
      </c>
      <c r="F3763" s="1111" t="s">
        <v>65</v>
      </c>
      <c r="G3763" s="1112">
        <v>20.329999999999998</v>
      </c>
      <c r="H3763" s="1113">
        <f t="shared" si="162"/>
        <v>12.19</v>
      </c>
      <c r="I3763" s="1642"/>
      <c r="J3763" s="1797"/>
      <c r="K3763" s="1797"/>
      <c r="L3763" s="1784"/>
      <c r="M3763" s="1785"/>
    </row>
    <row r="3764" spans="1:13" s="156" customFormat="1" ht="30" x14ac:dyDescent="0.2">
      <c r="A3764" s="2144">
        <v>88247</v>
      </c>
      <c r="B3764" s="2144"/>
      <c r="C3764" s="1100" t="s">
        <v>4448</v>
      </c>
      <c r="D3764" s="182" t="s">
        <v>71</v>
      </c>
      <c r="E3764" s="1110">
        <v>0.4</v>
      </c>
      <c r="F3764" s="1111" t="s">
        <v>65</v>
      </c>
      <c r="G3764" s="1112">
        <v>16.02</v>
      </c>
      <c r="H3764" s="1113">
        <f t="shared" si="162"/>
        <v>6.4</v>
      </c>
      <c r="I3764" s="1642"/>
      <c r="J3764" s="1797"/>
      <c r="K3764" s="1797"/>
      <c r="L3764" s="1784"/>
      <c r="M3764" s="1785"/>
    </row>
    <row r="3765" spans="1:13" s="1517" customFormat="1" x14ac:dyDescent="0.25">
      <c r="A3765" s="179"/>
      <c r="B3765" s="179"/>
      <c r="C3765" s="1114"/>
      <c r="D3765" s="2141" t="s">
        <v>124</v>
      </c>
      <c r="E3765" s="2141"/>
      <c r="F3765" s="2141"/>
      <c r="G3765" s="2141"/>
      <c r="H3765" s="267">
        <f>SUMIF(F3759:F3764,("h"),H3759:H3764)</f>
        <v>18.59</v>
      </c>
      <c r="I3765" s="1830"/>
      <c r="J3765" s="1795"/>
      <c r="K3765" s="1795"/>
      <c r="L3765" s="169"/>
      <c r="M3765" s="1783"/>
    </row>
    <row r="3766" spans="1:13" s="1517" customFormat="1" x14ac:dyDescent="0.25">
      <c r="A3766" s="179"/>
      <c r="B3766" s="179"/>
      <c r="C3766" s="1114"/>
      <c r="D3766" s="2141" t="s">
        <v>125</v>
      </c>
      <c r="E3766" s="2141"/>
      <c r="F3766" s="2141"/>
      <c r="G3766" s="2141"/>
      <c r="H3766" s="267">
        <f>SUMIF(F3759:F3764,"&lt;&gt;h",H3759:H3764)</f>
        <v>150.5</v>
      </c>
      <c r="I3766" s="1830"/>
      <c r="J3766" s="1795"/>
      <c r="K3766" s="1795"/>
      <c r="L3766" s="169"/>
      <c r="M3766" s="1783"/>
    </row>
    <row r="3767" spans="1:13" s="1517" customFormat="1" x14ac:dyDescent="0.25">
      <c r="A3767" s="179"/>
      <c r="B3767" s="179"/>
      <c r="C3767" s="1114"/>
      <c r="D3767" s="2142" t="s">
        <v>126</v>
      </c>
      <c r="E3767" s="2142"/>
      <c r="F3767" s="2142"/>
      <c r="G3767" s="2142"/>
      <c r="H3767" s="1115">
        <f>SUM(H3765:H3766)</f>
        <v>169.09</v>
      </c>
      <c r="I3767" s="1830"/>
      <c r="J3767" s="1795"/>
      <c r="K3767" s="1795"/>
      <c r="L3767" s="169"/>
      <c r="M3767" s="1783"/>
    </row>
    <row r="3768" spans="1:13" s="1517" customFormat="1" x14ac:dyDescent="0.25">
      <c r="A3768" s="179"/>
      <c r="B3768" s="179"/>
      <c r="C3768" s="1114"/>
      <c r="D3768" s="2141" t="s">
        <v>28</v>
      </c>
      <c r="E3768" s="2141"/>
      <c r="F3768" s="2141"/>
      <c r="G3768" s="2141"/>
      <c r="H3768" s="269">
        <f>E3758</f>
        <v>2</v>
      </c>
      <c r="I3768" s="1830"/>
      <c r="J3768" s="1795"/>
      <c r="K3768" s="1795"/>
      <c r="L3768" s="169"/>
      <c r="M3768" s="1783"/>
    </row>
    <row r="3769" spans="1:13" s="1517" customFormat="1" x14ac:dyDescent="0.25">
      <c r="A3769" s="179"/>
      <c r="B3769" s="179"/>
      <c r="C3769" s="1114"/>
      <c r="D3769" s="2142" t="s">
        <v>127</v>
      </c>
      <c r="E3769" s="2142"/>
      <c r="F3769" s="2142"/>
      <c r="G3769" s="2142"/>
      <c r="H3769" s="1115">
        <f>ROUND(H3767*H3768,2)</f>
        <v>338.18</v>
      </c>
      <c r="I3769" s="1830"/>
      <c r="J3769" s="1795"/>
      <c r="K3769" s="1795"/>
      <c r="L3769" s="169"/>
      <c r="M3769" s="1783"/>
    </row>
    <row r="3770" spans="1:13" s="1517" customFormat="1" x14ac:dyDescent="0.25">
      <c r="A3770" s="179"/>
      <c r="B3770" s="179"/>
      <c r="C3770" s="1531"/>
      <c r="D3770" s="2141" t="s">
        <v>15335</v>
      </c>
      <c r="E3770" s="2141"/>
      <c r="F3770" s="2141"/>
      <c r="G3770" s="2141"/>
      <c r="H3770" s="267">
        <f>ROUND(H3767*$B$13,2)</f>
        <v>45.54</v>
      </c>
      <c r="I3770" s="1830"/>
      <c r="J3770" s="1795"/>
      <c r="K3770" s="1795"/>
      <c r="L3770" s="169"/>
      <c r="M3770" s="1783"/>
    </row>
    <row r="3771" spans="1:13" x14ac:dyDescent="0.25">
      <c r="A3771" s="179"/>
      <c r="B3771" s="179"/>
      <c r="C3771" s="1531"/>
      <c r="D3771" s="2142" t="s">
        <v>7898</v>
      </c>
      <c r="E3771" s="2142"/>
      <c r="F3771" s="2142"/>
      <c r="G3771" s="2142"/>
      <c r="H3771" s="1532">
        <f>H3770+H3767</f>
        <v>214.63</v>
      </c>
    </row>
    <row r="3772" spans="1:13" x14ac:dyDescent="0.25">
      <c r="A3772" s="1099"/>
      <c r="B3772" s="1099"/>
      <c r="C3772" s="1099"/>
      <c r="F3772" s="1116"/>
      <c r="G3772" s="1117"/>
      <c r="H3772" s="1099"/>
    </row>
    <row r="3773" spans="1:13" s="1517" customFormat="1" x14ac:dyDescent="0.25">
      <c r="A3773" s="146" t="s">
        <v>6</v>
      </c>
      <c r="B3773" s="2143" t="s">
        <v>7</v>
      </c>
      <c r="C3773" s="2143"/>
      <c r="D3773" s="1123" t="s">
        <v>121</v>
      </c>
      <c r="E3773" s="278" t="s">
        <v>5282</v>
      </c>
      <c r="F3773" s="1123" t="s">
        <v>31</v>
      </c>
      <c r="G3773" s="1124" t="s">
        <v>122</v>
      </c>
      <c r="H3773" s="1125" t="s">
        <v>123</v>
      </c>
      <c r="I3773" s="1830"/>
      <c r="J3773" s="1795"/>
      <c r="K3773" s="1795"/>
      <c r="L3773" s="169"/>
      <c r="M3773" s="1783"/>
    </row>
    <row r="3774" spans="1:13" s="1526" customFormat="1" ht="75" x14ac:dyDescent="0.2">
      <c r="A3774" s="1126" t="str">
        <f>'Orç - Prédio'!A625</f>
        <v>06.01.401.11</v>
      </c>
      <c r="B3774" s="1139" t="str">
        <f>'Orç - Prédio'!B625</f>
        <v>CPOS</v>
      </c>
      <c r="C3774" s="1139" t="str">
        <f>'Orç - Prédio'!C625</f>
        <v>41.14.600</v>
      </c>
      <c r="D3774" s="1140" t="s">
        <v>6175</v>
      </c>
      <c r="E3774" s="1127">
        <f>'Orç - Prédio'!E625</f>
        <v>2</v>
      </c>
      <c r="F3774" s="1139" t="s">
        <v>5284</v>
      </c>
      <c r="G3774" s="1128">
        <v>134.94999999999999</v>
      </c>
      <c r="H3774" s="1129">
        <f>H3785</f>
        <v>269.89999999999998</v>
      </c>
      <c r="I3774" s="1910" t="s">
        <v>14965</v>
      </c>
      <c r="J3774" s="1793"/>
      <c r="K3774" s="1793"/>
      <c r="L3774" s="141"/>
      <c r="M3774" s="1515"/>
    </row>
    <row r="3775" spans="1:13" s="156" customFormat="1" ht="45" x14ac:dyDescent="0.2">
      <c r="A3775" s="2144" t="s">
        <v>6202</v>
      </c>
      <c r="B3775" s="2144"/>
      <c r="C3775" s="1122" t="s">
        <v>5696</v>
      </c>
      <c r="D3775" s="1141" t="s">
        <v>6203</v>
      </c>
      <c r="E3775" s="1131">
        <v>1</v>
      </c>
      <c r="F3775" s="1132" t="s">
        <v>31</v>
      </c>
      <c r="G3775" s="367">
        <v>84.14</v>
      </c>
      <c r="H3775" s="1134">
        <f t="shared" ref="H3775:H3780" si="163">ROUNDDOWN(G3775*E3775,2)</f>
        <v>84.14</v>
      </c>
      <c r="I3775" s="1642"/>
      <c r="J3775" s="1797"/>
      <c r="K3775" s="1797"/>
      <c r="L3775" s="1784"/>
      <c r="M3775" s="1785"/>
    </row>
    <row r="3776" spans="1:13" s="156" customFormat="1" ht="30" x14ac:dyDescent="0.2">
      <c r="A3776" s="2144">
        <v>20111</v>
      </c>
      <c r="B3776" s="2144"/>
      <c r="C3776" s="1121" t="s">
        <v>4448</v>
      </c>
      <c r="D3776" s="182" t="s">
        <v>11896</v>
      </c>
      <c r="E3776" s="1131">
        <v>0.01</v>
      </c>
      <c r="F3776" s="1132" t="s">
        <v>39</v>
      </c>
      <c r="G3776" s="1133">
        <v>10.43</v>
      </c>
      <c r="H3776" s="1134">
        <f t="shared" si="163"/>
        <v>0.1</v>
      </c>
      <c r="I3776" s="1642"/>
      <c r="J3776" s="1797"/>
      <c r="K3776" s="1797"/>
      <c r="L3776" s="1784"/>
      <c r="M3776" s="1785"/>
    </row>
    <row r="3777" spans="1:13" s="1859" customFormat="1" ht="30" x14ac:dyDescent="0.2">
      <c r="A3777" s="2144">
        <v>12385</v>
      </c>
      <c r="B3777" s="2144"/>
      <c r="C3777" s="1496" t="s">
        <v>5281</v>
      </c>
      <c r="D3777" s="1497" t="s">
        <v>6204</v>
      </c>
      <c r="E3777" s="1864">
        <v>2</v>
      </c>
      <c r="F3777" s="1918" t="s">
        <v>31</v>
      </c>
      <c r="G3777" s="367">
        <v>6.94</v>
      </c>
      <c r="H3777" s="1857">
        <f t="shared" si="163"/>
        <v>13.88</v>
      </c>
      <c r="I3777" s="1856"/>
      <c r="J3777" s="1797"/>
      <c r="K3777" s="1797"/>
      <c r="L3777" s="1784"/>
      <c r="M3777" s="1785"/>
    </row>
    <row r="3778" spans="1:13" s="1859" customFormat="1" ht="30" x14ac:dyDescent="0.2">
      <c r="A3778" s="2144">
        <v>1086</v>
      </c>
      <c r="B3778" s="2144"/>
      <c r="C3778" s="1863" t="s">
        <v>4448</v>
      </c>
      <c r="D3778" s="1862" t="s">
        <v>13586</v>
      </c>
      <c r="E3778" s="1864">
        <v>1</v>
      </c>
      <c r="F3778" s="1918" t="s">
        <v>39</v>
      </c>
      <c r="G3778" s="1860">
        <v>18.239999999999998</v>
      </c>
      <c r="H3778" s="1857">
        <f t="shared" ref="H3778" si="164">ROUNDDOWN(G3778*E3778,2)</f>
        <v>18.239999999999998</v>
      </c>
      <c r="I3778" s="1856"/>
      <c r="J3778" s="1797"/>
      <c r="K3778" s="1797"/>
      <c r="L3778" s="1784"/>
      <c r="M3778" s="1785"/>
    </row>
    <row r="3779" spans="1:13" s="156" customFormat="1" ht="30" x14ac:dyDescent="0.2">
      <c r="A3779" s="2144">
        <v>88264</v>
      </c>
      <c r="B3779" s="2144"/>
      <c r="C3779" s="1121" t="s">
        <v>4448</v>
      </c>
      <c r="D3779" s="182" t="s">
        <v>81</v>
      </c>
      <c r="E3779" s="1131">
        <v>0.6</v>
      </c>
      <c r="F3779" s="1132" t="s">
        <v>65</v>
      </c>
      <c r="G3779" s="367">
        <v>20.329999999999998</v>
      </c>
      <c r="H3779" s="1134">
        <f t="shared" si="163"/>
        <v>12.19</v>
      </c>
      <c r="I3779" s="1642"/>
      <c r="J3779" s="1797"/>
      <c r="K3779" s="1797"/>
      <c r="L3779" s="1784"/>
      <c r="M3779" s="1785"/>
    </row>
    <row r="3780" spans="1:13" s="156" customFormat="1" ht="30" x14ac:dyDescent="0.2">
      <c r="A3780" s="2144">
        <v>88247</v>
      </c>
      <c r="B3780" s="2144"/>
      <c r="C3780" s="1121" t="s">
        <v>4448</v>
      </c>
      <c r="D3780" s="182" t="s">
        <v>71</v>
      </c>
      <c r="E3780" s="1131">
        <v>0.4</v>
      </c>
      <c r="F3780" s="1132" t="s">
        <v>65</v>
      </c>
      <c r="G3780" s="1133">
        <v>16.02</v>
      </c>
      <c r="H3780" s="1134">
        <f t="shared" si="163"/>
        <v>6.4</v>
      </c>
      <c r="I3780" s="1642"/>
      <c r="J3780" s="1797"/>
      <c r="K3780" s="1797"/>
      <c r="L3780" s="1784"/>
      <c r="M3780" s="1785"/>
    </row>
    <row r="3781" spans="1:13" s="1517" customFormat="1" x14ac:dyDescent="0.25">
      <c r="A3781" s="179"/>
      <c r="B3781" s="179"/>
      <c r="C3781" s="1135"/>
      <c r="D3781" s="2141" t="s">
        <v>124</v>
      </c>
      <c r="E3781" s="2141"/>
      <c r="F3781" s="2141"/>
      <c r="G3781" s="2141"/>
      <c r="H3781" s="267">
        <f>SUMIF(F3775:F3780,("h"),H3775:H3780)</f>
        <v>18.59</v>
      </c>
      <c r="I3781" s="1830"/>
      <c r="J3781" s="1795"/>
      <c r="K3781" s="1795"/>
      <c r="L3781" s="169"/>
      <c r="M3781" s="1783"/>
    </row>
    <row r="3782" spans="1:13" s="1517" customFormat="1" x14ac:dyDescent="0.25">
      <c r="A3782" s="179"/>
      <c r="B3782" s="179"/>
      <c r="C3782" s="1135"/>
      <c r="D3782" s="2141" t="s">
        <v>125</v>
      </c>
      <c r="E3782" s="2141"/>
      <c r="F3782" s="2141"/>
      <c r="G3782" s="2141"/>
      <c r="H3782" s="267">
        <f>SUMIF(F3775:F3780,"&lt;&gt;h",H3775:H3780)</f>
        <v>116.35999999999999</v>
      </c>
      <c r="I3782" s="1830"/>
      <c r="J3782" s="1795"/>
      <c r="K3782" s="1795"/>
      <c r="L3782" s="169"/>
      <c r="M3782" s="1783"/>
    </row>
    <row r="3783" spans="1:13" s="1517" customFormat="1" x14ac:dyDescent="0.25">
      <c r="A3783" s="179"/>
      <c r="B3783" s="179"/>
      <c r="C3783" s="1135"/>
      <c r="D3783" s="2142" t="s">
        <v>126</v>
      </c>
      <c r="E3783" s="2142"/>
      <c r="F3783" s="2142"/>
      <c r="G3783" s="2142"/>
      <c r="H3783" s="1136">
        <f>SUM(H3781:H3782)</f>
        <v>134.94999999999999</v>
      </c>
      <c r="I3783" s="1830"/>
      <c r="J3783" s="1795"/>
      <c r="K3783" s="1795"/>
      <c r="L3783" s="169"/>
      <c r="M3783" s="1783"/>
    </row>
    <row r="3784" spans="1:13" s="1517" customFormat="1" x14ac:dyDescent="0.25">
      <c r="A3784" s="179"/>
      <c r="B3784" s="179"/>
      <c r="C3784" s="1135"/>
      <c r="D3784" s="2141" t="s">
        <v>28</v>
      </c>
      <c r="E3784" s="2141"/>
      <c r="F3784" s="2141"/>
      <c r="G3784" s="2141"/>
      <c r="H3784" s="269">
        <f>E3774</f>
        <v>2</v>
      </c>
      <c r="I3784" s="1830"/>
      <c r="J3784" s="1795"/>
      <c r="K3784" s="1795"/>
      <c r="L3784" s="169"/>
      <c r="M3784" s="1783"/>
    </row>
    <row r="3785" spans="1:13" s="1517" customFormat="1" x14ac:dyDescent="0.25">
      <c r="A3785" s="179"/>
      <c r="B3785" s="179"/>
      <c r="C3785" s="1135"/>
      <c r="D3785" s="2142" t="s">
        <v>127</v>
      </c>
      <c r="E3785" s="2142"/>
      <c r="F3785" s="2142"/>
      <c r="G3785" s="2142"/>
      <c r="H3785" s="1136">
        <f>ROUND(H3783*H3784,2)</f>
        <v>269.89999999999998</v>
      </c>
      <c r="I3785" s="1830"/>
      <c r="J3785" s="1795"/>
      <c r="K3785" s="1795"/>
      <c r="L3785" s="169"/>
      <c r="M3785" s="1783"/>
    </row>
    <row r="3786" spans="1:13" s="1517" customFormat="1" x14ac:dyDescent="0.25">
      <c r="A3786" s="179"/>
      <c r="B3786" s="179"/>
      <c r="C3786" s="1531"/>
      <c r="D3786" s="2141" t="s">
        <v>15335</v>
      </c>
      <c r="E3786" s="2141"/>
      <c r="F3786" s="2141"/>
      <c r="G3786" s="2141"/>
      <c r="H3786" s="267">
        <f>ROUND(H3783*$B$13,2)</f>
        <v>36.340000000000003</v>
      </c>
      <c r="I3786" s="1830"/>
      <c r="J3786" s="1795"/>
      <c r="K3786" s="1795"/>
      <c r="L3786" s="169"/>
      <c r="M3786" s="1783"/>
    </row>
    <row r="3787" spans="1:13" x14ac:dyDescent="0.25">
      <c r="A3787" s="179"/>
      <c r="B3787" s="179"/>
      <c r="C3787" s="1531"/>
      <c r="D3787" s="2142" t="s">
        <v>7898</v>
      </c>
      <c r="E3787" s="2142"/>
      <c r="F3787" s="2142"/>
      <c r="G3787" s="2142"/>
      <c r="H3787" s="1532">
        <f>H3786+H3783</f>
        <v>171.29</v>
      </c>
    </row>
    <row r="3788" spans="1:13" x14ac:dyDescent="0.25">
      <c r="A3788" s="1120"/>
      <c r="B3788" s="1120"/>
      <c r="C3788" s="1120"/>
      <c r="F3788" s="1137"/>
      <c r="G3788" s="1138"/>
      <c r="H3788" s="1120"/>
    </row>
    <row r="3789" spans="1:13" s="1517" customFormat="1" x14ac:dyDescent="0.25">
      <c r="A3789" s="146" t="s">
        <v>6</v>
      </c>
      <c r="B3789" s="2143" t="s">
        <v>7</v>
      </c>
      <c r="C3789" s="2143"/>
      <c r="D3789" s="1144" t="s">
        <v>121</v>
      </c>
      <c r="E3789" s="278" t="s">
        <v>5282</v>
      </c>
      <c r="F3789" s="1144" t="s">
        <v>31</v>
      </c>
      <c r="G3789" s="1145" t="s">
        <v>122</v>
      </c>
      <c r="H3789" s="1146" t="s">
        <v>123</v>
      </c>
      <c r="I3789" s="1830"/>
      <c r="J3789" s="1795"/>
      <c r="K3789" s="1795"/>
      <c r="L3789" s="169"/>
      <c r="M3789" s="1783"/>
    </row>
    <row r="3790" spans="1:13" s="1526" customFormat="1" ht="75" x14ac:dyDescent="0.2">
      <c r="A3790" s="1147" t="str">
        <f>'Orç - Prédio'!A626</f>
        <v>06.01.401.12</v>
      </c>
      <c r="B3790" s="1159" t="str">
        <f>'Orç - Prédio'!B626</f>
        <v>SINAPI</v>
      </c>
      <c r="C3790" s="1159" t="str">
        <f>'Orç - Prédio'!C626</f>
        <v>97608 MOD</v>
      </c>
      <c r="D3790" s="1160" t="s">
        <v>6176</v>
      </c>
      <c r="E3790" s="1148">
        <f>'Orç - Prédio'!E626</f>
        <v>25</v>
      </c>
      <c r="F3790" s="1159" t="s">
        <v>5284</v>
      </c>
      <c r="G3790" s="1149">
        <v>65.319999999999993</v>
      </c>
      <c r="H3790" s="1150">
        <f>H3799</f>
        <v>1633</v>
      </c>
      <c r="I3790" s="1910" t="s">
        <v>9564</v>
      </c>
      <c r="J3790" s="1793"/>
      <c r="K3790" s="1793"/>
      <c r="L3790" s="141"/>
      <c r="M3790" s="1515"/>
    </row>
    <row r="3791" spans="1:13" s="156" customFormat="1" ht="30" x14ac:dyDescent="0.2">
      <c r="A3791" s="2144">
        <v>38780</v>
      </c>
      <c r="B3791" s="2144"/>
      <c r="C3791" s="1143" t="s">
        <v>4448</v>
      </c>
      <c r="D3791" s="182" t="s">
        <v>12427</v>
      </c>
      <c r="E3791" s="1151">
        <v>1</v>
      </c>
      <c r="F3791" s="1152" t="s">
        <v>39</v>
      </c>
      <c r="G3791" s="1153">
        <v>11.31</v>
      </c>
      <c r="H3791" s="1154">
        <f>ROUNDDOWN(G3791*E3791,2)</f>
        <v>11.31</v>
      </c>
      <c r="I3791" s="1642"/>
      <c r="J3791" s="1797"/>
      <c r="K3791" s="1797"/>
      <c r="L3791" s="1784"/>
      <c r="M3791" s="1785"/>
    </row>
    <row r="3792" spans="1:13" s="156" customFormat="1" ht="60" x14ac:dyDescent="0.2">
      <c r="A3792" s="2144">
        <v>38775</v>
      </c>
      <c r="B3792" s="2144"/>
      <c r="C3792" s="1143" t="s">
        <v>4448</v>
      </c>
      <c r="D3792" s="182" t="s">
        <v>12545</v>
      </c>
      <c r="E3792" s="1151">
        <v>1</v>
      </c>
      <c r="F3792" s="1152" t="s">
        <v>39</v>
      </c>
      <c r="G3792" s="1153">
        <v>39.119999999999997</v>
      </c>
      <c r="H3792" s="1154">
        <f>ROUNDDOWN(G3792*E3792,2)</f>
        <v>39.119999999999997</v>
      </c>
      <c r="I3792" s="1642"/>
      <c r="J3792" s="1797"/>
      <c r="K3792" s="1797"/>
      <c r="L3792" s="1784"/>
      <c r="M3792" s="1785"/>
    </row>
    <row r="3793" spans="1:13" s="156" customFormat="1" ht="30" x14ac:dyDescent="0.2">
      <c r="A3793" s="2144">
        <v>88264</v>
      </c>
      <c r="B3793" s="2144"/>
      <c r="C3793" s="1143" t="s">
        <v>4448</v>
      </c>
      <c r="D3793" s="182" t="s">
        <v>81</v>
      </c>
      <c r="E3793" s="1151">
        <v>0.55179999999999996</v>
      </c>
      <c r="F3793" s="1152" t="s">
        <v>65</v>
      </c>
      <c r="G3793" s="1153">
        <v>20.329999999999998</v>
      </c>
      <c r="H3793" s="1154">
        <f>ROUNDDOWN(G3793*E3793,2)</f>
        <v>11.21</v>
      </c>
      <c r="I3793" s="1642"/>
      <c r="J3793" s="1797"/>
      <c r="K3793" s="1797"/>
      <c r="L3793" s="1784"/>
      <c r="M3793" s="1785"/>
    </row>
    <row r="3794" spans="1:13" s="156" customFormat="1" ht="30" x14ac:dyDescent="0.2">
      <c r="A3794" s="2144">
        <v>88247</v>
      </c>
      <c r="B3794" s="2144"/>
      <c r="C3794" s="1143" t="s">
        <v>4448</v>
      </c>
      <c r="D3794" s="182" t="s">
        <v>71</v>
      </c>
      <c r="E3794" s="1151">
        <v>0.22989999999999999</v>
      </c>
      <c r="F3794" s="1152" t="s">
        <v>65</v>
      </c>
      <c r="G3794" s="1153">
        <v>16.02</v>
      </c>
      <c r="H3794" s="1154">
        <f>ROUNDDOWN(G3794*E3794,2)</f>
        <v>3.68</v>
      </c>
      <c r="I3794" s="1642"/>
      <c r="J3794" s="1797"/>
      <c r="K3794" s="1797"/>
      <c r="L3794" s="1784"/>
      <c r="M3794" s="1785"/>
    </row>
    <row r="3795" spans="1:13" s="1517" customFormat="1" x14ac:dyDescent="0.25">
      <c r="A3795" s="179"/>
      <c r="B3795" s="179"/>
      <c r="C3795" s="1155"/>
      <c r="D3795" s="2141" t="s">
        <v>124</v>
      </c>
      <c r="E3795" s="2141"/>
      <c r="F3795" s="2141"/>
      <c r="G3795" s="2141"/>
      <c r="H3795" s="267">
        <f>SUMIF(F3791:F3794,("h"),H3791:H3794)</f>
        <v>14.89</v>
      </c>
      <c r="I3795" s="1830"/>
      <c r="J3795" s="1795"/>
      <c r="K3795" s="1795"/>
      <c r="L3795" s="169"/>
      <c r="M3795" s="1783"/>
    </row>
    <row r="3796" spans="1:13" s="1517" customFormat="1" x14ac:dyDescent="0.25">
      <c r="A3796" s="179"/>
      <c r="B3796" s="179"/>
      <c r="C3796" s="1155"/>
      <c r="D3796" s="2141" t="s">
        <v>125</v>
      </c>
      <c r="E3796" s="2141"/>
      <c r="F3796" s="2141"/>
      <c r="G3796" s="2141"/>
      <c r="H3796" s="267">
        <f>SUMIF(F3791:F3794,"&lt;&gt;h",H3791:H3794)</f>
        <v>50.43</v>
      </c>
      <c r="I3796" s="1830"/>
      <c r="J3796" s="1795"/>
      <c r="K3796" s="1795"/>
      <c r="L3796" s="169"/>
      <c r="M3796" s="1783"/>
    </row>
    <row r="3797" spans="1:13" s="1517" customFormat="1" x14ac:dyDescent="0.25">
      <c r="A3797" s="179"/>
      <c r="B3797" s="179"/>
      <c r="C3797" s="1155"/>
      <c r="D3797" s="2142" t="s">
        <v>126</v>
      </c>
      <c r="E3797" s="2142"/>
      <c r="F3797" s="2142"/>
      <c r="G3797" s="2142"/>
      <c r="H3797" s="1156">
        <f>SUM(H3795:H3796)</f>
        <v>65.319999999999993</v>
      </c>
      <c r="I3797" s="1830"/>
      <c r="J3797" s="1795"/>
      <c r="K3797" s="1795"/>
      <c r="L3797" s="169"/>
      <c r="M3797" s="1783"/>
    </row>
    <row r="3798" spans="1:13" s="1517" customFormat="1" x14ac:dyDescent="0.25">
      <c r="A3798" s="179"/>
      <c r="B3798" s="179"/>
      <c r="C3798" s="1155"/>
      <c r="D3798" s="2141" t="s">
        <v>28</v>
      </c>
      <c r="E3798" s="2141"/>
      <c r="F3798" s="2141"/>
      <c r="G3798" s="2141"/>
      <c r="H3798" s="269">
        <f>E3790</f>
        <v>25</v>
      </c>
      <c r="I3798" s="1830"/>
      <c r="J3798" s="1795"/>
      <c r="K3798" s="1795"/>
      <c r="L3798" s="169"/>
      <c r="M3798" s="1783"/>
    </row>
    <row r="3799" spans="1:13" s="1517" customFormat="1" x14ac:dyDescent="0.25">
      <c r="A3799" s="179"/>
      <c r="B3799" s="179"/>
      <c r="C3799" s="1155"/>
      <c r="D3799" s="2142" t="s">
        <v>127</v>
      </c>
      <c r="E3799" s="2142"/>
      <c r="F3799" s="2142"/>
      <c r="G3799" s="2142"/>
      <c r="H3799" s="1156">
        <f>ROUND(H3797*H3798,2)</f>
        <v>1633</v>
      </c>
      <c r="I3799" s="1830"/>
      <c r="J3799" s="1795"/>
      <c r="K3799" s="1795"/>
      <c r="L3799" s="169"/>
      <c r="M3799" s="1783"/>
    </row>
    <row r="3800" spans="1:13" s="1517" customFormat="1" x14ac:dyDescent="0.25">
      <c r="A3800" s="179"/>
      <c r="B3800" s="179"/>
      <c r="C3800" s="1531"/>
      <c r="D3800" s="2141" t="s">
        <v>15335</v>
      </c>
      <c r="E3800" s="2141"/>
      <c r="F3800" s="2141"/>
      <c r="G3800" s="2141"/>
      <c r="H3800" s="267">
        <f>ROUND(H3797*$B$13,2)</f>
        <v>17.59</v>
      </c>
      <c r="I3800" s="1830"/>
      <c r="J3800" s="1795"/>
      <c r="K3800" s="1795"/>
      <c r="L3800" s="169"/>
      <c r="M3800" s="1783"/>
    </row>
    <row r="3801" spans="1:13" x14ac:dyDescent="0.25">
      <c r="A3801" s="179"/>
      <c r="B3801" s="179"/>
      <c r="C3801" s="1531"/>
      <c r="D3801" s="2142" t="s">
        <v>7898</v>
      </c>
      <c r="E3801" s="2142"/>
      <c r="F3801" s="2142"/>
      <c r="G3801" s="2142"/>
      <c r="H3801" s="1532">
        <f>H3800+H3797</f>
        <v>82.91</v>
      </c>
    </row>
    <row r="3802" spans="1:13" x14ac:dyDescent="0.25">
      <c r="A3802" s="1142"/>
      <c r="B3802" s="1142"/>
      <c r="C3802" s="1142"/>
      <c r="F3802" s="1157"/>
      <c r="G3802" s="1158"/>
      <c r="H3802" s="1142"/>
    </row>
    <row r="3803" spans="1:13" s="1517" customFormat="1" x14ac:dyDescent="0.25">
      <c r="A3803" s="146" t="s">
        <v>6</v>
      </c>
      <c r="B3803" s="2143" t="s">
        <v>7</v>
      </c>
      <c r="C3803" s="2143"/>
      <c r="D3803" s="1144" t="s">
        <v>121</v>
      </c>
      <c r="E3803" s="278" t="s">
        <v>5282</v>
      </c>
      <c r="F3803" s="1144" t="s">
        <v>31</v>
      </c>
      <c r="G3803" s="1145" t="s">
        <v>122</v>
      </c>
      <c r="H3803" s="1146" t="s">
        <v>123</v>
      </c>
      <c r="I3803" s="1830"/>
      <c r="J3803" s="1795"/>
      <c r="K3803" s="1795"/>
      <c r="L3803" s="169"/>
      <c r="M3803" s="1783"/>
    </row>
    <row r="3804" spans="1:13" s="1526" customFormat="1" ht="120" x14ac:dyDescent="0.2">
      <c r="A3804" s="1147" t="str">
        <f>'Orç - Prédio'!A627</f>
        <v>06.01.401.13</v>
      </c>
      <c r="B3804" s="1159" t="str">
        <f>'Orç - Prédio'!B627</f>
        <v>CPOS</v>
      </c>
      <c r="C3804" s="1159" t="str">
        <f>'Orç - Prédio'!C627</f>
        <v>41.12.050</v>
      </c>
      <c r="D3804" s="1160" t="s">
        <v>6177</v>
      </c>
      <c r="E3804" s="1148">
        <f>'Orç - Prédio'!E627</f>
        <v>15</v>
      </c>
      <c r="F3804" s="1159" t="s">
        <v>5284</v>
      </c>
      <c r="G3804" s="1149">
        <v>913.83999999999992</v>
      </c>
      <c r="H3804" s="1150">
        <f>H3814</f>
        <v>13707.6</v>
      </c>
      <c r="I3804" s="1910" t="s">
        <v>9564</v>
      </c>
      <c r="J3804" s="1793"/>
      <c r="K3804" s="1793"/>
      <c r="L3804" s="141"/>
      <c r="M3804" s="1515"/>
    </row>
    <row r="3805" spans="1:13" s="156" customFormat="1" ht="45" x14ac:dyDescent="0.2">
      <c r="A3805" s="2144" t="s">
        <v>6206</v>
      </c>
      <c r="B3805" s="2144"/>
      <c r="C3805" s="1161" t="s">
        <v>5696</v>
      </c>
      <c r="D3805" s="1162" t="s">
        <v>6207</v>
      </c>
      <c r="E3805" s="1163">
        <v>1</v>
      </c>
      <c r="F3805" s="1164" t="s">
        <v>31</v>
      </c>
      <c r="G3805" s="367">
        <v>802.45</v>
      </c>
      <c r="H3805" s="1154">
        <f>ROUNDDOWN(G3805*E3805,2)</f>
        <v>802.45</v>
      </c>
      <c r="I3805" s="1642"/>
      <c r="J3805" s="1797"/>
      <c r="K3805" s="1797"/>
      <c r="L3805" s="1784"/>
      <c r="M3805" s="1785"/>
    </row>
    <row r="3806" spans="1:13" s="156" customFormat="1" ht="30" x14ac:dyDescent="0.2">
      <c r="A3806" s="2144">
        <v>3749</v>
      </c>
      <c r="B3806" s="2144"/>
      <c r="C3806" s="1143" t="s">
        <v>4448</v>
      </c>
      <c r="D3806" s="182" t="s">
        <v>12443</v>
      </c>
      <c r="E3806" s="1151">
        <v>1</v>
      </c>
      <c r="F3806" s="1152" t="s">
        <v>39</v>
      </c>
      <c r="G3806" s="1153">
        <v>28.43</v>
      </c>
      <c r="H3806" s="1154">
        <f>ROUNDDOWN(G3806*E3806,2)</f>
        <v>28.43</v>
      </c>
      <c r="I3806" s="1642"/>
      <c r="J3806" s="1797"/>
      <c r="K3806" s="1797"/>
      <c r="L3806" s="1784"/>
      <c r="M3806" s="1785"/>
    </row>
    <row r="3807" spans="1:13" s="156" customFormat="1" ht="30" x14ac:dyDescent="0.2">
      <c r="A3807" s="2144">
        <v>12317</v>
      </c>
      <c r="B3807" s="2144"/>
      <c r="C3807" s="1143" t="s">
        <v>4448</v>
      </c>
      <c r="D3807" s="182" t="s">
        <v>13591</v>
      </c>
      <c r="E3807" s="1151">
        <v>1</v>
      </c>
      <c r="F3807" s="1152" t="s">
        <v>39</v>
      </c>
      <c r="G3807" s="1153">
        <v>64.790000000000006</v>
      </c>
      <c r="H3807" s="1154">
        <f>ROUNDDOWN(G3807*E3807,2)</f>
        <v>64.790000000000006</v>
      </c>
      <c r="I3807" s="1642"/>
      <c r="J3807" s="1797"/>
      <c r="K3807" s="1797"/>
      <c r="L3807" s="1784"/>
      <c r="M3807" s="1785"/>
    </row>
    <row r="3808" spans="1:13" s="156" customFormat="1" ht="30" x14ac:dyDescent="0.2">
      <c r="A3808" s="2144">
        <v>88264</v>
      </c>
      <c r="B3808" s="2144"/>
      <c r="C3808" s="1143" t="s">
        <v>4448</v>
      </c>
      <c r="D3808" s="182" t="s">
        <v>81</v>
      </c>
      <c r="E3808" s="1151">
        <v>0.5</v>
      </c>
      <c r="F3808" s="1152" t="s">
        <v>65</v>
      </c>
      <c r="G3808" s="1153">
        <v>20.329999999999998</v>
      </c>
      <c r="H3808" s="1154">
        <f>ROUNDDOWN(G3808*E3808,2)</f>
        <v>10.16</v>
      </c>
      <c r="I3808" s="1642"/>
      <c r="J3808" s="1797"/>
      <c r="K3808" s="1797"/>
      <c r="L3808" s="1784"/>
      <c r="M3808" s="1785"/>
    </row>
    <row r="3809" spans="1:13" s="156" customFormat="1" ht="30" x14ac:dyDescent="0.2">
      <c r="A3809" s="2144">
        <v>88247</v>
      </c>
      <c r="B3809" s="2144"/>
      <c r="C3809" s="1143" t="s">
        <v>4448</v>
      </c>
      <c r="D3809" s="182" t="s">
        <v>71</v>
      </c>
      <c r="E3809" s="1151">
        <v>0.5</v>
      </c>
      <c r="F3809" s="1152" t="s">
        <v>65</v>
      </c>
      <c r="G3809" s="1153">
        <v>16.02</v>
      </c>
      <c r="H3809" s="1154">
        <f>ROUNDDOWN(G3809*E3809,2)</f>
        <v>8.01</v>
      </c>
      <c r="I3809" s="1642"/>
      <c r="J3809" s="1797"/>
      <c r="K3809" s="1797"/>
      <c r="L3809" s="1784"/>
      <c r="M3809" s="1785"/>
    </row>
    <row r="3810" spans="1:13" s="1517" customFormat="1" x14ac:dyDescent="0.25">
      <c r="A3810" s="179"/>
      <c r="B3810" s="179"/>
      <c r="C3810" s="1155"/>
      <c r="D3810" s="2141" t="s">
        <v>124</v>
      </c>
      <c r="E3810" s="2141"/>
      <c r="F3810" s="2141"/>
      <c r="G3810" s="2141"/>
      <c r="H3810" s="267">
        <f>SUMIF(F3805:F3809,("h"),H3805:H3809)</f>
        <v>18.170000000000002</v>
      </c>
      <c r="I3810" s="1830"/>
      <c r="J3810" s="1795"/>
      <c r="K3810" s="1795"/>
      <c r="L3810" s="169"/>
      <c r="M3810" s="1783"/>
    </row>
    <row r="3811" spans="1:13" s="1517" customFormat="1" x14ac:dyDescent="0.25">
      <c r="A3811" s="179"/>
      <c r="B3811" s="179"/>
      <c r="C3811" s="1155"/>
      <c r="D3811" s="2141" t="s">
        <v>125</v>
      </c>
      <c r="E3811" s="2141"/>
      <c r="F3811" s="2141"/>
      <c r="G3811" s="2141"/>
      <c r="H3811" s="267">
        <f>SUMIF(F3805:F3809,"&lt;&gt;h",H3805:H3809)</f>
        <v>895.67</v>
      </c>
      <c r="I3811" s="1830"/>
      <c r="J3811" s="1795"/>
      <c r="K3811" s="1795"/>
      <c r="L3811" s="169"/>
      <c r="M3811" s="1783"/>
    </row>
    <row r="3812" spans="1:13" s="1517" customFormat="1" x14ac:dyDescent="0.25">
      <c r="A3812" s="179"/>
      <c r="B3812" s="179"/>
      <c r="C3812" s="1155"/>
      <c r="D3812" s="2142" t="s">
        <v>126</v>
      </c>
      <c r="E3812" s="2142"/>
      <c r="F3812" s="2142"/>
      <c r="G3812" s="2142"/>
      <c r="H3812" s="1156">
        <f>SUM(H3810:H3811)</f>
        <v>913.83999999999992</v>
      </c>
      <c r="I3812" s="1830"/>
      <c r="J3812" s="1795"/>
      <c r="K3812" s="1795"/>
      <c r="L3812" s="169"/>
      <c r="M3812" s="1783"/>
    </row>
    <row r="3813" spans="1:13" s="1517" customFormat="1" x14ac:dyDescent="0.25">
      <c r="A3813" s="179"/>
      <c r="B3813" s="179"/>
      <c r="C3813" s="1155"/>
      <c r="D3813" s="2141" t="s">
        <v>28</v>
      </c>
      <c r="E3813" s="2141"/>
      <c r="F3813" s="2141"/>
      <c r="G3813" s="2141"/>
      <c r="H3813" s="269">
        <f>E3804</f>
        <v>15</v>
      </c>
      <c r="I3813" s="1830"/>
      <c r="J3813" s="1795"/>
      <c r="K3813" s="1795"/>
      <c r="L3813" s="169"/>
      <c r="M3813" s="1783"/>
    </row>
    <row r="3814" spans="1:13" s="1517" customFormat="1" x14ac:dyDescent="0.25">
      <c r="A3814" s="179"/>
      <c r="B3814" s="179"/>
      <c r="C3814" s="1155"/>
      <c r="D3814" s="2142" t="s">
        <v>127</v>
      </c>
      <c r="E3814" s="2142"/>
      <c r="F3814" s="2142"/>
      <c r="G3814" s="2142"/>
      <c r="H3814" s="1156">
        <f>ROUND(H3812*H3813,2)</f>
        <v>13707.6</v>
      </c>
      <c r="I3814" s="1830"/>
      <c r="J3814" s="1795"/>
      <c r="K3814" s="1795"/>
      <c r="L3814" s="169"/>
      <c r="M3814" s="1783"/>
    </row>
    <row r="3815" spans="1:13" s="1517" customFormat="1" x14ac:dyDescent="0.25">
      <c r="A3815" s="179"/>
      <c r="B3815" s="179"/>
      <c r="C3815" s="1531"/>
      <c r="D3815" s="2141" t="s">
        <v>15335</v>
      </c>
      <c r="E3815" s="2141"/>
      <c r="F3815" s="2141"/>
      <c r="G3815" s="2141"/>
      <c r="H3815" s="267">
        <f>ROUND(H3812*$B$13,2)</f>
        <v>246.1</v>
      </c>
      <c r="I3815" s="1830"/>
      <c r="J3815" s="1795"/>
      <c r="K3815" s="1795"/>
      <c r="L3815" s="169"/>
      <c r="M3815" s="1783"/>
    </row>
    <row r="3816" spans="1:13" x14ac:dyDescent="0.25">
      <c r="A3816" s="179"/>
      <c r="B3816" s="179"/>
      <c r="C3816" s="1531"/>
      <c r="D3816" s="2142" t="s">
        <v>7898</v>
      </c>
      <c r="E3816" s="2142"/>
      <c r="F3816" s="2142"/>
      <c r="G3816" s="2142"/>
      <c r="H3816" s="1532">
        <f>H3815+H3812</f>
        <v>1159.9399999999998</v>
      </c>
    </row>
    <row r="3817" spans="1:13" x14ac:dyDescent="0.25">
      <c r="A3817" s="1142"/>
      <c r="B3817" s="1142"/>
      <c r="C3817" s="1142"/>
      <c r="F3817" s="1157"/>
      <c r="G3817" s="1158"/>
      <c r="H3817" s="1142"/>
    </row>
    <row r="3818" spans="1:13" s="1517" customFormat="1" x14ac:dyDescent="0.25">
      <c r="A3818" s="146" t="s">
        <v>6</v>
      </c>
      <c r="B3818" s="2143" t="s">
        <v>7</v>
      </c>
      <c r="C3818" s="2143"/>
      <c r="D3818" s="1518" t="s">
        <v>121</v>
      </c>
      <c r="E3818" s="278" t="s">
        <v>5282</v>
      </c>
      <c r="F3818" s="1518" t="s">
        <v>31</v>
      </c>
      <c r="G3818" s="1519" t="s">
        <v>122</v>
      </c>
      <c r="H3818" s="1520" t="s">
        <v>123</v>
      </c>
      <c r="I3818" s="1830"/>
      <c r="J3818" s="1795"/>
      <c r="K3818" s="1795"/>
      <c r="L3818" s="169"/>
      <c r="M3818" s="1783"/>
    </row>
    <row r="3819" spans="1:13" s="1526" customFormat="1" ht="30" x14ac:dyDescent="0.2">
      <c r="A3819" s="1521" t="str">
        <f>'Orç - Prédio'!A633</f>
        <v>06.01.404.02</v>
      </c>
      <c r="B3819" s="1521" t="str">
        <f>'Orç - Prédio'!B633</f>
        <v>CPOS</v>
      </c>
      <c r="C3819" s="1521" t="str">
        <f>'Orç - Prédio'!C633</f>
        <v>40.04.140</v>
      </c>
      <c r="D3819" s="1522" t="s">
        <v>7147</v>
      </c>
      <c r="E3819" s="1523">
        <f>'Orç - Prédio'!E633</f>
        <v>40</v>
      </c>
      <c r="F3819" s="1521" t="s">
        <v>5284</v>
      </c>
      <c r="G3819" s="1524">
        <v>187.5</v>
      </c>
      <c r="H3819" s="1525">
        <f>H3827</f>
        <v>7500</v>
      </c>
      <c r="I3819" s="1910" t="s">
        <v>9564</v>
      </c>
      <c r="J3819" s="1793"/>
      <c r="K3819" s="1793"/>
      <c r="L3819" s="141"/>
      <c r="M3819" s="1515"/>
    </row>
    <row r="3820" spans="1:13" s="156" customFormat="1" ht="60" x14ac:dyDescent="0.2">
      <c r="A3820" s="2144" t="s">
        <v>7602</v>
      </c>
      <c r="B3820" s="2144"/>
      <c r="C3820" s="1496" t="s">
        <v>5696</v>
      </c>
      <c r="D3820" s="1497" t="s">
        <v>7148</v>
      </c>
      <c r="E3820" s="1527">
        <v>1</v>
      </c>
      <c r="F3820" s="1619" t="s">
        <v>31</v>
      </c>
      <c r="G3820" s="367">
        <v>176.61</v>
      </c>
      <c r="H3820" s="1530">
        <f>ROUNDDOWN(G3820*E3820,2)</f>
        <v>176.61</v>
      </c>
      <c r="I3820" s="1642"/>
      <c r="J3820" s="1797"/>
      <c r="K3820" s="1797"/>
      <c r="L3820" s="1784"/>
      <c r="M3820" s="1785"/>
    </row>
    <row r="3821" spans="1:13" s="156" customFormat="1" ht="30" x14ac:dyDescent="0.2">
      <c r="A3821" s="2144">
        <v>88264</v>
      </c>
      <c r="B3821" s="2144"/>
      <c r="C3821" s="1516" t="s">
        <v>4448</v>
      </c>
      <c r="D3821" s="182" t="s">
        <v>81</v>
      </c>
      <c r="E3821" s="1527">
        <v>0.3</v>
      </c>
      <c r="F3821" s="1619" t="s">
        <v>65</v>
      </c>
      <c r="G3821" s="1529">
        <v>20.329999999999998</v>
      </c>
      <c r="H3821" s="1530">
        <f>ROUNDDOWN(G3821*E3821,2)</f>
        <v>6.09</v>
      </c>
      <c r="I3821" s="1642"/>
      <c r="J3821" s="1797"/>
      <c r="K3821" s="1797"/>
      <c r="L3821" s="1784"/>
      <c r="M3821" s="1785"/>
    </row>
    <row r="3822" spans="1:13" s="156" customFormat="1" ht="30" x14ac:dyDescent="0.2">
      <c r="A3822" s="2144">
        <v>88247</v>
      </c>
      <c r="B3822" s="2144"/>
      <c r="C3822" s="1516" t="s">
        <v>4448</v>
      </c>
      <c r="D3822" s="182" t="s">
        <v>71</v>
      </c>
      <c r="E3822" s="1527">
        <v>0.3</v>
      </c>
      <c r="F3822" s="1619" t="s">
        <v>65</v>
      </c>
      <c r="G3822" s="1529">
        <v>16.02</v>
      </c>
      <c r="H3822" s="1530">
        <f>ROUNDDOWN(G3822*E3822,2)</f>
        <v>4.8</v>
      </c>
      <c r="I3822" s="1642"/>
      <c r="J3822" s="1797"/>
      <c r="K3822" s="1797"/>
      <c r="L3822" s="1784"/>
      <c r="M3822" s="1785"/>
    </row>
    <row r="3823" spans="1:13" s="1517" customFormat="1" x14ac:dyDescent="0.25">
      <c r="A3823" s="179"/>
      <c r="B3823" s="179"/>
      <c r="C3823" s="1531"/>
      <c r="D3823" s="2141" t="s">
        <v>124</v>
      </c>
      <c r="E3823" s="2141"/>
      <c r="F3823" s="2141"/>
      <c r="G3823" s="2141"/>
      <c r="H3823" s="267">
        <f>SUMIF(F3820:F3822,("h"),H3820:H3822)</f>
        <v>10.89</v>
      </c>
      <c r="I3823" s="1830"/>
      <c r="J3823" s="1795"/>
      <c r="K3823" s="1795"/>
      <c r="L3823" s="169"/>
      <c r="M3823" s="1783"/>
    </row>
    <row r="3824" spans="1:13" s="1517" customFormat="1" x14ac:dyDescent="0.25">
      <c r="A3824" s="179"/>
      <c r="B3824" s="179"/>
      <c r="C3824" s="1531"/>
      <c r="D3824" s="2141" t="s">
        <v>125</v>
      </c>
      <c r="E3824" s="2141"/>
      <c r="F3824" s="2141"/>
      <c r="G3824" s="2141"/>
      <c r="H3824" s="267">
        <f>SUMIF(F3820:F3822,"&lt;&gt;h",H3820:H3822)</f>
        <v>176.61</v>
      </c>
      <c r="I3824" s="1830"/>
      <c r="J3824" s="1795"/>
      <c r="K3824" s="1795"/>
      <c r="L3824" s="169"/>
      <c r="M3824" s="1783"/>
    </row>
    <row r="3825" spans="1:13" s="1517" customFormat="1" x14ac:dyDescent="0.25">
      <c r="A3825" s="179"/>
      <c r="B3825" s="179"/>
      <c r="C3825" s="1531"/>
      <c r="D3825" s="2142" t="s">
        <v>126</v>
      </c>
      <c r="E3825" s="2142"/>
      <c r="F3825" s="2142"/>
      <c r="G3825" s="2142"/>
      <c r="H3825" s="1532">
        <f>SUM(H3823:H3824)</f>
        <v>187.5</v>
      </c>
      <c r="I3825" s="1830"/>
      <c r="J3825" s="1795"/>
      <c r="K3825" s="1795"/>
      <c r="L3825" s="169"/>
      <c r="M3825" s="1783"/>
    </row>
    <row r="3826" spans="1:13" s="1517" customFormat="1" x14ac:dyDescent="0.25">
      <c r="A3826" s="179"/>
      <c r="B3826" s="179"/>
      <c r="C3826" s="1531"/>
      <c r="D3826" s="2141" t="s">
        <v>28</v>
      </c>
      <c r="E3826" s="2141"/>
      <c r="F3826" s="2141"/>
      <c r="G3826" s="2141"/>
      <c r="H3826" s="269">
        <f>E3819</f>
        <v>40</v>
      </c>
      <c r="I3826" s="1830"/>
      <c r="J3826" s="1795"/>
      <c r="K3826" s="1795"/>
      <c r="L3826" s="169"/>
      <c r="M3826" s="1783"/>
    </row>
    <row r="3827" spans="1:13" s="1517" customFormat="1" x14ac:dyDescent="0.25">
      <c r="A3827" s="179"/>
      <c r="B3827" s="179"/>
      <c r="C3827" s="1531"/>
      <c r="D3827" s="2142" t="s">
        <v>127</v>
      </c>
      <c r="E3827" s="2142"/>
      <c r="F3827" s="2142"/>
      <c r="G3827" s="2142"/>
      <c r="H3827" s="1532">
        <f>ROUND(H3825*H3826,2)</f>
        <v>7500</v>
      </c>
      <c r="I3827" s="1830"/>
      <c r="J3827" s="1795"/>
      <c r="K3827" s="1795"/>
      <c r="L3827" s="169"/>
      <c r="M3827" s="1783"/>
    </row>
    <row r="3828" spans="1:13" s="1517" customFormat="1" x14ac:dyDescent="0.25">
      <c r="A3828" s="179"/>
      <c r="B3828" s="179"/>
      <c r="C3828" s="1531"/>
      <c r="D3828" s="2141" t="s">
        <v>15335</v>
      </c>
      <c r="E3828" s="2141"/>
      <c r="F3828" s="2141"/>
      <c r="G3828" s="2141"/>
      <c r="H3828" s="267">
        <f>ROUND(H3825*$B$13,2)</f>
        <v>50.49</v>
      </c>
      <c r="I3828" s="1830"/>
      <c r="J3828" s="1795"/>
      <c r="K3828" s="1795"/>
      <c r="L3828" s="169"/>
      <c r="M3828" s="1783"/>
    </row>
    <row r="3829" spans="1:13" x14ac:dyDescent="0.25">
      <c r="A3829" s="179"/>
      <c r="B3829" s="179"/>
      <c r="C3829" s="1531"/>
      <c r="D3829" s="2142" t="s">
        <v>7898</v>
      </c>
      <c r="E3829" s="2142"/>
      <c r="F3829" s="2142"/>
      <c r="G3829" s="2142"/>
      <c r="H3829" s="1532">
        <f>H3828+H3825</f>
        <v>237.99</v>
      </c>
    </row>
    <row r="3830" spans="1:13" x14ac:dyDescent="0.25">
      <c r="A3830" s="1514"/>
      <c r="B3830" s="1514"/>
      <c r="C3830" s="1514"/>
      <c r="F3830" s="1533"/>
      <c r="G3830" s="1534"/>
      <c r="H3830" s="1514"/>
    </row>
    <row r="3831" spans="1:13" s="1517" customFormat="1" x14ac:dyDescent="0.25">
      <c r="A3831" s="146" t="s">
        <v>6</v>
      </c>
      <c r="B3831" s="2143" t="s">
        <v>7</v>
      </c>
      <c r="C3831" s="2143"/>
      <c r="D3831" s="1518" t="s">
        <v>121</v>
      </c>
      <c r="E3831" s="278" t="s">
        <v>5282</v>
      </c>
      <c r="F3831" s="1518" t="s">
        <v>31</v>
      </c>
      <c r="G3831" s="1519" t="s">
        <v>122</v>
      </c>
      <c r="H3831" s="1520" t="s">
        <v>123</v>
      </c>
      <c r="I3831" s="1830"/>
      <c r="J3831" s="1795"/>
      <c r="K3831" s="1795"/>
      <c r="L3831" s="169"/>
      <c r="M3831" s="1783"/>
    </row>
    <row r="3832" spans="1:13" s="1526" customFormat="1" ht="90" x14ac:dyDescent="0.2">
      <c r="A3832" s="1976" t="str">
        <f>'Orç - Prédio'!A634</f>
        <v>06.01.405.01</v>
      </c>
      <c r="B3832" s="1976" t="str">
        <f>'Orç - Prédio'!B634</f>
        <v>ORSE INSUMO</v>
      </c>
      <c r="C3832" s="1976">
        <f>'Orç - Prédio'!C634</f>
        <v>10605</v>
      </c>
      <c r="D3832" s="1560" t="s">
        <v>15143</v>
      </c>
      <c r="E3832" s="1866">
        <f>'Orç - Prédio'!E634</f>
        <v>24</v>
      </c>
      <c r="F3832" s="1976" t="s">
        <v>5284</v>
      </c>
      <c r="G3832" s="1524">
        <v>6494.92</v>
      </c>
      <c r="H3832" s="1525">
        <f>H3838</f>
        <v>155878.07999999999</v>
      </c>
      <c r="I3832" s="1910" t="s">
        <v>14965</v>
      </c>
      <c r="J3832" s="1793"/>
      <c r="K3832" s="1793"/>
      <c r="L3832" s="141"/>
      <c r="M3832" s="1515"/>
    </row>
    <row r="3833" spans="1:13" s="1859" customFormat="1" ht="105" x14ac:dyDescent="0.2">
      <c r="A3833" s="2144">
        <v>10605</v>
      </c>
      <c r="B3833" s="2144"/>
      <c r="C3833" s="1496" t="s">
        <v>5281</v>
      </c>
      <c r="D3833" s="1497" t="s">
        <v>9449</v>
      </c>
      <c r="E3833" s="1864">
        <v>1</v>
      </c>
      <c r="F3833" s="1975" t="s">
        <v>31</v>
      </c>
      <c r="G3833" s="367">
        <v>6494.92</v>
      </c>
      <c r="H3833" s="1857">
        <f t="shared" ref="H3833" si="165">ROUNDDOWN(G3833*E3833,2)</f>
        <v>6494.92</v>
      </c>
      <c r="I3833" s="1856"/>
      <c r="J3833" s="1797"/>
      <c r="K3833" s="1797"/>
      <c r="L3833" s="1784"/>
      <c r="M3833" s="1785"/>
    </row>
    <row r="3834" spans="1:13" s="1517" customFormat="1" x14ac:dyDescent="0.25">
      <c r="A3834" s="1977"/>
      <c r="B3834" s="1977"/>
      <c r="C3834" s="1531"/>
      <c r="D3834" s="2141" t="s">
        <v>124</v>
      </c>
      <c r="E3834" s="2141"/>
      <c r="F3834" s="2141"/>
      <c r="G3834" s="2141"/>
      <c r="H3834" s="267">
        <f>SUMIF(F3833:F3833,("h"),H3833:H3833)</f>
        <v>0</v>
      </c>
      <c r="I3834" s="1830"/>
      <c r="J3834" s="1795"/>
      <c r="K3834" s="1795"/>
      <c r="L3834" s="169"/>
      <c r="M3834" s="1783"/>
    </row>
    <row r="3835" spans="1:13" s="1517" customFormat="1" x14ac:dyDescent="0.25">
      <c r="A3835" s="1977"/>
      <c r="B3835" s="1977"/>
      <c r="C3835" s="1531"/>
      <c r="D3835" s="2141" t="s">
        <v>125</v>
      </c>
      <c r="E3835" s="2141"/>
      <c r="F3835" s="2141"/>
      <c r="G3835" s="2141"/>
      <c r="H3835" s="267">
        <f>SUMIF(F3833:F3833,"&lt;&gt;h",H3833:H3833)</f>
        <v>6494.92</v>
      </c>
      <c r="I3835" s="1830"/>
      <c r="J3835" s="1795"/>
      <c r="K3835" s="1795"/>
      <c r="L3835" s="169"/>
      <c r="M3835" s="1783"/>
    </row>
    <row r="3836" spans="1:13" s="1517" customFormat="1" x14ac:dyDescent="0.25">
      <c r="A3836" s="1977"/>
      <c r="B3836" s="1977"/>
      <c r="C3836" s="1531"/>
      <c r="D3836" s="2142" t="s">
        <v>126</v>
      </c>
      <c r="E3836" s="2142"/>
      <c r="F3836" s="2142"/>
      <c r="G3836" s="2142"/>
      <c r="H3836" s="1532">
        <f>SUM(H3834:H3835)</f>
        <v>6494.92</v>
      </c>
      <c r="I3836" s="1830"/>
      <c r="J3836" s="1795"/>
      <c r="K3836" s="1795"/>
      <c r="L3836" s="169"/>
      <c r="M3836" s="1783"/>
    </row>
    <row r="3837" spans="1:13" s="1517" customFormat="1" x14ac:dyDescent="0.25">
      <c r="A3837" s="1977"/>
      <c r="B3837" s="1977"/>
      <c r="C3837" s="1531"/>
      <c r="D3837" s="2141" t="s">
        <v>28</v>
      </c>
      <c r="E3837" s="2141"/>
      <c r="F3837" s="2141"/>
      <c r="G3837" s="2141"/>
      <c r="H3837" s="269">
        <f>E3832</f>
        <v>24</v>
      </c>
      <c r="I3837" s="1830"/>
      <c r="J3837" s="1795"/>
      <c r="K3837" s="1795"/>
      <c r="L3837" s="169"/>
      <c r="M3837" s="1783"/>
    </row>
    <row r="3838" spans="1:13" s="1517" customFormat="1" x14ac:dyDescent="0.25">
      <c r="A3838" s="1977"/>
      <c r="B3838" s="1977"/>
      <c r="C3838" s="1531"/>
      <c r="D3838" s="2142" t="s">
        <v>127</v>
      </c>
      <c r="E3838" s="2142"/>
      <c r="F3838" s="2142"/>
      <c r="G3838" s="2142"/>
      <c r="H3838" s="1532">
        <f>ROUND(H3836*H3837,2)</f>
        <v>155878.07999999999</v>
      </c>
      <c r="I3838" s="1830"/>
      <c r="J3838" s="1795"/>
      <c r="K3838" s="1795"/>
      <c r="L3838" s="169"/>
      <c r="M3838" s="1783"/>
    </row>
    <row r="3839" spans="1:13" s="1517" customFormat="1" x14ac:dyDescent="0.25">
      <c r="A3839" s="1977"/>
      <c r="B3839" s="1977"/>
      <c r="C3839" s="1531"/>
      <c r="D3839" s="2141" t="s">
        <v>15337</v>
      </c>
      <c r="E3839" s="2141"/>
      <c r="F3839" s="2141"/>
      <c r="G3839" s="2141"/>
      <c r="H3839" s="267">
        <f>ROUND(H3836*$B$14,2)</f>
        <v>1359.39</v>
      </c>
      <c r="I3839" s="1830"/>
      <c r="J3839" s="1795"/>
      <c r="K3839" s="1795"/>
      <c r="L3839" s="169"/>
      <c r="M3839" s="1783"/>
    </row>
    <row r="3840" spans="1:13" x14ac:dyDescent="0.25">
      <c r="A3840" s="1977"/>
      <c r="B3840" s="1977"/>
      <c r="C3840" s="1531"/>
      <c r="D3840" s="2142" t="s">
        <v>7898</v>
      </c>
      <c r="E3840" s="2142"/>
      <c r="F3840" s="2142"/>
      <c r="G3840" s="2142"/>
      <c r="H3840" s="1532">
        <f>H3839+H3836</f>
        <v>7854.31</v>
      </c>
    </row>
    <row r="3841" spans="1:13" x14ac:dyDescent="0.25">
      <c r="A3841" s="1514"/>
      <c r="B3841" s="1514"/>
      <c r="C3841" s="1514"/>
      <c r="F3841" s="1533"/>
      <c r="G3841" s="1534"/>
      <c r="H3841" s="1514"/>
    </row>
    <row r="3842" spans="1:13" s="1517" customFormat="1" x14ac:dyDescent="0.25">
      <c r="A3842" s="146" t="s">
        <v>6</v>
      </c>
      <c r="B3842" s="2143" t="s">
        <v>7</v>
      </c>
      <c r="C3842" s="2143"/>
      <c r="D3842" s="1518" t="s">
        <v>121</v>
      </c>
      <c r="E3842" s="278" t="s">
        <v>5282</v>
      </c>
      <c r="F3842" s="1518" t="s">
        <v>31</v>
      </c>
      <c r="G3842" s="1519" t="s">
        <v>122</v>
      </c>
      <c r="H3842" s="1520" t="s">
        <v>123</v>
      </c>
      <c r="I3842" s="1830"/>
      <c r="J3842" s="1795"/>
      <c r="K3842" s="1795"/>
      <c r="L3842" s="169"/>
      <c r="M3842" s="1783"/>
    </row>
    <row r="3843" spans="1:13" s="1526" customFormat="1" ht="90" x14ac:dyDescent="0.2">
      <c r="A3843" s="1897" t="str">
        <f>'Orç - Prédio'!A635</f>
        <v>06.01.405.02</v>
      </c>
      <c r="B3843" s="1897" t="str">
        <f>'Orç - Prédio'!B635</f>
        <v>Comp. Montada</v>
      </c>
      <c r="C3843" s="1897">
        <f>'Orç - Prédio'!C635</f>
        <v>13</v>
      </c>
      <c r="D3843" s="1865" t="s">
        <v>15144</v>
      </c>
      <c r="E3843" s="1866">
        <f>'Orç - Prédio'!E635</f>
        <v>24</v>
      </c>
      <c r="F3843" s="1897" t="s">
        <v>5284</v>
      </c>
      <c r="G3843" s="1524">
        <v>159.28000000000003</v>
      </c>
      <c r="H3843" s="1525">
        <f>H3858</f>
        <v>3822.72</v>
      </c>
      <c r="I3843" s="1910" t="s">
        <v>14965</v>
      </c>
      <c r="J3843" s="1793"/>
      <c r="K3843" s="1793"/>
      <c r="L3843" s="141"/>
      <c r="M3843" s="1515"/>
    </row>
    <row r="3844" spans="1:13" s="1859" customFormat="1" ht="30" x14ac:dyDescent="0.2">
      <c r="A3844" s="2144">
        <v>11976</v>
      </c>
      <c r="B3844" s="2144"/>
      <c r="C3844" s="1863" t="s">
        <v>4448</v>
      </c>
      <c r="D3844" s="1862" t="s">
        <v>10890</v>
      </c>
      <c r="E3844" s="1864">
        <v>4</v>
      </c>
      <c r="F3844" s="1896" t="s">
        <v>39</v>
      </c>
      <c r="G3844" s="1860">
        <v>0.89</v>
      </c>
      <c r="H3844" s="1857">
        <f t="shared" ref="H3844:H3853" si="166">ROUNDDOWN(G3844*E3844,2)</f>
        <v>3.56</v>
      </c>
      <c r="I3844" s="1856"/>
      <c r="J3844" s="1797"/>
      <c r="K3844" s="1797"/>
      <c r="L3844" s="1784"/>
      <c r="M3844" s="1785"/>
    </row>
    <row r="3845" spans="1:13" s="1859" customFormat="1" ht="45" x14ac:dyDescent="0.2">
      <c r="A3845" s="2144">
        <v>96617</v>
      </c>
      <c r="B3845" s="2144"/>
      <c r="C3845" s="1863" t="s">
        <v>4448</v>
      </c>
      <c r="D3845" s="1862" t="s">
        <v>1403</v>
      </c>
      <c r="E3845" s="1864">
        <f>0.4*0.4</f>
        <v>0.16000000000000003</v>
      </c>
      <c r="F3845" s="1896" t="s">
        <v>306</v>
      </c>
      <c r="G3845" s="1860">
        <v>13.54</v>
      </c>
      <c r="H3845" s="1857">
        <f t="shared" si="166"/>
        <v>2.16</v>
      </c>
      <c r="I3845" s="1856"/>
      <c r="J3845" s="1797"/>
      <c r="K3845" s="1797"/>
      <c r="L3845" s="1784"/>
      <c r="M3845" s="1785"/>
    </row>
    <row r="3846" spans="1:13" s="1859" customFormat="1" ht="45" x14ac:dyDescent="0.2">
      <c r="A3846" s="2144">
        <v>96523</v>
      </c>
      <c r="B3846" s="2144"/>
      <c r="C3846" s="1863" t="s">
        <v>4448</v>
      </c>
      <c r="D3846" s="1862" t="s">
        <v>3454</v>
      </c>
      <c r="E3846" s="1864">
        <f>0.4*0.4*0.6</f>
        <v>9.6000000000000016E-2</v>
      </c>
      <c r="F3846" s="1896" t="s">
        <v>1208</v>
      </c>
      <c r="G3846" s="1860">
        <v>69.98</v>
      </c>
      <c r="H3846" s="1857">
        <f t="shared" si="166"/>
        <v>6.71</v>
      </c>
      <c r="I3846" s="1856"/>
      <c r="J3846" s="1797"/>
      <c r="K3846" s="1797"/>
      <c r="L3846" s="1784"/>
      <c r="M3846" s="1785"/>
    </row>
    <row r="3847" spans="1:13" s="1859" customFormat="1" ht="45" x14ac:dyDescent="0.2">
      <c r="A3847" s="2144">
        <v>96558</v>
      </c>
      <c r="B3847" s="2144"/>
      <c r="C3847" s="1863" t="s">
        <v>4448</v>
      </c>
      <c r="D3847" s="1862" t="s">
        <v>1744</v>
      </c>
      <c r="E3847" s="1864">
        <f>0.4*0.4*0.6</f>
        <v>9.6000000000000016E-2</v>
      </c>
      <c r="F3847" s="1896" t="s">
        <v>1208</v>
      </c>
      <c r="G3847" s="1860">
        <v>386.7</v>
      </c>
      <c r="H3847" s="1857">
        <f t="shared" si="166"/>
        <v>37.119999999999997</v>
      </c>
      <c r="I3847" s="1856"/>
      <c r="J3847" s="1797"/>
      <c r="K3847" s="1797"/>
      <c r="L3847" s="1784"/>
      <c r="M3847" s="1785"/>
    </row>
    <row r="3848" spans="1:13" s="1859" customFormat="1" ht="45" x14ac:dyDescent="0.2">
      <c r="A3848" s="2144">
        <v>96543</v>
      </c>
      <c r="B3848" s="2144"/>
      <c r="C3848" s="1863" t="s">
        <v>4448</v>
      </c>
      <c r="D3848" s="1862" t="s">
        <v>1589</v>
      </c>
      <c r="E3848" s="1864">
        <f>0.4*0.4*0.6*0.23</f>
        <v>2.2080000000000006E-2</v>
      </c>
      <c r="F3848" s="1896" t="s">
        <v>305</v>
      </c>
      <c r="G3848" s="1860">
        <v>12.69</v>
      </c>
      <c r="H3848" s="1857">
        <f t="shared" si="166"/>
        <v>0.28000000000000003</v>
      </c>
      <c r="I3848" s="1856"/>
      <c r="J3848" s="1797"/>
      <c r="K3848" s="1797"/>
      <c r="L3848" s="1784"/>
      <c r="M3848" s="1785"/>
    </row>
    <row r="3849" spans="1:13" s="1859" customFormat="1" ht="45" x14ac:dyDescent="0.2">
      <c r="A3849" s="2144">
        <v>96544</v>
      </c>
      <c r="B3849" s="2144"/>
      <c r="C3849" s="1863" t="s">
        <v>4448</v>
      </c>
      <c r="D3849" s="1862" t="s">
        <v>1685</v>
      </c>
      <c r="E3849" s="1864">
        <f>0.4*0.4*0.6*0.16</f>
        <v>1.5360000000000002E-2</v>
      </c>
      <c r="F3849" s="1896" t="s">
        <v>305</v>
      </c>
      <c r="G3849" s="1860">
        <v>11.35</v>
      </c>
      <c r="H3849" s="1857">
        <f t="shared" si="166"/>
        <v>0.17</v>
      </c>
      <c r="I3849" s="1856"/>
      <c r="J3849" s="1797"/>
      <c r="K3849" s="1797"/>
      <c r="L3849" s="1784"/>
      <c r="M3849" s="1785"/>
    </row>
    <row r="3850" spans="1:13" s="1859" customFormat="1" ht="45" x14ac:dyDescent="0.2">
      <c r="A3850" s="2144">
        <v>96546</v>
      </c>
      <c r="B3850" s="2144"/>
      <c r="C3850" s="1863" t="s">
        <v>4448</v>
      </c>
      <c r="D3850" s="1862" t="s">
        <v>1687</v>
      </c>
      <c r="E3850" s="1864">
        <f>0.4*0.4*0.6*1</f>
        <v>9.6000000000000016E-2</v>
      </c>
      <c r="F3850" s="1896" t="s">
        <v>305</v>
      </c>
      <c r="G3850" s="1860">
        <v>8.94</v>
      </c>
      <c r="H3850" s="1857">
        <f t="shared" si="166"/>
        <v>0.85</v>
      </c>
      <c r="I3850" s="1856"/>
      <c r="J3850" s="1797"/>
      <c r="K3850" s="1797"/>
      <c r="L3850" s="1784"/>
      <c r="M3850" s="1785"/>
    </row>
    <row r="3851" spans="1:13" s="1859" customFormat="1" ht="90" x14ac:dyDescent="0.2">
      <c r="A3851" s="2144">
        <v>5928</v>
      </c>
      <c r="B3851" s="2144"/>
      <c r="C3851" s="1863" t="s">
        <v>4448</v>
      </c>
      <c r="D3851" s="1862" t="s">
        <v>347</v>
      </c>
      <c r="E3851" s="1864">
        <v>0.111</v>
      </c>
      <c r="F3851" s="1896" t="s">
        <v>97</v>
      </c>
      <c r="G3851" s="1860">
        <v>145.76</v>
      </c>
      <c r="H3851" s="1857">
        <f t="shared" si="166"/>
        <v>16.170000000000002</v>
      </c>
      <c r="I3851" s="1856"/>
      <c r="J3851" s="1797"/>
      <c r="K3851" s="1797"/>
      <c r="L3851" s="1784"/>
      <c r="M3851" s="1785"/>
    </row>
    <row r="3852" spans="1:13" s="1859" customFormat="1" ht="30" x14ac:dyDescent="0.2">
      <c r="A3852" s="2144">
        <v>88247</v>
      </c>
      <c r="B3852" s="2144"/>
      <c r="C3852" s="1863" t="s">
        <v>4448</v>
      </c>
      <c r="D3852" s="1862" t="s">
        <v>71</v>
      </c>
      <c r="E3852" s="1864">
        <v>1.1240000000000001</v>
      </c>
      <c r="F3852" s="1896" t="s">
        <v>65</v>
      </c>
      <c r="G3852" s="1860">
        <v>16.02</v>
      </c>
      <c r="H3852" s="1857">
        <f t="shared" si="166"/>
        <v>18</v>
      </c>
      <c r="I3852" s="1856"/>
      <c r="J3852" s="1797"/>
      <c r="K3852" s="1797"/>
      <c r="L3852" s="1784"/>
      <c r="M3852" s="1785"/>
    </row>
    <row r="3853" spans="1:13" s="1859" customFormat="1" ht="30" x14ac:dyDescent="0.2">
      <c r="A3853" s="2144">
        <v>88264</v>
      </c>
      <c r="B3853" s="2144"/>
      <c r="C3853" s="1863" t="s">
        <v>4448</v>
      </c>
      <c r="D3853" s="1862" t="s">
        <v>81</v>
      </c>
      <c r="E3853" s="1864">
        <v>3.653</v>
      </c>
      <c r="F3853" s="1896" t="s">
        <v>65</v>
      </c>
      <c r="G3853" s="1860">
        <v>20.329999999999998</v>
      </c>
      <c r="H3853" s="1857">
        <f t="shared" si="166"/>
        <v>74.260000000000005</v>
      </c>
      <c r="I3853" s="1856"/>
      <c r="J3853" s="1797"/>
      <c r="K3853" s="1797"/>
      <c r="L3853" s="1784"/>
      <c r="M3853" s="1785"/>
    </row>
    <row r="3854" spans="1:13" s="1517" customFormat="1" x14ac:dyDescent="0.25">
      <c r="A3854" s="1847"/>
      <c r="B3854" s="1847"/>
      <c r="C3854" s="1531"/>
      <c r="D3854" s="2141" t="s">
        <v>124</v>
      </c>
      <c r="E3854" s="2141"/>
      <c r="F3854" s="2141"/>
      <c r="G3854" s="2141"/>
      <c r="H3854" s="267">
        <f>SUMIF(F3844:F3853,("h"),H3844:H3853)</f>
        <v>92.26</v>
      </c>
      <c r="I3854" s="1830"/>
      <c r="J3854" s="1795"/>
      <c r="K3854" s="1795"/>
      <c r="L3854" s="169"/>
      <c r="M3854" s="1783"/>
    </row>
    <row r="3855" spans="1:13" s="1517" customFormat="1" x14ac:dyDescent="0.25">
      <c r="A3855" s="1847"/>
      <c r="B3855" s="1847"/>
      <c r="C3855" s="1531"/>
      <c r="D3855" s="2141" t="s">
        <v>125</v>
      </c>
      <c r="E3855" s="2141"/>
      <c r="F3855" s="2141"/>
      <c r="G3855" s="2141"/>
      <c r="H3855" s="267">
        <f>SUMIF(F3844:F3853,"&lt;&gt;h",H3844:H3853)</f>
        <v>67.02000000000001</v>
      </c>
      <c r="I3855" s="1830"/>
      <c r="J3855" s="1795"/>
      <c r="K3855" s="1795"/>
      <c r="L3855" s="169"/>
      <c r="M3855" s="1783"/>
    </row>
    <row r="3856" spans="1:13" s="1517" customFormat="1" x14ac:dyDescent="0.25">
      <c r="A3856" s="1847"/>
      <c r="B3856" s="1847"/>
      <c r="C3856" s="1531"/>
      <c r="D3856" s="2142" t="s">
        <v>126</v>
      </c>
      <c r="E3856" s="2142"/>
      <c r="F3856" s="2142"/>
      <c r="G3856" s="2142"/>
      <c r="H3856" s="1532">
        <f>SUM(H3854:H3855)</f>
        <v>159.28000000000003</v>
      </c>
      <c r="I3856" s="1830"/>
      <c r="J3856" s="1795"/>
      <c r="K3856" s="1795"/>
      <c r="L3856" s="169"/>
      <c r="M3856" s="1783"/>
    </row>
    <row r="3857" spans="1:13" s="1517" customFormat="1" x14ac:dyDescent="0.25">
      <c r="A3857" s="1847"/>
      <c r="B3857" s="1847"/>
      <c r="C3857" s="1531"/>
      <c r="D3857" s="2141" t="s">
        <v>28</v>
      </c>
      <c r="E3857" s="2141"/>
      <c r="F3857" s="2141"/>
      <c r="G3857" s="2141"/>
      <c r="H3857" s="269">
        <f>E3843</f>
        <v>24</v>
      </c>
      <c r="I3857" s="1830"/>
      <c r="J3857" s="1795"/>
      <c r="K3857" s="1795"/>
      <c r="L3857" s="169"/>
      <c r="M3857" s="1783"/>
    </row>
    <row r="3858" spans="1:13" s="1517" customFormat="1" x14ac:dyDescent="0.25">
      <c r="A3858" s="1847"/>
      <c r="B3858" s="1847"/>
      <c r="C3858" s="1531"/>
      <c r="D3858" s="2142" t="s">
        <v>127</v>
      </c>
      <c r="E3858" s="2142"/>
      <c r="F3858" s="2142"/>
      <c r="G3858" s="2142"/>
      <c r="H3858" s="1532">
        <f>ROUND(H3856*H3857,2)</f>
        <v>3822.72</v>
      </c>
      <c r="I3858" s="1830"/>
      <c r="J3858" s="1795"/>
      <c r="K3858" s="1795"/>
      <c r="L3858" s="169"/>
      <c r="M3858" s="1783"/>
    </row>
    <row r="3859" spans="1:13" s="1517" customFormat="1" x14ac:dyDescent="0.25">
      <c r="A3859" s="1847"/>
      <c r="B3859" s="1847"/>
      <c r="C3859" s="1531"/>
      <c r="D3859" s="2141" t="s">
        <v>15335</v>
      </c>
      <c r="E3859" s="2141"/>
      <c r="F3859" s="2141"/>
      <c r="G3859" s="2141"/>
      <c r="H3859" s="267">
        <f>ROUND(H3856*$B$13,2)</f>
        <v>42.89</v>
      </c>
      <c r="I3859" s="1830"/>
      <c r="J3859" s="1795"/>
      <c r="K3859" s="1795"/>
      <c r="L3859" s="169"/>
      <c r="M3859" s="1783"/>
    </row>
    <row r="3860" spans="1:13" x14ac:dyDescent="0.25">
      <c r="A3860" s="1847"/>
      <c r="B3860" s="1847"/>
      <c r="C3860" s="1531"/>
      <c r="D3860" s="2142" t="s">
        <v>7898</v>
      </c>
      <c r="E3860" s="2142"/>
      <c r="F3860" s="2142"/>
      <c r="G3860" s="2142"/>
      <c r="H3860" s="1532">
        <f>H3859+H3856</f>
        <v>202.17000000000002</v>
      </c>
    </row>
    <row r="3861" spans="1:13" ht="35.25" customHeight="1" x14ac:dyDescent="0.25">
      <c r="A3861" s="2147" t="s">
        <v>9448</v>
      </c>
      <c r="B3861" s="2147"/>
      <c r="C3861" s="2147"/>
      <c r="D3861" s="2147"/>
      <c r="E3861" s="2147"/>
      <c r="F3861" s="2147"/>
      <c r="G3861" s="2147"/>
      <c r="H3861" s="2147"/>
    </row>
    <row r="3862" spans="1:13" x14ac:dyDescent="0.25">
      <c r="A3862" s="1514"/>
      <c r="B3862" s="1514"/>
      <c r="C3862" s="1514"/>
      <c r="F3862" s="1533"/>
      <c r="G3862" s="1534"/>
      <c r="H3862" s="1514"/>
    </row>
    <row r="3863" spans="1:13" s="1517" customFormat="1" x14ac:dyDescent="0.25">
      <c r="A3863" s="146" t="s">
        <v>6</v>
      </c>
      <c r="B3863" s="2143" t="s">
        <v>7</v>
      </c>
      <c r="C3863" s="2143"/>
      <c r="D3863" s="1518" t="s">
        <v>121</v>
      </c>
      <c r="E3863" s="278" t="s">
        <v>5282</v>
      </c>
      <c r="F3863" s="1518" t="s">
        <v>31</v>
      </c>
      <c r="G3863" s="1519" t="s">
        <v>122</v>
      </c>
      <c r="H3863" s="1520" t="s">
        <v>123</v>
      </c>
      <c r="I3863" s="1830"/>
      <c r="J3863" s="1795"/>
      <c r="K3863" s="1795"/>
      <c r="L3863" s="169"/>
      <c r="M3863" s="1783"/>
    </row>
    <row r="3864" spans="1:13" s="1526" customFormat="1" ht="30" x14ac:dyDescent="0.2">
      <c r="A3864" s="1914" t="str">
        <f>'Orç - Prédio'!A637</f>
        <v>06.01.411</v>
      </c>
      <c r="B3864" s="1914" t="str">
        <f>'Orç - Prédio'!B637</f>
        <v>SINAPI</v>
      </c>
      <c r="C3864" s="1914" t="str">
        <f>'Orç - Prédio'!C637</f>
        <v>83393 MOD</v>
      </c>
      <c r="D3864" s="1865" t="s">
        <v>9517</v>
      </c>
      <c r="E3864" s="1866">
        <f>'Orç - Prédio'!E637</f>
        <v>81</v>
      </c>
      <c r="F3864" s="1914" t="s">
        <v>5284</v>
      </c>
      <c r="G3864" s="1524">
        <v>267.59999999999997</v>
      </c>
      <c r="H3864" s="1525">
        <f>H3871</f>
        <v>21675.599999999999</v>
      </c>
      <c r="I3864" s="1910" t="s">
        <v>9523</v>
      </c>
      <c r="J3864" s="1793"/>
      <c r="K3864" s="1793"/>
      <c r="L3864" s="141"/>
      <c r="M3864" s="1515"/>
    </row>
    <row r="3865" spans="1:13" s="1859" customFormat="1" x14ac:dyDescent="0.2">
      <c r="A3865" s="2144" t="s">
        <v>6257</v>
      </c>
      <c r="B3865" s="2144"/>
      <c r="C3865" s="2144"/>
      <c r="D3865" s="1497" t="s">
        <v>9518</v>
      </c>
      <c r="E3865" s="1864">
        <v>1</v>
      </c>
      <c r="F3865" s="1912" t="s">
        <v>31</v>
      </c>
      <c r="G3865" s="367">
        <v>258.45999999999998</v>
      </c>
      <c r="H3865" s="1857">
        <f>ROUNDDOWN(G3865*E3865,2)</f>
        <v>258.45999999999998</v>
      </c>
      <c r="I3865" s="1856"/>
      <c r="J3865" s="1797"/>
      <c r="K3865" s="1797"/>
      <c r="L3865" s="1784"/>
      <c r="M3865" s="1785"/>
    </row>
    <row r="3866" spans="1:13" s="1859" customFormat="1" ht="30" x14ac:dyDescent="0.2">
      <c r="A3866" s="2144">
        <v>88264</v>
      </c>
      <c r="B3866" s="2144"/>
      <c r="C3866" s="1863" t="s">
        <v>4448</v>
      </c>
      <c r="D3866" s="1862" t="s">
        <v>81</v>
      </c>
      <c r="E3866" s="1864">
        <v>0.45</v>
      </c>
      <c r="F3866" s="1912" t="s">
        <v>65</v>
      </c>
      <c r="G3866" s="1860">
        <v>20.329999999999998</v>
      </c>
      <c r="H3866" s="1857">
        <f>ROUNDDOWN(G3866*E3866,2)</f>
        <v>9.14</v>
      </c>
      <c r="I3866" s="1856"/>
      <c r="J3866" s="1797"/>
      <c r="K3866" s="1797"/>
      <c r="L3866" s="1784"/>
      <c r="M3866" s="1785"/>
    </row>
    <row r="3867" spans="1:13" s="1517" customFormat="1" x14ac:dyDescent="0.25">
      <c r="A3867" s="1913"/>
      <c r="B3867" s="1913"/>
      <c r="C3867" s="1531"/>
      <c r="D3867" s="2141" t="s">
        <v>124</v>
      </c>
      <c r="E3867" s="2141"/>
      <c r="F3867" s="2141"/>
      <c r="G3867" s="2141"/>
      <c r="H3867" s="267">
        <f>SUMIF(F3865:F3866,("h"),H3865:H3866)</f>
        <v>9.14</v>
      </c>
      <c r="I3867" s="1830"/>
      <c r="J3867" s="1795"/>
      <c r="K3867" s="1795"/>
      <c r="L3867" s="169"/>
      <c r="M3867" s="1783"/>
    </row>
    <row r="3868" spans="1:13" s="1517" customFormat="1" x14ac:dyDescent="0.25">
      <c r="A3868" s="1913"/>
      <c r="B3868" s="1913"/>
      <c r="C3868" s="1531"/>
      <c r="D3868" s="2141" t="s">
        <v>125</v>
      </c>
      <c r="E3868" s="2141"/>
      <c r="F3868" s="2141"/>
      <c r="G3868" s="2141"/>
      <c r="H3868" s="267">
        <f>SUMIF(F3865:F3866,"&lt;&gt;h",H3865:H3866)</f>
        <v>258.45999999999998</v>
      </c>
      <c r="I3868" s="1830"/>
      <c r="J3868" s="1795"/>
      <c r="K3868" s="1795"/>
      <c r="L3868" s="169"/>
      <c r="M3868" s="1783"/>
    </row>
    <row r="3869" spans="1:13" s="1517" customFormat="1" x14ac:dyDescent="0.25">
      <c r="A3869" s="1913"/>
      <c r="B3869" s="1913"/>
      <c r="C3869" s="1531"/>
      <c r="D3869" s="2142" t="s">
        <v>126</v>
      </c>
      <c r="E3869" s="2142"/>
      <c r="F3869" s="2142"/>
      <c r="G3869" s="2142"/>
      <c r="H3869" s="1532">
        <f>SUM(H3867:H3868)</f>
        <v>267.59999999999997</v>
      </c>
      <c r="I3869" s="1830"/>
      <c r="J3869" s="1795"/>
      <c r="K3869" s="1795"/>
      <c r="L3869" s="169"/>
      <c r="M3869" s="1783"/>
    </row>
    <row r="3870" spans="1:13" s="1517" customFormat="1" x14ac:dyDescent="0.25">
      <c r="A3870" s="1913"/>
      <c r="B3870" s="1913"/>
      <c r="C3870" s="1531"/>
      <c r="D3870" s="2141" t="s">
        <v>28</v>
      </c>
      <c r="E3870" s="2141"/>
      <c r="F3870" s="2141"/>
      <c r="G3870" s="2141"/>
      <c r="H3870" s="269">
        <f>E3864</f>
        <v>81</v>
      </c>
      <c r="I3870" s="1830"/>
      <c r="J3870" s="1795"/>
      <c r="K3870" s="1795"/>
      <c r="L3870" s="169"/>
      <c r="M3870" s="1783"/>
    </row>
    <row r="3871" spans="1:13" s="1517" customFormat="1" x14ac:dyDescent="0.25">
      <c r="A3871" s="1913"/>
      <c r="B3871" s="1913"/>
      <c r="C3871" s="1531"/>
      <c r="D3871" s="2142" t="s">
        <v>127</v>
      </c>
      <c r="E3871" s="2142"/>
      <c r="F3871" s="2142"/>
      <c r="G3871" s="2142"/>
      <c r="H3871" s="1532">
        <f>ROUND(H3869*H3870,2)</f>
        <v>21675.599999999999</v>
      </c>
      <c r="I3871" s="1830"/>
      <c r="J3871" s="1795"/>
      <c r="K3871" s="1795"/>
      <c r="L3871" s="169"/>
      <c r="M3871" s="1783"/>
    </row>
    <row r="3872" spans="1:13" s="1517" customFormat="1" x14ac:dyDescent="0.25">
      <c r="A3872" s="1913"/>
      <c r="B3872" s="1913"/>
      <c r="C3872" s="1531"/>
      <c r="D3872" s="2141" t="s">
        <v>15335</v>
      </c>
      <c r="E3872" s="2141"/>
      <c r="F3872" s="2141"/>
      <c r="G3872" s="2141"/>
      <c r="H3872" s="267">
        <f>ROUND(H3869*$B$13,2)</f>
        <v>72.06</v>
      </c>
      <c r="I3872" s="1830"/>
      <c r="J3872" s="1795"/>
      <c r="K3872" s="1795"/>
      <c r="L3872" s="169"/>
      <c r="M3872" s="1783"/>
    </row>
    <row r="3873" spans="1:13" x14ac:dyDescent="0.25">
      <c r="A3873" s="1913"/>
      <c r="B3873" s="1913"/>
      <c r="C3873" s="1531"/>
      <c r="D3873" s="2142" t="s">
        <v>7898</v>
      </c>
      <c r="E3873" s="2142"/>
      <c r="F3873" s="2142"/>
      <c r="G3873" s="2142"/>
      <c r="H3873" s="1532">
        <f>H3872+H3869</f>
        <v>339.65999999999997</v>
      </c>
    </row>
    <row r="3874" spans="1:13" x14ac:dyDescent="0.25">
      <c r="A3874" s="1514"/>
      <c r="B3874" s="1514"/>
      <c r="C3874" s="1514"/>
      <c r="F3874" s="1533"/>
      <c r="G3874" s="1534"/>
      <c r="H3874" s="1514"/>
    </row>
    <row r="3875" spans="1:13" s="1517" customFormat="1" x14ac:dyDescent="0.25">
      <c r="A3875" s="146" t="s">
        <v>6</v>
      </c>
      <c r="B3875" s="2143" t="s">
        <v>7</v>
      </c>
      <c r="C3875" s="2143"/>
      <c r="D3875" s="1518" t="s">
        <v>121</v>
      </c>
      <c r="E3875" s="278" t="s">
        <v>5282</v>
      </c>
      <c r="F3875" s="1518" t="s">
        <v>31</v>
      </c>
      <c r="G3875" s="1519" t="s">
        <v>122</v>
      </c>
      <c r="H3875" s="1520" t="s">
        <v>123</v>
      </c>
      <c r="I3875" s="1830"/>
      <c r="J3875" s="1795"/>
      <c r="K3875" s="1795"/>
      <c r="L3875" s="169"/>
      <c r="M3875" s="1783"/>
    </row>
    <row r="3876" spans="1:13" s="1526" customFormat="1" ht="30" x14ac:dyDescent="0.2">
      <c r="A3876" s="1521" t="str">
        <f>'Orç - Prédio'!A638</f>
        <v>06.01.416.01</v>
      </c>
      <c r="B3876" s="1521" t="str">
        <f>'Orç - Prédio'!B638</f>
        <v>ORSE</v>
      </c>
      <c r="C3876" s="1521">
        <f>'Orç - Prédio'!C638</f>
        <v>723</v>
      </c>
      <c r="D3876" s="1522" t="s">
        <v>7199</v>
      </c>
      <c r="E3876" s="1523">
        <f>'Orç - Prédio'!E638</f>
        <v>382</v>
      </c>
      <c r="F3876" s="1521" t="s">
        <v>5284</v>
      </c>
      <c r="G3876" s="1524">
        <v>4.01</v>
      </c>
      <c r="H3876" s="1525">
        <f>H3884</f>
        <v>1531.82</v>
      </c>
      <c r="I3876" s="1910" t="s">
        <v>14965</v>
      </c>
      <c r="J3876" s="1793"/>
      <c r="K3876" s="1793"/>
      <c r="L3876" s="141"/>
      <c r="M3876" s="1515"/>
    </row>
    <row r="3877" spans="1:13" s="156" customFormat="1" x14ac:dyDescent="0.2">
      <c r="A3877" s="2144">
        <v>2003</v>
      </c>
      <c r="B3877" s="2144"/>
      <c r="C3877" s="1496" t="s">
        <v>5281</v>
      </c>
      <c r="D3877" s="1497" t="s">
        <v>7201</v>
      </c>
      <c r="E3877" s="1527">
        <v>1</v>
      </c>
      <c r="F3877" s="1619" t="s">
        <v>31</v>
      </c>
      <c r="G3877" s="367">
        <v>1.9</v>
      </c>
      <c r="H3877" s="1852">
        <f>ROUNDDOWN(G3877*E3877,2)</f>
        <v>1.9</v>
      </c>
      <c r="I3877" s="1642"/>
      <c r="J3877" s="1797"/>
      <c r="K3877" s="1797"/>
      <c r="L3877" s="1784"/>
      <c r="M3877" s="1785"/>
    </row>
    <row r="3878" spans="1:13" s="156" customFormat="1" ht="30" x14ac:dyDescent="0.2">
      <c r="A3878" s="2144">
        <v>88264</v>
      </c>
      <c r="B3878" s="2144"/>
      <c r="C3878" s="1516" t="s">
        <v>4448</v>
      </c>
      <c r="D3878" s="182" t="s">
        <v>81</v>
      </c>
      <c r="E3878" s="1527">
        <v>0.06</v>
      </c>
      <c r="F3878" s="1619" t="s">
        <v>65</v>
      </c>
      <c r="G3878" s="1529">
        <v>20.329999999999998</v>
      </c>
      <c r="H3878" s="1530">
        <f>ROUNDDOWN(G3878*E3878,2)</f>
        <v>1.21</v>
      </c>
      <c r="I3878" s="1642"/>
      <c r="J3878" s="1797"/>
      <c r="K3878" s="1797"/>
      <c r="L3878" s="1784"/>
      <c r="M3878" s="1785"/>
    </row>
    <row r="3879" spans="1:13" s="156" customFormat="1" ht="30" x14ac:dyDescent="0.2">
      <c r="A3879" s="2144">
        <v>88316</v>
      </c>
      <c r="B3879" s="2144"/>
      <c r="C3879" s="1516" t="s">
        <v>4448</v>
      </c>
      <c r="D3879" s="182" t="s">
        <v>64</v>
      </c>
      <c r="E3879" s="1527">
        <v>0.06</v>
      </c>
      <c r="F3879" s="1619" t="s">
        <v>65</v>
      </c>
      <c r="G3879" s="1529">
        <v>15.08</v>
      </c>
      <c r="H3879" s="1530">
        <f>ROUNDDOWN(G3879*E3879,2)</f>
        <v>0.9</v>
      </c>
      <c r="I3879" s="1642"/>
      <c r="J3879" s="1797"/>
      <c r="K3879" s="1797"/>
      <c r="L3879" s="1784"/>
      <c r="M3879" s="1785"/>
    </row>
    <row r="3880" spans="1:13" s="1517" customFormat="1" x14ac:dyDescent="0.25">
      <c r="A3880" s="179"/>
      <c r="B3880" s="179"/>
      <c r="C3880" s="1531"/>
      <c r="D3880" s="2141" t="s">
        <v>124</v>
      </c>
      <c r="E3880" s="2141"/>
      <c r="F3880" s="2141"/>
      <c r="G3880" s="2141"/>
      <c r="H3880" s="267">
        <f>SUMIF(F3877:F3879,("h"),H3877:H3879)</f>
        <v>2.11</v>
      </c>
      <c r="I3880" s="1830"/>
      <c r="J3880" s="1795"/>
      <c r="K3880" s="1795"/>
      <c r="L3880" s="169"/>
      <c r="M3880" s="1783"/>
    </row>
    <row r="3881" spans="1:13" s="1517" customFormat="1" x14ac:dyDescent="0.25">
      <c r="A3881" s="179"/>
      <c r="B3881" s="179"/>
      <c r="C3881" s="1531"/>
      <c r="D3881" s="2141" t="s">
        <v>125</v>
      </c>
      <c r="E3881" s="2141"/>
      <c r="F3881" s="2141"/>
      <c r="G3881" s="2141"/>
      <c r="H3881" s="267">
        <f>SUMIF(F3877:F3879,"&lt;&gt;h",H3877:H3879)</f>
        <v>1.9</v>
      </c>
      <c r="I3881" s="1830"/>
      <c r="J3881" s="1795"/>
      <c r="K3881" s="1795"/>
      <c r="L3881" s="169"/>
      <c r="M3881" s="1783"/>
    </row>
    <row r="3882" spans="1:13" s="1517" customFormat="1" x14ac:dyDescent="0.25">
      <c r="A3882" s="179"/>
      <c r="B3882" s="179"/>
      <c r="C3882" s="1531"/>
      <c r="D3882" s="2142" t="s">
        <v>126</v>
      </c>
      <c r="E3882" s="2142"/>
      <c r="F3882" s="2142"/>
      <c r="G3882" s="2142"/>
      <c r="H3882" s="1532">
        <f>SUM(H3880:H3881)</f>
        <v>4.01</v>
      </c>
      <c r="I3882" s="1830"/>
      <c r="J3882" s="1795"/>
      <c r="K3882" s="1795"/>
      <c r="L3882" s="169"/>
      <c r="M3882" s="1783"/>
    </row>
    <row r="3883" spans="1:13" s="1517" customFormat="1" x14ac:dyDescent="0.25">
      <c r="A3883" s="179"/>
      <c r="B3883" s="179"/>
      <c r="C3883" s="1531"/>
      <c r="D3883" s="2141" t="s">
        <v>28</v>
      </c>
      <c r="E3883" s="2141"/>
      <c r="F3883" s="2141"/>
      <c r="G3883" s="2141"/>
      <c r="H3883" s="269">
        <f>E3876</f>
        <v>382</v>
      </c>
      <c r="I3883" s="1830"/>
      <c r="J3883" s="1795"/>
      <c r="K3883" s="1795"/>
      <c r="L3883" s="169"/>
      <c r="M3883" s="1783"/>
    </row>
    <row r="3884" spans="1:13" s="1517" customFormat="1" x14ac:dyDescent="0.25">
      <c r="A3884" s="179"/>
      <c r="B3884" s="179"/>
      <c r="C3884" s="1531"/>
      <c r="D3884" s="2142" t="s">
        <v>127</v>
      </c>
      <c r="E3884" s="2142"/>
      <c r="F3884" s="2142"/>
      <c r="G3884" s="2142"/>
      <c r="H3884" s="1532">
        <f>ROUND(H3882*H3883,2)</f>
        <v>1531.82</v>
      </c>
      <c r="I3884" s="1830"/>
      <c r="J3884" s="1795"/>
      <c r="K3884" s="1795"/>
      <c r="L3884" s="169"/>
      <c r="M3884" s="1783"/>
    </row>
    <row r="3885" spans="1:13" s="1517" customFormat="1" x14ac:dyDescent="0.25">
      <c r="A3885" s="179"/>
      <c r="B3885" s="179"/>
      <c r="C3885" s="1531"/>
      <c r="D3885" s="2141" t="s">
        <v>15335</v>
      </c>
      <c r="E3885" s="2141"/>
      <c r="F3885" s="2141"/>
      <c r="G3885" s="2141"/>
      <c r="H3885" s="267">
        <f>ROUND(H3882*$B$13,2)</f>
        <v>1.08</v>
      </c>
      <c r="I3885" s="1830"/>
      <c r="J3885" s="1795"/>
      <c r="K3885" s="1795"/>
      <c r="L3885" s="169"/>
      <c r="M3885" s="1783"/>
    </row>
    <row r="3886" spans="1:13" x14ac:dyDescent="0.25">
      <c r="A3886" s="179"/>
      <c r="B3886" s="179"/>
      <c r="C3886" s="1531"/>
      <c r="D3886" s="2142" t="s">
        <v>7898</v>
      </c>
      <c r="E3886" s="2142"/>
      <c r="F3886" s="2142"/>
      <c r="G3886" s="2142"/>
      <c r="H3886" s="1532">
        <f>H3885+H3882</f>
        <v>5.09</v>
      </c>
    </row>
    <row r="3887" spans="1:13" x14ac:dyDescent="0.25">
      <c r="A3887" s="1514"/>
      <c r="B3887" s="1514"/>
      <c r="C3887" s="1514"/>
      <c r="F3887" s="1533"/>
      <c r="G3887" s="1534"/>
      <c r="H3887" s="1514"/>
    </row>
    <row r="3888" spans="1:13" s="1517" customFormat="1" x14ac:dyDescent="0.25">
      <c r="A3888" s="146" t="s">
        <v>6</v>
      </c>
      <c r="B3888" s="2143" t="s">
        <v>7</v>
      </c>
      <c r="C3888" s="2143"/>
      <c r="D3888" s="1518" t="s">
        <v>121</v>
      </c>
      <c r="E3888" s="278" t="s">
        <v>5282</v>
      </c>
      <c r="F3888" s="1518" t="s">
        <v>31</v>
      </c>
      <c r="G3888" s="1519" t="s">
        <v>122</v>
      </c>
      <c r="H3888" s="1520" t="s">
        <v>123</v>
      </c>
      <c r="I3888" s="1830"/>
      <c r="J3888" s="1795"/>
      <c r="K3888" s="1795"/>
      <c r="L3888" s="169"/>
      <c r="M3888" s="1783"/>
    </row>
    <row r="3889" spans="1:13" s="1526" customFormat="1" ht="30" x14ac:dyDescent="0.2">
      <c r="A3889" s="1882" t="str">
        <f>'Orç - Prédio'!A639</f>
        <v>06.01.416.02</v>
      </c>
      <c r="B3889" s="1882" t="str">
        <f>'Orç - Prédio'!B639</f>
        <v>ORSE</v>
      </c>
      <c r="C3889" s="1882">
        <f>'Orç - Prédio'!C639</f>
        <v>724</v>
      </c>
      <c r="D3889" s="1865" t="s">
        <v>8976</v>
      </c>
      <c r="E3889" s="1866">
        <f>'Orç - Prédio'!E639</f>
        <v>23</v>
      </c>
      <c r="F3889" s="1882" t="s">
        <v>5284</v>
      </c>
      <c r="G3889" s="1524">
        <v>5.9300000000000006</v>
      </c>
      <c r="H3889" s="1525">
        <f>H3897</f>
        <v>136.38999999999999</v>
      </c>
      <c r="I3889" s="1910" t="s">
        <v>14965</v>
      </c>
      <c r="J3889" s="1793"/>
      <c r="K3889" s="1793"/>
      <c r="L3889" s="141"/>
      <c r="M3889" s="1515"/>
    </row>
    <row r="3890" spans="1:13" s="1859" customFormat="1" x14ac:dyDescent="0.2">
      <c r="A3890" s="2144">
        <v>2001</v>
      </c>
      <c r="B3890" s="2144"/>
      <c r="C3890" s="1496" t="s">
        <v>5281</v>
      </c>
      <c r="D3890" s="1497" t="s">
        <v>8985</v>
      </c>
      <c r="E3890" s="1864">
        <v>1</v>
      </c>
      <c r="F3890" s="1881" t="s">
        <v>31</v>
      </c>
      <c r="G3890" s="367">
        <v>1.7</v>
      </c>
      <c r="H3890" s="1857">
        <f>ROUNDDOWN(G3890*E3890,2)</f>
        <v>1.7</v>
      </c>
      <c r="I3890" s="1856"/>
      <c r="J3890" s="1797"/>
      <c r="K3890" s="1797"/>
      <c r="L3890" s="1784"/>
      <c r="M3890" s="1785"/>
    </row>
    <row r="3891" spans="1:13" s="1859" customFormat="1" ht="30" x14ac:dyDescent="0.2">
      <c r="A3891" s="2144">
        <v>88264</v>
      </c>
      <c r="B3891" s="2144"/>
      <c r="C3891" s="1863" t="s">
        <v>4448</v>
      </c>
      <c r="D3891" s="1862" t="s">
        <v>81</v>
      </c>
      <c r="E3891" s="1864">
        <v>0.12</v>
      </c>
      <c r="F3891" s="1881" t="s">
        <v>65</v>
      </c>
      <c r="G3891" s="1860">
        <v>20.329999999999998</v>
      </c>
      <c r="H3891" s="1857">
        <f>ROUNDDOWN(G3891*E3891,2)</f>
        <v>2.4300000000000002</v>
      </c>
      <c r="I3891" s="1856"/>
      <c r="J3891" s="1797"/>
      <c r="K3891" s="1797"/>
      <c r="L3891" s="1784"/>
      <c r="M3891" s="1785"/>
    </row>
    <row r="3892" spans="1:13" s="1859" customFormat="1" ht="30" x14ac:dyDescent="0.2">
      <c r="A3892" s="2144">
        <v>88316</v>
      </c>
      <c r="B3892" s="2144"/>
      <c r="C3892" s="1863" t="s">
        <v>4448</v>
      </c>
      <c r="D3892" s="1862" t="s">
        <v>64</v>
      </c>
      <c r="E3892" s="1864">
        <v>0.12</v>
      </c>
      <c r="F3892" s="1881" t="s">
        <v>65</v>
      </c>
      <c r="G3892" s="1860">
        <v>15.08</v>
      </c>
      <c r="H3892" s="1857">
        <f>ROUNDDOWN(G3892*E3892,2)</f>
        <v>1.8</v>
      </c>
      <c r="I3892" s="1856"/>
      <c r="J3892" s="1797"/>
      <c r="K3892" s="1797"/>
      <c r="L3892" s="1784"/>
      <c r="M3892" s="1785"/>
    </row>
    <row r="3893" spans="1:13" s="1517" customFormat="1" x14ac:dyDescent="0.25">
      <c r="A3893" s="1847"/>
      <c r="B3893" s="1847"/>
      <c r="C3893" s="1531"/>
      <c r="D3893" s="2141" t="s">
        <v>124</v>
      </c>
      <c r="E3893" s="2141"/>
      <c r="F3893" s="2141"/>
      <c r="G3893" s="2141"/>
      <c r="H3893" s="267">
        <f>SUMIF(F3890:F3892,("h"),H3890:H3892)</f>
        <v>4.2300000000000004</v>
      </c>
      <c r="I3893" s="1830"/>
      <c r="J3893" s="1795"/>
      <c r="K3893" s="1795"/>
      <c r="L3893" s="169"/>
      <c r="M3893" s="1783"/>
    </row>
    <row r="3894" spans="1:13" s="1517" customFormat="1" x14ac:dyDescent="0.25">
      <c r="A3894" s="1847"/>
      <c r="B3894" s="1847"/>
      <c r="C3894" s="1531"/>
      <c r="D3894" s="2141" t="s">
        <v>125</v>
      </c>
      <c r="E3894" s="2141"/>
      <c r="F3894" s="2141"/>
      <c r="G3894" s="2141"/>
      <c r="H3894" s="267">
        <f>SUMIF(F3890:F3892,"&lt;&gt;h",H3890:H3892)</f>
        <v>1.7</v>
      </c>
      <c r="I3894" s="1830"/>
      <c r="J3894" s="1795"/>
      <c r="K3894" s="1795"/>
      <c r="L3894" s="169"/>
      <c r="M3894" s="1783"/>
    </row>
    <row r="3895" spans="1:13" s="1517" customFormat="1" x14ac:dyDescent="0.25">
      <c r="A3895" s="1847"/>
      <c r="B3895" s="1847"/>
      <c r="C3895" s="1531"/>
      <c r="D3895" s="2142" t="s">
        <v>126</v>
      </c>
      <c r="E3895" s="2142"/>
      <c r="F3895" s="2142"/>
      <c r="G3895" s="2142"/>
      <c r="H3895" s="1532">
        <f>SUM(H3893:H3894)</f>
        <v>5.9300000000000006</v>
      </c>
      <c r="I3895" s="1830"/>
      <c r="J3895" s="1795"/>
      <c r="K3895" s="1795"/>
      <c r="L3895" s="169"/>
      <c r="M3895" s="1783"/>
    </row>
    <row r="3896" spans="1:13" s="1517" customFormat="1" x14ac:dyDescent="0.25">
      <c r="A3896" s="1847"/>
      <c r="B3896" s="1847"/>
      <c r="C3896" s="1531"/>
      <c r="D3896" s="2141" t="s">
        <v>28</v>
      </c>
      <c r="E3896" s="2141"/>
      <c r="F3896" s="2141"/>
      <c r="G3896" s="2141"/>
      <c r="H3896" s="269">
        <f>E3889</f>
        <v>23</v>
      </c>
      <c r="I3896" s="1830"/>
      <c r="J3896" s="1795"/>
      <c r="K3896" s="1795"/>
      <c r="L3896" s="169"/>
      <c r="M3896" s="1783"/>
    </row>
    <row r="3897" spans="1:13" s="1517" customFormat="1" x14ac:dyDescent="0.25">
      <c r="A3897" s="1847"/>
      <c r="B3897" s="1847"/>
      <c r="C3897" s="1531"/>
      <c r="D3897" s="2142" t="s">
        <v>127</v>
      </c>
      <c r="E3897" s="2142"/>
      <c r="F3897" s="2142"/>
      <c r="G3897" s="2142"/>
      <c r="H3897" s="1532">
        <f>ROUND(H3895*H3896,2)</f>
        <v>136.38999999999999</v>
      </c>
      <c r="I3897" s="1830"/>
      <c r="J3897" s="1795"/>
      <c r="K3897" s="1795"/>
      <c r="L3897" s="169"/>
      <c r="M3897" s="1783"/>
    </row>
    <row r="3898" spans="1:13" s="1517" customFormat="1" x14ac:dyDescent="0.25">
      <c r="A3898" s="1847"/>
      <c r="B3898" s="1847"/>
      <c r="C3898" s="1531"/>
      <c r="D3898" s="2141" t="s">
        <v>15335</v>
      </c>
      <c r="E3898" s="2141"/>
      <c r="F3898" s="2141"/>
      <c r="G3898" s="2141"/>
      <c r="H3898" s="267">
        <f>ROUND(H3895*$B$13,2)</f>
        <v>1.6</v>
      </c>
      <c r="I3898" s="1830"/>
      <c r="J3898" s="1795"/>
      <c r="K3898" s="1795"/>
      <c r="L3898" s="169"/>
      <c r="M3898" s="1783"/>
    </row>
    <row r="3899" spans="1:13" x14ac:dyDescent="0.25">
      <c r="A3899" s="1847"/>
      <c r="B3899" s="1847"/>
      <c r="C3899" s="1531"/>
      <c r="D3899" s="2142" t="s">
        <v>7898</v>
      </c>
      <c r="E3899" s="2142"/>
      <c r="F3899" s="2142"/>
      <c r="G3899" s="2142"/>
      <c r="H3899" s="1532">
        <f>H3898+H3895</f>
        <v>7.5300000000000011</v>
      </c>
    </row>
    <row r="3900" spans="1:13" x14ac:dyDescent="0.25">
      <c r="A3900" s="1514"/>
      <c r="B3900" s="1514"/>
      <c r="C3900" s="1514"/>
      <c r="F3900" s="1533"/>
      <c r="G3900" s="1534"/>
      <c r="H3900" s="1514"/>
    </row>
    <row r="3901" spans="1:13" s="1517" customFormat="1" x14ac:dyDescent="0.25">
      <c r="A3901" s="146" t="s">
        <v>6</v>
      </c>
      <c r="B3901" s="2143" t="s">
        <v>7</v>
      </c>
      <c r="C3901" s="2143"/>
      <c r="D3901" s="1518" t="s">
        <v>121</v>
      </c>
      <c r="E3901" s="278" t="s">
        <v>5282</v>
      </c>
      <c r="F3901" s="1518" t="s">
        <v>31</v>
      </c>
      <c r="G3901" s="1519" t="s">
        <v>122</v>
      </c>
      <c r="H3901" s="1520" t="s">
        <v>123</v>
      </c>
      <c r="I3901" s="1830"/>
      <c r="J3901" s="1795"/>
      <c r="K3901" s="1795"/>
      <c r="L3901" s="169"/>
      <c r="M3901" s="1783"/>
    </row>
    <row r="3902" spans="1:13" s="1526" customFormat="1" ht="30" x14ac:dyDescent="0.2">
      <c r="A3902" s="1882" t="str">
        <f>'Orç - Prédio'!A640</f>
        <v>06.01.416.03</v>
      </c>
      <c r="B3902" s="1882" t="str">
        <f>'Orç - Prédio'!B640</f>
        <v>ORSE</v>
      </c>
      <c r="C3902" s="1882">
        <f>'Orç - Prédio'!C640</f>
        <v>725</v>
      </c>
      <c r="D3902" s="1865" t="s">
        <v>8977</v>
      </c>
      <c r="E3902" s="1866">
        <f>'Orç - Prédio'!E640</f>
        <v>4</v>
      </c>
      <c r="F3902" s="1882" t="s">
        <v>5284</v>
      </c>
      <c r="G3902" s="1524">
        <v>6.33</v>
      </c>
      <c r="H3902" s="1525">
        <f>H3910</f>
        <v>25.32</v>
      </c>
      <c r="I3902" s="1910" t="s">
        <v>14965</v>
      </c>
      <c r="J3902" s="1793"/>
      <c r="K3902" s="1793"/>
      <c r="L3902" s="141"/>
      <c r="M3902" s="1515"/>
    </row>
    <row r="3903" spans="1:13" s="1859" customFormat="1" x14ac:dyDescent="0.2">
      <c r="A3903" s="2144">
        <v>2000</v>
      </c>
      <c r="B3903" s="2144"/>
      <c r="C3903" s="1496" t="s">
        <v>5281</v>
      </c>
      <c r="D3903" s="1497" t="s">
        <v>8986</v>
      </c>
      <c r="E3903" s="1864">
        <v>1</v>
      </c>
      <c r="F3903" s="1881" t="s">
        <v>31</v>
      </c>
      <c r="G3903" s="367">
        <v>2.1</v>
      </c>
      <c r="H3903" s="1857">
        <f>ROUNDDOWN(G3903*E3903,2)</f>
        <v>2.1</v>
      </c>
      <c r="I3903" s="1856"/>
      <c r="J3903" s="1797"/>
      <c r="K3903" s="1797"/>
      <c r="L3903" s="1784"/>
      <c r="M3903" s="1785"/>
    </row>
    <row r="3904" spans="1:13" s="1859" customFormat="1" ht="30" x14ac:dyDescent="0.2">
      <c r="A3904" s="2144">
        <v>88264</v>
      </c>
      <c r="B3904" s="2144"/>
      <c r="C3904" s="1863" t="s">
        <v>4448</v>
      </c>
      <c r="D3904" s="1862" t="s">
        <v>81</v>
      </c>
      <c r="E3904" s="1864">
        <v>0.12</v>
      </c>
      <c r="F3904" s="1881" t="s">
        <v>65</v>
      </c>
      <c r="G3904" s="1860">
        <v>20.329999999999998</v>
      </c>
      <c r="H3904" s="1857">
        <f>ROUNDDOWN(G3904*E3904,2)</f>
        <v>2.4300000000000002</v>
      </c>
      <c r="I3904" s="1856"/>
      <c r="J3904" s="1797"/>
      <c r="K3904" s="1797"/>
      <c r="L3904" s="1784"/>
      <c r="M3904" s="1785"/>
    </row>
    <row r="3905" spans="1:13" s="1859" customFormat="1" ht="30" x14ac:dyDescent="0.2">
      <c r="A3905" s="2144">
        <v>88316</v>
      </c>
      <c r="B3905" s="2144"/>
      <c r="C3905" s="1863" t="s">
        <v>4448</v>
      </c>
      <c r="D3905" s="1862" t="s">
        <v>64</v>
      </c>
      <c r="E3905" s="1864">
        <v>0.12</v>
      </c>
      <c r="F3905" s="1881" t="s">
        <v>65</v>
      </c>
      <c r="G3905" s="1860">
        <v>15.08</v>
      </c>
      <c r="H3905" s="1857">
        <f>ROUNDDOWN(G3905*E3905,2)</f>
        <v>1.8</v>
      </c>
      <c r="I3905" s="1856"/>
      <c r="J3905" s="1797"/>
      <c r="K3905" s="1797"/>
      <c r="L3905" s="1784"/>
      <c r="M3905" s="1785"/>
    </row>
    <row r="3906" spans="1:13" s="1517" customFormat="1" x14ac:dyDescent="0.25">
      <c r="A3906" s="1847"/>
      <c r="B3906" s="1847"/>
      <c r="C3906" s="1531"/>
      <c r="D3906" s="2141" t="s">
        <v>124</v>
      </c>
      <c r="E3906" s="2141"/>
      <c r="F3906" s="2141"/>
      <c r="G3906" s="2141"/>
      <c r="H3906" s="267">
        <f>SUMIF(F3903:F3905,("h"),H3903:H3905)</f>
        <v>4.2300000000000004</v>
      </c>
      <c r="I3906" s="1830"/>
      <c r="J3906" s="1795"/>
      <c r="K3906" s="1795"/>
      <c r="L3906" s="169"/>
      <c r="M3906" s="1783"/>
    </row>
    <row r="3907" spans="1:13" s="1517" customFormat="1" x14ac:dyDescent="0.25">
      <c r="A3907" s="1847"/>
      <c r="B3907" s="1847"/>
      <c r="C3907" s="1531"/>
      <c r="D3907" s="2141" t="s">
        <v>125</v>
      </c>
      <c r="E3907" s="2141"/>
      <c r="F3907" s="2141"/>
      <c r="G3907" s="2141"/>
      <c r="H3907" s="267">
        <f>SUMIF(F3903:F3905,"&lt;&gt;h",H3903:H3905)</f>
        <v>2.1</v>
      </c>
      <c r="I3907" s="1830"/>
      <c r="J3907" s="1795"/>
      <c r="K3907" s="1795"/>
      <c r="L3907" s="169"/>
      <c r="M3907" s="1783"/>
    </row>
    <row r="3908" spans="1:13" s="1517" customFormat="1" x14ac:dyDescent="0.25">
      <c r="A3908" s="1847"/>
      <c r="B3908" s="1847"/>
      <c r="C3908" s="1531"/>
      <c r="D3908" s="2142" t="s">
        <v>126</v>
      </c>
      <c r="E3908" s="2142"/>
      <c r="F3908" s="2142"/>
      <c r="G3908" s="2142"/>
      <c r="H3908" s="1532">
        <f>SUM(H3906:H3907)</f>
        <v>6.33</v>
      </c>
      <c r="I3908" s="1830"/>
      <c r="J3908" s="1795"/>
      <c r="K3908" s="1795"/>
      <c r="L3908" s="169"/>
      <c r="M3908" s="1783"/>
    </row>
    <row r="3909" spans="1:13" s="1517" customFormat="1" x14ac:dyDescent="0.25">
      <c r="A3909" s="1847"/>
      <c r="B3909" s="1847"/>
      <c r="C3909" s="1531"/>
      <c r="D3909" s="2141" t="s">
        <v>28</v>
      </c>
      <c r="E3909" s="2141"/>
      <c r="F3909" s="2141"/>
      <c r="G3909" s="2141"/>
      <c r="H3909" s="269">
        <f>E3902</f>
        <v>4</v>
      </c>
      <c r="I3909" s="1830"/>
      <c r="J3909" s="1795"/>
      <c r="K3909" s="1795"/>
      <c r="L3909" s="169"/>
      <c r="M3909" s="1783"/>
    </row>
    <row r="3910" spans="1:13" s="1517" customFormat="1" x14ac:dyDescent="0.25">
      <c r="A3910" s="1847"/>
      <c r="B3910" s="1847"/>
      <c r="C3910" s="1531"/>
      <c r="D3910" s="2142" t="s">
        <v>127</v>
      </c>
      <c r="E3910" s="2142"/>
      <c r="F3910" s="2142"/>
      <c r="G3910" s="2142"/>
      <c r="H3910" s="1532">
        <f>ROUND(H3908*H3909,2)</f>
        <v>25.32</v>
      </c>
      <c r="I3910" s="1830"/>
      <c r="J3910" s="1795"/>
      <c r="K3910" s="1795"/>
      <c r="L3910" s="169"/>
      <c r="M3910" s="1783"/>
    </row>
    <row r="3911" spans="1:13" s="1517" customFormat="1" x14ac:dyDescent="0.25">
      <c r="A3911" s="1847"/>
      <c r="B3911" s="1847"/>
      <c r="C3911" s="1531"/>
      <c r="D3911" s="2141" t="s">
        <v>15335</v>
      </c>
      <c r="E3911" s="2141"/>
      <c r="F3911" s="2141"/>
      <c r="G3911" s="2141"/>
      <c r="H3911" s="267">
        <f>ROUND(H3908*$B$13,2)</f>
        <v>1.7</v>
      </c>
      <c r="I3911" s="1830"/>
      <c r="J3911" s="1795"/>
      <c r="K3911" s="1795"/>
      <c r="L3911" s="169"/>
      <c r="M3911" s="1783"/>
    </row>
    <row r="3912" spans="1:13" x14ac:dyDescent="0.25">
      <c r="A3912" s="1847"/>
      <c r="B3912" s="1847"/>
      <c r="C3912" s="1531"/>
      <c r="D3912" s="2142" t="s">
        <v>7898</v>
      </c>
      <c r="E3912" s="2142"/>
      <c r="F3912" s="2142"/>
      <c r="G3912" s="2142"/>
      <c r="H3912" s="1532">
        <f>H3911+H3908</f>
        <v>8.0299999999999994</v>
      </c>
    </row>
    <row r="3913" spans="1:13" x14ac:dyDescent="0.25">
      <c r="A3913" s="1514"/>
      <c r="B3913" s="1514"/>
      <c r="C3913" s="1514"/>
      <c r="F3913" s="1533"/>
      <c r="G3913" s="1534"/>
      <c r="H3913" s="1514"/>
    </row>
    <row r="3914" spans="1:13" s="1517" customFormat="1" x14ac:dyDescent="0.25">
      <c r="A3914" s="146" t="s">
        <v>6</v>
      </c>
      <c r="B3914" s="2143" t="s">
        <v>7</v>
      </c>
      <c r="C3914" s="2143"/>
      <c r="D3914" s="1518" t="s">
        <v>121</v>
      </c>
      <c r="E3914" s="278" t="s">
        <v>5282</v>
      </c>
      <c r="F3914" s="1518" t="s">
        <v>31</v>
      </c>
      <c r="G3914" s="1519" t="s">
        <v>122</v>
      </c>
      <c r="H3914" s="1520" t="s">
        <v>123</v>
      </c>
      <c r="I3914" s="1830"/>
      <c r="J3914" s="1795"/>
      <c r="K3914" s="1795"/>
      <c r="L3914" s="169"/>
      <c r="M3914" s="1783"/>
    </row>
    <row r="3915" spans="1:13" s="1526" customFormat="1" ht="30" x14ac:dyDescent="0.2">
      <c r="A3915" s="1882" t="str">
        <f>'Orç - Prédio'!A641</f>
        <v>06.01.416.04</v>
      </c>
      <c r="B3915" s="1882" t="str">
        <f>'Orç - Prédio'!B641</f>
        <v>ORSE</v>
      </c>
      <c r="C3915" s="1882">
        <f>'Orç - Prédio'!C641</f>
        <v>725</v>
      </c>
      <c r="D3915" s="1865" t="s">
        <v>8978</v>
      </c>
      <c r="E3915" s="1866">
        <f>'Orç - Prédio'!E641</f>
        <v>18</v>
      </c>
      <c r="F3915" s="1882" t="s">
        <v>5284</v>
      </c>
      <c r="G3915" s="1524">
        <v>6.33</v>
      </c>
      <c r="H3915" s="1525">
        <f>H3923</f>
        <v>113.94</v>
      </c>
      <c r="I3915" s="1910" t="s">
        <v>14965</v>
      </c>
      <c r="J3915" s="1793"/>
      <c r="K3915" s="1793"/>
      <c r="L3915" s="141"/>
      <c r="M3915" s="1515"/>
    </row>
    <row r="3916" spans="1:13" s="1859" customFormat="1" x14ac:dyDescent="0.2">
      <c r="A3916" s="2144">
        <v>2000</v>
      </c>
      <c r="B3916" s="2144"/>
      <c r="C3916" s="1496" t="s">
        <v>5281</v>
      </c>
      <c r="D3916" s="1497" t="s">
        <v>8986</v>
      </c>
      <c r="E3916" s="1864">
        <v>1</v>
      </c>
      <c r="F3916" s="1881" t="s">
        <v>31</v>
      </c>
      <c r="G3916" s="367">
        <v>2.1</v>
      </c>
      <c r="H3916" s="1857">
        <f>ROUNDDOWN(G3916*E3916,2)</f>
        <v>2.1</v>
      </c>
      <c r="I3916" s="1856"/>
      <c r="J3916" s="1797"/>
      <c r="K3916" s="1797"/>
      <c r="L3916" s="1784"/>
      <c r="M3916" s="1785"/>
    </row>
    <row r="3917" spans="1:13" s="1859" customFormat="1" ht="30" x14ac:dyDescent="0.2">
      <c r="A3917" s="2144">
        <v>88264</v>
      </c>
      <c r="B3917" s="2144"/>
      <c r="C3917" s="1863" t="s">
        <v>4448</v>
      </c>
      <c r="D3917" s="1862" t="s">
        <v>81</v>
      </c>
      <c r="E3917" s="1864">
        <v>0.12</v>
      </c>
      <c r="F3917" s="1881" t="s">
        <v>65</v>
      </c>
      <c r="G3917" s="1860">
        <v>20.329999999999998</v>
      </c>
      <c r="H3917" s="1857">
        <f>ROUNDDOWN(G3917*E3917,2)</f>
        <v>2.4300000000000002</v>
      </c>
      <c r="I3917" s="1856"/>
      <c r="J3917" s="1797"/>
      <c r="K3917" s="1797"/>
      <c r="L3917" s="1784"/>
      <c r="M3917" s="1785"/>
    </row>
    <row r="3918" spans="1:13" s="1859" customFormat="1" ht="30" x14ac:dyDescent="0.2">
      <c r="A3918" s="2144">
        <v>88316</v>
      </c>
      <c r="B3918" s="2144"/>
      <c r="C3918" s="1863" t="s">
        <v>4448</v>
      </c>
      <c r="D3918" s="1862" t="s">
        <v>64</v>
      </c>
      <c r="E3918" s="1864">
        <v>0.12</v>
      </c>
      <c r="F3918" s="1881" t="s">
        <v>65</v>
      </c>
      <c r="G3918" s="1860">
        <v>15.08</v>
      </c>
      <c r="H3918" s="1857">
        <f>ROUNDDOWN(G3918*E3918,2)</f>
        <v>1.8</v>
      </c>
      <c r="I3918" s="1856"/>
      <c r="J3918" s="1797"/>
      <c r="K3918" s="1797"/>
      <c r="L3918" s="1784"/>
      <c r="M3918" s="1785"/>
    </row>
    <row r="3919" spans="1:13" s="1517" customFormat="1" x14ac:dyDescent="0.25">
      <c r="A3919" s="1847"/>
      <c r="B3919" s="1847"/>
      <c r="C3919" s="1531"/>
      <c r="D3919" s="2141" t="s">
        <v>124</v>
      </c>
      <c r="E3919" s="2141"/>
      <c r="F3919" s="2141"/>
      <c r="G3919" s="2141"/>
      <c r="H3919" s="267">
        <f>SUMIF(F3916:F3918,("h"),H3916:H3918)</f>
        <v>4.2300000000000004</v>
      </c>
      <c r="I3919" s="1830"/>
      <c r="J3919" s="1795"/>
      <c r="K3919" s="1795"/>
      <c r="L3919" s="169"/>
      <c r="M3919" s="1783"/>
    </row>
    <row r="3920" spans="1:13" s="1517" customFormat="1" x14ac:dyDescent="0.25">
      <c r="A3920" s="1847"/>
      <c r="B3920" s="1847"/>
      <c r="C3920" s="1531"/>
      <c r="D3920" s="2141" t="s">
        <v>125</v>
      </c>
      <c r="E3920" s="2141"/>
      <c r="F3920" s="2141"/>
      <c r="G3920" s="2141"/>
      <c r="H3920" s="267">
        <f>SUMIF(F3916:F3918,"&lt;&gt;h",H3916:H3918)</f>
        <v>2.1</v>
      </c>
      <c r="I3920" s="1830"/>
      <c r="J3920" s="1795"/>
      <c r="K3920" s="1795"/>
      <c r="L3920" s="169"/>
      <c r="M3920" s="1783"/>
    </row>
    <row r="3921" spans="1:13" s="1517" customFormat="1" x14ac:dyDescent="0.25">
      <c r="A3921" s="1847"/>
      <c r="B3921" s="1847"/>
      <c r="C3921" s="1531"/>
      <c r="D3921" s="2142" t="s">
        <v>126</v>
      </c>
      <c r="E3921" s="2142"/>
      <c r="F3921" s="2142"/>
      <c r="G3921" s="2142"/>
      <c r="H3921" s="1532">
        <f>SUM(H3919:H3920)</f>
        <v>6.33</v>
      </c>
      <c r="I3921" s="1830"/>
      <c r="J3921" s="1795"/>
      <c r="K3921" s="1795"/>
      <c r="L3921" s="169"/>
      <c r="M3921" s="1783"/>
    </row>
    <row r="3922" spans="1:13" s="1517" customFormat="1" x14ac:dyDescent="0.25">
      <c r="A3922" s="1847"/>
      <c r="B3922" s="1847"/>
      <c r="C3922" s="1531"/>
      <c r="D3922" s="2141" t="s">
        <v>28</v>
      </c>
      <c r="E3922" s="2141"/>
      <c r="F3922" s="2141"/>
      <c r="G3922" s="2141"/>
      <c r="H3922" s="269">
        <f>E3915</f>
        <v>18</v>
      </c>
      <c r="I3922" s="1830"/>
      <c r="J3922" s="1795"/>
      <c r="K3922" s="1795"/>
      <c r="L3922" s="169"/>
      <c r="M3922" s="1783"/>
    </row>
    <row r="3923" spans="1:13" s="1517" customFormat="1" x14ac:dyDescent="0.25">
      <c r="A3923" s="1847"/>
      <c r="B3923" s="1847"/>
      <c r="C3923" s="1531"/>
      <c r="D3923" s="2142" t="s">
        <v>127</v>
      </c>
      <c r="E3923" s="2142"/>
      <c r="F3923" s="2142"/>
      <c r="G3923" s="2142"/>
      <c r="H3923" s="1532">
        <f>ROUND(H3921*H3922,2)</f>
        <v>113.94</v>
      </c>
      <c r="I3923" s="1830"/>
      <c r="J3923" s="1795"/>
      <c r="K3923" s="1795"/>
      <c r="L3923" s="169"/>
      <c r="M3923" s="1783"/>
    </row>
    <row r="3924" spans="1:13" s="1517" customFormat="1" x14ac:dyDescent="0.25">
      <c r="A3924" s="1847"/>
      <c r="B3924" s="1847"/>
      <c r="C3924" s="1531"/>
      <c r="D3924" s="2141" t="s">
        <v>15335</v>
      </c>
      <c r="E3924" s="2141"/>
      <c r="F3924" s="2141"/>
      <c r="G3924" s="2141"/>
      <c r="H3924" s="267">
        <f>ROUND(H3921*$B$13,2)</f>
        <v>1.7</v>
      </c>
      <c r="I3924" s="1830"/>
      <c r="J3924" s="1795"/>
      <c r="K3924" s="1795"/>
      <c r="L3924" s="169"/>
      <c r="M3924" s="1783"/>
    </row>
    <row r="3925" spans="1:13" x14ac:dyDescent="0.25">
      <c r="A3925" s="1847"/>
      <c r="B3925" s="1847"/>
      <c r="C3925" s="1531"/>
      <c r="D3925" s="2142" t="s">
        <v>7898</v>
      </c>
      <c r="E3925" s="2142"/>
      <c r="F3925" s="2142"/>
      <c r="G3925" s="2142"/>
      <c r="H3925" s="1532">
        <f>H3924+H3921</f>
        <v>8.0299999999999994</v>
      </c>
    </row>
    <row r="3926" spans="1:13" x14ac:dyDescent="0.25">
      <c r="A3926" s="1514"/>
      <c r="B3926" s="1514"/>
      <c r="C3926" s="1514"/>
      <c r="F3926" s="1533"/>
      <c r="G3926" s="1534"/>
      <c r="H3926" s="1514"/>
    </row>
    <row r="3927" spans="1:13" s="1517" customFormat="1" x14ac:dyDescent="0.25">
      <c r="A3927" s="146" t="s">
        <v>6</v>
      </c>
      <c r="B3927" s="2143" t="s">
        <v>7</v>
      </c>
      <c r="C3927" s="2143"/>
      <c r="D3927" s="1518" t="s">
        <v>121</v>
      </c>
      <c r="E3927" s="278" t="s">
        <v>5282</v>
      </c>
      <c r="F3927" s="1518" t="s">
        <v>31</v>
      </c>
      <c r="G3927" s="1519" t="s">
        <v>122</v>
      </c>
      <c r="H3927" s="1520" t="s">
        <v>123</v>
      </c>
      <c r="I3927" s="1830"/>
      <c r="J3927" s="1795"/>
      <c r="K3927" s="1795"/>
      <c r="L3927" s="169"/>
      <c r="M3927" s="1783"/>
    </row>
    <row r="3928" spans="1:13" s="1526" customFormat="1" ht="30" x14ac:dyDescent="0.2">
      <c r="A3928" s="1882" t="str">
        <f>'Orç - Prédio'!A642</f>
        <v>06.01.416.05</v>
      </c>
      <c r="B3928" s="1882" t="str">
        <f>'Orç - Prédio'!B642</f>
        <v>ORSE</v>
      </c>
      <c r="C3928" s="1882">
        <f>'Orç - Prédio'!C642</f>
        <v>760</v>
      </c>
      <c r="D3928" s="1865" t="s">
        <v>8979</v>
      </c>
      <c r="E3928" s="1866">
        <f>'Orç - Prédio'!E642</f>
        <v>7</v>
      </c>
      <c r="F3928" s="1882" t="s">
        <v>5284</v>
      </c>
      <c r="G3928" s="1524">
        <v>9.1999999999999993</v>
      </c>
      <c r="H3928" s="1525">
        <f>H3936</f>
        <v>64.400000000000006</v>
      </c>
      <c r="I3928" s="1910" t="s">
        <v>14965</v>
      </c>
      <c r="J3928" s="1793"/>
      <c r="K3928" s="1793"/>
      <c r="L3928" s="141"/>
      <c r="M3928" s="1515"/>
    </row>
    <row r="3929" spans="1:13" s="1859" customFormat="1" x14ac:dyDescent="0.2">
      <c r="A3929" s="2144">
        <v>2002</v>
      </c>
      <c r="B3929" s="2144"/>
      <c r="C3929" s="1496" t="s">
        <v>5281</v>
      </c>
      <c r="D3929" s="1497" t="s">
        <v>8987</v>
      </c>
      <c r="E3929" s="1864">
        <v>1</v>
      </c>
      <c r="F3929" s="1881" t="s">
        <v>31</v>
      </c>
      <c r="G3929" s="367">
        <v>3.9</v>
      </c>
      <c r="H3929" s="1857">
        <f>ROUNDDOWN(G3929*E3929,2)</f>
        <v>3.9</v>
      </c>
      <c r="I3929" s="1856"/>
      <c r="J3929" s="1797"/>
      <c r="K3929" s="1797"/>
      <c r="L3929" s="1784"/>
      <c r="M3929" s="1785"/>
    </row>
    <row r="3930" spans="1:13" s="1859" customFormat="1" ht="30" x14ac:dyDescent="0.2">
      <c r="A3930" s="2144">
        <v>88264</v>
      </c>
      <c r="B3930" s="2144"/>
      <c r="C3930" s="1863" t="s">
        <v>4448</v>
      </c>
      <c r="D3930" s="1862" t="s">
        <v>81</v>
      </c>
      <c r="E3930" s="1864">
        <v>0.15</v>
      </c>
      <c r="F3930" s="1881" t="s">
        <v>65</v>
      </c>
      <c r="G3930" s="1860">
        <v>20.329999999999998</v>
      </c>
      <c r="H3930" s="1857">
        <f>ROUNDDOWN(G3930*E3930,2)</f>
        <v>3.04</v>
      </c>
      <c r="I3930" s="1856"/>
      <c r="J3930" s="1797"/>
      <c r="K3930" s="1797"/>
      <c r="L3930" s="1784"/>
      <c r="M3930" s="1785"/>
    </row>
    <row r="3931" spans="1:13" s="1859" customFormat="1" ht="30" x14ac:dyDescent="0.2">
      <c r="A3931" s="2144">
        <v>88316</v>
      </c>
      <c r="B3931" s="2144"/>
      <c r="C3931" s="1863" t="s">
        <v>4448</v>
      </c>
      <c r="D3931" s="1862" t="s">
        <v>64</v>
      </c>
      <c r="E3931" s="1864">
        <v>0.15</v>
      </c>
      <c r="F3931" s="1881" t="s">
        <v>65</v>
      </c>
      <c r="G3931" s="1860">
        <v>15.08</v>
      </c>
      <c r="H3931" s="1857">
        <f>ROUNDDOWN(G3931*E3931,2)</f>
        <v>2.2599999999999998</v>
      </c>
      <c r="I3931" s="1856"/>
      <c r="J3931" s="1797"/>
      <c r="K3931" s="1797"/>
      <c r="L3931" s="1784"/>
      <c r="M3931" s="1785"/>
    </row>
    <row r="3932" spans="1:13" s="1517" customFormat="1" x14ac:dyDescent="0.25">
      <c r="A3932" s="1847"/>
      <c r="B3932" s="1847"/>
      <c r="C3932" s="1531"/>
      <c r="D3932" s="2141" t="s">
        <v>124</v>
      </c>
      <c r="E3932" s="2141"/>
      <c r="F3932" s="2141"/>
      <c r="G3932" s="2141"/>
      <c r="H3932" s="267">
        <f>SUMIF(F3929:F3931,("h"),H3929:H3931)</f>
        <v>5.3</v>
      </c>
      <c r="I3932" s="1830"/>
      <c r="J3932" s="1795"/>
      <c r="K3932" s="1795"/>
      <c r="L3932" s="169"/>
      <c r="M3932" s="1783"/>
    </row>
    <row r="3933" spans="1:13" s="1517" customFormat="1" x14ac:dyDescent="0.25">
      <c r="A3933" s="1847"/>
      <c r="B3933" s="1847"/>
      <c r="C3933" s="1531"/>
      <c r="D3933" s="2141" t="s">
        <v>125</v>
      </c>
      <c r="E3933" s="2141"/>
      <c r="F3933" s="2141"/>
      <c r="G3933" s="2141"/>
      <c r="H3933" s="267">
        <f>SUMIF(F3929:F3931,"&lt;&gt;h",H3929:H3931)</f>
        <v>3.9</v>
      </c>
      <c r="I3933" s="1830"/>
      <c r="J3933" s="1795"/>
      <c r="K3933" s="1795"/>
      <c r="L3933" s="169"/>
      <c r="M3933" s="1783"/>
    </row>
    <row r="3934" spans="1:13" s="1517" customFormat="1" x14ac:dyDescent="0.25">
      <c r="A3934" s="1847"/>
      <c r="B3934" s="1847"/>
      <c r="C3934" s="1531"/>
      <c r="D3934" s="2142" t="s">
        <v>126</v>
      </c>
      <c r="E3934" s="2142"/>
      <c r="F3934" s="2142"/>
      <c r="G3934" s="2142"/>
      <c r="H3934" s="1532">
        <f>SUM(H3932:H3933)</f>
        <v>9.1999999999999993</v>
      </c>
      <c r="I3934" s="1830"/>
      <c r="J3934" s="1795"/>
      <c r="K3934" s="1795"/>
      <c r="L3934" s="169"/>
      <c r="M3934" s="1783"/>
    </row>
    <row r="3935" spans="1:13" s="1517" customFormat="1" x14ac:dyDescent="0.25">
      <c r="A3935" s="1847"/>
      <c r="B3935" s="1847"/>
      <c r="C3935" s="1531"/>
      <c r="D3935" s="2141" t="s">
        <v>28</v>
      </c>
      <c r="E3935" s="2141"/>
      <c r="F3935" s="2141"/>
      <c r="G3935" s="2141"/>
      <c r="H3935" s="269">
        <f>E3928</f>
        <v>7</v>
      </c>
      <c r="I3935" s="1830"/>
      <c r="J3935" s="1795"/>
      <c r="K3935" s="1795"/>
      <c r="L3935" s="169"/>
      <c r="M3935" s="1783"/>
    </row>
    <row r="3936" spans="1:13" s="1517" customFormat="1" x14ac:dyDescent="0.25">
      <c r="A3936" s="1847"/>
      <c r="B3936" s="1847"/>
      <c r="C3936" s="1531"/>
      <c r="D3936" s="2142" t="s">
        <v>127</v>
      </c>
      <c r="E3936" s="2142"/>
      <c r="F3936" s="2142"/>
      <c r="G3936" s="2142"/>
      <c r="H3936" s="1532">
        <f>ROUND(H3934*H3935,2)</f>
        <v>64.400000000000006</v>
      </c>
      <c r="I3936" s="1830"/>
      <c r="J3936" s="1795"/>
      <c r="K3936" s="1795"/>
      <c r="L3936" s="169"/>
      <c r="M3936" s="1783"/>
    </row>
    <row r="3937" spans="1:13" s="1517" customFormat="1" x14ac:dyDescent="0.25">
      <c r="A3937" s="1847"/>
      <c r="B3937" s="1847"/>
      <c r="C3937" s="1531"/>
      <c r="D3937" s="2141" t="s">
        <v>15335</v>
      </c>
      <c r="E3937" s="2141"/>
      <c r="F3937" s="2141"/>
      <c r="G3937" s="2141"/>
      <c r="H3937" s="267">
        <f>ROUND(H3934*$B$13,2)</f>
        <v>2.48</v>
      </c>
      <c r="I3937" s="1830"/>
      <c r="J3937" s="1795"/>
      <c r="K3937" s="1795"/>
      <c r="L3937" s="169"/>
      <c r="M3937" s="1783"/>
    </row>
    <row r="3938" spans="1:13" x14ac:dyDescent="0.25">
      <c r="A3938" s="1847"/>
      <c r="B3938" s="1847"/>
      <c r="C3938" s="1531"/>
      <c r="D3938" s="2142" t="s">
        <v>7898</v>
      </c>
      <c r="E3938" s="2142"/>
      <c r="F3938" s="2142"/>
      <c r="G3938" s="2142"/>
      <c r="H3938" s="1532">
        <f>H3937+H3934</f>
        <v>11.68</v>
      </c>
    </row>
    <row r="3939" spans="1:13" x14ac:dyDescent="0.25">
      <c r="A3939" s="1514"/>
      <c r="B3939" s="1514"/>
      <c r="C3939" s="1514"/>
      <c r="F3939" s="1533"/>
      <c r="G3939" s="1534"/>
      <c r="H3939" s="1514"/>
    </row>
    <row r="3940" spans="1:13" s="1517" customFormat="1" x14ac:dyDescent="0.25">
      <c r="A3940" s="146" t="s">
        <v>6</v>
      </c>
      <c r="B3940" s="2143" t="s">
        <v>7</v>
      </c>
      <c r="C3940" s="2143"/>
      <c r="D3940" s="1518" t="s">
        <v>121</v>
      </c>
      <c r="E3940" s="278" t="s">
        <v>5282</v>
      </c>
      <c r="F3940" s="1518" t="s">
        <v>31</v>
      </c>
      <c r="G3940" s="1519" t="s">
        <v>122</v>
      </c>
      <c r="H3940" s="1520" t="s">
        <v>123</v>
      </c>
      <c r="I3940" s="1830"/>
      <c r="J3940" s="1795"/>
      <c r="K3940" s="1795"/>
      <c r="L3940" s="169"/>
      <c r="M3940" s="1783"/>
    </row>
    <row r="3941" spans="1:13" s="1526" customFormat="1" ht="30" x14ac:dyDescent="0.2">
      <c r="A3941" s="1882" t="str">
        <f>'Orç - Prédio'!A643</f>
        <v>06.01.416.06</v>
      </c>
      <c r="B3941" s="1882" t="str">
        <f>'Orç - Prédio'!B643</f>
        <v>ORSE</v>
      </c>
      <c r="C3941" s="1882">
        <f>'Orç - Prédio'!C643</f>
        <v>12489</v>
      </c>
      <c r="D3941" s="1865" t="s">
        <v>8980</v>
      </c>
      <c r="E3941" s="1866">
        <f>'Orç - Prédio'!E643</f>
        <v>1</v>
      </c>
      <c r="F3941" s="1882" t="s">
        <v>5284</v>
      </c>
      <c r="G3941" s="1524">
        <v>21.14</v>
      </c>
      <c r="H3941" s="1525">
        <f>H3949</f>
        <v>21.14</v>
      </c>
      <c r="I3941" s="1910" t="s">
        <v>14965</v>
      </c>
      <c r="J3941" s="1793"/>
      <c r="K3941" s="1793"/>
      <c r="L3941" s="141"/>
      <c r="M3941" s="1515"/>
    </row>
    <row r="3942" spans="1:13" s="1859" customFormat="1" x14ac:dyDescent="0.2">
      <c r="A3942" s="2144">
        <v>13317</v>
      </c>
      <c r="B3942" s="2144"/>
      <c r="C3942" s="1496" t="s">
        <v>5281</v>
      </c>
      <c r="D3942" s="1497" t="s">
        <v>8988</v>
      </c>
      <c r="E3942" s="1864">
        <v>1</v>
      </c>
      <c r="F3942" s="1881" t="s">
        <v>31</v>
      </c>
      <c r="G3942" s="367">
        <v>15.84</v>
      </c>
      <c r="H3942" s="1857">
        <f>ROUNDDOWN(G3942*E3942,2)</f>
        <v>15.84</v>
      </c>
      <c r="I3942" s="1856"/>
      <c r="J3942" s="1797"/>
      <c r="K3942" s="1797"/>
      <c r="L3942" s="1784"/>
      <c r="M3942" s="1785"/>
    </row>
    <row r="3943" spans="1:13" s="1859" customFormat="1" ht="30" x14ac:dyDescent="0.2">
      <c r="A3943" s="2144">
        <v>88264</v>
      </c>
      <c r="B3943" s="2144"/>
      <c r="C3943" s="1863" t="s">
        <v>4448</v>
      </c>
      <c r="D3943" s="1862" t="s">
        <v>81</v>
      </c>
      <c r="E3943" s="1864">
        <v>0.15</v>
      </c>
      <c r="F3943" s="1881" t="s">
        <v>65</v>
      </c>
      <c r="G3943" s="1860">
        <v>20.329999999999998</v>
      </c>
      <c r="H3943" s="1857">
        <f>ROUNDDOWN(G3943*E3943,2)</f>
        <v>3.04</v>
      </c>
      <c r="I3943" s="1856"/>
      <c r="J3943" s="1797"/>
      <c r="K3943" s="1797"/>
      <c r="L3943" s="1784"/>
      <c r="M3943" s="1785"/>
    </row>
    <row r="3944" spans="1:13" s="1859" customFormat="1" ht="30" x14ac:dyDescent="0.2">
      <c r="A3944" s="2144">
        <v>88316</v>
      </c>
      <c r="B3944" s="2144"/>
      <c r="C3944" s="1863" t="s">
        <v>4448</v>
      </c>
      <c r="D3944" s="1862" t="s">
        <v>64</v>
      </c>
      <c r="E3944" s="1864">
        <v>0.15</v>
      </c>
      <c r="F3944" s="1881" t="s">
        <v>65</v>
      </c>
      <c r="G3944" s="1860">
        <v>15.08</v>
      </c>
      <c r="H3944" s="1857">
        <f>ROUNDDOWN(G3944*E3944,2)</f>
        <v>2.2599999999999998</v>
      </c>
      <c r="I3944" s="1856"/>
      <c r="J3944" s="1797"/>
      <c r="K3944" s="1797"/>
      <c r="L3944" s="1784"/>
      <c r="M3944" s="1785"/>
    </row>
    <row r="3945" spans="1:13" s="1517" customFormat="1" x14ac:dyDescent="0.25">
      <c r="A3945" s="1847"/>
      <c r="B3945" s="1847"/>
      <c r="C3945" s="1531"/>
      <c r="D3945" s="2141" t="s">
        <v>124</v>
      </c>
      <c r="E3945" s="2141"/>
      <c r="F3945" s="2141"/>
      <c r="G3945" s="2141"/>
      <c r="H3945" s="267">
        <f>SUMIF(F3942:F3944,("h"),H3942:H3944)</f>
        <v>5.3</v>
      </c>
      <c r="I3945" s="1830"/>
      <c r="J3945" s="1795"/>
      <c r="K3945" s="1795"/>
      <c r="L3945" s="169"/>
      <c r="M3945" s="1783"/>
    </row>
    <row r="3946" spans="1:13" s="1517" customFormat="1" x14ac:dyDescent="0.25">
      <c r="A3946" s="1847"/>
      <c r="B3946" s="1847"/>
      <c r="C3946" s="1531"/>
      <c r="D3946" s="2141" t="s">
        <v>125</v>
      </c>
      <c r="E3946" s="2141"/>
      <c r="F3946" s="2141"/>
      <c r="G3946" s="2141"/>
      <c r="H3946" s="267">
        <f>SUMIF(F3942:F3944,"&lt;&gt;h",H3942:H3944)</f>
        <v>15.84</v>
      </c>
      <c r="I3946" s="1830"/>
      <c r="J3946" s="1795"/>
      <c r="K3946" s="1795"/>
      <c r="L3946" s="169"/>
      <c r="M3946" s="1783"/>
    </row>
    <row r="3947" spans="1:13" s="1517" customFormat="1" x14ac:dyDescent="0.25">
      <c r="A3947" s="1847"/>
      <c r="B3947" s="1847"/>
      <c r="C3947" s="1531"/>
      <c r="D3947" s="2142" t="s">
        <v>126</v>
      </c>
      <c r="E3947" s="2142"/>
      <c r="F3947" s="2142"/>
      <c r="G3947" s="2142"/>
      <c r="H3947" s="1532">
        <f>SUM(H3945:H3946)</f>
        <v>21.14</v>
      </c>
      <c r="I3947" s="1830"/>
      <c r="J3947" s="1795"/>
      <c r="K3947" s="1795"/>
      <c r="L3947" s="169"/>
      <c r="M3947" s="1783"/>
    </row>
    <row r="3948" spans="1:13" s="1517" customFormat="1" x14ac:dyDescent="0.25">
      <c r="A3948" s="1847"/>
      <c r="B3948" s="1847"/>
      <c r="C3948" s="1531"/>
      <c r="D3948" s="2141" t="s">
        <v>28</v>
      </c>
      <c r="E3948" s="2141"/>
      <c r="F3948" s="2141"/>
      <c r="G3948" s="2141"/>
      <c r="H3948" s="269">
        <f>E3941</f>
        <v>1</v>
      </c>
      <c r="I3948" s="1830"/>
      <c r="J3948" s="1795"/>
      <c r="K3948" s="1795"/>
      <c r="L3948" s="169"/>
      <c r="M3948" s="1783"/>
    </row>
    <row r="3949" spans="1:13" s="1517" customFormat="1" x14ac:dyDescent="0.25">
      <c r="A3949" s="1847"/>
      <c r="B3949" s="1847"/>
      <c r="C3949" s="1531"/>
      <c r="D3949" s="2142" t="s">
        <v>127</v>
      </c>
      <c r="E3949" s="2142"/>
      <c r="F3949" s="2142"/>
      <c r="G3949" s="2142"/>
      <c r="H3949" s="1532">
        <f>ROUND(H3947*H3948,2)</f>
        <v>21.14</v>
      </c>
      <c r="I3949" s="1830"/>
      <c r="J3949" s="1795"/>
      <c r="K3949" s="1795"/>
      <c r="L3949" s="169"/>
      <c r="M3949" s="1783"/>
    </row>
    <row r="3950" spans="1:13" s="1517" customFormat="1" x14ac:dyDescent="0.25">
      <c r="A3950" s="1847"/>
      <c r="B3950" s="1847"/>
      <c r="C3950" s="1531"/>
      <c r="D3950" s="2141" t="s">
        <v>15335</v>
      </c>
      <c r="E3950" s="2141"/>
      <c r="F3950" s="2141"/>
      <c r="G3950" s="2141"/>
      <c r="H3950" s="267">
        <f>ROUND(H3947*$B$13,2)</f>
        <v>5.69</v>
      </c>
      <c r="I3950" s="1830"/>
      <c r="J3950" s="1795"/>
      <c r="K3950" s="1795"/>
      <c r="L3950" s="169"/>
      <c r="M3950" s="1783"/>
    </row>
    <row r="3951" spans="1:13" x14ac:dyDescent="0.25">
      <c r="A3951" s="1847"/>
      <c r="B3951" s="1847"/>
      <c r="C3951" s="1531"/>
      <c r="D3951" s="2142" t="s">
        <v>7898</v>
      </c>
      <c r="E3951" s="2142"/>
      <c r="F3951" s="2142"/>
      <c r="G3951" s="2142"/>
      <c r="H3951" s="1532">
        <f>H3950+H3947</f>
        <v>26.830000000000002</v>
      </c>
    </row>
    <row r="3952" spans="1:13" x14ac:dyDescent="0.25">
      <c r="A3952" s="1514"/>
      <c r="B3952" s="1514"/>
      <c r="C3952" s="1514"/>
      <c r="F3952" s="1533"/>
      <c r="G3952" s="1534"/>
      <c r="H3952" s="1514"/>
    </row>
    <row r="3953" spans="1:13" s="1517" customFormat="1" x14ac:dyDescent="0.25">
      <c r="A3953" s="146" t="s">
        <v>6</v>
      </c>
      <c r="B3953" s="2143" t="s">
        <v>7</v>
      </c>
      <c r="C3953" s="2143"/>
      <c r="D3953" s="1518" t="s">
        <v>121</v>
      </c>
      <c r="E3953" s="278" t="s">
        <v>5282</v>
      </c>
      <c r="F3953" s="1518" t="s">
        <v>31</v>
      </c>
      <c r="G3953" s="1519" t="s">
        <v>122</v>
      </c>
      <c r="H3953" s="1520" t="s">
        <v>123</v>
      </c>
      <c r="I3953" s="1830"/>
      <c r="J3953" s="1795"/>
      <c r="K3953" s="1795"/>
      <c r="L3953" s="169"/>
      <c r="M3953" s="1783"/>
    </row>
    <row r="3954" spans="1:13" s="1526" customFormat="1" ht="30" x14ac:dyDescent="0.2">
      <c r="A3954" s="1848" t="str">
        <f>'Orç - Prédio'!A644</f>
        <v>06.01.417</v>
      </c>
      <c r="B3954" s="1848" t="str">
        <f>'Orç - Prédio'!B644</f>
        <v>ORSE</v>
      </c>
      <c r="C3954" s="1848" t="str">
        <f>'Orç - Prédio'!C644</f>
        <v>8075 MOD</v>
      </c>
      <c r="D3954" s="1522" t="s">
        <v>8565</v>
      </c>
      <c r="E3954" s="1523">
        <f>'Orç - Prédio'!E644</f>
        <v>2</v>
      </c>
      <c r="F3954" s="1848" t="s">
        <v>5284</v>
      </c>
      <c r="G3954" s="1524">
        <v>119.63</v>
      </c>
      <c r="H3954" s="1525">
        <f>H3965</f>
        <v>239.26</v>
      </c>
      <c r="I3954" s="1910" t="s">
        <v>9564</v>
      </c>
      <c r="J3954" s="1793"/>
      <c r="K3954" s="1793"/>
      <c r="L3954" s="141"/>
      <c r="M3954" s="1515"/>
    </row>
    <row r="3955" spans="1:13" s="156" customFormat="1" ht="75" x14ac:dyDescent="0.2">
      <c r="A3955" s="2144">
        <v>96540</v>
      </c>
      <c r="B3955" s="2144"/>
      <c r="C3955" s="1516" t="s">
        <v>4448</v>
      </c>
      <c r="D3955" s="182" t="s">
        <v>1586</v>
      </c>
      <c r="E3955" s="1527">
        <v>0.30599999999999999</v>
      </c>
      <c r="F3955" s="1846" t="s">
        <v>306</v>
      </c>
      <c r="G3955" s="1529">
        <v>87.67</v>
      </c>
      <c r="H3955" s="1530">
        <f t="shared" ref="H3955:H3960" si="167">ROUNDDOWN(G3955*E3955,2)</f>
        <v>26.82</v>
      </c>
      <c r="I3955" s="1642"/>
      <c r="J3955" s="1797"/>
      <c r="K3955" s="1797"/>
      <c r="L3955" s="1784"/>
      <c r="M3955" s="1785"/>
    </row>
    <row r="3956" spans="1:13" s="156" customFormat="1" ht="45" x14ac:dyDescent="0.2">
      <c r="A3956" s="2144">
        <v>94969</v>
      </c>
      <c r="B3956" s="2144"/>
      <c r="C3956" s="1516" t="s">
        <v>4448</v>
      </c>
      <c r="D3956" s="182" t="s">
        <v>1734</v>
      </c>
      <c r="E3956" s="1527">
        <v>3.7999999999999999E-2</v>
      </c>
      <c r="F3956" s="1846" t="s">
        <v>1208</v>
      </c>
      <c r="G3956" s="1529">
        <v>286.38</v>
      </c>
      <c r="H3956" s="1530">
        <f t="shared" si="167"/>
        <v>10.88</v>
      </c>
      <c r="I3956" s="1642"/>
      <c r="J3956" s="1797"/>
      <c r="K3956" s="1797"/>
      <c r="L3956" s="1784"/>
      <c r="M3956" s="1785"/>
    </row>
    <row r="3957" spans="1:13" s="156" customFormat="1" ht="60" x14ac:dyDescent="0.2">
      <c r="A3957" s="2144">
        <v>92919</v>
      </c>
      <c r="B3957" s="2144"/>
      <c r="C3957" s="1516" t="s">
        <v>4448</v>
      </c>
      <c r="D3957" s="182" t="s">
        <v>1660</v>
      </c>
      <c r="E3957" s="1527">
        <v>0.77</v>
      </c>
      <c r="F3957" s="1846" t="s">
        <v>305</v>
      </c>
      <c r="G3957" s="1529">
        <v>8.4</v>
      </c>
      <c r="H3957" s="1530">
        <f t="shared" si="167"/>
        <v>6.46</v>
      </c>
      <c r="I3957" s="1642"/>
      <c r="J3957" s="1797"/>
      <c r="K3957" s="1797"/>
      <c r="L3957" s="1784"/>
      <c r="M3957" s="1785"/>
    </row>
    <row r="3958" spans="1:13" s="156" customFormat="1" ht="60" x14ac:dyDescent="0.2">
      <c r="A3958" s="2144">
        <v>72131</v>
      </c>
      <c r="B3958" s="2144"/>
      <c r="C3958" s="1516" t="s">
        <v>4448</v>
      </c>
      <c r="D3958" s="182" t="s">
        <v>3568</v>
      </c>
      <c r="E3958" s="1527">
        <v>0.48</v>
      </c>
      <c r="F3958" s="1846" t="s">
        <v>306</v>
      </c>
      <c r="G3958" s="1529">
        <v>115.76</v>
      </c>
      <c r="H3958" s="1530">
        <f t="shared" si="167"/>
        <v>55.56</v>
      </c>
      <c r="I3958" s="1642"/>
      <c r="J3958" s="1797"/>
      <c r="K3958" s="1797"/>
      <c r="L3958" s="1784"/>
      <c r="M3958" s="1785"/>
    </row>
    <row r="3959" spans="1:13" s="156" customFormat="1" ht="75" x14ac:dyDescent="0.2">
      <c r="A3959" s="2144">
        <v>87879</v>
      </c>
      <c r="B3959" s="2144"/>
      <c r="C3959" s="1516" t="s">
        <v>4448</v>
      </c>
      <c r="D3959" s="182" t="s">
        <v>4023</v>
      </c>
      <c r="E3959" s="1527">
        <v>0.36</v>
      </c>
      <c r="F3959" s="1846" t="s">
        <v>306</v>
      </c>
      <c r="G3959" s="1529">
        <v>2.97</v>
      </c>
      <c r="H3959" s="1530">
        <f t="shared" si="167"/>
        <v>1.06</v>
      </c>
      <c r="I3959" s="1642"/>
      <c r="J3959" s="1797"/>
      <c r="K3959" s="1797"/>
      <c r="L3959" s="1784"/>
      <c r="M3959" s="1785"/>
    </row>
    <row r="3960" spans="1:13" s="156" customFormat="1" ht="105" x14ac:dyDescent="0.2">
      <c r="A3960" s="2144">
        <v>87825</v>
      </c>
      <c r="B3960" s="2144"/>
      <c r="C3960" s="1516" t="s">
        <v>4448</v>
      </c>
      <c r="D3960" s="182" t="s">
        <v>4139</v>
      </c>
      <c r="E3960" s="1527">
        <v>0.36</v>
      </c>
      <c r="F3960" s="1846" t="s">
        <v>306</v>
      </c>
      <c r="G3960" s="1529">
        <v>52.37</v>
      </c>
      <c r="H3960" s="1530">
        <f t="shared" si="167"/>
        <v>18.850000000000001</v>
      </c>
      <c r="I3960" s="1642"/>
      <c r="J3960" s="1797"/>
      <c r="K3960" s="1797"/>
      <c r="L3960" s="1784"/>
      <c r="M3960" s="1785"/>
    </row>
    <row r="3961" spans="1:13" s="1517" customFormat="1" x14ac:dyDescent="0.25">
      <c r="A3961" s="1847"/>
      <c r="B3961" s="1847"/>
      <c r="C3961" s="1531"/>
      <c r="D3961" s="2141" t="s">
        <v>124</v>
      </c>
      <c r="E3961" s="2141"/>
      <c r="F3961" s="2141"/>
      <c r="G3961" s="2141"/>
      <c r="H3961" s="267">
        <f>SUMIF(F3955:F3960,("h"),H3955:H3960)</f>
        <v>0</v>
      </c>
      <c r="I3961" s="1830"/>
      <c r="J3961" s="1795"/>
      <c r="K3961" s="1795"/>
      <c r="L3961" s="169"/>
      <c r="M3961" s="1783"/>
    </row>
    <row r="3962" spans="1:13" s="1517" customFormat="1" x14ac:dyDescent="0.25">
      <c r="A3962" s="1847"/>
      <c r="B3962" s="1847"/>
      <c r="C3962" s="1531"/>
      <c r="D3962" s="2141" t="s">
        <v>125</v>
      </c>
      <c r="E3962" s="2141"/>
      <c r="F3962" s="2141"/>
      <c r="G3962" s="2141"/>
      <c r="H3962" s="267">
        <f>SUMIF(F3955:F3960,"&lt;&gt;h",H3955:H3960)</f>
        <v>119.63</v>
      </c>
      <c r="I3962" s="1830"/>
      <c r="J3962" s="1795"/>
      <c r="K3962" s="1795"/>
      <c r="L3962" s="169"/>
      <c r="M3962" s="1783"/>
    </row>
    <row r="3963" spans="1:13" s="1517" customFormat="1" x14ac:dyDescent="0.25">
      <c r="A3963" s="1847"/>
      <c r="B3963" s="1847"/>
      <c r="C3963" s="1531"/>
      <c r="D3963" s="2142" t="s">
        <v>126</v>
      </c>
      <c r="E3963" s="2142"/>
      <c r="F3963" s="2142"/>
      <c r="G3963" s="2142"/>
      <c r="H3963" s="1532">
        <f>SUM(H3961:H3962)</f>
        <v>119.63</v>
      </c>
      <c r="I3963" s="1830"/>
      <c r="J3963" s="1795"/>
      <c r="K3963" s="1795"/>
      <c r="L3963" s="169"/>
      <c r="M3963" s="1783"/>
    </row>
    <row r="3964" spans="1:13" s="1517" customFormat="1" x14ac:dyDescent="0.25">
      <c r="A3964" s="1847"/>
      <c r="B3964" s="1847"/>
      <c r="C3964" s="1531"/>
      <c r="D3964" s="2141" t="s">
        <v>28</v>
      </c>
      <c r="E3964" s="2141"/>
      <c r="F3964" s="2141"/>
      <c r="G3964" s="2141"/>
      <c r="H3964" s="269">
        <f>E3954</f>
        <v>2</v>
      </c>
      <c r="I3964" s="1830"/>
      <c r="J3964" s="1795"/>
      <c r="K3964" s="1795"/>
      <c r="L3964" s="169"/>
      <c r="M3964" s="1783"/>
    </row>
    <row r="3965" spans="1:13" s="1517" customFormat="1" x14ac:dyDescent="0.25">
      <c r="A3965" s="1847"/>
      <c r="B3965" s="1847"/>
      <c r="C3965" s="1531"/>
      <c r="D3965" s="2142" t="s">
        <v>127</v>
      </c>
      <c r="E3965" s="2142"/>
      <c r="F3965" s="2142"/>
      <c r="G3965" s="2142"/>
      <c r="H3965" s="1532">
        <f>ROUND(H3963*H3964,2)</f>
        <v>239.26</v>
      </c>
      <c r="I3965" s="1830"/>
      <c r="J3965" s="1795"/>
      <c r="K3965" s="1795"/>
      <c r="L3965" s="169"/>
      <c r="M3965" s="1783"/>
    </row>
    <row r="3966" spans="1:13" s="1517" customFormat="1" x14ac:dyDescent="0.25">
      <c r="A3966" s="1847"/>
      <c r="B3966" s="1847"/>
      <c r="C3966" s="1531"/>
      <c r="D3966" s="2141" t="s">
        <v>15335</v>
      </c>
      <c r="E3966" s="2141"/>
      <c r="F3966" s="2141"/>
      <c r="G3966" s="2141"/>
      <c r="H3966" s="267">
        <f>ROUND(H3963*$B$13,2)</f>
        <v>32.22</v>
      </c>
      <c r="I3966" s="1830"/>
      <c r="J3966" s="1795"/>
      <c r="K3966" s="1795"/>
      <c r="L3966" s="169"/>
      <c r="M3966" s="1783"/>
    </row>
    <row r="3967" spans="1:13" x14ac:dyDescent="0.25">
      <c r="A3967" s="1847"/>
      <c r="B3967" s="1847"/>
      <c r="C3967" s="1531"/>
      <c r="D3967" s="2142" t="s">
        <v>7898</v>
      </c>
      <c r="E3967" s="2142"/>
      <c r="F3967" s="2142"/>
      <c r="G3967" s="2142"/>
      <c r="H3967" s="1532">
        <f>H3966+H3963</f>
        <v>151.85</v>
      </c>
    </row>
    <row r="3968" spans="1:13" x14ac:dyDescent="0.25">
      <c r="A3968" s="1514"/>
      <c r="B3968" s="1514"/>
      <c r="C3968" s="1514"/>
      <c r="F3968" s="1533"/>
      <c r="G3968" s="1534"/>
      <c r="H3968" s="1514"/>
    </row>
    <row r="3969" spans="1:13" s="1517" customFormat="1" x14ac:dyDescent="0.25">
      <c r="A3969" s="146" t="s">
        <v>6</v>
      </c>
      <c r="B3969" s="2143" t="s">
        <v>7</v>
      </c>
      <c r="C3969" s="2143"/>
      <c r="D3969" s="1518" t="s">
        <v>121</v>
      </c>
      <c r="E3969" s="278" t="s">
        <v>5282</v>
      </c>
      <c r="F3969" s="1518" t="s">
        <v>31</v>
      </c>
      <c r="G3969" s="1519" t="s">
        <v>122</v>
      </c>
      <c r="H3969" s="1520" t="s">
        <v>123</v>
      </c>
      <c r="I3969" s="1830"/>
      <c r="J3969" s="1795"/>
      <c r="K3969" s="1795"/>
      <c r="L3969" s="169"/>
      <c r="M3969" s="1783"/>
    </row>
    <row r="3970" spans="1:13" s="1526" customFormat="1" ht="30" x14ac:dyDescent="0.2">
      <c r="A3970" s="1521" t="str">
        <f>'Orç - Prédio'!A649</f>
        <v>06.01.504.01</v>
      </c>
      <c r="B3970" s="1521" t="str">
        <f>'Orç - Prédio'!B649</f>
        <v>ORSE</v>
      </c>
      <c r="C3970" s="1521">
        <f>'Orç - Prédio'!C649</f>
        <v>11814</v>
      </c>
      <c r="D3970" s="1522" t="s">
        <v>6213</v>
      </c>
      <c r="E3970" s="1523">
        <f>'Orç - Prédio'!E649</f>
        <v>175</v>
      </c>
      <c r="F3970" s="1521" t="s">
        <v>5713</v>
      </c>
      <c r="G3970" s="1524">
        <v>16.88</v>
      </c>
      <c r="H3970" s="1525">
        <f>H3977</f>
        <v>2954</v>
      </c>
      <c r="I3970" s="1910" t="s">
        <v>14965</v>
      </c>
      <c r="J3970" s="1793"/>
      <c r="K3970" s="1793"/>
      <c r="L3970" s="141"/>
      <c r="M3970" s="1515"/>
    </row>
    <row r="3971" spans="1:13" s="156" customFormat="1" x14ac:dyDescent="0.2">
      <c r="A3971" s="2144">
        <v>11094</v>
      </c>
      <c r="B3971" s="2144"/>
      <c r="C3971" s="1496" t="s">
        <v>5281</v>
      </c>
      <c r="D3971" s="1497" t="s">
        <v>6219</v>
      </c>
      <c r="E3971" s="1527">
        <v>1</v>
      </c>
      <c r="F3971" s="1619" t="s">
        <v>136</v>
      </c>
      <c r="G3971" s="367">
        <v>14</v>
      </c>
      <c r="H3971" s="1530">
        <f>ROUNDDOWN(G3971*E3971,2)</f>
        <v>14</v>
      </c>
      <c r="I3971" s="1642"/>
      <c r="J3971" s="1797"/>
      <c r="K3971" s="1797"/>
      <c r="L3971" s="1784"/>
      <c r="M3971" s="1785"/>
    </row>
    <row r="3972" spans="1:13" s="156" customFormat="1" ht="30" x14ac:dyDescent="0.2">
      <c r="A3972" s="2144">
        <v>88247</v>
      </c>
      <c r="B3972" s="2144"/>
      <c r="C3972" s="1516" t="s">
        <v>4448</v>
      </c>
      <c r="D3972" s="182" t="s">
        <v>71</v>
      </c>
      <c r="E3972" s="1527">
        <v>0.18</v>
      </c>
      <c r="F3972" s="1619" t="s">
        <v>65</v>
      </c>
      <c r="G3972" s="1529">
        <v>16.02</v>
      </c>
      <c r="H3972" s="1530">
        <f>ROUNDDOWN(G3972*E3972,2)</f>
        <v>2.88</v>
      </c>
      <c r="I3972" s="1642"/>
      <c r="J3972" s="1797"/>
      <c r="K3972" s="1797"/>
      <c r="L3972" s="1784"/>
      <c r="M3972" s="1785"/>
    </row>
    <row r="3973" spans="1:13" s="1517" customFormat="1" x14ac:dyDescent="0.25">
      <c r="A3973" s="179"/>
      <c r="B3973" s="179"/>
      <c r="C3973" s="1531"/>
      <c r="D3973" s="2141" t="s">
        <v>124</v>
      </c>
      <c r="E3973" s="2141"/>
      <c r="F3973" s="2141"/>
      <c r="G3973" s="2141"/>
      <c r="H3973" s="267">
        <f>SUMIF(F3971:F3972,("h"),H3971:H3972)</f>
        <v>2.88</v>
      </c>
      <c r="I3973" s="1830"/>
      <c r="J3973" s="1795"/>
      <c r="K3973" s="1795"/>
      <c r="L3973" s="169"/>
      <c r="M3973" s="1783"/>
    </row>
    <row r="3974" spans="1:13" s="1517" customFormat="1" x14ac:dyDescent="0.25">
      <c r="A3974" s="179"/>
      <c r="B3974" s="179"/>
      <c r="C3974" s="1531"/>
      <c r="D3974" s="2141" t="s">
        <v>125</v>
      </c>
      <c r="E3974" s="2141"/>
      <c r="F3974" s="2141"/>
      <c r="G3974" s="2141"/>
      <c r="H3974" s="267">
        <f>SUMIF(F3971:F3972,"&lt;&gt;h",H3971:H3972)</f>
        <v>14</v>
      </c>
      <c r="I3974" s="1830"/>
      <c r="J3974" s="1795"/>
      <c r="K3974" s="1795"/>
      <c r="L3974" s="169"/>
      <c r="M3974" s="1783"/>
    </row>
    <row r="3975" spans="1:13" s="1517" customFormat="1" x14ac:dyDescent="0.25">
      <c r="A3975" s="179"/>
      <c r="B3975" s="179"/>
      <c r="C3975" s="1531"/>
      <c r="D3975" s="2142" t="s">
        <v>126</v>
      </c>
      <c r="E3975" s="2142"/>
      <c r="F3975" s="2142"/>
      <c r="G3975" s="2142"/>
      <c r="H3975" s="1532">
        <f>SUM(H3973:H3974)</f>
        <v>16.88</v>
      </c>
      <c r="I3975" s="1830"/>
      <c r="J3975" s="1795"/>
      <c r="K3975" s="1795"/>
      <c r="L3975" s="169"/>
      <c r="M3975" s="1783"/>
    </row>
    <row r="3976" spans="1:13" s="1517" customFormat="1" x14ac:dyDescent="0.25">
      <c r="A3976" s="179"/>
      <c r="B3976" s="179"/>
      <c r="C3976" s="1531"/>
      <c r="D3976" s="2141" t="s">
        <v>28</v>
      </c>
      <c r="E3976" s="2141"/>
      <c r="F3976" s="2141"/>
      <c r="G3976" s="2141"/>
      <c r="H3976" s="269">
        <f>E3970</f>
        <v>175</v>
      </c>
      <c r="I3976" s="1830"/>
      <c r="J3976" s="1795"/>
      <c r="K3976" s="1795"/>
      <c r="L3976" s="169"/>
      <c r="M3976" s="1783"/>
    </row>
    <row r="3977" spans="1:13" s="1517" customFormat="1" x14ac:dyDescent="0.25">
      <c r="A3977" s="179"/>
      <c r="B3977" s="179"/>
      <c r="C3977" s="1531"/>
      <c r="D3977" s="2142" t="s">
        <v>127</v>
      </c>
      <c r="E3977" s="2142"/>
      <c r="F3977" s="2142"/>
      <c r="G3977" s="2142"/>
      <c r="H3977" s="1532">
        <f>ROUND(H3975*H3976,2)</f>
        <v>2954</v>
      </c>
      <c r="I3977" s="1830"/>
      <c r="J3977" s="1795"/>
      <c r="K3977" s="1795"/>
      <c r="L3977" s="169"/>
      <c r="M3977" s="1783"/>
    </row>
    <row r="3978" spans="1:13" s="1517" customFormat="1" x14ac:dyDescent="0.25">
      <c r="A3978" s="179"/>
      <c r="B3978" s="179"/>
      <c r="C3978" s="1531"/>
      <c r="D3978" s="2141" t="s">
        <v>15335</v>
      </c>
      <c r="E3978" s="2141"/>
      <c r="F3978" s="2141"/>
      <c r="G3978" s="2141"/>
      <c r="H3978" s="267">
        <f>ROUND(H3975*$B$13,2)</f>
        <v>4.55</v>
      </c>
      <c r="I3978" s="1830"/>
      <c r="J3978" s="1795"/>
      <c r="K3978" s="1795"/>
      <c r="L3978" s="169"/>
      <c r="M3978" s="1783"/>
    </row>
    <row r="3979" spans="1:13" x14ac:dyDescent="0.25">
      <c r="A3979" s="179"/>
      <c r="B3979" s="179"/>
      <c r="C3979" s="1531"/>
      <c r="D3979" s="2142" t="s">
        <v>7898</v>
      </c>
      <c r="E3979" s="2142"/>
      <c r="F3979" s="2142"/>
      <c r="G3979" s="2142"/>
      <c r="H3979" s="1532">
        <f>H3978+H3975</f>
        <v>21.43</v>
      </c>
    </row>
    <row r="3980" spans="1:13" x14ac:dyDescent="0.25">
      <c r="A3980" s="1514"/>
      <c r="B3980" s="1514"/>
      <c r="C3980" s="1514"/>
      <c r="F3980" s="1533"/>
      <c r="G3980" s="1534"/>
      <c r="H3980" s="1514"/>
    </row>
    <row r="3981" spans="1:13" s="1517" customFormat="1" x14ac:dyDescent="0.25">
      <c r="A3981" s="146" t="s">
        <v>6</v>
      </c>
      <c r="B3981" s="2143" t="s">
        <v>7</v>
      </c>
      <c r="C3981" s="2143"/>
      <c r="D3981" s="1167" t="s">
        <v>121</v>
      </c>
      <c r="E3981" s="278" t="s">
        <v>5282</v>
      </c>
      <c r="F3981" s="1167" t="s">
        <v>31</v>
      </c>
      <c r="G3981" s="1168" t="s">
        <v>122</v>
      </c>
      <c r="H3981" s="1169" t="s">
        <v>123</v>
      </c>
      <c r="I3981" s="1830"/>
      <c r="J3981" s="1795"/>
      <c r="K3981" s="1795"/>
      <c r="L3981" s="169"/>
      <c r="M3981" s="1783"/>
    </row>
    <row r="3982" spans="1:13" s="1526" customFormat="1" ht="30" x14ac:dyDescent="0.2">
      <c r="A3982" s="1170" t="str">
        <f>'Orç - Prédio'!A652</f>
        <v>06.01.504.04</v>
      </c>
      <c r="B3982" s="1182" t="str">
        <f>'Orç - Prédio'!B652</f>
        <v>SBC</v>
      </c>
      <c r="C3982" s="1182">
        <f>'Orç - Prédio'!C652</f>
        <v>78051</v>
      </c>
      <c r="D3982" s="1183" t="s">
        <v>6214</v>
      </c>
      <c r="E3982" s="1171">
        <f>'Orç - Prédio'!E652</f>
        <v>120</v>
      </c>
      <c r="F3982" s="1182" t="s">
        <v>5284</v>
      </c>
      <c r="G3982" s="1172">
        <v>41.2</v>
      </c>
      <c r="H3982" s="1173">
        <f>H3993</f>
        <v>4944</v>
      </c>
      <c r="I3982" s="1910" t="s">
        <v>14965</v>
      </c>
      <c r="J3982" s="1793"/>
      <c r="K3982" s="1793"/>
      <c r="L3982" s="141"/>
      <c r="M3982" s="1515"/>
    </row>
    <row r="3983" spans="1:13" s="156" customFormat="1" x14ac:dyDescent="0.2">
      <c r="A3983" s="2144">
        <v>12062</v>
      </c>
      <c r="B3983" s="2144"/>
      <c r="C3983" s="1186" t="s">
        <v>5737</v>
      </c>
      <c r="D3983" s="1195" t="s">
        <v>6220</v>
      </c>
      <c r="E3983" s="1196">
        <v>0.04</v>
      </c>
      <c r="F3983" s="1197" t="s">
        <v>31</v>
      </c>
      <c r="G3983" s="367">
        <v>192.5</v>
      </c>
      <c r="H3983" s="1177">
        <f t="shared" ref="H3983:H3988" si="168">ROUNDDOWN(G3983*E3983,2)</f>
        <v>7.7</v>
      </c>
      <c r="I3983" s="1642"/>
      <c r="J3983" s="1797"/>
      <c r="K3983" s="1797"/>
      <c r="L3983" s="1784"/>
      <c r="M3983" s="1785"/>
    </row>
    <row r="3984" spans="1:13" s="156" customFormat="1" ht="30" x14ac:dyDescent="0.2">
      <c r="A3984" s="2144">
        <v>10128</v>
      </c>
      <c r="B3984" s="2144"/>
      <c r="C3984" s="1186" t="s">
        <v>5737</v>
      </c>
      <c r="D3984" s="1195" t="s">
        <v>14969</v>
      </c>
      <c r="E3984" s="1196">
        <v>1</v>
      </c>
      <c r="F3984" s="1197" t="s">
        <v>31</v>
      </c>
      <c r="G3984" s="367">
        <v>10.57</v>
      </c>
      <c r="H3984" s="1177">
        <f t="shared" si="168"/>
        <v>10.57</v>
      </c>
      <c r="I3984" s="1642"/>
      <c r="J3984" s="1797"/>
      <c r="K3984" s="1797"/>
      <c r="L3984" s="1784"/>
      <c r="M3984" s="1785"/>
    </row>
    <row r="3985" spans="1:13" s="156" customFormat="1" x14ac:dyDescent="0.2">
      <c r="A3985" s="2144">
        <v>87547</v>
      </c>
      <c r="B3985" s="2144"/>
      <c r="C3985" s="1186" t="s">
        <v>5737</v>
      </c>
      <c r="D3985" s="1195" t="s">
        <v>6221</v>
      </c>
      <c r="E3985" s="1196">
        <v>3.3000000000000002E-2</v>
      </c>
      <c r="F3985" s="1197" t="s">
        <v>31</v>
      </c>
      <c r="G3985" s="367">
        <v>99.9</v>
      </c>
      <c r="H3985" s="1177">
        <f>ROUNDDOWN(G3985*E3985,2)</f>
        <v>3.29</v>
      </c>
      <c r="I3985" s="1642"/>
      <c r="J3985" s="1797"/>
      <c r="K3985" s="1797"/>
      <c r="L3985" s="1784"/>
      <c r="M3985" s="1785"/>
    </row>
    <row r="3986" spans="1:13" s="156" customFormat="1" x14ac:dyDescent="0.2">
      <c r="A3986" s="2144">
        <v>163358</v>
      </c>
      <c r="B3986" s="2144"/>
      <c r="C3986" s="1186" t="s">
        <v>5737</v>
      </c>
      <c r="D3986" s="1195" t="s">
        <v>6222</v>
      </c>
      <c r="E3986" s="1196">
        <v>1.0660000000000001</v>
      </c>
      <c r="F3986" s="1197" t="s">
        <v>31</v>
      </c>
      <c r="G3986" s="367">
        <v>0.27</v>
      </c>
      <c r="H3986" s="1177">
        <f>ROUNDDOWN(G3986*E3986,2)</f>
        <v>0.28000000000000003</v>
      </c>
      <c r="I3986" s="1642"/>
      <c r="J3986" s="1797"/>
      <c r="K3986" s="1797"/>
      <c r="L3986" s="1784"/>
      <c r="M3986" s="1785"/>
    </row>
    <row r="3987" spans="1:13" s="156" customFormat="1" ht="30" x14ac:dyDescent="0.2">
      <c r="A3987" s="2144">
        <v>88264</v>
      </c>
      <c r="B3987" s="2144"/>
      <c r="C3987" s="1166" t="s">
        <v>4448</v>
      </c>
      <c r="D3987" s="182" t="s">
        <v>81</v>
      </c>
      <c r="E3987" s="1174">
        <v>0.53300000000000003</v>
      </c>
      <c r="F3987" s="1175" t="s">
        <v>65</v>
      </c>
      <c r="G3987" s="1176">
        <v>20.329999999999998</v>
      </c>
      <c r="H3987" s="1177">
        <f t="shared" si="168"/>
        <v>10.83</v>
      </c>
      <c r="I3987" s="1642"/>
      <c r="J3987" s="1797"/>
      <c r="K3987" s="1797"/>
      <c r="L3987" s="1784"/>
      <c r="M3987" s="1785"/>
    </row>
    <row r="3988" spans="1:13" s="156" customFormat="1" ht="30" x14ac:dyDescent="0.2">
      <c r="A3988" s="2144">
        <v>88247</v>
      </c>
      <c r="B3988" s="2144"/>
      <c r="C3988" s="1166" t="s">
        <v>4448</v>
      </c>
      <c r="D3988" s="182" t="s">
        <v>71</v>
      </c>
      <c r="E3988" s="1174">
        <v>0.53300000000000003</v>
      </c>
      <c r="F3988" s="1175" t="s">
        <v>65</v>
      </c>
      <c r="G3988" s="1176">
        <v>16.02</v>
      </c>
      <c r="H3988" s="1177">
        <f t="shared" si="168"/>
        <v>8.5299999999999994</v>
      </c>
      <c r="I3988" s="1642"/>
      <c r="J3988" s="1797"/>
      <c r="K3988" s="1797"/>
      <c r="L3988" s="1784"/>
      <c r="M3988" s="1785"/>
    </row>
    <row r="3989" spans="1:13" s="1517" customFormat="1" x14ac:dyDescent="0.25">
      <c r="A3989" s="179"/>
      <c r="B3989" s="179"/>
      <c r="C3989" s="1178"/>
      <c r="D3989" s="2141" t="s">
        <v>124</v>
      </c>
      <c r="E3989" s="2141"/>
      <c r="F3989" s="2141"/>
      <c r="G3989" s="2141"/>
      <c r="H3989" s="267">
        <f>SUMIF(F3983:F3988,("h"),H3983:H3988)</f>
        <v>19.36</v>
      </c>
      <c r="I3989" s="1830"/>
      <c r="J3989" s="1795"/>
      <c r="K3989" s="1795"/>
      <c r="L3989" s="169"/>
      <c r="M3989" s="1783"/>
    </row>
    <row r="3990" spans="1:13" s="1517" customFormat="1" x14ac:dyDescent="0.25">
      <c r="A3990" s="179"/>
      <c r="B3990" s="179"/>
      <c r="C3990" s="1178"/>
      <c r="D3990" s="2141" t="s">
        <v>125</v>
      </c>
      <c r="E3990" s="2141"/>
      <c r="F3990" s="2141"/>
      <c r="G3990" s="2141"/>
      <c r="H3990" s="267">
        <f>SUMIF(F3983:F3988,"&lt;&gt;h",H3983:H3988)</f>
        <v>21.84</v>
      </c>
      <c r="I3990" s="1830"/>
      <c r="J3990" s="1795"/>
      <c r="K3990" s="1795"/>
      <c r="L3990" s="169"/>
      <c r="M3990" s="1783"/>
    </row>
    <row r="3991" spans="1:13" s="1517" customFormat="1" x14ac:dyDescent="0.25">
      <c r="A3991" s="179"/>
      <c r="B3991" s="179"/>
      <c r="C3991" s="1178"/>
      <c r="D3991" s="2142" t="s">
        <v>126</v>
      </c>
      <c r="E3991" s="2142"/>
      <c r="F3991" s="2142"/>
      <c r="G3991" s="2142"/>
      <c r="H3991" s="1179">
        <f>SUM(H3989:H3990)</f>
        <v>41.2</v>
      </c>
      <c r="I3991" s="1830"/>
      <c r="J3991" s="1795"/>
      <c r="K3991" s="1795"/>
      <c r="L3991" s="169"/>
      <c r="M3991" s="1783"/>
    </row>
    <row r="3992" spans="1:13" s="1517" customFormat="1" x14ac:dyDescent="0.25">
      <c r="A3992" s="179"/>
      <c r="B3992" s="179"/>
      <c r="C3992" s="1178"/>
      <c r="D3992" s="2141" t="s">
        <v>28</v>
      </c>
      <c r="E3992" s="2141"/>
      <c r="F3992" s="2141"/>
      <c r="G3992" s="2141"/>
      <c r="H3992" s="269">
        <f>E3982</f>
        <v>120</v>
      </c>
      <c r="I3992" s="1830"/>
      <c r="J3992" s="1795"/>
      <c r="K3992" s="1795"/>
      <c r="L3992" s="169"/>
      <c r="M3992" s="1783"/>
    </row>
    <row r="3993" spans="1:13" s="1517" customFormat="1" x14ac:dyDescent="0.25">
      <c r="A3993" s="179"/>
      <c r="B3993" s="179"/>
      <c r="C3993" s="1178"/>
      <c r="D3993" s="2142" t="s">
        <v>127</v>
      </c>
      <c r="E3993" s="2142"/>
      <c r="F3993" s="2142"/>
      <c r="G3993" s="2142"/>
      <c r="H3993" s="1179">
        <f>ROUND(H3991*H3992,2)</f>
        <v>4944</v>
      </c>
      <c r="I3993" s="1830"/>
      <c r="J3993" s="1795"/>
      <c r="K3993" s="1795"/>
      <c r="L3993" s="169"/>
      <c r="M3993" s="1783"/>
    </row>
    <row r="3994" spans="1:13" s="1517" customFormat="1" x14ac:dyDescent="0.25">
      <c r="A3994" s="179"/>
      <c r="B3994" s="179"/>
      <c r="C3994" s="1531"/>
      <c r="D3994" s="2141" t="s">
        <v>15335</v>
      </c>
      <c r="E3994" s="2141"/>
      <c r="F3994" s="2141"/>
      <c r="G3994" s="2141"/>
      <c r="H3994" s="267">
        <f>ROUND(H3991*$B$13,2)</f>
        <v>11.1</v>
      </c>
      <c r="I3994" s="1830"/>
      <c r="J3994" s="1795"/>
      <c r="K3994" s="1795"/>
      <c r="L3994" s="169"/>
      <c r="M3994" s="1783"/>
    </row>
    <row r="3995" spans="1:13" x14ac:dyDescent="0.25">
      <c r="A3995" s="179"/>
      <c r="B3995" s="179"/>
      <c r="C3995" s="1531"/>
      <c r="D3995" s="2142" t="s">
        <v>7898</v>
      </c>
      <c r="E3995" s="2142"/>
      <c r="F3995" s="2142"/>
      <c r="G3995" s="2142"/>
      <c r="H3995" s="1532">
        <f>H3994+H3991</f>
        <v>52.300000000000004</v>
      </c>
    </row>
    <row r="3996" spans="1:13" x14ac:dyDescent="0.25">
      <c r="A3996" s="1165"/>
      <c r="B3996" s="1165"/>
      <c r="C3996" s="1165"/>
      <c r="F3996" s="1180"/>
      <c r="G3996" s="1181"/>
      <c r="H3996" s="1165"/>
    </row>
    <row r="3997" spans="1:13" s="1517" customFormat="1" x14ac:dyDescent="0.25">
      <c r="A3997" s="146" t="s">
        <v>6</v>
      </c>
      <c r="B3997" s="2143" t="s">
        <v>7</v>
      </c>
      <c r="C3997" s="2143"/>
      <c r="D3997" s="1187" t="s">
        <v>121</v>
      </c>
      <c r="E3997" s="278" t="s">
        <v>5282</v>
      </c>
      <c r="F3997" s="1187" t="s">
        <v>31</v>
      </c>
      <c r="G3997" s="1188" t="s">
        <v>122</v>
      </c>
      <c r="H3997" s="1189" t="s">
        <v>123</v>
      </c>
      <c r="I3997" s="1830"/>
      <c r="J3997" s="1795"/>
      <c r="K3997" s="1795"/>
      <c r="L3997" s="169"/>
      <c r="M3997" s="1783"/>
    </row>
    <row r="3998" spans="1:13" s="1526" customFormat="1" ht="30" x14ac:dyDescent="0.2">
      <c r="A3998" s="1190" t="str">
        <f>'Orç - Prédio'!A654</f>
        <v>06.01.508</v>
      </c>
      <c r="B3998" s="1190" t="str">
        <f>'Orç - Prédio'!B654</f>
        <v>SBC</v>
      </c>
      <c r="C3998" s="1190">
        <f>'Orç - Prédio'!C654</f>
        <v>78850</v>
      </c>
      <c r="D3998" s="1191" t="s">
        <v>6216</v>
      </c>
      <c r="E3998" s="1192">
        <f>'Orç - Prédio'!E654</f>
        <v>1</v>
      </c>
      <c r="F3998" s="1190" t="s">
        <v>5284</v>
      </c>
      <c r="G3998" s="1193">
        <v>810.41</v>
      </c>
      <c r="H3998" s="1194">
        <f>H4004</f>
        <v>810.41</v>
      </c>
      <c r="I3998" s="1910" t="s">
        <v>9564</v>
      </c>
      <c r="J3998" s="1793"/>
      <c r="K3998" s="1793"/>
      <c r="L3998" s="141"/>
      <c r="M3998" s="1515"/>
    </row>
    <row r="3999" spans="1:13" s="156" customFormat="1" ht="30" x14ac:dyDescent="0.2">
      <c r="A3999" s="2144">
        <v>91677</v>
      </c>
      <c r="B3999" s="2144"/>
      <c r="C3999" s="1185" t="s">
        <v>4448</v>
      </c>
      <c r="D3999" s="182" t="s">
        <v>4347</v>
      </c>
      <c r="E3999" s="1196">
        <v>9.0649999999999995</v>
      </c>
      <c r="F3999" s="1197" t="s">
        <v>65</v>
      </c>
      <c r="G3999" s="1198">
        <v>89.4</v>
      </c>
      <c r="H3999" s="1199">
        <f>ROUNDDOWN(G3999*E3999,2)</f>
        <v>810.41</v>
      </c>
      <c r="I3999" s="1642"/>
      <c r="J3999" s="1797"/>
      <c r="K3999" s="1797"/>
      <c r="L3999" s="1784"/>
      <c r="M3999" s="1785"/>
    </row>
    <row r="4000" spans="1:13" s="1517" customFormat="1" x14ac:dyDescent="0.25">
      <c r="A4000" s="179"/>
      <c r="B4000" s="179"/>
      <c r="C4000" s="1200"/>
      <c r="D4000" s="2141" t="s">
        <v>124</v>
      </c>
      <c r="E4000" s="2141"/>
      <c r="F4000" s="2141"/>
      <c r="G4000" s="2141"/>
      <c r="H4000" s="267">
        <f>SUMIF(F3999:F3999,("h"),H3999:H3999)</f>
        <v>810.41</v>
      </c>
      <c r="I4000" s="1830"/>
      <c r="J4000" s="1795"/>
      <c r="K4000" s="1795"/>
      <c r="L4000" s="169"/>
      <c r="M4000" s="1783"/>
    </row>
    <row r="4001" spans="1:13" s="1517" customFormat="1" x14ac:dyDescent="0.25">
      <c r="A4001" s="179"/>
      <c r="B4001" s="179"/>
      <c r="C4001" s="1200"/>
      <c r="D4001" s="2141" t="s">
        <v>125</v>
      </c>
      <c r="E4001" s="2141"/>
      <c r="F4001" s="2141"/>
      <c r="G4001" s="2141"/>
      <c r="H4001" s="267">
        <f>SUMIF(F3999:F3999,"&lt;&gt;h",H3999:H3999)</f>
        <v>0</v>
      </c>
      <c r="I4001" s="1830"/>
      <c r="J4001" s="1795"/>
      <c r="K4001" s="1795"/>
      <c r="L4001" s="169"/>
      <c r="M4001" s="1783"/>
    </row>
    <row r="4002" spans="1:13" s="1517" customFormat="1" x14ac:dyDescent="0.25">
      <c r="A4002" s="179"/>
      <c r="B4002" s="179"/>
      <c r="C4002" s="1200"/>
      <c r="D4002" s="2142" t="s">
        <v>126</v>
      </c>
      <c r="E4002" s="2142"/>
      <c r="F4002" s="2142"/>
      <c r="G4002" s="2142"/>
      <c r="H4002" s="1201">
        <f>SUM(H4000:H4001)</f>
        <v>810.41</v>
      </c>
      <c r="I4002" s="1830"/>
      <c r="J4002" s="1795"/>
      <c r="K4002" s="1795"/>
      <c r="L4002" s="169"/>
      <c r="M4002" s="1783"/>
    </row>
    <row r="4003" spans="1:13" s="1517" customFormat="1" x14ac:dyDescent="0.25">
      <c r="A4003" s="179"/>
      <c r="B4003" s="179"/>
      <c r="C4003" s="1200"/>
      <c r="D4003" s="2141" t="s">
        <v>28</v>
      </c>
      <c r="E4003" s="2141"/>
      <c r="F4003" s="2141"/>
      <c r="G4003" s="2141"/>
      <c r="H4003" s="269">
        <f>E3998</f>
        <v>1</v>
      </c>
      <c r="I4003" s="1830"/>
      <c r="J4003" s="1795"/>
      <c r="K4003" s="1795"/>
      <c r="L4003" s="169"/>
      <c r="M4003" s="1783"/>
    </row>
    <row r="4004" spans="1:13" s="1517" customFormat="1" x14ac:dyDescent="0.25">
      <c r="A4004" s="179"/>
      <c r="B4004" s="179"/>
      <c r="C4004" s="1200"/>
      <c r="D4004" s="2142" t="s">
        <v>127</v>
      </c>
      <c r="E4004" s="2142"/>
      <c r="F4004" s="2142"/>
      <c r="G4004" s="2142"/>
      <c r="H4004" s="1201">
        <f>ROUND(H4002*H4003,2)</f>
        <v>810.41</v>
      </c>
      <c r="I4004" s="1830"/>
      <c r="J4004" s="1795"/>
      <c r="K4004" s="1795"/>
      <c r="L4004" s="169"/>
      <c r="M4004" s="1783"/>
    </row>
    <row r="4005" spans="1:13" s="1517" customFormat="1" x14ac:dyDescent="0.25">
      <c r="A4005" s="179"/>
      <c r="B4005" s="179"/>
      <c r="C4005" s="1531"/>
      <c r="D4005" s="2141" t="s">
        <v>15335</v>
      </c>
      <c r="E4005" s="2141"/>
      <c r="F4005" s="2141"/>
      <c r="G4005" s="2141"/>
      <c r="H4005" s="267">
        <f>ROUND(H4002*$B$13,2)</f>
        <v>218.24</v>
      </c>
      <c r="I4005" s="1830"/>
      <c r="J4005" s="1795"/>
      <c r="K4005" s="1795"/>
      <c r="L4005" s="169"/>
      <c r="M4005" s="1783"/>
    </row>
    <row r="4006" spans="1:13" x14ac:dyDescent="0.25">
      <c r="A4006" s="179"/>
      <c r="B4006" s="179"/>
      <c r="C4006" s="1531"/>
      <c r="D4006" s="2142" t="s">
        <v>7898</v>
      </c>
      <c r="E4006" s="2142"/>
      <c r="F4006" s="2142"/>
      <c r="G4006" s="2142"/>
      <c r="H4006" s="1532">
        <f>H4005+H4002</f>
        <v>1028.6500000000001</v>
      </c>
    </row>
    <row r="4007" spans="1:13" x14ac:dyDescent="0.25">
      <c r="A4007" s="1184"/>
      <c r="B4007" s="1184"/>
      <c r="C4007" s="1184"/>
      <c r="F4007" s="1202"/>
      <c r="G4007" s="1203"/>
      <c r="H4007" s="1184"/>
    </row>
    <row r="4008" spans="1:13" s="1517" customFormat="1" x14ac:dyDescent="0.25">
      <c r="A4008" s="146" t="s">
        <v>6</v>
      </c>
      <c r="B4008" s="2143" t="s">
        <v>7</v>
      </c>
      <c r="C4008" s="2143"/>
      <c r="D4008" s="1206" t="s">
        <v>121</v>
      </c>
      <c r="E4008" s="278" t="s">
        <v>5282</v>
      </c>
      <c r="F4008" s="1206" t="s">
        <v>31</v>
      </c>
      <c r="G4008" s="1207" t="s">
        <v>122</v>
      </c>
      <c r="H4008" s="1208" t="s">
        <v>123</v>
      </c>
      <c r="I4008" s="1830"/>
      <c r="J4008" s="1795"/>
      <c r="K4008" s="1795"/>
      <c r="L4008" s="169"/>
      <c r="M4008" s="1783"/>
    </row>
    <row r="4009" spans="1:13" s="1526" customFormat="1" ht="45" x14ac:dyDescent="0.2">
      <c r="A4009" s="1209" t="str">
        <f>'Orç - Prédio'!A659</f>
        <v>06.03.201</v>
      </c>
      <c r="B4009" s="1209" t="str">
        <f>'Orç - Prédio'!B659</f>
        <v>ORSE</v>
      </c>
      <c r="C4009" s="1209">
        <f>'Orç - Prédio'!C659</f>
        <v>8058</v>
      </c>
      <c r="D4009" s="1210" t="s">
        <v>6227</v>
      </c>
      <c r="E4009" s="1211">
        <f>'Orç - Prédio'!E659</f>
        <v>2</v>
      </c>
      <c r="F4009" s="1209" t="s">
        <v>5284</v>
      </c>
      <c r="G4009" s="1212">
        <v>325.41000000000003</v>
      </c>
      <c r="H4009" s="1213">
        <f>H4016</f>
        <v>650.82000000000005</v>
      </c>
      <c r="I4009" s="1910" t="s">
        <v>14965</v>
      </c>
      <c r="J4009" s="1793"/>
      <c r="K4009" s="1793"/>
      <c r="L4009" s="141"/>
      <c r="M4009" s="1515"/>
    </row>
    <row r="4010" spans="1:13" s="156" customFormat="1" ht="60" x14ac:dyDescent="0.2">
      <c r="A4010" s="2144">
        <v>7627</v>
      </c>
      <c r="B4010" s="2144"/>
      <c r="C4010" s="1205" t="s">
        <v>5281</v>
      </c>
      <c r="D4010" s="1232" t="s">
        <v>6235</v>
      </c>
      <c r="E4010" s="1214">
        <v>1</v>
      </c>
      <c r="F4010" s="1215" t="s">
        <v>31</v>
      </c>
      <c r="G4010" s="367">
        <v>315.25</v>
      </c>
      <c r="H4010" s="1217">
        <f>ROUNDDOWN(G4010*E4010,2)</f>
        <v>315.25</v>
      </c>
      <c r="I4010" s="1642"/>
      <c r="J4010" s="1797"/>
      <c r="K4010" s="1797"/>
      <c r="L4010" s="1784"/>
      <c r="M4010" s="1785"/>
    </row>
    <row r="4011" spans="1:13" s="156" customFormat="1" ht="30" x14ac:dyDescent="0.2">
      <c r="A4011" s="2144">
        <v>88264</v>
      </c>
      <c r="B4011" s="2144"/>
      <c r="C4011" s="1205" t="s">
        <v>4448</v>
      </c>
      <c r="D4011" s="182" t="s">
        <v>81</v>
      </c>
      <c r="E4011" s="1214">
        <v>0.5</v>
      </c>
      <c r="F4011" s="1215" t="s">
        <v>65</v>
      </c>
      <c r="G4011" s="1216">
        <v>20.329999999999998</v>
      </c>
      <c r="H4011" s="1217">
        <f>ROUNDDOWN(G4011*E4011,2)</f>
        <v>10.16</v>
      </c>
      <c r="I4011" s="1642"/>
      <c r="J4011" s="1797"/>
      <c r="K4011" s="1797"/>
      <c r="L4011" s="1784"/>
      <c r="M4011" s="1785"/>
    </row>
    <row r="4012" spans="1:13" s="1517" customFormat="1" x14ac:dyDescent="0.25">
      <c r="A4012" s="179"/>
      <c r="B4012" s="179"/>
      <c r="C4012" s="1218"/>
      <c r="D4012" s="2141" t="s">
        <v>124</v>
      </c>
      <c r="E4012" s="2141"/>
      <c r="F4012" s="2141"/>
      <c r="G4012" s="2141"/>
      <c r="H4012" s="267">
        <f>SUMIF(F4010:F4011,("h"),H4010:H4011)</f>
        <v>10.16</v>
      </c>
      <c r="I4012" s="1830"/>
      <c r="J4012" s="1795"/>
      <c r="K4012" s="1795"/>
      <c r="L4012" s="169"/>
      <c r="M4012" s="1783"/>
    </row>
    <row r="4013" spans="1:13" s="1517" customFormat="1" x14ac:dyDescent="0.25">
      <c r="A4013" s="179"/>
      <c r="B4013" s="179"/>
      <c r="C4013" s="1218"/>
      <c r="D4013" s="2141" t="s">
        <v>125</v>
      </c>
      <c r="E4013" s="2141"/>
      <c r="F4013" s="2141"/>
      <c r="G4013" s="2141"/>
      <c r="H4013" s="267">
        <f>SUMIF(F4010:F4011,"&lt;&gt;h",H4010:H4011)</f>
        <v>315.25</v>
      </c>
      <c r="I4013" s="1830"/>
      <c r="J4013" s="1795"/>
      <c r="K4013" s="1795"/>
      <c r="L4013" s="169"/>
      <c r="M4013" s="1783"/>
    </row>
    <row r="4014" spans="1:13" s="1517" customFormat="1" x14ac:dyDescent="0.25">
      <c r="A4014" s="179"/>
      <c r="B4014" s="179"/>
      <c r="C4014" s="1218"/>
      <c r="D4014" s="2142" t="s">
        <v>126</v>
      </c>
      <c r="E4014" s="2142"/>
      <c r="F4014" s="2142"/>
      <c r="G4014" s="2142"/>
      <c r="H4014" s="1219">
        <f>SUM(H4012:H4013)</f>
        <v>325.41000000000003</v>
      </c>
      <c r="I4014" s="1830"/>
      <c r="J4014" s="1795"/>
      <c r="K4014" s="1795"/>
      <c r="L4014" s="169"/>
      <c r="M4014" s="1783"/>
    </row>
    <row r="4015" spans="1:13" s="1517" customFormat="1" x14ac:dyDescent="0.25">
      <c r="A4015" s="179"/>
      <c r="B4015" s="179"/>
      <c r="C4015" s="1218"/>
      <c r="D4015" s="2141" t="s">
        <v>28</v>
      </c>
      <c r="E4015" s="2141"/>
      <c r="F4015" s="2141"/>
      <c r="G4015" s="2141"/>
      <c r="H4015" s="269">
        <f>E4009</f>
        <v>2</v>
      </c>
      <c r="I4015" s="1830"/>
      <c r="J4015" s="1795"/>
      <c r="K4015" s="1795"/>
      <c r="L4015" s="169"/>
      <c r="M4015" s="1783"/>
    </row>
    <row r="4016" spans="1:13" s="1517" customFormat="1" x14ac:dyDescent="0.25">
      <c r="A4016" s="179"/>
      <c r="B4016" s="179"/>
      <c r="C4016" s="1218"/>
      <c r="D4016" s="2142" t="s">
        <v>127</v>
      </c>
      <c r="E4016" s="2142"/>
      <c r="F4016" s="2142"/>
      <c r="G4016" s="2142"/>
      <c r="H4016" s="1219">
        <f>ROUND(H4014*H4015,2)</f>
        <v>650.82000000000005</v>
      </c>
      <c r="I4016" s="1830"/>
      <c r="J4016" s="1795"/>
      <c r="K4016" s="1795"/>
      <c r="L4016" s="169"/>
      <c r="M4016" s="1783"/>
    </row>
    <row r="4017" spans="1:13" s="1517" customFormat="1" x14ac:dyDescent="0.25">
      <c r="A4017" s="179"/>
      <c r="B4017" s="179"/>
      <c r="C4017" s="1531"/>
      <c r="D4017" s="2141" t="s">
        <v>15335</v>
      </c>
      <c r="E4017" s="2141"/>
      <c r="F4017" s="2141"/>
      <c r="G4017" s="2141"/>
      <c r="H4017" s="267">
        <f>ROUND(H4014*$B$13,2)</f>
        <v>87.63</v>
      </c>
      <c r="I4017" s="1830"/>
      <c r="J4017" s="1795"/>
      <c r="K4017" s="1795"/>
      <c r="L4017" s="169"/>
      <c r="M4017" s="1783"/>
    </row>
    <row r="4018" spans="1:13" x14ac:dyDescent="0.25">
      <c r="A4018" s="179"/>
      <c r="B4018" s="179"/>
      <c r="C4018" s="1531"/>
      <c r="D4018" s="2142" t="s">
        <v>7898</v>
      </c>
      <c r="E4018" s="2142"/>
      <c r="F4018" s="2142"/>
      <c r="G4018" s="2142"/>
      <c r="H4018" s="1532">
        <f>H4017+H4014</f>
        <v>413.04</v>
      </c>
    </row>
    <row r="4019" spans="1:13" x14ac:dyDescent="0.25">
      <c r="A4019" s="1204"/>
      <c r="B4019" s="1204"/>
      <c r="C4019" s="1204"/>
      <c r="F4019" s="1220"/>
      <c r="G4019" s="1221"/>
      <c r="H4019" s="1204"/>
    </row>
    <row r="4020" spans="1:13" s="1517" customFormat="1" x14ac:dyDescent="0.25">
      <c r="A4020" s="146" t="s">
        <v>6</v>
      </c>
      <c r="B4020" s="2143" t="s">
        <v>7</v>
      </c>
      <c r="C4020" s="2143"/>
      <c r="D4020" s="1224" t="s">
        <v>121</v>
      </c>
      <c r="E4020" s="278" t="s">
        <v>5282</v>
      </c>
      <c r="F4020" s="1224" t="s">
        <v>31</v>
      </c>
      <c r="G4020" s="1225" t="s">
        <v>122</v>
      </c>
      <c r="H4020" s="1226" t="s">
        <v>123</v>
      </c>
      <c r="I4020" s="1830"/>
      <c r="J4020" s="1795"/>
      <c r="K4020" s="1795"/>
      <c r="L4020" s="169"/>
      <c r="M4020" s="1783"/>
    </row>
    <row r="4021" spans="1:13" s="1526" customFormat="1" ht="30" x14ac:dyDescent="0.2">
      <c r="A4021" s="1227" t="str">
        <f>'Orç - Prédio'!A660</f>
        <v>06.03.202</v>
      </c>
      <c r="B4021" s="1227" t="str">
        <f>'Orç - Prédio'!B660</f>
        <v>ORSE</v>
      </c>
      <c r="C4021" s="1227">
        <f>'Orç - Prédio'!C660</f>
        <v>7861</v>
      </c>
      <c r="D4021" s="1228" t="s">
        <v>6228</v>
      </c>
      <c r="E4021" s="1229">
        <f>'Orç - Prédio'!E660</f>
        <v>4</v>
      </c>
      <c r="F4021" s="1227" t="s">
        <v>5284</v>
      </c>
      <c r="G4021" s="1230">
        <v>109.79</v>
      </c>
      <c r="H4021" s="1231">
        <f>H4029</f>
        <v>439.16</v>
      </c>
      <c r="I4021" s="1910" t="s">
        <v>14965</v>
      </c>
      <c r="J4021" s="1793"/>
      <c r="K4021" s="1793"/>
      <c r="L4021" s="141"/>
      <c r="M4021" s="1515"/>
    </row>
    <row r="4022" spans="1:13" s="156" customFormat="1" ht="30" x14ac:dyDescent="0.2">
      <c r="A4022" s="2144">
        <v>7611</v>
      </c>
      <c r="B4022" s="2144"/>
      <c r="C4022" s="1223" t="s">
        <v>5281</v>
      </c>
      <c r="D4022" s="1251" t="s">
        <v>6236</v>
      </c>
      <c r="E4022" s="1233">
        <v>1</v>
      </c>
      <c r="F4022" s="1234" t="s">
        <v>31</v>
      </c>
      <c r="G4022" s="367">
        <v>92.09</v>
      </c>
      <c r="H4022" s="1236">
        <f>ROUNDDOWN(G4022*E4022,2)</f>
        <v>92.09</v>
      </c>
      <c r="I4022" s="1642"/>
      <c r="J4022" s="1797"/>
      <c r="K4022" s="1797"/>
      <c r="L4022" s="1784"/>
      <c r="M4022" s="1785"/>
    </row>
    <row r="4023" spans="1:13" s="156" customFormat="1" ht="30" x14ac:dyDescent="0.2">
      <c r="A4023" s="2144">
        <v>88264</v>
      </c>
      <c r="B4023" s="2144"/>
      <c r="C4023" s="1223" t="s">
        <v>4448</v>
      </c>
      <c r="D4023" s="182" t="s">
        <v>81</v>
      </c>
      <c r="E4023" s="1233">
        <v>0.5</v>
      </c>
      <c r="F4023" s="1234" t="s">
        <v>65</v>
      </c>
      <c r="G4023" s="1235">
        <v>20.329999999999998</v>
      </c>
      <c r="H4023" s="1236">
        <f>ROUNDDOWN(G4023*E4023,2)</f>
        <v>10.16</v>
      </c>
      <c r="I4023" s="1642"/>
      <c r="J4023" s="1797"/>
      <c r="K4023" s="1797"/>
      <c r="L4023" s="1784"/>
      <c r="M4023" s="1785"/>
    </row>
    <row r="4024" spans="1:13" s="156" customFormat="1" ht="30" x14ac:dyDescent="0.2">
      <c r="A4024" s="2144">
        <v>88316</v>
      </c>
      <c r="B4024" s="2144"/>
      <c r="C4024" s="1223" t="s">
        <v>4448</v>
      </c>
      <c r="D4024" s="182" t="s">
        <v>64</v>
      </c>
      <c r="E4024" s="1233">
        <v>0.5</v>
      </c>
      <c r="F4024" s="1234" t="s">
        <v>65</v>
      </c>
      <c r="G4024" s="1235">
        <v>15.08</v>
      </c>
      <c r="H4024" s="1236">
        <f>ROUNDDOWN(G4024*E4024,2)</f>
        <v>7.54</v>
      </c>
      <c r="I4024" s="1642"/>
      <c r="J4024" s="1797"/>
      <c r="K4024" s="1797"/>
      <c r="L4024" s="1784"/>
      <c r="M4024" s="1785"/>
    </row>
    <row r="4025" spans="1:13" s="1517" customFormat="1" x14ac:dyDescent="0.25">
      <c r="A4025" s="179"/>
      <c r="B4025" s="179"/>
      <c r="C4025" s="1237"/>
      <c r="D4025" s="2141" t="s">
        <v>124</v>
      </c>
      <c r="E4025" s="2141"/>
      <c r="F4025" s="2141"/>
      <c r="G4025" s="2141"/>
      <c r="H4025" s="267">
        <f>SUMIF(F4022:F4024,("h"),H4022:H4024)</f>
        <v>17.7</v>
      </c>
      <c r="I4025" s="1830"/>
      <c r="J4025" s="1795"/>
      <c r="K4025" s="1795"/>
      <c r="L4025" s="169"/>
      <c r="M4025" s="1783"/>
    </row>
    <row r="4026" spans="1:13" s="1517" customFormat="1" x14ac:dyDescent="0.25">
      <c r="A4026" s="179"/>
      <c r="B4026" s="179"/>
      <c r="C4026" s="1237"/>
      <c r="D4026" s="2141" t="s">
        <v>125</v>
      </c>
      <c r="E4026" s="2141"/>
      <c r="F4026" s="2141"/>
      <c r="G4026" s="2141"/>
      <c r="H4026" s="267">
        <f>SUMIF(F4022:F4024,"&lt;&gt;h",H4022:H4024)</f>
        <v>92.09</v>
      </c>
      <c r="I4026" s="1830"/>
      <c r="J4026" s="1795"/>
      <c r="K4026" s="1795"/>
      <c r="L4026" s="169"/>
      <c r="M4026" s="1783"/>
    </row>
    <row r="4027" spans="1:13" s="1517" customFormat="1" x14ac:dyDescent="0.25">
      <c r="A4027" s="179"/>
      <c r="B4027" s="179"/>
      <c r="C4027" s="1237"/>
      <c r="D4027" s="2142" t="s">
        <v>126</v>
      </c>
      <c r="E4027" s="2142"/>
      <c r="F4027" s="2142"/>
      <c r="G4027" s="2142"/>
      <c r="H4027" s="1238">
        <f>SUM(H4025:H4026)</f>
        <v>109.79</v>
      </c>
      <c r="I4027" s="1830"/>
      <c r="J4027" s="1795"/>
      <c r="K4027" s="1795"/>
      <c r="L4027" s="169"/>
      <c r="M4027" s="1783"/>
    </row>
    <row r="4028" spans="1:13" s="1517" customFormat="1" x14ac:dyDescent="0.25">
      <c r="A4028" s="179"/>
      <c r="B4028" s="179"/>
      <c r="C4028" s="1237"/>
      <c r="D4028" s="2141" t="s">
        <v>28</v>
      </c>
      <c r="E4028" s="2141"/>
      <c r="F4028" s="2141"/>
      <c r="G4028" s="2141"/>
      <c r="H4028" s="269">
        <f>E4021</f>
        <v>4</v>
      </c>
      <c r="I4028" s="1830"/>
      <c r="J4028" s="1795"/>
      <c r="K4028" s="1795"/>
      <c r="L4028" s="169"/>
      <c r="M4028" s="1783"/>
    </row>
    <row r="4029" spans="1:13" s="1517" customFormat="1" x14ac:dyDescent="0.25">
      <c r="A4029" s="179"/>
      <c r="B4029" s="179"/>
      <c r="C4029" s="1237"/>
      <c r="D4029" s="2142" t="s">
        <v>127</v>
      </c>
      <c r="E4029" s="2142"/>
      <c r="F4029" s="2142"/>
      <c r="G4029" s="2142"/>
      <c r="H4029" s="1238">
        <f>ROUND(H4027*H4028,2)</f>
        <v>439.16</v>
      </c>
      <c r="I4029" s="1830"/>
      <c r="J4029" s="1795"/>
      <c r="K4029" s="1795"/>
      <c r="L4029" s="169"/>
      <c r="M4029" s="1783"/>
    </row>
    <row r="4030" spans="1:13" s="1517" customFormat="1" x14ac:dyDescent="0.25">
      <c r="A4030" s="179"/>
      <c r="B4030" s="179"/>
      <c r="C4030" s="1531"/>
      <c r="D4030" s="2141" t="s">
        <v>15335</v>
      </c>
      <c r="E4030" s="2141"/>
      <c r="F4030" s="2141"/>
      <c r="G4030" s="2141"/>
      <c r="H4030" s="267">
        <f>ROUND(H4027*$B$13,2)</f>
        <v>29.57</v>
      </c>
      <c r="I4030" s="1830"/>
      <c r="J4030" s="1795"/>
      <c r="K4030" s="1795"/>
      <c r="L4030" s="169"/>
      <c r="M4030" s="1783"/>
    </row>
    <row r="4031" spans="1:13" x14ac:dyDescent="0.25">
      <c r="A4031" s="179"/>
      <c r="B4031" s="179"/>
      <c r="C4031" s="1531"/>
      <c r="D4031" s="2142" t="s">
        <v>7898</v>
      </c>
      <c r="E4031" s="2142"/>
      <c r="F4031" s="2142"/>
      <c r="G4031" s="2142"/>
      <c r="H4031" s="1532">
        <f>H4030+H4027</f>
        <v>139.36000000000001</v>
      </c>
    </row>
    <row r="4032" spans="1:13" x14ac:dyDescent="0.25">
      <c r="A4032" s="1222"/>
      <c r="B4032" s="1222"/>
      <c r="C4032" s="1222"/>
      <c r="F4032" s="1239"/>
      <c r="G4032" s="1240"/>
      <c r="H4032" s="1222"/>
    </row>
    <row r="4033" spans="1:13" s="1517" customFormat="1" x14ac:dyDescent="0.25">
      <c r="A4033" s="146" t="s">
        <v>6</v>
      </c>
      <c r="B4033" s="2143" t="s">
        <v>7</v>
      </c>
      <c r="C4033" s="2143"/>
      <c r="D4033" s="1243" t="s">
        <v>121</v>
      </c>
      <c r="E4033" s="278" t="s">
        <v>5282</v>
      </c>
      <c r="F4033" s="1243" t="s">
        <v>31</v>
      </c>
      <c r="G4033" s="1244" t="s">
        <v>122</v>
      </c>
      <c r="H4033" s="1245" t="s">
        <v>123</v>
      </c>
      <c r="I4033" s="1830"/>
      <c r="J4033" s="1795"/>
      <c r="K4033" s="1795"/>
      <c r="L4033" s="169"/>
      <c r="M4033" s="1783"/>
    </row>
    <row r="4034" spans="1:13" s="1526" customFormat="1" ht="30" x14ac:dyDescent="0.2">
      <c r="A4034" s="1246" t="str">
        <f>'Orç - Prédio'!A661</f>
        <v>06.03.203</v>
      </c>
      <c r="B4034" s="1246" t="str">
        <f>'Orç - Prédio'!B661</f>
        <v>ORSE</v>
      </c>
      <c r="C4034" s="1246">
        <f>'Orç - Prédio'!C661</f>
        <v>11824</v>
      </c>
      <c r="D4034" s="1247" t="s">
        <v>6229</v>
      </c>
      <c r="E4034" s="1248">
        <f>'Orç - Prédio'!E661</f>
        <v>6</v>
      </c>
      <c r="F4034" s="1246" t="s">
        <v>5284</v>
      </c>
      <c r="G4034" s="1249">
        <v>164.25</v>
      </c>
      <c r="H4034" s="1250">
        <f>H4042</f>
        <v>985.5</v>
      </c>
      <c r="I4034" s="1910" t="s">
        <v>14965</v>
      </c>
      <c r="J4034" s="1793"/>
      <c r="K4034" s="1793"/>
      <c r="L4034" s="141"/>
      <c r="M4034" s="1515"/>
    </row>
    <row r="4035" spans="1:13" s="156" customFormat="1" ht="30" x14ac:dyDescent="0.2">
      <c r="A4035" s="2144">
        <v>12665</v>
      </c>
      <c r="B4035" s="2144"/>
      <c r="C4035" s="1242" t="s">
        <v>5281</v>
      </c>
      <c r="D4035" s="1269" t="s">
        <v>6237</v>
      </c>
      <c r="E4035" s="1252">
        <v>1</v>
      </c>
      <c r="F4035" s="1253" t="s">
        <v>31</v>
      </c>
      <c r="G4035" s="367">
        <v>139.47</v>
      </c>
      <c r="H4035" s="1255">
        <f>ROUNDDOWN(G4035*E4035,2)</f>
        <v>139.47</v>
      </c>
      <c r="I4035" s="1642"/>
      <c r="J4035" s="1797"/>
      <c r="K4035" s="1797"/>
      <c r="L4035" s="1784"/>
      <c r="M4035" s="1785"/>
    </row>
    <row r="4036" spans="1:13" s="156" customFormat="1" ht="30" x14ac:dyDescent="0.2">
      <c r="A4036" s="2144">
        <v>88264</v>
      </c>
      <c r="B4036" s="2144"/>
      <c r="C4036" s="1242" t="s">
        <v>4448</v>
      </c>
      <c r="D4036" s="182" t="s">
        <v>81</v>
      </c>
      <c r="E4036" s="1252">
        <v>0.7</v>
      </c>
      <c r="F4036" s="1253" t="s">
        <v>65</v>
      </c>
      <c r="G4036" s="1254">
        <v>20.329999999999998</v>
      </c>
      <c r="H4036" s="1255">
        <f>ROUNDDOWN(G4036*E4036,2)</f>
        <v>14.23</v>
      </c>
      <c r="I4036" s="1642"/>
      <c r="J4036" s="1797"/>
      <c r="K4036" s="1797"/>
      <c r="L4036" s="1784"/>
      <c r="M4036" s="1785"/>
    </row>
    <row r="4037" spans="1:13" s="156" customFormat="1" ht="30" x14ac:dyDescent="0.2">
      <c r="A4037" s="2144">
        <v>88316</v>
      </c>
      <c r="B4037" s="2144"/>
      <c r="C4037" s="1242" t="s">
        <v>4448</v>
      </c>
      <c r="D4037" s="182" t="s">
        <v>64</v>
      </c>
      <c r="E4037" s="1252">
        <v>0.7</v>
      </c>
      <c r="F4037" s="1253" t="s">
        <v>65</v>
      </c>
      <c r="G4037" s="1254">
        <v>15.08</v>
      </c>
      <c r="H4037" s="1255">
        <f>ROUNDDOWN(G4037*E4037,2)</f>
        <v>10.55</v>
      </c>
      <c r="I4037" s="1642"/>
      <c r="J4037" s="1797"/>
      <c r="K4037" s="1797"/>
      <c r="L4037" s="1784"/>
      <c r="M4037" s="1785"/>
    </row>
    <row r="4038" spans="1:13" s="1517" customFormat="1" x14ac:dyDescent="0.25">
      <c r="A4038" s="179"/>
      <c r="B4038" s="179"/>
      <c r="C4038" s="1256"/>
      <c r="D4038" s="2141" t="s">
        <v>124</v>
      </c>
      <c r="E4038" s="2141"/>
      <c r="F4038" s="2141"/>
      <c r="G4038" s="2141"/>
      <c r="H4038" s="267">
        <f>SUMIF(F4035:F4037,("h"),H4035:H4037)</f>
        <v>24.78</v>
      </c>
      <c r="I4038" s="1830"/>
      <c r="J4038" s="1795"/>
      <c r="K4038" s="1795"/>
      <c r="L4038" s="169"/>
      <c r="M4038" s="1783"/>
    </row>
    <row r="4039" spans="1:13" s="1517" customFormat="1" x14ac:dyDescent="0.25">
      <c r="A4039" s="179"/>
      <c r="B4039" s="179"/>
      <c r="C4039" s="1256"/>
      <c r="D4039" s="2141" t="s">
        <v>125</v>
      </c>
      <c r="E4039" s="2141"/>
      <c r="F4039" s="2141"/>
      <c r="G4039" s="2141"/>
      <c r="H4039" s="267">
        <f>SUMIF(F4035:F4037,"&lt;&gt;h",H4035:H4037)</f>
        <v>139.47</v>
      </c>
      <c r="I4039" s="1830"/>
      <c r="J4039" s="1795"/>
      <c r="K4039" s="1795"/>
      <c r="L4039" s="169"/>
      <c r="M4039" s="1783"/>
    </row>
    <row r="4040" spans="1:13" s="1517" customFormat="1" x14ac:dyDescent="0.25">
      <c r="A4040" s="179"/>
      <c r="B4040" s="179"/>
      <c r="C4040" s="1256"/>
      <c r="D4040" s="2142" t="s">
        <v>126</v>
      </c>
      <c r="E4040" s="2142"/>
      <c r="F4040" s="2142"/>
      <c r="G4040" s="2142"/>
      <c r="H4040" s="1257">
        <f>SUM(H4038:H4039)</f>
        <v>164.25</v>
      </c>
      <c r="I4040" s="1830"/>
      <c r="J4040" s="1795"/>
      <c r="K4040" s="1795"/>
      <c r="L4040" s="169"/>
      <c r="M4040" s="1783"/>
    </row>
    <row r="4041" spans="1:13" s="1517" customFormat="1" x14ac:dyDescent="0.25">
      <c r="A4041" s="179"/>
      <c r="B4041" s="179"/>
      <c r="C4041" s="1256"/>
      <c r="D4041" s="2141" t="s">
        <v>28</v>
      </c>
      <c r="E4041" s="2141"/>
      <c r="F4041" s="2141"/>
      <c r="G4041" s="2141"/>
      <c r="H4041" s="269">
        <f>E4034</f>
        <v>6</v>
      </c>
      <c r="I4041" s="1830"/>
      <c r="J4041" s="1795"/>
      <c r="K4041" s="1795"/>
      <c r="L4041" s="169"/>
      <c r="M4041" s="1783"/>
    </row>
    <row r="4042" spans="1:13" s="1517" customFormat="1" x14ac:dyDescent="0.25">
      <c r="A4042" s="179"/>
      <c r="B4042" s="179"/>
      <c r="C4042" s="1256"/>
      <c r="D4042" s="2142" t="s">
        <v>127</v>
      </c>
      <c r="E4042" s="2142"/>
      <c r="F4042" s="2142"/>
      <c r="G4042" s="2142"/>
      <c r="H4042" s="1257">
        <f>ROUND(H4040*H4041,2)</f>
        <v>985.5</v>
      </c>
      <c r="I4042" s="1830"/>
      <c r="J4042" s="1795"/>
      <c r="K4042" s="1795"/>
      <c r="L4042" s="169"/>
      <c r="M4042" s="1783"/>
    </row>
    <row r="4043" spans="1:13" s="1517" customFormat="1" x14ac:dyDescent="0.25">
      <c r="A4043" s="179"/>
      <c r="B4043" s="179"/>
      <c r="C4043" s="1531"/>
      <c r="D4043" s="2141" t="s">
        <v>15335</v>
      </c>
      <c r="E4043" s="2141"/>
      <c r="F4043" s="2141"/>
      <c r="G4043" s="2141"/>
      <c r="H4043" s="267">
        <f>ROUND(H4040*$B$13,2)</f>
        <v>44.23</v>
      </c>
      <c r="I4043" s="1830"/>
      <c r="J4043" s="1795"/>
      <c r="K4043" s="1795"/>
      <c r="L4043" s="169"/>
      <c r="M4043" s="1783"/>
    </row>
    <row r="4044" spans="1:13" x14ac:dyDescent="0.25">
      <c r="A4044" s="179"/>
      <c r="B4044" s="179"/>
      <c r="C4044" s="1531"/>
      <c r="D4044" s="2142" t="s">
        <v>7898</v>
      </c>
      <c r="E4044" s="2142"/>
      <c r="F4044" s="2142"/>
      <c r="G4044" s="2142"/>
      <c r="H4044" s="1532">
        <f>H4043+H4040</f>
        <v>208.48</v>
      </c>
    </row>
    <row r="4045" spans="1:13" x14ac:dyDescent="0.25">
      <c r="A4045" s="1241"/>
      <c r="B4045" s="1241"/>
      <c r="C4045" s="1241"/>
      <c r="F4045" s="1258"/>
      <c r="G4045" s="1259"/>
      <c r="H4045" s="1241"/>
    </row>
    <row r="4046" spans="1:13" s="1517" customFormat="1" x14ac:dyDescent="0.25">
      <c r="A4046" s="146" t="s">
        <v>6</v>
      </c>
      <c r="B4046" s="2143" t="s">
        <v>7</v>
      </c>
      <c r="C4046" s="2143"/>
      <c r="D4046" s="1262" t="s">
        <v>121</v>
      </c>
      <c r="E4046" s="278" t="s">
        <v>5282</v>
      </c>
      <c r="F4046" s="1262" t="s">
        <v>31</v>
      </c>
      <c r="G4046" s="1263" t="s">
        <v>122</v>
      </c>
      <c r="H4046" s="1264" t="s">
        <v>123</v>
      </c>
      <c r="I4046" s="1830"/>
      <c r="J4046" s="1795"/>
      <c r="K4046" s="1795"/>
      <c r="L4046" s="169"/>
      <c r="M4046" s="1783"/>
    </row>
    <row r="4047" spans="1:13" s="1526" customFormat="1" ht="30" x14ac:dyDescent="0.2">
      <c r="A4047" s="1265" t="str">
        <f>'Orç - Prédio'!A662</f>
        <v>06.03.204.01</v>
      </c>
      <c r="B4047" s="1278" t="str">
        <f>'Orç - Prédio'!B662</f>
        <v>ORSE</v>
      </c>
      <c r="C4047" s="1278">
        <f>'Orç - Prédio'!C662</f>
        <v>12018</v>
      </c>
      <c r="D4047" s="1279" t="s">
        <v>6230</v>
      </c>
      <c r="E4047" s="1266">
        <f>'Orç - Prédio'!E662</f>
        <v>9</v>
      </c>
      <c r="F4047" s="1278" t="s">
        <v>5284</v>
      </c>
      <c r="G4047" s="1267">
        <v>188.72</v>
      </c>
      <c r="H4047" s="1268">
        <f>H4055</f>
        <v>1698.48</v>
      </c>
      <c r="I4047" s="1910" t="s">
        <v>14965</v>
      </c>
      <c r="J4047" s="1793"/>
      <c r="K4047" s="1793"/>
      <c r="L4047" s="141"/>
      <c r="M4047" s="1515"/>
    </row>
    <row r="4048" spans="1:13" s="156" customFormat="1" x14ac:dyDescent="0.2">
      <c r="A4048" s="2144">
        <v>12883</v>
      </c>
      <c r="B4048" s="2144"/>
      <c r="C4048" s="1261" t="s">
        <v>5281</v>
      </c>
      <c r="D4048" s="1289" t="s">
        <v>6238</v>
      </c>
      <c r="E4048" s="1270">
        <v>1</v>
      </c>
      <c r="F4048" s="1271" t="s">
        <v>31</v>
      </c>
      <c r="G4048" s="367">
        <v>171.02</v>
      </c>
      <c r="H4048" s="1273">
        <f>ROUNDDOWN(G4048*E4048,2)</f>
        <v>171.02</v>
      </c>
      <c r="I4048" s="1642"/>
      <c r="J4048" s="1797"/>
      <c r="K4048" s="1797"/>
      <c r="L4048" s="1784"/>
      <c r="M4048" s="1785"/>
    </row>
    <row r="4049" spans="1:13" s="156" customFormat="1" ht="30" x14ac:dyDescent="0.2">
      <c r="A4049" s="2144">
        <v>88264</v>
      </c>
      <c r="B4049" s="2144"/>
      <c r="C4049" s="1261" t="s">
        <v>4448</v>
      </c>
      <c r="D4049" s="182" t="s">
        <v>81</v>
      </c>
      <c r="E4049" s="1270">
        <v>0.5</v>
      </c>
      <c r="F4049" s="1271" t="s">
        <v>65</v>
      </c>
      <c r="G4049" s="1272">
        <v>20.329999999999998</v>
      </c>
      <c r="H4049" s="1273">
        <f>ROUNDDOWN(G4049*E4049,2)</f>
        <v>10.16</v>
      </c>
      <c r="I4049" s="1642"/>
      <c r="J4049" s="1797"/>
      <c r="K4049" s="1797"/>
      <c r="L4049" s="1784"/>
      <c r="M4049" s="1785"/>
    </row>
    <row r="4050" spans="1:13" s="156" customFormat="1" ht="30" x14ac:dyDescent="0.2">
      <c r="A4050" s="2144">
        <v>88316</v>
      </c>
      <c r="B4050" s="2144"/>
      <c r="C4050" s="1261" t="s">
        <v>4448</v>
      </c>
      <c r="D4050" s="182" t="s">
        <v>64</v>
      </c>
      <c r="E4050" s="1270">
        <v>0.5</v>
      </c>
      <c r="F4050" s="1271" t="s">
        <v>65</v>
      </c>
      <c r="G4050" s="1272">
        <v>15.08</v>
      </c>
      <c r="H4050" s="1273">
        <f>ROUNDDOWN(G4050*E4050,2)</f>
        <v>7.54</v>
      </c>
      <c r="I4050" s="1642"/>
      <c r="J4050" s="1797"/>
      <c r="K4050" s="1797"/>
      <c r="L4050" s="1784"/>
      <c r="M4050" s="1785"/>
    </row>
    <row r="4051" spans="1:13" s="1517" customFormat="1" x14ac:dyDescent="0.25">
      <c r="A4051" s="179"/>
      <c r="B4051" s="179"/>
      <c r="C4051" s="1274"/>
      <c r="D4051" s="2141" t="s">
        <v>124</v>
      </c>
      <c r="E4051" s="2141"/>
      <c r="F4051" s="2141"/>
      <c r="G4051" s="2141"/>
      <c r="H4051" s="267">
        <f>SUMIF(F4048:F4050,("h"),H4048:H4050)</f>
        <v>17.7</v>
      </c>
      <c r="I4051" s="1830"/>
      <c r="J4051" s="1795"/>
      <c r="K4051" s="1795"/>
      <c r="L4051" s="169"/>
      <c r="M4051" s="1783"/>
    </row>
    <row r="4052" spans="1:13" s="1517" customFormat="1" x14ac:dyDescent="0.25">
      <c r="A4052" s="179"/>
      <c r="B4052" s="179"/>
      <c r="C4052" s="1274"/>
      <c r="D4052" s="2141" t="s">
        <v>125</v>
      </c>
      <c r="E4052" s="2141"/>
      <c r="F4052" s="2141"/>
      <c r="G4052" s="2141"/>
      <c r="H4052" s="267">
        <f>SUMIF(F4048:F4050,"&lt;&gt;h",H4048:H4050)</f>
        <v>171.02</v>
      </c>
      <c r="I4052" s="1830"/>
      <c r="J4052" s="1795"/>
      <c r="K4052" s="1795"/>
      <c r="L4052" s="169"/>
      <c r="M4052" s="1783"/>
    </row>
    <row r="4053" spans="1:13" s="1517" customFormat="1" x14ac:dyDescent="0.25">
      <c r="A4053" s="179"/>
      <c r="B4053" s="179"/>
      <c r="C4053" s="1274"/>
      <c r="D4053" s="2142" t="s">
        <v>126</v>
      </c>
      <c r="E4053" s="2142"/>
      <c r="F4053" s="2142"/>
      <c r="G4053" s="2142"/>
      <c r="H4053" s="1275">
        <f>SUM(H4051:H4052)</f>
        <v>188.72</v>
      </c>
      <c r="I4053" s="1830"/>
      <c r="J4053" s="1795"/>
      <c r="K4053" s="1795"/>
      <c r="L4053" s="169"/>
      <c r="M4053" s="1783"/>
    </row>
    <row r="4054" spans="1:13" s="1517" customFormat="1" x14ac:dyDescent="0.25">
      <c r="A4054" s="179"/>
      <c r="B4054" s="179"/>
      <c r="C4054" s="1274"/>
      <c r="D4054" s="2141" t="s">
        <v>28</v>
      </c>
      <c r="E4054" s="2141"/>
      <c r="F4054" s="2141"/>
      <c r="G4054" s="2141"/>
      <c r="H4054" s="269">
        <f>E4047</f>
        <v>9</v>
      </c>
      <c r="I4054" s="1830"/>
      <c r="J4054" s="1795"/>
      <c r="K4054" s="1795"/>
      <c r="L4054" s="169"/>
      <c r="M4054" s="1783"/>
    </row>
    <row r="4055" spans="1:13" s="1517" customFormat="1" x14ac:dyDescent="0.25">
      <c r="A4055" s="179"/>
      <c r="B4055" s="179"/>
      <c r="C4055" s="1274"/>
      <c r="D4055" s="2142" t="s">
        <v>127</v>
      </c>
      <c r="E4055" s="2142"/>
      <c r="F4055" s="2142"/>
      <c r="G4055" s="2142"/>
      <c r="H4055" s="1275">
        <f>ROUND(H4053*H4054,2)</f>
        <v>1698.48</v>
      </c>
      <c r="I4055" s="1830"/>
      <c r="J4055" s="1795"/>
      <c r="K4055" s="1795"/>
      <c r="L4055" s="169"/>
      <c r="M4055" s="1783"/>
    </row>
    <row r="4056" spans="1:13" s="1517" customFormat="1" x14ac:dyDescent="0.25">
      <c r="A4056" s="179"/>
      <c r="B4056" s="179"/>
      <c r="C4056" s="1531"/>
      <c r="D4056" s="2141" t="s">
        <v>15335</v>
      </c>
      <c r="E4056" s="2141"/>
      <c r="F4056" s="2141"/>
      <c r="G4056" s="2141"/>
      <c r="H4056" s="267">
        <f>ROUND(H4053*$B$13,2)</f>
        <v>50.82</v>
      </c>
      <c r="I4056" s="1830"/>
      <c r="J4056" s="1795"/>
      <c r="K4056" s="1795"/>
      <c r="L4056" s="169"/>
      <c r="M4056" s="1783"/>
    </row>
    <row r="4057" spans="1:13" x14ac:dyDescent="0.25">
      <c r="A4057" s="179"/>
      <c r="B4057" s="179"/>
      <c r="C4057" s="1531"/>
      <c r="D4057" s="2142" t="s">
        <v>7898</v>
      </c>
      <c r="E4057" s="2142"/>
      <c r="F4057" s="2142"/>
      <c r="G4057" s="2142"/>
      <c r="H4057" s="1532">
        <f>H4056+H4053</f>
        <v>239.54</v>
      </c>
    </row>
    <row r="4058" spans="1:13" x14ac:dyDescent="0.25">
      <c r="A4058" s="1260"/>
      <c r="B4058" s="1260"/>
      <c r="C4058" s="1260"/>
      <c r="F4058" s="1276"/>
      <c r="G4058" s="1277"/>
      <c r="H4058" s="1260"/>
    </row>
    <row r="4059" spans="1:13" s="1517" customFormat="1" x14ac:dyDescent="0.25">
      <c r="A4059" s="146" t="s">
        <v>6</v>
      </c>
      <c r="B4059" s="2143" t="s">
        <v>7</v>
      </c>
      <c r="C4059" s="2143"/>
      <c r="D4059" s="1282" t="s">
        <v>121</v>
      </c>
      <c r="E4059" s="278" t="s">
        <v>5282</v>
      </c>
      <c r="F4059" s="1282" t="s">
        <v>31</v>
      </c>
      <c r="G4059" s="1283" t="s">
        <v>122</v>
      </c>
      <c r="H4059" s="1284" t="s">
        <v>123</v>
      </c>
      <c r="I4059" s="1830"/>
      <c r="J4059" s="1795"/>
      <c r="K4059" s="1795"/>
      <c r="L4059" s="169"/>
      <c r="M4059" s="1783"/>
    </row>
    <row r="4060" spans="1:13" s="1526" customFormat="1" ht="30" x14ac:dyDescent="0.2">
      <c r="A4060" s="1285" t="str">
        <f>'Orç - Prédio'!A663</f>
        <v>06.03.204.02</v>
      </c>
      <c r="B4060" s="1298" t="str">
        <f>'Orç - Prédio'!B663</f>
        <v>ORSE</v>
      </c>
      <c r="C4060" s="1298">
        <f>'Orç - Prédio'!C663</f>
        <v>12017</v>
      </c>
      <c r="D4060" s="1299" t="s">
        <v>6231</v>
      </c>
      <c r="E4060" s="1286">
        <f>'Orç - Prédio'!E663</f>
        <v>53</v>
      </c>
      <c r="F4060" s="1298" t="s">
        <v>5284</v>
      </c>
      <c r="G4060" s="1287">
        <v>188.72</v>
      </c>
      <c r="H4060" s="1288">
        <f>H4068</f>
        <v>10002.16</v>
      </c>
      <c r="I4060" s="1910" t="s">
        <v>14965</v>
      </c>
      <c r="J4060" s="1793"/>
      <c r="K4060" s="1793"/>
      <c r="L4060" s="141"/>
      <c r="M4060" s="1515"/>
    </row>
    <row r="4061" spans="1:13" s="156" customFormat="1" x14ac:dyDescent="0.2">
      <c r="A4061" s="2144">
        <v>12882</v>
      </c>
      <c r="B4061" s="2144"/>
      <c r="C4061" s="1281" t="s">
        <v>5281</v>
      </c>
      <c r="D4061" s="1300" t="s">
        <v>6239</v>
      </c>
      <c r="E4061" s="1290">
        <v>1</v>
      </c>
      <c r="F4061" s="1291" t="s">
        <v>31</v>
      </c>
      <c r="G4061" s="367">
        <v>171.02</v>
      </c>
      <c r="H4061" s="1293">
        <f>ROUNDDOWN(G4061*E4061,2)</f>
        <v>171.02</v>
      </c>
      <c r="I4061" s="1642"/>
      <c r="J4061" s="1797"/>
      <c r="K4061" s="1797"/>
      <c r="L4061" s="1784"/>
      <c r="M4061" s="1785"/>
    </row>
    <row r="4062" spans="1:13" s="156" customFormat="1" ht="30" x14ac:dyDescent="0.2">
      <c r="A4062" s="2144">
        <v>88264</v>
      </c>
      <c r="B4062" s="2144"/>
      <c r="C4062" s="1281" t="s">
        <v>4448</v>
      </c>
      <c r="D4062" s="182" t="s">
        <v>81</v>
      </c>
      <c r="E4062" s="1290">
        <v>0.5</v>
      </c>
      <c r="F4062" s="1291" t="s">
        <v>65</v>
      </c>
      <c r="G4062" s="1292">
        <v>20.329999999999998</v>
      </c>
      <c r="H4062" s="1293">
        <f>ROUNDDOWN(G4062*E4062,2)</f>
        <v>10.16</v>
      </c>
      <c r="I4062" s="1642"/>
      <c r="J4062" s="1797"/>
      <c r="K4062" s="1797"/>
      <c r="L4062" s="1784"/>
      <c r="M4062" s="1785"/>
    </row>
    <row r="4063" spans="1:13" s="156" customFormat="1" ht="30" x14ac:dyDescent="0.2">
      <c r="A4063" s="2144">
        <v>88316</v>
      </c>
      <c r="B4063" s="2144"/>
      <c r="C4063" s="1281" t="s">
        <v>4448</v>
      </c>
      <c r="D4063" s="182" t="s">
        <v>64</v>
      </c>
      <c r="E4063" s="1290">
        <v>0.5</v>
      </c>
      <c r="F4063" s="1291" t="s">
        <v>65</v>
      </c>
      <c r="G4063" s="1292">
        <v>15.08</v>
      </c>
      <c r="H4063" s="1293">
        <f>ROUNDDOWN(G4063*E4063,2)</f>
        <v>7.54</v>
      </c>
      <c r="I4063" s="1642"/>
      <c r="J4063" s="1797"/>
      <c r="K4063" s="1797"/>
      <c r="L4063" s="1784"/>
      <c r="M4063" s="1785"/>
    </row>
    <row r="4064" spans="1:13" s="1517" customFormat="1" x14ac:dyDescent="0.25">
      <c r="A4064" s="179"/>
      <c r="B4064" s="179"/>
      <c r="C4064" s="1294"/>
      <c r="D4064" s="2141" t="s">
        <v>124</v>
      </c>
      <c r="E4064" s="2141"/>
      <c r="F4064" s="2141"/>
      <c r="G4064" s="2141"/>
      <c r="H4064" s="267">
        <f>SUMIF(F4061:F4063,("h"),H4061:H4063)</f>
        <v>17.7</v>
      </c>
      <c r="I4064" s="1830"/>
      <c r="J4064" s="1795"/>
      <c r="K4064" s="1795"/>
      <c r="L4064" s="169"/>
      <c r="M4064" s="1783"/>
    </row>
    <row r="4065" spans="1:13" s="1517" customFormat="1" x14ac:dyDescent="0.25">
      <c r="A4065" s="179"/>
      <c r="B4065" s="179"/>
      <c r="C4065" s="1294"/>
      <c r="D4065" s="2141" t="s">
        <v>125</v>
      </c>
      <c r="E4065" s="2141"/>
      <c r="F4065" s="2141"/>
      <c r="G4065" s="2141"/>
      <c r="H4065" s="267">
        <f>SUMIF(F4061:F4063,"&lt;&gt;h",H4061:H4063)</f>
        <v>171.02</v>
      </c>
      <c r="I4065" s="1830"/>
      <c r="J4065" s="1795"/>
      <c r="K4065" s="1795"/>
      <c r="L4065" s="169"/>
      <c r="M4065" s="1783"/>
    </row>
    <row r="4066" spans="1:13" s="1517" customFormat="1" x14ac:dyDescent="0.25">
      <c r="A4066" s="179"/>
      <c r="B4066" s="179"/>
      <c r="C4066" s="1294"/>
      <c r="D4066" s="2142" t="s">
        <v>126</v>
      </c>
      <c r="E4066" s="2142"/>
      <c r="F4066" s="2142"/>
      <c r="G4066" s="2142"/>
      <c r="H4066" s="1295">
        <f>SUM(H4064:H4065)</f>
        <v>188.72</v>
      </c>
      <c r="I4066" s="1830"/>
      <c r="J4066" s="1795"/>
      <c r="K4066" s="1795"/>
      <c r="L4066" s="169"/>
      <c r="M4066" s="1783"/>
    </row>
    <row r="4067" spans="1:13" s="1517" customFormat="1" x14ac:dyDescent="0.25">
      <c r="A4067" s="179"/>
      <c r="B4067" s="179"/>
      <c r="C4067" s="1294"/>
      <c r="D4067" s="2141" t="s">
        <v>28</v>
      </c>
      <c r="E4067" s="2141"/>
      <c r="F4067" s="2141"/>
      <c r="G4067" s="2141"/>
      <c r="H4067" s="269">
        <f>E4060</f>
        <v>53</v>
      </c>
      <c r="I4067" s="1830"/>
      <c r="J4067" s="1795"/>
      <c r="K4067" s="1795"/>
      <c r="L4067" s="169"/>
      <c r="M4067" s="1783"/>
    </row>
    <row r="4068" spans="1:13" s="1517" customFormat="1" x14ac:dyDescent="0.25">
      <c r="A4068" s="179"/>
      <c r="B4068" s="179"/>
      <c r="C4068" s="1294"/>
      <c r="D4068" s="2142" t="s">
        <v>127</v>
      </c>
      <c r="E4068" s="2142"/>
      <c r="F4068" s="2142"/>
      <c r="G4068" s="2142"/>
      <c r="H4068" s="1295">
        <f>ROUND(H4066*H4067,2)</f>
        <v>10002.16</v>
      </c>
      <c r="I4068" s="1830"/>
      <c r="J4068" s="1795"/>
      <c r="K4068" s="1795"/>
      <c r="L4068" s="169"/>
      <c r="M4068" s="1783"/>
    </row>
    <row r="4069" spans="1:13" s="1517" customFormat="1" x14ac:dyDescent="0.25">
      <c r="A4069" s="179"/>
      <c r="B4069" s="179"/>
      <c r="C4069" s="1531"/>
      <c r="D4069" s="2141" t="s">
        <v>15335</v>
      </c>
      <c r="E4069" s="2141"/>
      <c r="F4069" s="2141"/>
      <c r="G4069" s="2141"/>
      <c r="H4069" s="267">
        <f>ROUND(H4066*$B$13,2)</f>
        <v>50.82</v>
      </c>
      <c r="I4069" s="1830"/>
      <c r="J4069" s="1795"/>
      <c r="K4069" s="1795"/>
      <c r="L4069" s="169"/>
      <c r="M4069" s="1783"/>
    </row>
    <row r="4070" spans="1:13" x14ac:dyDescent="0.25">
      <c r="A4070" s="179"/>
      <c r="B4070" s="179"/>
      <c r="C4070" s="1531"/>
      <c r="D4070" s="2142" t="s">
        <v>7898</v>
      </c>
      <c r="E4070" s="2142"/>
      <c r="F4070" s="2142"/>
      <c r="G4070" s="2142"/>
      <c r="H4070" s="1532">
        <f>H4069+H4066</f>
        <v>239.54</v>
      </c>
    </row>
    <row r="4071" spans="1:13" x14ac:dyDescent="0.25">
      <c r="A4071" s="1280"/>
      <c r="B4071" s="1280"/>
      <c r="C4071" s="1280"/>
      <c r="F4071" s="1296"/>
      <c r="G4071" s="1297"/>
      <c r="H4071" s="1280"/>
    </row>
    <row r="4072" spans="1:13" s="1517" customFormat="1" x14ac:dyDescent="0.25">
      <c r="A4072" s="146" t="s">
        <v>6</v>
      </c>
      <c r="B4072" s="2143" t="s">
        <v>7</v>
      </c>
      <c r="C4072" s="2143"/>
      <c r="D4072" s="1303" t="s">
        <v>121</v>
      </c>
      <c r="E4072" s="278" t="s">
        <v>5282</v>
      </c>
      <c r="F4072" s="1303" t="s">
        <v>31</v>
      </c>
      <c r="G4072" s="1304" t="s">
        <v>122</v>
      </c>
      <c r="H4072" s="1305" t="s">
        <v>123</v>
      </c>
      <c r="I4072" s="1830"/>
      <c r="J4072" s="1795"/>
      <c r="K4072" s="1795"/>
      <c r="L4072" s="169"/>
      <c r="M4072" s="1783"/>
    </row>
    <row r="4073" spans="1:13" s="1526" customFormat="1" ht="30" x14ac:dyDescent="0.2">
      <c r="A4073" s="1306" t="str">
        <f>'Orç - Prédio'!A668</f>
        <v>06.03.401</v>
      </c>
      <c r="B4073" s="1306" t="str">
        <f>'Orç - Prédio'!B668</f>
        <v>ORSE</v>
      </c>
      <c r="C4073" s="1306">
        <f>'Orç - Prédio'!C668</f>
        <v>8749</v>
      </c>
      <c r="D4073" s="1307" t="s">
        <v>6243</v>
      </c>
      <c r="E4073" s="1308">
        <f>'Orç - Prédio'!E668</f>
        <v>429</v>
      </c>
      <c r="F4073" s="1306" t="s">
        <v>5713</v>
      </c>
      <c r="G4073" s="1309">
        <v>8.64</v>
      </c>
      <c r="H4073" s="1310">
        <f>H4081</f>
        <v>3706.56</v>
      </c>
      <c r="I4073" s="1910" t="s">
        <v>14965</v>
      </c>
      <c r="J4073" s="1793"/>
      <c r="K4073" s="1793"/>
      <c r="L4073" s="141"/>
      <c r="M4073" s="1515"/>
    </row>
    <row r="4074" spans="1:13" s="156" customFormat="1" ht="30" x14ac:dyDescent="0.2">
      <c r="A4074" s="2144">
        <v>8995</v>
      </c>
      <c r="B4074" s="2144"/>
      <c r="C4074" s="1302" t="s">
        <v>5281</v>
      </c>
      <c r="D4074" s="1319" t="s">
        <v>6247</v>
      </c>
      <c r="E4074" s="1311">
        <v>1.02</v>
      </c>
      <c r="F4074" s="1312" t="s">
        <v>136</v>
      </c>
      <c r="G4074" s="367">
        <v>3.97</v>
      </c>
      <c r="H4074" s="1314">
        <f>ROUNDDOWN(G4074*E4074,2)</f>
        <v>4.04</v>
      </c>
      <c r="I4074" s="1642"/>
      <c r="J4074" s="1797"/>
      <c r="K4074" s="1797"/>
      <c r="L4074" s="1784"/>
      <c r="M4074" s="1785"/>
    </row>
    <row r="4075" spans="1:13" s="156" customFormat="1" ht="30" x14ac:dyDescent="0.2">
      <c r="A4075" s="2144">
        <v>88264</v>
      </c>
      <c r="B4075" s="2144"/>
      <c r="C4075" s="1302" t="s">
        <v>4448</v>
      </c>
      <c r="D4075" s="182" t="s">
        <v>81</v>
      </c>
      <c r="E4075" s="1311">
        <v>0.13</v>
      </c>
      <c r="F4075" s="1312" t="s">
        <v>65</v>
      </c>
      <c r="G4075" s="1313">
        <v>20.329999999999998</v>
      </c>
      <c r="H4075" s="1314">
        <f>ROUNDDOWN(G4075*E4075,2)</f>
        <v>2.64</v>
      </c>
      <c r="I4075" s="1642"/>
      <c r="J4075" s="1797"/>
      <c r="K4075" s="1797"/>
      <c r="L4075" s="1784"/>
      <c r="M4075" s="1785"/>
    </row>
    <row r="4076" spans="1:13" s="156" customFormat="1" ht="30" x14ac:dyDescent="0.2">
      <c r="A4076" s="2144">
        <v>88316</v>
      </c>
      <c r="B4076" s="2144"/>
      <c r="C4076" s="1302" t="s">
        <v>4448</v>
      </c>
      <c r="D4076" s="182" t="s">
        <v>64</v>
      </c>
      <c r="E4076" s="1311">
        <v>0.13</v>
      </c>
      <c r="F4076" s="1312" t="s">
        <v>65</v>
      </c>
      <c r="G4076" s="1313">
        <v>15.08</v>
      </c>
      <c r="H4076" s="1314">
        <f>ROUNDDOWN(G4076*E4076,2)</f>
        <v>1.96</v>
      </c>
      <c r="I4076" s="1642"/>
      <c r="J4076" s="1797"/>
      <c r="K4076" s="1797"/>
      <c r="L4076" s="1784"/>
      <c r="M4076" s="1785"/>
    </row>
    <row r="4077" spans="1:13" s="1517" customFormat="1" x14ac:dyDescent="0.25">
      <c r="A4077" s="179"/>
      <c r="B4077" s="179"/>
      <c r="C4077" s="1315"/>
      <c r="D4077" s="2141" t="s">
        <v>124</v>
      </c>
      <c r="E4077" s="2141"/>
      <c r="F4077" s="2141"/>
      <c r="G4077" s="2141"/>
      <c r="H4077" s="267">
        <f>SUMIF(F4074:F4076,("h"),H4074:H4076)</f>
        <v>4.5999999999999996</v>
      </c>
      <c r="I4077" s="1830"/>
      <c r="J4077" s="1795"/>
      <c r="K4077" s="1795"/>
      <c r="L4077" s="169"/>
      <c r="M4077" s="1783"/>
    </row>
    <row r="4078" spans="1:13" s="1517" customFormat="1" x14ac:dyDescent="0.25">
      <c r="A4078" s="179"/>
      <c r="B4078" s="179"/>
      <c r="C4078" s="1315"/>
      <c r="D4078" s="2141" t="s">
        <v>125</v>
      </c>
      <c r="E4078" s="2141"/>
      <c r="F4078" s="2141"/>
      <c r="G4078" s="2141"/>
      <c r="H4078" s="267">
        <f>SUMIF(F4074:F4076,"&lt;&gt;h",H4074:H4076)</f>
        <v>4.04</v>
      </c>
      <c r="I4078" s="1830"/>
      <c r="J4078" s="1795"/>
      <c r="K4078" s="1795"/>
      <c r="L4078" s="169"/>
      <c r="M4078" s="1783"/>
    </row>
    <row r="4079" spans="1:13" s="1517" customFormat="1" x14ac:dyDescent="0.25">
      <c r="A4079" s="179"/>
      <c r="B4079" s="179"/>
      <c r="C4079" s="1315"/>
      <c r="D4079" s="2142" t="s">
        <v>126</v>
      </c>
      <c r="E4079" s="2142"/>
      <c r="F4079" s="2142"/>
      <c r="G4079" s="2142"/>
      <c r="H4079" s="1316">
        <f>SUM(H4077:H4078)</f>
        <v>8.64</v>
      </c>
      <c r="I4079" s="1830"/>
      <c r="J4079" s="1795"/>
      <c r="K4079" s="1795"/>
      <c r="L4079" s="169"/>
      <c r="M4079" s="1783"/>
    </row>
    <row r="4080" spans="1:13" s="1517" customFormat="1" x14ac:dyDescent="0.25">
      <c r="A4080" s="179"/>
      <c r="B4080" s="179"/>
      <c r="C4080" s="1315"/>
      <c r="D4080" s="2141" t="s">
        <v>28</v>
      </c>
      <c r="E4080" s="2141"/>
      <c r="F4080" s="2141"/>
      <c r="G4080" s="2141"/>
      <c r="H4080" s="269">
        <f>E4073</f>
        <v>429</v>
      </c>
      <c r="I4080" s="1830"/>
      <c r="J4080" s="1795"/>
      <c r="K4080" s="1795"/>
      <c r="L4080" s="169"/>
      <c r="M4080" s="1783"/>
    </row>
    <row r="4081" spans="1:13" s="1517" customFormat="1" x14ac:dyDescent="0.25">
      <c r="A4081" s="179"/>
      <c r="B4081" s="179"/>
      <c r="C4081" s="1315"/>
      <c r="D4081" s="2142" t="s">
        <v>127</v>
      </c>
      <c r="E4081" s="2142"/>
      <c r="F4081" s="2142"/>
      <c r="G4081" s="2142"/>
      <c r="H4081" s="1316">
        <f>ROUND(H4079*H4080,2)</f>
        <v>3706.56</v>
      </c>
      <c r="I4081" s="1830"/>
      <c r="J4081" s="1795"/>
      <c r="K4081" s="1795"/>
      <c r="L4081" s="169"/>
      <c r="M4081" s="1783"/>
    </row>
    <row r="4082" spans="1:13" s="1517" customFormat="1" x14ac:dyDescent="0.25">
      <c r="A4082" s="179"/>
      <c r="B4082" s="179"/>
      <c r="C4082" s="1531"/>
      <c r="D4082" s="2141" t="s">
        <v>15335</v>
      </c>
      <c r="E4082" s="2141"/>
      <c r="F4082" s="2141"/>
      <c r="G4082" s="2141"/>
      <c r="H4082" s="267">
        <f>ROUND(H4079*$B$13,2)</f>
        <v>2.33</v>
      </c>
      <c r="I4082" s="1830"/>
      <c r="J4082" s="1795"/>
      <c r="K4082" s="1795"/>
      <c r="L4082" s="169"/>
      <c r="M4082" s="1783"/>
    </row>
    <row r="4083" spans="1:13" x14ac:dyDescent="0.25">
      <c r="A4083" s="179"/>
      <c r="B4083" s="179"/>
      <c r="C4083" s="1531"/>
      <c r="D4083" s="2142" t="s">
        <v>7898</v>
      </c>
      <c r="E4083" s="2142"/>
      <c r="F4083" s="2142"/>
      <c r="G4083" s="2142"/>
      <c r="H4083" s="1532">
        <f>H4082+H4079</f>
        <v>10.97</v>
      </c>
    </row>
    <row r="4084" spans="1:13" x14ac:dyDescent="0.25">
      <c r="A4084" s="1301"/>
      <c r="B4084" s="1301"/>
      <c r="C4084" s="1301"/>
      <c r="F4084" s="1317"/>
      <c r="G4084" s="1318"/>
      <c r="H4084" s="1301"/>
    </row>
    <row r="4085" spans="1:13" s="1517" customFormat="1" x14ac:dyDescent="0.25">
      <c r="A4085" s="146" t="s">
        <v>6</v>
      </c>
      <c r="B4085" s="2143" t="s">
        <v>7</v>
      </c>
      <c r="C4085" s="2143"/>
      <c r="D4085" s="1518" t="s">
        <v>121</v>
      </c>
      <c r="E4085" s="278" t="s">
        <v>5282</v>
      </c>
      <c r="F4085" s="1518" t="s">
        <v>31</v>
      </c>
      <c r="G4085" s="1519" t="s">
        <v>122</v>
      </c>
      <c r="H4085" s="1520" t="s">
        <v>123</v>
      </c>
      <c r="I4085" s="1830"/>
      <c r="J4085" s="1795"/>
      <c r="K4085" s="1795"/>
      <c r="L4085" s="169"/>
      <c r="M4085" s="1783"/>
    </row>
    <row r="4086" spans="1:13" s="1526" customFormat="1" ht="45" x14ac:dyDescent="0.2">
      <c r="A4086" s="1522" t="str">
        <f>'Orç - Prédio'!A673</f>
        <v>06.07.101.01</v>
      </c>
      <c r="B4086" s="1787" t="str">
        <f>'Orç - Prédio'!B673</f>
        <v>CPOS</v>
      </c>
      <c r="C4086" s="1787" t="str">
        <f>'Orç - Prédio'!C673</f>
        <v>66.20.225</v>
      </c>
      <c r="D4086" s="1522" t="s">
        <v>8290</v>
      </c>
      <c r="E4086" s="1523">
        <f>'Orç - Prédio'!E673</f>
        <v>2</v>
      </c>
      <c r="F4086" s="1521" t="s">
        <v>5284</v>
      </c>
      <c r="G4086" s="1524">
        <v>2937.5</v>
      </c>
      <c r="H4086" s="1525">
        <f>H4093</f>
        <v>5875</v>
      </c>
      <c r="I4086" s="1910" t="s">
        <v>9564</v>
      </c>
      <c r="J4086" s="1793"/>
      <c r="K4086" s="1793"/>
      <c r="L4086" s="141"/>
      <c r="M4086" s="1515"/>
    </row>
    <row r="4087" spans="1:13" s="156" customFormat="1" ht="60" x14ac:dyDescent="0.2">
      <c r="A4087" s="2145" t="s">
        <v>8289</v>
      </c>
      <c r="B4087" s="2145"/>
      <c r="C4087" s="1496" t="s">
        <v>5696</v>
      </c>
      <c r="D4087" s="1497" t="s">
        <v>6258</v>
      </c>
      <c r="E4087" s="1527">
        <v>1</v>
      </c>
      <c r="F4087" s="1690" t="s">
        <v>31</v>
      </c>
      <c r="G4087" s="367">
        <v>2927.77</v>
      </c>
      <c r="H4087" s="1530">
        <f>ROUNDDOWN(G4087*E4087,2)</f>
        <v>2927.77</v>
      </c>
      <c r="I4087" s="1642"/>
      <c r="J4087" s="1797"/>
      <c r="K4087" s="1797"/>
      <c r="L4087" s="1784"/>
      <c r="M4087" s="1785"/>
    </row>
    <row r="4088" spans="1:13" s="156" customFormat="1" ht="30" x14ac:dyDescent="0.2">
      <c r="A4088" s="2144">
        <v>100307</v>
      </c>
      <c r="B4088" s="2144"/>
      <c r="C4088" s="1516" t="s">
        <v>4448</v>
      </c>
      <c r="D4088" s="182" t="s">
        <v>8258</v>
      </c>
      <c r="E4088" s="1527">
        <v>0.5</v>
      </c>
      <c r="F4088" s="1786" t="s">
        <v>65</v>
      </c>
      <c r="G4088" s="1529">
        <v>19.47</v>
      </c>
      <c r="H4088" s="1530">
        <f>ROUNDDOWN(G4088*E4088,2)</f>
        <v>9.73</v>
      </c>
      <c r="I4088" s="1642"/>
      <c r="J4088" s="1797"/>
      <c r="K4088" s="1797"/>
      <c r="L4088" s="1784"/>
      <c r="M4088" s="1785"/>
    </row>
    <row r="4089" spans="1:13" s="1517" customFormat="1" x14ac:dyDescent="0.25">
      <c r="A4089" s="179"/>
      <c r="B4089" s="179"/>
      <c r="C4089" s="1531"/>
      <c r="D4089" s="2141" t="s">
        <v>124</v>
      </c>
      <c r="E4089" s="2141"/>
      <c r="F4089" s="2141"/>
      <c r="G4089" s="2141"/>
      <c r="H4089" s="267">
        <f>SUMIF(F4087:F4088,("h"),H4087:H4088)</f>
        <v>9.73</v>
      </c>
      <c r="I4089" s="1830"/>
      <c r="J4089" s="1795"/>
      <c r="K4089" s="1795"/>
      <c r="L4089" s="169"/>
      <c r="M4089" s="1783"/>
    </row>
    <row r="4090" spans="1:13" s="1517" customFormat="1" x14ac:dyDescent="0.25">
      <c r="A4090" s="179"/>
      <c r="B4090" s="179"/>
      <c r="C4090" s="1531"/>
      <c r="D4090" s="2141" t="s">
        <v>125</v>
      </c>
      <c r="E4090" s="2141"/>
      <c r="F4090" s="2141"/>
      <c r="G4090" s="2141"/>
      <c r="H4090" s="267">
        <f>SUMIF(F4087:F4088,"&lt;&gt;h",H4087:H4088)</f>
        <v>2927.77</v>
      </c>
      <c r="I4090" s="1830"/>
      <c r="J4090" s="1795"/>
      <c r="K4090" s="1795"/>
      <c r="L4090" s="169"/>
      <c r="M4090" s="1783"/>
    </row>
    <row r="4091" spans="1:13" s="1517" customFormat="1" x14ac:dyDescent="0.25">
      <c r="A4091" s="179"/>
      <c r="B4091" s="179"/>
      <c r="C4091" s="1531"/>
      <c r="D4091" s="2142" t="s">
        <v>126</v>
      </c>
      <c r="E4091" s="2142"/>
      <c r="F4091" s="2142"/>
      <c r="G4091" s="2142"/>
      <c r="H4091" s="1532">
        <f>SUM(H4089:H4090)</f>
        <v>2937.5</v>
      </c>
      <c r="I4091" s="1830"/>
      <c r="J4091" s="1795"/>
      <c r="K4091" s="1795"/>
      <c r="L4091" s="169"/>
      <c r="M4091" s="1783"/>
    </row>
    <row r="4092" spans="1:13" s="1517" customFormat="1" x14ac:dyDescent="0.25">
      <c r="A4092" s="179"/>
      <c r="B4092" s="179"/>
      <c r="C4092" s="1531"/>
      <c r="D4092" s="2141" t="s">
        <v>28</v>
      </c>
      <c r="E4092" s="2141"/>
      <c r="F4092" s="2141"/>
      <c r="G4092" s="2141"/>
      <c r="H4092" s="269">
        <f>E4086</f>
        <v>2</v>
      </c>
      <c r="I4092" s="1830"/>
      <c r="J4092" s="1795"/>
      <c r="K4092" s="1795"/>
      <c r="L4092" s="169"/>
      <c r="M4092" s="1783"/>
    </row>
    <row r="4093" spans="1:13" s="1517" customFormat="1" x14ac:dyDescent="0.25">
      <c r="A4093" s="179"/>
      <c r="B4093" s="179"/>
      <c r="C4093" s="1531"/>
      <c r="D4093" s="2142" t="s">
        <v>127</v>
      </c>
      <c r="E4093" s="2142"/>
      <c r="F4093" s="2142"/>
      <c r="G4093" s="2142"/>
      <c r="H4093" s="1532">
        <f>ROUND(H4091*H4092,2)</f>
        <v>5875</v>
      </c>
      <c r="I4093" s="1830"/>
      <c r="J4093" s="1795"/>
      <c r="K4093" s="1795"/>
      <c r="L4093" s="169"/>
      <c r="M4093" s="1783"/>
    </row>
    <row r="4094" spans="1:13" s="1517" customFormat="1" x14ac:dyDescent="0.25">
      <c r="A4094" s="179"/>
      <c r="B4094" s="179"/>
      <c r="C4094" s="1531"/>
      <c r="D4094" s="2141" t="s">
        <v>15335</v>
      </c>
      <c r="E4094" s="2141"/>
      <c r="F4094" s="2141"/>
      <c r="G4094" s="2141"/>
      <c r="H4094" s="267">
        <f>ROUND(H4091*$B$13,2)</f>
        <v>791.07</v>
      </c>
      <c r="I4094" s="1830"/>
      <c r="J4094" s="1795"/>
      <c r="K4094" s="1795"/>
      <c r="L4094" s="169"/>
      <c r="M4094" s="1783"/>
    </row>
    <row r="4095" spans="1:13" x14ac:dyDescent="0.25">
      <c r="A4095" s="179"/>
      <c r="B4095" s="179"/>
      <c r="C4095" s="1531"/>
      <c r="D4095" s="2142" t="s">
        <v>7898</v>
      </c>
      <c r="E4095" s="2142"/>
      <c r="F4095" s="2142"/>
      <c r="G4095" s="2142"/>
      <c r="H4095" s="1532">
        <f>H4094+H4091</f>
        <v>3728.57</v>
      </c>
    </row>
    <row r="4096" spans="1:13" x14ac:dyDescent="0.25">
      <c r="A4096" s="1514"/>
      <c r="B4096" s="1514"/>
      <c r="C4096" s="1514"/>
      <c r="F4096" s="1533"/>
      <c r="G4096" s="1534"/>
      <c r="H4096" s="1514"/>
    </row>
    <row r="4097" spans="1:13" s="1517" customFormat="1" x14ac:dyDescent="0.25">
      <c r="A4097" s="146" t="s">
        <v>6</v>
      </c>
      <c r="B4097" s="2143" t="s">
        <v>7</v>
      </c>
      <c r="C4097" s="2143"/>
      <c r="D4097" s="1323" t="s">
        <v>121</v>
      </c>
      <c r="E4097" s="278" t="s">
        <v>5282</v>
      </c>
      <c r="F4097" s="1323" t="s">
        <v>31</v>
      </c>
      <c r="G4097" s="1324" t="s">
        <v>122</v>
      </c>
      <c r="H4097" s="1325" t="s">
        <v>123</v>
      </c>
      <c r="I4097" s="1830"/>
      <c r="J4097" s="1795"/>
      <c r="K4097" s="1795"/>
      <c r="L4097" s="169"/>
      <c r="M4097" s="1783"/>
    </row>
    <row r="4098" spans="1:13" s="1526" customFormat="1" ht="30" x14ac:dyDescent="0.2">
      <c r="A4098" s="1326" t="str">
        <f>'Orç - Prédio'!A674</f>
        <v>06.07.102</v>
      </c>
      <c r="B4098" s="1326" t="str">
        <f>'Orç - Prédio'!B674</f>
        <v>ORSE</v>
      </c>
      <c r="C4098" s="1326">
        <f>'Orç - Prédio'!C674</f>
        <v>520</v>
      </c>
      <c r="D4098" s="1327" t="s">
        <v>6250</v>
      </c>
      <c r="E4098" s="1328">
        <f>'Orç - Prédio'!E674</f>
        <v>8</v>
      </c>
      <c r="F4098" s="1326" t="s">
        <v>5284</v>
      </c>
      <c r="G4098" s="1329">
        <v>16.059999999999999</v>
      </c>
      <c r="H4098" s="1330">
        <f>H4105</f>
        <v>128.47999999999999</v>
      </c>
      <c r="I4098" s="1910" t="s">
        <v>14965</v>
      </c>
      <c r="J4098" s="1793"/>
      <c r="K4098" s="1793"/>
      <c r="L4098" s="141"/>
      <c r="M4098" s="1515"/>
    </row>
    <row r="4099" spans="1:13" s="156" customFormat="1" x14ac:dyDescent="0.2">
      <c r="A4099" s="2145">
        <v>1090</v>
      </c>
      <c r="B4099" s="2145"/>
      <c r="C4099" s="1322" t="s">
        <v>5281</v>
      </c>
      <c r="D4099" s="1350" t="s">
        <v>7605</v>
      </c>
      <c r="E4099" s="1331">
        <v>1</v>
      </c>
      <c r="F4099" s="1332" t="s">
        <v>31</v>
      </c>
      <c r="G4099" s="367">
        <v>12</v>
      </c>
      <c r="H4099" s="1334">
        <f>ROUNDDOWN(G4099*E4099,2)</f>
        <v>12</v>
      </c>
      <c r="I4099" s="1642"/>
      <c r="J4099" s="1797"/>
      <c r="K4099" s="1797"/>
      <c r="L4099" s="1784"/>
      <c r="M4099" s="1785"/>
    </row>
    <row r="4100" spans="1:13" s="156" customFormat="1" ht="30" x14ac:dyDescent="0.2">
      <c r="A4100" s="2144">
        <v>88264</v>
      </c>
      <c r="B4100" s="2144"/>
      <c r="C4100" s="1321" t="s">
        <v>4448</v>
      </c>
      <c r="D4100" s="182" t="s">
        <v>81</v>
      </c>
      <c r="E4100" s="1331">
        <v>0.2</v>
      </c>
      <c r="F4100" s="1332" t="s">
        <v>65</v>
      </c>
      <c r="G4100" s="1333">
        <v>20.329999999999998</v>
      </c>
      <c r="H4100" s="1334">
        <f>ROUNDDOWN(G4100*E4100,2)</f>
        <v>4.0599999999999996</v>
      </c>
      <c r="I4100" s="1642"/>
      <c r="J4100" s="1797"/>
      <c r="K4100" s="1797"/>
      <c r="L4100" s="1784"/>
      <c r="M4100" s="1785"/>
    </row>
    <row r="4101" spans="1:13" s="1517" customFormat="1" x14ac:dyDescent="0.25">
      <c r="A4101" s="179"/>
      <c r="B4101" s="179"/>
      <c r="C4101" s="1335"/>
      <c r="D4101" s="2141">
        <v>0</v>
      </c>
      <c r="E4101" s="2141"/>
      <c r="F4101" s="2141"/>
      <c r="G4101" s="2141"/>
      <c r="H4101" s="267">
        <f>SUMIF(F4099:F4100,("h"),H4099:H4100)</f>
        <v>4.0599999999999996</v>
      </c>
      <c r="I4101" s="1830"/>
      <c r="J4101" s="1795"/>
      <c r="K4101" s="1795"/>
      <c r="L4101" s="169"/>
      <c r="M4101" s="1783"/>
    </row>
    <row r="4102" spans="1:13" s="1517" customFormat="1" x14ac:dyDescent="0.25">
      <c r="A4102" s="179"/>
      <c r="B4102" s="179"/>
      <c r="C4102" s="1335"/>
      <c r="D4102" s="2141" t="s">
        <v>125</v>
      </c>
      <c r="E4102" s="2141"/>
      <c r="F4102" s="2141"/>
      <c r="G4102" s="2141"/>
      <c r="H4102" s="267">
        <f>SUMIF(F4099:F4100,"&lt;&gt;h",H4099:H4100)</f>
        <v>12</v>
      </c>
      <c r="I4102" s="1830"/>
      <c r="J4102" s="1795"/>
      <c r="K4102" s="1795"/>
      <c r="L4102" s="169"/>
      <c r="M4102" s="1783"/>
    </row>
    <row r="4103" spans="1:13" s="1517" customFormat="1" x14ac:dyDescent="0.25">
      <c r="A4103" s="179"/>
      <c r="B4103" s="179"/>
      <c r="C4103" s="1335"/>
      <c r="D4103" s="2142" t="s">
        <v>126</v>
      </c>
      <c r="E4103" s="2142"/>
      <c r="F4103" s="2142"/>
      <c r="G4103" s="2142"/>
      <c r="H4103" s="1336">
        <f>SUM(H4101:H4102)</f>
        <v>16.059999999999999</v>
      </c>
      <c r="I4103" s="1830"/>
      <c r="J4103" s="1795"/>
      <c r="K4103" s="1795"/>
      <c r="L4103" s="169"/>
      <c r="M4103" s="1783"/>
    </row>
    <row r="4104" spans="1:13" s="1517" customFormat="1" x14ac:dyDescent="0.25">
      <c r="A4104" s="179"/>
      <c r="B4104" s="179"/>
      <c r="C4104" s="1335"/>
      <c r="D4104" s="2141" t="s">
        <v>28</v>
      </c>
      <c r="E4104" s="2141"/>
      <c r="F4104" s="2141"/>
      <c r="G4104" s="2141"/>
      <c r="H4104" s="269">
        <f>E4098</f>
        <v>8</v>
      </c>
      <c r="I4104" s="1830"/>
      <c r="J4104" s="1795"/>
      <c r="K4104" s="1795"/>
      <c r="L4104" s="169"/>
      <c r="M4104" s="1783"/>
    </row>
    <row r="4105" spans="1:13" s="1517" customFormat="1" x14ac:dyDescent="0.25">
      <c r="A4105" s="179"/>
      <c r="B4105" s="179"/>
      <c r="C4105" s="1335"/>
      <c r="D4105" s="2142" t="s">
        <v>127</v>
      </c>
      <c r="E4105" s="2142"/>
      <c r="F4105" s="2142"/>
      <c r="G4105" s="2142"/>
      <c r="H4105" s="1336">
        <f>ROUND(H4103*H4104,2)</f>
        <v>128.47999999999999</v>
      </c>
      <c r="I4105" s="1830"/>
      <c r="J4105" s="1795"/>
      <c r="K4105" s="1795"/>
      <c r="L4105" s="169"/>
      <c r="M4105" s="1783"/>
    </row>
    <row r="4106" spans="1:13" s="1517" customFormat="1" x14ac:dyDescent="0.25">
      <c r="A4106" s="179"/>
      <c r="B4106" s="179"/>
      <c r="C4106" s="1531"/>
      <c r="D4106" s="2141" t="s">
        <v>15335</v>
      </c>
      <c r="E4106" s="2141"/>
      <c r="F4106" s="2141"/>
      <c r="G4106" s="2141"/>
      <c r="H4106" s="267">
        <f>ROUND(H4103*$B$13,2)</f>
        <v>4.32</v>
      </c>
      <c r="I4106" s="1830"/>
      <c r="J4106" s="1795"/>
      <c r="K4106" s="1795"/>
      <c r="L4106" s="169"/>
      <c r="M4106" s="1783"/>
    </row>
    <row r="4107" spans="1:13" x14ac:dyDescent="0.25">
      <c r="A4107" s="179"/>
      <c r="B4107" s="179"/>
      <c r="C4107" s="1531"/>
      <c r="D4107" s="2142" t="s">
        <v>7898</v>
      </c>
      <c r="E4107" s="2142"/>
      <c r="F4107" s="2142"/>
      <c r="G4107" s="2142"/>
      <c r="H4107" s="1532">
        <f>H4106+H4103</f>
        <v>20.38</v>
      </c>
    </row>
    <row r="4108" spans="1:13" x14ac:dyDescent="0.25">
      <c r="A4108" s="1320"/>
      <c r="B4108" s="1320"/>
      <c r="C4108" s="1320"/>
      <c r="F4108" s="1337"/>
      <c r="G4108" s="1338"/>
      <c r="H4108" s="1320"/>
    </row>
    <row r="4109" spans="1:13" s="1517" customFormat="1" x14ac:dyDescent="0.25">
      <c r="A4109" s="146" t="s">
        <v>6</v>
      </c>
      <c r="B4109" s="2143" t="s">
        <v>7</v>
      </c>
      <c r="C4109" s="2143"/>
      <c r="D4109" s="1342" t="s">
        <v>121</v>
      </c>
      <c r="E4109" s="278" t="s">
        <v>5282</v>
      </c>
      <c r="F4109" s="1342" t="s">
        <v>31</v>
      </c>
      <c r="G4109" s="1343" t="s">
        <v>122</v>
      </c>
      <c r="H4109" s="1344" t="s">
        <v>123</v>
      </c>
      <c r="I4109" s="1830"/>
      <c r="J4109" s="1795"/>
      <c r="K4109" s="1795"/>
      <c r="L4109" s="169"/>
      <c r="M4109" s="1783"/>
    </row>
    <row r="4110" spans="1:13" s="1526" customFormat="1" ht="30" x14ac:dyDescent="0.2">
      <c r="A4110" s="1345" t="str">
        <f>'Orç - Prédio'!A675</f>
        <v>06.07.103</v>
      </c>
      <c r="B4110" s="1345" t="str">
        <f>'Orç - Prédio'!B675</f>
        <v>ORSE</v>
      </c>
      <c r="C4110" s="1345">
        <f>'Orç - Prédio'!C675</f>
        <v>11307</v>
      </c>
      <c r="D4110" s="1346" t="s">
        <v>6251</v>
      </c>
      <c r="E4110" s="1347">
        <f>'Orç - Prédio'!E675</f>
        <v>2</v>
      </c>
      <c r="F4110" s="1345" t="s">
        <v>5284</v>
      </c>
      <c r="G4110" s="1348">
        <v>861.23</v>
      </c>
      <c r="H4110" s="1349">
        <f>H4118</f>
        <v>1722.46</v>
      </c>
      <c r="I4110" s="1910" t="s">
        <v>14965</v>
      </c>
      <c r="J4110" s="1793"/>
      <c r="K4110" s="1793"/>
      <c r="L4110" s="141"/>
      <c r="M4110" s="1515"/>
    </row>
    <row r="4111" spans="1:13" s="156" customFormat="1" x14ac:dyDescent="0.2">
      <c r="A4111" s="2145">
        <v>12167</v>
      </c>
      <c r="B4111" s="2145"/>
      <c r="C4111" s="1341" t="s">
        <v>5281</v>
      </c>
      <c r="D4111" s="1370" t="s">
        <v>6259</v>
      </c>
      <c r="E4111" s="1351">
        <v>1</v>
      </c>
      <c r="F4111" s="1352" t="s">
        <v>31</v>
      </c>
      <c r="G4111" s="367">
        <v>843.53</v>
      </c>
      <c r="H4111" s="1354">
        <f>ROUNDDOWN(G4111*E4111,2)</f>
        <v>843.53</v>
      </c>
      <c r="I4111" s="1642"/>
      <c r="J4111" s="1797"/>
      <c r="K4111" s="1797"/>
      <c r="L4111" s="1784"/>
      <c r="M4111" s="1785"/>
    </row>
    <row r="4112" spans="1:13" s="156" customFormat="1" ht="30" x14ac:dyDescent="0.2">
      <c r="A4112" s="2144">
        <v>88264</v>
      </c>
      <c r="B4112" s="2144"/>
      <c r="C4112" s="1340" t="s">
        <v>4448</v>
      </c>
      <c r="D4112" s="182" t="s">
        <v>81</v>
      </c>
      <c r="E4112" s="1351">
        <v>0.5</v>
      </c>
      <c r="F4112" s="1352" t="s">
        <v>65</v>
      </c>
      <c r="G4112" s="1353">
        <v>20.329999999999998</v>
      </c>
      <c r="H4112" s="1354">
        <f>ROUNDDOWN(G4112*E4112,2)</f>
        <v>10.16</v>
      </c>
      <c r="I4112" s="1642"/>
      <c r="J4112" s="1797"/>
      <c r="K4112" s="1797"/>
      <c r="L4112" s="1784"/>
      <c r="M4112" s="1785"/>
    </row>
    <row r="4113" spans="1:13" s="156" customFormat="1" ht="30" x14ac:dyDescent="0.2">
      <c r="A4113" s="2144">
        <v>88316</v>
      </c>
      <c r="B4113" s="2144"/>
      <c r="C4113" s="1340" t="s">
        <v>4448</v>
      </c>
      <c r="D4113" s="182" t="s">
        <v>64</v>
      </c>
      <c r="E4113" s="1351">
        <v>0.5</v>
      </c>
      <c r="F4113" s="1352" t="s">
        <v>65</v>
      </c>
      <c r="G4113" s="1353">
        <v>15.08</v>
      </c>
      <c r="H4113" s="1354">
        <f>ROUNDDOWN(G4113*E4113,2)</f>
        <v>7.54</v>
      </c>
      <c r="I4113" s="1642"/>
      <c r="J4113" s="1797"/>
      <c r="K4113" s="1797"/>
      <c r="L4113" s="1784"/>
      <c r="M4113" s="1785"/>
    </row>
    <row r="4114" spans="1:13" s="1517" customFormat="1" x14ac:dyDescent="0.25">
      <c r="A4114" s="179"/>
      <c r="B4114" s="179"/>
      <c r="C4114" s="1355"/>
      <c r="D4114" s="2141" t="s">
        <v>124</v>
      </c>
      <c r="E4114" s="2141"/>
      <c r="F4114" s="2141"/>
      <c r="G4114" s="2141"/>
      <c r="H4114" s="267">
        <f>SUMIF(F4111:F4113,("h"),H4111:H4113)</f>
        <v>17.7</v>
      </c>
      <c r="I4114" s="1830"/>
      <c r="J4114" s="1795"/>
      <c r="K4114" s="1795"/>
      <c r="L4114" s="169"/>
      <c r="M4114" s="1783"/>
    </row>
    <row r="4115" spans="1:13" s="1517" customFormat="1" x14ac:dyDescent="0.25">
      <c r="A4115" s="179"/>
      <c r="B4115" s="179"/>
      <c r="C4115" s="1355"/>
      <c r="D4115" s="2141" t="s">
        <v>125</v>
      </c>
      <c r="E4115" s="2141"/>
      <c r="F4115" s="2141"/>
      <c r="G4115" s="2141"/>
      <c r="H4115" s="267">
        <f>SUMIF(F4111:F4113,"&lt;&gt;h",H4111:H4113)</f>
        <v>843.53</v>
      </c>
      <c r="I4115" s="1830"/>
      <c r="J4115" s="1795"/>
      <c r="K4115" s="1795"/>
      <c r="L4115" s="169"/>
      <c r="M4115" s="1783"/>
    </row>
    <row r="4116" spans="1:13" s="1517" customFormat="1" x14ac:dyDescent="0.25">
      <c r="A4116" s="179"/>
      <c r="B4116" s="179"/>
      <c r="C4116" s="1355"/>
      <c r="D4116" s="2142" t="s">
        <v>126</v>
      </c>
      <c r="E4116" s="2142"/>
      <c r="F4116" s="2142"/>
      <c r="G4116" s="2142"/>
      <c r="H4116" s="1356">
        <f>SUM(H4114:H4115)</f>
        <v>861.23</v>
      </c>
      <c r="I4116" s="1830"/>
      <c r="J4116" s="1795"/>
      <c r="K4116" s="1795"/>
      <c r="L4116" s="169"/>
      <c r="M4116" s="1783"/>
    </row>
    <row r="4117" spans="1:13" s="1517" customFormat="1" x14ac:dyDescent="0.25">
      <c r="A4117" s="179"/>
      <c r="B4117" s="179"/>
      <c r="C4117" s="1355"/>
      <c r="D4117" s="2141" t="s">
        <v>28</v>
      </c>
      <c r="E4117" s="2141"/>
      <c r="F4117" s="2141"/>
      <c r="G4117" s="2141"/>
      <c r="H4117" s="269">
        <f>E4110</f>
        <v>2</v>
      </c>
      <c r="I4117" s="1830"/>
      <c r="J4117" s="1795"/>
      <c r="K4117" s="1795"/>
      <c r="L4117" s="169"/>
      <c r="M4117" s="1783"/>
    </row>
    <row r="4118" spans="1:13" s="1517" customFormat="1" x14ac:dyDescent="0.25">
      <c r="A4118" s="179"/>
      <c r="B4118" s="179"/>
      <c r="C4118" s="1355"/>
      <c r="D4118" s="2142" t="s">
        <v>127</v>
      </c>
      <c r="E4118" s="2142"/>
      <c r="F4118" s="2142"/>
      <c r="G4118" s="2142"/>
      <c r="H4118" s="1356">
        <f>ROUND(H4116*H4117,2)</f>
        <v>1722.46</v>
      </c>
      <c r="I4118" s="1830"/>
      <c r="J4118" s="1795"/>
      <c r="K4118" s="1795"/>
      <c r="L4118" s="169"/>
      <c r="M4118" s="1783"/>
    </row>
    <row r="4119" spans="1:13" s="1517" customFormat="1" x14ac:dyDescent="0.25">
      <c r="A4119" s="179"/>
      <c r="B4119" s="179"/>
      <c r="C4119" s="1531"/>
      <c r="D4119" s="2141" t="s">
        <v>15335</v>
      </c>
      <c r="E4119" s="2141"/>
      <c r="F4119" s="2141"/>
      <c r="G4119" s="2141"/>
      <c r="H4119" s="267">
        <f>ROUND(H4116*$B$13,2)</f>
        <v>231.93</v>
      </c>
      <c r="I4119" s="1830"/>
      <c r="J4119" s="1795"/>
      <c r="K4119" s="1795"/>
      <c r="L4119" s="169"/>
      <c r="M4119" s="1783"/>
    </row>
    <row r="4120" spans="1:13" x14ac:dyDescent="0.25">
      <c r="A4120" s="179"/>
      <c r="B4120" s="179"/>
      <c r="C4120" s="1531"/>
      <c r="D4120" s="2142" t="s">
        <v>7898</v>
      </c>
      <c r="E4120" s="2142"/>
      <c r="F4120" s="2142"/>
      <c r="G4120" s="2142"/>
      <c r="H4120" s="1532">
        <f>H4119+H4116</f>
        <v>1093.1600000000001</v>
      </c>
    </row>
    <row r="4121" spans="1:13" x14ac:dyDescent="0.25">
      <c r="A4121" s="1339"/>
      <c r="B4121" s="1339"/>
      <c r="C4121" s="1339"/>
      <c r="F4121" s="1357"/>
      <c r="G4121" s="1358"/>
      <c r="H4121" s="1339"/>
    </row>
    <row r="4122" spans="1:13" s="1517" customFormat="1" x14ac:dyDescent="0.25">
      <c r="A4122" s="146" t="s">
        <v>6</v>
      </c>
      <c r="B4122" s="2143" t="s">
        <v>7</v>
      </c>
      <c r="C4122" s="2143"/>
      <c r="D4122" s="1362" t="s">
        <v>121</v>
      </c>
      <c r="E4122" s="278" t="s">
        <v>5282</v>
      </c>
      <c r="F4122" s="1362" t="s">
        <v>31</v>
      </c>
      <c r="G4122" s="1363" t="s">
        <v>122</v>
      </c>
      <c r="H4122" s="1364" t="s">
        <v>123</v>
      </c>
      <c r="I4122" s="1830"/>
      <c r="J4122" s="1795"/>
      <c r="K4122" s="1795"/>
      <c r="L4122" s="169"/>
      <c r="M4122" s="1783"/>
    </row>
    <row r="4123" spans="1:13" s="1526" customFormat="1" ht="60" x14ac:dyDescent="0.2">
      <c r="A4123" s="1365" t="str">
        <f>'Orç - Prédio'!A676</f>
        <v>06.07.104</v>
      </c>
      <c r="B4123" s="1365" t="str">
        <f>'Orç - Prédio'!B676</f>
        <v>CPOS</v>
      </c>
      <c r="C4123" s="1365" t="str">
        <f>'Orç - Prédio'!C676</f>
        <v>66.08.610</v>
      </c>
      <c r="D4123" s="1366" t="s">
        <v>6252</v>
      </c>
      <c r="E4123" s="1367">
        <f>'Orç - Prédio'!E676</f>
        <v>2</v>
      </c>
      <c r="F4123" s="1365" t="s">
        <v>5284</v>
      </c>
      <c r="G4123" s="1368">
        <v>1559.75</v>
      </c>
      <c r="H4123" s="1369">
        <f>H4130</f>
        <v>3119.5</v>
      </c>
      <c r="I4123" s="1910" t="s">
        <v>9564</v>
      </c>
      <c r="J4123" s="1793"/>
      <c r="K4123" s="1793"/>
      <c r="L4123" s="141"/>
      <c r="M4123" s="1515"/>
    </row>
    <row r="4124" spans="1:13" s="156" customFormat="1" ht="75" x14ac:dyDescent="0.2">
      <c r="A4124" s="2145" t="s">
        <v>6260</v>
      </c>
      <c r="B4124" s="2145"/>
      <c r="C4124" s="1361" t="s">
        <v>5696</v>
      </c>
      <c r="D4124" s="1379" t="s">
        <v>6261</v>
      </c>
      <c r="E4124" s="1371">
        <v>1</v>
      </c>
      <c r="F4124" s="1372" t="s">
        <v>31</v>
      </c>
      <c r="G4124" s="367">
        <v>1397.03</v>
      </c>
      <c r="H4124" s="1374">
        <f>ROUNDDOWN(G4124*E4124,2)</f>
        <v>1397.03</v>
      </c>
      <c r="I4124" s="1642"/>
      <c r="J4124" s="1797"/>
      <c r="K4124" s="1797"/>
      <c r="L4124" s="1784"/>
      <c r="M4124" s="1785"/>
    </row>
    <row r="4125" spans="1:13" s="156" customFormat="1" ht="30" x14ac:dyDescent="0.2">
      <c r="A4125" s="2144">
        <v>88266</v>
      </c>
      <c r="B4125" s="2144"/>
      <c r="C4125" s="1360" t="s">
        <v>4448</v>
      </c>
      <c r="D4125" s="182" t="s">
        <v>4294</v>
      </c>
      <c r="E4125" s="1371">
        <v>6</v>
      </c>
      <c r="F4125" s="1372" t="s">
        <v>65</v>
      </c>
      <c r="G4125" s="1373">
        <v>27.12</v>
      </c>
      <c r="H4125" s="1374">
        <f>ROUNDDOWN(G4125*E4125,2)</f>
        <v>162.72</v>
      </c>
      <c r="I4125" s="1642"/>
      <c r="J4125" s="1797"/>
      <c r="K4125" s="1797"/>
      <c r="L4125" s="1784"/>
      <c r="M4125" s="1785"/>
    </row>
    <row r="4126" spans="1:13" s="1517" customFormat="1" x14ac:dyDescent="0.25">
      <c r="A4126" s="179"/>
      <c r="B4126" s="179"/>
      <c r="C4126" s="1375"/>
      <c r="D4126" s="2141" t="s">
        <v>124</v>
      </c>
      <c r="E4126" s="2141"/>
      <c r="F4126" s="2141"/>
      <c r="G4126" s="2141"/>
      <c r="H4126" s="267">
        <f>SUMIF(F4124:F4125,("h"),H4124:H4125)</f>
        <v>162.72</v>
      </c>
      <c r="I4126" s="1830"/>
      <c r="J4126" s="1795"/>
      <c r="K4126" s="1795"/>
      <c r="L4126" s="169"/>
      <c r="M4126" s="1783"/>
    </row>
    <row r="4127" spans="1:13" s="1517" customFormat="1" x14ac:dyDescent="0.25">
      <c r="A4127" s="179"/>
      <c r="B4127" s="179"/>
      <c r="C4127" s="1375"/>
      <c r="D4127" s="2141" t="s">
        <v>125</v>
      </c>
      <c r="E4127" s="2141"/>
      <c r="F4127" s="2141"/>
      <c r="G4127" s="2141"/>
      <c r="H4127" s="267">
        <f>SUMIF(F4124:F4125,"&lt;&gt;h",H4124:H4125)</f>
        <v>1397.03</v>
      </c>
      <c r="I4127" s="1830"/>
      <c r="J4127" s="1795"/>
      <c r="K4127" s="1795"/>
      <c r="L4127" s="169"/>
      <c r="M4127" s="1783"/>
    </row>
    <row r="4128" spans="1:13" s="1517" customFormat="1" x14ac:dyDescent="0.25">
      <c r="A4128" s="179"/>
      <c r="B4128" s="179"/>
      <c r="C4128" s="1375"/>
      <c r="D4128" s="2142" t="s">
        <v>126</v>
      </c>
      <c r="E4128" s="2142"/>
      <c r="F4128" s="2142"/>
      <c r="G4128" s="2142"/>
      <c r="H4128" s="1376">
        <f>SUM(H4126:H4127)</f>
        <v>1559.75</v>
      </c>
      <c r="I4128" s="1830"/>
      <c r="J4128" s="1795"/>
      <c r="K4128" s="1795"/>
      <c r="L4128" s="169"/>
      <c r="M4128" s="1783"/>
    </row>
    <row r="4129" spans="1:13" s="1517" customFormat="1" x14ac:dyDescent="0.25">
      <c r="A4129" s="179"/>
      <c r="B4129" s="179"/>
      <c r="C4129" s="1375"/>
      <c r="D4129" s="2141" t="s">
        <v>28</v>
      </c>
      <c r="E4129" s="2141"/>
      <c r="F4129" s="2141"/>
      <c r="G4129" s="2141"/>
      <c r="H4129" s="269">
        <f>E4123</f>
        <v>2</v>
      </c>
      <c r="I4129" s="1830"/>
      <c r="J4129" s="1795"/>
      <c r="K4129" s="1795"/>
      <c r="L4129" s="169"/>
      <c r="M4129" s="1783"/>
    </row>
    <row r="4130" spans="1:13" s="1517" customFormat="1" x14ac:dyDescent="0.25">
      <c r="A4130" s="179"/>
      <c r="B4130" s="179"/>
      <c r="C4130" s="1375"/>
      <c r="D4130" s="2142" t="s">
        <v>127</v>
      </c>
      <c r="E4130" s="2142"/>
      <c r="F4130" s="2142"/>
      <c r="G4130" s="2142"/>
      <c r="H4130" s="1376">
        <f>ROUND(H4128*H4129,2)</f>
        <v>3119.5</v>
      </c>
      <c r="I4130" s="1830"/>
      <c r="J4130" s="1795"/>
      <c r="K4130" s="1795"/>
      <c r="L4130" s="169"/>
      <c r="M4130" s="1783"/>
    </row>
    <row r="4131" spans="1:13" s="1517" customFormat="1" x14ac:dyDescent="0.25">
      <c r="A4131" s="179"/>
      <c r="B4131" s="179"/>
      <c r="C4131" s="1531"/>
      <c r="D4131" s="2141" t="s">
        <v>15335</v>
      </c>
      <c r="E4131" s="2141"/>
      <c r="F4131" s="2141"/>
      <c r="G4131" s="2141"/>
      <c r="H4131" s="267">
        <f>ROUND(H4128*$B$13,2)</f>
        <v>420.04</v>
      </c>
      <c r="I4131" s="1830"/>
      <c r="J4131" s="1795"/>
      <c r="K4131" s="1795"/>
      <c r="L4131" s="169"/>
      <c r="M4131" s="1783"/>
    </row>
    <row r="4132" spans="1:13" x14ac:dyDescent="0.25">
      <c r="A4132" s="179"/>
      <c r="B4132" s="179"/>
      <c r="C4132" s="1531"/>
      <c r="D4132" s="2142" t="s">
        <v>7898</v>
      </c>
      <c r="E4132" s="2142"/>
      <c r="F4132" s="2142"/>
      <c r="G4132" s="2142"/>
      <c r="H4132" s="1532">
        <f>H4131+H4128</f>
        <v>1979.79</v>
      </c>
    </row>
    <row r="4133" spans="1:13" x14ac:dyDescent="0.25">
      <c r="A4133" s="1359"/>
      <c r="B4133" s="1359"/>
      <c r="C4133" s="1359"/>
      <c r="F4133" s="1377"/>
      <c r="G4133" s="1378"/>
      <c r="H4133" s="1359"/>
    </row>
    <row r="4134" spans="1:13" s="1517" customFormat="1" x14ac:dyDescent="0.25">
      <c r="A4134" s="146" t="s">
        <v>6</v>
      </c>
      <c r="B4134" s="2143" t="s">
        <v>7</v>
      </c>
      <c r="C4134" s="2143"/>
      <c r="D4134" s="1383" t="s">
        <v>121</v>
      </c>
      <c r="E4134" s="278" t="s">
        <v>5282</v>
      </c>
      <c r="F4134" s="1383" t="s">
        <v>31</v>
      </c>
      <c r="G4134" s="1384" t="s">
        <v>122</v>
      </c>
      <c r="H4134" s="1385" t="s">
        <v>123</v>
      </c>
      <c r="I4134" s="1830"/>
      <c r="J4134" s="1795"/>
      <c r="K4134" s="1795"/>
      <c r="L4134" s="169"/>
      <c r="M4134" s="1783"/>
    </row>
    <row r="4135" spans="1:13" s="1526" customFormat="1" ht="45" x14ac:dyDescent="0.2">
      <c r="A4135" s="1386" t="str">
        <f>'Orç - Prédio'!A678</f>
        <v>06.07.201</v>
      </c>
      <c r="B4135" s="1386" t="str">
        <f>'Orç - Prédio'!B678</f>
        <v>ORSE</v>
      </c>
      <c r="C4135" s="1386">
        <f>'Orç - Prédio'!C678</f>
        <v>8680</v>
      </c>
      <c r="D4135" s="1387" t="s">
        <v>6264</v>
      </c>
      <c r="E4135" s="1398">
        <f>'Orç - Prédio'!E678</f>
        <v>23</v>
      </c>
      <c r="F4135" s="1386" t="s">
        <v>5284</v>
      </c>
      <c r="G4135" s="1388">
        <v>866.96</v>
      </c>
      <c r="H4135" s="1389">
        <f>H4142</f>
        <v>19940.080000000002</v>
      </c>
      <c r="I4135" s="1910" t="s">
        <v>14965</v>
      </c>
      <c r="J4135" s="1793"/>
      <c r="K4135" s="1793"/>
      <c r="L4135" s="141"/>
      <c r="M4135" s="1515"/>
    </row>
    <row r="4136" spans="1:13" s="156" customFormat="1" ht="45" x14ac:dyDescent="0.2">
      <c r="A4136" s="2145">
        <v>11609</v>
      </c>
      <c r="B4136" s="2145"/>
      <c r="C4136" s="1382" t="s">
        <v>5281</v>
      </c>
      <c r="D4136" s="1399" t="s">
        <v>6300</v>
      </c>
      <c r="E4136" s="1390">
        <v>1</v>
      </c>
      <c r="F4136" s="1391" t="s">
        <v>31</v>
      </c>
      <c r="G4136" s="367">
        <v>650</v>
      </c>
      <c r="H4136" s="1393">
        <f>ROUNDDOWN(G4136*E4136,2)</f>
        <v>650</v>
      </c>
      <c r="I4136" s="1642"/>
      <c r="J4136" s="1797"/>
      <c r="K4136" s="1797"/>
      <c r="L4136" s="1784"/>
      <c r="M4136" s="1785"/>
    </row>
    <row r="4137" spans="1:13" s="156" customFormat="1" ht="30" x14ac:dyDescent="0.2">
      <c r="A4137" s="2144">
        <v>88266</v>
      </c>
      <c r="B4137" s="2144"/>
      <c r="C4137" s="1381" t="s">
        <v>4448</v>
      </c>
      <c r="D4137" s="182" t="s">
        <v>4294</v>
      </c>
      <c r="E4137" s="1390">
        <v>8</v>
      </c>
      <c r="F4137" s="1391" t="s">
        <v>65</v>
      </c>
      <c r="G4137" s="1392">
        <v>27.12</v>
      </c>
      <c r="H4137" s="1393">
        <f>ROUNDDOWN(G4137*E4137,2)</f>
        <v>216.96</v>
      </c>
      <c r="I4137" s="1642"/>
      <c r="J4137" s="1797"/>
      <c r="K4137" s="1797"/>
      <c r="L4137" s="1784"/>
      <c r="M4137" s="1785"/>
    </row>
    <row r="4138" spans="1:13" s="1517" customFormat="1" x14ac:dyDescent="0.25">
      <c r="A4138" s="179"/>
      <c r="B4138" s="179"/>
      <c r="C4138" s="1394"/>
      <c r="D4138" s="2141" t="s">
        <v>124</v>
      </c>
      <c r="E4138" s="2141"/>
      <c r="F4138" s="2141"/>
      <c r="G4138" s="2141"/>
      <c r="H4138" s="267">
        <f>SUMIF(F4136:F4137,("h"),H4136:H4137)</f>
        <v>216.96</v>
      </c>
      <c r="I4138" s="1830"/>
      <c r="J4138" s="1795"/>
      <c r="K4138" s="1795"/>
      <c r="L4138" s="169"/>
      <c r="M4138" s="1783"/>
    </row>
    <row r="4139" spans="1:13" s="1517" customFormat="1" x14ac:dyDescent="0.25">
      <c r="A4139" s="179"/>
      <c r="B4139" s="179"/>
      <c r="C4139" s="1394"/>
      <c r="D4139" s="2141" t="s">
        <v>125</v>
      </c>
      <c r="E4139" s="2141"/>
      <c r="F4139" s="2141"/>
      <c r="G4139" s="2141"/>
      <c r="H4139" s="267">
        <f>SUMIF(F4136:F4137,"&lt;&gt;h",H4136:H4137)</f>
        <v>650</v>
      </c>
      <c r="I4139" s="1830"/>
      <c r="J4139" s="1795"/>
      <c r="K4139" s="1795"/>
      <c r="L4139" s="169"/>
      <c r="M4139" s="1783"/>
    </row>
    <row r="4140" spans="1:13" s="1517" customFormat="1" x14ac:dyDescent="0.25">
      <c r="A4140" s="179"/>
      <c r="B4140" s="179"/>
      <c r="C4140" s="1394"/>
      <c r="D4140" s="2142" t="s">
        <v>126</v>
      </c>
      <c r="E4140" s="2142"/>
      <c r="F4140" s="2142"/>
      <c r="G4140" s="2142"/>
      <c r="H4140" s="1395">
        <f>SUM(H4138:H4139)</f>
        <v>866.96</v>
      </c>
      <c r="I4140" s="1830"/>
      <c r="J4140" s="1795"/>
      <c r="K4140" s="1795"/>
      <c r="L4140" s="169"/>
      <c r="M4140" s="1783"/>
    </row>
    <row r="4141" spans="1:13" s="1517" customFormat="1" x14ac:dyDescent="0.25">
      <c r="A4141" s="179"/>
      <c r="B4141" s="179"/>
      <c r="C4141" s="1394"/>
      <c r="D4141" s="2141" t="s">
        <v>28</v>
      </c>
      <c r="E4141" s="2141"/>
      <c r="F4141" s="2141"/>
      <c r="G4141" s="2141"/>
      <c r="H4141" s="269">
        <f>E4135</f>
        <v>23</v>
      </c>
      <c r="I4141" s="1830"/>
      <c r="J4141" s="1795"/>
      <c r="K4141" s="1795"/>
      <c r="L4141" s="169"/>
      <c r="M4141" s="1783"/>
    </row>
    <row r="4142" spans="1:13" s="1517" customFormat="1" x14ac:dyDescent="0.25">
      <c r="A4142" s="179"/>
      <c r="B4142" s="179"/>
      <c r="C4142" s="1394"/>
      <c r="D4142" s="2142" t="s">
        <v>127</v>
      </c>
      <c r="E4142" s="2142"/>
      <c r="F4142" s="2142"/>
      <c r="G4142" s="2142"/>
      <c r="H4142" s="1395">
        <f>ROUND(H4140*H4141,2)</f>
        <v>19940.080000000002</v>
      </c>
      <c r="I4142" s="1830"/>
      <c r="J4142" s="1795"/>
      <c r="K4142" s="1795"/>
      <c r="L4142" s="169"/>
      <c r="M4142" s="1783"/>
    </row>
    <row r="4143" spans="1:13" s="1517" customFormat="1" x14ac:dyDescent="0.25">
      <c r="A4143" s="179"/>
      <c r="B4143" s="179"/>
      <c r="C4143" s="1531"/>
      <c r="D4143" s="2141" t="s">
        <v>15335</v>
      </c>
      <c r="E4143" s="2141"/>
      <c r="F4143" s="2141"/>
      <c r="G4143" s="2141"/>
      <c r="H4143" s="267">
        <f>ROUND(H4140*$B$13,2)</f>
        <v>233.47</v>
      </c>
      <c r="I4143" s="1830"/>
      <c r="J4143" s="1795"/>
      <c r="K4143" s="1795"/>
      <c r="L4143" s="169"/>
      <c r="M4143" s="1783"/>
    </row>
    <row r="4144" spans="1:13" x14ac:dyDescent="0.25">
      <c r="A4144" s="179"/>
      <c r="B4144" s="179"/>
      <c r="C4144" s="1531"/>
      <c r="D4144" s="2142" t="s">
        <v>7898</v>
      </c>
      <c r="E4144" s="2142"/>
      <c r="F4144" s="2142"/>
      <c r="G4144" s="2142"/>
      <c r="H4144" s="1532">
        <f>H4143+H4140</f>
        <v>1100.43</v>
      </c>
    </row>
    <row r="4145" spans="1:13" x14ac:dyDescent="0.25">
      <c r="A4145" s="1380"/>
      <c r="B4145" s="1380"/>
      <c r="C4145" s="1380"/>
      <c r="F4145" s="1396"/>
      <c r="G4145" s="1397"/>
      <c r="H4145" s="1380"/>
    </row>
    <row r="4146" spans="1:13" s="1517" customFormat="1" x14ac:dyDescent="0.25">
      <c r="A4146" s="146" t="s">
        <v>6</v>
      </c>
      <c r="B4146" s="2143" t="s">
        <v>7</v>
      </c>
      <c r="C4146" s="2143"/>
      <c r="D4146" s="1403" t="s">
        <v>121</v>
      </c>
      <c r="E4146" s="278" t="s">
        <v>5282</v>
      </c>
      <c r="F4146" s="1403" t="s">
        <v>31</v>
      </c>
      <c r="G4146" s="1404" t="s">
        <v>122</v>
      </c>
      <c r="H4146" s="1405" t="s">
        <v>123</v>
      </c>
      <c r="I4146" s="1830"/>
      <c r="J4146" s="1795"/>
      <c r="K4146" s="1795"/>
      <c r="L4146" s="169"/>
      <c r="M4146" s="1783"/>
    </row>
    <row r="4147" spans="1:13" s="1526" customFormat="1" ht="30" x14ac:dyDescent="0.2">
      <c r="A4147" s="1406" t="str">
        <f>'Orç - Prédio'!A685</f>
        <v>06.07.402</v>
      </c>
      <c r="B4147" s="1406" t="str">
        <f>'Orç - Prédio'!B685</f>
        <v>ORSE</v>
      </c>
      <c r="C4147" s="1406">
        <f>'Orç - Prédio'!C685</f>
        <v>8690</v>
      </c>
      <c r="D4147" s="1407" t="s">
        <v>6270</v>
      </c>
      <c r="E4147" s="1418">
        <f>'Orç - Prédio'!E685</f>
        <v>50</v>
      </c>
      <c r="F4147" s="1406" t="s">
        <v>5713</v>
      </c>
      <c r="G4147" s="1408">
        <v>12.85</v>
      </c>
      <c r="H4147" s="1409">
        <f>H4155</f>
        <v>642.5</v>
      </c>
      <c r="I4147" s="1910" t="s">
        <v>14965</v>
      </c>
      <c r="J4147" s="1793"/>
      <c r="K4147" s="1793"/>
      <c r="L4147" s="141"/>
      <c r="M4147" s="1515"/>
    </row>
    <row r="4148" spans="1:13" s="156" customFormat="1" ht="30" x14ac:dyDescent="0.2">
      <c r="A4148" s="2145">
        <v>3881</v>
      </c>
      <c r="B4148" s="2145"/>
      <c r="C4148" s="1402" t="s">
        <v>5281</v>
      </c>
      <c r="D4148" s="1419" t="s">
        <v>6273</v>
      </c>
      <c r="E4148" s="1410">
        <v>1</v>
      </c>
      <c r="F4148" s="1411" t="s">
        <v>136</v>
      </c>
      <c r="G4148" s="367">
        <v>7.9</v>
      </c>
      <c r="H4148" s="1413">
        <f>ROUNDDOWN(G4148*E4148,2)</f>
        <v>7.9</v>
      </c>
      <c r="I4148" s="1642"/>
      <c r="J4148" s="1797"/>
      <c r="K4148" s="1797"/>
      <c r="L4148" s="1784"/>
      <c r="M4148" s="1785"/>
    </row>
    <row r="4149" spans="1:13" s="156" customFormat="1" ht="30" x14ac:dyDescent="0.2">
      <c r="A4149" s="2144">
        <v>88264</v>
      </c>
      <c r="B4149" s="2144"/>
      <c r="C4149" s="1401" t="s">
        <v>4448</v>
      </c>
      <c r="D4149" s="182" t="s">
        <v>81</v>
      </c>
      <c r="E4149" s="1410">
        <v>0.14000000000000001</v>
      </c>
      <c r="F4149" s="1411" t="s">
        <v>65</v>
      </c>
      <c r="G4149" s="1412">
        <v>20.329999999999998</v>
      </c>
      <c r="H4149" s="1413">
        <f>ROUNDDOWN(G4149*E4149,2)</f>
        <v>2.84</v>
      </c>
      <c r="I4149" s="1642"/>
      <c r="J4149" s="1797"/>
      <c r="K4149" s="1797"/>
      <c r="L4149" s="1784"/>
      <c r="M4149" s="1785"/>
    </row>
    <row r="4150" spans="1:13" s="156" customFormat="1" ht="30" x14ac:dyDescent="0.2">
      <c r="A4150" s="2144">
        <v>88316</v>
      </c>
      <c r="B4150" s="2144"/>
      <c r="C4150" s="1401" t="s">
        <v>4448</v>
      </c>
      <c r="D4150" s="182" t="s">
        <v>64</v>
      </c>
      <c r="E4150" s="1410">
        <v>0.14000000000000001</v>
      </c>
      <c r="F4150" s="1411" t="s">
        <v>65</v>
      </c>
      <c r="G4150" s="1412">
        <v>15.08</v>
      </c>
      <c r="H4150" s="1413">
        <f>ROUNDDOWN(G4150*E4150,2)</f>
        <v>2.11</v>
      </c>
      <c r="I4150" s="1642"/>
      <c r="J4150" s="1797"/>
      <c r="K4150" s="1797"/>
      <c r="L4150" s="1784"/>
      <c r="M4150" s="1785"/>
    </row>
    <row r="4151" spans="1:13" s="1517" customFormat="1" x14ac:dyDescent="0.25">
      <c r="A4151" s="179"/>
      <c r="B4151" s="179"/>
      <c r="C4151" s="1414"/>
      <c r="D4151" s="2141" t="s">
        <v>124</v>
      </c>
      <c r="E4151" s="2141"/>
      <c r="F4151" s="2141"/>
      <c r="G4151" s="2141"/>
      <c r="H4151" s="267">
        <f>SUMIF(F4148:F4150,("h"),H4148:H4150)</f>
        <v>4.9499999999999993</v>
      </c>
      <c r="I4151" s="1830"/>
      <c r="J4151" s="1795"/>
      <c r="K4151" s="1795"/>
      <c r="L4151" s="169"/>
      <c r="M4151" s="1783"/>
    </row>
    <row r="4152" spans="1:13" s="1517" customFormat="1" x14ac:dyDescent="0.25">
      <c r="A4152" s="179"/>
      <c r="B4152" s="179"/>
      <c r="C4152" s="1414"/>
      <c r="D4152" s="2141" t="s">
        <v>125</v>
      </c>
      <c r="E4152" s="2141"/>
      <c r="F4152" s="2141"/>
      <c r="G4152" s="2141"/>
      <c r="H4152" s="267">
        <f>SUMIF(F4148:F4150,"&lt;&gt;h",H4148:H4150)</f>
        <v>7.9</v>
      </c>
      <c r="I4152" s="1830"/>
      <c r="J4152" s="1795"/>
      <c r="K4152" s="1795"/>
      <c r="L4152" s="169"/>
      <c r="M4152" s="1783"/>
    </row>
    <row r="4153" spans="1:13" s="1517" customFormat="1" x14ac:dyDescent="0.25">
      <c r="A4153" s="179"/>
      <c r="B4153" s="179"/>
      <c r="C4153" s="1414"/>
      <c r="D4153" s="2142" t="s">
        <v>126</v>
      </c>
      <c r="E4153" s="2142"/>
      <c r="F4153" s="2142"/>
      <c r="G4153" s="2142"/>
      <c r="H4153" s="1415">
        <f>SUM(H4151:H4152)</f>
        <v>12.85</v>
      </c>
      <c r="I4153" s="1830"/>
      <c r="J4153" s="1795"/>
      <c r="K4153" s="1795"/>
      <c r="L4153" s="169"/>
      <c r="M4153" s="1783"/>
    </row>
    <row r="4154" spans="1:13" s="1517" customFormat="1" x14ac:dyDescent="0.25">
      <c r="A4154" s="179"/>
      <c r="B4154" s="179"/>
      <c r="C4154" s="1414"/>
      <c r="D4154" s="2141" t="s">
        <v>28</v>
      </c>
      <c r="E4154" s="2141"/>
      <c r="F4154" s="2141"/>
      <c r="G4154" s="2141"/>
      <c r="H4154" s="269">
        <f>E4147</f>
        <v>50</v>
      </c>
      <c r="I4154" s="1830"/>
      <c r="J4154" s="1795"/>
      <c r="K4154" s="1795"/>
      <c r="L4154" s="169"/>
      <c r="M4154" s="1783"/>
    </row>
    <row r="4155" spans="1:13" s="1517" customFormat="1" x14ac:dyDescent="0.25">
      <c r="A4155" s="179"/>
      <c r="B4155" s="179"/>
      <c r="C4155" s="1414"/>
      <c r="D4155" s="2142" t="s">
        <v>127</v>
      </c>
      <c r="E4155" s="2142"/>
      <c r="F4155" s="2142"/>
      <c r="G4155" s="2142"/>
      <c r="H4155" s="1415">
        <f>ROUND(H4153*H4154,2)</f>
        <v>642.5</v>
      </c>
      <c r="I4155" s="1830"/>
      <c r="J4155" s="1795"/>
      <c r="K4155" s="1795"/>
      <c r="L4155" s="169"/>
      <c r="M4155" s="1783"/>
    </row>
    <row r="4156" spans="1:13" s="1517" customFormat="1" x14ac:dyDescent="0.25">
      <c r="A4156" s="179"/>
      <c r="B4156" s="179"/>
      <c r="C4156" s="1531"/>
      <c r="D4156" s="2141" t="s">
        <v>15335</v>
      </c>
      <c r="E4156" s="2141"/>
      <c r="F4156" s="2141"/>
      <c r="G4156" s="2141"/>
      <c r="H4156" s="267">
        <f>ROUND(H4153*$B$13,2)</f>
        <v>3.46</v>
      </c>
      <c r="I4156" s="1830"/>
      <c r="J4156" s="1795"/>
      <c r="K4156" s="1795"/>
      <c r="L4156" s="169"/>
      <c r="M4156" s="1783"/>
    </row>
    <row r="4157" spans="1:13" x14ac:dyDescent="0.25">
      <c r="A4157" s="179"/>
      <c r="B4157" s="179"/>
      <c r="C4157" s="1531"/>
      <c r="D4157" s="2142" t="s">
        <v>7898</v>
      </c>
      <c r="E4157" s="2142"/>
      <c r="F4157" s="2142"/>
      <c r="G4157" s="2142"/>
      <c r="H4157" s="1532">
        <f>H4156+H4153</f>
        <v>16.309999999999999</v>
      </c>
    </row>
    <row r="4158" spans="1:13" x14ac:dyDescent="0.25">
      <c r="A4158" s="1400"/>
      <c r="B4158" s="1400"/>
      <c r="C4158" s="1400"/>
      <c r="F4158" s="1416"/>
      <c r="G4158" s="1417"/>
      <c r="H4158" s="1400"/>
    </row>
    <row r="4159" spans="1:13" s="1517" customFormat="1" x14ac:dyDescent="0.25">
      <c r="A4159" s="146" t="s">
        <v>6</v>
      </c>
      <c r="B4159" s="2143" t="s">
        <v>7</v>
      </c>
      <c r="C4159" s="2143"/>
      <c r="D4159" s="1422" t="s">
        <v>121</v>
      </c>
      <c r="E4159" s="278" t="s">
        <v>5282</v>
      </c>
      <c r="F4159" s="1422" t="s">
        <v>31</v>
      </c>
      <c r="G4159" s="1423" t="s">
        <v>122</v>
      </c>
      <c r="H4159" s="1424" t="s">
        <v>123</v>
      </c>
      <c r="I4159" s="1830"/>
      <c r="J4159" s="1795"/>
      <c r="K4159" s="1795"/>
      <c r="L4159" s="169"/>
      <c r="M4159" s="1783"/>
    </row>
    <row r="4160" spans="1:13" s="1526" customFormat="1" ht="30" x14ac:dyDescent="0.2">
      <c r="A4160" s="1425" t="str">
        <f>'Orç - Prédio'!A687</f>
        <v>06.07.502</v>
      </c>
      <c r="B4160" s="1425" t="str">
        <f>'Orç - Prédio'!B687</f>
        <v>ORSE</v>
      </c>
      <c r="C4160" s="1425">
        <f>'Orç - Prédio'!C687</f>
        <v>10332</v>
      </c>
      <c r="D4160" s="1426" t="s">
        <v>6277</v>
      </c>
      <c r="E4160" s="1427">
        <f>'Orç - Prédio'!E687</f>
        <v>23</v>
      </c>
      <c r="F4160" s="1427" t="s">
        <v>5284</v>
      </c>
      <c r="G4160" s="1428">
        <v>23.68</v>
      </c>
      <c r="H4160" s="1429">
        <f>H4166</f>
        <v>544.64</v>
      </c>
      <c r="I4160" s="1910" t="s">
        <v>14965</v>
      </c>
      <c r="J4160" s="1793"/>
      <c r="K4160" s="1793"/>
      <c r="L4160" s="141"/>
      <c r="M4160" s="1515"/>
    </row>
    <row r="4161" spans="1:13" s="156" customFormat="1" ht="30" x14ac:dyDescent="0.2">
      <c r="A4161" s="2145">
        <v>10322</v>
      </c>
      <c r="B4161" s="2145"/>
      <c r="C4161" s="1421" t="s">
        <v>5281</v>
      </c>
      <c r="D4161" s="1430" t="s">
        <v>8291</v>
      </c>
      <c r="E4161" s="1431">
        <v>1</v>
      </c>
      <c r="F4161" s="1432" t="s">
        <v>31</v>
      </c>
      <c r="G4161" s="367">
        <v>23.68</v>
      </c>
      <c r="H4161" s="1433">
        <f>ROUNDDOWN(G4161*E4161,2)</f>
        <v>23.68</v>
      </c>
      <c r="I4161" s="1642"/>
      <c r="J4161" s="1797"/>
      <c r="K4161" s="1797"/>
      <c r="L4161" s="1784"/>
      <c r="M4161" s="1785"/>
    </row>
    <row r="4162" spans="1:13" s="1517" customFormat="1" x14ac:dyDescent="0.25">
      <c r="A4162" s="179"/>
      <c r="B4162" s="179"/>
      <c r="C4162" s="1434"/>
      <c r="D4162" s="2141" t="s">
        <v>124</v>
      </c>
      <c r="E4162" s="2141"/>
      <c r="F4162" s="2141"/>
      <c r="G4162" s="2141"/>
      <c r="H4162" s="267">
        <f>SUMIF(F4161:F4161,("h"),H4161:H4161)</f>
        <v>0</v>
      </c>
      <c r="I4162" s="1830"/>
      <c r="J4162" s="1795"/>
      <c r="K4162" s="1795"/>
      <c r="L4162" s="169"/>
      <c r="M4162" s="1783"/>
    </row>
    <row r="4163" spans="1:13" s="1517" customFormat="1" x14ac:dyDescent="0.25">
      <c r="A4163" s="179"/>
      <c r="B4163" s="179"/>
      <c r="C4163" s="1434"/>
      <c r="D4163" s="2141" t="s">
        <v>125</v>
      </c>
      <c r="E4163" s="2141"/>
      <c r="F4163" s="2141"/>
      <c r="G4163" s="2141"/>
      <c r="H4163" s="267">
        <f>SUMIF(F4161:F4161,"&lt;&gt;h",H4161:H4161)</f>
        <v>23.68</v>
      </c>
      <c r="I4163" s="1830"/>
      <c r="J4163" s="1795"/>
      <c r="K4163" s="1795"/>
      <c r="L4163" s="169"/>
      <c r="M4163" s="1783"/>
    </row>
    <row r="4164" spans="1:13" s="1517" customFormat="1" x14ac:dyDescent="0.25">
      <c r="A4164" s="179"/>
      <c r="B4164" s="179"/>
      <c r="C4164" s="1434"/>
      <c r="D4164" s="2142" t="s">
        <v>126</v>
      </c>
      <c r="E4164" s="2142"/>
      <c r="F4164" s="2142"/>
      <c r="G4164" s="2142"/>
      <c r="H4164" s="1435">
        <f>SUM(H4162:H4163)</f>
        <v>23.68</v>
      </c>
      <c r="I4164" s="1830"/>
      <c r="J4164" s="1795"/>
      <c r="K4164" s="1795"/>
      <c r="L4164" s="169"/>
      <c r="M4164" s="1783"/>
    </row>
    <row r="4165" spans="1:13" s="1517" customFormat="1" x14ac:dyDescent="0.25">
      <c r="A4165" s="179"/>
      <c r="B4165" s="179"/>
      <c r="C4165" s="1434"/>
      <c r="D4165" s="2141" t="s">
        <v>28</v>
      </c>
      <c r="E4165" s="2141"/>
      <c r="F4165" s="2141"/>
      <c r="G4165" s="2141"/>
      <c r="H4165" s="269">
        <f>E4160</f>
        <v>23</v>
      </c>
      <c r="I4165" s="1830"/>
      <c r="J4165" s="1795"/>
      <c r="K4165" s="1795"/>
      <c r="L4165" s="169"/>
      <c r="M4165" s="1783"/>
    </row>
    <row r="4166" spans="1:13" s="1517" customFormat="1" x14ac:dyDescent="0.25">
      <c r="A4166" s="179"/>
      <c r="B4166" s="179"/>
      <c r="C4166" s="1434"/>
      <c r="D4166" s="2142" t="s">
        <v>127</v>
      </c>
      <c r="E4166" s="2142"/>
      <c r="F4166" s="2142"/>
      <c r="G4166" s="2142"/>
      <c r="H4166" s="1435">
        <f>ROUND(H4164*H4165,2)</f>
        <v>544.64</v>
      </c>
      <c r="I4166" s="1830"/>
      <c r="J4166" s="1795"/>
      <c r="K4166" s="1795"/>
      <c r="L4166" s="169"/>
      <c r="M4166" s="1783"/>
    </row>
    <row r="4167" spans="1:13" s="1517" customFormat="1" x14ac:dyDescent="0.25">
      <c r="A4167" s="179"/>
      <c r="B4167" s="179"/>
      <c r="C4167" s="1531"/>
      <c r="D4167" s="2141" t="s">
        <v>15335</v>
      </c>
      <c r="E4167" s="2141"/>
      <c r="F4167" s="2141"/>
      <c r="G4167" s="2141"/>
      <c r="H4167" s="267">
        <f>ROUND(H4164*$B$13,2)</f>
        <v>6.38</v>
      </c>
      <c r="I4167" s="1830"/>
      <c r="J4167" s="1795"/>
      <c r="K4167" s="1795"/>
      <c r="L4167" s="169"/>
      <c r="M4167" s="1783"/>
    </row>
    <row r="4168" spans="1:13" x14ac:dyDescent="0.25">
      <c r="A4168" s="179"/>
      <c r="B4168" s="179"/>
      <c r="C4168" s="1531"/>
      <c r="D4168" s="2142" t="s">
        <v>7898</v>
      </c>
      <c r="E4168" s="2142"/>
      <c r="F4168" s="2142"/>
      <c r="G4168" s="2142"/>
      <c r="H4168" s="1532">
        <f>H4167+H4164</f>
        <v>30.06</v>
      </c>
    </row>
    <row r="4169" spans="1:13" x14ac:dyDescent="0.25">
      <c r="A4169" s="1420"/>
      <c r="B4169" s="1420"/>
      <c r="C4169" s="1420"/>
      <c r="F4169" s="1436"/>
      <c r="G4169" s="1437"/>
      <c r="H4169" s="1420"/>
    </row>
    <row r="4170" spans="1:13" s="1517" customFormat="1" x14ac:dyDescent="0.25">
      <c r="A4170" s="146" t="s">
        <v>6</v>
      </c>
      <c r="B4170" s="2143" t="s">
        <v>7</v>
      </c>
      <c r="C4170" s="2143"/>
      <c r="D4170" s="1441" t="s">
        <v>121</v>
      </c>
      <c r="E4170" s="278" t="s">
        <v>5282</v>
      </c>
      <c r="F4170" s="1441" t="s">
        <v>31</v>
      </c>
      <c r="G4170" s="1442" t="s">
        <v>122</v>
      </c>
      <c r="H4170" s="1443" t="s">
        <v>123</v>
      </c>
      <c r="I4170" s="1830"/>
      <c r="J4170" s="1795"/>
      <c r="K4170" s="1795"/>
      <c r="L4170" s="169"/>
      <c r="M4170" s="1783"/>
    </row>
    <row r="4171" spans="1:13" s="1526" customFormat="1" ht="30" x14ac:dyDescent="0.2">
      <c r="A4171" s="1444" t="str">
        <f>'Orç - Prédio'!A692</f>
        <v>06.09.002.01</v>
      </c>
      <c r="B4171" s="1278" t="str">
        <f>'Orç - Prédio'!B693</f>
        <v>ORSE</v>
      </c>
      <c r="C4171" s="1456">
        <f>'Orç - Prédio'!C693</f>
        <v>10727</v>
      </c>
      <c r="D4171" s="1457" t="s">
        <v>6281</v>
      </c>
      <c r="E4171" s="1445">
        <f>'Orç - Prédio'!E693</f>
        <v>4</v>
      </c>
      <c r="F4171" s="1456" t="s">
        <v>5284</v>
      </c>
      <c r="G4171" s="1446">
        <v>302.46000000000004</v>
      </c>
      <c r="H4171" s="1447">
        <f>H4179</f>
        <v>1209.8399999999999</v>
      </c>
      <c r="I4171" s="1910" t="s">
        <v>14965</v>
      </c>
      <c r="J4171" s="1793"/>
      <c r="K4171" s="1793"/>
      <c r="L4171" s="141"/>
      <c r="M4171" s="1515"/>
    </row>
    <row r="4172" spans="1:13" s="156" customFormat="1" x14ac:dyDescent="0.2">
      <c r="A4172" s="2145">
        <v>11482</v>
      </c>
      <c r="B4172" s="2145"/>
      <c r="C4172" s="1440" t="s">
        <v>5281</v>
      </c>
      <c r="D4172" s="1469" t="s">
        <v>6287</v>
      </c>
      <c r="E4172" s="1448">
        <v>1</v>
      </c>
      <c r="F4172" s="1449" t="s">
        <v>31</v>
      </c>
      <c r="G4172" s="367">
        <v>266.11</v>
      </c>
      <c r="H4172" s="1451">
        <f>ROUNDDOWN(G4172*E4172,2)</f>
        <v>266.11</v>
      </c>
      <c r="I4172" s="1642"/>
      <c r="J4172" s="1797"/>
      <c r="K4172" s="1797"/>
      <c r="L4172" s="1784"/>
      <c r="M4172" s="1785"/>
    </row>
    <row r="4173" spans="1:13" s="156" customFormat="1" ht="30" x14ac:dyDescent="0.2">
      <c r="A4173" s="2144">
        <v>88264</v>
      </c>
      <c r="B4173" s="2144"/>
      <c r="C4173" s="1459" t="s">
        <v>4448</v>
      </c>
      <c r="D4173" s="182" t="s">
        <v>81</v>
      </c>
      <c r="E4173" s="1470">
        <v>1</v>
      </c>
      <c r="F4173" s="1471" t="s">
        <v>65</v>
      </c>
      <c r="G4173" s="1472">
        <v>20.329999999999998</v>
      </c>
      <c r="H4173" s="1473">
        <f>ROUNDDOWN(G4173*E4173,2)</f>
        <v>20.329999999999998</v>
      </c>
      <c r="I4173" s="1642"/>
      <c r="J4173" s="1797"/>
      <c r="K4173" s="1797"/>
      <c r="L4173" s="1784"/>
      <c r="M4173" s="1785"/>
    </row>
    <row r="4174" spans="1:13" s="156" customFormat="1" ht="30" x14ac:dyDescent="0.2">
      <c r="A4174" s="2144">
        <v>88247</v>
      </c>
      <c r="B4174" s="2144"/>
      <c r="C4174" s="1439" t="s">
        <v>4448</v>
      </c>
      <c r="D4174" s="182" t="s">
        <v>71</v>
      </c>
      <c r="E4174" s="1448">
        <v>1</v>
      </c>
      <c r="F4174" s="1449" t="s">
        <v>65</v>
      </c>
      <c r="G4174" s="1450">
        <v>16.02</v>
      </c>
      <c r="H4174" s="1451">
        <f>ROUNDDOWN(G4174*E4174,2)</f>
        <v>16.02</v>
      </c>
      <c r="I4174" s="1642"/>
      <c r="J4174" s="1797"/>
      <c r="K4174" s="1797"/>
      <c r="L4174" s="1784"/>
      <c r="M4174" s="1785"/>
    </row>
    <row r="4175" spans="1:13" s="1517" customFormat="1" x14ac:dyDescent="0.25">
      <c r="A4175" s="179"/>
      <c r="B4175" s="179"/>
      <c r="C4175" s="1452"/>
      <c r="D4175" s="2141" t="s">
        <v>124</v>
      </c>
      <c r="E4175" s="2141"/>
      <c r="F4175" s="2141"/>
      <c r="G4175" s="2141"/>
      <c r="H4175" s="267">
        <f>SUMIF(F4172:F4174,("h"),H4172:H4174)</f>
        <v>36.349999999999994</v>
      </c>
      <c r="I4175" s="1830"/>
      <c r="J4175" s="1795"/>
      <c r="K4175" s="1795"/>
      <c r="L4175" s="169"/>
      <c r="M4175" s="1783"/>
    </row>
    <row r="4176" spans="1:13" s="1517" customFormat="1" x14ac:dyDescent="0.25">
      <c r="A4176" s="179"/>
      <c r="B4176" s="179"/>
      <c r="C4176" s="1452"/>
      <c r="D4176" s="2141" t="s">
        <v>125</v>
      </c>
      <c r="E4176" s="2141"/>
      <c r="F4176" s="2141"/>
      <c r="G4176" s="2141"/>
      <c r="H4176" s="267">
        <f>SUMIF(F4172:F4174,"&lt;&gt;h",H4172:H4174)</f>
        <v>266.11</v>
      </c>
      <c r="I4176" s="1830"/>
      <c r="J4176" s="1795"/>
      <c r="K4176" s="1795"/>
      <c r="L4176" s="169"/>
      <c r="M4176" s="1783"/>
    </row>
    <row r="4177" spans="1:13" s="1517" customFormat="1" x14ac:dyDescent="0.25">
      <c r="A4177" s="179"/>
      <c r="B4177" s="179"/>
      <c r="C4177" s="1452"/>
      <c r="D4177" s="2142" t="s">
        <v>126</v>
      </c>
      <c r="E4177" s="2142"/>
      <c r="F4177" s="2142"/>
      <c r="G4177" s="2142"/>
      <c r="H4177" s="1453">
        <f>SUM(H4175:H4176)</f>
        <v>302.46000000000004</v>
      </c>
      <c r="I4177" s="1830"/>
      <c r="J4177" s="1795"/>
      <c r="K4177" s="1795"/>
      <c r="L4177" s="169"/>
      <c r="M4177" s="1783"/>
    </row>
    <row r="4178" spans="1:13" s="1517" customFormat="1" x14ac:dyDescent="0.25">
      <c r="A4178" s="179"/>
      <c r="B4178" s="179"/>
      <c r="C4178" s="1452"/>
      <c r="D4178" s="2141" t="s">
        <v>28</v>
      </c>
      <c r="E4178" s="2141"/>
      <c r="F4178" s="2141"/>
      <c r="G4178" s="2141"/>
      <c r="H4178" s="269">
        <f>E4171</f>
        <v>4</v>
      </c>
      <c r="I4178" s="1830"/>
      <c r="J4178" s="1795"/>
      <c r="K4178" s="1795"/>
      <c r="L4178" s="169"/>
      <c r="M4178" s="1783"/>
    </row>
    <row r="4179" spans="1:13" s="1517" customFormat="1" x14ac:dyDescent="0.25">
      <c r="A4179" s="179"/>
      <c r="B4179" s="179"/>
      <c r="C4179" s="1452"/>
      <c r="D4179" s="2142" t="s">
        <v>127</v>
      </c>
      <c r="E4179" s="2142"/>
      <c r="F4179" s="2142"/>
      <c r="G4179" s="2142"/>
      <c r="H4179" s="1453">
        <f>ROUND(H4177*H4178,2)</f>
        <v>1209.8399999999999</v>
      </c>
      <c r="I4179" s="1830"/>
      <c r="J4179" s="1795"/>
      <c r="K4179" s="1795"/>
      <c r="L4179" s="169"/>
      <c r="M4179" s="1783"/>
    </row>
    <row r="4180" spans="1:13" s="1517" customFormat="1" x14ac:dyDescent="0.25">
      <c r="A4180" s="179"/>
      <c r="B4180" s="179"/>
      <c r="C4180" s="1531"/>
      <c r="D4180" s="2141" t="s">
        <v>15335</v>
      </c>
      <c r="E4180" s="2141"/>
      <c r="F4180" s="2141"/>
      <c r="G4180" s="2141"/>
      <c r="H4180" s="267">
        <f>ROUND(H4177*$B$13,2)</f>
        <v>81.45</v>
      </c>
      <c r="I4180" s="1830"/>
      <c r="J4180" s="1795"/>
      <c r="K4180" s="1795"/>
      <c r="L4180" s="169"/>
      <c r="M4180" s="1783"/>
    </row>
    <row r="4181" spans="1:13" x14ac:dyDescent="0.25">
      <c r="A4181" s="179"/>
      <c r="B4181" s="179"/>
      <c r="C4181" s="1531"/>
      <c r="D4181" s="2142" t="s">
        <v>7898</v>
      </c>
      <c r="E4181" s="2142"/>
      <c r="F4181" s="2142"/>
      <c r="G4181" s="2142"/>
      <c r="H4181" s="1532">
        <f>H4180+H4177</f>
        <v>383.91</v>
      </c>
    </row>
    <row r="4182" spans="1:13" x14ac:dyDescent="0.25">
      <c r="A4182" s="1438"/>
      <c r="B4182" s="1438"/>
      <c r="C4182" s="1438"/>
      <c r="F4182" s="1454"/>
      <c r="G4182" s="1455"/>
      <c r="H4182" s="1438"/>
    </row>
    <row r="4183" spans="1:13" s="1517" customFormat="1" x14ac:dyDescent="0.25">
      <c r="A4183" s="146" t="s">
        <v>6</v>
      </c>
      <c r="B4183" s="2143" t="s">
        <v>7</v>
      </c>
      <c r="C4183" s="2143"/>
      <c r="D4183" s="1461" t="s">
        <v>121</v>
      </c>
      <c r="E4183" s="278" t="s">
        <v>5282</v>
      </c>
      <c r="F4183" s="1461" t="s">
        <v>31</v>
      </c>
      <c r="G4183" s="1462" t="s">
        <v>122</v>
      </c>
      <c r="H4183" s="1463" t="s">
        <v>123</v>
      </c>
      <c r="I4183" s="1830"/>
      <c r="J4183" s="1795"/>
      <c r="K4183" s="1795"/>
      <c r="L4183" s="169"/>
      <c r="M4183" s="1783"/>
    </row>
    <row r="4184" spans="1:13" s="1526" customFormat="1" ht="165" x14ac:dyDescent="0.2">
      <c r="A4184" s="1464" t="str">
        <f>'Orç - Prédio'!A694</f>
        <v>06.09.002.03</v>
      </c>
      <c r="B4184" s="1478" t="str">
        <f>'Orç - Prédio'!B694</f>
        <v>ORSE</v>
      </c>
      <c r="C4184" s="1478">
        <f>'Orç - Prédio'!C694</f>
        <v>12781</v>
      </c>
      <c r="D4184" s="1479" t="s">
        <v>6282</v>
      </c>
      <c r="E4184" s="1466">
        <f>'Orç - Prédio'!E694</f>
        <v>2</v>
      </c>
      <c r="F4184" s="1478" t="s">
        <v>5284</v>
      </c>
      <c r="G4184" s="1467">
        <v>2697.6499999999996</v>
      </c>
      <c r="H4184" s="1468">
        <f>H4195</f>
        <v>5395.3</v>
      </c>
      <c r="I4184" s="1910" t="s">
        <v>14965</v>
      </c>
      <c r="J4184" s="1793"/>
      <c r="K4184" s="1793"/>
      <c r="L4184" s="141"/>
      <c r="M4184" s="1515"/>
    </row>
    <row r="4185" spans="1:13" s="156" customFormat="1" x14ac:dyDescent="0.2">
      <c r="A4185" s="2146">
        <v>1688</v>
      </c>
      <c r="B4185" s="2146"/>
      <c r="C4185" s="1460" t="s">
        <v>5281</v>
      </c>
      <c r="D4185" s="1469" t="s">
        <v>9569</v>
      </c>
      <c r="E4185" s="1470">
        <v>80</v>
      </c>
      <c r="F4185" s="1471" t="s">
        <v>31</v>
      </c>
      <c r="G4185" s="367">
        <v>0.81</v>
      </c>
      <c r="H4185" s="1473">
        <f t="shared" ref="H4185:H4190" si="169">ROUNDDOWN(G4185*E4185,2)</f>
        <v>64.8</v>
      </c>
      <c r="I4185" s="1642"/>
      <c r="J4185" s="1797"/>
      <c r="K4185" s="1797"/>
      <c r="L4185" s="1784"/>
      <c r="M4185" s="1785"/>
    </row>
    <row r="4186" spans="1:13" s="1859" customFormat="1" x14ac:dyDescent="0.2">
      <c r="A4186" s="2146">
        <v>1890</v>
      </c>
      <c r="B4186" s="2146"/>
      <c r="C4186" s="1496" t="s">
        <v>5281</v>
      </c>
      <c r="D4186" s="1497" t="s">
        <v>9570</v>
      </c>
      <c r="E4186" s="1864">
        <v>200</v>
      </c>
      <c r="F4186" s="1918" t="s">
        <v>31</v>
      </c>
      <c r="G4186" s="367">
        <v>0.15</v>
      </c>
      <c r="H4186" s="1857">
        <f t="shared" si="169"/>
        <v>30</v>
      </c>
      <c r="I4186" s="1856"/>
      <c r="J4186" s="1797"/>
      <c r="K4186" s="1797"/>
      <c r="L4186" s="1784"/>
      <c r="M4186" s="1785"/>
    </row>
    <row r="4187" spans="1:13" s="1859" customFormat="1" x14ac:dyDescent="0.2">
      <c r="A4187" s="2146">
        <v>6766</v>
      </c>
      <c r="B4187" s="2146"/>
      <c r="C4187" s="1496" t="s">
        <v>5281</v>
      </c>
      <c r="D4187" s="1497" t="s">
        <v>9571</v>
      </c>
      <c r="E4187" s="1864">
        <v>1</v>
      </c>
      <c r="F4187" s="1918" t="s">
        <v>31</v>
      </c>
      <c r="G4187" s="367">
        <v>21.15</v>
      </c>
      <c r="H4187" s="1857">
        <f t="shared" si="169"/>
        <v>21.15</v>
      </c>
      <c r="I4187" s="1856"/>
      <c r="J4187" s="1797"/>
      <c r="K4187" s="1797"/>
      <c r="L4187" s="1784"/>
      <c r="M4187" s="1785"/>
    </row>
    <row r="4188" spans="1:13" s="1859" customFormat="1" x14ac:dyDescent="0.2">
      <c r="A4188" s="2146">
        <v>13509</v>
      </c>
      <c r="B4188" s="2146"/>
      <c r="C4188" s="1496" t="s">
        <v>5281</v>
      </c>
      <c r="D4188" s="1497" t="s">
        <v>9572</v>
      </c>
      <c r="E4188" s="1864">
        <v>1</v>
      </c>
      <c r="F4188" s="1918" t="s">
        <v>31</v>
      </c>
      <c r="G4188" s="367">
        <v>2509</v>
      </c>
      <c r="H4188" s="1857">
        <f t="shared" si="169"/>
        <v>2509</v>
      </c>
      <c r="I4188" s="1856"/>
      <c r="J4188" s="1797"/>
      <c r="K4188" s="1797"/>
      <c r="L4188" s="1784"/>
      <c r="M4188" s="1785"/>
    </row>
    <row r="4189" spans="1:13" s="156" customFormat="1" ht="30" x14ac:dyDescent="0.2">
      <c r="A4189" s="2144">
        <v>88264</v>
      </c>
      <c r="B4189" s="2144"/>
      <c r="C4189" s="1459" t="s">
        <v>4448</v>
      </c>
      <c r="D4189" s="182" t="s">
        <v>81</v>
      </c>
      <c r="E4189" s="1470">
        <v>2</v>
      </c>
      <c r="F4189" s="1471" t="s">
        <v>65</v>
      </c>
      <c r="G4189" s="367">
        <v>20.329999999999998</v>
      </c>
      <c r="H4189" s="1473">
        <f t="shared" si="169"/>
        <v>40.659999999999997</v>
      </c>
      <c r="I4189" s="1642"/>
      <c r="J4189" s="1797"/>
      <c r="K4189" s="1797"/>
      <c r="L4189" s="1784"/>
      <c r="M4189" s="1785"/>
    </row>
    <row r="4190" spans="1:13" s="156" customFormat="1" ht="30" x14ac:dyDescent="0.2">
      <c r="A4190" s="2144">
        <v>88247</v>
      </c>
      <c r="B4190" s="2144"/>
      <c r="C4190" s="1459" t="s">
        <v>4448</v>
      </c>
      <c r="D4190" s="182" t="s">
        <v>71</v>
      </c>
      <c r="E4190" s="1470">
        <v>2</v>
      </c>
      <c r="F4190" s="1471" t="s">
        <v>65</v>
      </c>
      <c r="G4190" s="1472">
        <v>16.02</v>
      </c>
      <c r="H4190" s="1473">
        <f t="shared" si="169"/>
        <v>32.04</v>
      </c>
      <c r="I4190" s="1642"/>
      <c r="J4190" s="1797"/>
      <c r="K4190" s="1797"/>
      <c r="L4190" s="1784"/>
      <c r="M4190" s="1785"/>
    </row>
    <row r="4191" spans="1:13" s="1517" customFormat="1" x14ac:dyDescent="0.25">
      <c r="A4191" s="179"/>
      <c r="B4191" s="179"/>
      <c r="C4191" s="1474"/>
      <c r="D4191" s="2141" t="s">
        <v>124</v>
      </c>
      <c r="E4191" s="2141"/>
      <c r="F4191" s="2141"/>
      <c r="G4191" s="2141"/>
      <c r="H4191" s="267">
        <f>SUMIF(F4185:F4190,("h"),H4185:H4190)</f>
        <v>72.699999999999989</v>
      </c>
      <c r="I4191" s="1830"/>
      <c r="J4191" s="1795"/>
      <c r="K4191" s="1795"/>
      <c r="L4191" s="169"/>
      <c r="M4191" s="1783"/>
    </row>
    <row r="4192" spans="1:13" s="1517" customFormat="1" x14ac:dyDescent="0.25">
      <c r="A4192" s="179"/>
      <c r="B4192" s="179"/>
      <c r="C4192" s="1474"/>
      <c r="D4192" s="2141" t="s">
        <v>125</v>
      </c>
      <c r="E4192" s="2141"/>
      <c r="F4192" s="2141"/>
      <c r="G4192" s="2141"/>
      <c r="H4192" s="267">
        <f>SUMIF(F4185:F4190,"&lt;&gt;h",H4185:H4190)</f>
        <v>2624.95</v>
      </c>
      <c r="I4192" s="1830"/>
      <c r="J4192" s="1795"/>
      <c r="K4192" s="1795"/>
      <c r="L4192" s="169"/>
      <c r="M4192" s="1783"/>
    </row>
    <row r="4193" spans="1:13" s="1517" customFormat="1" x14ac:dyDescent="0.25">
      <c r="A4193" s="179"/>
      <c r="B4193" s="179"/>
      <c r="C4193" s="1474"/>
      <c r="D4193" s="2142" t="s">
        <v>126</v>
      </c>
      <c r="E4193" s="2142"/>
      <c r="F4193" s="2142"/>
      <c r="G4193" s="2142"/>
      <c r="H4193" s="1475">
        <f>SUM(H4191:H4192)</f>
        <v>2697.6499999999996</v>
      </c>
      <c r="I4193" s="1830"/>
      <c r="J4193" s="1795"/>
      <c r="K4193" s="1795"/>
      <c r="L4193" s="169"/>
      <c r="M4193" s="1783"/>
    </row>
    <row r="4194" spans="1:13" s="1517" customFormat="1" x14ac:dyDescent="0.25">
      <c r="A4194" s="179"/>
      <c r="B4194" s="179"/>
      <c r="C4194" s="1474"/>
      <c r="D4194" s="2141" t="s">
        <v>28</v>
      </c>
      <c r="E4194" s="2141"/>
      <c r="F4194" s="2141"/>
      <c r="G4194" s="2141"/>
      <c r="H4194" s="269">
        <f>E4184</f>
        <v>2</v>
      </c>
      <c r="I4194" s="1830"/>
      <c r="J4194" s="1795"/>
      <c r="K4194" s="1795"/>
      <c r="L4194" s="169"/>
      <c r="M4194" s="1783"/>
    </row>
    <row r="4195" spans="1:13" s="1517" customFormat="1" x14ac:dyDescent="0.25">
      <c r="A4195" s="179"/>
      <c r="B4195" s="179"/>
      <c r="C4195" s="1474"/>
      <c r="D4195" s="2142" t="s">
        <v>127</v>
      </c>
      <c r="E4195" s="2142"/>
      <c r="F4195" s="2142"/>
      <c r="G4195" s="2142"/>
      <c r="H4195" s="1475">
        <f>ROUND(H4193*H4194,2)</f>
        <v>5395.3</v>
      </c>
      <c r="I4195" s="1830"/>
      <c r="J4195" s="1795"/>
      <c r="K4195" s="1795"/>
      <c r="L4195" s="169"/>
      <c r="M4195" s="1783"/>
    </row>
    <row r="4196" spans="1:13" s="1517" customFormat="1" x14ac:dyDescent="0.25">
      <c r="A4196" s="179"/>
      <c r="B4196" s="179"/>
      <c r="C4196" s="1531"/>
      <c r="D4196" s="2141" t="s">
        <v>15335</v>
      </c>
      <c r="E4196" s="2141"/>
      <c r="F4196" s="2141"/>
      <c r="G4196" s="2141"/>
      <c r="H4196" s="267">
        <f>ROUND(H4193*$B$13,2)</f>
        <v>726.48</v>
      </c>
      <c r="I4196" s="1830"/>
      <c r="J4196" s="1795"/>
      <c r="K4196" s="1795"/>
      <c r="L4196" s="169"/>
      <c r="M4196" s="1783"/>
    </row>
    <row r="4197" spans="1:13" x14ac:dyDescent="0.25">
      <c r="A4197" s="179"/>
      <c r="B4197" s="179"/>
      <c r="C4197" s="1531"/>
      <c r="D4197" s="2142" t="s">
        <v>7898</v>
      </c>
      <c r="E4197" s="2142"/>
      <c r="F4197" s="2142"/>
      <c r="G4197" s="2142"/>
      <c r="H4197" s="1532">
        <f>H4196+H4193</f>
        <v>3424.1299999999997</v>
      </c>
    </row>
    <row r="4198" spans="1:13" x14ac:dyDescent="0.25">
      <c r="A4198" s="1458"/>
      <c r="B4198" s="1458"/>
      <c r="C4198" s="1458"/>
      <c r="F4198" s="1476"/>
      <c r="G4198" s="1477"/>
      <c r="H4198" s="1458"/>
    </row>
    <row r="4199" spans="1:13" s="1517" customFormat="1" x14ac:dyDescent="0.25">
      <c r="A4199" s="146" t="s">
        <v>6</v>
      </c>
      <c r="B4199" s="2143" t="s">
        <v>7</v>
      </c>
      <c r="C4199" s="2143"/>
      <c r="D4199" s="1461" t="s">
        <v>121</v>
      </c>
      <c r="E4199" s="278" t="s">
        <v>5282</v>
      </c>
      <c r="F4199" s="1461" t="s">
        <v>31</v>
      </c>
      <c r="G4199" s="1462" t="s">
        <v>122</v>
      </c>
      <c r="H4199" s="1463" t="s">
        <v>123</v>
      </c>
      <c r="I4199" s="1830"/>
      <c r="J4199" s="1795"/>
      <c r="K4199" s="1795"/>
      <c r="L4199" s="169"/>
      <c r="M4199" s="1783"/>
    </row>
    <row r="4200" spans="1:13" s="1526" customFormat="1" ht="30" x14ac:dyDescent="0.2">
      <c r="A4200" s="1464" t="str">
        <f>'Orç - Prédio'!A697</f>
        <v>06.09.004</v>
      </c>
      <c r="B4200" s="1464" t="str">
        <f>'Orç - Prédio'!B697</f>
        <v>SINAPI</v>
      </c>
      <c r="C4200" s="1464" t="str">
        <f>'Orç - Prédio'!C697</f>
        <v>98402 MOD</v>
      </c>
      <c r="D4200" s="1465" t="s">
        <v>6283</v>
      </c>
      <c r="E4200" s="1466">
        <f>'Orç - Prédio'!E697</f>
        <v>356.43</v>
      </c>
      <c r="F4200" s="1464" t="s">
        <v>5713</v>
      </c>
      <c r="G4200" s="1467">
        <v>25.479999999999997</v>
      </c>
      <c r="H4200" s="1468">
        <f>H4208</f>
        <v>9081.84</v>
      </c>
      <c r="I4200" s="1910" t="s">
        <v>14965</v>
      </c>
      <c r="J4200" s="1793"/>
      <c r="K4200" s="1793"/>
      <c r="L4200" s="141"/>
      <c r="M4200" s="1515"/>
    </row>
    <row r="4201" spans="1:13" s="156" customFormat="1" x14ac:dyDescent="0.2">
      <c r="A4201" s="2145">
        <v>8886</v>
      </c>
      <c r="B4201" s="2145"/>
      <c r="C4201" s="1460" t="s">
        <v>5281</v>
      </c>
      <c r="D4201" s="1469" t="s">
        <v>6290</v>
      </c>
      <c r="E4201" s="1470">
        <v>1</v>
      </c>
      <c r="F4201" s="1471" t="s">
        <v>136</v>
      </c>
      <c r="G4201" s="367">
        <v>21.33</v>
      </c>
      <c r="H4201" s="1473">
        <f>ROUNDDOWN(G4201*E4201,2)</f>
        <v>21.33</v>
      </c>
      <c r="I4201" s="1642"/>
      <c r="J4201" s="1797"/>
      <c r="K4201" s="1797"/>
      <c r="L4201" s="1784"/>
      <c r="M4201" s="1785"/>
    </row>
    <row r="4202" spans="1:13" s="156" customFormat="1" ht="30" x14ac:dyDescent="0.2">
      <c r="A4202" s="2144">
        <v>88247</v>
      </c>
      <c r="B4202" s="2144"/>
      <c r="C4202" s="1459" t="s">
        <v>4448</v>
      </c>
      <c r="D4202" s="182" t="s">
        <v>71</v>
      </c>
      <c r="E4202" s="1470">
        <v>0.1143</v>
      </c>
      <c r="F4202" s="1471" t="s">
        <v>65</v>
      </c>
      <c r="G4202" s="1472">
        <v>16.02</v>
      </c>
      <c r="H4202" s="1473">
        <f>ROUNDDOWN(G4202*E4202,2)</f>
        <v>1.83</v>
      </c>
      <c r="I4202" s="1642"/>
      <c r="J4202" s="1797"/>
      <c r="K4202" s="1797"/>
      <c r="L4202" s="1784"/>
      <c r="M4202" s="1785"/>
    </row>
    <row r="4203" spans="1:13" s="156" customFormat="1" ht="30" x14ac:dyDescent="0.2">
      <c r="A4203" s="2144">
        <v>88264</v>
      </c>
      <c r="B4203" s="2144"/>
      <c r="C4203" s="1459" t="s">
        <v>4448</v>
      </c>
      <c r="D4203" s="182" t="s">
        <v>81</v>
      </c>
      <c r="E4203" s="1470">
        <v>0.1143</v>
      </c>
      <c r="F4203" s="1471" t="s">
        <v>65</v>
      </c>
      <c r="G4203" s="1472">
        <v>20.329999999999998</v>
      </c>
      <c r="H4203" s="1473">
        <f>ROUNDDOWN(G4203*E4203,2)</f>
        <v>2.3199999999999998</v>
      </c>
      <c r="I4203" s="1642"/>
      <c r="J4203" s="1797"/>
      <c r="K4203" s="1797"/>
      <c r="L4203" s="1784"/>
      <c r="M4203" s="1785"/>
    </row>
    <row r="4204" spans="1:13" s="1517" customFormat="1" x14ac:dyDescent="0.25">
      <c r="A4204" s="179"/>
      <c r="B4204" s="179"/>
      <c r="C4204" s="1474"/>
      <c r="D4204" s="2141" t="s">
        <v>124</v>
      </c>
      <c r="E4204" s="2141"/>
      <c r="F4204" s="2141"/>
      <c r="G4204" s="2141"/>
      <c r="H4204" s="267">
        <f>SUMIF(F4201:F4203,("h"),H4201:H4203)</f>
        <v>4.1500000000000004</v>
      </c>
      <c r="I4204" s="1830"/>
      <c r="J4204" s="1795"/>
      <c r="K4204" s="1795"/>
      <c r="L4204" s="169"/>
      <c r="M4204" s="1783"/>
    </row>
    <row r="4205" spans="1:13" s="1517" customFormat="1" x14ac:dyDescent="0.25">
      <c r="A4205" s="179"/>
      <c r="B4205" s="179"/>
      <c r="C4205" s="1474"/>
      <c r="D4205" s="2141" t="s">
        <v>125</v>
      </c>
      <c r="E4205" s="2141"/>
      <c r="F4205" s="2141"/>
      <c r="G4205" s="2141"/>
      <c r="H4205" s="267">
        <f>SUMIF(F4201:F4203,"&lt;&gt;h",H4201:H4203)</f>
        <v>21.33</v>
      </c>
      <c r="I4205" s="1830"/>
      <c r="J4205" s="1795"/>
      <c r="K4205" s="1795"/>
      <c r="L4205" s="169"/>
      <c r="M4205" s="1783"/>
    </row>
    <row r="4206" spans="1:13" s="1517" customFormat="1" x14ac:dyDescent="0.25">
      <c r="A4206" s="179"/>
      <c r="B4206" s="179"/>
      <c r="C4206" s="1474"/>
      <c r="D4206" s="2142" t="s">
        <v>126</v>
      </c>
      <c r="E4206" s="2142"/>
      <c r="F4206" s="2142"/>
      <c r="G4206" s="2142"/>
      <c r="H4206" s="1475">
        <f>SUM(H4204:H4205)</f>
        <v>25.479999999999997</v>
      </c>
      <c r="I4206" s="1830"/>
      <c r="J4206" s="1795"/>
      <c r="K4206" s="1795"/>
      <c r="L4206" s="169"/>
      <c r="M4206" s="1783"/>
    </row>
    <row r="4207" spans="1:13" s="1517" customFormat="1" x14ac:dyDescent="0.25">
      <c r="A4207" s="179"/>
      <c r="B4207" s="179"/>
      <c r="C4207" s="1474"/>
      <c r="D4207" s="2141" t="s">
        <v>28</v>
      </c>
      <c r="E4207" s="2141"/>
      <c r="F4207" s="2141"/>
      <c r="G4207" s="2141"/>
      <c r="H4207" s="269">
        <f>E4200</f>
        <v>356.43</v>
      </c>
      <c r="I4207" s="1830"/>
      <c r="J4207" s="1795"/>
      <c r="K4207" s="1795"/>
      <c r="L4207" s="169"/>
      <c r="M4207" s="1783"/>
    </row>
    <row r="4208" spans="1:13" s="1517" customFormat="1" x14ac:dyDescent="0.25">
      <c r="A4208" s="179"/>
      <c r="B4208" s="179"/>
      <c r="C4208" s="1474"/>
      <c r="D4208" s="2142" t="s">
        <v>127</v>
      </c>
      <c r="E4208" s="2142"/>
      <c r="F4208" s="2142"/>
      <c r="G4208" s="2142"/>
      <c r="H4208" s="1475">
        <f>ROUND(H4206*H4207,2)</f>
        <v>9081.84</v>
      </c>
      <c r="I4208" s="1830"/>
      <c r="J4208" s="1795"/>
      <c r="K4208" s="1795"/>
      <c r="L4208" s="169"/>
      <c r="M4208" s="1783"/>
    </row>
    <row r="4209" spans="1:13" s="1517" customFormat="1" x14ac:dyDescent="0.25">
      <c r="A4209" s="179"/>
      <c r="B4209" s="179"/>
      <c r="C4209" s="1531"/>
      <c r="D4209" s="2141" t="s">
        <v>15335</v>
      </c>
      <c r="E4209" s="2141"/>
      <c r="F4209" s="2141"/>
      <c r="G4209" s="2141"/>
      <c r="H4209" s="267">
        <f>ROUND(H4206*$B$13,2)</f>
        <v>6.86</v>
      </c>
      <c r="I4209" s="1830"/>
      <c r="J4209" s="1795"/>
      <c r="K4209" s="1795"/>
      <c r="L4209" s="169"/>
      <c r="M4209" s="1783"/>
    </row>
    <row r="4210" spans="1:13" x14ac:dyDescent="0.25">
      <c r="A4210" s="179"/>
      <c r="B4210" s="179"/>
      <c r="C4210" s="1531"/>
      <c r="D4210" s="2142" t="s">
        <v>7898</v>
      </c>
      <c r="E4210" s="2142"/>
      <c r="F4210" s="2142"/>
      <c r="G4210" s="2142"/>
      <c r="H4210" s="1532">
        <f>H4209+H4206</f>
        <v>32.339999999999996</v>
      </c>
    </row>
    <row r="4211" spans="1:13" x14ac:dyDescent="0.25">
      <c r="A4211" s="1458"/>
      <c r="B4211" s="1458"/>
      <c r="C4211" s="1458"/>
      <c r="F4211" s="1476"/>
      <c r="G4211" s="1477"/>
      <c r="H4211" s="1458"/>
    </row>
    <row r="4212" spans="1:13" s="1517" customFormat="1" x14ac:dyDescent="0.25">
      <c r="A4212" s="146" t="s">
        <v>6</v>
      </c>
      <c r="B4212" s="2143" t="s">
        <v>7</v>
      </c>
      <c r="C4212" s="2143"/>
      <c r="D4212" s="1461" t="s">
        <v>121</v>
      </c>
      <c r="E4212" s="278" t="s">
        <v>5282</v>
      </c>
      <c r="F4212" s="1461" t="s">
        <v>31</v>
      </c>
      <c r="G4212" s="1462" t="s">
        <v>122</v>
      </c>
      <c r="H4212" s="1463" t="s">
        <v>123</v>
      </c>
      <c r="I4212" s="1830"/>
      <c r="J4212" s="1795"/>
      <c r="K4212" s="1795"/>
      <c r="L4212" s="169"/>
      <c r="M4212" s="1783"/>
    </row>
    <row r="4213" spans="1:13" s="1526" customFormat="1" ht="30" x14ac:dyDescent="0.2">
      <c r="A4213" s="1464" t="str">
        <f>'Orç - Prédio'!A698</f>
        <v>06.09.005</v>
      </c>
      <c r="B4213" s="1464" t="str">
        <f>'Orç - Prédio'!B698</f>
        <v>ORSE</v>
      </c>
      <c r="C4213" s="1464">
        <f>'Orç - Prédio'!C698</f>
        <v>8690</v>
      </c>
      <c r="D4213" s="1465" t="s">
        <v>6270</v>
      </c>
      <c r="E4213" s="1466">
        <f>'Orç - Prédio'!E698</f>
        <v>356.43</v>
      </c>
      <c r="F4213" s="1464" t="s">
        <v>5713</v>
      </c>
      <c r="G4213" s="1467">
        <v>12.85</v>
      </c>
      <c r="H4213" s="1468">
        <f>H4221</f>
        <v>4580.13</v>
      </c>
      <c r="I4213" s="1910" t="s">
        <v>14965</v>
      </c>
      <c r="J4213" s="1793"/>
      <c r="K4213" s="1793"/>
      <c r="L4213" s="141"/>
      <c r="M4213" s="1515"/>
    </row>
    <row r="4214" spans="1:13" s="156" customFormat="1" ht="30" x14ac:dyDescent="0.2">
      <c r="A4214" s="2145">
        <v>3881</v>
      </c>
      <c r="B4214" s="2145"/>
      <c r="C4214" s="1460" t="s">
        <v>5281</v>
      </c>
      <c r="D4214" s="1469" t="s">
        <v>6273</v>
      </c>
      <c r="E4214" s="1470">
        <v>1</v>
      </c>
      <c r="F4214" s="1471" t="s">
        <v>136</v>
      </c>
      <c r="G4214" s="367">
        <v>7.9</v>
      </c>
      <c r="H4214" s="1473">
        <f>ROUNDDOWN(G4214*E4214,2)</f>
        <v>7.9</v>
      </c>
      <c r="I4214" s="1642"/>
      <c r="J4214" s="1797"/>
      <c r="K4214" s="1797"/>
      <c r="L4214" s="1784"/>
      <c r="M4214" s="1785"/>
    </row>
    <row r="4215" spans="1:13" s="156" customFormat="1" ht="30" x14ac:dyDescent="0.2">
      <c r="A4215" s="2144">
        <v>88264</v>
      </c>
      <c r="B4215" s="2144"/>
      <c r="C4215" s="1459" t="s">
        <v>4448</v>
      </c>
      <c r="D4215" s="182" t="s">
        <v>81</v>
      </c>
      <c r="E4215" s="1470">
        <v>0.14000000000000001</v>
      </c>
      <c r="F4215" s="1471" t="s">
        <v>65</v>
      </c>
      <c r="G4215" s="1472">
        <v>20.329999999999998</v>
      </c>
      <c r="H4215" s="1473">
        <f>ROUNDDOWN(G4215*E4215,2)</f>
        <v>2.84</v>
      </c>
      <c r="I4215" s="1642"/>
      <c r="J4215" s="1797"/>
      <c r="K4215" s="1797"/>
      <c r="L4215" s="1784"/>
      <c r="M4215" s="1785"/>
    </row>
    <row r="4216" spans="1:13" s="156" customFormat="1" ht="30" x14ac:dyDescent="0.2">
      <c r="A4216" s="2144">
        <v>88316</v>
      </c>
      <c r="B4216" s="2144"/>
      <c r="C4216" s="1459" t="s">
        <v>4448</v>
      </c>
      <c r="D4216" s="182" t="s">
        <v>64</v>
      </c>
      <c r="E4216" s="1470">
        <v>0.14000000000000001</v>
      </c>
      <c r="F4216" s="1471" t="s">
        <v>65</v>
      </c>
      <c r="G4216" s="1472">
        <v>15.08</v>
      </c>
      <c r="H4216" s="1473">
        <f>ROUNDDOWN(G4216*E4216,2)</f>
        <v>2.11</v>
      </c>
      <c r="I4216" s="1642"/>
      <c r="J4216" s="1797"/>
      <c r="K4216" s="1797"/>
      <c r="L4216" s="1784"/>
      <c r="M4216" s="1785"/>
    </row>
    <row r="4217" spans="1:13" s="1517" customFormat="1" x14ac:dyDescent="0.25">
      <c r="A4217" s="179"/>
      <c r="B4217" s="179"/>
      <c r="C4217" s="1474"/>
      <c r="D4217" s="2141" t="s">
        <v>124</v>
      </c>
      <c r="E4217" s="2141"/>
      <c r="F4217" s="2141"/>
      <c r="G4217" s="2141"/>
      <c r="H4217" s="267">
        <f>SUMIF(F4214:F4216,("h"),H4214:H4216)</f>
        <v>4.9499999999999993</v>
      </c>
      <c r="I4217" s="1830"/>
      <c r="J4217" s="1795"/>
      <c r="K4217" s="1795"/>
      <c r="L4217" s="169"/>
      <c r="M4217" s="1783"/>
    </row>
    <row r="4218" spans="1:13" s="1517" customFormat="1" x14ac:dyDescent="0.25">
      <c r="A4218" s="179"/>
      <c r="B4218" s="179"/>
      <c r="C4218" s="1474"/>
      <c r="D4218" s="2141" t="s">
        <v>125</v>
      </c>
      <c r="E4218" s="2141"/>
      <c r="F4218" s="2141"/>
      <c r="G4218" s="2141"/>
      <c r="H4218" s="267">
        <f>SUMIF(F4214:F4216,"&lt;&gt;h",H4214:H4216)</f>
        <v>7.9</v>
      </c>
      <c r="I4218" s="1830"/>
      <c r="J4218" s="1795"/>
      <c r="K4218" s="1795"/>
      <c r="L4218" s="169"/>
      <c r="M4218" s="1783"/>
    </row>
    <row r="4219" spans="1:13" s="1517" customFormat="1" x14ac:dyDescent="0.25">
      <c r="A4219" s="179"/>
      <c r="B4219" s="179"/>
      <c r="C4219" s="1474"/>
      <c r="D4219" s="2142" t="s">
        <v>126</v>
      </c>
      <c r="E4219" s="2142"/>
      <c r="F4219" s="2142"/>
      <c r="G4219" s="2142"/>
      <c r="H4219" s="1475">
        <f>SUM(H4217:H4218)</f>
        <v>12.85</v>
      </c>
      <c r="I4219" s="1830"/>
      <c r="J4219" s="1795"/>
      <c r="K4219" s="1795"/>
      <c r="L4219" s="169"/>
      <c r="M4219" s="1783"/>
    </row>
    <row r="4220" spans="1:13" s="1517" customFormat="1" x14ac:dyDescent="0.25">
      <c r="A4220" s="179"/>
      <c r="B4220" s="179"/>
      <c r="C4220" s="1474"/>
      <c r="D4220" s="2141" t="s">
        <v>28</v>
      </c>
      <c r="E4220" s="2141"/>
      <c r="F4220" s="2141"/>
      <c r="G4220" s="2141"/>
      <c r="H4220" s="269">
        <f>E4213</f>
        <v>356.43</v>
      </c>
      <c r="I4220" s="1830"/>
      <c r="J4220" s="1795"/>
      <c r="K4220" s="1795"/>
      <c r="L4220" s="169"/>
      <c r="M4220" s="1783"/>
    </row>
    <row r="4221" spans="1:13" s="1517" customFormat="1" x14ac:dyDescent="0.25">
      <c r="A4221" s="179"/>
      <c r="B4221" s="179"/>
      <c r="C4221" s="1474"/>
      <c r="D4221" s="2142" t="s">
        <v>127</v>
      </c>
      <c r="E4221" s="2142"/>
      <c r="F4221" s="2142"/>
      <c r="G4221" s="2142"/>
      <c r="H4221" s="1475">
        <f>ROUND(H4219*H4220,2)</f>
        <v>4580.13</v>
      </c>
      <c r="I4221" s="1830"/>
      <c r="J4221" s="1795"/>
      <c r="K4221" s="1795"/>
      <c r="L4221" s="169"/>
      <c r="M4221" s="1783"/>
    </row>
    <row r="4222" spans="1:13" s="1517" customFormat="1" x14ac:dyDescent="0.25">
      <c r="A4222" s="179"/>
      <c r="B4222" s="179"/>
      <c r="C4222" s="1531"/>
      <c r="D4222" s="2141" t="s">
        <v>15335</v>
      </c>
      <c r="E4222" s="2141"/>
      <c r="F4222" s="2141"/>
      <c r="G4222" s="2141"/>
      <c r="H4222" s="267">
        <f>ROUND(H4219*$B$13,2)</f>
        <v>3.46</v>
      </c>
      <c r="I4222" s="1830"/>
      <c r="J4222" s="1795"/>
      <c r="K4222" s="1795"/>
      <c r="L4222" s="169"/>
      <c r="M4222" s="1783"/>
    </row>
    <row r="4223" spans="1:13" x14ac:dyDescent="0.25">
      <c r="A4223" s="179"/>
      <c r="B4223" s="179"/>
      <c r="C4223" s="1531"/>
      <c r="D4223" s="2142" t="s">
        <v>7898</v>
      </c>
      <c r="E4223" s="2142"/>
      <c r="F4223" s="2142"/>
      <c r="G4223" s="2142"/>
      <c r="H4223" s="1532">
        <f>H4222+H4219</f>
        <v>16.309999999999999</v>
      </c>
    </row>
    <row r="4224" spans="1:13" x14ac:dyDescent="0.25">
      <c r="A4224" s="1458"/>
      <c r="B4224" s="1458"/>
      <c r="C4224" s="1458"/>
      <c r="F4224" s="1476"/>
      <c r="G4224" s="1477"/>
      <c r="H4224" s="1458"/>
    </row>
    <row r="4225" spans="1:13" s="1517" customFormat="1" x14ac:dyDescent="0.25">
      <c r="A4225" s="146" t="s">
        <v>6</v>
      </c>
      <c r="B4225" s="2143" t="s">
        <v>7</v>
      </c>
      <c r="C4225" s="2143"/>
      <c r="D4225" s="1461" t="s">
        <v>121</v>
      </c>
      <c r="E4225" s="278" t="s">
        <v>5282</v>
      </c>
      <c r="F4225" s="1461" t="s">
        <v>31</v>
      </c>
      <c r="G4225" s="1462" t="s">
        <v>122</v>
      </c>
      <c r="H4225" s="1463" t="s">
        <v>123</v>
      </c>
      <c r="I4225" s="1830"/>
      <c r="J4225" s="1795"/>
      <c r="K4225" s="1795"/>
      <c r="L4225" s="169"/>
      <c r="M4225" s="1783"/>
    </row>
    <row r="4226" spans="1:13" s="1526" customFormat="1" ht="30" x14ac:dyDescent="0.2">
      <c r="A4226" s="1464" t="str">
        <f>'Orç - Prédio'!A699</f>
        <v>06.09.006.01</v>
      </c>
      <c r="B4226" s="1278" t="str">
        <f>'Orç - Prédio'!B700</f>
        <v>AGETOP</v>
      </c>
      <c r="C4226" s="1478">
        <f>'Orç - Prédio'!C700</f>
        <v>71886</v>
      </c>
      <c r="D4226" s="1479" t="s">
        <v>6284</v>
      </c>
      <c r="E4226" s="1466">
        <f>'Orç - Prédio'!E700</f>
        <v>225</v>
      </c>
      <c r="F4226" s="1478" t="s">
        <v>5284</v>
      </c>
      <c r="G4226" s="1467">
        <v>24.880000000000003</v>
      </c>
      <c r="H4226" s="1468">
        <f>H4234</f>
        <v>5598</v>
      </c>
      <c r="I4226" s="1910" t="s">
        <v>9564</v>
      </c>
      <c r="J4226" s="1793"/>
      <c r="K4226" s="1793"/>
      <c r="L4226" s="141"/>
      <c r="M4226" s="1515"/>
    </row>
    <row r="4227" spans="1:13" s="156" customFormat="1" ht="30" x14ac:dyDescent="0.2">
      <c r="A4227" s="2145">
        <v>39607</v>
      </c>
      <c r="B4227" s="2145"/>
      <c r="C4227" s="1460" t="s">
        <v>4448</v>
      </c>
      <c r="D4227" s="182" t="s">
        <v>13184</v>
      </c>
      <c r="E4227" s="1470">
        <v>1</v>
      </c>
      <c r="F4227" s="1471" t="s">
        <v>39</v>
      </c>
      <c r="G4227" s="1472">
        <v>20.28</v>
      </c>
      <c r="H4227" s="1473">
        <f>ROUNDDOWN(G4227*E4227,2)</f>
        <v>20.28</v>
      </c>
      <c r="I4227" s="1642"/>
      <c r="J4227" s="1797"/>
      <c r="K4227" s="1797"/>
      <c r="L4227" s="1784"/>
      <c r="M4227" s="1785"/>
    </row>
    <row r="4228" spans="1:13" s="156" customFormat="1" ht="30" x14ac:dyDescent="0.2">
      <c r="A4228" s="2144">
        <v>88264</v>
      </c>
      <c r="B4228" s="2144"/>
      <c r="C4228" s="1459" t="s">
        <v>4448</v>
      </c>
      <c r="D4228" s="182" t="s">
        <v>81</v>
      </c>
      <c r="E4228" s="1470">
        <v>0.13</v>
      </c>
      <c r="F4228" s="1471" t="s">
        <v>65</v>
      </c>
      <c r="G4228" s="1472">
        <v>20.329999999999998</v>
      </c>
      <c r="H4228" s="1473">
        <f>ROUNDDOWN(G4228*E4228,2)</f>
        <v>2.64</v>
      </c>
      <c r="I4228" s="1642"/>
      <c r="J4228" s="1797"/>
      <c r="K4228" s="1797"/>
      <c r="L4228" s="1784"/>
      <c r="M4228" s="1785"/>
    </row>
    <row r="4229" spans="1:13" s="156" customFormat="1" ht="30" x14ac:dyDescent="0.2">
      <c r="A4229" s="2144">
        <v>88316</v>
      </c>
      <c r="B4229" s="2144"/>
      <c r="C4229" s="1459" t="s">
        <v>4448</v>
      </c>
      <c r="D4229" s="182" t="s">
        <v>64</v>
      </c>
      <c r="E4229" s="1470">
        <v>0.13</v>
      </c>
      <c r="F4229" s="1471" t="s">
        <v>65</v>
      </c>
      <c r="G4229" s="1472">
        <v>15.08</v>
      </c>
      <c r="H4229" s="1473">
        <f>ROUNDDOWN(G4229*E4229,2)</f>
        <v>1.96</v>
      </c>
      <c r="I4229" s="1642"/>
      <c r="J4229" s="1797"/>
      <c r="K4229" s="1797"/>
      <c r="L4229" s="1784"/>
      <c r="M4229" s="1785"/>
    </row>
    <row r="4230" spans="1:13" s="1517" customFormat="1" x14ac:dyDescent="0.25">
      <c r="A4230" s="179"/>
      <c r="B4230" s="179"/>
      <c r="C4230" s="1474"/>
      <c r="D4230" s="2141" t="s">
        <v>124</v>
      </c>
      <c r="E4230" s="2141"/>
      <c r="F4230" s="2141"/>
      <c r="G4230" s="2141"/>
      <c r="H4230" s="267">
        <f>SUMIF(F4227:F4229,("h"),H4227:H4229)</f>
        <v>4.5999999999999996</v>
      </c>
      <c r="I4230" s="1830"/>
      <c r="J4230" s="1795"/>
      <c r="K4230" s="1795"/>
      <c r="L4230" s="169"/>
      <c r="M4230" s="1783"/>
    </row>
    <row r="4231" spans="1:13" s="1517" customFormat="1" x14ac:dyDescent="0.25">
      <c r="A4231" s="179"/>
      <c r="B4231" s="179"/>
      <c r="C4231" s="1474"/>
      <c r="D4231" s="2141" t="s">
        <v>125</v>
      </c>
      <c r="E4231" s="2141"/>
      <c r="F4231" s="2141"/>
      <c r="G4231" s="2141"/>
      <c r="H4231" s="267">
        <f>SUMIF(F4227:F4229,"&lt;&gt;h",H4227:H4229)</f>
        <v>20.28</v>
      </c>
      <c r="I4231" s="1830"/>
      <c r="J4231" s="1795"/>
      <c r="K4231" s="1795"/>
      <c r="L4231" s="169"/>
      <c r="M4231" s="1783"/>
    </row>
    <row r="4232" spans="1:13" s="1517" customFormat="1" x14ac:dyDescent="0.25">
      <c r="A4232" s="179"/>
      <c r="B4232" s="179"/>
      <c r="C4232" s="1474"/>
      <c r="D4232" s="2142" t="s">
        <v>126</v>
      </c>
      <c r="E4232" s="2142"/>
      <c r="F4232" s="2142"/>
      <c r="G4232" s="2142"/>
      <c r="H4232" s="1475">
        <f>SUM(H4230:H4231)</f>
        <v>24.880000000000003</v>
      </c>
      <c r="I4232" s="1830"/>
      <c r="J4232" s="1795"/>
      <c r="K4232" s="1795"/>
      <c r="L4232" s="169"/>
      <c r="M4232" s="1783"/>
    </row>
    <row r="4233" spans="1:13" s="1517" customFormat="1" x14ac:dyDescent="0.25">
      <c r="A4233" s="179"/>
      <c r="B4233" s="179"/>
      <c r="C4233" s="1474"/>
      <c r="D4233" s="2141" t="s">
        <v>28</v>
      </c>
      <c r="E4233" s="2141"/>
      <c r="F4233" s="2141"/>
      <c r="G4233" s="2141"/>
      <c r="H4233" s="269">
        <f>E4226</f>
        <v>225</v>
      </c>
      <c r="I4233" s="1830"/>
      <c r="J4233" s="1795"/>
      <c r="K4233" s="1795"/>
      <c r="L4233" s="169"/>
      <c r="M4233" s="1783"/>
    </row>
    <row r="4234" spans="1:13" s="1517" customFormat="1" x14ac:dyDescent="0.25">
      <c r="A4234" s="179"/>
      <c r="B4234" s="179"/>
      <c r="C4234" s="1474"/>
      <c r="D4234" s="2142" t="s">
        <v>127</v>
      </c>
      <c r="E4234" s="2142"/>
      <c r="F4234" s="2142"/>
      <c r="G4234" s="2142"/>
      <c r="H4234" s="1475">
        <f>ROUND(H4232*H4233,2)</f>
        <v>5598</v>
      </c>
      <c r="I4234" s="1830"/>
      <c r="J4234" s="1795"/>
      <c r="K4234" s="1795"/>
      <c r="L4234" s="169"/>
      <c r="M4234" s="1783"/>
    </row>
    <row r="4235" spans="1:13" s="1517" customFormat="1" x14ac:dyDescent="0.25">
      <c r="A4235" s="179"/>
      <c r="B4235" s="179"/>
      <c r="C4235" s="1531"/>
      <c r="D4235" s="2141" t="s">
        <v>15335</v>
      </c>
      <c r="E4235" s="2141"/>
      <c r="F4235" s="2141"/>
      <c r="G4235" s="2141"/>
      <c r="H4235" s="267">
        <f>ROUND(H4232*$B$13,2)</f>
        <v>6.7</v>
      </c>
      <c r="I4235" s="1830"/>
      <c r="J4235" s="1795"/>
      <c r="K4235" s="1795"/>
      <c r="L4235" s="169"/>
      <c r="M4235" s="1783"/>
    </row>
    <row r="4236" spans="1:13" x14ac:dyDescent="0.25">
      <c r="A4236" s="179"/>
      <c r="B4236" s="179"/>
      <c r="C4236" s="1531"/>
      <c r="D4236" s="2142" t="s">
        <v>7898</v>
      </c>
      <c r="E4236" s="2142"/>
      <c r="F4236" s="2142"/>
      <c r="G4236" s="2142"/>
      <c r="H4236" s="1532">
        <f>H4235+H4232</f>
        <v>31.580000000000002</v>
      </c>
    </row>
    <row r="4237" spans="1:13" x14ac:dyDescent="0.25">
      <c r="A4237" s="1458"/>
      <c r="B4237" s="1458"/>
      <c r="C4237" s="1458"/>
      <c r="F4237" s="1476"/>
      <c r="G4237" s="1477"/>
      <c r="H4237" s="1458"/>
    </row>
    <row r="4238" spans="1:13" s="1517" customFormat="1" x14ac:dyDescent="0.25">
      <c r="A4238" s="146" t="s">
        <v>6</v>
      </c>
      <c r="B4238" s="2143" t="s">
        <v>7</v>
      </c>
      <c r="C4238" s="2143"/>
      <c r="D4238" s="1518" t="s">
        <v>121</v>
      </c>
      <c r="E4238" s="278" t="s">
        <v>5282</v>
      </c>
      <c r="F4238" s="1518" t="s">
        <v>31</v>
      </c>
      <c r="G4238" s="1519" t="s">
        <v>122</v>
      </c>
      <c r="H4238" s="1520" t="s">
        <v>123</v>
      </c>
      <c r="I4238" s="1830"/>
      <c r="J4238" s="1795"/>
      <c r="K4238" s="1795"/>
      <c r="L4238" s="169"/>
      <c r="M4238" s="1783"/>
    </row>
    <row r="4239" spans="1:13" s="1526" customFormat="1" ht="30" x14ac:dyDescent="0.2">
      <c r="A4239" s="1521" t="str">
        <f>'Orç - Prédio'!A719</f>
        <v>06.09.011.05</v>
      </c>
      <c r="B4239" s="1521" t="str">
        <f>'Orç - Prédio'!B719</f>
        <v>ORSE</v>
      </c>
      <c r="C4239" s="1521">
        <f>'Orç - Prédio'!C719</f>
        <v>7384</v>
      </c>
      <c r="D4239" s="1522" t="s">
        <v>7198</v>
      </c>
      <c r="E4239" s="1523">
        <f>'Orç - Prédio'!E719</f>
        <v>252</v>
      </c>
      <c r="F4239" s="1521" t="s">
        <v>5713</v>
      </c>
      <c r="G4239" s="1524">
        <v>16.43</v>
      </c>
      <c r="H4239" s="1525">
        <f>H4247</f>
        <v>4140.3599999999997</v>
      </c>
      <c r="I4239" s="1910" t="s">
        <v>14965</v>
      </c>
      <c r="J4239" s="1793"/>
      <c r="K4239" s="1793"/>
      <c r="L4239" s="141"/>
      <c r="M4239" s="1515"/>
    </row>
    <row r="4240" spans="1:13" s="156" customFormat="1" ht="30" x14ac:dyDescent="0.2">
      <c r="A4240" s="2144">
        <v>2422</v>
      </c>
      <c r="B4240" s="2144"/>
      <c r="C4240" s="1496" t="s">
        <v>5281</v>
      </c>
      <c r="D4240" s="1497" t="s">
        <v>7200</v>
      </c>
      <c r="E4240" s="1527">
        <v>1</v>
      </c>
      <c r="F4240" s="1619" t="s">
        <v>31</v>
      </c>
      <c r="G4240" s="367">
        <v>5.82</v>
      </c>
      <c r="H4240" s="1530">
        <f>ROUNDDOWN(G4240*E4240,2)</f>
        <v>5.82</v>
      </c>
      <c r="I4240" s="1642"/>
      <c r="J4240" s="1797"/>
      <c r="K4240" s="1797"/>
      <c r="L4240" s="1784"/>
      <c r="M4240" s="1785"/>
    </row>
    <row r="4241" spans="1:13" s="156" customFormat="1" ht="30" x14ac:dyDescent="0.2">
      <c r="A4241" s="2144">
        <v>88264</v>
      </c>
      <c r="B4241" s="2144"/>
      <c r="C4241" s="1516" t="s">
        <v>4448</v>
      </c>
      <c r="D4241" s="182" t="s">
        <v>81</v>
      </c>
      <c r="E4241" s="1527">
        <v>0.3</v>
      </c>
      <c r="F4241" s="1619" t="s">
        <v>65</v>
      </c>
      <c r="G4241" s="1529">
        <v>20.329999999999998</v>
      </c>
      <c r="H4241" s="1530">
        <f>ROUNDDOWN(G4241*E4241,2)</f>
        <v>6.09</v>
      </c>
      <c r="I4241" s="1642"/>
      <c r="J4241" s="1797"/>
      <c r="K4241" s="1797"/>
      <c r="L4241" s="1784"/>
      <c r="M4241" s="1785"/>
    </row>
    <row r="4242" spans="1:13" s="156" customFormat="1" ht="30" x14ac:dyDescent="0.2">
      <c r="A4242" s="2144">
        <v>88316</v>
      </c>
      <c r="B4242" s="2144"/>
      <c r="C4242" s="1516" t="s">
        <v>4448</v>
      </c>
      <c r="D4242" s="182" t="s">
        <v>64</v>
      </c>
      <c r="E4242" s="1527">
        <v>0.3</v>
      </c>
      <c r="F4242" s="1619" t="s">
        <v>65</v>
      </c>
      <c r="G4242" s="1529">
        <v>15.08</v>
      </c>
      <c r="H4242" s="1530">
        <f>ROUNDDOWN(G4242*E4242,2)</f>
        <v>4.5199999999999996</v>
      </c>
      <c r="I4242" s="1642"/>
      <c r="J4242" s="1797"/>
      <c r="K4242" s="1797"/>
      <c r="L4242" s="1784"/>
      <c r="M4242" s="1785"/>
    </row>
    <row r="4243" spans="1:13" s="1517" customFormat="1" x14ac:dyDescent="0.25">
      <c r="A4243" s="179"/>
      <c r="B4243" s="179"/>
      <c r="C4243" s="1531"/>
      <c r="D4243" s="2141" t="s">
        <v>124</v>
      </c>
      <c r="E4243" s="2141"/>
      <c r="F4243" s="2141"/>
      <c r="G4243" s="2141"/>
      <c r="H4243" s="267">
        <f>SUMIF(F4240:F4242,("h"),H4240:H4242)</f>
        <v>10.61</v>
      </c>
      <c r="I4243" s="1830"/>
      <c r="J4243" s="1795"/>
      <c r="K4243" s="1795"/>
      <c r="L4243" s="169"/>
      <c r="M4243" s="1783"/>
    </row>
    <row r="4244" spans="1:13" s="1517" customFormat="1" x14ac:dyDescent="0.25">
      <c r="A4244" s="179"/>
      <c r="B4244" s="179"/>
      <c r="C4244" s="1531"/>
      <c r="D4244" s="2141" t="s">
        <v>125</v>
      </c>
      <c r="E4244" s="2141"/>
      <c r="F4244" s="2141"/>
      <c r="G4244" s="2141"/>
      <c r="H4244" s="267">
        <f>SUMIF(F4240:F4242,"&lt;&gt;h",H4240:H4242)</f>
        <v>5.82</v>
      </c>
      <c r="I4244" s="1830"/>
      <c r="J4244" s="1795"/>
      <c r="K4244" s="1795"/>
      <c r="L4244" s="169"/>
      <c r="M4244" s="1783"/>
    </row>
    <row r="4245" spans="1:13" s="1517" customFormat="1" x14ac:dyDescent="0.25">
      <c r="A4245" s="179"/>
      <c r="B4245" s="179"/>
      <c r="C4245" s="1531"/>
      <c r="D4245" s="2142" t="s">
        <v>126</v>
      </c>
      <c r="E4245" s="2142"/>
      <c r="F4245" s="2142"/>
      <c r="G4245" s="2142"/>
      <c r="H4245" s="1532">
        <f>SUM(H4243:H4244)</f>
        <v>16.43</v>
      </c>
      <c r="I4245" s="1830"/>
      <c r="J4245" s="1795"/>
      <c r="K4245" s="1795"/>
      <c r="L4245" s="169"/>
      <c r="M4245" s="1783"/>
    </row>
    <row r="4246" spans="1:13" s="1517" customFormat="1" x14ac:dyDescent="0.25">
      <c r="A4246" s="179"/>
      <c r="B4246" s="179"/>
      <c r="C4246" s="1531"/>
      <c r="D4246" s="2141" t="s">
        <v>28</v>
      </c>
      <c r="E4246" s="2141"/>
      <c r="F4246" s="2141"/>
      <c r="G4246" s="2141"/>
      <c r="H4246" s="269">
        <f>E4239</f>
        <v>252</v>
      </c>
      <c r="I4246" s="1830"/>
      <c r="J4246" s="1795"/>
      <c r="K4246" s="1795"/>
      <c r="L4246" s="169"/>
      <c r="M4246" s="1783"/>
    </row>
    <row r="4247" spans="1:13" s="1517" customFormat="1" x14ac:dyDescent="0.25">
      <c r="A4247" s="179"/>
      <c r="B4247" s="179"/>
      <c r="C4247" s="1531"/>
      <c r="D4247" s="2142" t="s">
        <v>127</v>
      </c>
      <c r="E4247" s="2142"/>
      <c r="F4247" s="2142"/>
      <c r="G4247" s="2142"/>
      <c r="H4247" s="1532">
        <f>ROUND(H4245*H4246,2)</f>
        <v>4140.3599999999997</v>
      </c>
      <c r="I4247" s="1830"/>
      <c r="J4247" s="1795"/>
      <c r="K4247" s="1795"/>
      <c r="L4247" s="169"/>
      <c r="M4247" s="1783"/>
    </row>
    <row r="4248" spans="1:13" s="1517" customFormat="1" x14ac:dyDescent="0.25">
      <c r="A4248" s="179"/>
      <c r="B4248" s="179"/>
      <c r="C4248" s="1531"/>
      <c r="D4248" s="2141" t="s">
        <v>15335</v>
      </c>
      <c r="E4248" s="2141"/>
      <c r="F4248" s="2141"/>
      <c r="G4248" s="2141"/>
      <c r="H4248" s="267">
        <f>ROUND(H4245*$B$13,2)</f>
        <v>4.42</v>
      </c>
      <c r="I4248" s="1830"/>
      <c r="J4248" s="1795"/>
      <c r="K4248" s="1795"/>
      <c r="L4248" s="169"/>
      <c r="M4248" s="1783"/>
    </row>
    <row r="4249" spans="1:13" x14ac:dyDescent="0.25">
      <c r="A4249" s="179"/>
      <c r="B4249" s="179"/>
      <c r="C4249" s="1531"/>
      <c r="D4249" s="2142" t="s">
        <v>7898</v>
      </c>
      <c r="E4249" s="2142"/>
      <c r="F4249" s="2142"/>
      <c r="G4249" s="2142"/>
      <c r="H4249" s="1532">
        <f>H4248+H4245</f>
        <v>20.85</v>
      </c>
    </row>
    <row r="4250" spans="1:13" x14ac:dyDescent="0.25">
      <c r="A4250" s="1514"/>
      <c r="B4250" s="1514"/>
      <c r="C4250" s="1514"/>
      <c r="F4250" s="1533"/>
      <c r="G4250" s="1534"/>
      <c r="H4250" s="1514"/>
    </row>
    <row r="4251" spans="1:13" s="1517" customFormat="1" x14ac:dyDescent="0.25">
      <c r="A4251" s="146" t="s">
        <v>6</v>
      </c>
      <c r="B4251" s="2143" t="s">
        <v>7</v>
      </c>
      <c r="C4251" s="2143"/>
      <c r="D4251" s="1518" t="s">
        <v>121</v>
      </c>
      <c r="E4251" s="278" t="s">
        <v>5282</v>
      </c>
      <c r="F4251" s="1518" t="s">
        <v>31</v>
      </c>
      <c r="G4251" s="1519" t="s">
        <v>122</v>
      </c>
      <c r="H4251" s="1520" t="s">
        <v>123</v>
      </c>
      <c r="I4251" s="1830"/>
      <c r="J4251" s="1795"/>
      <c r="K4251" s="1795"/>
      <c r="L4251" s="169"/>
      <c r="M4251" s="1783"/>
    </row>
    <row r="4252" spans="1:13" s="1526" customFormat="1" ht="30" x14ac:dyDescent="0.2">
      <c r="A4252" s="1535" t="str">
        <f>'Orç - Prédio'!A721</f>
        <v>06.09.012.01</v>
      </c>
      <c r="B4252" s="1535" t="str">
        <f>'Orç - Prédio'!B721</f>
        <v>CPOS</v>
      </c>
      <c r="C4252" s="1535" t="str">
        <f>'Orç - Prédio'!C721</f>
        <v>38.16.030</v>
      </c>
      <c r="D4252" s="1536" t="s">
        <v>7246</v>
      </c>
      <c r="E4252" s="1523">
        <f>'Orç - Prédio'!E721</f>
        <v>35</v>
      </c>
      <c r="F4252" s="1535" t="s">
        <v>5713</v>
      </c>
      <c r="G4252" s="1621">
        <v>53.31</v>
      </c>
      <c r="H4252" s="1525">
        <f>H4260</f>
        <v>1865.85</v>
      </c>
      <c r="I4252" s="1910" t="s">
        <v>9564</v>
      </c>
      <c r="J4252" s="1793"/>
      <c r="K4252" s="1793"/>
      <c r="L4252" s="141"/>
      <c r="M4252" s="1515"/>
    </row>
    <row r="4253" spans="1:13" s="156" customFormat="1" ht="30" x14ac:dyDescent="0.2">
      <c r="A4253" s="2144" t="s">
        <v>7249</v>
      </c>
      <c r="B4253" s="2144"/>
      <c r="C4253" s="1516" t="s">
        <v>5696</v>
      </c>
      <c r="D4253" s="182" t="s">
        <v>7248</v>
      </c>
      <c r="E4253" s="1527">
        <v>1.02</v>
      </c>
      <c r="F4253" s="1619" t="s">
        <v>136</v>
      </c>
      <c r="G4253" s="367">
        <v>41.59</v>
      </c>
      <c r="H4253" s="1530">
        <f>ROUNDDOWN(G4253*E4253,2)</f>
        <v>42.42</v>
      </c>
      <c r="I4253" s="1642"/>
      <c r="J4253" s="1797"/>
      <c r="K4253" s="1797"/>
      <c r="L4253" s="1784"/>
      <c r="M4253" s="1785"/>
    </row>
    <row r="4254" spans="1:13" s="156" customFormat="1" ht="30" x14ac:dyDescent="0.2">
      <c r="A4254" s="2144">
        <v>88264</v>
      </c>
      <c r="B4254" s="2144"/>
      <c r="C4254" s="1516" t="s">
        <v>4448</v>
      </c>
      <c r="D4254" s="182" t="s">
        <v>81</v>
      </c>
      <c r="E4254" s="1527">
        <v>0.3</v>
      </c>
      <c r="F4254" s="1619" t="s">
        <v>65</v>
      </c>
      <c r="G4254" s="1529">
        <v>20.329999999999998</v>
      </c>
      <c r="H4254" s="1530">
        <f>ROUNDDOWN(G4254*E4254,2)</f>
        <v>6.09</v>
      </c>
      <c r="I4254" s="1642"/>
      <c r="J4254" s="1797"/>
      <c r="K4254" s="1797"/>
      <c r="L4254" s="1784"/>
      <c r="M4254" s="1785"/>
    </row>
    <row r="4255" spans="1:13" s="156" customFormat="1" ht="30" x14ac:dyDescent="0.2">
      <c r="A4255" s="2144">
        <v>88247</v>
      </c>
      <c r="B4255" s="2144"/>
      <c r="C4255" s="1516" t="s">
        <v>4448</v>
      </c>
      <c r="D4255" s="182" t="s">
        <v>71</v>
      </c>
      <c r="E4255" s="1527">
        <v>0.3</v>
      </c>
      <c r="F4255" s="1619" t="s">
        <v>65</v>
      </c>
      <c r="G4255" s="1529">
        <v>16.02</v>
      </c>
      <c r="H4255" s="1530">
        <f>ROUNDDOWN(G4255*E4255,2)</f>
        <v>4.8</v>
      </c>
      <c r="I4255" s="1642"/>
      <c r="J4255" s="1797"/>
      <c r="K4255" s="1797"/>
      <c r="L4255" s="1784"/>
      <c r="M4255" s="1785"/>
    </row>
    <row r="4256" spans="1:13" s="1517" customFormat="1" x14ac:dyDescent="0.25">
      <c r="A4256" s="179"/>
      <c r="B4256" s="179"/>
      <c r="C4256" s="1531"/>
      <c r="D4256" s="2141" t="s">
        <v>124</v>
      </c>
      <c r="E4256" s="2141"/>
      <c r="F4256" s="2141"/>
      <c r="G4256" s="2141"/>
      <c r="H4256" s="267">
        <f>SUMIF(F4253:F4255,("h"),H4253:H4255)</f>
        <v>10.89</v>
      </c>
      <c r="I4256" s="1830"/>
      <c r="J4256" s="1795"/>
      <c r="K4256" s="1795"/>
      <c r="L4256" s="169"/>
      <c r="M4256" s="1783"/>
    </row>
    <row r="4257" spans="1:13" s="1517" customFormat="1" x14ac:dyDescent="0.25">
      <c r="A4257" s="179"/>
      <c r="B4257" s="179"/>
      <c r="C4257" s="1531"/>
      <c r="D4257" s="2141" t="s">
        <v>125</v>
      </c>
      <c r="E4257" s="2141"/>
      <c r="F4257" s="2141"/>
      <c r="G4257" s="2141"/>
      <c r="H4257" s="267">
        <f>SUMIF(F4253:F4255,"&lt;&gt;h",H4253:H4255)</f>
        <v>42.42</v>
      </c>
      <c r="I4257" s="1830"/>
      <c r="J4257" s="1795"/>
      <c r="K4257" s="1795"/>
      <c r="L4257" s="169"/>
      <c r="M4257" s="1783"/>
    </row>
    <row r="4258" spans="1:13" s="1517" customFormat="1" x14ac:dyDescent="0.25">
      <c r="A4258" s="179"/>
      <c r="B4258" s="179"/>
      <c r="C4258" s="1531"/>
      <c r="D4258" s="2142" t="s">
        <v>126</v>
      </c>
      <c r="E4258" s="2142"/>
      <c r="F4258" s="2142"/>
      <c r="G4258" s="2142"/>
      <c r="H4258" s="1532">
        <f>SUM(H4256:H4257)</f>
        <v>53.31</v>
      </c>
      <c r="I4258" s="1830"/>
      <c r="J4258" s="1795"/>
      <c r="K4258" s="1795"/>
      <c r="L4258" s="169"/>
      <c r="M4258" s="1783"/>
    </row>
    <row r="4259" spans="1:13" s="1517" customFormat="1" x14ac:dyDescent="0.25">
      <c r="A4259" s="179"/>
      <c r="B4259" s="179"/>
      <c r="C4259" s="1531"/>
      <c r="D4259" s="2141" t="s">
        <v>28</v>
      </c>
      <c r="E4259" s="2141"/>
      <c r="F4259" s="2141"/>
      <c r="G4259" s="2141"/>
      <c r="H4259" s="269">
        <f>E4252</f>
        <v>35</v>
      </c>
      <c r="I4259" s="1830"/>
      <c r="J4259" s="1795"/>
      <c r="K4259" s="1795"/>
      <c r="L4259" s="169"/>
      <c r="M4259" s="1783"/>
    </row>
    <row r="4260" spans="1:13" s="1517" customFormat="1" x14ac:dyDescent="0.25">
      <c r="A4260" s="179"/>
      <c r="B4260" s="179"/>
      <c r="C4260" s="1531"/>
      <c r="D4260" s="2142" t="s">
        <v>127</v>
      </c>
      <c r="E4260" s="2142"/>
      <c r="F4260" s="2142"/>
      <c r="G4260" s="2142"/>
      <c r="H4260" s="1532">
        <f>ROUND(H4258*H4259,2)</f>
        <v>1865.85</v>
      </c>
      <c r="I4260" s="1830"/>
      <c r="J4260" s="1795"/>
      <c r="K4260" s="1795"/>
      <c r="L4260" s="169"/>
      <c r="M4260" s="1783"/>
    </row>
    <row r="4261" spans="1:13" s="1517" customFormat="1" x14ac:dyDescent="0.25">
      <c r="A4261" s="179"/>
      <c r="B4261" s="179"/>
      <c r="C4261" s="1531"/>
      <c r="D4261" s="2141" t="s">
        <v>15335</v>
      </c>
      <c r="E4261" s="2141"/>
      <c r="F4261" s="2141"/>
      <c r="G4261" s="2141"/>
      <c r="H4261" s="267">
        <f>ROUND(H4258*$B$13,2)</f>
        <v>14.36</v>
      </c>
      <c r="I4261" s="1830"/>
      <c r="J4261" s="1795"/>
      <c r="K4261" s="1795"/>
      <c r="L4261" s="169"/>
      <c r="M4261" s="1783"/>
    </row>
    <row r="4262" spans="1:13" x14ac:dyDescent="0.25">
      <c r="A4262" s="179"/>
      <c r="B4262" s="179"/>
      <c r="C4262" s="1531"/>
      <c r="D4262" s="2142" t="s">
        <v>7898</v>
      </c>
      <c r="E4262" s="2142"/>
      <c r="F4262" s="2142"/>
      <c r="G4262" s="2142"/>
      <c r="H4262" s="1532">
        <f>H4261+H4258</f>
        <v>67.67</v>
      </c>
    </row>
    <row r="4263" spans="1:13" x14ac:dyDescent="0.25">
      <c r="A4263" s="1514"/>
      <c r="B4263" s="1514"/>
      <c r="C4263" s="1514"/>
      <c r="F4263" s="1533"/>
      <c r="G4263" s="1534"/>
      <c r="H4263" s="1514"/>
    </row>
    <row r="4264" spans="1:13" s="1517" customFormat="1" x14ac:dyDescent="0.25">
      <c r="A4264" s="146" t="s">
        <v>6</v>
      </c>
      <c r="B4264" s="2143" t="s">
        <v>7</v>
      </c>
      <c r="C4264" s="2143"/>
      <c r="D4264" s="1518" t="s">
        <v>121</v>
      </c>
      <c r="E4264" s="278" t="s">
        <v>5282</v>
      </c>
      <c r="F4264" s="1518" t="s">
        <v>31</v>
      </c>
      <c r="G4264" s="1519" t="s">
        <v>122</v>
      </c>
      <c r="H4264" s="1520" t="s">
        <v>123</v>
      </c>
      <c r="I4264" s="1830"/>
      <c r="J4264" s="1795"/>
      <c r="K4264" s="1795"/>
      <c r="L4264" s="169"/>
      <c r="M4264" s="1783"/>
    </row>
    <row r="4265" spans="1:13" s="1526" customFormat="1" ht="30" x14ac:dyDescent="0.2">
      <c r="A4265" s="1535" t="str">
        <f>'Orç - Prédio'!A722</f>
        <v>06.09.012.02</v>
      </c>
      <c r="B4265" s="1535" t="str">
        <f>'Orç - Prédio'!B722</f>
        <v>CPOS</v>
      </c>
      <c r="C4265" s="1535" t="str">
        <f>'Orç - Prédio'!C722</f>
        <v>38.16.090</v>
      </c>
      <c r="D4265" s="1536" t="s">
        <v>7252</v>
      </c>
      <c r="E4265" s="1523">
        <f>'Orç - Prédio'!E722</f>
        <v>13</v>
      </c>
      <c r="F4265" s="1535" t="s">
        <v>5284</v>
      </c>
      <c r="G4265" s="1621">
        <v>18.47</v>
      </c>
      <c r="H4265" s="1525">
        <f>H4273</f>
        <v>240.11</v>
      </c>
      <c r="I4265" s="1910" t="s">
        <v>9564</v>
      </c>
      <c r="J4265" s="1793"/>
      <c r="K4265" s="1793"/>
      <c r="L4265" s="141"/>
      <c r="M4265" s="1515"/>
    </row>
    <row r="4266" spans="1:13" s="156" customFormat="1" ht="45" x14ac:dyDescent="0.2">
      <c r="A4266" s="2144" t="s">
        <v>7254</v>
      </c>
      <c r="B4266" s="2144"/>
      <c r="C4266" s="1516" t="s">
        <v>5696</v>
      </c>
      <c r="D4266" s="182" t="s">
        <v>7255</v>
      </c>
      <c r="E4266" s="1527">
        <v>1</v>
      </c>
      <c r="F4266" s="1619" t="s">
        <v>31</v>
      </c>
      <c r="G4266" s="367">
        <v>11.43</v>
      </c>
      <c r="H4266" s="1530">
        <f>ROUNDDOWN(G4266*E4266,2)</f>
        <v>11.43</v>
      </c>
      <c r="I4266" s="1642"/>
      <c r="J4266" s="1797"/>
      <c r="K4266" s="1797"/>
      <c r="L4266" s="1784"/>
      <c r="M4266" s="1785"/>
    </row>
    <row r="4267" spans="1:13" s="156" customFormat="1" ht="30" x14ac:dyDescent="0.2">
      <c r="A4267" s="2144">
        <v>88264</v>
      </c>
      <c r="B4267" s="2144"/>
      <c r="C4267" s="1516" t="s">
        <v>4448</v>
      </c>
      <c r="D4267" s="182" t="s">
        <v>81</v>
      </c>
      <c r="E4267" s="1527">
        <v>0.15</v>
      </c>
      <c r="F4267" s="1619" t="s">
        <v>65</v>
      </c>
      <c r="G4267" s="1529">
        <v>20.329999999999998</v>
      </c>
      <c r="H4267" s="1530">
        <f>ROUNDDOWN(G4267*E4267,2)</f>
        <v>3.04</v>
      </c>
      <c r="I4267" s="1642"/>
      <c r="J4267" s="1797"/>
      <c r="K4267" s="1797"/>
      <c r="L4267" s="1784"/>
      <c r="M4267" s="1785"/>
    </row>
    <row r="4268" spans="1:13" s="156" customFormat="1" ht="30" x14ac:dyDescent="0.2">
      <c r="A4268" s="2144">
        <v>88247</v>
      </c>
      <c r="B4268" s="2144"/>
      <c r="C4268" s="1516" t="s">
        <v>4448</v>
      </c>
      <c r="D4268" s="182" t="s">
        <v>71</v>
      </c>
      <c r="E4268" s="1527">
        <v>0.25</v>
      </c>
      <c r="F4268" s="1619" t="s">
        <v>65</v>
      </c>
      <c r="G4268" s="1529">
        <v>16.02</v>
      </c>
      <c r="H4268" s="1530">
        <f>ROUNDDOWN(G4268*E4268,2)</f>
        <v>4</v>
      </c>
      <c r="I4268" s="1642"/>
      <c r="J4268" s="1797"/>
      <c r="K4268" s="1797"/>
      <c r="L4268" s="1784"/>
      <c r="M4268" s="1785"/>
    </row>
    <row r="4269" spans="1:13" s="1517" customFormat="1" x14ac:dyDescent="0.25">
      <c r="A4269" s="179"/>
      <c r="B4269" s="179"/>
      <c r="C4269" s="1531"/>
      <c r="D4269" s="2141" t="s">
        <v>124</v>
      </c>
      <c r="E4269" s="2141"/>
      <c r="F4269" s="2141"/>
      <c r="G4269" s="2141"/>
      <c r="H4269" s="267">
        <f>SUMIF(F4266:F4268,("h"),H4266:H4268)</f>
        <v>7.04</v>
      </c>
      <c r="I4269" s="1830"/>
      <c r="J4269" s="1795"/>
      <c r="K4269" s="1795"/>
      <c r="L4269" s="169"/>
      <c r="M4269" s="1783"/>
    </row>
    <row r="4270" spans="1:13" s="1517" customFormat="1" x14ac:dyDescent="0.25">
      <c r="A4270" s="179"/>
      <c r="B4270" s="179"/>
      <c r="C4270" s="1531"/>
      <c r="D4270" s="2141" t="s">
        <v>125</v>
      </c>
      <c r="E4270" s="2141"/>
      <c r="F4270" s="2141"/>
      <c r="G4270" s="2141"/>
      <c r="H4270" s="267">
        <f>SUMIF(F4266:F4268,"&lt;&gt;h",H4266:H4268)</f>
        <v>11.43</v>
      </c>
      <c r="I4270" s="1830"/>
      <c r="J4270" s="1795"/>
      <c r="K4270" s="1795"/>
      <c r="L4270" s="169"/>
      <c r="M4270" s="1783"/>
    </row>
    <row r="4271" spans="1:13" s="1517" customFormat="1" x14ac:dyDescent="0.25">
      <c r="A4271" s="179"/>
      <c r="B4271" s="179"/>
      <c r="C4271" s="1531"/>
      <c r="D4271" s="2142" t="s">
        <v>126</v>
      </c>
      <c r="E4271" s="2142"/>
      <c r="F4271" s="2142"/>
      <c r="G4271" s="2142"/>
      <c r="H4271" s="1532">
        <f>SUM(H4269:H4270)</f>
        <v>18.47</v>
      </c>
      <c r="I4271" s="1830"/>
      <c r="J4271" s="1795"/>
      <c r="K4271" s="1795"/>
      <c r="L4271" s="169"/>
      <c r="M4271" s="1783"/>
    </row>
    <row r="4272" spans="1:13" s="1517" customFormat="1" x14ac:dyDescent="0.25">
      <c r="A4272" s="179"/>
      <c r="B4272" s="179"/>
      <c r="C4272" s="1531"/>
      <c r="D4272" s="2141" t="s">
        <v>28</v>
      </c>
      <c r="E4272" s="2141"/>
      <c r="F4272" s="2141"/>
      <c r="G4272" s="2141"/>
      <c r="H4272" s="269">
        <f>E4265</f>
        <v>13</v>
      </c>
      <c r="I4272" s="1830"/>
      <c r="J4272" s="1795"/>
      <c r="K4272" s="1795"/>
      <c r="L4272" s="169"/>
      <c r="M4272" s="1783"/>
    </row>
    <row r="4273" spans="1:13" s="1517" customFormat="1" x14ac:dyDescent="0.25">
      <c r="A4273" s="179"/>
      <c r="B4273" s="179"/>
      <c r="C4273" s="1531"/>
      <c r="D4273" s="2142" t="s">
        <v>127</v>
      </c>
      <c r="E4273" s="2142"/>
      <c r="F4273" s="2142"/>
      <c r="G4273" s="2142"/>
      <c r="H4273" s="1532">
        <f>ROUND(H4271*H4272,2)</f>
        <v>240.11</v>
      </c>
      <c r="I4273" s="1830"/>
      <c r="J4273" s="1795"/>
      <c r="K4273" s="1795"/>
      <c r="L4273" s="169"/>
      <c r="M4273" s="1783"/>
    </row>
    <row r="4274" spans="1:13" s="1517" customFormat="1" x14ac:dyDescent="0.25">
      <c r="A4274" s="179"/>
      <c r="B4274" s="179"/>
      <c r="C4274" s="1531"/>
      <c r="D4274" s="2141" t="s">
        <v>15335</v>
      </c>
      <c r="E4274" s="2141"/>
      <c r="F4274" s="2141"/>
      <c r="G4274" s="2141"/>
      <c r="H4274" s="267">
        <f>ROUND(H4271*$B$13,2)</f>
        <v>4.97</v>
      </c>
      <c r="I4274" s="1830"/>
      <c r="J4274" s="1795"/>
      <c r="K4274" s="1795"/>
      <c r="L4274" s="169"/>
      <c r="M4274" s="1783"/>
    </row>
    <row r="4275" spans="1:13" x14ac:dyDescent="0.25">
      <c r="A4275" s="179"/>
      <c r="B4275" s="179"/>
      <c r="C4275" s="1531"/>
      <c r="D4275" s="2142" t="s">
        <v>7898</v>
      </c>
      <c r="E4275" s="2142"/>
      <c r="F4275" s="2142"/>
      <c r="G4275" s="2142"/>
      <c r="H4275" s="1532">
        <f>H4274+H4271</f>
        <v>23.439999999999998</v>
      </c>
    </row>
    <row r="4276" spans="1:13" x14ac:dyDescent="0.25">
      <c r="A4276" s="1514"/>
      <c r="B4276" s="1514"/>
      <c r="C4276" s="1514"/>
      <c r="F4276" s="1533"/>
      <c r="G4276" s="1534"/>
      <c r="H4276" s="1514"/>
    </row>
    <row r="4277" spans="1:13" s="1517" customFormat="1" x14ac:dyDescent="0.25">
      <c r="A4277" s="146" t="s">
        <v>6</v>
      </c>
      <c r="B4277" s="2143" t="s">
        <v>7</v>
      </c>
      <c r="C4277" s="2143"/>
      <c r="D4277" s="1518" t="s">
        <v>121</v>
      </c>
      <c r="E4277" s="278" t="s">
        <v>5282</v>
      </c>
      <c r="F4277" s="1518" t="s">
        <v>31</v>
      </c>
      <c r="G4277" s="1519" t="s">
        <v>122</v>
      </c>
      <c r="H4277" s="1520" t="s">
        <v>123</v>
      </c>
      <c r="I4277" s="1830"/>
      <c r="J4277" s="1795"/>
      <c r="K4277" s="1795"/>
      <c r="L4277" s="169"/>
      <c r="M4277" s="1783"/>
    </row>
    <row r="4278" spans="1:13" s="1526" customFormat="1" ht="30" x14ac:dyDescent="0.2">
      <c r="A4278" s="1521" t="str">
        <f>'Orç - Prédio'!A724</f>
        <v>06.09.014</v>
      </c>
      <c r="B4278" s="1521" t="str">
        <f>'Orç - Prédio'!B724</f>
        <v>Comp. Montada</v>
      </c>
      <c r="C4278" s="1521">
        <f>'Orç - Prédio'!C724</f>
        <v>14</v>
      </c>
      <c r="D4278" s="1522" t="s">
        <v>7257</v>
      </c>
      <c r="E4278" s="1523">
        <f>'Orç - Prédio'!E724</f>
        <v>4</v>
      </c>
      <c r="F4278" s="1521" t="s">
        <v>7609</v>
      </c>
      <c r="G4278" s="1524">
        <v>40</v>
      </c>
      <c r="H4278" s="1525">
        <f>H4284</f>
        <v>160</v>
      </c>
      <c r="I4278" s="1910" t="s">
        <v>9564</v>
      </c>
      <c r="J4278" s="1793"/>
      <c r="K4278" s="1793"/>
      <c r="L4278" s="141"/>
      <c r="M4278" s="1515"/>
    </row>
    <row r="4279" spans="1:13" s="156" customFormat="1" ht="30" x14ac:dyDescent="0.2">
      <c r="A4279" s="2145" t="s">
        <v>6257</v>
      </c>
      <c r="B4279" s="2145"/>
      <c r="C4279" s="1496" t="s">
        <v>6899</v>
      </c>
      <c r="D4279" s="1497" t="s">
        <v>7613</v>
      </c>
      <c r="E4279" s="1527">
        <v>1</v>
      </c>
      <c r="F4279" s="1667" t="s">
        <v>7614</v>
      </c>
      <c r="G4279" s="367">
        <v>40</v>
      </c>
      <c r="H4279" s="1530">
        <f>ROUNDDOWN(G4279*E4279,2)</f>
        <v>40</v>
      </c>
      <c r="I4279" s="1642"/>
      <c r="J4279" s="1797"/>
      <c r="K4279" s="1797"/>
      <c r="L4279" s="1784"/>
      <c r="M4279" s="1785"/>
    </row>
    <row r="4280" spans="1:13" s="1517" customFormat="1" x14ac:dyDescent="0.25">
      <c r="A4280" s="179"/>
      <c r="B4280" s="179"/>
      <c r="C4280" s="1531"/>
      <c r="D4280" s="2141" t="s">
        <v>124</v>
      </c>
      <c r="E4280" s="2141"/>
      <c r="F4280" s="2141"/>
      <c r="G4280" s="2141"/>
      <c r="H4280" s="267">
        <f>SUMIF(F4279:F4279,("h"),H4279:H4279)</f>
        <v>0</v>
      </c>
      <c r="I4280" s="1830"/>
      <c r="J4280" s="1795"/>
      <c r="K4280" s="1795"/>
      <c r="L4280" s="169"/>
      <c r="M4280" s="1783"/>
    </row>
    <row r="4281" spans="1:13" s="1517" customFormat="1" x14ac:dyDescent="0.25">
      <c r="A4281" s="179"/>
      <c r="B4281" s="179"/>
      <c r="C4281" s="1531"/>
      <c r="D4281" s="2141" t="s">
        <v>125</v>
      </c>
      <c r="E4281" s="2141"/>
      <c r="F4281" s="2141"/>
      <c r="G4281" s="2141"/>
      <c r="H4281" s="267">
        <f>SUMIF(F4279:F4279,"&lt;&gt;h",H4279:H4279)</f>
        <v>40</v>
      </c>
      <c r="I4281" s="1830"/>
      <c r="J4281" s="1795"/>
      <c r="K4281" s="1795"/>
      <c r="L4281" s="169"/>
      <c r="M4281" s="1783"/>
    </row>
    <row r="4282" spans="1:13" s="1517" customFormat="1" x14ac:dyDescent="0.25">
      <c r="A4282" s="179"/>
      <c r="B4282" s="179"/>
      <c r="C4282" s="1531"/>
      <c r="D4282" s="2142" t="s">
        <v>126</v>
      </c>
      <c r="E4282" s="2142"/>
      <c r="F4282" s="2142"/>
      <c r="G4282" s="2142"/>
      <c r="H4282" s="1532">
        <f>SUM(H4280:H4281)</f>
        <v>40</v>
      </c>
      <c r="I4282" s="1830"/>
      <c r="J4282" s="1795"/>
      <c r="K4282" s="1795"/>
      <c r="L4282" s="169"/>
      <c r="M4282" s="1783"/>
    </row>
    <row r="4283" spans="1:13" s="1517" customFormat="1" x14ac:dyDescent="0.25">
      <c r="A4283" s="179"/>
      <c r="B4283" s="179"/>
      <c r="C4283" s="1531"/>
      <c r="D4283" s="2141" t="s">
        <v>28</v>
      </c>
      <c r="E4283" s="2141"/>
      <c r="F4283" s="2141"/>
      <c r="G4283" s="2141"/>
      <c r="H4283" s="269">
        <f>E4278</f>
        <v>4</v>
      </c>
      <c r="I4283" s="1830"/>
      <c r="J4283" s="1795"/>
      <c r="K4283" s="1795"/>
      <c r="L4283" s="169"/>
      <c r="M4283" s="1783"/>
    </row>
    <row r="4284" spans="1:13" s="1517" customFormat="1" x14ac:dyDescent="0.25">
      <c r="A4284" s="179"/>
      <c r="B4284" s="179"/>
      <c r="C4284" s="1531"/>
      <c r="D4284" s="2142" t="s">
        <v>127</v>
      </c>
      <c r="E4284" s="2142"/>
      <c r="F4284" s="2142"/>
      <c r="G4284" s="2142"/>
      <c r="H4284" s="1532">
        <f>ROUND(H4282*H4283,2)</f>
        <v>160</v>
      </c>
      <c r="I4284" s="1830"/>
      <c r="J4284" s="1795"/>
      <c r="K4284" s="1795"/>
      <c r="L4284" s="169"/>
      <c r="M4284" s="1783"/>
    </row>
    <row r="4285" spans="1:13" s="1517" customFormat="1" x14ac:dyDescent="0.25">
      <c r="A4285" s="179"/>
      <c r="B4285" s="179"/>
      <c r="C4285" s="1531"/>
      <c r="D4285" s="2141" t="s">
        <v>15335</v>
      </c>
      <c r="E4285" s="2141"/>
      <c r="F4285" s="2141"/>
      <c r="G4285" s="2141"/>
      <c r="H4285" s="267">
        <f>ROUND(H4282*$B$13,2)</f>
        <v>10.77</v>
      </c>
      <c r="I4285" s="1830"/>
      <c r="J4285" s="1795"/>
      <c r="K4285" s="1795"/>
      <c r="L4285" s="169"/>
      <c r="M4285" s="1783"/>
    </row>
    <row r="4286" spans="1:13" x14ac:dyDescent="0.25">
      <c r="A4286" s="179"/>
      <c r="B4286" s="179"/>
      <c r="C4286" s="1531"/>
      <c r="D4286" s="2142" t="s">
        <v>7898</v>
      </c>
      <c r="E4286" s="2142"/>
      <c r="F4286" s="2142"/>
      <c r="G4286" s="2142"/>
      <c r="H4286" s="1532">
        <f>H4285+H4282</f>
        <v>50.769999999999996</v>
      </c>
    </row>
    <row r="4287" spans="1:13" x14ac:dyDescent="0.25">
      <c r="A4287" s="1514"/>
      <c r="B4287" s="1514"/>
      <c r="C4287" s="1514"/>
      <c r="F4287" s="1533"/>
      <c r="G4287" s="1534"/>
      <c r="H4287" s="1514"/>
    </row>
    <row r="4288" spans="1:13" s="1517" customFormat="1" x14ac:dyDescent="0.25">
      <c r="A4288" s="146" t="s">
        <v>6</v>
      </c>
      <c r="B4288" s="2143" t="s">
        <v>7</v>
      </c>
      <c r="C4288" s="2143"/>
      <c r="D4288" s="1518" t="s">
        <v>121</v>
      </c>
      <c r="E4288" s="278" t="s">
        <v>5282</v>
      </c>
      <c r="F4288" s="1518" t="s">
        <v>31</v>
      </c>
      <c r="G4288" s="1519" t="s">
        <v>122</v>
      </c>
      <c r="H4288" s="1520" t="s">
        <v>123</v>
      </c>
      <c r="I4288" s="1830"/>
      <c r="J4288" s="1795"/>
      <c r="K4288" s="1795"/>
      <c r="L4288" s="169"/>
      <c r="M4288" s="1783"/>
    </row>
    <row r="4289" spans="1:13" s="1526" customFormat="1" ht="30" x14ac:dyDescent="0.2">
      <c r="A4289" s="1521" t="str">
        <f>'Orç - Prédio'!A747</f>
        <v>07.02.002</v>
      </c>
      <c r="B4289" s="1521" t="str">
        <f>'Orç - Prédio'!B747</f>
        <v>CPOS</v>
      </c>
      <c r="C4289" s="1521" t="str">
        <f>'Orç - Prédio'!C747</f>
        <v>43.08.004 MOD</v>
      </c>
      <c r="D4289" s="1522" t="s">
        <v>7624</v>
      </c>
      <c r="E4289" s="1523">
        <f>'Orç - Prédio'!E747</f>
        <v>6</v>
      </c>
      <c r="F4289" s="1521" t="s">
        <v>5284</v>
      </c>
      <c r="G4289" s="1524">
        <v>507.76</v>
      </c>
      <c r="H4289" s="1525">
        <f>H4297</f>
        <v>3046.56</v>
      </c>
      <c r="I4289" s="1910" t="s">
        <v>9579</v>
      </c>
      <c r="J4289" s="1793"/>
      <c r="K4289" s="1793"/>
      <c r="L4289" s="141"/>
      <c r="M4289" s="1515"/>
    </row>
    <row r="4290" spans="1:13" s="156" customFormat="1" ht="30" x14ac:dyDescent="0.2">
      <c r="A4290" s="2144">
        <v>88264</v>
      </c>
      <c r="B4290" s="2144"/>
      <c r="C4290" s="1516" t="s">
        <v>4448</v>
      </c>
      <c r="D4290" s="182" t="s">
        <v>81</v>
      </c>
      <c r="E4290" s="1527">
        <v>8</v>
      </c>
      <c r="F4290" s="1688" t="s">
        <v>65</v>
      </c>
      <c r="G4290" s="1529">
        <v>20.329999999999998</v>
      </c>
      <c r="H4290" s="1530">
        <f>ROUNDDOWN(G4290*E4290,2)</f>
        <v>162.63999999999999</v>
      </c>
      <c r="I4290" s="1642"/>
      <c r="J4290" s="1797"/>
      <c r="K4290" s="1797"/>
      <c r="L4290" s="1784"/>
      <c r="M4290" s="1785"/>
    </row>
    <row r="4291" spans="1:13" s="156" customFormat="1" ht="30" x14ac:dyDescent="0.2">
      <c r="A4291" s="2144">
        <v>88247</v>
      </c>
      <c r="B4291" s="2144"/>
      <c r="C4291" s="1516" t="s">
        <v>4448</v>
      </c>
      <c r="D4291" s="182" t="s">
        <v>71</v>
      </c>
      <c r="E4291" s="1527">
        <v>8</v>
      </c>
      <c r="F4291" s="1688" t="s">
        <v>65</v>
      </c>
      <c r="G4291" s="1529">
        <v>16.02</v>
      </c>
      <c r="H4291" s="1530">
        <f>ROUNDDOWN(G4291*E4291,2)</f>
        <v>128.16</v>
      </c>
      <c r="I4291" s="1642"/>
      <c r="J4291" s="1797"/>
      <c r="K4291" s="1797"/>
      <c r="L4291" s="1784"/>
      <c r="M4291" s="1785"/>
    </row>
    <row r="4292" spans="1:13" s="156" customFormat="1" ht="30" x14ac:dyDescent="0.2">
      <c r="A4292" s="2144">
        <v>88266</v>
      </c>
      <c r="B4292" s="2144"/>
      <c r="C4292" s="1516" t="s">
        <v>4448</v>
      </c>
      <c r="D4292" s="182" t="s">
        <v>4294</v>
      </c>
      <c r="E4292" s="1527">
        <v>8</v>
      </c>
      <c r="F4292" s="1688" t="s">
        <v>65</v>
      </c>
      <c r="G4292" s="1529">
        <v>27.12</v>
      </c>
      <c r="H4292" s="1530">
        <f>ROUNDDOWN(G4292*E4292,2)</f>
        <v>216.96</v>
      </c>
      <c r="I4292" s="1642"/>
      <c r="J4292" s="1797"/>
      <c r="K4292" s="1797"/>
      <c r="L4292" s="1784"/>
      <c r="M4292" s="1785"/>
    </row>
    <row r="4293" spans="1:13" s="1517" customFormat="1" x14ac:dyDescent="0.25">
      <c r="A4293" s="179"/>
      <c r="B4293" s="179"/>
      <c r="C4293" s="1531"/>
      <c r="D4293" s="2141" t="s">
        <v>124</v>
      </c>
      <c r="E4293" s="2141"/>
      <c r="F4293" s="2141"/>
      <c r="G4293" s="2141"/>
      <c r="H4293" s="267">
        <f>SUMIF(F4290:F4292,("h"),H4290:H4292)</f>
        <v>507.76</v>
      </c>
      <c r="I4293" s="1830"/>
      <c r="J4293" s="1795"/>
      <c r="K4293" s="1795"/>
      <c r="L4293" s="169"/>
      <c r="M4293" s="1783"/>
    </row>
    <row r="4294" spans="1:13" s="1517" customFormat="1" x14ac:dyDescent="0.25">
      <c r="A4294" s="179"/>
      <c r="B4294" s="179"/>
      <c r="C4294" s="1531"/>
      <c r="D4294" s="2141" t="s">
        <v>125</v>
      </c>
      <c r="E4294" s="2141"/>
      <c r="F4294" s="2141"/>
      <c r="G4294" s="2141"/>
      <c r="H4294" s="267">
        <f>SUMIF(F4290:F4292,"&lt;&gt;h",H4290:H4292)</f>
        <v>0</v>
      </c>
      <c r="I4294" s="1830"/>
      <c r="J4294" s="1795"/>
      <c r="K4294" s="1795"/>
      <c r="L4294" s="169"/>
      <c r="M4294" s="1783"/>
    </row>
    <row r="4295" spans="1:13" s="1517" customFormat="1" x14ac:dyDescent="0.25">
      <c r="A4295" s="179"/>
      <c r="B4295" s="179"/>
      <c r="C4295" s="1531"/>
      <c r="D4295" s="2142" t="s">
        <v>126</v>
      </c>
      <c r="E4295" s="2142"/>
      <c r="F4295" s="2142"/>
      <c r="G4295" s="2142"/>
      <c r="H4295" s="1532">
        <f>SUM(H4293:H4294)</f>
        <v>507.76</v>
      </c>
      <c r="I4295" s="1830"/>
      <c r="J4295" s="1795"/>
      <c r="K4295" s="1795"/>
      <c r="L4295" s="169"/>
      <c r="M4295" s="1783"/>
    </row>
    <row r="4296" spans="1:13" s="1517" customFormat="1" x14ac:dyDescent="0.25">
      <c r="A4296" s="179"/>
      <c r="B4296" s="179"/>
      <c r="C4296" s="1531"/>
      <c r="D4296" s="2141" t="s">
        <v>28</v>
      </c>
      <c r="E4296" s="2141"/>
      <c r="F4296" s="2141"/>
      <c r="G4296" s="2141"/>
      <c r="H4296" s="269">
        <f>E4289</f>
        <v>6</v>
      </c>
      <c r="I4296" s="1830"/>
      <c r="J4296" s="1795"/>
      <c r="K4296" s="1795"/>
      <c r="L4296" s="169"/>
      <c r="M4296" s="1783"/>
    </row>
    <row r="4297" spans="1:13" s="1517" customFormat="1" x14ac:dyDescent="0.25">
      <c r="A4297" s="179"/>
      <c r="B4297" s="179"/>
      <c r="C4297" s="1531"/>
      <c r="D4297" s="2142" t="s">
        <v>127</v>
      </c>
      <c r="E4297" s="2142"/>
      <c r="F4297" s="2142"/>
      <c r="G4297" s="2142"/>
      <c r="H4297" s="1532">
        <f>ROUND(H4295*H4296,2)</f>
        <v>3046.56</v>
      </c>
      <c r="I4297" s="1830"/>
      <c r="J4297" s="1795"/>
      <c r="K4297" s="1795"/>
      <c r="L4297" s="169"/>
      <c r="M4297" s="1783"/>
    </row>
    <row r="4298" spans="1:13" s="1517" customFormat="1" x14ac:dyDescent="0.25">
      <c r="A4298" s="179"/>
      <c r="B4298" s="179"/>
      <c r="C4298" s="1531"/>
      <c r="D4298" s="2141" t="s">
        <v>15335</v>
      </c>
      <c r="E4298" s="2141"/>
      <c r="F4298" s="2141"/>
      <c r="G4298" s="2141"/>
      <c r="H4298" s="267">
        <f>ROUND(H4295*$B$13,2)</f>
        <v>136.74</v>
      </c>
      <c r="I4298" s="1830"/>
      <c r="J4298" s="1795"/>
      <c r="K4298" s="1795"/>
      <c r="L4298" s="169"/>
      <c r="M4298" s="1783"/>
    </row>
    <row r="4299" spans="1:13" x14ac:dyDescent="0.25">
      <c r="A4299" s="179"/>
      <c r="B4299" s="179"/>
      <c r="C4299" s="1531"/>
      <c r="D4299" s="2142" t="s">
        <v>7898</v>
      </c>
      <c r="E4299" s="2142"/>
      <c r="F4299" s="2142"/>
      <c r="G4299" s="2142"/>
      <c r="H4299" s="1532">
        <f>H4298+H4295</f>
        <v>644.5</v>
      </c>
    </row>
    <row r="4300" spans="1:13" x14ac:dyDescent="0.25">
      <c r="A4300" s="1514"/>
      <c r="B4300" s="1514"/>
      <c r="C4300" s="1514"/>
      <c r="F4300" s="1533"/>
      <c r="G4300" s="1534"/>
      <c r="H4300" s="1514"/>
    </row>
    <row r="4301" spans="1:13" s="1517" customFormat="1" x14ac:dyDescent="0.25">
      <c r="A4301" s="146" t="s">
        <v>6</v>
      </c>
      <c r="B4301" s="2143" t="s">
        <v>7</v>
      </c>
      <c r="C4301" s="2143"/>
      <c r="D4301" s="1518" t="s">
        <v>121</v>
      </c>
      <c r="E4301" s="278" t="s">
        <v>5282</v>
      </c>
      <c r="F4301" s="1518" t="s">
        <v>31</v>
      </c>
      <c r="G4301" s="1519" t="s">
        <v>122</v>
      </c>
      <c r="H4301" s="1520" t="s">
        <v>123</v>
      </c>
      <c r="I4301" s="1830"/>
      <c r="J4301" s="1795"/>
      <c r="K4301" s="1795"/>
      <c r="L4301" s="169"/>
      <c r="M4301" s="1783"/>
    </row>
    <row r="4302" spans="1:13" s="1526" customFormat="1" ht="30" x14ac:dyDescent="0.2">
      <c r="A4302" s="1521" t="str">
        <f>'Orç - Prédio'!A748</f>
        <v>07.02.003</v>
      </c>
      <c r="B4302" s="1521" t="str">
        <f>'Orç - Prédio'!B748</f>
        <v>CPOS</v>
      </c>
      <c r="C4302" s="1521" t="str">
        <f>'Orç - Prédio'!C748</f>
        <v>43.08.030 MOD</v>
      </c>
      <c r="D4302" s="1522" t="s">
        <v>7767</v>
      </c>
      <c r="E4302" s="1523">
        <f>'Orç - Prédio'!E748</f>
        <v>13</v>
      </c>
      <c r="F4302" s="1521" t="s">
        <v>5284</v>
      </c>
      <c r="G4302" s="1524">
        <v>444.28999999999996</v>
      </c>
      <c r="H4302" s="1525">
        <f>H4310</f>
        <v>5775.77</v>
      </c>
      <c r="I4302" s="1910" t="s">
        <v>9579</v>
      </c>
      <c r="J4302" s="1793"/>
      <c r="K4302" s="1793"/>
      <c r="L4302" s="141"/>
      <c r="M4302" s="1515"/>
    </row>
    <row r="4303" spans="1:13" s="156" customFormat="1" ht="30" x14ac:dyDescent="0.2">
      <c r="A4303" s="2144">
        <v>88264</v>
      </c>
      <c r="B4303" s="2144"/>
      <c r="C4303" s="1516" t="s">
        <v>4448</v>
      </c>
      <c r="D4303" s="182" t="s">
        <v>81</v>
      </c>
      <c r="E4303" s="1527">
        <v>7</v>
      </c>
      <c r="F4303" s="1688" t="s">
        <v>65</v>
      </c>
      <c r="G4303" s="1529">
        <v>20.329999999999998</v>
      </c>
      <c r="H4303" s="1530">
        <f>ROUNDDOWN(G4303*E4303,2)</f>
        <v>142.31</v>
      </c>
      <c r="I4303" s="1642"/>
      <c r="J4303" s="1797"/>
      <c r="K4303" s="1797"/>
      <c r="L4303" s="1784"/>
      <c r="M4303" s="1785"/>
    </row>
    <row r="4304" spans="1:13" s="156" customFormat="1" ht="30" x14ac:dyDescent="0.2">
      <c r="A4304" s="2144">
        <v>88247</v>
      </c>
      <c r="B4304" s="2144"/>
      <c r="C4304" s="1516" t="s">
        <v>4448</v>
      </c>
      <c r="D4304" s="182" t="s">
        <v>71</v>
      </c>
      <c r="E4304" s="1527">
        <v>7</v>
      </c>
      <c r="F4304" s="1688" t="s">
        <v>65</v>
      </c>
      <c r="G4304" s="1529">
        <v>16.02</v>
      </c>
      <c r="H4304" s="1530">
        <f>ROUNDDOWN(G4304*E4304,2)</f>
        <v>112.14</v>
      </c>
      <c r="I4304" s="1642"/>
      <c r="J4304" s="1797"/>
      <c r="K4304" s="1797"/>
      <c r="L4304" s="1784"/>
      <c r="M4304" s="1785"/>
    </row>
    <row r="4305" spans="1:13" s="156" customFormat="1" ht="30" x14ac:dyDescent="0.2">
      <c r="A4305" s="2144">
        <v>88266</v>
      </c>
      <c r="B4305" s="2144"/>
      <c r="C4305" s="1516" t="s">
        <v>4448</v>
      </c>
      <c r="D4305" s="182" t="s">
        <v>4294</v>
      </c>
      <c r="E4305" s="1527">
        <v>7</v>
      </c>
      <c r="F4305" s="1688" t="s">
        <v>65</v>
      </c>
      <c r="G4305" s="1529">
        <v>27.12</v>
      </c>
      <c r="H4305" s="1530">
        <f>ROUNDDOWN(G4305*E4305,2)</f>
        <v>189.84</v>
      </c>
      <c r="I4305" s="1642"/>
      <c r="J4305" s="1797"/>
      <c r="K4305" s="1797"/>
      <c r="L4305" s="1784"/>
      <c r="M4305" s="1785"/>
    </row>
    <row r="4306" spans="1:13" s="1517" customFormat="1" x14ac:dyDescent="0.25">
      <c r="A4306" s="179"/>
      <c r="B4306" s="179"/>
      <c r="C4306" s="1531"/>
      <c r="D4306" s="2141" t="s">
        <v>124</v>
      </c>
      <c r="E4306" s="2141"/>
      <c r="F4306" s="2141"/>
      <c r="G4306" s="2141"/>
      <c r="H4306" s="267">
        <f>SUMIF(F4303:F4305,("h"),H4303:H4305)</f>
        <v>444.28999999999996</v>
      </c>
      <c r="I4306" s="1830"/>
      <c r="J4306" s="1795"/>
      <c r="K4306" s="1795"/>
      <c r="L4306" s="169"/>
      <c r="M4306" s="1783"/>
    </row>
    <row r="4307" spans="1:13" s="1517" customFormat="1" x14ac:dyDescent="0.25">
      <c r="A4307" s="179"/>
      <c r="B4307" s="179"/>
      <c r="C4307" s="1531"/>
      <c r="D4307" s="2141" t="s">
        <v>125</v>
      </c>
      <c r="E4307" s="2141"/>
      <c r="F4307" s="2141"/>
      <c r="G4307" s="2141"/>
      <c r="H4307" s="267">
        <f>SUMIF(F4303:F4305,"&lt;&gt;h",H4303:H4305)</f>
        <v>0</v>
      </c>
      <c r="I4307" s="1830"/>
      <c r="J4307" s="1795"/>
      <c r="K4307" s="1795"/>
      <c r="L4307" s="169"/>
      <c r="M4307" s="1783"/>
    </row>
    <row r="4308" spans="1:13" s="1517" customFormat="1" x14ac:dyDescent="0.25">
      <c r="A4308" s="179"/>
      <c r="B4308" s="179"/>
      <c r="C4308" s="1531"/>
      <c r="D4308" s="2142" t="s">
        <v>126</v>
      </c>
      <c r="E4308" s="2142"/>
      <c r="F4308" s="2142"/>
      <c r="G4308" s="2142"/>
      <c r="H4308" s="1532">
        <f>SUM(H4306:H4307)</f>
        <v>444.28999999999996</v>
      </c>
      <c r="I4308" s="1830"/>
      <c r="J4308" s="1795"/>
      <c r="K4308" s="1795"/>
      <c r="L4308" s="169"/>
      <c r="M4308" s="1783"/>
    </row>
    <row r="4309" spans="1:13" s="1517" customFormat="1" x14ac:dyDescent="0.25">
      <c r="A4309" s="179"/>
      <c r="B4309" s="179"/>
      <c r="C4309" s="1531"/>
      <c r="D4309" s="2141" t="s">
        <v>28</v>
      </c>
      <c r="E4309" s="2141"/>
      <c r="F4309" s="2141"/>
      <c r="G4309" s="2141"/>
      <c r="H4309" s="269">
        <f>E4302</f>
        <v>13</v>
      </c>
      <c r="I4309" s="1830"/>
      <c r="J4309" s="1795"/>
      <c r="K4309" s="1795"/>
      <c r="L4309" s="169"/>
      <c r="M4309" s="1783"/>
    </row>
    <row r="4310" spans="1:13" s="1517" customFormat="1" x14ac:dyDescent="0.25">
      <c r="A4310" s="179"/>
      <c r="B4310" s="179"/>
      <c r="C4310" s="1531"/>
      <c r="D4310" s="2142" t="s">
        <v>127</v>
      </c>
      <c r="E4310" s="2142"/>
      <c r="F4310" s="2142"/>
      <c r="G4310" s="2142"/>
      <c r="H4310" s="1532">
        <f>ROUND(H4308*H4309,2)</f>
        <v>5775.77</v>
      </c>
      <c r="I4310" s="1830"/>
      <c r="J4310" s="1795"/>
      <c r="K4310" s="1795"/>
      <c r="L4310" s="169"/>
      <c r="M4310" s="1783"/>
    </row>
    <row r="4311" spans="1:13" s="1517" customFormat="1" x14ac:dyDescent="0.25">
      <c r="A4311" s="179"/>
      <c r="B4311" s="179"/>
      <c r="C4311" s="1531"/>
      <c r="D4311" s="2141" t="s">
        <v>15335</v>
      </c>
      <c r="E4311" s="2141"/>
      <c r="F4311" s="2141"/>
      <c r="G4311" s="2141"/>
      <c r="H4311" s="267">
        <f>ROUND(H4308*$B$13,2)</f>
        <v>119.65</v>
      </c>
      <c r="I4311" s="1830"/>
      <c r="J4311" s="1795"/>
      <c r="K4311" s="1795"/>
      <c r="L4311" s="169"/>
      <c r="M4311" s="1783"/>
    </row>
    <row r="4312" spans="1:13" x14ac:dyDescent="0.25">
      <c r="A4312" s="179"/>
      <c r="B4312" s="179"/>
      <c r="C4312" s="1531"/>
      <c r="D4312" s="2142" t="s">
        <v>7898</v>
      </c>
      <c r="E4312" s="2142"/>
      <c r="F4312" s="2142"/>
      <c r="G4312" s="2142"/>
      <c r="H4312" s="1532">
        <f>H4311+H4308</f>
        <v>563.93999999999994</v>
      </c>
    </row>
    <row r="4313" spans="1:13" x14ac:dyDescent="0.25">
      <c r="A4313" s="1514"/>
      <c r="B4313" s="1514"/>
      <c r="C4313" s="1514"/>
      <c r="F4313" s="1533"/>
      <c r="G4313" s="1534"/>
      <c r="H4313" s="1514"/>
    </row>
    <row r="4314" spans="1:13" s="1517" customFormat="1" x14ac:dyDescent="0.25">
      <c r="A4314" s="146" t="s">
        <v>6</v>
      </c>
      <c r="B4314" s="2143" t="s">
        <v>7</v>
      </c>
      <c r="C4314" s="2143"/>
      <c r="D4314" s="1518" t="s">
        <v>121</v>
      </c>
      <c r="E4314" s="278" t="s">
        <v>5282</v>
      </c>
      <c r="F4314" s="1518" t="s">
        <v>31</v>
      </c>
      <c r="G4314" s="1519" t="s">
        <v>122</v>
      </c>
      <c r="H4314" s="1520" t="s">
        <v>123</v>
      </c>
      <c r="I4314" s="1830"/>
      <c r="J4314" s="1795"/>
      <c r="K4314" s="1795"/>
      <c r="L4314" s="169"/>
      <c r="M4314" s="1783"/>
    </row>
    <row r="4315" spans="1:13" s="1526" customFormat="1" ht="30" x14ac:dyDescent="0.2">
      <c r="A4315" s="1521" t="str">
        <f>'Orç - Prédio'!A749</f>
        <v>07.02.004</v>
      </c>
      <c r="B4315" s="1521" t="str">
        <f>'Orç - Prédio'!B749</f>
        <v>CPOS</v>
      </c>
      <c r="C4315" s="1521" t="str">
        <f>'Orç - Prédio'!C749</f>
        <v>43.08.040</v>
      </c>
      <c r="D4315" s="1522" t="s">
        <v>7768</v>
      </c>
      <c r="E4315" s="1523">
        <f>'Orç - Prédio'!E749</f>
        <v>40</v>
      </c>
      <c r="F4315" s="1521" t="s">
        <v>5284</v>
      </c>
      <c r="G4315" s="1524">
        <v>444.28999999999996</v>
      </c>
      <c r="H4315" s="1525">
        <f>H4323</f>
        <v>17771.599999999999</v>
      </c>
      <c r="I4315" s="1910" t="s">
        <v>9579</v>
      </c>
      <c r="J4315" s="1793"/>
      <c r="K4315" s="1793"/>
      <c r="L4315" s="141"/>
      <c r="M4315" s="1515"/>
    </row>
    <row r="4316" spans="1:13" s="156" customFormat="1" ht="30" x14ac:dyDescent="0.2">
      <c r="A4316" s="2144">
        <v>88264</v>
      </c>
      <c r="B4316" s="2144"/>
      <c r="C4316" s="1516" t="s">
        <v>4448</v>
      </c>
      <c r="D4316" s="182" t="s">
        <v>81</v>
      </c>
      <c r="E4316" s="1527">
        <v>7</v>
      </c>
      <c r="F4316" s="1688" t="s">
        <v>65</v>
      </c>
      <c r="G4316" s="1529">
        <v>20.329999999999998</v>
      </c>
      <c r="H4316" s="1530">
        <f>ROUNDDOWN(G4316*E4316,2)</f>
        <v>142.31</v>
      </c>
      <c r="I4316" s="1642"/>
      <c r="J4316" s="1797"/>
      <c r="K4316" s="1797"/>
      <c r="L4316" s="1784"/>
      <c r="M4316" s="1785"/>
    </row>
    <row r="4317" spans="1:13" s="156" customFormat="1" ht="30" x14ac:dyDescent="0.2">
      <c r="A4317" s="2144">
        <v>88247</v>
      </c>
      <c r="B4317" s="2144"/>
      <c r="C4317" s="1516" t="s">
        <v>4448</v>
      </c>
      <c r="D4317" s="182" t="s">
        <v>71</v>
      </c>
      <c r="E4317" s="1527">
        <v>7</v>
      </c>
      <c r="F4317" s="1688" t="s">
        <v>65</v>
      </c>
      <c r="G4317" s="1529">
        <v>16.02</v>
      </c>
      <c r="H4317" s="1530">
        <f>ROUNDDOWN(G4317*E4317,2)</f>
        <v>112.14</v>
      </c>
      <c r="I4317" s="1642"/>
      <c r="J4317" s="1797"/>
      <c r="K4317" s="1797"/>
      <c r="L4317" s="1784"/>
      <c r="M4317" s="1785"/>
    </row>
    <row r="4318" spans="1:13" s="156" customFormat="1" ht="30" x14ac:dyDescent="0.2">
      <c r="A4318" s="2144">
        <v>88266</v>
      </c>
      <c r="B4318" s="2144"/>
      <c r="C4318" s="1516" t="s">
        <v>4448</v>
      </c>
      <c r="D4318" s="182" t="s">
        <v>4294</v>
      </c>
      <c r="E4318" s="1527">
        <v>7</v>
      </c>
      <c r="F4318" s="1688" t="s">
        <v>65</v>
      </c>
      <c r="G4318" s="1529">
        <v>27.12</v>
      </c>
      <c r="H4318" s="1530">
        <f>ROUNDDOWN(G4318*E4318,2)</f>
        <v>189.84</v>
      </c>
      <c r="I4318" s="1642"/>
      <c r="J4318" s="1797"/>
      <c r="K4318" s="1797"/>
      <c r="L4318" s="1784"/>
      <c r="M4318" s="1785"/>
    </row>
    <row r="4319" spans="1:13" s="1517" customFormat="1" x14ac:dyDescent="0.25">
      <c r="A4319" s="179"/>
      <c r="B4319" s="179"/>
      <c r="C4319" s="1531"/>
      <c r="D4319" s="2141" t="s">
        <v>124</v>
      </c>
      <c r="E4319" s="2141"/>
      <c r="F4319" s="2141"/>
      <c r="G4319" s="2141"/>
      <c r="H4319" s="267">
        <f>SUMIF(F4316:F4318,("h"),H4316:H4318)</f>
        <v>444.28999999999996</v>
      </c>
      <c r="I4319" s="1830"/>
      <c r="J4319" s="1795"/>
      <c r="K4319" s="1795"/>
      <c r="L4319" s="169"/>
      <c r="M4319" s="1783"/>
    </row>
    <row r="4320" spans="1:13" s="1517" customFormat="1" x14ac:dyDescent="0.25">
      <c r="A4320" s="179"/>
      <c r="B4320" s="179"/>
      <c r="C4320" s="1531"/>
      <c r="D4320" s="2141" t="s">
        <v>125</v>
      </c>
      <c r="E4320" s="2141"/>
      <c r="F4320" s="2141"/>
      <c r="G4320" s="2141"/>
      <c r="H4320" s="267">
        <f>SUMIF(F4316:F4318,"&lt;&gt;h",H4316:H4318)</f>
        <v>0</v>
      </c>
      <c r="I4320" s="1830"/>
      <c r="J4320" s="1795"/>
      <c r="K4320" s="1795"/>
      <c r="L4320" s="169"/>
      <c r="M4320" s="1783"/>
    </row>
    <row r="4321" spans="1:13" s="1517" customFormat="1" x14ac:dyDescent="0.25">
      <c r="A4321" s="179"/>
      <c r="B4321" s="179"/>
      <c r="C4321" s="1531"/>
      <c r="D4321" s="2142" t="s">
        <v>126</v>
      </c>
      <c r="E4321" s="2142"/>
      <c r="F4321" s="2142"/>
      <c r="G4321" s="2142"/>
      <c r="H4321" s="1532">
        <f>SUM(H4319:H4320)</f>
        <v>444.28999999999996</v>
      </c>
      <c r="I4321" s="1830"/>
      <c r="J4321" s="1795"/>
      <c r="K4321" s="1795"/>
      <c r="L4321" s="169"/>
      <c r="M4321" s="1783"/>
    </row>
    <row r="4322" spans="1:13" s="1517" customFormat="1" x14ac:dyDescent="0.25">
      <c r="A4322" s="179"/>
      <c r="B4322" s="179"/>
      <c r="C4322" s="1531"/>
      <c r="D4322" s="2141" t="s">
        <v>28</v>
      </c>
      <c r="E4322" s="2141"/>
      <c r="F4322" s="2141"/>
      <c r="G4322" s="2141"/>
      <c r="H4322" s="269">
        <f>E4315</f>
        <v>40</v>
      </c>
      <c r="I4322" s="1830"/>
      <c r="J4322" s="1795"/>
      <c r="K4322" s="1795"/>
      <c r="L4322" s="169"/>
      <c r="M4322" s="1783"/>
    </row>
    <row r="4323" spans="1:13" s="1517" customFormat="1" x14ac:dyDescent="0.25">
      <c r="A4323" s="179"/>
      <c r="B4323" s="179"/>
      <c r="C4323" s="1531"/>
      <c r="D4323" s="2142" t="s">
        <v>127</v>
      </c>
      <c r="E4323" s="2142"/>
      <c r="F4323" s="2142"/>
      <c r="G4323" s="2142"/>
      <c r="H4323" s="1532">
        <f>ROUND(H4321*H4322,2)</f>
        <v>17771.599999999999</v>
      </c>
      <c r="I4323" s="1830"/>
      <c r="J4323" s="1795"/>
      <c r="K4323" s="1795"/>
      <c r="L4323" s="169"/>
      <c r="M4323" s="1783"/>
    </row>
    <row r="4324" spans="1:13" s="1517" customFormat="1" x14ac:dyDescent="0.25">
      <c r="A4324" s="179"/>
      <c r="B4324" s="179"/>
      <c r="C4324" s="1531"/>
      <c r="D4324" s="2141" t="s">
        <v>15335</v>
      </c>
      <c r="E4324" s="2141"/>
      <c r="F4324" s="2141"/>
      <c r="G4324" s="2141"/>
      <c r="H4324" s="267">
        <f>ROUND(H4321*$B$13,2)</f>
        <v>119.65</v>
      </c>
      <c r="I4324" s="1830"/>
      <c r="J4324" s="1795"/>
      <c r="K4324" s="1795"/>
      <c r="L4324" s="169"/>
      <c r="M4324" s="1783"/>
    </row>
    <row r="4325" spans="1:13" x14ac:dyDescent="0.25">
      <c r="A4325" s="179"/>
      <c r="B4325" s="179"/>
      <c r="C4325" s="1531"/>
      <c r="D4325" s="2142" t="s">
        <v>7898</v>
      </c>
      <c r="E4325" s="2142"/>
      <c r="F4325" s="2142"/>
      <c r="G4325" s="2142"/>
      <c r="H4325" s="1532">
        <f>H4324+H4321</f>
        <v>563.93999999999994</v>
      </c>
    </row>
    <row r="4326" spans="1:13" x14ac:dyDescent="0.25">
      <c r="A4326" s="1514"/>
      <c r="B4326" s="1514"/>
      <c r="C4326" s="1514"/>
      <c r="F4326" s="1533"/>
      <c r="G4326" s="1534"/>
      <c r="H4326" s="1514"/>
    </row>
    <row r="4327" spans="1:13" s="1517" customFormat="1" x14ac:dyDescent="0.25">
      <c r="A4327" s="146" t="s">
        <v>6</v>
      </c>
      <c r="B4327" s="2143" t="s">
        <v>7</v>
      </c>
      <c r="C4327" s="2143"/>
      <c r="D4327" s="1518" t="s">
        <v>121</v>
      </c>
      <c r="E4327" s="278" t="s">
        <v>5282</v>
      </c>
      <c r="F4327" s="1518" t="s">
        <v>31</v>
      </c>
      <c r="G4327" s="1519" t="s">
        <v>122</v>
      </c>
      <c r="H4327" s="1520" t="s">
        <v>123</v>
      </c>
      <c r="I4327" s="1830"/>
      <c r="J4327" s="1795"/>
      <c r="K4327" s="1795"/>
      <c r="L4327" s="169"/>
      <c r="M4327" s="1783"/>
    </row>
    <row r="4328" spans="1:13" s="1526" customFormat="1" ht="30" x14ac:dyDescent="0.2">
      <c r="A4328" s="1521" t="str">
        <f>'Orç - Prédio'!A751</f>
        <v>07.02.301.01</v>
      </c>
      <c r="B4328" s="1521" t="str">
        <f>'Orç - Prédio'!B751</f>
        <v>CPOS</v>
      </c>
      <c r="C4328" s="1521" t="str">
        <f>'Orç - Prédio'!C751</f>
        <v>61.20.450 MOD 1</v>
      </c>
      <c r="D4328" s="1522" t="s">
        <v>7621</v>
      </c>
      <c r="E4328" s="1523">
        <f>'Orç - Prédio'!E751</f>
        <v>1872</v>
      </c>
      <c r="F4328" s="1521" t="s">
        <v>5688</v>
      </c>
      <c r="G4328" s="1524">
        <v>27.880000000000003</v>
      </c>
      <c r="H4328" s="1525">
        <f>H4336</f>
        <v>52191.360000000001</v>
      </c>
      <c r="I4328" s="1910" t="s">
        <v>9579</v>
      </c>
      <c r="J4328" s="1793"/>
      <c r="K4328" s="1793"/>
      <c r="L4328" s="141"/>
      <c r="M4328" s="1515"/>
    </row>
    <row r="4329" spans="1:13" s="156" customFormat="1" ht="30" x14ac:dyDescent="0.2">
      <c r="A4329" s="2145">
        <v>11051</v>
      </c>
      <c r="B4329" s="2145"/>
      <c r="C4329" s="1496" t="s">
        <v>4448</v>
      </c>
      <c r="D4329" s="182" t="s">
        <v>10813</v>
      </c>
      <c r="E4329" s="1527">
        <v>1.1499999999999999</v>
      </c>
      <c r="F4329" s="1556" t="s">
        <v>48</v>
      </c>
      <c r="G4329" s="1529">
        <v>7.45</v>
      </c>
      <c r="H4329" s="1530">
        <f>ROUNDDOWN(G4329*E4329,2)</f>
        <v>8.56</v>
      </c>
      <c r="I4329" s="1642"/>
      <c r="J4329" s="1797"/>
      <c r="K4329" s="1797"/>
      <c r="L4329" s="1784"/>
      <c r="M4329" s="1785"/>
    </row>
    <row r="4330" spans="1:13" s="156" customFormat="1" ht="30" x14ac:dyDescent="0.2">
      <c r="A4330" s="2144">
        <v>88315</v>
      </c>
      <c r="B4330" s="2144"/>
      <c r="C4330" s="1516" t="s">
        <v>4448</v>
      </c>
      <c r="D4330" s="182" t="s">
        <v>109</v>
      </c>
      <c r="E4330" s="1527">
        <v>0.55000000000000004</v>
      </c>
      <c r="F4330" s="1556" t="s">
        <v>65</v>
      </c>
      <c r="G4330" s="1529">
        <v>20.059999999999999</v>
      </c>
      <c r="H4330" s="1530">
        <f>ROUNDDOWN(G4330*E4330,2)</f>
        <v>11.03</v>
      </c>
      <c r="I4330" s="1642"/>
      <c r="J4330" s="1797"/>
      <c r="K4330" s="1797"/>
      <c r="L4330" s="1784"/>
      <c r="M4330" s="1785"/>
    </row>
    <row r="4331" spans="1:13" s="156" customFormat="1" ht="30" x14ac:dyDescent="0.2">
      <c r="A4331" s="2144">
        <v>88316</v>
      </c>
      <c r="B4331" s="2144"/>
      <c r="C4331" s="1516" t="s">
        <v>4448</v>
      </c>
      <c r="D4331" s="182" t="s">
        <v>64</v>
      </c>
      <c r="E4331" s="1527">
        <v>0.55000000000000004</v>
      </c>
      <c r="F4331" s="1556" t="s">
        <v>65</v>
      </c>
      <c r="G4331" s="1529">
        <v>15.08</v>
      </c>
      <c r="H4331" s="1530">
        <f>ROUNDDOWN(G4331*E4331,2)</f>
        <v>8.2899999999999991</v>
      </c>
      <c r="I4331" s="1642"/>
      <c r="J4331" s="1797"/>
      <c r="K4331" s="1797"/>
      <c r="L4331" s="1784"/>
      <c r="M4331" s="1785"/>
    </row>
    <row r="4332" spans="1:13" s="1517" customFormat="1" x14ac:dyDescent="0.25">
      <c r="A4332" s="179"/>
      <c r="B4332" s="179"/>
      <c r="C4332" s="1531"/>
      <c r="D4332" s="2141" t="s">
        <v>124</v>
      </c>
      <c r="E4332" s="2141"/>
      <c r="F4332" s="2141"/>
      <c r="G4332" s="2141"/>
      <c r="H4332" s="267">
        <f>SUMIF(F4329:F4331,("h"),H4329:H4331)</f>
        <v>19.32</v>
      </c>
      <c r="I4332" s="1830"/>
      <c r="J4332" s="1795"/>
      <c r="K4332" s="1795"/>
      <c r="L4332" s="169"/>
      <c r="M4332" s="1783"/>
    </row>
    <row r="4333" spans="1:13" s="1517" customFormat="1" x14ac:dyDescent="0.25">
      <c r="A4333" s="179"/>
      <c r="B4333" s="179"/>
      <c r="C4333" s="1531"/>
      <c r="D4333" s="2141" t="s">
        <v>125</v>
      </c>
      <c r="E4333" s="2141"/>
      <c r="F4333" s="2141"/>
      <c r="G4333" s="2141"/>
      <c r="H4333" s="267">
        <f>SUMIF(F4329:F4331,"&lt;&gt;h",H4329:H4331)</f>
        <v>8.56</v>
      </c>
      <c r="I4333" s="1830"/>
      <c r="J4333" s="1795"/>
      <c r="K4333" s="1795"/>
      <c r="L4333" s="169"/>
      <c r="M4333" s="1783"/>
    </row>
    <row r="4334" spans="1:13" s="1517" customFormat="1" x14ac:dyDescent="0.25">
      <c r="A4334" s="179"/>
      <c r="B4334" s="179"/>
      <c r="C4334" s="1531"/>
      <c r="D4334" s="2142" t="s">
        <v>126</v>
      </c>
      <c r="E4334" s="2142"/>
      <c r="F4334" s="2142"/>
      <c r="G4334" s="2142"/>
      <c r="H4334" s="1532">
        <f>SUM(H4332:H4333)</f>
        <v>27.880000000000003</v>
      </c>
      <c r="I4334" s="1830"/>
      <c r="J4334" s="1795"/>
      <c r="K4334" s="1795"/>
      <c r="L4334" s="169"/>
      <c r="M4334" s="1783"/>
    </row>
    <row r="4335" spans="1:13" s="1517" customFormat="1" x14ac:dyDescent="0.25">
      <c r="A4335" s="179"/>
      <c r="B4335" s="179"/>
      <c r="C4335" s="1531"/>
      <c r="D4335" s="2141" t="s">
        <v>28</v>
      </c>
      <c r="E4335" s="2141"/>
      <c r="F4335" s="2141"/>
      <c r="G4335" s="2141"/>
      <c r="H4335" s="269">
        <f>E4328</f>
        <v>1872</v>
      </c>
      <c r="I4335" s="1830"/>
      <c r="J4335" s="1795"/>
      <c r="K4335" s="1795"/>
      <c r="L4335" s="169"/>
      <c r="M4335" s="1783"/>
    </row>
    <row r="4336" spans="1:13" s="1517" customFormat="1" x14ac:dyDescent="0.25">
      <c r="A4336" s="179"/>
      <c r="B4336" s="179"/>
      <c r="C4336" s="1531"/>
      <c r="D4336" s="2142" t="s">
        <v>127</v>
      </c>
      <c r="E4336" s="2142"/>
      <c r="F4336" s="2142"/>
      <c r="G4336" s="2142"/>
      <c r="H4336" s="1532">
        <f>ROUND(H4334*H4335,2)</f>
        <v>52191.360000000001</v>
      </c>
      <c r="I4336" s="1830"/>
      <c r="J4336" s="1795"/>
      <c r="K4336" s="1795"/>
      <c r="L4336" s="169"/>
      <c r="M4336" s="1783"/>
    </row>
    <row r="4337" spans="1:13" s="1517" customFormat="1" x14ac:dyDescent="0.25">
      <c r="A4337" s="179"/>
      <c r="B4337" s="179"/>
      <c r="C4337" s="1531"/>
      <c r="D4337" s="2141" t="s">
        <v>15335</v>
      </c>
      <c r="E4337" s="2141"/>
      <c r="F4337" s="2141"/>
      <c r="G4337" s="2141"/>
      <c r="H4337" s="267">
        <f>ROUND(H4334*$B$13,2)</f>
        <v>7.51</v>
      </c>
      <c r="I4337" s="1830"/>
      <c r="J4337" s="1795"/>
      <c r="K4337" s="1795"/>
      <c r="L4337" s="169"/>
      <c r="M4337" s="1783"/>
    </row>
    <row r="4338" spans="1:13" x14ac:dyDescent="0.25">
      <c r="A4338" s="179"/>
      <c r="B4338" s="179"/>
      <c r="C4338" s="1531"/>
      <c r="D4338" s="2142" t="s">
        <v>7898</v>
      </c>
      <c r="E4338" s="2142"/>
      <c r="F4338" s="2142"/>
      <c r="G4338" s="2142"/>
      <c r="H4338" s="1532">
        <f>H4337+H4334</f>
        <v>35.39</v>
      </c>
    </row>
    <row r="4339" spans="1:13" x14ac:dyDescent="0.25">
      <c r="A4339" s="1514"/>
      <c r="B4339" s="1514"/>
      <c r="C4339" s="1514"/>
      <c r="F4339" s="1533"/>
      <c r="G4339" s="1534"/>
      <c r="H4339" s="1514"/>
    </row>
    <row r="4340" spans="1:13" s="1517" customFormat="1" x14ac:dyDescent="0.25">
      <c r="A4340" s="146" t="s">
        <v>6</v>
      </c>
      <c r="B4340" s="2143" t="s">
        <v>7</v>
      </c>
      <c r="C4340" s="2143"/>
      <c r="D4340" s="1518" t="s">
        <v>121</v>
      </c>
      <c r="E4340" s="278" t="s">
        <v>5282</v>
      </c>
      <c r="F4340" s="1518" t="s">
        <v>31</v>
      </c>
      <c r="G4340" s="1519" t="s">
        <v>122</v>
      </c>
      <c r="H4340" s="1520" t="s">
        <v>123</v>
      </c>
      <c r="I4340" s="1830"/>
      <c r="J4340" s="1795"/>
      <c r="K4340" s="1795"/>
      <c r="L4340" s="169"/>
      <c r="M4340" s="1783"/>
    </row>
    <row r="4341" spans="1:13" s="1526" customFormat="1" ht="30" x14ac:dyDescent="0.2">
      <c r="A4341" s="1521" t="str">
        <f>'Orç - Prédio'!A752</f>
        <v>07.02.301.02</v>
      </c>
      <c r="B4341" s="1521" t="str">
        <f>'Orç - Prédio'!B752</f>
        <v>CPOS</v>
      </c>
      <c r="C4341" s="1521" t="str">
        <f>'Orç - Prédio'!C752</f>
        <v>61.20.450 MOD 2</v>
      </c>
      <c r="D4341" s="1522" t="s">
        <v>7622</v>
      </c>
      <c r="E4341" s="1523">
        <f>'Orç - Prédio'!E752</f>
        <v>1310</v>
      </c>
      <c r="F4341" s="1521" t="s">
        <v>5688</v>
      </c>
      <c r="G4341" s="1524">
        <v>20.89</v>
      </c>
      <c r="H4341" s="1525">
        <f>H4349</f>
        <v>27365.9</v>
      </c>
      <c r="I4341" s="1910" t="s">
        <v>9579</v>
      </c>
      <c r="J4341" s="1793"/>
      <c r="K4341" s="1793"/>
      <c r="L4341" s="141"/>
      <c r="M4341" s="1515"/>
    </row>
    <row r="4342" spans="1:13" s="156" customFormat="1" ht="30" x14ac:dyDescent="0.2">
      <c r="A4342" s="2145">
        <v>43106</v>
      </c>
      <c r="B4342" s="2145"/>
      <c r="C4342" s="1496" t="s">
        <v>4448</v>
      </c>
      <c r="D4342" s="182" t="s">
        <v>10812</v>
      </c>
      <c r="E4342" s="1527">
        <f>1.15/5.2</f>
        <v>0.22115384615384612</v>
      </c>
      <c r="F4342" s="1556" t="s">
        <v>48</v>
      </c>
      <c r="G4342" s="1529">
        <v>7.14</v>
      </c>
      <c r="H4342" s="1530">
        <f>ROUNDDOWN(G4342*E4342,2)</f>
        <v>1.57</v>
      </c>
      <c r="I4342" s="1642"/>
      <c r="J4342" s="1797"/>
      <c r="K4342" s="1797"/>
      <c r="L4342" s="1784"/>
      <c r="M4342" s="1785"/>
    </row>
    <row r="4343" spans="1:13" s="156" customFormat="1" ht="30" x14ac:dyDescent="0.2">
      <c r="A4343" s="2144">
        <v>88315</v>
      </c>
      <c r="B4343" s="2144"/>
      <c r="C4343" s="1516" t="s">
        <v>4448</v>
      </c>
      <c r="D4343" s="182" t="s">
        <v>109</v>
      </c>
      <c r="E4343" s="1527">
        <v>0.55000000000000004</v>
      </c>
      <c r="F4343" s="1556" t="s">
        <v>65</v>
      </c>
      <c r="G4343" s="1529">
        <v>20.059999999999999</v>
      </c>
      <c r="H4343" s="1530">
        <f>ROUNDDOWN(G4343*E4343,2)</f>
        <v>11.03</v>
      </c>
      <c r="I4343" s="1642"/>
      <c r="J4343" s="1797"/>
      <c r="K4343" s="1797"/>
      <c r="L4343" s="1784"/>
      <c r="M4343" s="1785"/>
    </row>
    <row r="4344" spans="1:13" s="156" customFormat="1" ht="30" x14ac:dyDescent="0.2">
      <c r="A4344" s="2144">
        <v>88316</v>
      </c>
      <c r="B4344" s="2144"/>
      <c r="C4344" s="1516" t="s">
        <v>4448</v>
      </c>
      <c r="D4344" s="182" t="s">
        <v>64</v>
      </c>
      <c r="E4344" s="1527">
        <v>0.55000000000000004</v>
      </c>
      <c r="F4344" s="1556" t="s">
        <v>65</v>
      </c>
      <c r="G4344" s="1529">
        <v>15.08</v>
      </c>
      <c r="H4344" s="1530">
        <f>ROUNDDOWN(G4344*E4344,2)</f>
        <v>8.2899999999999991</v>
      </c>
      <c r="I4344" s="1642"/>
      <c r="J4344" s="1797"/>
      <c r="K4344" s="1797"/>
      <c r="L4344" s="1784"/>
      <c r="M4344" s="1785"/>
    </row>
    <row r="4345" spans="1:13" s="1517" customFormat="1" x14ac:dyDescent="0.25">
      <c r="A4345" s="179"/>
      <c r="B4345" s="179"/>
      <c r="C4345" s="1531"/>
      <c r="D4345" s="2141" t="s">
        <v>124</v>
      </c>
      <c r="E4345" s="2141"/>
      <c r="F4345" s="2141"/>
      <c r="G4345" s="2141"/>
      <c r="H4345" s="267">
        <f>SUMIF(F4342:F4344,("h"),H4342:H4344)</f>
        <v>19.32</v>
      </c>
      <c r="I4345" s="1830"/>
      <c r="J4345" s="1795"/>
      <c r="K4345" s="1795"/>
      <c r="L4345" s="169"/>
      <c r="M4345" s="1783"/>
    </row>
    <row r="4346" spans="1:13" s="1517" customFormat="1" x14ac:dyDescent="0.25">
      <c r="A4346" s="179"/>
      <c r="B4346" s="179"/>
      <c r="C4346" s="1531"/>
      <c r="D4346" s="2141" t="s">
        <v>125</v>
      </c>
      <c r="E4346" s="2141"/>
      <c r="F4346" s="2141"/>
      <c r="G4346" s="2141"/>
      <c r="H4346" s="267">
        <f>SUMIF(F4342:F4344,"&lt;&gt;h",H4342:H4344)</f>
        <v>1.57</v>
      </c>
      <c r="I4346" s="1830"/>
      <c r="J4346" s="1795"/>
      <c r="K4346" s="1795"/>
      <c r="L4346" s="169"/>
      <c r="M4346" s="1783"/>
    </row>
    <row r="4347" spans="1:13" s="1517" customFormat="1" x14ac:dyDescent="0.25">
      <c r="A4347" s="179"/>
      <c r="B4347" s="179"/>
      <c r="C4347" s="1531"/>
      <c r="D4347" s="2142" t="s">
        <v>126</v>
      </c>
      <c r="E4347" s="2142"/>
      <c r="F4347" s="2142"/>
      <c r="G4347" s="2142"/>
      <c r="H4347" s="1532">
        <f>SUM(H4345:H4346)</f>
        <v>20.89</v>
      </c>
      <c r="I4347" s="1830"/>
      <c r="J4347" s="1795"/>
      <c r="K4347" s="1795"/>
      <c r="L4347" s="169"/>
      <c r="M4347" s="1783"/>
    </row>
    <row r="4348" spans="1:13" s="1517" customFormat="1" x14ac:dyDescent="0.25">
      <c r="A4348" s="179"/>
      <c r="B4348" s="179"/>
      <c r="C4348" s="1531"/>
      <c r="D4348" s="2141" t="s">
        <v>28</v>
      </c>
      <c r="E4348" s="2141"/>
      <c r="F4348" s="2141"/>
      <c r="G4348" s="2141"/>
      <c r="H4348" s="269">
        <f>E4341</f>
        <v>1310</v>
      </c>
      <c r="I4348" s="1830"/>
      <c r="J4348" s="1795"/>
      <c r="K4348" s="1795"/>
      <c r="L4348" s="169"/>
      <c r="M4348" s="1783"/>
    </row>
    <row r="4349" spans="1:13" s="1517" customFormat="1" x14ac:dyDescent="0.25">
      <c r="A4349" s="179"/>
      <c r="B4349" s="179"/>
      <c r="C4349" s="1531"/>
      <c r="D4349" s="2142" t="s">
        <v>127</v>
      </c>
      <c r="E4349" s="2142"/>
      <c r="F4349" s="2142"/>
      <c r="G4349" s="2142"/>
      <c r="H4349" s="1532">
        <f>ROUND(H4347*H4348,2)</f>
        <v>27365.9</v>
      </c>
      <c r="I4349" s="1830"/>
      <c r="J4349" s="1795"/>
      <c r="K4349" s="1795"/>
      <c r="L4349" s="169"/>
      <c r="M4349" s="1783"/>
    </row>
    <row r="4350" spans="1:13" s="1517" customFormat="1" x14ac:dyDescent="0.25">
      <c r="A4350" s="179"/>
      <c r="B4350" s="179"/>
      <c r="C4350" s="1531"/>
      <c r="D4350" s="2141" t="s">
        <v>15335</v>
      </c>
      <c r="E4350" s="2141"/>
      <c r="F4350" s="2141"/>
      <c r="G4350" s="2141"/>
      <c r="H4350" s="267">
        <f>ROUND(H4347*$B$13,2)</f>
        <v>5.63</v>
      </c>
      <c r="I4350" s="1830"/>
      <c r="J4350" s="1795"/>
      <c r="K4350" s="1795"/>
      <c r="L4350" s="169"/>
      <c r="M4350" s="1783"/>
    </row>
    <row r="4351" spans="1:13" x14ac:dyDescent="0.25">
      <c r="A4351" s="179"/>
      <c r="B4351" s="179"/>
      <c r="C4351" s="1531"/>
      <c r="D4351" s="2142" t="s">
        <v>7898</v>
      </c>
      <c r="E4351" s="2142"/>
      <c r="F4351" s="2142"/>
      <c r="G4351" s="2142"/>
      <c r="H4351" s="1532">
        <f>H4350+H4347</f>
        <v>26.52</v>
      </c>
    </row>
    <row r="4352" spans="1:13" x14ac:dyDescent="0.25">
      <c r="A4352" s="1514"/>
      <c r="B4352" s="1514"/>
      <c r="C4352" s="1514"/>
      <c r="F4352" s="1533"/>
      <c r="G4352" s="1534"/>
      <c r="H4352" s="1514"/>
    </row>
    <row r="4353" spans="1:13" s="1517" customFormat="1" x14ac:dyDescent="0.25">
      <c r="A4353" s="146" t="s">
        <v>6</v>
      </c>
      <c r="B4353" s="2143" t="s">
        <v>7</v>
      </c>
      <c r="C4353" s="2143"/>
      <c r="D4353" s="1518" t="s">
        <v>121</v>
      </c>
      <c r="E4353" s="278" t="s">
        <v>5282</v>
      </c>
      <c r="F4353" s="1518" t="s">
        <v>31</v>
      </c>
      <c r="G4353" s="1519" t="s">
        <v>122</v>
      </c>
      <c r="H4353" s="1520" t="s">
        <v>123</v>
      </c>
      <c r="I4353" s="1830"/>
      <c r="J4353" s="1795"/>
      <c r="K4353" s="1795"/>
      <c r="L4353" s="169"/>
      <c r="M4353" s="1783"/>
    </row>
    <row r="4354" spans="1:13" s="1526" customFormat="1" ht="30" x14ac:dyDescent="0.2">
      <c r="A4354" s="1521" t="str">
        <f>'Orç - Prédio'!A753</f>
        <v>07.02.301.03</v>
      </c>
      <c r="B4354" s="1521" t="str">
        <f>'Orç - Prédio'!B753</f>
        <v>CPOS</v>
      </c>
      <c r="C4354" s="1521" t="str">
        <f>'Orç - Prédio'!C753</f>
        <v>61.20.450 MOD 3</v>
      </c>
      <c r="D4354" s="1560" t="s">
        <v>7623</v>
      </c>
      <c r="E4354" s="1523">
        <f>'Orç - Prédio'!E753</f>
        <v>768</v>
      </c>
      <c r="F4354" s="1521" t="s">
        <v>5688</v>
      </c>
      <c r="G4354" s="1524">
        <v>27.48</v>
      </c>
      <c r="H4354" s="1525">
        <f>H4362</f>
        <v>21104.639999999999</v>
      </c>
      <c r="I4354" s="1910" t="s">
        <v>9579</v>
      </c>
      <c r="J4354" s="1793"/>
      <c r="K4354" s="1793"/>
      <c r="L4354" s="141"/>
      <c r="M4354" s="1515"/>
    </row>
    <row r="4355" spans="1:13" s="156" customFormat="1" ht="30" x14ac:dyDescent="0.2">
      <c r="A4355" s="2145">
        <v>11049</v>
      </c>
      <c r="B4355" s="2145"/>
      <c r="C4355" s="1496" t="s">
        <v>4448</v>
      </c>
      <c r="D4355" s="182" t="s">
        <v>10811</v>
      </c>
      <c r="E4355" s="1527">
        <v>1.1499999999999999</v>
      </c>
      <c r="F4355" s="1556" t="s">
        <v>48</v>
      </c>
      <c r="G4355" s="1529">
        <v>7.1</v>
      </c>
      <c r="H4355" s="1530">
        <f>ROUNDDOWN(G4355*E4355,2)</f>
        <v>8.16</v>
      </c>
      <c r="I4355" s="1642"/>
      <c r="J4355" s="1797"/>
      <c r="K4355" s="1797"/>
      <c r="L4355" s="1784"/>
      <c r="M4355" s="1785"/>
    </row>
    <row r="4356" spans="1:13" s="156" customFormat="1" ht="30" x14ac:dyDescent="0.2">
      <c r="A4356" s="2144">
        <v>88315</v>
      </c>
      <c r="B4356" s="2144"/>
      <c r="C4356" s="1516" t="s">
        <v>4448</v>
      </c>
      <c r="D4356" s="182" t="s">
        <v>109</v>
      </c>
      <c r="E4356" s="1527">
        <v>0.55000000000000004</v>
      </c>
      <c r="F4356" s="1556" t="s">
        <v>65</v>
      </c>
      <c r="G4356" s="1529">
        <v>20.059999999999999</v>
      </c>
      <c r="H4356" s="1530">
        <f>ROUNDDOWN(G4356*E4356,2)</f>
        <v>11.03</v>
      </c>
      <c r="I4356" s="1642"/>
      <c r="J4356" s="1797"/>
      <c r="K4356" s="1797"/>
      <c r="L4356" s="1784"/>
      <c r="M4356" s="1785"/>
    </row>
    <row r="4357" spans="1:13" s="156" customFormat="1" ht="30" x14ac:dyDescent="0.2">
      <c r="A4357" s="2144">
        <v>88316</v>
      </c>
      <c r="B4357" s="2144"/>
      <c r="C4357" s="1516" t="s">
        <v>4448</v>
      </c>
      <c r="D4357" s="182" t="s">
        <v>64</v>
      </c>
      <c r="E4357" s="1527">
        <v>0.55000000000000004</v>
      </c>
      <c r="F4357" s="1556" t="s">
        <v>65</v>
      </c>
      <c r="G4357" s="1529">
        <v>15.08</v>
      </c>
      <c r="H4357" s="1530">
        <f>ROUNDDOWN(G4357*E4357,2)</f>
        <v>8.2899999999999991</v>
      </c>
      <c r="I4357" s="1642"/>
      <c r="J4357" s="1797"/>
      <c r="K4357" s="1797"/>
      <c r="L4357" s="1784"/>
      <c r="M4357" s="1785"/>
    </row>
    <row r="4358" spans="1:13" s="1517" customFormat="1" x14ac:dyDescent="0.25">
      <c r="A4358" s="179"/>
      <c r="B4358" s="179"/>
      <c r="C4358" s="1531"/>
      <c r="D4358" s="2141" t="s">
        <v>124</v>
      </c>
      <c r="E4358" s="2141"/>
      <c r="F4358" s="2141"/>
      <c r="G4358" s="2141"/>
      <c r="H4358" s="267">
        <f>SUMIF(F4355:F4357,("h"),H4355:H4357)</f>
        <v>19.32</v>
      </c>
      <c r="I4358" s="1830"/>
      <c r="J4358" s="1795"/>
      <c r="K4358" s="1795"/>
      <c r="L4358" s="169"/>
      <c r="M4358" s="1783"/>
    </row>
    <row r="4359" spans="1:13" s="1517" customFormat="1" x14ac:dyDescent="0.25">
      <c r="A4359" s="179"/>
      <c r="B4359" s="179"/>
      <c r="C4359" s="1531"/>
      <c r="D4359" s="2141" t="s">
        <v>125</v>
      </c>
      <c r="E4359" s="2141"/>
      <c r="F4359" s="2141"/>
      <c r="G4359" s="2141"/>
      <c r="H4359" s="267">
        <f>SUMIF(F4355:F4357,"&lt;&gt;h",H4355:H4357)</f>
        <v>8.16</v>
      </c>
      <c r="I4359" s="1830"/>
      <c r="J4359" s="1795"/>
      <c r="K4359" s="1795"/>
      <c r="L4359" s="169"/>
      <c r="M4359" s="1783"/>
    </row>
    <row r="4360" spans="1:13" s="1517" customFormat="1" x14ac:dyDescent="0.25">
      <c r="A4360" s="179"/>
      <c r="B4360" s="179"/>
      <c r="C4360" s="1531"/>
      <c r="D4360" s="2142" t="s">
        <v>126</v>
      </c>
      <c r="E4360" s="2142"/>
      <c r="F4360" s="2142"/>
      <c r="G4360" s="2142"/>
      <c r="H4360" s="1532">
        <f>SUM(H4358:H4359)</f>
        <v>27.48</v>
      </c>
      <c r="I4360" s="1830"/>
      <c r="J4360" s="1795"/>
      <c r="K4360" s="1795"/>
      <c r="L4360" s="169"/>
      <c r="M4360" s="1783"/>
    </row>
    <row r="4361" spans="1:13" s="1517" customFormat="1" x14ac:dyDescent="0.25">
      <c r="A4361" s="179"/>
      <c r="B4361" s="179"/>
      <c r="C4361" s="1531"/>
      <c r="D4361" s="2141" t="s">
        <v>28</v>
      </c>
      <c r="E4361" s="2141"/>
      <c r="F4361" s="2141"/>
      <c r="G4361" s="2141"/>
      <c r="H4361" s="269">
        <f>E4354</f>
        <v>768</v>
      </c>
      <c r="I4361" s="1830"/>
      <c r="J4361" s="1795"/>
      <c r="K4361" s="1795"/>
      <c r="L4361" s="169"/>
      <c r="M4361" s="1783"/>
    </row>
    <row r="4362" spans="1:13" s="1517" customFormat="1" x14ac:dyDescent="0.25">
      <c r="A4362" s="179"/>
      <c r="B4362" s="179"/>
      <c r="C4362" s="1531"/>
      <c r="D4362" s="2142" t="s">
        <v>127</v>
      </c>
      <c r="E4362" s="2142"/>
      <c r="F4362" s="2142"/>
      <c r="G4362" s="2142"/>
      <c r="H4362" s="1532">
        <f>ROUND(H4360*H4361,2)</f>
        <v>21104.639999999999</v>
      </c>
      <c r="I4362" s="1830"/>
      <c r="J4362" s="1795"/>
      <c r="K4362" s="1795"/>
      <c r="L4362" s="169"/>
      <c r="M4362" s="1783"/>
    </row>
    <row r="4363" spans="1:13" s="1517" customFormat="1" x14ac:dyDescent="0.25">
      <c r="A4363" s="179"/>
      <c r="B4363" s="179"/>
      <c r="C4363" s="1531"/>
      <c r="D4363" s="2141" t="s">
        <v>15335</v>
      </c>
      <c r="E4363" s="2141"/>
      <c r="F4363" s="2141"/>
      <c r="G4363" s="2141"/>
      <c r="H4363" s="267">
        <f>ROUND(H4360*$B$13,2)</f>
        <v>7.4</v>
      </c>
      <c r="I4363" s="1830"/>
      <c r="J4363" s="1795"/>
      <c r="K4363" s="1795"/>
      <c r="L4363" s="169"/>
      <c r="M4363" s="1783"/>
    </row>
    <row r="4364" spans="1:13" x14ac:dyDescent="0.25">
      <c r="A4364" s="179"/>
      <c r="B4364" s="179"/>
      <c r="C4364" s="1531"/>
      <c r="D4364" s="2142" t="s">
        <v>7898</v>
      </c>
      <c r="E4364" s="2142"/>
      <c r="F4364" s="2142"/>
      <c r="G4364" s="2142"/>
      <c r="H4364" s="1532">
        <f>H4363+H4360</f>
        <v>34.880000000000003</v>
      </c>
    </row>
    <row r="4365" spans="1:13" x14ac:dyDescent="0.25">
      <c r="A4365" s="1514"/>
      <c r="B4365" s="1514"/>
      <c r="C4365" s="1514"/>
      <c r="F4365" s="1533"/>
      <c r="G4365" s="1534"/>
      <c r="H4365" s="1514"/>
    </row>
    <row r="4366" spans="1:13" s="1517" customFormat="1" x14ac:dyDescent="0.25">
      <c r="A4366" s="146" t="s">
        <v>6</v>
      </c>
      <c r="B4366" s="2143" t="s">
        <v>7</v>
      </c>
      <c r="C4366" s="2143"/>
      <c r="D4366" s="1518" t="s">
        <v>121</v>
      </c>
      <c r="E4366" s="278" t="s">
        <v>5282</v>
      </c>
      <c r="F4366" s="1518" t="s">
        <v>31</v>
      </c>
      <c r="G4366" s="1519" t="s">
        <v>122</v>
      </c>
      <c r="H4366" s="1520" t="s">
        <v>123</v>
      </c>
      <c r="I4366" s="1830"/>
      <c r="J4366" s="1795"/>
      <c r="K4366" s="1795"/>
      <c r="L4366" s="169"/>
      <c r="M4366" s="1783"/>
    </row>
    <row r="4367" spans="1:13" s="1526" customFormat="1" ht="45" x14ac:dyDescent="0.2">
      <c r="A4367" s="1521" t="str">
        <f>'Orç - Prédio'!A754</f>
        <v>07.02.304.01</v>
      </c>
      <c r="B4367" s="1521" t="str">
        <f>'Orç - Prédio'!B754</f>
        <v>ORSE</v>
      </c>
      <c r="C4367" s="1521" t="str">
        <f>'Orç - Prédio'!C754</f>
        <v>10398 INSUMO</v>
      </c>
      <c r="D4367" s="1522" t="s">
        <v>6802</v>
      </c>
      <c r="E4367" s="1523">
        <f>'Orç - Prédio'!E754</f>
        <v>330</v>
      </c>
      <c r="F4367" s="1521" t="s">
        <v>5286</v>
      </c>
      <c r="G4367" s="1524">
        <v>24.51</v>
      </c>
      <c r="H4367" s="1525">
        <f>H4373</f>
        <v>8088.3</v>
      </c>
      <c r="I4367" s="1910" t="s">
        <v>14965</v>
      </c>
      <c r="J4367" s="1793"/>
      <c r="K4367" s="1793"/>
      <c r="L4367" s="141"/>
      <c r="M4367" s="1515"/>
    </row>
    <row r="4368" spans="1:13" s="156" customFormat="1" ht="30" x14ac:dyDescent="0.2">
      <c r="A4368" s="2145">
        <v>10398</v>
      </c>
      <c r="B4368" s="2145"/>
      <c r="C4368" s="1496" t="s">
        <v>5281</v>
      </c>
      <c r="D4368" s="182" t="s">
        <v>6882</v>
      </c>
      <c r="E4368" s="1527">
        <v>1</v>
      </c>
      <c r="F4368" s="1556" t="s">
        <v>306</v>
      </c>
      <c r="G4368" s="367">
        <v>24.51</v>
      </c>
      <c r="H4368" s="1530">
        <f>ROUNDDOWN(G4368*E4368,2)</f>
        <v>24.51</v>
      </c>
      <c r="I4368" s="1642"/>
      <c r="J4368" s="1797"/>
      <c r="K4368" s="1797"/>
      <c r="L4368" s="1784"/>
      <c r="M4368" s="1785"/>
    </row>
    <row r="4369" spans="1:13" s="1517" customFormat="1" x14ac:dyDescent="0.25">
      <c r="A4369" s="179"/>
      <c r="B4369" s="179"/>
      <c r="C4369" s="1531"/>
      <c r="D4369" s="2141" t="s">
        <v>124</v>
      </c>
      <c r="E4369" s="2141"/>
      <c r="F4369" s="2141"/>
      <c r="G4369" s="2141"/>
      <c r="H4369" s="267">
        <f>SUMIF(F4368:F4368,("h"),H4368:H4368)</f>
        <v>0</v>
      </c>
      <c r="I4369" s="1830"/>
      <c r="J4369" s="1795"/>
      <c r="K4369" s="1795"/>
      <c r="L4369" s="169"/>
      <c r="M4369" s="1783"/>
    </row>
    <row r="4370" spans="1:13" s="1517" customFormat="1" x14ac:dyDescent="0.25">
      <c r="A4370" s="179"/>
      <c r="B4370" s="179"/>
      <c r="C4370" s="1531"/>
      <c r="D4370" s="2141" t="s">
        <v>125</v>
      </c>
      <c r="E4370" s="2141"/>
      <c r="F4370" s="2141"/>
      <c r="G4370" s="2141"/>
      <c r="H4370" s="267">
        <f>SUMIF(F4368:F4368,"&lt;&gt;h",H4368:H4368)</f>
        <v>24.51</v>
      </c>
      <c r="I4370" s="1830"/>
      <c r="J4370" s="1795"/>
      <c r="K4370" s="1795"/>
      <c r="L4370" s="169"/>
      <c r="M4370" s="1783"/>
    </row>
    <row r="4371" spans="1:13" s="1517" customFormat="1" x14ac:dyDescent="0.25">
      <c r="A4371" s="179"/>
      <c r="B4371" s="179"/>
      <c r="C4371" s="1531"/>
      <c r="D4371" s="2142" t="s">
        <v>126</v>
      </c>
      <c r="E4371" s="2142"/>
      <c r="F4371" s="2142"/>
      <c r="G4371" s="2142"/>
      <c r="H4371" s="1532">
        <f>SUM(H4369:H4370)</f>
        <v>24.51</v>
      </c>
      <c r="I4371" s="1830"/>
      <c r="J4371" s="1795"/>
      <c r="K4371" s="1795"/>
      <c r="L4371" s="169"/>
      <c r="M4371" s="1783"/>
    </row>
    <row r="4372" spans="1:13" s="1517" customFormat="1" x14ac:dyDescent="0.25">
      <c r="A4372" s="179"/>
      <c r="B4372" s="179"/>
      <c r="C4372" s="1531"/>
      <c r="D4372" s="2141" t="s">
        <v>28</v>
      </c>
      <c r="E4372" s="2141"/>
      <c r="F4372" s="2141"/>
      <c r="G4372" s="2141"/>
      <c r="H4372" s="269">
        <f>E4367</f>
        <v>330</v>
      </c>
      <c r="I4372" s="1830"/>
      <c r="J4372" s="1795"/>
      <c r="K4372" s="1795"/>
      <c r="L4372" s="169"/>
      <c r="M4372" s="1783"/>
    </row>
    <row r="4373" spans="1:13" s="1517" customFormat="1" x14ac:dyDescent="0.25">
      <c r="A4373" s="179"/>
      <c r="B4373" s="179"/>
      <c r="C4373" s="1531"/>
      <c r="D4373" s="2142" t="s">
        <v>127</v>
      </c>
      <c r="E4373" s="2142"/>
      <c r="F4373" s="2142"/>
      <c r="G4373" s="2142"/>
      <c r="H4373" s="1532">
        <f>ROUND(H4371*H4372,2)</f>
        <v>8088.3</v>
      </c>
      <c r="I4373" s="1830"/>
      <c r="J4373" s="1795"/>
      <c r="K4373" s="1795"/>
      <c r="L4373" s="169"/>
      <c r="M4373" s="1783"/>
    </row>
    <row r="4374" spans="1:13" s="1517" customFormat="1" x14ac:dyDescent="0.25">
      <c r="A4374" s="179"/>
      <c r="B4374" s="179"/>
      <c r="C4374" s="1531"/>
      <c r="D4374" s="2141" t="s">
        <v>15335</v>
      </c>
      <c r="E4374" s="2141"/>
      <c r="F4374" s="2141"/>
      <c r="G4374" s="2141"/>
      <c r="H4374" s="267">
        <f>ROUND(H4371*$B$13,2)</f>
        <v>6.6</v>
      </c>
      <c r="I4374" s="1830"/>
      <c r="J4374" s="1795"/>
      <c r="K4374" s="1795"/>
      <c r="L4374" s="169"/>
      <c r="M4374" s="1783"/>
    </row>
    <row r="4375" spans="1:13" x14ac:dyDescent="0.25">
      <c r="A4375" s="179"/>
      <c r="B4375" s="179"/>
      <c r="C4375" s="1531"/>
      <c r="D4375" s="2142" t="s">
        <v>7898</v>
      </c>
      <c r="E4375" s="2142"/>
      <c r="F4375" s="2142"/>
      <c r="G4375" s="2142"/>
      <c r="H4375" s="1532">
        <f>H4374+H4371</f>
        <v>31.11</v>
      </c>
    </row>
    <row r="4376" spans="1:13" x14ac:dyDescent="0.25">
      <c r="A4376" s="1514"/>
      <c r="B4376" s="1514"/>
      <c r="C4376" s="1514"/>
      <c r="F4376" s="1533"/>
      <c r="G4376" s="1534"/>
      <c r="H4376" s="1514"/>
    </row>
    <row r="4377" spans="1:13" s="1517" customFormat="1" x14ac:dyDescent="0.25">
      <c r="A4377" s="146" t="s">
        <v>6</v>
      </c>
      <c r="B4377" s="2143" t="s">
        <v>7</v>
      </c>
      <c r="C4377" s="2143"/>
      <c r="D4377" s="1518" t="s">
        <v>121</v>
      </c>
      <c r="E4377" s="278" t="s">
        <v>5282</v>
      </c>
      <c r="F4377" s="1518" t="s">
        <v>31</v>
      </c>
      <c r="G4377" s="1519" t="s">
        <v>122</v>
      </c>
      <c r="H4377" s="1520" t="s">
        <v>123</v>
      </c>
      <c r="I4377" s="1830"/>
      <c r="J4377" s="1795"/>
      <c r="K4377" s="1795"/>
      <c r="L4377" s="169"/>
      <c r="M4377" s="1783"/>
    </row>
    <row r="4378" spans="1:13" s="1526" customFormat="1" ht="30" x14ac:dyDescent="0.2">
      <c r="A4378" s="1521" t="str">
        <f>'Orç - Prédio'!A755</f>
        <v>07.02.305.01</v>
      </c>
      <c r="B4378" s="1521" t="str">
        <f>'Orç - Prédio'!B755</f>
        <v>CPOS INSUMO</v>
      </c>
      <c r="C4378" s="1521" t="str">
        <f>'Orç - Prédio'!C755</f>
        <v>S.04.000.069569</v>
      </c>
      <c r="D4378" s="1522" t="s">
        <v>6805</v>
      </c>
      <c r="E4378" s="1523">
        <f>'Orç - Prédio'!E755</f>
        <v>2000</v>
      </c>
      <c r="F4378" s="1521" t="s">
        <v>5284</v>
      </c>
      <c r="G4378" s="1524">
        <v>0.39</v>
      </c>
      <c r="H4378" s="1525">
        <f>H4384</f>
        <v>780</v>
      </c>
      <c r="I4378" s="1910" t="s">
        <v>9579</v>
      </c>
      <c r="J4378" s="1793"/>
      <c r="K4378" s="1793"/>
      <c r="L4378" s="141"/>
      <c r="M4378" s="1515"/>
    </row>
    <row r="4379" spans="1:13" s="156" customFormat="1" ht="30" x14ac:dyDescent="0.2">
      <c r="A4379" s="2145" t="s">
        <v>6883</v>
      </c>
      <c r="B4379" s="2145"/>
      <c r="C4379" s="1496" t="s">
        <v>5696</v>
      </c>
      <c r="D4379" s="182" t="s">
        <v>6884</v>
      </c>
      <c r="E4379" s="1527">
        <v>1</v>
      </c>
      <c r="F4379" s="1559" t="s">
        <v>6885</v>
      </c>
      <c r="G4379" s="367">
        <v>0.39</v>
      </c>
      <c r="H4379" s="1530">
        <f>ROUNDDOWN(G4379*E4379,2)</f>
        <v>0.39</v>
      </c>
      <c r="I4379" s="1642"/>
      <c r="J4379" s="1797"/>
      <c r="K4379" s="1797"/>
      <c r="L4379" s="1784"/>
      <c r="M4379" s="1785"/>
    </row>
    <row r="4380" spans="1:13" s="1517" customFormat="1" x14ac:dyDescent="0.25">
      <c r="A4380" s="179"/>
      <c r="B4380" s="179"/>
      <c r="C4380" s="1531"/>
      <c r="D4380" s="2141" t="s">
        <v>124</v>
      </c>
      <c r="E4380" s="2141"/>
      <c r="F4380" s="2141"/>
      <c r="G4380" s="2141"/>
      <c r="H4380" s="267">
        <f>SUMIF(F4379:F4379,("h"),H4379:H4379)</f>
        <v>0</v>
      </c>
      <c r="I4380" s="1830"/>
      <c r="J4380" s="1795"/>
      <c r="K4380" s="1795"/>
      <c r="L4380" s="169"/>
      <c r="M4380" s="1783"/>
    </row>
    <row r="4381" spans="1:13" s="1517" customFormat="1" x14ac:dyDescent="0.25">
      <c r="A4381" s="179"/>
      <c r="B4381" s="179"/>
      <c r="C4381" s="1531"/>
      <c r="D4381" s="2141" t="s">
        <v>125</v>
      </c>
      <c r="E4381" s="2141"/>
      <c r="F4381" s="2141"/>
      <c r="G4381" s="2141"/>
      <c r="H4381" s="267">
        <f>SUMIF(F4379:F4379,"&lt;&gt;h",H4379:H4379)</f>
        <v>0.39</v>
      </c>
      <c r="I4381" s="1830"/>
      <c r="J4381" s="1795"/>
      <c r="K4381" s="1795"/>
      <c r="L4381" s="169"/>
      <c r="M4381" s="1783"/>
    </row>
    <row r="4382" spans="1:13" s="1517" customFormat="1" x14ac:dyDescent="0.25">
      <c r="A4382" s="179"/>
      <c r="B4382" s="179"/>
      <c r="C4382" s="1531"/>
      <c r="D4382" s="2142" t="s">
        <v>126</v>
      </c>
      <c r="E4382" s="2142"/>
      <c r="F4382" s="2142"/>
      <c r="G4382" s="2142"/>
      <c r="H4382" s="1532">
        <f>SUM(H4380:H4381)</f>
        <v>0.39</v>
      </c>
      <c r="I4382" s="1830"/>
      <c r="J4382" s="1795"/>
      <c r="K4382" s="1795"/>
      <c r="L4382" s="169"/>
      <c r="M4382" s="1783"/>
    </row>
    <row r="4383" spans="1:13" s="1517" customFormat="1" x14ac:dyDescent="0.25">
      <c r="A4383" s="179"/>
      <c r="B4383" s="179"/>
      <c r="C4383" s="1531"/>
      <c r="D4383" s="2141" t="s">
        <v>28</v>
      </c>
      <c r="E4383" s="2141"/>
      <c r="F4383" s="2141"/>
      <c r="G4383" s="2141"/>
      <c r="H4383" s="269">
        <f>E4378</f>
        <v>2000</v>
      </c>
      <c r="I4383" s="1830"/>
      <c r="J4383" s="1795"/>
      <c r="K4383" s="1795"/>
      <c r="L4383" s="169"/>
      <c r="M4383" s="1783"/>
    </row>
    <row r="4384" spans="1:13" s="1517" customFormat="1" x14ac:dyDescent="0.25">
      <c r="A4384" s="179"/>
      <c r="B4384" s="179"/>
      <c r="C4384" s="1531"/>
      <c r="D4384" s="2142" t="s">
        <v>127</v>
      </c>
      <c r="E4384" s="2142"/>
      <c r="F4384" s="2142"/>
      <c r="G4384" s="2142"/>
      <c r="H4384" s="1532">
        <f>ROUND(H4382*H4383,2)</f>
        <v>780</v>
      </c>
      <c r="I4384" s="1830"/>
      <c r="J4384" s="1795"/>
      <c r="K4384" s="1795"/>
      <c r="L4384" s="169"/>
      <c r="M4384" s="1783"/>
    </row>
    <row r="4385" spans="1:13" s="1517" customFormat="1" x14ac:dyDescent="0.25">
      <c r="A4385" s="179"/>
      <c r="B4385" s="179"/>
      <c r="C4385" s="1531"/>
      <c r="D4385" s="2141" t="s">
        <v>15335</v>
      </c>
      <c r="E4385" s="2141"/>
      <c r="F4385" s="2141"/>
      <c r="G4385" s="2141"/>
      <c r="H4385" s="267">
        <f>ROUND(H4382*$B$13,2)</f>
        <v>0.11</v>
      </c>
      <c r="I4385" s="1830"/>
      <c r="J4385" s="1795"/>
      <c r="K4385" s="1795"/>
      <c r="L4385" s="169"/>
      <c r="M4385" s="1783"/>
    </row>
    <row r="4386" spans="1:13" x14ac:dyDescent="0.25">
      <c r="A4386" s="179"/>
      <c r="B4386" s="179"/>
      <c r="C4386" s="1531"/>
      <c r="D4386" s="2142" t="s">
        <v>7898</v>
      </c>
      <c r="E4386" s="2142"/>
      <c r="F4386" s="2142"/>
      <c r="G4386" s="2142"/>
      <c r="H4386" s="1532">
        <f>H4385+H4382</f>
        <v>0.5</v>
      </c>
    </row>
    <row r="4387" spans="1:13" x14ac:dyDescent="0.25">
      <c r="A4387" s="1514"/>
      <c r="B4387" s="1514"/>
      <c r="C4387" s="1514"/>
      <c r="F4387" s="1533"/>
      <c r="G4387" s="1534"/>
      <c r="H4387" s="1514"/>
    </row>
    <row r="4388" spans="1:13" s="1517" customFormat="1" x14ac:dyDescent="0.25">
      <c r="A4388" s="146" t="s">
        <v>6</v>
      </c>
      <c r="B4388" s="2143" t="s">
        <v>7</v>
      </c>
      <c r="C4388" s="2143"/>
      <c r="D4388" s="1518" t="s">
        <v>121</v>
      </c>
      <c r="E4388" s="278" t="s">
        <v>5282</v>
      </c>
      <c r="F4388" s="1518" t="s">
        <v>31</v>
      </c>
      <c r="G4388" s="1519" t="s">
        <v>122</v>
      </c>
      <c r="H4388" s="1520" t="s">
        <v>123</v>
      </c>
      <c r="I4388" s="1830"/>
      <c r="J4388" s="1795"/>
      <c r="K4388" s="1795"/>
      <c r="L4388" s="169"/>
      <c r="M4388" s="1783"/>
    </row>
    <row r="4389" spans="1:13" s="1526" customFormat="1" ht="30" x14ac:dyDescent="0.2">
      <c r="A4389" s="1521" t="str">
        <f>'Orç - Prédio'!A758</f>
        <v>07.02.305.04</v>
      </c>
      <c r="B4389" s="1521" t="str">
        <f>'Orç - Prédio'!B758</f>
        <v>ORSE</v>
      </c>
      <c r="C4389" s="1521">
        <f>'Orç - Prédio'!C758</f>
        <v>9306</v>
      </c>
      <c r="D4389" s="1522" t="s">
        <v>6901</v>
      </c>
      <c r="E4389" s="1523">
        <f>'Orç - Prédio'!E758</f>
        <v>80</v>
      </c>
      <c r="F4389" s="1521" t="s">
        <v>5284</v>
      </c>
      <c r="G4389" s="1524">
        <v>12.45</v>
      </c>
      <c r="H4389" s="1525">
        <f>H4395</f>
        <v>996</v>
      </c>
      <c r="I4389" s="1910" t="s">
        <v>14965</v>
      </c>
      <c r="J4389" s="1793"/>
      <c r="K4389" s="1793"/>
      <c r="L4389" s="141"/>
      <c r="M4389" s="1515"/>
    </row>
    <row r="4390" spans="1:13" s="156" customFormat="1" x14ac:dyDescent="0.2">
      <c r="A4390" s="2145">
        <v>9635</v>
      </c>
      <c r="B4390" s="2145"/>
      <c r="C4390" s="1496" t="s">
        <v>5281</v>
      </c>
      <c r="D4390" s="182" t="s">
        <v>6902</v>
      </c>
      <c r="E4390" s="1527">
        <v>1</v>
      </c>
      <c r="F4390" s="1561" t="s">
        <v>31</v>
      </c>
      <c r="G4390" s="367">
        <v>12.45</v>
      </c>
      <c r="H4390" s="1530">
        <f>ROUNDDOWN(G4390*E4390,2)</f>
        <v>12.45</v>
      </c>
      <c r="I4390" s="1642"/>
      <c r="J4390" s="1797"/>
      <c r="K4390" s="1797"/>
      <c r="L4390" s="1784"/>
      <c r="M4390" s="1785"/>
    </row>
    <row r="4391" spans="1:13" s="1517" customFormat="1" x14ac:dyDescent="0.25">
      <c r="A4391" s="179"/>
      <c r="B4391" s="179"/>
      <c r="C4391" s="1531"/>
      <c r="D4391" s="2141" t="s">
        <v>124</v>
      </c>
      <c r="E4391" s="2141"/>
      <c r="F4391" s="2141"/>
      <c r="G4391" s="2141"/>
      <c r="H4391" s="267">
        <f>SUMIF(F4390:F4390,("h"),H4390:H4390)</f>
        <v>0</v>
      </c>
      <c r="I4391" s="1830"/>
      <c r="J4391" s="1795"/>
      <c r="K4391" s="1795"/>
      <c r="L4391" s="169"/>
      <c r="M4391" s="1783"/>
    </row>
    <row r="4392" spans="1:13" s="1517" customFormat="1" x14ac:dyDescent="0.25">
      <c r="A4392" s="179"/>
      <c r="B4392" s="179"/>
      <c r="C4392" s="1531"/>
      <c r="D4392" s="2141" t="s">
        <v>125</v>
      </c>
      <c r="E4392" s="2141"/>
      <c r="F4392" s="2141"/>
      <c r="G4392" s="2141"/>
      <c r="H4392" s="267">
        <f>SUMIF(F4390:F4390,"&lt;&gt;h",H4390:H4390)</f>
        <v>12.45</v>
      </c>
      <c r="I4392" s="1830"/>
      <c r="J4392" s="1795"/>
      <c r="K4392" s="1795"/>
      <c r="L4392" s="169"/>
      <c r="M4392" s="1783"/>
    </row>
    <row r="4393" spans="1:13" s="1517" customFormat="1" x14ac:dyDescent="0.25">
      <c r="A4393" s="179"/>
      <c r="B4393" s="179"/>
      <c r="C4393" s="1531"/>
      <c r="D4393" s="2142" t="s">
        <v>126</v>
      </c>
      <c r="E4393" s="2142"/>
      <c r="F4393" s="2142"/>
      <c r="G4393" s="2142"/>
      <c r="H4393" s="1532">
        <f>SUM(H4391:H4392)</f>
        <v>12.45</v>
      </c>
      <c r="I4393" s="1830"/>
      <c r="J4393" s="1795"/>
      <c r="K4393" s="1795"/>
      <c r="L4393" s="169"/>
      <c r="M4393" s="1783"/>
    </row>
    <row r="4394" spans="1:13" s="1517" customFormat="1" x14ac:dyDescent="0.25">
      <c r="A4394" s="179"/>
      <c r="B4394" s="179"/>
      <c r="C4394" s="1531"/>
      <c r="D4394" s="2141" t="s">
        <v>28</v>
      </c>
      <c r="E4394" s="2141"/>
      <c r="F4394" s="2141"/>
      <c r="G4394" s="2141"/>
      <c r="H4394" s="269">
        <f>E4389</f>
        <v>80</v>
      </c>
      <c r="I4394" s="1830"/>
      <c r="J4394" s="1795"/>
      <c r="K4394" s="1795"/>
      <c r="L4394" s="169"/>
      <c r="M4394" s="1783"/>
    </row>
    <row r="4395" spans="1:13" s="1517" customFormat="1" x14ac:dyDescent="0.25">
      <c r="A4395" s="179"/>
      <c r="B4395" s="179"/>
      <c r="C4395" s="1531"/>
      <c r="D4395" s="2142" t="s">
        <v>127</v>
      </c>
      <c r="E4395" s="2142"/>
      <c r="F4395" s="2142"/>
      <c r="G4395" s="2142"/>
      <c r="H4395" s="1532">
        <f>ROUND(H4393*H4394,2)</f>
        <v>996</v>
      </c>
      <c r="I4395" s="1830"/>
      <c r="J4395" s="1795"/>
      <c r="K4395" s="1795"/>
      <c r="L4395" s="169"/>
      <c r="M4395" s="1783"/>
    </row>
    <row r="4396" spans="1:13" s="1517" customFormat="1" x14ac:dyDescent="0.25">
      <c r="A4396" s="179"/>
      <c r="B4396" s="179"/>
      <c r="C4396" s="1531"/>
      <c r="D4396" s="2141" t="s">
        <v>15335</v>
      </c>
      <c r="E4396" s="2141"/>
      <c r="F4396" s="2141"/>
      <c r="G4396" s="2141"/>
      <c r="H4396" s="267">
        <f>ROUND(H4393*$B$13,2)</f>
        <v>3.35</v>
      </c>
      <c r="I4396" s="1830"/>
      <c r="J4396" s="1795"/>
      <c r="K4396" s="1795"/>
      <c r="L4396" s="169"/>
      <c r="M4396" s="1783"/>
    </row>
    <row r="4397" spans="1:13" x14ac:dyDescent="0.25">
      <c r="A4397" s="179"/>
      <c r="B4397" s="179"/>
      <c r="C4397" s="1531"/>
      <c r="D4397" s="2142" t="s">
        <v>7898</v>
      </c>
      <c r="E4397" s="2142"/>
      <c r="F4397" s="2142"/>
      <c r="G4397" s="2142"/>
      <c r="H4397" s="1532">
        <f>H4396+H4393</f>
        <v>15.799999999999999</v>
      </c>
    </row>
    <row r="4398" spans="1:13" x14ac:dyDescent="0.25">
      <c r="A4398" s="1514"/>
      <c r="B4398" s="1514"/>
      <c r="C4398" s="1514"/>
      <c r="F4398" s="1533"/>
      <c r="G4398" s="1534"/>
      <c r="H4398" s="1514"/>
    </row>
    <row r="4399" spans="1:13" s="1517" customFormat="1" x14ac:dyDescent="0.25">
      <c r="A4399" s="146" t="s">
        <v>6</v>
      </c>
      <c r="B4399" s="2143" t="s">
        <v>7</v>
      </c>
      <c r="C4399" s="2143"/>
      <c r="D4399" s="1518" t="s">
        <v>121</v>
      </c>
      <c r="E4399" s="278" t="s">
        <v>5282</v>
      </c>
      <c r="F4399" s="1518" t="s">
        <v>31</v>
      </c>
      <c r="G4399" s="1519" t="s">
        <v>122</v>
      </c>
      <c r="H4399" s="1520" t="s">
        <v>123</v>
      </c>
      <c r="I4399" s="1830"/>
      <c r="J4399" s="1795"/>
      <c r="K4399" s="1795"/>
      <c r="L4399" s="169"/>
      <c r="M4399" s="1783"/>
    </row>
    <row r="4400" spans="1:13" s="1526" customFormat="1" ht="30" x14ac:dyDescent="0.2">
      <c r="A4400" s="1521" t="str">
        <f>'Orç - Prédio'!A759</f>
        <v>07.02.305.05</v>
      </c>
      <c r="B4400" s="1521" t="str">
        <f>'Orç - Prédio'!B759</f>
        <v>ORSE</v>
      </c>
      <c r="C4400" s="1521">
        <f>'Orç - Prédio'!C759</f>
        <v>9669</v>
      </c>
      <c r="D4400" s="1522" t="s">
        <v>6903</v>
      </c>
      <c r="E4400" s="1523">
        <f>'Orç - Prédio'!E759</f>
        <v>20</v>
      </c>
      <c r="F4400" s="1521" t="s">
        <v>5284</v>
      </c>
      <c r="G4400" s="1524">
        <v>49.620000000000005</v>
      </c>
      <c r="H4400" s="1525">
        <f>H4408</f>
        <v>992.4</v>
      </c>
      <c r="I4400" s="1910" t="s">
        <v>9579</v>
      </c>
      <c r="J4400" s="1793"/>
      <c r="K4400" s="1793"/>
      <c r="L4400" s="141"/>
      <c r="M4400" s="1515"/>
    </row>
    <row r="4401" spans="1:13" s="156" customFormat="1" ht="30" x14ac:dyDescent="0.2">
      <c r="A4401" s="2145">
        <v>39028</v>
      </c>
      <c r="B4401" s="2145"/>
      <c r="C4401" s="1496" t="s">
        <v>4448</v>
      </c>
      <c r="D4401" s="182" t="s">
        <v>13256</v>
      </c>
      <c r="E4401" s="1527">
        <v>6</v>
      </c>
      <c r="F4401" s="1561" t="s">
        <v>47</v>
      </c>
      <c r="G4401" s="1529">
        <v>5.32</v>
      </c>
      <c r="H4401" s="1530">
        <f>ROUNDDOWN(G4401*E4401,2)</f>
        <v>31.92</v>
      </c>
      <c r="I4401" s="1642"/>
      <c r="J4401" s="1797"/>
      <c r="K4401" s="1797"/>
      <c r="L4401" s="1784"/>
      <c r="M4401" s="1785"/>
    </row>
    <row r="4402" spans="1:13" s="156" customFormat="1" ht="30" x14ac:dyDescent="0.2">
      <c r="A4402" s="2144">
        <v>88264</v>
      </c>
      <c r="B4402" s="2144"/>
      <c r="C4402" s="1516" t="s">
        <v>4448</v>
      </c>
      <c r="D4402" s="182" t="s">
        <v>81</v>
      </c>
      <c r="E4402" s="1527">
        <v>0.5</v>
      </c>
      <c r="F4402" s="1561" t="s">
        <v>65</v>
      </c>
      <c r="G4402" s="1529">
        <v>20.329999999999998</v>
      </c>
      <c r="H4402" s="1530">
        <f>ROUNDDOWN(G4402*E4402,2)</f>
        <v>10.16</v>
      </c>
      <c r="I4402" s="1642"/>
      <c r="J4402" s="1797"/>
      <c r="K4402" s="1797"/>
      <c r="L4402" s="1784"/>
      <c r="M4402" s="1785"/>
    </row>
    <row r="4403" spans="1:13" s="156" customFormat="1" ht="30" x14ac:dyDescent="0.2">
      <c r="A4403" s="2144">
        <v>88316</v>
      </c>
      <c r="B4403" s="2144"/>
      <c r="C4403" s="1516" t="s">
        <v>4448</v>
      </c>
      <c r="D4403" s="182" t="s">
        <v>64</v>
      </c>
      <c r="E4403" s="1527">
        <v>0.5</v>
      </c>
      <c r="F4403" s="1561" t="s">
        <v>65</v>
      </c>
      <c r="G4403" s="1529">
        <v>15.08</v>
      </c>
      <c r="H4403" s="1530">
        <f>ROUNDDOWN(G4403*E4403,2)</f>
        <v>7.54</v>
      </c>
      <c r="I4403" s="1642"/>
      <c r="J4403" s="1797"/>
      <c r="K4403" s="1797"/>
      <c r="L4403" s="1784"/>
      <c r="M4403" s="1785"/>
    </row>
    <row r="4404" spans="1:13" s="1517" customFormat="1" x14ac:dyDescent="0.25">
      <c r="A4404" s="179"/>
      <c r="B4404" s="179"/>
      <c r="C4404" s="1531"/>
      <c r="D4404" s="2141" t="s">
        <v>124</v>
      </c>
      <c r="E4404" s="2141"/>
      <c r="F4404" s="2141"/>
      <c r="G4404" s="2141"/>
      <c r="H4404" s="267">
        <f>SUMIF(F4401:F4403,("h"),H4401:H4403)</f>
        <v>17.7</v>
      </c>
      <c r="I4404" s="1830"/>
      <c r="J4404" s="1795"/>
      <c r="K4404" s="1795"/>
      <c r="L4404" s="169"/>
      <c r="M4404" s="1783"/>
    </row>
    <row r="4405" spans="1:13" s="1517" customFormat="1" x14ac:dyDescent="0.25">
      <c r="A4405" s="179"/>
      <c r="B4405" s="179"/>
      <c r="C4405" s="1531"/>
      <c r="D4405" s="2141" t="s">
        <v>125</v>
      </c>
      <c r="E4405" s="2141"/>
      <c r="F4405" s="2141"/>
      <c r="G4405" s="2141"/>
      <c r="H4405" s="267">
        <f>SUMIF(F4401:F4403,"&lt;&gt;h",H4401:H4403)</f>
        <v>31.92</v>
      </c>
      <c r="I4405" s="1830"/>
      <c r="J4405" s="1795"/>
      <c r="K4405" s="1795"/>
      <c r="L4405" s="169"/>
      <c r="M4405" s="1783"/>
    </row>
    <row r="4406" spans="1:13" s="1517" customFormat="1" x14ac:dyDescent="0.25">
      <c r="A4406" s="179"/>
      <c r="B4406" s="179"/>
      <c r="C4406" s="1531"/>
      <c r="D4406" s="2142" t="s">
        <v>126</v>
      </c>
      <c r="E4406" s="2142"/>
      <c r="F4406" s="2142"/>
      <c r="G4406" s="2142"/>
      <c r="H4406" s="1532">
        <f>SUM(H4404:H4405)</f>
        <v>49.620000000000005</v>
      </c>
      <c r="I4406" s="1830"/>
      <c r="J4406" s="1795"/>
      <c r="K4406" s="1795"/>
      <c r="L4406" s="169"/>
      <c r="M4406" s="1783"/>
    </row>
    <row r="4407" spans="1:13" s="1517" customFormat="1" x14ac:dyDescent="0.25">
      <c r="A4407" s="179"/>
      <c r="B4407" s="179"/>
      <c r="C4407" s="1531"/>
      <c r="D4407" s="2141" t="s">
        <v>28</v>
      </c>
      <c r="E4407" s="2141"/>
      <c r="F4407" s="2141"/>
      <c r="G4407" s="2141"/>
      <c r="H4407" s="269">
        <f>E4400</f>
        <v>20</v>
      </c>
      <c r="I4407" s="1830"/>
      <c r="J4407" s="1795"/>
      <c r="K4407" s="1795"/>
      <c r="L4407" s="169"/>
      <c r="M4407" s="1783"/>
    </row>
    <row r="4408" spans="1:13" s="1517" customFormat="1" x14ac:dyDescent="0.25">
      <c r="A4408" s="179"/>
      <c r="B4408" s="179"/>
      <c r="C4408" s="1531"/>
      <c r="D4408" s="2142" t="s">
        <v>127</v>
      </c>
      <c r="E4408" s="2142"/>
      <c r="F4408" s="2142"/>
      <c r="G4408" s="2142"/>
      <c r="H4408" s="1532">
        <f>ROUND(H4406*H4407,2)</f>
        <v>992.4</v>
      </c>
      <c r="I4408" s="1830"/>
      <c r="J4408" s="1795"/>
      <c r="K4408" s="1795"/>
      <c r="L4408" s="169"/>
      <c r="M4408" s="1783"/>
    </row>
    <row r="4409" spans="1:13" s="1517" customFormat="1" x14ac:dyDescent="0.25">
      <c r="A4409" s="179"/>
      <c r="B4409" s="179"/>
      <c r="C4409" s="1531"/>
      <c r="D4409" s="2141" t="s">
        <v>15335</v>
      </c>
      <c r="E4409" s="2141"/>
      <c r="F4409" s="2141"/>
      <c r="G4409" s="2141"/>
      <c r="H4409" s="267">
        <f>ROUND(H4406*$B$13,2)</f>
        <v>13.36</v>
      </c>
      <c r="I4409" s="1830"/>
      <c r="J4409" s="1795"/>
      <c r="K4409" s="1795"/>
      <c r="L4409" s="169"/>
      <c r="M4409" s="1783"/>
    </row>
    <row r="4410" spans="1:13" x14ac:dyDescent="0.25">
      <c r="A4410" s="179"/>
      <c r="B4410" s="179"/>
      <c r="C4410" s="1531"/>
      <c r="D4410" s="2142" t="s">
        <v>7898</v>
      </c>
      <c r="E4410" s="2142"/>
      <c r="F4410" s="2142"/>
      <c r="G4410" s="2142"/>
      <c r="H4410" s="1532">
        <f>H4409+H4406</f>
        <v>62.980000000000004</v>
      </c>
    </row>
    <row r="4411" spans="1:13" x14ac:dyDescent="0.25">
      <c r="A4411" s="1514"/>
      <c r="B4411" s="1514"/>
      <c r="C4411" s="1514"/>
      <c r="F4411" s="1533"/>
      <c r="G4411" s="1534"/>
      <c r="H4411" s="1514"/>
    </row>
    <row r="4412" spans="1:13" s="1517" customFormat="1" x14ac:dyDescent="0.25">
      <c r="A4412" s="146" t="s">
        <v>6</v>
      </c>
      <c r="B4412" s="2143" t="s">
        <v>7</v>
      </c>
      <c r="C4412" s="2143"/>
      <c r="D4412" s="1518" t="s">
        <v>121</v>
      </c>
      <c r="E4412" s="278" t="s">
        <v>5282</v>
      </c>
      <c r="F4412" s="1518" t="s">
        <v>31</v>
      </c>
      <c r="G4412" s="1519" t="s">
        <v>122</v>
      </c>
      <c r="H4412" s="1520" t="s">
        <v>123</v>
      </c>
      <c r="I4412" s="1830"/>
      <c r="J4412" s="1795"/>
      <c r="K4412" s="1795"/>
      <c r="L4412" s="169"/>
      <c r="M4412" s="1783"/>
    </row>
    <row r="4413" spans="1:13" s="1526" customFormat="1" ht="30" x14ac:dyDescent="0.2">
      <c r="A4413" s="1521" t="str">
        <f>'Orç - Prédio'!A760</f>
        <v>07.02.305.06</v>
      </c>
      <c r="B4413" s="1521" t="str">
        <f>'Orç - Prédio'!B760</f>
        <v>ORSE</v>
      </c>
      <c r="C4413" s="1521" t="str">
        <f>'Orç - Prédio'!C760</f>
        <v>9669 MOD</v>
      </c>
      <c r="D4413" s="1522" t="s">
        <v>8298</v>
      </c>
      <c r="E4413" s="1523">
        <f>'Orç - Prédio'!E760</f>
        <v>40</v>
      </c>
      <c r="F4413" s="1521" t="s">
        <v>5284</v>
      </c>
      <c r="G4413" s="1524">
        <v>35.22</v>
      </c>
      <c r="H4413" s="1525">
        <f>H4421</f>
        <v>1408.8</v>
      </c>
      <c r="I4413" s="1910" t="s">
        <v>9579</v>
      </c>
      <c r="J4413" s="1793"/>
      <c r="K4413" s="1793"/>
      <c r="L4413" s="141"/>
      <c r="M4413" s="1515"/>
    </row>
    <row r="4414" spans="1:13" s="156" customFormat="1" x14ac:dyDescent="0.2">
      <c r="A4414" s="2145">
        <v>39328</v>
      </c>
      <c r="B4414" s="2145"/>
      <c r="C4414" s="1496" t="s">
        <v>4448</v>
      </c>
      <c r="D4414" s="182" t="s">
        <v>13257</v>
      </c>
      <c r="E4414" s="1527">
        <v>6</v>
      </c>
      <c r="F4414" s="1561" t="s">
        <v>47</v>
      </c>
      <c r="G4414" s="1529">
        <v>2.92</v>
      </c>
      <c r="H4414" s="1530">
        <f>ROUNDDOWN(G4414*E4414,2)</f>
        <v>17.52</v>
      </c>
      <c r="I4414" s="1642"/>
      <c r="J4414" s="1797"/>
      <c r="K4414" s="1797"/>
      <c r="L4414" s="1784"/>
      <c r="M4414" s="1785"/>
    </row>
    <row r="4415" spans="1:13" s="156" customFormat="1" ht="30" x14ac:dyDescent="0.2">
      <c r="A4415" s="2144">
        <v>88264</v>
      </c>
      <c r="B4415" s="2144"/>
      <c r="C4415" s="1516" t="s">
        <v>4448</v>
      </c>
      <c r="D4415" s="182" t="s">
        <v>81</v>
      </c>
      <c r="E4415" s="1527">
        <v>0.5</v>
      </c>
      <c r="F4415" s="1561" t="s">
        <v>65</v>
      </c>
      <c r="G4415" s="1529">
        <v>20.329999999999998</v>
      </c>
      <c r="H4415" s="1530">
        <f>ROUNDDOWN(G4415*E4415,2)</f>
        <v>10.16</v>
      </c>
      <c r="I4415" s="1642"/>
      <c r="J4415" s="1797"/>
      <c r="K4415" s="1797"/>
      <c r="L4415" s="1784"/>
      <c r="M4415" s="1785"/>
    </row>
    <row r="4416" spans="1:13" s="156" customFormat="1" ht="30" x14ac:dyDescent="0.2">
      <c r="A4416" s="2144">
        <v>88316</v>
      </c>
      <c r="B4416" s="2144"/>
      <c r="C4416" s="1516" t="s">
        <v>4448</v>
      </c>
      <c r="D4416" s="182" t="s">
        <v>64</v>
      </c>
      <c r="E4416" s="1527">
        <v>0.5</v>
      </c>
      <c r="F4416" s="1561" t="s">
        <v>65</v>
      </c>
      <c r="G4416" s="1529">
        <v>15.08</v>
      </c>
      <c r="H4416" s="1530">
        <f>ROUNDDOWN(G4416*E4416,2)</f>
        <v>7.54</v>
      </c>
      <c r="I4416" s="1642"/>
      <c r="J4416" s="1797"/>
      <c r="K4416" s="1797"/>
      <c r="L4416" s="1784"/>
      <c r="M4416" s="1785"/>
    </row>
    <row r="4417" spans="1:13" s="1517" customFormat="1" x14ac:dyDescent="0.25">
      <c r="A4417" s="179"/>
      <c r="B4417" s="179"/>
      <c r="C4417" s="1531"/>
      <c r="D4417" s="2141" t="s">
        <v>124</v>
      </c>
      <c r="E4417" s="2141"/>
      <c r="F4417" s="2141"/>
      <c r="G4417" s="2141"/>
      <c r="H4417" s="267">
        <f>SUMIF(F4414:F4416,("h"),H4414:H4416)</f>
        <v>17.7</v>
      </c>
      <c r="I4417" s="1830"/>
      <c r="J4417" s="1795"/>
      <c r="K4417" s="1795"/>
      <c r="L4417" s="169"/>
      <c r="M4417" s="1783"/>
    </row>
    <row r="4418" spans="1:13" s="1517" customFormat="1" x14ac:dyDescent="0.25">
      <c r="A4418" s="179"/>
      <c r="B4418" s="179"/>
      <c r="C4418" s="1531"/>
      <c r="D4418" s="2141" t="s">
        <v>125</v>
      </c>
      <c r="E4418" s="2141"/>
      <c r="F4418" s="2141"/>
      <c r="G4418" s="2141"/>
      <c r="H4418" s="267">
        <f>SUMIF(F4414:F4416,"&lt;&gt;h",H4414:H4416)</f>
        <v>17.52</v>
      </c>
      <c r="I4418" s="1830"/>
      <c r="J4418" s="1795"/>
      <c r="K4418" s="1795"/>
      <c r="L4418" s="169"/>
      <c r="M4418" s="1783"/>
    </row>
    <row r="4419" spans="1:13" s="1517" customFormat="1" x14ac:dyDescent="0.25">
      <c r="A4419" s="179"/>
      <c r="B4419" s="179"/>
      <c r="C4419" s="1531"/>
      <c r="D4419" s="2142" t="s">
        <v>126</v>
      </c>
      <c r="E4419" s="2142"/>
      <c r="F4419" s="2142"/>
      <c r="G4419" s="2142"/>
      <c r="H4419" s="1532">
        <f>SUM(H4417:H4418)</f>
        <v>35.22</v>
      </c>
      <c r="I4419" s="1830"/>
      <c r="J4419" s="1795"/>
      <c r="K4419" s="1795"/>
      <c r="L4419" s="169"/>
      <c r="M4419" s="1783"/>
    </row>
    <row r="4420" spans="1:13" s="1517" customFormat="1" x14ac:dyDescent="0.25">
      <c r="A4420" s="179"/>
      <c r="B4420" s="179"/>
      <c r="C4420" s="1531"/>
      <c r="D4420" s="2141" t="s">
        <v>28</v>
      </c>
      <c r="E4420" s="2141"/>
      <c r="F4420" s="2141"/>
      <c r="G4420" s="2141"/>
      <c r="H4420" s="269">
        <f>E4413</f>
        <v>40</v>
      </c>
      <c r="I4420" s="1830"/>
      <c r="J4420" s="1795"/>
      <c r="K4420" s="1795"/>
      <c r="L4420" s="169"/>
      <c r="M4420" s="1783"/>
    </row>
    <row r="4421" spans="1:13" s="1517" customFormat="1" x14ac:dyDescent="0.25">
      <c r="A4421" s="179"/>
      <c r="B4421" s="179"/>
      <c r="C4421" s="1531"/>
      <c r="D4421" s="2142" t="s">
        <v>127</v>
      </c>
      <c r="E4421" s="2142"/>
      <c r="F4421" s="2142"/>
      <c r="G4421" s="2142"/>
      <c r="H4421" s="1532">
        <f>ROUND(H4419*H4420,2)</f>
        <v>1408.8</v>
      </c>
      <c r="I4421" s="1830"/>
      <c r="J4421" s="1795"/>
      <c r="K4421" s="1795"/>
      <c r="L4421" s="169"/>
      <c r="M4421" s="1783"/>
    </row>
    <row r="4422" spans="1:13" s="1517" customFormat="1" x14ac:dyDescent="0.25">
      <c r="A4422" s="179"/>
      <c r="B4422" s="179"/>
      <c r="C4422" s="1531"/>
      <c r="D4422" s="2141" t="s">
        <v>15335</v>
      </c>
      <c r="E4422" s="2141"/>
      <c r="F4422" s="2141"/>
      <c r="G4422" s="2141"/>
      <c r="H4422" s="267">
        <f>ROUND(H4419*$B$13,2)</f>
        <v>9.48</v>
      </c>
      <c r="I4422" s="1830"/>
      <c r="J4422" s="1795"/>
      <c r="K4422" s="1795"/>
      <c r="L4422" s="169"/>
      <c r="M4422" s="1783"/>
    </row>
    <row r="4423" spans="1:13" x14ac:dyDescent="0.25">
      <c r="A4423" s="179"/>
      <c r="B4423" s="179"/>
      <c r="C4423" s="1531"/>
      <c r="D4423" s="2142" t="s">
        <v>7898</v>
      </c>
      <c r="E4423" s="2142"/>
      <c r="F4423" s="2142"/>
      <c r="G4423" s="2142"/>
      <c r="H4423" s="1532">
        <f>H4422+H4419</f>
        <v>44.7</v>
      </c>
    </row>
    <row r="4424" spans="1:13" x14ac:dyDescent="0.25">
      <c r="A4424" s="1514"/>
      <c r="B4424" s="1514"/>
      <c r="C4424" s="1514"/>
      <c r="F4424" s="1533"/>
      <c r="G4424" s="1534"/>
      <c r="H4424" s="1514"/>
    </row>
    <row r="4425" spans="1:13" s="1517" customFormat="1" x14ac:dyDescent="0.25">
      <c r="A4425" s="146" t="s">
        <v>6</v>
      </c>
      <c r="B4425" s="2143" t="s">
        <v>7</v>
      </c>
      <c r="C4425" s="2143"/>
      <c r="D4425" s="1518" t="s">
        <v>121</v>
      </c>
      <c r="E4425" s="278" t="s">
        <v>5282</v>
      </c>
      <c r="F4425" s="1518" t="s">
        <v>31</v>
      </c>
      <c r="G4425" s="1519" t="s">
        <v>122</v>
      </c>
      <c r="H4425" s="1520" t="s">
        <v>123</v>
      </c>
      <c r="I4425" s="1830"/>
      <c r="J4425" s="1795"/>
      <c r="K4425" s="1795"/>
      <c r="L4425" s="169"/>
      <c r="M4425" s="1783"/>
    </row>
    <row r="4426" spans="1:13" s="1526" customFormat="1" ht="30" x14ac:dyDescent="0.2">
      <c r="A4426" s="1521" t="str">
        <f>'Orç - Prédio'!A761</f>
        <v>07.02.305.07</v>
      </c>
      <c r="B4426" s="1521" t="str">
        <f>'Orç - Prédio'!B761</f>
        <v>ORSE</v>
      </c>
      <c r="C4426" s="1521">
        <f>'Orç - Prédio'!C761</f>
        <v>7384</v>
      </c>
      <c r="D4426" s="1522" t="s">
        <v>6806</v>
      </c>
      <c r="E4426" s="1523">
        <f>'Orç - Prédio'!E761</f>
        <v>70</v>
      </c>
      <c r="F4426" s="1521" t="s">
        <v>5284</v>
      </c>
      <c r="G4426" s="1524">
        <v>12.649999999999999</v>
      </c>
      <c r="H4426" s="1525">
        <f>H4434</f>
        <v>885.5</v>
      </c>
      <c r="I4426" s="1910" t="s">
        <v>9579</v>
      </c>
      <c r="J4426" s="1793"/>
      <c r="K4426" s="1793"/>
      <c r="L4426" s="141"/>
      <c r="M4426" s="1515"/>
    </row>
    <row r="4427" spans="1:13" s="156" customFormat="1" ht="30" x14ac:dyDescent="0.2">
      <c r="A4427" s="2145">
        <v>39996</v>
      </c>
      <c r="B4427" s="2145"/>
      <c r="C4427" s="1496" t="s">
        <v>4448</v>
      </c>
      <c r="D4427" s="182" t="s">
        <v>14819</v>
      </c>
      <c r="E4427" s="1527">
        <v>1</v>
      </c>
      <c r="F4427" s="1561" t="s">
        <v>47</v>
      </c>
      <c r="G4427" s="1529">
        <v>2.04</v>
      </c>
      <c r="H4427" s="1530">
        <f>ROUNDDOWN(G4427*E4427,2)</f>
        <v>2.04</v>
      </c>
      <c r="I4427" s="1642"/>
      <c r="J4427" s="1797"/>
      <c r="K4427" s="1797"/>
      <c r="L4427" s="1784"/>
      <c r="M4427" s="1785"/>
    </row>
    <row r="4428" spans="1:13" s="156" customFormat="1" ht="30" x14ac:dyDescent="0.2">
      <c r="A4428" s="2144">
        <v>88264</v>
      </c>
      <c r="B4428" s="2144"/>
      <c r="C4428" s="1516" t="s">
        <v>4448</v>
      </c>
      <c r="D4428" s="182" t="s">
        <v>81</v>
      </c>
      <c r="E4428" s="1527">
        <v>0.3</v>
      </c>
      <c r="F4428" s="1561" t="s">
        <v>65</v>
      </c>
      <c r="G4428" s="1529">
        <v>20.329999999999998</v>
      </c>
      <c r="H4428" s="1530">
        <f>ROUNDDOWN(G4428*E4428,2)</f>
        <v>6.09</v>
      </c>
      <c r="I4428" s="1642"/>
      <c r="J4428" s="1797"/>
      <c r="K4428" s="1797"/>
      <c r="L4428" s="1784"/>
      <c r="M4428" s="1785"/>
    </row>
    <row r="4429" spans="1:13" s="156" customFormat="1" ht="30" x14ac:dyDescent="0.2">
      <c r="A4429" s="2144">
        <v>88316</v>
      </c>
      <c r="B4429" s="2144"/>
      <c r="C4429" s="1516" t="s">
        <v>4448</v>
      </c>
      <c r="D4429" s="182" t="s">
        <v>64</v>
      </c>
      <c r="E4429" s="1527">
        <v>0.3</v>
      </c>
      <c r="F4429" s="1561" t="s">
        <v>65</v>
      </c>
      <c r="G4429" s="1529">
        <v>15.08</v>
      </c>
      <c r="H4429" s="1530">
        <f>ROUNDDOWN(G4429*E4429,2)</f>
        <v>4.5199999999999996</v>
      </c>
      <c r="I4429" s="1642"/>
      <c r="J4429" s="1797"/>
      <c r="K4429" s="1797"/>
      <c r="L4429" s="1784"/>
      <c r="M4429" s="1785"/>
    </row>
    <row r="4430" spans="1:13" s="1517" customFormat="1" x14ac:dyDescent="0.25">
      <c r="A4430" s="179"/>
      <c r="B4430" s="179"/>
      <c r="C4430" s="1531"/>
      <c r="D4430" s="2141" t="s">
        <v>124</v>
      </c>
      <c r="E4430" s="2141"/>
      <c r="F4430" s="2141"/>
      <c r="G4430" s="2141"/>
      <c r="H4430" s="267">
        <f>SUMIF(F4427:F4429,("h"),H4427:H4429)</f>
        <v>10.61</v>
      </c>
      <c r="I4430" s="1830"/>
      <c r="J4430" s="1795"/>
      <c r="K4430" s="1795"/>
      <c r="L4430" s="169"/>
      <c r="M4430" s="1783"/>
    </row>
    <row r="4431" spans="1:13" s="1517" customFormat="1" x14ac:dyDescent="0.25">
      <c r="A4431" s="179"/>
      <c r="B4431" s="179"/>
      <c r="C4431" s="1531"/>
      <c r="D4431" s="2141" t="s">
        <v>125</v>
      </c>
      <c r="E4431" s="2141"/>
      <c r="F4431" s="2141"/>
      <c r="G4431" s="2141"/>
      <c r="H4431" s="267">
        <f>SUMIF(F4427:F4429,"&lt;&gt;h",H4427:H4429)</f>
        <v>2.04</v>
      </c>
      <c r="I4431" s="1830"/>
      <c r="J4431" s="1795"/>
      <c r="K4431" s="1795"/>
      <c r="L4431" s="169"/>
      <c r="M4431" s="1783"/>
    </row>
    <row r="4432" spans="1:13" s="1517" customFormat="1" x14ac:dyDescent="0.25">
      <c r="A4432" s="179"/>
      <c r="B4432" s="179"/>
      <c r="C4432" s="1531"/>
      <c r="D4432" s="2142" t="s">
        <v>126</v>
      </c>
      <c r="E4432" s="2142"/>
      <c r="F4432" s="2142"/>
      <c r="G4432" s="2142"/>
      <c r="H4432" s="1532">
        <f>SUM(H4430:H4431)</f>
        <v>12.649999999999999</v>
      </c>
      <c r="I4432" s="1830"/>
      <c r="J4432" s="1795"/>
      <c r="K4432" s="1795"/>
      <c r="L4432" s="169"/>
      <c r="M4432" s="1783"/>
    </row>
    <row r="4433" spans="1:13" s="1517" customFormat="1" x14ac:dyDescent="0.25">
      <c r="A4433" s="179"/>
      <c r="B4433" s="179"/>
      <c r="C4433" s="1531"/>
      <c r="D4433" s="2141" t="s">
        <v>28</v>
      </c>
      <c r="E4433" s="2141"/>
      <c r="F4433" s="2141"/>
      <c r="G4433" s="2141"/>
      <c r="H4433" s="269">
        <f>E4426</f>
        <v>70</v>
      </c>
      <c r="I4433" s="1830"/>
      <c r="J4433" s="1795"/>
      <c r="K4433" s="1795"/>
      <c r="L4433" s="169"/>
      <c r="M4433" s="1783"/>
    </row>
    <row r="4434" spans="1:13" s="1517" customFormat="1" x14ac:dyDescent="0.25">
      <c r="A4434" s="179"/>
      <c r="B4434" s="179"/>
      <c r="C4434" s="1531"/>
      <c r="D4434" s="2142" t="s">
        <v>127</v>
      </c>
      <c r="E4434" s="2142"/>
      <c r="F4434" s="2142"/>
      <c r="G4434" s="2142"/>
      <c r="H4434" s="1532">
        <f>ROUND(H4432*H4433,2)</f>
        <v>885.5</v>
      </c>
      <c r="I4434" s="1830"/>
      <c r="J4434" s="1795"/>
      <c r="K4434" s="1795"/>
      <c r="L4434" s="169"/>
      <c r="M4434" s="1783"/>
    </row>
    <row r="4435" spans="1:13" s="1517" customFormat="1" x14ac:dyDescent="0.25">
      <c r="A4435" s="179"/>
      <c r="B4435" s="179"/>
      <c r="C4435" s="1531"/>
      <c r="D4435" s="2141" t="s">
        <v>15335</v>
      </c>
      <c r="E4435" s="2141"/>
      <c r="F4435" s="2141"/>
      <c r="G4435" s="2141"/>
      <c r="H4435" s="267">
        <f>ROUND(H4432*$B$13,2)</f>
        <v>3.41</v>
      </c>
      <c r="I4435" s="1830"/>
      <c r="J4435" s="1795"/>
      <c r="K4435" s="1795"/>
      <c r="L4435" s="169"/>
      <c r="M4435" s="1783"/>
    </row>
    <row r="4436" spans="1:13" x14ac:dyDescent="0.25">
      <c r="A4436" s="179"/>
      <c r="B4436" s="179"/>
      <c r="C4436" s="1531"/>
      <c r="D4436" s="2142" t="s">
        <v>7898</v>
      </c>
      <c r="E4436" s="2142"/>
      <c r="F4436" s="2142"/>
      <c r="G4436" s="2142"/>
      <c r="H4436" s="1532">
        <f>H4435+H4432</f>
        <v>16.059999999999999</v>
      </c>
    </row>
    <row r="4437" spans="1:13" x14ac:dyDescent="0.25">
      <c r="A4437" s="1514"/>
      <c r="B4437" s="1514"/>
      <c r="C4437" s="1514"/>
      <c r="F4437" s="1533"/>
      <c r="G4437" s="1534"/>
      <c r="H4437" s="1514"/>
    </row>
    <row r="4438" spans="1:13" s="1517" customFormat="1" x14ac:dyDescent="0.25">
      <c r="A4438" s="146" t="s">
        <v>6</v>
      </c>
      <c r="B4438" s="2143" t="s">
        <v>7</v>
      </c>
      <c r="C4438" s="2143"/>
      <c r="D4438" s="1518" t="s">
        <v>121</v>
      </c>
      <c r="E4438" s="278" t="s">
        <v>5282</v>
      </c>
      <c r="F4438" s="1518" t="s">
        <v>31</v>
      </c>
      <c r="G4438" s="1519" t="s">
        <v>122</v>
      </c>
      <c r="H4438" s="1520" t="s">
        <v>123</v>
      </c>
      <c r="I4438" s="1830"/>
      <c r="J4438" s="1795"/>
      <c r="K4438" s="1795"/>
      <c r="L4438" s="169"/>
      <c r="M4438" s="1783"/>
    </row>
    <row r="4439" spans="1:13" s="1526" customFormat="1" ht="30" x14ac:dyDescent="0.2">
      <c r="A4439" s="1521" t="str">
        <f>'Orç - Prédio'!A763</f>
        <v>07.02.305.09</v>
      </c>
      <c r="B4439" s="1521" t="str">
        <f>'Orç - Prédio'!B763</f>
        <v>ORSE INSUMO</v>
      </c>
      <c r="C4439" s="1521">
        <f>'Orç - Prédio'!C763</f>
        <v>5005</v>
      </c>
      <c r="D4439" s="1522" t="s">
        <v>6807</v>
      </c>
      <c r="E4439" s="1523">
        <f>'Orç - Prédio'!E763</f>
        <v>800</v>
      </c>
      <c r="F4439" s="1521" t="s">
        <v>5284</v>
      </c>
      <c r="G4439" s="1524">
        <v>0.05</v>
      </c>
      <c r="H4439" s="1525">
        <f>H4445</f>
        <v>40</v>
      </c>
      <c r="I4439" s="1910" t="s">
        <v>14965</v>
      </c>
      <c r="J4439" s="1793"/>
      <c r="K4439" s="1793"/>
      <c r="L4439" s="141"/>
      <c r="M4439" s="1515"/>
    </row>
    <row r="4440" spans="1:13" s="156" customFormat="1" x14ac:dyDescent="0.2">
      <c r="A4440" s="2144">
        <v>5005</v>
      </c>
      <c r="B4440" s="2144"/>
      <c r="C4440" s="1516" t="s">
        <v>5281</v>
      </c>
      <c r="D4440" s="182" t="s">
        <v>6908</v>
      </c>
      <c r="E4440" s="1527">
        <v>1</v>
      </c>
      <c r="F4440" s="1561" t="s">
        <v>31</v>
      </c>
      <c r="G4440" s="367">
        <v>0.05</v>
      </c>
      <c r="H4440" s="1530">
        <f>ROUNDDOWN(G4440*E4440,2)</f>
        <v>0.05</v>
      </c>
      <c r="I4440" s="1642"/>
      <c r="J4440" s="1797"/>
      <c r="K4440" s="1797"/>
      <c r="L4440" s="1784"/>
      <c r="M4440" s="1785"/>
    </row>
    <row r="4441" spans="1:13" s="1517" customFormat="1" x14ac:dyDescent="0.25">
      <c r="A4441" s="179"/>
      <c r="B4441" s="179"/>
      <c r="C4441" s="1531"/>
      <c r="D4441" s="2141" t="s">
        <v>124</v>
      </c>
      <c r="E4441" s="2141"/>
      <c r="F4441" s="2141"/>
      <c r="G4441" s="2141"/>
      <c r="H4441" s="267">
        <f>SUMIF(F4440:F4440,("h"),H4440:H4440)</f>
        <v>0</v>
      </c>
      <c r="I4441" s="1830"/>
      <c r="J4441" s="1795"/>
      <c r="K4441" s="1795"/>
      <c r="L4441" s="169"/>
      <c r="M4441" s="1783"/>
    </row>
    <row r="4442" spans="1:13" s="1517" customFormat="1" x14ac:dyDescent="0.25">
      <c r="A4442" s="179"/>
      <c r="B4442" s="179"/>
      <c r="C4442" s="1531"/>
      <c r="D4442" s="2141" t="s">
        <v>125</v>
      </c>
      <c r="E4442" s="2141"/>
      <c r="F4442" s="2141"/>
      <c r="G4442" s="2141"/>
      <c r="H4442" s="267">
        <f>SUMIF(F4440:F4440,"&lt;&gt;h",H4440:H4440)</f>
        <v>0.05</v>
      </c>
      <c r="I4442" s="1830"/>
      <c r="J4442" s="1795"/>
      <c r="K4442" s="1795"/>
      <c r="L4442" s="169"/>
      <c r="M4442" s="1783"/>
    </row>
    <row r="4443" spans="1:13" s="1517" customFormat="1" x14ac:dyDescent="0.25">
      <c r="A4443" s="179"/>
      <c r="B4443" s="179"/>
      <c r="C4443" s="1531"/>
      <c r="D4443" s="2142" t="s">
        <v>126</v>
      </c>
      <c r="E4443" s="2142"/>
      <c r="F4443" s="2142"/>
      <c r="G4443" s="2142"/>
      <c r="H4443" s="1532">
        <f>SUM(H4441:H4442)</f>
        <v>0.05</v>
      </c>
      <c r="I4443" s="1830"/>
      <c r="J4443" s="1795"/>
      <c r="K4443" s="1795"/>
      <c r="L4443" s="169"/>
      <c r="M4443" s="1783"/>
    </row>
    <row r="4444" spans="1:13" s="1517" customFormat="1" x14ac:dyDescent="0.25">
      <c r="A4444" s="179"/>
      <c r="B4444" s="179"/>
      <c r="C4444" s="1531"/>
      <c r="D4444" s="2141" t="s">
        <v>28</v>
      </c>
      <c r="E4444" s="2141"/>
      <c r="F4444" s="2141"/>
      <c r="G4444" s="2141"/>
      <c r="H4444" s="269">
        <f>E4439</f>
        <v>800</v>
      </c>
      <c r="I4444" s="1830"/>
      <c r="J4444" s="1795"/>
      <c r="K4444" s="1795"/>
      <c r="L4444" s="169"/>
      <c r="M4444" s="1783"/>
    </row>
    <row r="4445" spans="1:13" s="1517" customFormat="1" x14ac:dyDescent="0.25">
      <c r="A4445" s="179"/>
      <c r="B4445" s="179"/>
      <c r="C4445" s="1531"/>
      <c r="D4445" s="2142" t="s">
        <v>127</v>
      </c>
      <c r="E4445" s="2142"/>
      <c r="F4445" s="2142"/>
      <c r="G4445" s="2142"/>
      <c r="H4445" s="1532">
        <f>ROUND(H4443*H4444,2)</f>
        <v>40</v>
      </c>
      <c r="I4445" s="1830"/>
      <c r="J4445" s="1795"/>
      <c r="K4445" s="1795"/>
      <c r="L4445" s="169"/>
      <c r="M4445" s="1783"/>
    </row>
    <row r="4446" spans="1:13" s="1517" customFormat="1" x14ac:dyDescent="0.25">
      <c r="A4446" s="179"/>
      <c r="B4446" s="179"/>
      <c r="C4446" s="1531"/>
      <c r="D4446" s="2141" t="s">
        <v>15335</v>
      </c>
      <c r="E4446" s="2141"/>
      <c r="F4446" s="2141"/>
      <c r="G4446" s="2141"/>
      <c r="H4446" s="267">
        <f>ROUND(H4443*$B$13,2)</f>
        <v>0.01</v>
      </c>
      <c r="I4446" s="1830"/>
      <c r="J4446" s="1795"/>
      <c r="K4446" s="1795"/>
      <c r="L4446" s="169"/>
      <c r="M4446" s="1783"/>
    </row>
    <row r="4447" spans="1:13" x14ac:dyDescent="0.25">
      <c r="A4447" s="179"/>
      <c r="B4447" s="179"/>
      <c r="C4447" s="1531"/>
      <c r="D4447" s="2142" t="s">
        <v>7898</v>
      </c>
      <c r="E4447" s="2142"/>
      <c r="F4447" s="2142"/>
      <c r="G4447" s="2142"/>
      <c r="H4447" s="1532">
        <f>H4446+H4443</f>
        <v>6.0000000000000005E-2</v>
      </c>
    </row>
    <row r="4448" spans="1:13" x14ac:dyDescent="0.25">
      <c r="A4448" s="1514"/>
      <c r="B4448" s="1514"/>
      <c r="C4448" s="1514"/>
      <c r="F4448" s="1533"/>
      <c r="G4448" s="1534"/>
      <c r="H4448" s="1514"/>
    </row>
    <row r="4449" spans="1:13" s="1517" customFormat="1" x14ac:dyDescent="0.25">
      <c r="A4449" s="146" t="s">
        <v>6</v>
      </c>
      <c r="B4449" s="2143" t="s">
        <v>7</v>
      </c>
      <c r="C4449" s="2143"/>
      <c r="D4449" s="1518" t="s">
        <v>121</v>
      </c>
      <c r="E4449" s="278" t="s">
        <v>5282</v>
      </c>
      <c r="F4449" s="1518" t="s">
        <v>31</v>
      </c>
      <c r="G4449" s="1519" t="s">
        <v>122</v>
      </c>
      <c r="H4449" s="1520" t="s">
        <v>123</v>
      </c>
      <c r="I4449" s="1830"/>
      <c r="J4449" s="1795"/>
      <c r="K4449" s="1795"/>
      <c r="L4449" s="169"/>
      <c r="M4449" s="1783"/>
    </row>
    <row r="4450" spans="1:13" s="1526" customFormat="1" ht="30" x14ac:dyDescent="0.2">
      <c r="A4450" s="1521" t="str">
        <f>'Orç - Prédio'!A767</f>
        <v>07.02.501.01</v>
      </c>
      <c r="B4450" s="1521" t="str">
        <f>'Orç - Prédio'!B767</f>
        <v>Comp. Montada</v>
      </c>
      <c r="C4450" s="1521">
        <f>'Orç - Prédio'!C767</f>
        <v>15</v>
      </c>
      <c r="D4450" s="1522" t="s">
        <v>6846</v>
      </c>
      <c r="E4450" s="1523">
        <f>'Orç - Prédio'!E767</f>
        <v>5</v>
      </c>
      <c r="F4450" s="1521" t="s">
        <v>5284</v>
      </c>
      <c r="G4450" s="1524">
        <v>198.2</v>
      </c>
      <c r="H4450" s="1525">
        <f>H4458</f>
        <v>991</v>
      </c>
      <c r="I4450" s="1910" t="s">
        <v>9579</v>
      </c>
      <c r="J4450" s="1793"/>
      <c r="K4450" s="1793"/>
      <c r="L4450" s="141"/>
      <c r="M4450" s="1515"/>
    </row>
    <row r="4451" spans="1:13" s="156" customFormat="1" ht="29.25" customHeight="1" x14ac:dyDescent="0.2">
      <c r="A4451" s="2145" t="s">
        <v>6257</v>
      </c>
      <c r="B4451" s="2145"/>
      <c r="C4451" s="1496" t="s">
        <v>6899</v>
      </c>
      <c r="D4451" s="182" t="s">
        <v>7633</v>
      </c>
      <c r="E4451" s="1527">
        <v>1</v>
      </c>
      <c r="F4451" s="1669" t="s">
        <v>31</v>
      </c>
      <c r="G4451" s="367">
        <v>191.25</v>
      </c>
      <c r="H4451" s="1530">
        <f>ROUNDDOWN(G4451*E4451,2)</f>
        <v>191.25</v>
      </c>
      <c r="I4451" s="1642"/>
      <c r="J4451" s="1797"/>
      <c r="K4451" s="1797"/>
      <c r="L4451" s="1784"/>
      <c r="M4451" s="1785"/>
    </row>
    <row r="4452" spans="1:13" s="156" customFormat="1" ht="30" x14ac:dyDescent="0.2">
      <c r="A4452" s="2144">
        <v>88267</v>
      </c>
      <c r="B4452" s="2144"/>
      <c r="C4452" s="1516" t="s">
        <v>4448</v>
      </c>
      <c r="D4452" s="182" t="s">
        <v>83</v>
      </c>
      <c r="E4452" s="1527">
        <v>0.2</v>
      </c>
      <c r="F4452" s="1669" t="s">
        <v>65</v>
      </c>
      <c r="G4452" s="1529">
        <v>19.73</v>
      </c>
      <c r="H4452" s="1530">
        <f>ROUNDDOWN(G4452*E4452,2)</f>
        <v>3.94</v>
      </c>
      <c r="I4452" s="1642"/>
      <c r="J4452" s="1797"/>
      <c r="K4452" s="1797"/>
      <c r="L4452" s="1784"/>
      <c r="M4452" s="1785"/>
    </row>
    <row r="4453" spans="1:13" s="156" customFormat="1" ht="30" x14ac:dyDescent="0.2">
      <c r="A4453" s="2144">
        <v>88316</v>
      </c>
      <c r="B4453" s="2144"/>
      <c r="C4453" s="1516" t="s">
        <v>4448</v>
      </c>
      <c r="D4453" s="182" t="s">
        <v>64</v>
      </c>
      <c r="E4453" s="1527">
        <v>0.2</v>
      </c>
      <c r="F4453" s="1669" t="s">
        <v>65</v>
      </c>
      <c r="G4453" s="1529">
        <v>15.08</v>
      </c>
      <c r="H4453" s="1530">
        <f>ROUNDDOWN(G4453*E4453,2)</f>
        <v>3.01</v>
      </c>
      <c r="I4453" s="1642"/>
      <c r="J4453" s="1797"/>
      <c r="K4453" s="1797"/>
      <c r="L4453" s="1784"/>
      <c r="M4453" s="1785"/>
    </row>
    <row r="4454" spans="1:13" s="1517" customFormat="1" x14ac:dyDescent="0.25">
      <c r="A4454" s="179"/>
      <c r="B4454" s="179"/>
      <c r="C4454" s="1531"/>
      <c r="D4454" s="2141" t="s">
        <v>124</v>
      </c>
      <c r="E4454" s="2141"/>
      <c r="F4454" s="2141"/>
      <c r="G4454" s="2141"/>
      <c r="H4454" s="267">
        <f>SUMIF(F4451:F4453,("h"),H4451:H4453)</f>
        <v>6.9499999999999993</v>
      </c>
      <c r="I4454" s="1830"/>
      <c r="J4454" s="1795"/>
      <c r="K4454" s="1795"/>
      <c r="L4454" s="169"/>
      <c r="M4454" s="1783"/>
    </row>
    <row r="4455" spans="1:13" s="1517" customFormat="1" x14ac:dyDescent="0.25">
      <c r="A4455" s="179"/>
      <c r="B4455" s="179"/>
      <c r="C4455" s="1531"/>
      <c r="D4455" s="2141" t="s">
        <v>125</v>
      </c>
      <c r="E4455" s="2141"/>
      <c r="F4455" s="2141"/>
      <c r="G4455" s="2141"/>
      <c r="H4455" s="267">
        <f>SUMIF(F4451:F4453,"&lt;&gt;h",H4451:H4453)</f>
        <v>191.25</v>
      </c>
      <c r="I4455" s="1830"/>
      <c r="J4455" s="1795"/>
      <c r="K4455" s="1795"/>
      <c r="L4455" s="169"/>
      <c r="M4455" s="1783"/>
    </row>
    <row r="4456" spans="1:13" s="1517" customFormat="1" x14ac:dyDescent="0.25">
      <c r="A4456" s="179"/>
      <c r="B4456" s="179"/>
      <c r="C4456" s="1531"/>
      <c r="D4456" s="2142" t="s">
        <v>126</v>
      </c>
      <c r="E4456" s="2142"/>
      <c r="F4456" s="2142"/>
      <c r="G4456" s="2142"/>
      <c r="H4456" s="1532">
        <f>SUM(H4454:H4455)</f>
        <v>198.2</v>
      </c>
      <c r="I4456" s="1830"/>
      <c r="J4456" s="1795"/>
      <c r="K4456" s="1795"/>
      <c r="L4456" s="169"/>
      <c r="M4456" s="1783"/>
    </row>
    <row r="4457" spans="1:13" s="1517" customFormat="1" x14ac:dyDescent="0.25">
      <c r="A4457" s="179"/>
      <c r="B4457" s="179"/>
      <c r="C4457" s="1531"/>
      <c r="D4457" s="2141" t="s">
        <v>28</v>
      </c>
      <c r="E4457" s="2141"/>
      <c r="F4457" s="2141"/>
      <c r="G4457" s="2141"/>
      <c r="H4457" s="269">
        <f>E4450</f>
        <v>5</v>
      </c>
      <c r="I4457" s="1830"/>
      <c r="J4457" s="1795"/>
      <c r="K4457" s="1795"/>
      <c r="L4457" s="169"/>
      <c r="M4457" s="1783"/>
    </row>
    <row r="4458" spans="1:13" s="1517" customFormat="1" x14ac:dyDescent="0.25">
      <c r="A4458" s="179"/>
      <c r="B4458" s="179"/>
      <c r="C4458" s="1531"/>
      <c r="D4458" s="2142" t="s">
        <v>127</v>
      </c>
      <c r="E4458" s="2142"/>
      <c r="F4458" s="2142"/>
      <c r="G4458" s="2142"/>
      <c r="H4458" s="1532">
        <f>ROUND(H4456*H4457,2)</f>
        <v>991</v>
      </c>
      <c r="I4458" s="1830"/>
      <c r="J4458" s="1795"/>
      <c r="K4458" s="1795"/>
      <c r="L4458" s="169"/>
      <c r="M4458" s="1783"/>
    </row>
    <row r="4459" spans="1:13" s="1517" customFormat="1" x14ac:dyDescent="0.25">
      <c r="A4459" s="179"/>
      <c r="B4459" s="179"/>
      <c r="C4459" s="1531"/>
      <c r="D4459" s="2141" t="s">
        <v>15335</v>
      </c>
      <c r="E4459" s="2141"/>
      <c r="F4459" s="2141"/>
      <c r="G4459" s="2141"/>
      <c r="H4459" s="267">
        <f>ROUND(H4456*$B$13,2)</f>
        <v>53.38</v>
      </c>
      <c r="I4459" s="1830"/>
      <c r="J4459" s="1795"/>
      <c r="K4459" s="1795"/>
      <c r="L4459" s="169"/>
      <c r="M4459" s="1783"/>
    </row>
    <row r="4460" spans="1:13" x14ac:dyDescent="0.25">
      <c r="A4460" s="179"/>
      <c r="B4460" s="179"/>
      <c r="C4460" s="1531"/>
      <c r="D4460" s="2142" t="s">
        <v>7898</v>
      </c>
      <c r="E4460" s="2142"/>
      <c r="F4460" s="2142"/>
      <c r="G4460" s="2142"/>
      <c r="H4460" s="1532">
        <f>H4459+H4456</f>
        <v>251.57999999999998</v>
      </c>
    </row>
    <row r="4461" spans="1:13" x14ac:dyDescent="0.25">
      <c r="A4461" s="1514"/>
      <c r="B4461" s="1514"/>
      <c r="C4461" s="1514"/>
      <c r="F4461" s="1533"/>
      <c r="G4461" s="1534"/>
      <c r="H4461" s="1514"/>
    </row>
    <row r="4462" spans="1:13" s="1517" customFormat="1" x14ac:dyDescent="0.25">
      <c r="A4462" s="146" t="s">
        <v>6</v>
      </c>
      <c r="B4462" s="2143" t="s">
        <v>7</v>
      </c>
      <c r="C4462" s="2143"/>
      <c r="D4462" s="1518" t="s">
        <v>121</v>
      </c>
      <c r="E4462" s="278" t="s">
        <v>5282</v>
      </c>
      <c r="F4462" s="1518" t="s">
        <v>31</v>
      </c>
      <c r="G4462" s="1519" t="s">
        <v>122</v>
      </c>
      <c r="H4462" s="1520" t="s">
        <v>123</v>
      </c>
      <c r="I4462" s="1830"/>
      <c r="J4462" s="1795"/>
      <c r="K4462" s="1795"/>
      <c r="L4462" s="169"/>
      <c r="M4462" s="1783"/>
    </row>
    <row r="4463" spans="1:13" s="1526" customFormat="1" ht="30" x14ac:dyDescent="0.2">
      <c r="A4463" s="1521" t="str">
        <f>'Orç - Prédio'!A768</f>
        <v>07.02.501.02</v>
      </c>
      <c r="B4463" s="1521" t="str">
        <f>'Orç - Prédio'!B768</f>
        <v>Comp. Montada</v>
      </c>
      <c r="C4463" s="1521">
        <f>'Orç - Prédio'!C768</f>
        <v>16</v>
      </c>
      <c r="D4463" s="1522" t="s">
        <v>6847</v>
      </c>
      <c r="E4463" s="1523">
        <f>'Orç - Prédio'!E768</f>
        <v>42</v>
      </c>
      <c r="F4463" s="1521" t="s">
        <v>5284</v>
      </c>
      <c r="G4463" s="1524">
        <v>52.95</v>
      </c>
      <c r="H4463" s="1525">
        <f>H4471</f>
        <v>2223.9</v>
      </c>
      <c r="I4463" s="1910" t="s">
        <v>9579</v>
      </c>
      <c r="J4463" s="1793"/>
      <c r="K4463" s="1793"/>
      <c r="L4463" s="141"/>
      <c r="M4463" s="1515"/>
    </row>
    <row r="4464" spans="1:13" s="156" customFormat="1" ht="30" customHeight="1" x14ac:dyDescent="0.2">
      <c r="A4464" s="2145" t="s">
        <v>6257</v>
      </c>
      <c r="B4464" s="2145"/>
      <c r="C4464" s="1496" t="s">
        <v>6899</v>
      </c>
      <c r="D4464" s="182" t="s">
        <v>7643</v>
      </c>
      <c r="E4464" s="1527">
        <v>1</v>
      </c>
      <c r="F4464" s="1669" t="s">
        <v>31</v>
      </c>
      <c r="G4464" s="367">
        <v>46</v>
      </c>
      <c r="H4464" s="1530">
        <f>ROUNDDOWN(G4464*E4464,2)</f>
        <v>46</v>
      </c>
      <c r="I4464" s="1642"/>
      <c r="J4464" s="1797"/>
      <c r="K4464" s="1797"/>
      <c r="L4464" s="1784"/>
      <c r="M4464" s="1785"/>
    </row>
    <row r="4465" spans="1:13" s="156" customFormat="1" ht="30" x14ac:dyDescent="0.2">
      <c r="A4465" s="2144">
        <v>88267</v>
      </c>
      <c r="B4465" s="2144"/>
      <c r="C4465" s="1516" t="s">
        <v>4448</v>
      </c>
      <c r="D4465" s="182" t="s">
        <v>83</v>
      </c>
      <c r="E4465" s="1527">
        <v>0.2</v>
      </c>
      <c r="F4465" s="1669" t="s">
        <v>65</v>
      </c>
      <c r="G4465" s="1529">
        <v>19.73</v>
      </c>
      <c r="H4465" s="1530">
        <f>ROUNDDOWN(G4465*E4465,2)</f>
        <v>3.94</v>
      </c>
      <c r="I4465" s="1642"/>
      <c r="J4465" s="1797"/>
      <c r="K4465" s="1797"/>
      <c r="L4465" s="1784"/>
      <c r="M4465" s="1785"/>
    </row>
    <row r="4466" spans="1:13" s="156" customFormat="1" ht="30" x14ac:dyDescent="0.2">
      <c r="A4466" s="2144">
        <v>88316</v>
      </c>
      <c r="B4466" s="2144"/>
      <c r="C4466" s="1516" t="s">
        <v>4448</v>
      </c>
      <c r="D4466" s="182" t="s">
        <v>64</v>
      </c>
      <c r="E4466" s="1527">
        <v>0.2</v>
      </c>
      <c r="F4466" s="1669" t="s">
        <v>65</v>
      </c>
      <c r="G4466" s="1529">
        <v>15.08</v>
      </c>
      <c r="H4466" s="1530">
        <f>ROUNDDOWN(G4466*E4466,2)</f>
        <v>3.01</v>
      </c>
      <c r="I4466" s="1642"/>
      <c r="J4466" s="1797"/>
      <c r="K4466" s="1797"/>
      <c r="L4466" s="1784"/>
      <c r="M4466" s="1785"/>
    </row>
    <row r="4467" spans="1:13" s="1517" customFormat="1" x14ac:dyDescent="0.25">
      <c r="A4467" s="179"/>
      <c r="B4467" s="179"/>
      <c r="C4467" s="1531"/>
      <c r="D4467" s="2141" t="s">
        <v>124</v>
      </c>
      <c r="E4467" s="2141"/>
      <c r="F4467" s="2141"/>
      <c r="G4467" s="2141"/>
      <c r="H4467" s="267">
        <f>SUMIF(F4464:F4466,("h"),H4464:H4466)</f>
        <v>6.9499999999999993</v>
      </c>
      <c r="I4467" s="1830"/>
      <c r="J4467" s="1795"/>
      <c r="K4467" s="1795"/>
      <c r="L4467" s="169"/>
      <c r="M4467" s="1783"/>
    </row>
    <row r="4468" spans="1:13" s="1517" customFormat="1" x14ac:dyDescent="0.25">
      <c r="A4468" s="179"/>
      <c r="B4468" s="179"/>
      <c r="C4468" s="1531"/>
      <c r="D4468" s="2141" t="s">
        <v>125</v>
      </c>
      <c r="E4468" s="2141"/>
      <c r="F4468" s="2141"/>
      <c r="G4468" s="2141"/>
      <c r="H4468" s="267">
        <f>SUMIF(F4464:F4466,"&lt;&gt;h",H4464:H4466)</f>
        <v>46</v>
      </c>
      <c r="I4468" s="1830"/>
      <c r="J4468" s="1795"/>
      <c r="K4468" s="1795"/>
      <c r="L4468" s="169"/>
      <c r="M4468" s="1783"/>
    </row>
    <row r="4469" spans="1:13" s="1517" customFormat="1" x14ac:dyDescent="0.25">
      <c r="A4469" s="179"/>
      <c r="B4469" s="179"/>
      <c r="C4469" s="1531"/>
      <c r="D4469" s="2142" t="s">
        <v>126</v>
      </c>
      <c r="E4469" s="2142"/>
      <c r="F4469" s="2142"/>
      <c r="G4469" s="2142"/>
      <c r="H4469" s="1532">
        <f>SUM(H4467:H4468)</f>
        <v>52.95</v>
      </c>
      <c r="I4469" s="1830"/>
      <c r="J4469" s="1795"/>
      <c r="K4469" s="1795"/>
      <c r="L4469" s="169"/>
      <c r="M4469" s="1783"/>
    </row>
    <row r="4470" spans="1:13" s="1517" customFormat="1" x14ac:dyDescent="0.25">
      <c r="A4470" s="179"/>
      <c r="B4470" s="179"/>
      <c r="C4470" s="1531"/>
      <c r="D4470" s="2141" t="s">
        <v>28</v>
      </c>
      <c r="E4470" s="2141"/>
      <c r="F4470" s="2141"/>
      <c r="G4470" s="2141"/>
      <c r="H4470" s="269">
        <f>E4463</f>
        <v>42</v>
      </c>
      <c r="I4470" s="1830"/>
      <c r="J4470" s="1795"/>
      <c r="K4470" s="1795"/>
      <c r="L4470" s="169"/>
      <c r="M4470" s="1783"/>
    </row>
    <row r="4471" spans="1:13" s="1517" customFormat="1" x14ac:dyDescent="0.25">
      <c r="A4471" s="179"/>
      <c r="B4471" s="179"/>
      <c r="C4471" s="1531"/>
      <c r="D4471" s="2142" t="s">
        <v>127</v>
      </c>
      <c r="E4471" s="2142"/>
      <c r="F4471" s="2142"/>
      <c r="G4471" s="2142"/>
      <c r="H4471" s="1532">
        <f>ROUND(H4469*H4470,2)</f>
        <v>2223.9</v>
      </c>
      <c r="I4471" s="1830"/>
      <c r="J4471" s="1795"/>
      <c r="K4471" s="1795"/>
      <c r="L4471" s="169"/>
      <c r="M4471" s="1783"/>
    </row>
    <row r="4472" spans="1:13" s="1517" customFormat="1" x14ac:dyDescent="0.25">
      <c r="A4472" s="179"/>
      <c r="B4472" s="179"/>
      <c r="C4472" s="1531"/>
      <c r="D4472" s="2141" t="s">
        <v>15335</v>
      </c>
      <c r="E4472" s="2141"/>
      <c r="F4472" s="2141"/>
      <c r="G4472" s="2141"/>
      <c r="H4472" s="267">
        <f>ROUND(H4469*$B$13,2)</f>
        <v>14.26</v>
      </c>
      <c r="I4472" s="1830"/>
      <c r="J4472" s="1795"/>
      <c r="K4472" s="1795"/>
      <c r="L4472" s="169"/>
      <c r="M4472" s="1783"/>
    </row>
    <row r="4473" spans="1:13" x14ac:dyDescent="0.25">
      <c r="A4473" s="179"/>
      <c r="B4473" s="179"/>
      <c r="C4473" s="1531"/>
      <c r="D4473" s="2142" t="s">
        <v>7898</v>
      </c>
      <c r="E4473" s="2142"/>
      <c r="F4473" s="2142"/>
      <c r="G4473" s="2142"/>
      <c r="H4473" s="1532">
        <f>H4472+H4469</f>
        <v>67.210000000000008</v>
      </c>
    </row>
    <row r="4474" spans="1:13" x14ac:dyDescent="0.25">
      <c r="A4474" s="1514"/>
      <c r="B4474" s="1514"/>
      <c r="C4474" s="1514"/>
      <c r="F4474" s="1533"/>
      <c r="G4474" s="1534"/>
      <c r="H4474" s="1514"/>
    </row>
    <row r="4475" spans="1:13" s="1517" customFormat="1" x14ac:dyDescent="0.25">
      <c r="A4475" s="146" t="s">
        <v>6</v>
      </c>
      <c r="B4475" s="2143" t="s">
        <v>7</v>
      </c>
      <c r="C4475" s="2143"/>
      <c r="D4475" s="1518" t="s">
        <v>121</v>
      </c>
      <c r="E4475" s="278" t="s">
        <v>5282</v>
      </c>
      <c r="F4475" s="1518" t="s">
        <v>31</v>
      </c>
      <c r="G4475" s="1519" t="s">
        <v>122</v>
      </c>
      <c r="H4475" s="1520" t="s">
        <v>123</v>
      </c>
      <c r="I4475" s="1830"/>
      <c r="J4475" s="1795"/>
      <c r="K4475" s="1795"/>
      <c r="L4475" s="169"/>
      <c r="M4475" s="1783"/>
    </row>
    <row r="4476" spans="1:13" s="1526" customFormat="1" ht="30" x14ac:dyDescent="0.2">
      <c r="A4476" s="1521" t="str">
        <f>'Orç - Prédio'!A769</f>
        <v>07.02.501.03</v>
      </c>
      <c r="B4476" s="1521" t="str">
        <f>'Orç - Prédio'!B769</f>
        <v>Comp. Montada</v>
      </c>
      <c r="C4476" s="1521">
        <f>'Orç - Prédio'!C769</f>
        <v>17</v>
      </c>
      <c r="D4476" s="1522" t="s">
        <v>6848</v>
      </c>
      <c r="E4476" s="1523">
        <f>'Orç - Prédio'!E769</f>
        <v>11</v>
      </c>
      <c r="F4476" s="1521" t="s">
        <v>5284</v>
      </c>
      <c r="G4476" s="1524">
        <v>33.849999999999994</v>
      </c>
      <c r="H4476" s="1525">
        <f>H4484</f>
        <v>372.35</v>
      </c>
      <c r="I4476" s="1910" t="s">
        <v>9579</v>
      </c>
      <c r="J4476" s="1793"/>
      <c r="K4476" s="1793"/>
      <c r="L4476" s="141"/>
      <c r="M4476" s="1515"/>
    </row>
    <row r="4477" spans="1:13" s="156" customFormat="1" ht="30" customHeight="1" x14ac:dyDescent="0.2">
      <c r="A4477" s="2145" t="s">
        <v>6257</v>
      </c>
      <c r="B4477" s="2145"/>
      <c r="C4477" s="1496" t="s">
        <v>6899</v>
      </c>
      <c r="D4477" s="182" t="s">
        <v>7646</v>
      </c>
      <c r="E4477" s="1527">
        <v>1</v>
      </c>
      <c r="F4477" s="1669" t="s">
        <v>31</v>
      </c>
      <c r="G4477" s="367">
        <v>26.9</v>
      </c>
      <c r="H4477" s="1530">
        <f>ROUNDDOWN(G4477*E4477,2)</f>
        <v>26.9</v>
      </c>
      <c r="I4477" s="1642"/>
      <c r="J4477" s="1797"/>
      <c r="K4477" s="1797"/>
      <c r="L4477" s="1784"/>
      <c r="M4477" s="1785"/>
    </row>
    <row r="4478" spans="1:13" s="156" customFormat="1" ht="30" x14ac:dyDescent="0.2">
      <c r="A4478" s="2144">
        <v>88267</v>
      </c>
      <c r="B4478" s="2144"/>
      <c r="C4478" s="1516" t="s">
        <v>4448</v>
      </c>
      <c r="D4478" s="182" t="s">
        <v>83</v>
      </c>
      <c r="E4478" s="1527">
        <v>0.2</v>
      </c>
      <c r="F4478" s="1669" t="s">
        <v>65</v>
      </c>
      <c r="G4478" s="1529">
        <v>19.73</v>
      </c>
      <c r="H4478" s="1530">
        <f>ROUNDDOWN(G4478*E4478,2)</f>
        <v>3.94</v>
      </c>
      <c r="I4478" s="1642"/>
      <c r="J4478" s="1797"/>
      <c r="K4478" s="1797"/>
      <c r="L4478" s="1784"/>
      <c r="M4478" s="1785"/>
    </row>
    <row r="4479" spans="1:13" s="156" customFormat="1" ht="30" x14ac:dyDescent="0.2">
      <c r="A4479" s="2144">
        <v>88316</v>
      </c>
      <c r="B4479" s="2144"/>
      <c r="C4479" s="1516" t="s">
        <v>4448</v>
      </c>
      <c r="D4479" s="182" t="s">
        <v>64</v>
      </c>
      <c r="E4479" s="1527">
        <v>0.2</v>
      </c>
      <c r="F4479" s="1669" t="s">
        <v>65</v>
      </c>
      <c r="G4479" s="1529">
        <v>15.08</v>
      </c>
      <c r="H4479" s="1530">
        <f>ROUNDDOWN(G4479*E4479,2)</f>
        <v>3.01</v>
      </c>
      <c r="I4479" s="1642"/>
      <c r="J4479" s="1797"/>
      <c r="K4479" s="1797"/>
      <c r="L4479" s="1784"/>
      <c r="M4479" s="1785"/>
    </row>
    <row r="4480" spans="1:13" s="1517" customFormat="1" x14ac:dyDescent="0.25">
      <c r="A4480" s="179"/>
      <c r="B4480" s="179"/>
      <c r="C4480" s="1531"/>
      <c r="D4480" s="2141" t="s">
        <v>124</v>
      </c>
      <c r="E4480" s="2141"/>
      <c r="F4480" s="2141"/>
      <c r="G4480" s="2141"/>
      <c r="H4480" s="267">
        <f>SUMIF(F4477:F4479,("h"),H4477:H4479)</f>
        <v>6.9499999999999993</v>
      </c>
      <c r="I4480" s="1830"/>
      <c r="J4480" s="1795"/>
      <c r="K4480" s="1795"/>
      <c r="L4480" s="169"/>
      <c r="M4480" s="1783"/>
    </row>
    <row r="4481" spans="1:13" s="1517" customFormat="1" x14ac:dyDescent="0.25">
      <c r="A4481" s="179"/>
      <c r="B4481" s="179"/>
      <c r="C4481" s="1531"/>
      <c r="D4481" s="2141" t="s">
        <v>125</v>
      </c>
      <c r="E4481" s="2141"/>
      <c r="F4481" s="2141"/>
      <c r="G4481" s="2141"/>
      <c r="H4481" s="267">
        <f>SUMIF(F4477:F4479,"&lt;&gt;h",H4477:H4479)</f>
        <v>26.9</v>
      </c>
      <c r="I4481" s="1830"/>
      <c r="J4481" s="1795"/>
      <c r="K4481" s="1795"/>
      <c r="L4481" s="169"/>
      <c r="M4481" s="1783"/>
    </row>
    <row r="4482" spans="1:13" s="1517" customFormat="1" x14ac:dyDescent="0.25">
      <c r="A4482" s="179"/>
      <c r="B4482" s="179"/>
      <c r="C4482" s="1531"/>
      <c r="D4482" s="2142" t="s">
        <v>126</v>
      </c>
      <c r="E4482" s="2142"/>
      <c r="F4482" s="2142"/>
      <c r="G4482" s="2142"/>
      <c r="H4482" s="1532">
        <f>SUM(H4480:H4481)</f>
        <v>33.849999999999994</v>
      </c>
      <c r="I4482" s="1830"/>
      <c r="J4482" s="1795"/>
      <c r="K4482" s="1795"/>
      <c r="L4482" s="169"/>
      <c r="M4482" s="1783"/>
    </row>
    <row r="4483" spans="1:13" s="1517" customFormat="1" x14ac:dyDescent="0.25">
      <c r="A4483" s="179"/>
      <c r="B4483" s="179"/>
      <c r="C4483" s="1531"/>
      <c r="D4483" s="2141" t="s">
        <v>28</v>
      </c>
      <c r="E4483" s="2141"/>
      <c r="F4483" s="2141"/>
      <c r="G4483" s="2141"/>
      <c r="H4483" s="269">
        <f>E4476</f>
        <v>11</v>
      </c>
      <c r="I4483" s="1830"/>
      <c r="J4483" s="1795"/>
      <c r="K4483" s="1795"/>
      <c r="L4483" s="169"/>
      <c r="M4483" s="1783"/>
    </row>
    <row r="4484" spans="1:13" s="1517" customFormat="1" x14ac:dyDescent="0.25">
      <c r="A4484" s="179"/>
      <c r="B4484" s="179"/>
      <c r="C4484" s="1531"/>
      <c r="D4484" s="2142" t="s">
        <v>127</v>
      </c>
      <c r="E4484" s="2142"/>
      <c r="F4484" s="2142"/>
      <c r="G4484" s="2142"/>
      <c r="H4484" s="1532">
        <f>ROUND(H4482*H4483,2)</f>
        <v>372.35</v>
      </c>
      <c r="I4484" s="1830"/>
      <c r="J4484" s="1795"/>
      <c r="K4484" s="1795"/>
      <c r="L4484" s="169"/>
      <c r="M4484" s="1783"/>
    </row>
    <row r="4485" spans="1:13" s="1517" customFormat="1" x14ac:dyDescent="0.25">
      <c r="A4485" s="179"/>
      <c r="B4485" s="179"/>
      <c r="C4485" s="1531"/>
      <c r="D4485" s="2141" t="s">
        <v>15335</v>
      </c>
      <c r="E4485" s="2141"/>
      <c r="F4485" s="2141"/>
      <c r="G4485" s="2141"/>
      <c r="H4485" s="267">
        <f>ROUND(H4482*$B$13,2)</f>
        <v>9.1199999999999992</v>
      </c>
      <c r="I4485" s="1830"/>
      <c r="J4485" s="1795"/>
      <c r="K4485" s="1795"/>
      <c r="L4485" s="169"/>
      <c r="M4485" s="1783"/>
    </row>
    <row r="4486" spans="1:13" x14ac:dyDescent="0.25">
      <c r="A4486" s="179"/>
      <c r="B4486" s="179"/>
      <c r="C4486" s="1531"/>
      <c r="D4486" s="2142" t="s">
        <v>7898</v>
      </c>
      <c r="E4486" s="2142"/>
      <c r="F4486" s="2142"/>
      <c r="G4486" s="2142"/>
      <c r="H4486" s="1532">
        <f>H4485+H4482</f>
        <v>42.969999999999992</v>
      </c>
    </row>
    <row r="4487" spans="1:13" x14ac:dyDescent="0.25">
      <c r="A4487" s="1514"/>
      <c r="B4487" s="1514"/>
      <c r="C4487" s="1514"/>
      <c r="F4487" s="1533"/>
      <c r="G4487" s="1534"/>
      <c r="H4487" s="1514"/>
    </row>
    <row r="4488" spans="1:13" s="1517" customFormat="1" x14ac:dyDescent="0.25">
      <c r="A4488" s="146" t="s">
        <v>6</v>
      </c>
      <c r="B4488" s="2143" t="s">
        <v>7</v>
      </c>
      <c r="C4488" s="2143"/>
      <c r="D4488" s="1518" t="s">
        <v>121</v>
      </c>
      <c r="E4488" s="278" t="s">
        <v>5282</v>
      </c>
      <c r="F4488" s="1518" t="s">
        <v>31</v>
      </c>
      <c r="G4488" s="1519" t="s">
        <v>122</v>
      </c>
      <c r="H4488" s="1520" t="s">
        <v>123</v>
      </c>
      <c r="I4488" s="1830"/>
      <c r="J4488" s="1795"/>
      <c r="K4488" s="1795"/>
      <c r="L4488" s="169"/>
      <c r="M4488" s="1783"/>
    </row>
    <row r="4489" spans="1:13" s="1526" customFormat="1" ht="30" x14ac:dyDescent="0.2">
      <c r="A4489" s="1521" t="str">
        <f>'Orç - Prédio'!A770</f>
        <v>07.02.501.04</v>
      </c>
      <c r="B4489" s="1521" t="str">
        <f>'Orç - Prédio'!B770</f>
        <v>Comp. Montada</v>
      </c>
      <c r="C4489" s="1521">
        <f>'Orç - Prédio'!C770</f>
        <v>18</v>
      </c>
      <c r="D4489" s="1522" t="s">
        <v>6849</v>
      </c>
      <c r="E4489" s="1523">
        <f>'Orç - Prédio'!E770</f>
        <v>45</v>
      </c>
      <c r="F4489" s="1521" t="s">
        <v>5284</v>
      </c>
      <c r="G4489" s="1524">
        <v>45.2</v>
      </c>
      <c r="H4489" s="1525">
        <f>H4497</f>
        <v>2034</v>
      </c>
      <c r="I4489" s="1910" t="s">
        <v>9579</v>
      </c>
      <c r="J4489" s="1793"/>
      <c r="K4489" s="1793"/>
      <c r="L4489" s="141"/>
      <c r="M4489" s="1515"/>
    </row>
    <row r="4490" spans="1:13" s="156" customFormat="1" x14ac:dyDescent="0.2">
      <c r="A4490" s="2145" t="s">
        <v>6257</v>
      </c>
      <c r="B4490" s="2145"/>
      <c r="C4490" s="1496" t="s">
        <v>6899</v>
      </c>
      <c r="D4490" s="182" t="s">
        <v>7648</v>
      </c>
      <c r="E4490" s="1527">
        <v>1</v>
      </c>
      <c r="F4490" s="1669" t="s">
        <v>31</v>
      </c>
      <c r="G4490" s="367">
        <v>38.25</v>
      </c>
      <c r="H4490" s="1530">
        <f>ROUNDDOWN(G4490*E4490,2)</f>
        <v>38.25</v>
      </c>
      <c r="I4490" s="1642"/>
      <c r="J4490" s="1797"/>
      <c r="K4490" s="1797"/>
      <c r="L4490" s="1784"/>
      <c r="M4490" s="1785"/>
    </row>
    <row r="4491" spans="1:13" s="156" customFormat="1" ht="30" x14ac:dyDescent="0.2">
      <c r="A4491" s="2144">
        <v>88267</v>
      </c>
      <c r="B4491" s="2144"/>
      <c r="C4491" s="1516" t="s">
        <v>4448</v>
      </c>
      <c r="D4491" s="182" t="s">
        <v>83</v>
      </c>
      <c r="E4491" s="1527">
        <v>0.2</v>
      </c>
      <c r="F4491" s="1669" t="s">
        <v>65</v>
      </c>
      <c r="G4491" s="1529">
        <v>19.73</v>
      </c>
      <c r="H4491" s="1530">
        <f>ROUNDDOWN(G4491*E4491,2)</f>
        <v>3.94</v>
      </c>
      <c r="I4491" s="1642"/>
      <c r="J4491" s="1797"/>
      <c r="K4491" s="1797"/>
      <c r="L4491" s="1784"/>
      <c r="M4491" s="1785"/>
    </row>
    <row r="4492" spans="1:13" s="156" customFormat="1" ht="30" x14ac:dyDescent="0.2">
      <c r="A4492" s="2144">
        <v>88316</v>
      </c>
      <c r="B4492" s="2144"/>
      <c r="C4492" s="1516" t="s">
        <v>4448</v>
      </c>
      <c r="D4492" s="182" t="s">
        <v>64</v>
      </c>
      <c r="E4492" s="1527">
        <v>0.2</v>
      </c>
      <c r="F4492" s="1669" t="s">
        <v>65</v>
      </c>
      <c r="G4492" s="1529">
        <v>15.08</v>
      </c>
      <c r="H4492" s="1530">
        <f>ROUNDDOWN(G4492*E4492,2)</f>
        <v>3.01</v>
      </c>
      <c r="I4492" s="1642"/>
      <c r="J4492" s="1797"/>
      <c r="K4492" s="1797"/>
      <c r="L4492" s="1784"/>
      <c r="M4492" s="1785"/>
    </row>
    <row r="4493" spans="1:13" s="1517" customFormat="1" x14ac:dyDescent="0.25">
      <c r="A4493" s="179"/>
      <c r="B4493" s="179"/>
      <c r="C4493" s="1531"/>
      <c r="D4493" s="2141" t="s">
        <v>124</v>
      </c>
      <c r="E4493" s="2141"/>
      <c r="F4493" s="2141"/>
      <c r="G4493" s="2141"/>
      <c r="H4493" s="267">
        <f>SUMIF(F4490:F4492,("h"),H4490:H4492)</f>
        <v>6.9499999999999993</v>
      </c>
      <c r="I4493" s="1830"/>
      <c r="J4493" s="1795"/>
      <c r="K4493" s="1795"/>
      <c r="L4493" s="169"/>
      <c r="M4493" s="1783"/>
    </row>
    <row r="4494" spans="1:13" s="1517" customFormat="1" x14ac:dyDescent="0.25">
      <c r="A4494" s="179"/>
      <c r="B4494" s="179"/>
      <c r="C4494" s="1531"/>
      <c r="D4494" s="2141" t="s">
        <v>125</v>
      </c>
      <c r="E4494" s="2141"/>
      <c r="F4494" s="2141"/>
      <c r="G4494" s="2141"/>
      <c r="H4494" s="267">
        <f>SUMIF(F4490:F4492,"&lt;&gt;h",H4490:H4492)</f>
        <v>38.25</v>
      </c>
      <c r="I4494" s="1830"/>
      <c r="J4494" s="1795"/>
      <c r="K4494" s="1795"/>
      <c r="L4494" s="169"/>
      <c r="M4494" s="1783"/>
    </row>
    <row r="4495" spans="1:13" s="1517" customFormat="1" x14ac:dyDescent="0.25">
      <c r="A4495" s="179"/>
      <c r="B4495" s="179"/>
      <c r="C4495" s="1531"/>
      <c r="D4495" s="2142" t="s">
        <v>126</v>
      </c>
      <c r="E4495" s="2142"/>
      <c r="F4495" s="2142"/>
      <c r="G4495" s="2142"/>
      <c r="H4495" s="1532">
        <f>SUM(H4493:H4494)</f>
        <v>45.2</v>
      </c>
      <c r="I4495" s="1830"/>
      <c r="J4495" s="1795"/>
      <c r="K4495" s="1795"/>
      <c r="L4495" s="169"/>
      <c r="M4495" s="1783"/>
    </row>
    <row r="4496" spans="1:13" s="1517" customFormat="1" x14ac:dyDescent="0.25">
      <c r="A4496" s="179"/>
      <c r="B4496" s="179"/>
      <c r="C4496" s="1531"/>
      <c r="D4496" s="2141" t="s">
        <v>28</v>
      </c>
      <c r="E4496" s="2141"/>
      <c r="F4496" s="2141"/>
      <c r="G4496" s="2141"/>
      <c r="H4496" s="269">
        <f>E4489</f>
        <v>45</v>
      </c>
      <c r="I4496" s="1830"/>
      <c r="J4496" s="1795"/>
      <c r="K4496" s="1795"/>
      <c r="L4496" s="169"/>
      <c r="M4496" s="1783"/>
    </row>
    <row r="4497" spans="1:13" s="1517" customFormat="1" x14ac:dyDescent="0.25">
      <c r="A4497" s="179"/>
      <c r="B4497" s="179"/>
      <c r="C4497" s="1531"/>
      <c r="D4497" s="2142" t="s">
        <v>127</v>
      </c>
      <c r="E4497" s="2142"/>
      <c r="F4497" s="2142"/>
      <c r="G4497" s="2142"/>
      <c r="H4497" s="1532">
        <f>ROUND(H4495*H4496,2)</f>
        <v>2034</v>
      </c>
      <c r="I4497" s="1830"/>
      <c r="J4497" s="1795"/>
      <c r="K4497" s="1795"/>
      <c r="L4497" s="169"/>
      <c r="M4497" s="1783"/>
    </row>
    <row r="4498" spans="1:13" s="1517" customFormat="1" x14ac:dyDescent="0.25">
      <c r="A4498" s="179"/>
      <c r="B4498" s="179"/>
      <c r="C4498" s="1531"/>
      <c r="D4498" s="2141" t="s">
        <v>15335</v>
      </c>
      <c r="E4498" s="2141"/>
      <c r="F4498" s="2141"/>
      <c r="G4498" s="2141"/>
      <c r="H4498" s="267">
        <f>ROUND(H4495*$B$13,2)</f>
        <v>12.17</v>
      </c>
      <c r="I4498" s="1830"/>
      <c r="J4498" s="1795"/>
      <c r="K4498" s="1795"/>
      <c r="L4498" s="169"/>
      <c r="M4498" s="1783"/>
    </row>
    <row r="4499" spans="1:13" x14ac:dyDescent="0.25">
      <c r="A4499" s="179"/>
      <c r="B4499" s="179"/>
      <c r="C4499" s="1531"/>
      <c r="D4499" s="2142" t="s">
        <v>7898</v>
      </c>
      <c r="E4499" s="2142"/>
      <c r="F4499" s="2142"/>
      <c r="G4499" s="2142"/>
      <c r="H4499" s="1532">
        <f>H4498+H4495</f>
        <v>57.370000000000005</v>
      </c>
    </row>
    <row r="4500" spans="1:13" x14ac:dyDescent="0.25">
      <c r="A4500" s="1514"/>
      <c r="B4500" s="1514"/>
      <c r="C4500" s="1514"/>
      <c r="F4500" s="1533"/>
      <c r="G4500" s="1534"/>
      <c r="H4500" s="1514"/>
    </row>
    <row r="4501" spans="1:13" s="1517" customFormat="1" x14ac:dyDescent="0.25">
      <c r="A4501" s="146" t="s">
        <v>6</v>
      </c>
      <c r="B4501" s="2143" t="s">
        <v>7</v>
      </c>
      <c r="C4501" s="2143"/>
      <c r="D4501" s="1518" t="s">
        <v>121</v>
      </c>
      <c r="E4501" s="278" t="s">
        <v>5282</v>
      </c>
      <c r="F4501" s="1518" t="s">
        <v>31</v>
      </c>
      <c r="G4501" s="1519" t="s">
        <v>122</v>
      </c>
      <c r="H4501" s="1520" t="s">
        <v>123</v>
      </c>
      <c r="I4501" s="1830"/>
      <c r="J4501" s="1795"/>
      <c r="K4501" s="1795"/>
      <c r="L4501" s="169"/>
      <c r="M4501" s="1783"/>
    </row>
    <row r="4502" spans="1:13" s="1526" customFormat="1" ht="30" x14ac:dyDescent="0.2">
      <c r="A4502" s="1521" t="str">
        <f>'Orç - Prédio'!A771</f>
        <v>07.02.501.05</v>
      </c>
      <c r="B4502" s="1521" t="str">
        <f>'Orç - Prédio'!B771</f>
        <v>Comp. Montada</v>
      </c>
      <c r="C4502" s="1521">
        <f>'Orç - Prédio'!C771</f>
        <v>19</v>
      </c>
      <c r="D4502" s="1560" t="s">
        <v>6850</v>
      </c>
      <c r="E4502" s="1523">
        <f>'Orç - Prédio'!E771</f>
        <v>13</v>
      </c>
      <c r="F4502" s="1521" t="s">
        <v>5284</v>
      </c>
      <c r="G4502" s="1524">
        <v>30.599999999999998</v>
      </c>
      <c r="H4502" s="1525">
        <f>H4510</f>
        <v>397.8</v>
      </c>
      <c r="I4502" s="1910" t="s">
        <v>9579</v>
      </c>
      <c r="J4502" s="1793"/>
      <c r="K4502" s="1793"/>
      <c r="L4502" s="141"/>
      <c r="M4502" s="1515"/>
    </row>
    <row r="4503" spans="1:13" s="156" customFormat="1" x14ac:dyDescent="0.2">
      <c r="A4503" s="2145" t="s">
        <v>6257</v>
      </c>
      <c r="B4503" s="2145"/>
      <c r="C4503" s="1496" t="s">
        <v>6899</v>
      </c>
      <c r="D4503" s="182" t="s">
        <v>7651</v>
      </c>
      <c r="E4503" s="1527">
        <v>1</v>
      </c>
      <c r="F4503" s="1669" t="s">
        <v>31</v>
      </c>
      <c r="G4503" s="367">
        <v>23.65</v>
      </c>
      <c r="H4503" s="1530">
        <f>ROUNDDOWN(G4503*E4503,2)</f>
        <v>23.65</v>
      </c>
      <c r="I4503" s="1642"/>
      <c r="J4503" s="1797"/>
      <c r="K4503" s="1797"/>
      <c r="L4503" s="1784"/>
      <c r="M4503" s="1785"/>
    </row>
    <row r="4504" spans="1:13" s="156" customFormat="1" ht="30" x14ac:dyDescent="0.2">
      <c r="A4504" s="2144">
        <v>88267</v>
      </c>
      <c r="B4504" s="2144"/>
      <c r="C4504" s="1516" t="s">
        <v>4448</v>
      </c>
      <c r="D4504" s="182" t="s">
        <v>83</v>
      </c>
      <c r="E4504" s="1527">
        <v>0.2</v>
      </c>
      <c r="F4504" s="1669" t="s">
        <v>65</v>
      </c>
      <c r="G4504" s="1529">
        <v>19.73</v>
      </c>
      <c r="H4504" s="1530">
        <f>ROUNDDOWN(G4504*E4504,2)</f>
        <v>3.94</v>
      </c>
      <c r="I4504" s="1642"/>
      <c r="J4504" s="1797"/>
      <c r="K4504" s="1797"/>
      <c r="L4504" s="1784"/>
      <c r="M4504" s="1785"/>
    </row>
    <row r="4505" spans="1:13" s="156" customFormat="1" ht="30" x14ac:dyDescent="0.2">
      <c r="A4505" s="2144">
        <v>88316</v>
      </c>
      <c r="B4505" s="2144"/>
      <c r="C4505" s="1516" t="s">
        <v>4448</v>
      </c>
      <c r="D4505" s="182" t="s">
        <v>64</v>
      </c>
      <c r="E4505" s="1527">
        <v>0.2</v>
      </c>
      <c r="F4505" s="1669" t="s">
        <v>65</v>
      </c>
      <c r="G4505" s="1529">
        <v>15.08</v>
      </c>
      <c r="H4505" s="1530">
        <f>ROUNDDOWN(G4505*E4505,2)</f>
        <v>3.01</v>
      </c>
      <c r="I4505" s="1642"/>
      <c r="J4505" s="1797"/>
      <c r="K4505" s="1797"/>
      <c r="L4505" s="1784"/>
      <c r="M4505" s="1785"/>
    </row>
    <row r="4506" spans="1:13" s="1517" customFormat="1" x14ac:dyDescent="0.25">
      <c r="A4506" s="179"/>
      <c r="B4506" s="179"/>
      <c r="C4506" s="1531"/>
      <c r="D4506" s="2141" t="s">
        <v>124</v>
      </c>
      <c r="E4506" s="2141"/>
      <c r="F4506" s="2141"/>
      <c r="G4506" s="2141"/>
      <c r="H4506" s="267">
        <f>SUMIF(F4503:F4505,("h"),H4503:H4505)</f>
        <v>6.9499999999999993</v>
      </c>
      <c r="I4506" s="1830"/>
      <c r="J4506" s="1795"/>
      <c r="K4506" s="1795"/>
      <c r="L4506" s="169"/>
      <c r="M4506" s="1783"/>
    </row>
    <row r="4507" spans="1:13" s="1517" customFormat="1" x14ac:dyDescent="0.25">
      <c r="A4507" s="179"/>
      <c r="B4507" s="179"/>
      <c r="C4507" s="1531"/>
      <c r="D4507" s="2141" t="s">
        <v>125</v>
      </c>
      <c r="E4507" s="2141"/>
      <c r="F4507" s="2141"/>
      <c r="G4507" s="2141"/>
      <c r="H4507" s="267">
        <f>SUMIF(F4503:F4505,"&lt;&gt;h",H4503:H4505)</f>
        <v>23.65</v>
      </c>
      <c r="I4507" s="1830"/>
      <c r="J4507" s="1795"/>
      <c r="K4507" s="1795"/>
      <c r="L4507" s="169"/>
      <c r="M4507" s="1783"/>
    </row>
    <row r="4508" spans="1:13" s="1517" customFormat="1" x14ac:dyDescent="0.25">
      <c r="A4508" s="179"/>
      <c r="B4508" s="179"/>
      <c r="C4508" s="1531"/>
      <c r="D4508" s="2142" t="s">
        <v>126</v>
      </c>
      <c r="E4508" s="2142"/>
      <c r="F4508" s="2142"/>
      <c r="G4508" s="2142"/>
      <c r="H4508" s="1532">
        <f>SUM(H4506:H4507)</f>
        <v>30.599999999999998</v>
      </c>
      <c r="I4508" s="1830"/>
      <c r="J4508" s="1795"/>
      <c r="K4508" s="1795"/>
      <c r="L4508" s="169"/>
      <c r="M4508" s="1783"/>
    </row>
    <row r="4509" spans="1:13" s="1517" customFormat="1" x14ac:dyDescent="0.25">
      <c r="A4509" s="179"/>
      <c r="B4509" s="179"/>
      <c r="C4509" s="1531"/>
      <c r="D4509" s="2141" t="s">
        <v>28</v>
      </c>
      <c r="E4509" s="2141"/>
      <c r="F4509" s="2141"/>
      <c r="G4509" s="2141"/>
      <c r="H4509" s="269">
        <f>E4502</f>
        <v>13</v>
      </c>
      <c r="I4509" s="1830"/>
      <c r="J4509" s="1795"/>
      <c r="K4509" s="1795"/>
      <c r="L4509" s="169"/>
      <c r="M4509" s="1783"/>
    </row>
    <row r="4510" spans="1:13" s="1517" customFormat="1" x14ac:dyDescent="0.25">
      <c r="A4510" s="179"/>
      <c r="B4510" s="179"/>
      <c r="C4510" s="1531"/>
      <c r="D4510" s="2142" t="s">
        <v>127</v>
      </c>
      <c r="E4510" s="2142"/>
      <c r="F4510" s="2142"/>
      <c r="G4510" s="2142"/>
      <c r="H4510" s="1532">
        <f>ROUND(H4508*H4509,2)</f>
        <v>397.8</v>
      </c>
      <c r="I4510" s="1830"/>
      <c r="J4510" s="1795"/>
      <c r="K4510" s="1795"/>
      <c r="L4510" s="169"/>
      <c r="M4510" s="1783"/>
    </row>
    <row r="4511" spans="1:13" s="1517" customFormat="1" x14ac:dyDescent="0.25">
      <c r="A4511" s="179"/>
      <c r="B4511" s="179"/>
      <c r="C4511" s="1531"/>
      <c r="D4511" s="2141" t="s">
        <v>15335</v>
      </c>
      <c r="E4511" s="2141"/>
      <c r="F4511" s="2141"/>
      <c r="G4511" s="2141"/>
      <c r="H4511" s="267">
        <f>ROUND(H4508*$B$13,2)</f>
        <v>8.24</v>
      </c>
      <c r="I4511" s="1830"/>
      <c r="J4511" s="1795"/>
      <c r="K4511" s="1795"/>
      <c r="L4511" s="169"/>
      <c r="M4511" s="1783"/>
    </row>
    <row r="4512" spans="1:13" x14ac:dyDescent="0.25">
      <c r="A4512" s="179"/>
      <c r="B4512" s="179"/>
      <c r="C4512" s="1531"/>
      <c r="D4512" s="2142" t="s">
        <v>7898</v>
      </c>
      <c r="E4512" s="2142"/>
      <c r="F4512" s="2142"/>
      <c r="G4512" s="2142"/>
      <c r="H4512" s="1532">
        <f>H4511+H4508</f>
        <v>38.839999999999996</v>
      </c>
    </row>
    <row r="4513" spans="1:13" x14ac:dyDescent="0.25">
      <c r="A4513" s="1514"/>
      <c r="B4513" s="1514"/>
      <c r="C4513" s="1514"/>
      <c r="F4513" s="1533"/>
      <c r="G4513" s="1534"/>
      <c r="H4513" s="1514"/>
    </row>
    <row r="4514" spans="1:13" s="1517" customFormat="1" x14ac:dyDescent="0.25">
      <c r="A4514" s="146" t="s">
        <v>6</v>
      </c>
      <c r="B4514" s="2143" t="s">
        <v>7</v>
      </c>
      <c r="C4514" s="2143"/>
      <c r="D4514" s="1518" t="s">
        <v>121</v>
      </c>
      <c r="E4514" s="278" t="s">
        <v>5282</v>
      </c>
      <c r="F4514" s="1518" t="s">
        <v>31</v>
      </c>
      <c r="G4514" s="1519" t="s">
        <v>122</v>
      </c>
      <c r="H4514" s="1520" t="s">
        <v>123</v>
      </c>
      <c r="I4514" s="1830"/>
      <c r="J4514" s="1795"/>
      <c r="K4514" s="1795"/>
      <c r="L4514" s="169"/>
      <c r="M4514" s="1783"/>
    </row>
    <row r="4515" spans="1:13" s="1526" customFormat="1" ht="45" x14ac:dyDescent="0.2">
      <c r="A4515" s="1521" t="str">
        <f>'Orç - Prédio'!A772</f>
        <v>07.02.502.01</v>
      </c>
      <c r="B4515" s="1521" t="str">
        <f>'Orç - Prédio'!B772</f>
        <v>CPOS</v>
      </c>
      <c r="C4515" s="1521" t="str">
        <f>'Orç - Prédio'!C772</f>
        <v>61.14.040 MOD 1</v>
      </c>
      <c r="D4515" s="1522" t="s">
        <v>6856</v>
      </c>
      <c r="E4515" s="1523">
        <f>'Orç - Prédio'!E772</f>
        <v>1</v>
      </c>
      <c r="F4515" s="1521" t="s">
        <v>5284</v>
      </c>
      <c r="G4515" s="1524">
        <v>9654.1</v>
      </c>
      <c r="H4515" s="1525">
        <f>H4523</f>
        <v>9654.1</v>
      </c>
      <c r="I4515" s="1910" t="s">
        <v>9602</v>
      </c>
      <c r="J4515" s="1793"/>
      <c r="K4515" s="1793"/>
      <c r="L4515" s="141"/>
      <c r="M4515" s="1515"/>
    </row>
    <row r="4516" spans="1:13" s="156" customFormat="1" ht="30" x14ac:dyDescent="0.2">
      <c r="A4516" s="2145" t="s">
        <v>6257</v>
      </c>
      <c r="B4516" s="2145"/>
      <c r="C4516" s="1496" t="s">
        <v>6899</v>
      </c>
      <c r="D4516" s="182" t="s">
        <v>7774</v>
      </c>
      <c r="E4516" s="1527">
        <v>1</v>
      </c>
      <c r="F4516" s="1688" t="s">
        <v>31</v>
      </c>
      <c r="G4516" s="367">
        <v>9436</v>
      </c>
      <c r="H4516" s="1530">
        <f>ROUNDDOWN(G4516*E4516,2)</f>
        <v>9436</v>
      </c>
      <c r="I4516" s="1642"/>
      <c r="J4516" s="1797"/>
      <c r="K4516" s="1797"/>
      <c r="L4516" s="1784"/>
      <c r="M4516" s="1785"/>
    </row>
    <row r="4517" spans="1:13" s="156" customFormat="1" ht="30" x14ac:dyDescent="0.2">
      <c r="A4517" s="2144">
        <v>88264</v>
      </c>
      <c r="B4517" s="2144"/>
      <c r="C4517" s="1516" t="s">
        <v>4448</v>
      </c>
      <c r="D4517" s="182" t="s">
        <v>81</v>
      </c>
      <c r="E4517" s="1527">
        <v>6</v>
      </c>
      <c r="F4517" s="1688" t="s">
        <v>65</v>
      </c>
      <c r="G4517" s="1529">
        <v>20.329999999999998</v>
      </c>
      <c r="H4517" s="1530">
        <f>ROUNDDOWN(G4517*E4517,2)</f>
        <v>121.98</v>
      </c>
      <c r="I4517" s="1642"/>
      <c r="J4517" s="1797"/>
      <c r="K4517" s="1797"/>
      <c r="L4517" s="1784"/>
      <c r="M4517" s="1785"/>
    </row>
    <row r="4518" spans="1:13" s="156" customFormat="1" ht="30" x14ac:dyDescent="0.2">
      <c r="A4518" s="2144">
        <v>88247</v>
      </c>
      <c r="B4518" s="2144"/>
      <c r="C4518" s="1516" t="s">
        <v>4448</v>
      </c>
      <c r="D4518" s="182" t="s">
        <v>71</v>
      </c>
      <c r="E4518" s="1527">
        <v>6</v>
      </c>
      <c r="F4518" s="1688" t="s">
        <v>65</v>
      </c>
      <c r="G4518" s="1529">
        <v>16.02</v>
      </c>
      <c r="H4518" s="1530">
        <f>ROUNDDOWN(G4518*E4518,2)</f>
        <v>96.12</v>
      </c>
      <c r="I4518" s="1642"/>
      <c r="J4518" s="1797"/>
      <c r="K4518" s="1797"/>
      <c r="L4518" s="1784"/>
      <c r="M4518" s="1785"/>
    </row>
    <row r="4519" spans="1:13" s="1517" customFormat="1" x14ac:dyDescent="0.25">
      <c r="A4519" s="179"/>
      <c r="B4519" s="179"/>
      <c r="C4519" s="1531"/>
      <c r="D4519" s="2141" t="s">
        <v>124</v>
      </c>
      <c r="E4519" s="2141"/>
      <c r="F4519" s="2141"/>
      <c r="G4519" s="2141"/>
      <c r="H4519" s="267">
        <f>SUMIF(F4516:F4518,("h"),H4516:H4518)</f>
        <v>218.10000000000002</v>
      </c>
      <c r="I4519" s="1830"/>
      <c r="J4519" s="1795"/>
      <c r="K4519" s="1795"/>
      <c r="L4519" s="169"/>
      <c r="M4519" s="1783"/>
    </row>
    <row r="4520" spans="1:13" s="1517" customFormat="1" x14ac:dyDescent="0.25">
      <c r="A4520" s="179"/>
      <c r="B4520" s="179"/>
      <c r="C4520" s="1531"/>
      <c r="D4520" s="2141" t="s">
        <v>125</v>
      </c>
      <c r="E4520" s="2141"/>
      <c r="F4520" s="2141"/>
      <c r="G4520" s="2141"/>
      <c r="H4520" s="267">
        <f>SUMIF(F4516:F4518,"&lt;&gt;h",H4516:H4518)</f>
        <v>9436</v>
      </c>
      <c r="I4520" s="1830"/>
      <c r="J4520" s="1795"/>
      <c r="K4520" s="1795"/>
      <c r="L4520" s="169"/>
      <c r="M4520" s="1783"/>
    </row>
    <row r="4521" spans="1:13" s="1517" customFormat="1" x14ac:dyDescent="0.25">
      <c r="A4521" s="179"/>
      <c r="B4521" s="179"/>
      <c r="C4521" s="1531"/>
      <c r="D4521" s="2142" t="s">
        <v>126</v>
      </c>
      <c r="E4521" s="2142"/>
      <c r="F4521" s="2142"/>
      <c r="G4521" s="2142"/>
      <c r="H4521" s="1532">
        <f>SUM(H4519:H4520)</f>
        <v>9654.1</v>
      </c>
      <c r="I4521" s="1830"/>
      <c r="J4521" s="1795"/>
      <c r="K4521" s="1795"/>
      <c r="L4521" s="169"/>
      <c r="M4521" s="1783"/>
    </row>
    <row r="4522" spans="1:13" s="1517" customFormat="1" x14ac:dyDescent="0.25">
      <c r="A4522" s="179"/>
      <c r="B4522" s="179"/>
      <c r="C4522" s="1531"/>
      <c r="D4522" s="2141" t="s">
        <v>28</v>
      </c>
      <c r="E4522" s="2141"/>
      <c r="F4522" s="2141"/>
      <c r="G4522" s="2141"/>
      <c r="H4522" s="269">
        <f>E4515</f>
        <v>1</v>
      </c>
      <c r="I4522" s="1830"/>
      <c r="J4522" s="1795"/>
      <c r="K4522" s="1795"/>
      <c r="L4522" s="169"/>
      <c r="M4522" s="1783"/>
    </row>
    <row r="4523" spans="1:13" s="1517" customFormat="1" x14ac:dyDescent="0.25">
      <c r="A4523" s="179"/>
      <c r="B4523" s="179"/>
      <c r="C4523" s="1531"/>
      <c r="D4523" s="2142" t="s">
        <v>127</v>
      </c>
      <c r="E4523" s="2142"/>
      <c r="F4523" s="2142"/>
      <c r="G4523" s="2142"/>
      <c r="H4523" s="1532">
        <f>ROUND(H4521*H4522,2)</f>
        <v>9654.1</v>
      </c>
      <c r="I4523" s="1830"/>
      <c r="J4523" s="1795"/>
      <c r="K4523" s="1795"/>
      <c r="L4523" s="169"/>
      <c r="M4523" s="1783"/>
    </row>
    <row r="4524" spans="1:13" s="1517" customFormat="1" x14ac:dyDescent="0.25">
      <c r="A4524" s="179"/>
      <c r="B4524" s="179"/>
      <c r="C4524" s="1531"/>
      <c r="D4524" s="2141" t="s">
        <v>15335</v>
      </c>
      <c r="E4524" s="2141"/>
      <c r="F4524" s="2141"/>
      <c r="G4524" s="2141"/>
      <c r="H4524" s="267">
        <f>ROUND(H4521*$B$13,2)</f>
        <v>2599.85</v>
      </c>
      <c r="I4524" s="1830"/>
      <c r="J4524" s="1795"/>
      <c r="K4524" s="1795"/>
      <c r="L4524" s="169"/>
      <c r="M4524" s="1783"/>
    </row>
    <row r="4525" spans="1:13" x14ac:dyDescent="0.25">
      <c r="A4525" s="179"/>
      <c r="B4525" s="179"/>
      <c r="C4525" s="1531"/>
      <c r="D4525" s="2142" t="s">
        <v>7898</v>
      </c>
      <c r="E4525" s="2142"/>
      <c r="F4525" s="2142"/>
      <c r="G4525" s="2142"/>
      <c r="H4525" s="1532">
        <f>H4524+H4521</f>
        <v>12253.95</v>
      </c>
    </row>
    <row r="4526" spans="1:13" x14ac:dyDescent="0.25">
      <c r="A4526" s="1514"/>
      <c r="B4526" s="1514"/>
      <c r="C4526" s="1514"/>
      <c r="F4526" s="1533"/>
      <c r="G4526" s="1534"/>
      <c r="H4526" s="1514"/>
    </row>
    <row r="4527" spans="1:13" s="1517" customFormat="1" x14ac:dyDescent="0.25">
      <c r="A4527" s="146" t="s">
        <v>6</v>
      </c>
      <c r="B4527" s="2143" t="s">
        <v>7</v>
      </c>
      <c r="C4527" s="2143"/>
      <c r="D4527" s="1518" t="s">
        <v>121</v>
      </c>
      <c r="E4527" s="278" t="s">
        <v>5282</v>
      </c>
      <c r="F4527" s="1518" t="s">
        <v>31</v>
      </c>
      <c r="G4527" s="1519" t="s">
        <v>122</v>
      </c>
      <c r="H4527" s="1520" t="s">
        <v>123</v>
      </c>
      <c r="I4527" s="1830"/>
      <c r="J4527" s="1795"/>
      <c r="K4527" s="1795"/>
      <c r="L4527" s="169"/>
      <c r="M4527" s="1783"/>
    </row>
    <row r="4528" spans="1:13" s="1526" customFormat="1" ht="45" x14ac:dyDescent="0.2">
      <c r="A4528" s="1521" t="str">
        <f>'Orç - Prédio'!A773</f>
        <v>07.02.502.02</v>
      </c>
      <c r="B4528" s="1521" t="str">
        <f>'Orç - Prédio'!B773</f>
        <v>CPOS</v>
      </c>
      <c r="C4528" s="1521" t="str">
        <f>'Orç - Prédio'!C773</f>
        <v>61.14.040 MOD 2</v>
      </c>
      <c r="D4528" s="1522" t="s">
        <v>6857</v>
      </c>
      <c r="E4528" s="1523">
        <f>'Orç - Prédio'!E773</f>
        <v>1</v>
      </c>
      <c r="F4528" s="1521" t="s">
        <v>5284</v>
      </c>
      <c r="G4528" s="1524">
        <v>9209.1</v>
      </c>
      <c r="H4528" s="1525">
        <f>H4536</f>
        <v>9209.1</v>
      </c>
      <c r="I4528" s="1910" t="s">
        <v>9602</v>
      </c>
      <c r="J4528" s="1793"/>
      <c r="K4528" s="1793"/>
      <c r="L4528" s="141"/>
      <c r="M4528" s="1515"/>
    </row>
    <row r="4529" spans="1:13" s="156" customFormat="1" ht="30" x14ac:dyDescent="0.2">
      <c r="A4529" s="2145" t="s">
        <v>6257</v>
      </c>
      <c r="B4529" s="2145"/>
      <c r="C4529" s="1496" t="s">
        <v>6899</v>
      </c>
      <c r="D4529" s="182" t="s">
        <v>7775</v>
      </c>
      <c r="E4529" s="1527">
        <v>1</v>
      </c>
      <c r="F4529" s="1688" t="s">
        <v>31</v>
      </c>
      <c r="G4529" s="367">
        <v>8991</v>
      </c>
      <c r="H4529" s="1530">
        <f>ROUNDDOWN(G4529*E4529,2)</f>
        <v>8991</v>
      </c>
      <c r="I4529" s="1642"/>
      <c r="J4529" s="1797"/>
      <c r="K4529" s="1797"/>
      <c r="L4529" s="1784"/>
      <c r="M4529" s="1785"/>
    </row>
    <row r="4530" spans="1:13" s="156" customFormat="1" ht="30" x14ac:dyDescent="0.2">
      <c r="A4530" s="2144">
        <v>88264</v>
      </c>
      <c r="B4530" s="2144"/>
      <c r="C4530" s="1516" t="s">
        <v>4448</v>
      </c>
      <c r="D4530" s="182" t="s">
        <v>81</v>
      </c>
      <c r="E4530" s="1527">
        <v>6</v>
      </c>
      <c r="F4530" s="1688" t="s">
        <v>65</v>
      </c>
      <c r="G4530" s="1529">
        <v>20.329999999999998</v>
      </c>
      <c r="H4530" s="1530">
        <f>ROUNDDOWN(G4530*E4530,2)</f>
        <v>121.98</v>
      </c>
      <c r="I4530" s="1642"/>
      <c r="J4530" s="1797"/>
      <c r="K4530" s="1797"/>
      <c r="L4530" s="1784"/>
      <c r="M4530" s="1785"/>
    </row>
    <row r="4531" spans="1:13" s="156" customFormat="1" ht="30" x14ac:dyDescent="0.2">
      <c r="A4531" s="2144">
        <v>88247</v>
      </c>
      <c r="B4531" s="2144"/>
      <c r="C4531" s="1516" t="s">
        <v>4448</v>
      </c>
      <c r="D4531" s="182" t="s">
        <v>71</v>
      </c>
      <c r="E4531" s="1527">
        <v>6</v>
      </c>
      <c r="F4531" s="1688" t="s">
        <v>65</v>
      </c>
      <c r="G4531" s="1529">
        <v>16.02</v>
      </c>
      <c r="H4531" s="1530">
        <f>ROUNDDOWN(G4531*E4531,2)</f>
        <v>96.12</v>
      </c>
      <c r="I4531" s="1642"/>
      <c r="J4531" s="1797"/>
      <c r="K4531" s="1797"/>
      <c r="L4531" s="1784"/>
      <c r="M4531" s="1785"/>
    </row>
    <row r="4532" spans="1:13" s="1517" customFormat="1" x14ac:dyDescent="0.25">
      <c r="A4532" s="179"/>
      <c r="B4532" s="179"/>
      <c r="C4532" s="1531"/>
      <c r="D4532" s="2141" t="s">
        <v>124</v>
      </c>
      <c r="E4532" s="2141"/>
      <c r="F4532" s="2141"/>
      <c r="G4532" s="2141"/>
      <c r="H4532" s="267">
        <f>SUMIF(F4529:F4531,("h"),H4529:H4531)</f>
        <v>218.10000000000002</v>
      </c>
      <c r="I4532" s="1830"/>
      <c r="J4532" s="1795"/>
      <c r="K4532" s="1795"/>
      <c r="L4532" s="169"/>
      <c r="M4532" s="1783"/>
    </row>
    <row r="4533" spans="1:13" s="1517" customFormat="1" x14ac:dyDescent="0.25">
      <c r="A4533" s="179"/>
      <c r="B4533" s="179"/>
      <c r="C4533" s="1531"/>
      <c r="D4533" s="2141" t="s">
        <v>125</v>
      </c>
      <c r="E4533" s="2141"/>
      <c r="F4533" s="2141"/>
      <c r="G4533" s="2141"/>
      <c r="H4533" s="267">
        <f>SUMIF(F4529:F4531,"&lt;&gt;h",H4529:H4531)</f>
        <v>8991</v>
      </c>
      <c r="I4533" s="1830"/>
      <c r="J4533" s="1795"/>
      <c r="K4533" s="1795"/>
      <c r="L4533" s="169"/>
      <c r="M4533" s="1783"/>
    </row>
    <row r="4534" spans="1:13" s="1517" customFormat="1" x14ac:dyDescent="0.25">
      <c r="A4534" s="179"/>
      <c r="B4534" s="179"/>
      <c r="C4534" s="1531"/>
      <c r="D4534" s="2142" t="s">
        <v>126</v>
      </c>
      <c r="E4534" s="2142"/>
      <c r="F4534" s="2142"/>
      <c r="G4534" s="2142"/>
      <c r="H4534" s="1532">
        <f>SUM(H4532:H4533)</f>
        <v>9209.1</v>
      </c>
      <c r="I4534" s="1830"/>
      <c r="J4534" s="1795"/>
      <c r="K4534" s="1795"/>
      <c r="L4534" s="169"/>
      <c r="M4534" s="1783"/>
    </row>
    <row r="4535" spans="1:13" s="1517" customFormat="1" x14ac:dyDescent="0.25">
      <c r="A4535" s="179"/>
      <c r="B4535" s="179"/>
      <c r="C4535" s="1531"/>
      <c r="D4535" s="2141" t="s">
        <v>28</v>
      </c>
      <c r="E4535" s="2141"/>
      <c r="F4535" s="2141"/>
      <c r="G4535" s="2141"/>
      <c r="H4535" s="269">
        <f>E4528</f>
        <v>1</v>
      </c>
      <c r="I4535" s="1830"/>
      <c r="J4535" s="1795"/>
      <c r="K4535" s="1795"/>
      <c r="L4535" s="169"/>
      <c r="M4535" s="1783"/>
    </row>
    <row r="4536" spans="1:13" s="1517" customFormat="1" x14ac:dyDescent="0.25">
      <c r="A4536" s="179"/>
      <c r="B4536" s="179"/>
      <c r="C4536" s="1531"/>
      <c r="D4536" s="2142" t="s">
        <v>127</v>
      </c>
      <c r="E4536" s="2142"/>
      <c r="F4536" s="2142"/>
      <c r="G4536" s="2142"/>
      <c r="H4536" s="1532">
        <f>ROUND(H4534*H4535,2)</f>
        <v>9209.1</v>
      </c>
      <c r="I4536" s="1830"/>
      <c r="J4536" s="1795"/>
      <c r="K4536" s="1795"/>
      <c r="L4536" s="169"/>
      <c r="M4536" s="1783"/>
    </row>
    <row r="4537" spans="1:13" s="1517" customFormat="1" x14ac:dyDescent="0.25">
      <c r="A4537" s="179"/>
      <c r="B4537" s="179"/>
      <c r="C4537" s="1531"/>
      <c r="D4537" s="2141" t="s">
        <v>15335</v>
      </c>
      <c r="E4537" s="2141"/>
      <c r="F4537" s="2141"/>
      <c r="G4537" s="2141"/>
      <c r="H4537" s="267">
        <f>ROUND(H4534*$B$13,2)</f>
        <v>2480.0100000000002</v>
      </c>
      <c r="I4537" s="1830"/>
      <c r="J4537" s="1795"/>
      <c r="K4537" s="1795"/>
      <c r="L4537" s="169"/>
      <c r="M4537" s="1783"/>
    </row>
    <row r="4538" spans="1:13" x14ac:dyDescent="0.25">
      <c r="A4538" s="179"/>
      <c r="B4538" s="179"/>
      <c r="C4538" s="1531"/>
      <c r="D4538" s="2142" t="s">
        <v>7898</v>
      </c>
      <c r="E4538" s="2142"/>
      <c r="F4538" s="2142"/>
      <c r="G4538" s="2142"/>
      <c r="H4538" s="1532">
        <f>H4537+H4534</f>
        <v>11689.11</v>
      </c>
    </row>
    <row r="4539" spans="1:13" x14ac:dyDescent="0.25">
      <c r="A4539" s="1514"/>
      <c r="B4539" s="1514"/>
      <c r="C4539" s="1514"/>
      <c r="F4539" s="1533"/>
      <c r="G4539" s="1534"/>
      <c r="H4539" s="1514"/>
    </row>
    <row r="4540" spans="1:13" s="1517" customFormat="1" x14ac:dyDescent="0.25">
      <c r="A4540" s="146" t="s">
        <v>6</v>
      </c>
      <c r="B4540" s="2143" t="s">
        <v>7</v>
      </c>
      <c r="C4540" s="2143"/>
      <c r="D4540" s="1518" t="s">
        <v>121</v>
      </c>
      <c r="E4540" s="278" t="s">
        <v>5282</v>
      </c>
      <c r="F4540" s="1518" t="s">
        <v>31</v>
      </c>
      <c r="G4540" s="1519" t="s">
        <v>122</v>
      </c>
      <c r="H4540" s="1520" t="s">
        <v>123</v>
      </c>
      <c r="I4540" s="1830"/>
      <c r="J4540" s="1795"/>
      <c r="K4540" s="1795"/>
      <c r="L4540" s="169"/>
      <c r="M4540" s="1783"/>
    </row>
    <row r="4541" spans="1:13" s="1526" customFormat="1" ht="30" x14ac:dyDescent="0.2">
      <c r="A4541" s="1521" t="str">
        <f>'Orç - Prédio'!A774</f>
        <v>07.02.502.03</v>
      </c>
      <c r="B4541" s="1521" t="str">
        <f>'Orç - Prédio'!B774</f>
        <v>CPOS</v>
      </c>
      <c r="C4541" s="1521" t="str">
        <f>'Orç - Prédio'!C774</f>
        <v>61.14.040 MOD 3</v>
      </c>
      <c r="D4541" s="1522" t="s">
        <v>6860</v>
      </c>
      <c r="E4541" s="1523">
        <f>'Orç - Prédio'!E774</f>
        <v>1</v>
      </c>
      <c r="F4541" s="1521" t="s">
        <v>5284</v>
      </c>
      <c r="G4541" s="1524">
        <v>6323.1</v>
      </c>
      <c r="H4541" s="1525">
        <f>H4549</f>
        <v>6323.1</v>
      </c>
      <c r="I4541" s="1910" t="s">
        <v>9602</v>
      </c>
      <c r="J4541" s="1793"/>
      <c r="K4541" s="1793"/>
      <c r="L4541" s="141"/>
      <c r="M4541" s="1515"/>
    </row>
    <row r="4542" spans="1:13" s="156" customFormat="1" ht="30" x14ac:dyDescent="0.2">
      <c r="A4542" s="2145" t="s">
        <v>6257</v>
      </c>
      <c r="B4542" s="2145"/>
      <c r="C4542" s="1496" t="s">
        <v>6899</v>
      </c>
      <c r="D4542" s="182" t="s">
        <v>7776</v>
      </c>
      <c r="E4542" s="1527">
        <v>1</v>
      </c>
      <c r="F4542" s="1688" t="s">
        <v>31</v>
      </c>
      <c r="G4542" s="367">
        <v>6105</v>
      </c>
      <c r="H4542" s="1530">
        <f>ROUNDDOWN(G4542*E4542,2)</f>
        <v>6105</v>
      </c>
      <c r="I4542" s="1642"/>
      <c r="J4542" s="1797"/>
      <c r="K4542" s="1797"/>
      <c r="L4542" s="1784"/>
      <c r="M4542" s="1785"/>
    </row>
    <row r="4543" spans="1:13" s="156" customFormat="1" ht="30" x14ac:dyDescent="0.2">
      <c r="A4543" s="2144">
        <v>88264</v>
      </c>
      <c r="B4543" s="2144"/>
      <c r="C4543" s="1516" t="s">
        <v>4448</v>
      </c>
      <c r="D4543" s="182" t="s">
        <v>81</v>
      </c>
      <c r="E4543" s="1527">
        <v>6</v>
      </c>
      <c r="F4543" s="1688" t="s">
        <v>65</v>
      </c>
      <c r="G4543" s="1529">
        <v>20.329999999999998</v>
      </c>
      <c r="H4543" s="1530">
        <f>ROUNDDOWN(G4543*E4543,2)</f>
        <v>121.98</v>
      </c>
      <c r="I4543" s="1642"/>
      <c r="J4543" s="1797"/>
      <c r="K4543" s="1797"/>
      <c r="L4543" s="1784"/>
      <c r="M4543" s="1785"/>
    </row>
    <row r="4544" spans="1:13" s="156" customFormat="1" ht="30" x14ac:dyDescent="0.2">
      <c r="A4544" s="2144">
        <v>88247</v>
      </c>
      <c r="B4544" s="2144"/>
      <c r="C4544" s="1516" t="s">
        <v>4448</v>
      </c>
      <c r="D4544" s="182" t="s">
        <v>71</v>
      </c>
      <c r="E4544" s="1527">
        <v>6</v>
      </c>
      <c r="F4544" s="1688" t="s">
        <v>65</v>
      </c>
      <c r="G4544" s="1529">
        <v>16.02</v>
      </c>
      <c r="H4544" s="1530">
        <f>ROUNDDOWN(G4544*E4544,2)</f>
        <v>96.12</v>
      </c>
      <c r="I4544" s="1642"/>
      <c r="J4544" s="1797"/>
      <c r="K4544" s="1797"/>
      <c r="L4544" s="1784"/>
      <c r="M4544" s="1785"/>
    </row>
    <row r="4545" spans="1:13" s="1517" customFormat="1" x14ac:dyDescent="0.25">
      <c r="A4545" s="179"/>
      <c r="B4545" s="179"/>
      <c r="C4545" s="1531"/>
      <c r="D4545" s="2141" t="s">
        <v>124</v>
      </c>
      <c r="E4545" s="2141"/>
      <c r="F4545" s="2141"/>
      <c r="G4545" s="2141"/>
      <c r="H4545" s="267">
        <f>SUMIF(F4542:F4544,("h"),H4542:H4544)</f>
        <v>218.10000000000002</v>
      </c>
      <c r="I4545" s="1830"/>
      <c r="J4545" s="1795"/>
      <c r="K4545" s="1795"/>
      <c r="L4545" s="169"/>
      <c r="M4545" s="1783"/>
    </row>
    <row r="4546" spans="1:13" s="1517" customFormat="1" x14ac:dyDescent="0.25">
      <c r="A4546" s="179"/>
      <c r="B4546" s="179"/>
      <c r="C4546" s="1531"/>
      <c r="D4546" s="2141" t="s">
        <v>125</v>
      </c>
      <c r="E4546" s="2141"/>
      <c r="F4546" s="2141"/>
      <c r="G4546" s="2141"/>
      <c r="H4546" s="267">
        <f>SUMIF(F4542:F4544,"&lt;&gt;h",H4542:H4544)</f>
        <v>6105</v>
      </c>
      <c r="I4546" s="1830"/>
      <c r="J4546" s="1795"/>
      <c r="K4546" s="1795"/>
      <c r="L4546" s="169"/>
      <c r="M4546" s="1783"/>
    </row>
    <row r="4547" spans="1:13" s="1517" customFormat="1" x14ac:dyDescent="0.25">
      <c r="A4547" s="179"/>
      <c r="B4547" s="179"/>
      <c r="C4547" s="1531"/>
      <c r="D4547" s="2142" t="s">
        <v>126</v>
      </c>
      <c r="E4547" s="2142"/>
      <c r="F4547" s="2142"/>
      <c r="G4547" s="2142"/>
      <c r="H4547" s="1532">
        <f>SUM(H4545:H4546)</f>
        <v>6323.1</v>
      </c>
      <c r="I4547" s="1830"/>
      <c r="J4547" s="1795"/>
      <c r="K4547" s="1795"/>
      <c r="L4547" s="169"/>
      <c r="M4547" s="1783"/>
    </row>
    <row r="4548" spans="1:13" s="1517" customFormat="1" x14ac:dyDescent="0.25">
      <c r="A4548" s="179"/>
      <c r="B4548" s="179"/>
      <c r="C4548" s="1531"/>
      <c r="D4548" s="2141" t="s">
        <v>28</v>
      </c>
      <c r="E4548" s="2141"/>
      <c r="F4548" s="2141"/>
      <c r="G4548" s="2141"/>
      <c r="H4548" s="269">
        <f>E4541</f>
        <v>1</v>
      </c>
      <c r="I4548" s="1830"/>
      <c r="J4548" s="1795"/>
      <c r="K4548" s="1795"/>
      <c r="L4548" s="169"/>
      <c r="M4548" s="1783"/>
    </row>
    <row r="4549" spans="1:13" s="1517" customFormat="1" x14ac:dyDescent="0.25">
      <c r="A4549" s="179"/>
      <c r="B4549" s="179"/>
      <c r="C4549" s="1531"/>
      <c r="D4549" s="2142" t="s">
        <v>127</v>
      </c>
      <c r="E4549" s="2142"/>
      <c r="F4549" s="2142"/>
      <c r="G4549" s="2142"/>
      <c r="H4549" s="1532">
        <f>ROUND(H4547*H4548,2)</f>
        <v>6323.1</v>
      </c>
      <c r="I4549" s="1830"/>
      <c r="J4549" s="1795"/>
      <c r="K4549" s="1795"/>
      <c r="L4549" s="169"/>
      <c r="M4549" s="1783"/>
    </row>
    <row r="4550" spans="1:13" s="1517" customFormat="1" x14ac:dyDescent="0.25">
      <c r="A4550" s="179"/>
      <c r="B4550" s="179"/>
      <c r="C4550" s="1531"/>
      <c r="D4550" s="2141" t="s">
        <v>15335</v>
      </c>
      <c r="E4550" s="2141"/>
      <c r="F4550" s="2141"/>
      <c r="G4550" s="2141"/>
      <c r="H4550" s="267">
        <f>ROUND(H4547*$B$13,2)</f>
        <v>1702.81</v>
      </c>
      <c r="I4550" s="1830"/>
      <c r="J4550" s="1795"/>
      <c r="K4550" s="1795"/>
      <c r="L4550" s="169"/>
      <c r="M4550" s="1783"/>
    </row>
    <row r="4551" spans="1:13" x14ac:dyDescent="0.25">
      <c r="A4551" s="179"/>
      <c r="B4551" s="179"/>
      <c r="C4551" s="1531"/>
      <c r="D4551" s="2142" t="s">
        <v>7898</v>
      </c>
      <c r="E4551" s="2142"/>
      <c r="F4551" s="2142"/>
      <c r="G4551" s="2142"/>
      <c r="H4551" s="1532">
        <f>H4550+H4547</f>
        <v>8025.91</v>
      </c>
    </row>
    <row r="4552" spans="1:13" x14ac:dyDescent="0.25">
      <c r="A4552" s="1514"/>
      <c r="B4552" s="1514"/>
      <c r="C4552" s="1514"/>
      <c r="F4552" s="1533"/>
      <c r="G4552" s="1534"/>
      <c r="H4552" s="1514"/>
    </row>
    <row r="4553" spans="1:13" s="1517" customFormat="1" x14ac:dyDescent="0.25">
      <c r="A4553" s="146" t="s">
        <v>6</v>
      </c>
      <c r="B4553" s="2143" t="s">
        <v>7</v>
      </c>
      <c r="C4553" s="2143"/>
      <c r="D4553" s="1518" t="s">
        <v>121</v>
      </c>
      <c r="E4553" s="278" t="s">
        <v>5282</v>
      </c>
      <c r="F4553" s="1518" t="s">
        <v>31</v>
      </c>
      <c r="G4553" s="1519" t="s">
        <v>122</v>
      </c>
      <c r="H4553" s="1520" t="s">
        <v>123</v>
      </c>
      <c r="I4553" s="1830"/>
      <c r="J4553" s="1795"/>
      <c r="K4553" s="1795"/>
      <c r="L4553" s="169"/>
      <c r="M4553" s="1783"/>
    </row>
    <row r="4554" spans="1:13" s="1526" customFormat="1" ht="30" x14ac:dyDescent="0.2">
      <c r="A4554" s="1521" t="str">
        <f>'Orç - Prédio'!A776</f>
        <v>07.02.701.01</v>
      </c>
      <c r="B4554" s="1521" t="str">
        <f>'Orç - Prédio'!B776</f>
        <v>CPOS</v>
      </c>
      <c r="C4554" s="1521" t="str">
        <f>'Orç - Prédio'!C776</f>
        <v>61.10.574 MOD 1</v>
      </c>
      <c r="D4554" s="1522" t="s">
        <v>6862</v>
      </c>
      <c r="E4554" s="1523">
        <f>'Orç - Prédio'!E776</f>
        <v>4</v>
      </c>
      <c r="F4554" s="1521" t="s">
        <v>5284</v>
      </c>
      <c r="G4554" s="1524">
        <v>88.27000000000001</v>
      </c>
      <c r="H4554" s="1525">
        <f>H4562</f>
        <v>353.08</v>
      </c>
      <c r="I4554" s="1910" t="s">
        <v>9579</v>
      </c>
      <c r="J4554" s="1793"/>
      <c r="K4554" s="1793"/>
      <c r="L4554" s="141"/>
      <c r="M4554" s="1515"/>
    </row>
    <row r="4555" spans="1:13" s="156" customFormat="1" ht="30" x14ac:dyDescent="0.2">
      <c r="A4555" s="2145" t="s">
        <v>7664</v>
      </c>
      <c r="B4555" s="2145"/>
      <c r="C4555" s="1496" t="s">
        <v>5696</v>
      </c>
      <c r="D4555" s="182" t="s">
        <v>7665</v>
      </c>
      <c r="E4555" s="1527">
        <v>0.06</v>
      </c>
      <c r="F4555" s="1669" t="s">
        <v>306</v>
      </c>
      <c r="G4555" s="367">
        <v>1331.68</v>
      </c>
      <c r="H4555" s="1530">
        <f>ROUNDDOWN(G4555*E4555,2)</f>
        <v>79.900000000000006</v>
      </c>
      <c r="I4555" s="1642"/>
      <c r="J4555" s="1797"/>
      <c r="K4555" s="1797"/>
      <c r="L4555" s="1784"/>
      <c r="M4555" s="1785"/>
    </row>
    <row r="4556" spans="1:13" s="156" customFormat="1" ht="30" x14ac:dyDescent="0.2">
      <c r="A4556" s="2144">
        <v>88279</v>
      </c>
      <c r="B4556" s="2144"/>
      <c r="C4556" s="1516" t="s">
        <v>4448</v>
      </c>
      <c r="D4556" s="182" t="s">
        <v>4302</v>
      </c>
      <c r="E4556" s="1527">
        <v>0.216</v>
      </c>
      <c r="F4556" s="1669" t="s">
        <v>65</v>
      </c>
      <c r="G4556" s="1529">
        <v>21.03</v>
      </c>
      <c r="H4556" s="1530">
        <f>ROUNDDOWN(G4556*E4556,2)</f>
        <v>4.54</v>
      </c>
      <c r="I4556" s="1642"/>
      <c r="J4556" s="1797"/>
      <c r="K4556" s="1797"/>
      <c r="L4556" s="1784"/>
      <c r="M4556" s="1785"/>
    </row>
    <row r="4557" spans="1:13" s="156" customFormat="1" ht="30" x14ac:dyDescent="0.2">
      <c r="A4557" s="2144">
        <v>88243</v>
      </c>
      <c r="B4557" s="2144"/>
      <c r="C4557" s="1516" t="s">
        <v>4448</v>
      </c>
      <c r="D4557" s="182" t="s">
        <v>99</v>
      </c>
      <c r="E4557" s="1527">
        <v>0.216</v>
      </c>
      <c r="F4557" s="1669" t="s">
        <v>65</v>
      </c>
      <c r="G4557" s="1529">
        <v>17.77</v>
      </c>
      <c r="H4557" s="1530">
        <f>ROUNDDOWN(G4557*E4557,2)</f>
        <v>3.83</v>
      </c>
      <c r="I4557" s="1642"/>
      <c r="J4557" s="1797"/>
      <c r="K4557" s="1797"/>
      <c r="L4557" s="1784"/>
      <c r="M4557" s="1785"/>
    </row>
    <row r="4558" spans="1:13" s="1517" customFormat="1" x14ac:dyDescent="0.25">
      <c r="A4558" s="179"/>
      <c r="B4558" s="179"/>
      <c r="C4558" s="1531"/>
      <c r="D4558" s="2141" t="s">
        <v>124</v>
      </c>
      <c r="E4558" s="2141"/>
      <c r="F4558" s="2141"/>
      <c r="G4558" s="2141"/>
      <c r="H4558" s="267">
        <f>SUMIF(F4555:F4557,("h"),H4555:H4557)</f>
        <v>8.370000000000001</v>
      </c>
      <c r="I4558" s="1830"/>
      <c r="J4558" s="1795"/>
      <c r="K4558" s="1795"/>
      <c r="L4558" s="169"/>
      <c r="M4558" s="1783"/>
    </row>
    <row r="4559" spans="1:13" s="1517" customFormat="1" x14ac:dyDescent="0.25">
      <c r="A4559" s="179"/>
      <c r="B4559" s="179"/>
      <c r="C4559" s="1531"/>
      <c r="D4559" s="2141" t="s">
        <v>125</v>
      </c>
      <c r="E4559" s="2141"/>
      <c r="F4559" s="2141"/>
      <c r="G4559" s="2141"/>
      <c r="H4559" s="267">
        <f>SUMIF(F4555:F4557,"&lt;&gt;h",H4555:H4557)</f>
        <v>79.900000000000006</v>
      </c>
      <c r="I4559" s="1830"/>
      <c r="J4559" s="1795"/>
      <c r="K4559" s="1795"/>
      <c r="L4559" s="169"/>
      <c r="M4559" s="1783"/>
    </row>
    <row r="4560" spans="1:13" s="1517" customFormat="1" x14ac:dyDescent="0.25">
      <c r="A4560" s="179"/>
      <c r="B4560" s="179"/>
      <c r="C4560" s="1531"/>
      <c r="D4560" s="2142" t="s">
        <v>126</v>
      </c>
      <c r="E4560" s="2142"/>
      <c r="F4560" s="2142"/>
      <c r="G4560" s="2142"/>
      <c r="H4560" s="1532">
        <f>SUM(H4558:H4559)</f>
        <v>88.27000000000001</v>
      </c>
      <c r="I4560" s="1830"/>
      <c r="J4560" s="1795"/>
      <c r="K4560" s="1795"/>
      <c r="L4560" s="169"/>
      <c r="M4560" s="1783"/>
    </row>
    <row r="4561" spans="1:13" s="1517" customFormat="1" x14ac:dyDescent="0.25">
      <c r="A4561" s="179"/>
      <c r="B4561" s="179"/>
      <c r="C4561" s="1531"/>
      <c r="D4561" s="2141" t="s">
        <v>28</v>
      </c>
      <c r="E4561" s="2141"/>
      <c r="F4561" s="2141"/>
      <c r="G4561" s="2141"/>
      <c r="H4561" s="269">
        <f>E4554</f>
        <v>4</v>
      </c>
      <c r="I4561" s="1830"/>
      <c r="J4561" s="1795"/>
      <c r="K4561" s="1795"/>
      <c r="L4561" s="169"/>
      <c r="M4561" s="1783"/>
    </row>
    <row r="4562" spans="1:13" s="1517" customFormat="1" x14ac:dyDescent="0.25">
      <c r="A4562" s="179"/>
      <c r="B4562" s="179"/>
      <c r="C4562" s="1531"/>
      <c r="D4562" s="2142" t="s">
        <v>127</v>
      </c>
      <c r="E4562" s="2142"/>
      <c r="F4562" s="2142"/>
      <c r="G4562" s="2142"/>
      <c r="H4562" s="1532">
        <f>ROUND(H4560*H4561,2)</f>
        <v>353.08</v>
      </c>
      <c r="I4562" s="1830"/>
      <c r="J4562" s="1795"/>
      <c r="K4562" s="1795"/>
      <c r="L4562" s="169"/>
      <c r="M4562" s="1783"/>
    </row>
    <row r="4563" spans="1:13" s="1517" customFormat="1" x14ac:dyDescent="0.25">
      <c r="A4563" s="179"/>
      <c r="B4563" s="179"/>
      <c r="C4563" s="1531"/>
      <c r="D4563" s="2141" t="s">
        <v>15335</v>
      </c>
      <c r="E4563" s="2141"/>
      <c r="F4563" s="2141"/>
      <c r="G4563" s="2141"/>
      <c r="H4563" s="267">
        <f>ROUND(H4560*$B$13,2)</f>
        <v>23.77</v>
      </c>
      <c r="I4563" s="1830"/>
      <c r="J4563" s="1795"/>
      <c r="K4563" s="1795"/>
      <c r="L4563" s="169"/>
      <c r="M4563" s="1783"/>
    </row>
    <row r="4564" spans="1:13" x14ac:dyDescent="0.25">
      <c r="A4564" s="179"/>
      <c r="B4564" s="179"/>
      <c r="C4564" s="1531"/>
      <c r="D4564" s="2142" t="s">
        <v>7898</v>
      </c>
      <c r="E4564" s="2142"/>
      <c r="F4564" s="2142"/>
      <c r="G4564" s="2142"/>
      <c r="H4564" s="1532">
        <f>H4563+H4560</f>
        <v>112.04</v>
      </c>
    </row>
    <row r="4565" spans="1:13" x14ac:dyDescent="0.25">
      <c r="A4565" s="1514"/>
      <c r="B4565" s="1514"/>
      <c r="C4565" s="1514"/>
      <c r="F4565" s="1533"/>
      <c r="G4565" s="1534"/>
      <c r="H4565" s="1514"/>
    </row>
    <row r="4566" spans="1:13" s="1517" customFormat="1" x14ac:dyDescent="0.25">
      <c r="A4566" s="146" t="s">
        <v>6</v>
      </c>
      <c r="B4566" s="2143" t="s">
        <v>7</v>
      </c>
      <c r="C4566" s="2143"/>
      <c r="D4566" s="1518" t="s">
        <v>121</v>
      </c>
      <c r="E4566" s="278" t="s">
        <v>5282</v>
      </c>
      <c r="F4566" s="1518" t="s">
        <v>31</v>
      </c>
      <c r="G4566" s="1519" t="s">
        <v>122</v>
      </c>
      <c r="H4566" s="1520" t="s">
        <v>123</v>
      </c>
      <c r="I4566" s="1830"/>
      <c r="J4566" s="1795"/>
      <c r="K4566" s="1795"/>
      <c r="L4566" s="169"/>
      <c r="M4566" s="1783"/>
    </row>
    <row r="4567" spans="1:13" s="1526" customFormat="1" ht="30" x14ac:dyDescent="0.2">
      <c r="A4567" s="1521" t="str">
        <f>'Orç - Prédio'!A777</f>
        <v>07.02.701.02</v>
      </c>
      <c r="B4567" s="1521" t="str">
        <f>'Orç - Prédio'!B777</f>
        <v>CPOS</v>
      </c>
      <c r="C4567" s="1521" t="str">
        <f>'Orç - Prédio'!C777</f>
        <v>61.10.574 MOD 2</v>
      </c>
      <c r="D4567" s="1522" t="s">
        <v>6863</v>
      </c>
      <c r="E4567" s="1523">
        <f>'Orç - Prédio'!E777</f>
        <v>22</v>
      </c>
      <c r="F4567" s="1521" t="s">
        <v>5284</v>
      </c>
      <c r="G4567" s="1524">
        <v>58.83</v>
      </c>
      <c r="H4567" s="1525">
        <f>H4575</f>
        <v>1294.26</v>
      </c>
      <c r="I4567" s="1910" t="s">
        <v>9579</v>
      </c>
      <c r="J4567" s="1793"/>
      <c r="K4567" s="1793"/>
      <c r="L4567" s="141"/>
      <c r="M4567" s="1515"/>
    </row>
    <row r="4568" spans="1:13" s="156" customFormat="1" ht="30" x14ac:dyDescent="0.2">
      <c r="A4568" s="2145" t="s">
        <v>7664</v>
      </c>
      <c r="B4568" s="2145"/>
      <c r="C4568" s="1496" t="s">
        <v>5696</v>
      </c>
      <c r="D4568" s="182" t="s">
        <v>7665</v>
      </c>
      <c r="E4568" s="1527">
        <v>0.04</v>
      </c>
      <c r="F4568" s="1669" t="s">
        <v>306</v>
      </c>
      <c r="G4568" s="367">
        <v>1331.68</v>
      </c>
      <c r="H4568" s="1530">
        <f>ROUNDDOWN(G4568*E4568,2)</f>
        <v>53.26</v>
      </c>
      <c r="I4568" s="1642"/>
      <c r="J4568" s="1797"/>
      <c r="K4568" s="1797"/>
      <c r="L4568" s="1784"/>
      <c r="M4568" s="1785"/>
    </row>
    <row r="4569" spans="1:13" s="156" customFormat="1" ht="30" x14ac:dyDescent="0.2">
      <c r="A4569" s="2144">
        <v>88279</v>
      </c>
      <c r="B4569" s="2144"/>
      <c r="C4569" s="1516" t="s">
        <v>4448</v>
      </c>
      <c r="D4569" s="182" t="s">
        <v>4302</v>
      </c>
      <c r="E4569" s="1527">
        <v>0.14399999999999999</v>
      </c>
      <c r="F4569" s="1669" t="s">
        <v>65</v>
      </c>
      <c r="G4569" s="1529">
        <v>21.03</v>
      </c>
      <c r="H4569" s="1530">
        <f>ROUNDDOWN(G4569*E4569,2)</f>
        <v>3.02</v>
      </c>
      <c r="I4569" s="1642"/>
      <c r="J4569" s="1797"/>
      <c r="K4569" s="1797"/>
      <c r="L4569" s="1784"/>
      <c r="M4569" s="1785"/>
    </row>
    <row r="4570" spans="1:13" s="156" customFormat="1" ht="30" x14ac:dyDescent="0.2">
      <c r="A4570" s="2144">
        <v>88243</v>
      </c>
      <c r="B4570" s="2144"/>
      <c r="C4570" s="1516" t="s">
        <v>4448</v>
      </c>
      <c r="D4570" s="182" t="s">
        <v>99</v>
      </c>
      <c r="E4570" s="1527">
        <v>0.14399999999999999</v>
      </c>
      <c r="F4570" s="1669" t="s">
        <v>65</v>
      </c>
      <c r="G4570" s="1529">
        <v>17.77</v>
      </c>
      <c r="H4570" s="1530">
        <f>ROUNDDOWN(G4570*E4570,2)</f>
        <v>2.5499999999999998</v>
      </c>
      <c r="I4570" s="1642"/>
      <c r="J4570" s="1797"/>
      <c r="K4570" s="1797"/>
      <c r="L4570" s="1784"/>
      <c r="M4570" s="1785"/>
    </row>
    <row r="4571" spans="1:13" s="1517" customFormat="1" x14ac:dyDescent="0.25">
      <c r="A4571" s="179"/>
      <c r="B4571" s="179"/>
      <c r="C4571" s="1531"/>
      <c r="D4571" s="2141" t="s">
        <v>124</v>
      </c>
      <c r="E4571" s="2141"/>
      <c r="F4571" s="2141"/>
      <c r="G4571" s="2141"/>
      <c r="H4571" s="267">
        <f>SUMIF(F4568:F4570,("h"),H4568:H4570)</f>
        <v>5.57</v>
      </c>
      <c r="I4571" s="1830"/>
      <c r="J4571" s="1795"/>
      <c r="K4571" s="1795"/>
      <c r="L4571" s="169"/>
      <c r="M4571" s="1783"/>
    </row>
    <row r="4572" spans="1:13" s="1517" customFormat="1" x14ac:dyDescent="0.25">
      <c r="A4572" s="179"/>
      <c r="B4572" s="179"/>
      <c r="C4572" s="1531"/>
      <c r="D4572" s="2141" t="s">
        <v>125</v>
      </c>
      <c r="E4572" s="2141"/>
      <c r="F4572" s="2141"/>
      <c r="G4572" s="2141"/>
      <c r="H4572" s="267">
        <f>SUMIF(F4568:F4570,"&lt;&gt;h",H4568:H4570)</f>
        <v>53.26</v>
      </c>
      <c r="I4572" s="1830"/>
      <c r="J4572" s="1795"/>
      <c r="K4572" s="1795"/>
      <c r="L4572" s="169"/>
      <c r="M4572" s="1783"/>
    </row>
    <row r="4573" spans="1:13" s="1517" customFormat="1" x14ac:dyDescent="0.25">
      <c r="A4573" s="179"/>
      <c r="B4573" s="179"/>
      <c r="C4573" s="1531"/>
      <c r="D4573" s="2142" t="s">
        <v>126</v>
      </c>
      <c r="E4573" s="2142"/>
      <c r="F4573" s="2142"/>
      <c r="G4573" s="2142"/>
      <c r="H4573" s="1532">
        <f>SUM(H4571:H4572)</f>
        <v>58.83</v>
      </c>
      <c r="I4573" s="1830"/>
      <c r="J4573" s="1795"/>
      <c r="K4573" s="1795"/>
      <c r="L4573" s="169"/>
      <c r="M4573" s="1783"/>
    </row>
    <row r="4574" spans="1:13" s="1517" customFormat="1" x14ac:dyDescent="0.25">
      <c r="A4574" s="179"/>
      <c r="B4574" s="179"/>
      <c r="C4574" s="1531"/>
      <c r="D4574" s="2141" t="s">
        <v>28</v>
      </c>
      <c r="E4574" s="2141"/>
      <c r="F4574" s="2141"/>
      <c r="G4574" s="2141"/>
      <c r="H4574" s="269">
        <f>E4567</f>
        <v>22</v>
      </c>
      <c r="I4574" s="1830"/>
      <c r="J4574" s="1795"/>
      <c r="K4574" s="1795"/>
      <c r="L4574" s="169"/>
      <c r="M4574" s="1783"/>
    </row>
    <row r="4575" spans="1:13" s="1517" customFormat="1" x14ac:dyDescent="0.25">
      <c r="A4575" s="179"/>
      <c r="B4575" s="179"/>
      <c r="C4575" s="1531"/>
      <c r="D4575" s="2142" t="s">
        <v>127</v>
      </c>
      <c r="E4575" s="2142"/>
      <c r="F4575" s="2142"/>
      <c r="G4575" s="2142"/>
      <c r="H4575" s="1532">
        <f>ROUND(H4573*H4574,2)</f>
        <v>1294.26</v>
      </c>
      <c r="I4575" s="1830"/>
      <c r="J4575" s="1795"/>
      <c r="K4575" s="1795"/>
      <c r="L4575" s="169"/>
      <c r="M4575" s="1783"/>
    </row>
    <row r="4576" spans="1:13" s="1517" customFormat="1" x14ac:dyDescent="0.25">
      <c r="A4576" s="179"/>
      <c r="B4576" s="179"/>
      <c r="C4576" s="1531"/>
      <c r="D4576" s="2141" t="s">
        <v>15335</v>
      </c>
      <c r="E4576" s="2141"/>
      <c r="F4576" s="2141"/>
      <c r="G4576" s="2141"/>
      <c r="H4576" s="267">
        <f>ROUND(H4573*$B$13,2)</f>
        <v>15.84</v>
      </c>
      <c r="I4576" s="1830"/>
      <c r="J4576" s="1795"/>
      <c r="K4576" s="1795"/>
      <c r="L4576" s="169"/>
      <c r="M4576" s="1783"/>
    </row>
    <row r="4577" spans="1:13" x14ac:dyDescent="0.25">
      <c r="A4577" s="179"/>
      <c r="B4577" s="179"/>
      <c r="C4577" s="1531"/>
      <c r="D4577" s="2142" t="s">
        <v>7898</v>
      </c>
      <c r="E4577" s="2142"/>
      <c r="F4577" s="2142"/>
      <c r="G4577" s="2142"/>
      <c r="H4577" s="1532">
        <f>H4576+H4573</f>
        <v>74.67</v>
      </c>
    </row>
    <row r="4578" spans="1:13" x14ac:dyDescent="0.25">
      <c r="A4578" s="1514"/>
      <c r="B4578" s="1514"/>
      <c r="C4578" s="1514"/>
      <c r="F4578" s="1533"/>
      <c r="G4578" s="1534"/>
      <c r="H4578" s="1514"/>
    </row>
    <row r="4579" spans="1:13" s="1517" customFormat="1" x14ac:dyDescent="0.25">
      <c r="A4579" s="146" t="s">
        <v>6</v>
      </c>
      <c r="B4579" s="2143" t="s">
        <v>7</v>
      </c>
      <c r="C4579" s="2143"/>
      <c r="D4579" s="1518" t="s">
        <v>121</v>
      </c>
      <c r="E4579" s="278" t="s">
        <v>5282</v>
      </c>
      <c r="F4579" s="1518" t="s">
        <v>31</v>
      </c>
      <c r="G4579" s="1519" t="s">
        <v>122</v>
      </c>
      <c r="H4579" s="1520" t="s">
        <v>123</v>
      </c>
      <c r="I4579" s="1830"/>
      <c r="J4579" s="1795"/>
      <c r="K4579" s="1795"/>
      <c r="L4579" s="169"/>
      <c r="M4579" s="1783"/>
    </row>
    <row r="4580" spans="1:13" s="1526" customFormat="1" ht="30" x14ac:dyDescent="0.2">
      <c r="A4580" s="1521" t="str">
        <f>'Orç - Prédio'!A778</f>
        <v>07.02.702.01</v>
      </c>
      <c r="B4580" s="1521" t="str">
        <f>'Orç - Prédio'!B778</f>
        <v>CPOS</v>
      </c>
      <c r="C4580" s="1521" t="str">
        <f>'Orç - Prédio'!C778</f>
        <v>61.10.402 MOD</v>
      </c>
      <c r="D4580" s="1522" t="s">
        <v>7654</v>
      </c>
      <c r="E4580" s="1523">
        <f>'Orç - Prédio'!E778</f>
        <v>5</v>
      </c>
      <c r="F4580" s="1521" t="s">
        <v>5284</v>
      </c>
      <c r="G4580" s="1524">
        <v>112.25</v>
      </c>
      <c r="H4580" s="1525">
        <f>H4588</f>
        <v>561.25</v>
      </c>
      <c r="I4580" s="1910" t="s">
        <v>9579</v>
      </c>
      <c r="J4580" s="1793"/>
      <c r="K4580" s="1793"/>
      <c r="L4580" s="141"/>
      <c r="M4580" s="1515"/>
    </row>
    <row r="4581" spans="1:13" s="156" customFormat="1" ht="30" x14ac:dyDescent="0.2">
      <c r="A4581" s="2145" t="s">
        <v>7667</v>
      </c>
      <c r="B4581" s="2145"/>
      <c r="C4581" s="1496" t="s">
        <v>5696</v>
      </c>
      <c r="D4581" s="182" t="s">
        <v>7666</v>
      </c>
      <c r="E4581" s="1527">
        <v>0.15</v>
      </c>
      <c r="F4581" s="1669" t="s">
        <v>306</v>
      </c>
      <c r="G4581" s="367">
        <v>682.4</v>
      </c>
      <c r="H4581" s="1530">
        <f>ROUNDDOWN(G4581*E4581,2)</f>
        <v>102.36</v>
      </c>
      <c r="I4581" s="1642"/>
      <c r="J4581" s="1797"/>
      <c r="K4581" s="1797"/>
      <c r="L4581" s="1784"/>
      <c r="M4581" s="1785"/>
    </row>
    <row r="4582" spans="1:13" s="156" customFormat="1" ht="30" x14ac:dyDescent="0.2">
      <c r="A4582" s="2144">
        <v>88279</v>
      </c>
      <c r="B4582" s="2144"/>
      <c r="C4582" s="1516" t="s">
        <v>4448</v>
      </c>
      <c r="D4582" s="182" t="s">
        <v>4302</v>
      </c>
      <c r="E4582" s="1527">
        <v>0.255</v>
      </c>
      <c r="F4582" s="1669" t="s">
        <v>65</v>
      </c>
      <c r="G4582" s="1529">
        <v>21.03</v>
      </c>
      <c r="H4582" s="1530">
        <f>ROUNDDOWN(G4582*E4582,2)</f>
        <v>5.36</v>
      </c>
      <c r="I4582" s="1642"/>
      <c r="J4582" s="1797"/>
      <c r="K4582" s="1797"/>
      <c r="L4582" s="1784"/>
      <c r="M4582" s="1785"/>
    </row>
    <row r="4583" spans="1:13" s="156" customFormat="1" ht="30" x14ac:dyDescent="0.2">
      <c r="A4583" s="2144">
        <v>88243</v>
      </c>
      <c r="B4583" s="2144"/>
      <c r="C4583" s="1516" t="s">
        <v>4448</v>
      </c>
      <c r="D4583" s="182" t="s">
        <v>99</v>
      </c>
      <c r="E4583" s="1527">
        <v>0.255</v>
      </c>
      <c r="F4583" s="1669" t="s">
        <v>65</v>
      </c>
      <c r="G4583" s="1529">
        <v>17.77</v>
      </c>
      <c r="H4583" s="1530">
        <f>ROUNDDOWN(G4583*E4583,2)</f>
        <v>4.53</v>
      </c>
      <c r="I4583" s="1642"/>
      <c r="J4583" s="1797"/>
      <c r="K4583" s="1797"/>
      <c r="L4583" s="1784"/>
      <c r="M4583" s="1785"/>
    </row>
    <row r="4584" spans="1:13" s="1517" customFormat="1" x14ac:dyDescent="0.25">
      <c r="A4584" s="179"/>
      <c r="B4584" s="179"/>
      <c r="C4584" s="1531"/>
      <c r="D4584" s="2141" t="s">
        <v>124</v>
      </c>
      <c r="E4584" s="2141"/>
      <c r="F4584" s="2141"/>
      <c r="G4584" s="2141"/>
      <c r="H4584" s="267">
        <f>SUMIF(F4581:F4583,("h"),H4581:H4583)</f>
        <v>9.89</v>
      </c>
      <c r="I4584" s="1830"/>
      <c r="J4584" s="1795"/>
      <c r="K4584" s="1795"/>
      <c r="L4584" s="169"/>
      <c r="M4584" s="1783"/>
    </row>
    <row r="4585" spans="1:13" s="1517" customFormat="1" x14ac:dyDescent="0.25">
      <c r="A4585" s="179"/>
      <c r="B4585" s="179"/>
      <c r="C4585" s="1531"/>
      <c r="D4585" s="2141" t="s">
        <v>125</v>
      </c>
      <c r="E4585" s="2141"/>
      <c r="F4585" s="2141"/>
      <c r="G4585" s="2141"/>
      <c r="H4585" s="267">
        <f>SUMIF(F4581:F4583,"&lt;&gt;h",H4581:H4583)</f>
        <v>102.36</v>
      </c>
      <c r="I4585" s="1830"/>
      <c r="J4585" s="1795"/>
      <c r="K4585" s="1795"/>
      <c r="L4585" s="169"/>
      <c r="M4585" s="1783"/>
    </row>
    <row r="4586" spans="1:13" s="1517" customFormat="1" x14ac:dyDescent="0.25">
      <c r="A4586" s="179"/>
      <c r="B4586" s="179"/>
      <c r="C4586" s="1531"/>
      <c r="D4586" s="2142" t="s">
        <v>126</v>
      </c>
      <c r="E4586" s="2142"/>
      <c r="F4586" s="2142"/>
      <c r="G4586" s="2142"/>
      <c r="H4586" s="1532">
        <f>SUM(H4584:H4585)</f>
        <v>112.25</v>
      </c>
      <c r="I4586" s="1830"/>
      <c r="J4586" s="1795"/>
      <c r="K4586" s="1795"/>
      <c r="L4586" s="169"/>
      <c r="M4586" s="1783"/>
    </row>
    <row r="4587" spans="1:13" s="1517" customFormat="1" x14ac:dyDescent="0.25">
      <c r="A4587" s="179"/>
      <c r="B4587" s="179"/>
      <c r="C4587" s="1531"/>
      <c r="D4587" s="2141" t="s">
        <v>28</v>
      </c>
      <c r="E4587" s="2141"/>
      <c r="F4587" s="2141"/>
      <c r="G4587" s="2141"/>
      <c r="H4587" s="269">
        <f>E4580</f>
        <v>5</v>
      </c>
      <c r="I4587" s="1830"/>
      <c r="J4587" s="1795"/>
      <c r="K4587" s="1795"/>
      <c r="L4587" s="169"/>
      <c r="M4587" s="1783"/>
    </row>
    <row r="4588" spans="1:13" s="1517" customFormat="1" x14ac:dyDescent="0.25">
      <c r="A4588" s="179"/>
      <c r="B4588" s="179"/>
      <c r="C4588" s="1531"/>
      <c r="D4588" s="2142" t="s">
        <v>127</v>
      </c>
      <c r="E4588" s="2142"/>
      <c r="F4588" s="2142"/>
      <c r="G4588" s="2142"/>
      <c r="H4588" s="1532">
        <f>ROUND(H4586*H4587,2)</f>
        <v>561.25</v>
      </c>
      <c r="I4588" s="1830"/>
      <c r="J4588" s="1795"/>
      <c r="K4588" s="1795"/>
      <c r="L4588" s="169"/>
      <c r="M4588" s="1783"/>
    </row>
    <row r="4589" spans="1:13" s="1517" customFormat="1" x14ac:dyDescent="0.25">
      <c r="A4589" s="179"/>
      <c r="B4589" s="179"/>
      <c r="C4589" s="1531"/>
      <c r="D4589" s="2141" t="s">
        <v>15335</v>
      </c>
      <c r="E4589" s="2141"/>
      <c r="F4589" s="2141"/>
      <c r="G4589" s="2141"/>
      <c r="H4589" s="267">
        <f>ROUND(H4586*$B$13,2)</f>
        <v>30.23</v>
      </c>
      <c r="I4589" s="1830"/>
      <c r="J4589" s="1795"/>
      <c r="K4589" s="1795"/>
      <c r="L4589" s="169"/>
      <c r="M4589" s="1783"/>
    </row>
    <row r="4590" spans="1:13" x14ac:dyDescent="0.25">
      <c r="A4590" s="179"/>
      <c r="B4590" s="179"/>
      <c r="C4590" s="1531"/>
      <c r="D4590" s="2142" t="s">
        <v>7898</v>
      </c>
      <c r="E4590" s="2142"/>
      <c r="F4590" s="2142"/>
      <c r="G4590" s="2142"/>
      <c r="H4590" s="1532">
        <f>H4589+H4586</f>
        <v>142.47999999999999</v>
      </c>
    </row>
    <row r="4591" spans="1:13" x14ac:dyDescent="0.25">
      <c r="A4591" s="1514"/>
      <c r="B4591" s="1514"/>
      <c r="C4591" s="1514"/>
      <c r="F4591" s="1533"/>
      <c r="G4591" s="1534"/>
      <c r="H4591" s="1514"/>
    </row>
    <row r="4592" spans="1:13" s="1517" customFormat="1" x14ac:dyDescent="0.25">
      <c r="A4592" s="146" t="s">
        <v>6</v>
      </c>
      <c r="B4592" s="2143" t="s">
        <v>7</v>
      </c>
      <c r="C4592" s="2143"/>
      <c r="D4592" s="1518" t="s">
        <v>121</v>
      </c>
      <c r="E4592" s="278" t="s">
        <v>5282</v>
      </c>
      <c r="F4592" s="1518" t="s">
        <v>31</v>
      </c>
      <c r="G4592" s="1519" t="s">
        <v>122</v>
      </c>
      <c r="H4592" s="1520" t="s">
        <v>123</v>
      </c>
      <c r="I4592" s="1830"/>
      <c r="J4592" s="1795"/>
      <c r="K4592" s="1795"/>
      <c r="L4592" s="169"/>
      <c r="M4592" s="1783"/>
    </row>
    <row r="4593" spans="1:13" s="1526" customFormat="1" ht="30" x14ac:dyDescent="0.2">
      <c r="A4593" s="1521" t="str">
        <f>'Orç - Prédio'!A779</f>
        <v>07.02.702.02</v>
      </c>
      <c r="B4593" s="1521" t="str">
        <f>'Orç - Prédio'!B779</f>
        <v>CPOS</v>
      </c>
      <c r="C4593" s="1521" t="str">
        <f>'Orç - Prédio'!C779</f>
        <v>61.10.401 MOD</v>
      </c>
      <c r="D4593" s="1522" t="s">
        <v>7655</v>
      </c>
      <c r="E4593" s="1523">
        <f>'Orç - Prédio'!E779</f>
        <v>2</v>
      </c>
      <c r="F4593" s="1521" t="s">
        <v>5284</v>
      </c>
      <c r="G4593" s="1524">
        <v>133.39000000000001</v>
      </c>
      <c r="H4593" s="1525">
        <f>H4601</f>
        <v>266.77999999999997</v>
      </c>
      <c r="I4593" s="1910" t="s">
        <v>9579</v>
      </c>
      <c r="J4593" s="1793"/>
      <c r="K4593" s="1793"/>
      <c r="L4593" s="141"/>
      <c r="M4593" s="1515"/>
    </row>
    <row r="4594" spans="1:13" s="156" customFormat="1" ht="30" x14ac:dyDescent="0.2">
      <c r="A4594" s="2145" t="s">
        <v>7668</v>
      </c>
      <c r="B4594" s="2145"/>
      <c r="C4594" s="1496" t="s">
        <v>5696</v>
      </c>
      <c r="D4594" s="182" t="s">
        <v>7669</v>
      </c>
      <c r="E4594" s="1527">
        <v>0.1225</v>
      </c>
      <c r="F4594" s="1669" t="s">
        <v>306</v>
      </c>
      <c r="G4594" s="367">
        <v>1003.7</v>
      </c>
      <c r="H4594" s="1530">
        <f>ROUNDDOWN(G4594*E4594,2)</f>
        <v>122.95</v>
      </c>
      <c r="I4594" s="1642"/>
      <c r="J4594" s="1797"/>
      <c r="K4594" s="1797"/>
      <c r="L4594" s="1784"/>
      <c r="M4594" s="1785"/>
    </row>
    <row r="4595" spans="1:13" s="156" customFormat="1" ht="30" x14ac:dyDescent="0.2">
      <c r="A4595" s="2144">
        <v>88279</v>
      </c>
      <c r="B4595" s="2144"/>
      <c r="C4595" s="1516" t="s">
        <v>4448</v>
      </c>
      <c r="D4595" s="182" t="s">
        <v>4302</v>
      </c>
      <c r="E4595" s="1527">
        <v>0.26950000000000002</v>
      </c>
      <c r="F4595" s="1669" t="s">
        <v>65</v>
      </c>
      <c r="G4595" s="1529">
        <v>21.03</v>
      </c>
      <c r="H4595" s="1530">
        <f>ROUNDDOWN(G4595*E4595,2)</f>
        <v>5.66</v>
      </c>
      <c r="I4595" s="1642"/>
      <c r="J4595" s="1797"/>
      <c r="K4595" s="1797"/>
      <c r="L4595" s="1784"/>
      <c r="M4595" s="1785"/>
    </row>
    <row r="4596" spans="1:13" s="156" customFormat="1" ht="30" x14ac:dyDescent="0.2">
      <c r="A4596" s="2144">
        <v>88243</v>
      </c>
      <c r="B4596" s="2144"/>
      <c r="C4596" s="1516" t="s">
        <v>4448</v>
      </c>
      <c r="D4596" s="182" t="s">
        <v>99</v>
      </c>
      <c r="E4596" s="1527">
        <v>0.26950000000000002</v>
      </c>
      <c r="F4596" s="1669" t="s">
        <v>65</v>
      </c>
      <c r="G4596" s="1529">
        <v>17.77</v>
      </c>
      <c r="H4596" s="1530">
        <f>ROUNDDOWN(G4596*E4596,2)</f>
        <v>4.78</v>
      </c>
      <c r="I4596" s="1642"/>
      <c r="J4596" s="1797"/>
      <c r="K4596" s="1797"/>
      <c r="L4596" s="1784"/>
      <c r="M4596" s="1785"/>
    </row>
    <row r="4597" spans="1:13" s="1517" customFormat="1" x14ac:dyDescent="0.25">
      <c r="A4597" s="179"/>
      <c r="B4597" s="179"/>
      <c r="C4597" s="1531"/>
      <c r="D4597" s="2141" t="s">
        <v>124</v>
      </c>
      <c r="E4597" s="2141"/>
      <c r="F4597" s="2141"/>
      <c r="G4597" s="2141"/>
      <c r="H4597" s="267">
        <f>SUMIF(F4594:F4596,("h"),H4594:H4596)</f>
        <v>10.440000000000001</v>
      </c>
      <c r="I4597" s="1830"/>
      <c r="J4597" s="1795"/>
      <c r="K4597" s="1795"/>
      <c r="L4597" s="169"/>
      <c r="M4597" s="1783"/>
    </row>
    <row r="4598" spans="1:13" s="1517" customFormat="1" x14ac:dyDescent="0.25">
      <c r="A4598" s="179"/>
      <c r="B4598" s="179"/>
      <c r="C4598" s="1531"/>
      <c r="D4598" s="2141" t="s">
        <v>125</v>
      </c>
      <c r="E4598" s="2141"/>
      <c r="F4598" s="2141"/>
      <c r="G4598" s="2141"/>
      <c r="H4598" s="267">
        <f>SUMIF(F4594:F4596,"&lt;&gt;h",H4594:H4596)</f>
        <v>122.95</v>
      </c>
      <c r="I4598" s="1830"/>
      <c r="J4598" s="1795"/>
      <c r="K4598" s="1795"/>
      <c r="L4598" s="169"/>
      <c r="M4598" s="1783"/>
    </row>
    <row r="4599" spans="1:13" s="1517" customFormat="1" x14ac:dyDescent="0.25">
      <c r="A4599" s="179"/>
      <c r="B4599" s="179"/>
      <c r="C4599" s="1531"/>
      <c r="D4599" s="2142" t="s">
        <v>126</v>
      </c>
      <c r="E4599" s="2142"/>
      <c r="F4599" s="2142"/>
      <c r="G4599" s="2142"/>
      <c r="H4599" s="1532">
        <f>SUM(H4597:H4598)</f>
        <v>133.39000000000001</v>
      </c>
      <c r="I4599" s="1830"/>
      <c r="J4599" s="1795"/>
      <c r="K4599" s="1795"/>
      <c r="L4599" s="169"/>
      <c r="M4599" s="1783"/>
    </row>
    <row r="4600" spans="1:13" s="1517" customFormat="1" x14ac:dyDescent="0.25">
      <c r="A4600" s="179"/>
      <c r="B4600" s="179"/>
      <c r="C4600" s="1531"/>
      <c r="D4600" s="2141" t="s">
        <v>28</v>
      </c>
      <c r="E4600" s="2141"/>
      <c r="F4600" s="2141"/>
      <c r="G4600" s="2141"/>
      <c r="H4600" s="269">
        <f>E4593</f>
        <v>2</v>
      </c>
      <c r="I4600" s="1830"/>
      <c r="J4600" s="1795"/>
      <c r="K4600" s="1795"/>
      <c r="L4600" s="169"/>
      <c r="M4600" s="1783"/>
    </row>
    <row r="4601" spans="1:13" s="1517" customFormat="1" x14ac:dyDescent="0.25">
      <c r="A4601" s="179"/>
      <c r="B4601" s="179"/>
      <c r="C4601" s="1531"/>
      <c r="D4601" s="2142" t="s">
        <v>127</v>
      </c>
      <c r="E4601" s="2142"/>
      <c r="F4601" s="2142"/>
      <c r="G4601" s="2142"/>
      <c r="H4601" s="1532">
        <f>ROUND(H4599*H4600,2)</f>
        <v>266.77999999999997</v>
      </c>
      <c r="I4601" s="1830"/>
      <c r="J4601" s="1795"/>
      <c r="K4601" s="1795"/>
      <c r="L4601" s="169"/>
      <c r="M4601" s="1783"/>
    </row>
    <row r="4602" spans="1:13" s="1517" customFormat="1" x14ac:dyDescent="0.25">
      <c r="A4602" s="179"/>
      <c r="B4602" s="179"/>
      <c r="C4602" s="1531"/>
      <c r="D4602" s="2141" t="s">
        <v>15335</v>
      </c>
      <c r="E4602" s="2141"/>
      <c r="F4602" s="2141"/>
      <c r="G4602" s="2141"/>
      <c r="H4602" s="267">
        <f>ROUND(H4599*$B$13,2)</f>
        <v>35.92</v>
      </c>
      <c r="I4602" s="1830"/>
      <c r="J4602" s="1795"/>
      <c r="K4602" s="1795"/>
      <c r="L4602" s="169"/>
      <c r="M4602" s="1783"/>
    </row>
    <row r="4603" spans="1:13" x14ac:dyDescent="0.25">
      <c r="A4603" s="179"/>
      <c r="B4603" s="179"/>
      <c r="C4603" s="1531"/>
      <c r="D4603" s="2142" t="s">
        <v>7898</v>
      </c>
      <c r="E4603" s="2142"/>
      <c r="F4603" s="2142"/>
      <c r="G4603" s="2142"/>
      <c r="H4603" s="1532">
        <f>H4602+H4599</f>
        <v>169.31</v>
      </c>
    </row>
    <row r="4604" spans="1:13" x14ac:dyDescent="0.25">
      <c r="A4604" s="1514"/>
      <c r="B4604" s="1514"/>
      <c r="C4604" s="1514"/>
      <c r="F4604" s="1533"/>
      <c r="G4604" s="1534"/>
      <c r="H4604" s="1514"/>
    </row>
    <row r="4605" spans="1:13" s="1517" customFormat="1" x14ac:dyDescent="0.25">
      <c r="A4605" s="146" t="s">
        <v>6</v>
      </c>
      <c r="B4605" s="2143" t="s">
        <v>7</v>
      </c>
      <c r="C4605" s="2143"/>
      <c r="D4605" s="1518" t="s">
        <v>121</v>
      </c>
      <c r="E4605" s="278" t="s">
        <v>5282</v>
      </c>
      <c r="F4605" s="1518" t="s">
        <v>31</v>
      </c>
      <c r="G4605" s="1519" t="s">
        <v>122</v>
      </c>
      <c r="H4605" s="1520" t="s">
        <v>123</v>
      </c>
      <c r="I4605" s="1830"/>
      <c r="J4605" s="1795"/>
      <c r="K4605" s="1795"/>
      <c r="L4605" s="169"/>
      <c r="M4605" s="1783"/>
    </row>
    <row r="4606" spans="1:13" s="1526" customFormat="1" ht="30" x14ac:dyDescent="0.2">
      <c r="A4606" s="1521" t="str">
        <f>'Orç - Prédio'!A780</f>
        <v>07.02.703.01</v>
      </c>
      <c r="B4606" s="1521" t="str">
        <f>'Orç - Prédio'!B780</f>
        <v>CPOS</v>
      </c>
      <c r="C4606" s="1521" t="str">
        <f>'Orç - Prédio'!C780</f>
        <v>61.10.530 MOD 1</v>
      </c>
      <c r="D4606" s="1522" t="s">
        <v>6864</v>
      </c>
      <c r="E4606" s="1523">
        <f>'Orç - Prédio'!E780</f>
        <v>5</v>
      </c>
      <c r="F4606" s="1521" t="s">
        <v>5284</v>
      </c>
      <c r="G4606" s="1524">
        <v>402.77</v>
      </c>
      <c r="H4606" s="1525">
        <f>H4614</f>
        <v>2013.85</v>
      </c>
      <c r="I4606" s="1910" t="s">
        <v>9579</v>
      </c>
      <c r="J4606" s="1793"/>
      <c r="K4606" s="1793"/>
      <c r="L4606" s="141"/>
      <c r="M4606" s="1515"/>
    </row>
    <row r="4607" spans="1:13" s="156" customFormat="1" ht="30" x14ac:dyDescent="0.2">
      <c r="A4607" s="2145" t="s">
        <v>7670</v>
      </c>
      <c r="B4607" s="2145"/>
      <c r="C4607" s="1496" t="s">
        <v>5696</v>
      </c>
      <c r="D4607" s="182" t="s">
        <v>7671</v>
      </c>
      <c r="E4607" s="1527">
        <v>0.1444</v>
      </c>
      <c r="F4607" s="1669" t="s">
        <v>306</v>
      </c>
      <c r="G4607" s="367">
        <v>2574.4444444444443</v>
      </c>
      <c r="H4607" s="1530">
        <f>ROUNDDOWN(G4607*E4607,2)</f>
        <v>371.74</v>
      </c>
      <c r="I4607" s="1642"/>
      <c r="J4607" s="1797"/>
      <c r="K4607" s="1797"/>
      <c r="L4607" s="1784"/>
      <c r="M4607" s="1785"/>
    </row>
    <row r="4608" spans="1:13" s="156" customFormat="1" ht="30" x14ac:dyDescent="0.2">
      <c r="A4608" s="2144">
        <v>88279</v>
      </c>
      <c r="B4608" s="2144"/>
      <c r="C4608" s="1516" t="s">
        <v>4448</v>
      </c>
      <c r="D4608" s="182" t="s">
        <v>4302</v>
      </c>
      <c r="E4608" s="1527">
        <v>0.8</v>
      </c>
      <c r="F4608" s="1669" t="s">
        <v>65</v>
      </c>
      <c r="G4608" s="1529">
        <v>21.03</v>
      </c>
      <c r="H4608" s="1530">
        <f>ROUNDDOWN(G4608*E4608,2)</f>
        <v>16.82</v>
      </c>
      <c r="I4608" s="1642"/>
      <c r="J4608" s="1797"/>
      <c r="K4608" s="1797"/>
      <c r="L4608" s="1784"/>
      <c r="M4608" s="1785"/>
    </row>
    <row r="4609" spans="1:13" s="156" customFormat="1" ht="30" x14ac:dyDescent="0.2">
      <c r="A4609" s="2144">
        <v>88243</v>
      </c>
      <c r="B4609" s="2144"/>
      <c r="C4609" s="1516" t="s">
        <v>4448</v>
      </c>
      <c r="D4609" s="182" t="s">
        <v>99</v>
      </c>
      <c r="E4609" s="1527">
        <v>0.8</v>
      </c>
      <c r="F4609" s="1669" t="s">
        <v>65</v>
      </c>
      <c r="G4609" s="1529">
        <v>17.77</v>
      </c>
      <c r="H4609" s="1530">
        <f>ROUNDDOWN(G4609*E4609,2)</f>
        <v>14.21</v>
      </c>
      <c r="I4609" s="1642"/>
      <c r="J4609" s="1797"/>
      <c r="K4609" s="1797"/>
      <c r="L4609" s="1784"/>
      <c r="M4609" s="1785"/>
    </row>
    <row r="4610" spans="1:13" s="1517" customFormat="1" x14ac:dyDescent="0.25">
      <c r="A4610" s="179"/>
      <c r="B4610" s="179"/>
      <c r="C4610" s="1531"/>
      <c r="D4610" s="2141" t="s">
        <v>124</v>
      </c>
      <c r="E4610" s="2141"/>
      <c r="F4610" s="2141"/>
      <c r="G4610" s="2141"/>
      <c r="H4610" s="267">
        <f>SUMIF(F4607:F4609,("h"),H4607:H4609)</f>
        <v>31.03</v>
      </c>
      <c r="I4610" s="1830"/>
      <c r="J4610" s="1795"/>
      <c r="K4610" s="1795"/>
      <c r="L4610" s="169"/>
      <c r="M4610" s="1783"/>
    </row>
    <row r="4611" spans="1:13" s="1517" customFormat="1" x14ac:dyDescent="0.25">
      <c r="A4611" s="179"/>
      <c r="B4611" s="179"/>
      <c r="C4611" s="1531"/>
      <c r="D4611" s="2141" t="s">
        <v>125</v>
      </c>
      <c r="E4611" s="2141"/>
      <c r="F4611" s="2141"/>
      <c r="G4611" s="2141"/>
      <c r="H4611" s="267">
        <f>SUMIF(F4607:F4609,"&lt;&gt;h",H4607:H4609)</f>
        <v>371.74</v>
      </c>
      <c r="I4611" s="1830"/>
      <c r="J4611" s="1795"/>
      <c r="K4611" s="1795"/>
      <c r="L4611" s="169"/>
      <c r="M4611" s="1783"/>
    </row>
    <row r="4612" spans="1:13" s="1517" customFormat="1" x14ac:dyDescent="0.25">
      <c r="A4612" s="179"/>
      <c r="B4612" s="179"/>
      <c r="C4612" s="1531"/>
      <c r="D4612" s="2142" t="s">
        <v>126</v>
      </c>
      <c r="E4612" s="2142"/>
      <c r="F4612" s="2142"/>
      <c r="G4612" s="2142"/>
      <c r="H4612" s="1532">
        <f>SUM(H4610:H4611)</f>
        <v>402.77</v>
      </c>
      <c r="I4612" s="1830"/>
      <c r="J4612" s="1795"/>
      <c r="K4612" s="1795"/>
      <c r="L4612" s="169"/>
      <c r="M4612" s="1783"/>
    </row>
    <row r="4613" spans="1:13" s="1517" customFormat="1" x14ac:dyDescent="0.25">
      <c r="A4613" s="179"/>
      <c r="B4613" s="179"/>
      <c r="C4613" s="1531"/>
      <c r="D4613" s="2141" t="s">
        <v>28</v>
      </c>
      <c r="E4613" s="2141"/>
      <c r="F4613" s="2141"/>
      <c r="G4613" s="2141"/>
      <c r="H4613" s="269">
        <f>E4606</f>
        <v>5</v>
      </c>
      <c r="I4613" s="1830"/>
      <c r="J4613" s="1795"/>
      <c r="K4613" s="1795"/>
      <c r="L4613" s="169"/>
      <c r="M4613" s="1783"/>
    </row>
    <row r="4614" spans="1:13" s="1517" customFormat="1" x14ac:dyDescent="0.25">
      <c r="A4614" s="179"/>
      <c r="B4614" s="179"/>
      <c r="C4614" s="1531"/>
      <c r="D4614" s="2142" t="s">
        <v>127</v>
      </c>
      <c r="E4614" s="2142"/>
      <c r="F4614" s="2142"/>
      <c r="G4614" s="2142"/>
      <c r="H4614" s="1532">
        <f>ROUND(H4612*H4613,2)</f>
        <v>2013.85</v>
      </c>
      <c r="I4614" s="1830"/>
      <c r="J4614" s="1795"/>
      <c r="K4614" s="1795"/>
      <c r="L4614" s="169"/>
      <c r="M4614" s="1783"/>
    </row>
    <row r="4615" spans="1:13" s="1517" customFormat="1" x14ac:dyDescent="0.25">
      <c r="A4615" s="179"/>
      <c r="B4615" s="179"/>
      <c r="C4615" s="1531"/>
      <c r="D4615" s="2141" t="s">
        <v>15335</v>
      </c>
      <c r="E4615" s="2141"/>
      <c r="F4615" s="2141"/>
      <c r="G4615" s="2141"/>
      <c r="H4615" s="267">
        <f>ROUND(H4612*$B$13,2)</f>
        <v>108.47</v>
      </c>
      <c r="I4615" s="1830"/>
      <c r="J4615" s="1795"/>
      <c r="K4615" s="1795"/>
      <c r="L4615" s="169"/>
      <c r="M4615" s="1783"/>
    </row>
    <row r="4616" spans="1:13" x14ac:dyDescent="0.25">
      <c r="A4616" s="179"/>
      <c r="B4616" s="179"/>
      <c r="C4616" s="1531"/>
      <c r="D4616" s="2142" t="s">
        <v>7898</v>
      </c>
      <c r="E4616" s="2142"/>
      <c r="F4616" s="2142"/>
      <c r="G4616" s="2142"/>
      <c r="H4616" s="1532">
        <f>H4615+H4612</f>
        <v>511.24</v>
      </c>
    </row>
    <row r="4617" spans="1:13" x14ac:dyDescent="0.25">
      <c r="A4617" s="1514"/>
      <c r="B4617" s="1514"/>
      <c r="C4617" s="1514"/>
      <c r="F4617" s="1533"/>
      <c r="G4617" s="1534"/>
      <c r="H4617" s="1514"/>
    </row>
    <row r="4618" spans="1:13" s="1517" customFormat="1" x14ac:dyDescent="0.25">
      <c r="A4618" s="146" t="s">
        <v>6</v>
      </c>
      <c r="B4618" s="2143" t="s">
        <v>7</v>
      </c>
      <c r="C4618" s="2143"/>
      <c r="D4618" s="1518" t="s">
        <v>121</v>
      </c>
      <c r="E4618" s="278" t="s">
        <v>5282</v>
      </c>
      <c r="F4618" s="1518" t="s">
        <v>31</v>
      </c>
      <c r="G4618" s="1519" t="s">
        <v>122</v>
      </c>
      <c r="H4618" s="1520" t="s">
        <v>123</v>
      </c>
      <c r="I4618" s="1830"/>
      <c r="J4618" s="1795"/>
      <c r="K4618" s="1795"/>
      <c r="L4618" s="169"/>
      <c r="M4618" s="1783"/>
    </row>
    <row r="4619" spans="1:13" s="1526" customFormat="1" ht="30" x14ac:dyDescent="0.2">
      <c r="A4619" s="1521" t="str">
        <f>'Orç - Prédio'!A781</f>
        <v>07.02.703.02</v>
      </c>
      <c r="B4619" s="1521" t="str">
        <f>'Orç - Prédio'!B781</f>
        <v>CPOS</v>
      </c>
      <c r="C4619" s="1521" t="str">
        <f>'Orç - Prédio'!C781</f>
        <v>61.10.530</v>
      </c>
      <c r="D4619" s="1522" t="s">
        <v>6865</v>
      </c>
      <c r="E4619" s="1523">
        <f>'Orç - Prédio'!E781</f>
        <v>14</v>
      </c>
      <c r="F4619" s="1521" t="s">
        <v>5284</v>
      </c>
      <c r="G4619" s="1524">
        <v>262.73</v>
      </c>
      <c r="H4619" s="1525">
        <f>H4627</f>
        <v>3678.22</v>
      </c>
      <c r="I4619" s="1910" t="s">
        <v>9579</v>
      </c>
      <c r="J4619" s="1793"/>
      <c r="K4619" s="1793"/>
      <c r="L4619" s="141"/>
      <c r="M4619" s="1515"/>
    </row>
    <row r="4620" spans="1:13" s="156" customFormat="1" ht="30" x14ac:dyDescent="0.2">
      <c r="A4620" s="2145" t="s">
        <v>7670</v>
      </c>
      <c r="B4620" s="2145"/>
      <c r="C4620" s="1496" t="s">
        <v>5696</v>
      </c>
      <c r="D4620" s="182" t="s">
        <v>7671</v>
      </c>
      <c r="E4620" s="1527">
        <v>1</v>
      </c>
      <c r="F4620" s="1669" t="s">
        <v>31</v>
      </c>
      <c r="G4620" s="367">
        <v>231.7</v>
      </c>
      <c r="H4620" s="1530">
        <f>ROUNDDOWN(G4620*E4620,2)</f>
        <v>231.7</v>
      </c>
      <c r="I4620" s="1642"/>
      <c r="J4620" s="1797"/>
      <c r="K4620" s="1797"/>
      <c r="L4620" s="1784"/>
      <c r="M4620" s="1785"/>
    </row>
    <row r="4621" spans="1:13" s="156" customFormat="1" ht="30" x14ac:dyDescent="0.2">
      <c r="A4621" s="2144">
        <v>88279</v>
      </c>
      <c r="B4621" s="2144"/>
      <c r="C4621" s="1516" t="s">
        <v>4448</v>
      </c>
      <c r="D4621" s="182" t="s">
        <v>4302</v>
      </c>
      <c r="E4621" s="1527">
        <v>0.8</v>
      </c>
      <c r="F4621" s="1669" t="s">
        <v>65</v>
      </c>
      <c r="G4621" s="1529">
        <v>21.03</v>
      </c>
      <c r="H4621" s="1530">
        <f>ROUNDDOWN(G4621*E4621,2)</f>
        <v>16.82</v>
      </c>
      <c r="I4621" s="1642"/>
      <c r="J4621" s="1797"/>
      <c r="K4621" s="1797"/>
      <c r="L4621" s="1784"/>
      <c r="M4621" s="1785"/>
    </row>
    <row r="4622" spans="1:13" s="156" customFormat="1" ht="30" x14ac:dyDescent="0.2">
      <c r="A4622" s="2144">
        <v>88243</v>
      </c>
      <c r="B4622" s="2144"/>
      <c r="C4622" s="1516" t="s">
        <v>4448</v>
      </c>
      <c r="D4622" s="182" t="s">
        <v>99</v>
      </c>
      <c r="E4622" s="1527">
        <v>0.8</v>
      </c>
      <c r="F4622" s="1669" t="s">
        <v>65</v>
      </c>
      <c r="G4622" s="1529">
        <v>17.77</v>
      </c>
      <c r="H4622" s="1530">
        <f>ROUNDDOWN(G4622*E4622,2)</f>
        <v>14.21</v>
      </c>
      <c r="I4622" s="1642"/>
      <c r="J4622" s="1797"/>
      <c r="K4622" s="1797"/>
      <c r="L4622" s="1784"/>
      <c r="M4622" s="1785"/>
    </row>
    <row r="4623" spans="1:13" s="1517" customFormat="1" x14ac:dyDescent="0.25">
      <c r="A4623" s="179"/>
      <c r="B4623" s="179"/>
      <c r="C4623" s="1531"/>
      <c r="D4623" s="2141" t="s">
        <v>124</v>
      </c>
      <c r="E4623" s="2141"/>
      <c r="F4623" s="2141"/>
      <c r="G4623" s="2141"/>
      <c r="H4623" s="267">
        <f>SUMIF(F4620:F4622,("h"),H4620:H4622)</f>
        <v>31.03</v>
      </c>
      <c r="I4623" s="1830"/>
      <c r="J4623" s="1795"/>
      <c r="K4623" s="1795"/>
      <c r="L4623" s="169"/>
      <c r="M4623" s="1783"/>
    </row>
    <row r="4624" spans="1:13" s="1517" customFormat="1" x14ac:dyDescent="0.25">
      <c r="A4624" s="179"/>
      <c r="B4624" s="179"/>
      <c r="C4624" s="1531"/>
      <c r="D4624" s="2141" t="s">
        <v>125</v>
      </c>
      <c r="E4624" s="2141"/>
      <c r="F4624" s="2141"/>
      <c r="G4624" s="2141"/>
      <c r="H4624" s="267">
        <f>SUMIF(F4620:F4622,"&lt;&gt;h",H4620:H4622)</f>
        <v>231.7</v>
      </c>
      <c r="I4624" s="1830"/>
      <c r="J4624" s="1795"/>
      <c r="K4624" s="1795"/>
      <c r="L4624" s="169"/>
      <c r="M4624" s="1783"/>
    </row>
    <row r="4625" spans="1:13" s="1517" customFormat="1" x14ac:dyDescent="0.25">
      <c r="A4625" s="179"/>
      <c r="B4625" s="179"/>
      <c r="C4625" s="1531"/>
      <c r="D4625" s="2142" t="s">
        <v>126</v>
      </c>
      <c r="E4625" s="2142"/>
      <c r="F4625" s="2142"/>
      <c r="G4625" s="2142"/>
      <c r="H4625" s="1532">
        <f>SUM(H4623:H4624)</f>
        <v>262.73</v>
      </c>
      <c r="I4625" s="1830"/>
      <c r="J4625" s="1795"/>
      <c r="K4625" s="1795"/>
      <c r="L4625" s="169"/>
      <c r="M4625" s="1783"/>
    </row>
    <row r="4626" spans="1:13" s="1517" customFormat="1" x14ac:dyDescent="0.25">
      <c r="A4626" s="179"/>
      <c r="B4626" s="179"/>
      <c r="C4626" s="1531"/>
      <c r="D4626" s="2141" t="s">
        <v>28</v>
      </c>
      <c r="E4626" s="2141"/>
      <c r="F4626" s="2141"/>
      <c r="G4626" s="2141"/>
      <c r="H4626" s="269">
        <f>E4619</f>
        <v>14</v>
      </c>
      <c r="I4626" s="1830"/>
      <c r="J4626" s="1795"/>
      <c r="K4626" s="1795"/>
      <c r="L4626" s="169"/>
      <c r="M4626" s="1783"/>
    </row>
    <row r="4627" spans="1:13" s="1517" customFormat="1" x14ac:dyDescent="0.25">
      <c r="A4627" s="179"/>
      <c r="B4627" s="179"/>
      <c r="C4627" s="1531"/>
      <c r="D4627" s="2142" t="s">
        <v>127</v>
      </c>
      <c r="E4627" s="2142"/>
      <c r="F4627" s="2142"/>
      <c r="G4627" s="2142"/>
      <c r="H4627" s="1532">
        <f>ROUND(H4625*H4626,2)</f>
        <v>3678.22</v>
      </c>
      <c r="I4627" s="1830"/>
      <c r="J4627" s="1795"/>
      <c r="K4627" s="1795"/>
      <c r="L4627" s="169"/>
      <c r="M4627" s="1783"/>
    </row>
    <row r="4628" spans="1:13" s="1517" customFormat="1" x14ac:dyDescent="0.25">
      <c r="A4628" s="179"/>
      <c r="B4628" s="179"/>
      <c r="C4628" s="1531"/>
      <c r="D4628" s="2141" t="s">
        <v>15335</v>
      </c>
      <c r="E4628" s="2141"/>
      <c r="F4628" s="2141"/>
      <c r="G4628" s="2141"/>
      <c r="H4628" s="267">
        <f>ROUND(H4625*$B$13,2)</f>
        <v>70.75</v>
      </c>
      <c r="I4628" s="1830"/>
      <c r="J4628" s="1795"/>
      <c r="K4628" s="1795"/>
      <c r="L4628" s="169"/>
      <c r="M4628" s="1783"/>
    </row>
    <row r="4629" spans="1:13" x14ac:dyDescent="0.25">
      <c r="A4629" s="179"/>
      <c r="B4629" s="179"/>
      <c r="C4629" s="1531"/>
      <c r="D4629" s="2142" t="s">
        <v>7898</v>
      </c>
      <c r="E4629" s="2142"/>
      <c r="F4629" s="2142"/>
      <c r="G4629" s="2142"/>
      <c r="H4629" s="1532">
        <f>H4628+H4625</f>
        <v>333.48</v>
      </c>
    </row>
    <row r="4630" spans="1:13" x14ac:dyDescent="0.25">
      <c r="A4630" s="1514"/>
      <c r="B4630" s="1514"/>
      <c r="C4630" s="1514"/>
      <c r="F4630" s="1533"/>
      <c r="G4630" s="1534"/>
      <c r="H4630" s="1514"/>
    </row>
    <row r="4631" spans="1:13" s="1517" customFormat="1" x14ac:dyDescent="0.25">
      <c r="A4631" s="146" t="s">
        <v>6</v>
      </c>
      <c r="B4631" s="2143" t="s">
        <v>7</v>
      </c>
      <c r="C4631" s="2143"/>
      <c r="D4631" s="1518" t="s">
        <v>121</v>
      </c>
      <c r="E4631" s="278" t="s">
        <v>5282</v>
      </c>
      <c r="F4631" s="1518" t="s">
        <v>31</v>
      </c>
      <c r="G4631" s="1519" t="s">
        <v>122</v>
      </c>
      <c r="H4631" s="1520" t="s">
        <v>123</v>
      </c>
      <c r="I4631" s="1830"/>
      <c r="J4631" s="1795"/>
      <c r="K4631" s="1795"/>
      <c r="L4631" s="169"/>
      <c r="M4631" s="1783"/>
    </row>
    <row r="4632" spans="1:13" s="1526" customFormat="1" ht="30" x14ac:dyDescent="0.2">
      <c r="A4632" s="1521" t="str">
        <f>'Orç - Prédio'!A782</f>
        <v>07.02.703.03</v>
      </c>
      <c r="B4632" s="1521" t="str">
        <f>'Orç - Prédio'!B782</f>
        <v>CPOS</v>
      </c>
      <c r="C4632" s="1521" t="str">
        <f>'Orç - Prédio'!C782</f>
        <v>61.10.530 MOD 2</v>
      </c>
      <c r="D4632" s="1522" t="s">
        <v>6866</v>
      </c>
      <c r="E4632" s="1523">
        <f>'Orç - Prédio'!E782</f>
        <v>9</v>
      </c>
      <c r="F4632" s="1521" t="s">
        <v>5284</v>
      </c>
      <c r="G4632" s="1524">
        <v>156.19</v>
      </c>
      <c r="H4632" s="1525">
        <f>H4640</f>
        <v>1405.71</v>
      </c>
      <c r="I4632" s="1910" t="s">
        <v>9579</v>
      </c>
      <c r="J4632" s="1793"/>
      <c r="K4632" s="1793"/>
      <c r="L4632" s="141"/>
      <c r="M4632" s="1515"/>
    </row>
    <row r="4633" spans="1:13" s="156" customFormat="1" ht="30" x14ac:dyDescent="0.2">
      <c r="A4633" s="2145" t="s">
        <v>7670</v>
      </c>
      <c r="B4633" s="2145"/>
      <c r="C4633" s="1496" t="s">
        <v>5696</v>
      </c>
      <c r="D4633" s="182" t="s">
        <v>7671</v>
      </c>
      <c r="E4633" s="1527">
        <v>4.8619999999999997E-2</v>
      </c>
      <c r="F4633" s="1669" t="s">
        <v>306</v>
      </c>
      <c r="G4633" s="367">
        <v>2574.4444444444443</v>
      </c>
      <c r="H4633" s="1530">
        <f>ROUNDDOWN(G4633*E4633,2)</f>
        <v>125.16</v>
      </c>
      <c r="I4633" s="1642"/>
      <c r="J4633" s="1797"/>
      <c r="K4633" s="1797"/>
      <c r="L4633" s="1784"/>
      <c r="M4633" s="1785"/>
    </row>
    <row r="4634" spans="1:13" s="156" customFormat="1" ht="30" x14ac:dyDescent="0.2">
      <c r="A4634" s="2144">
        <v>88279</v>
      </c>
      <c r="B4634" s="2144"/>
      <c r="C4634" s="1516" t="s">
        <v>4448</v>
      </c>
      <c r="D4634" s="182" t="s">
        <v>4302</v>
      </c>
      <c r="E4634" s="1527">
        <v>0.8</v>
      </c>
      <c r="F4634" s="1669" t="s">
        <v>65</v>
      </c>
      <c r="G4634" s="1529">
        <v>21.03</v>
      </c>
      <c r="H4634" s="1530">
        <f>ROUNDDOWN(G4634*E4634,2)</f>
        <v>16.82</v>
      </c>
      <c r="I4634" s="1642"/>
      <c r="J4634" s="1797"/>
      <c r="K4634" s="1797"/>
      <c r="L4634" s="1784"/>
      <c r="M4634" s="1785"/>
    </row>
    <row r="4635" spans="1:13" s="156" customFormat="1" ht="30" x14ac:dyDescent="0.2">
      <c r="A4635" s="2144">
        <v>88243</v>
      </c>
      <c r="B4635" s="2144"/>
      <c r="C4635" s="1516" t="s">
        <v>4448</v>
      </c>
      <c r="D4635" s="182" t="s">
        <v>99</v>
      </c>
      <c r="E4635" s="1527">
        <v>0.8</v>
      </c>
      <c r="F4635" s="1669" t="s">
        <v>65</v>
      </c>
      <c r="G4635" s="1529">
        <v>17.77</v>
      </c>
      <c r="H4635" s="1530">
        <f>ROUNDDOWN(G4635*E4635,2)</f>
        <v>14.21</v>
      </c>
      <c r="I4635" s="1642"/>
      <c r="J4635" s="1797"/>
      <c r="K4635" s="1797"/>
      <c r="L4635" s="1784"/>
      <c r="M4635" s="1785"/>
    </row>
    <row r="4636" spans="1:13" s="1517" customFormat="1" x14ac:dyDescent="0.25">
      <c r="A4636" s="179"/>
      <c r="B4636" s="179"/>
      <c r="C4636" s="1531"/>
      <c r="D4636" s="2141" t="s">
        <v>124</v>
      </c>
      <c r="E4636" s="2141"/>
      <c r="F4636" s="2141"/>
      <c r="G4636" s="2141"/>
      <c r="H4636" s="267">
        <f>SUMIF(F4633:F4635,("h"),H4633:H4635)</f>
        <v>31.03</v>
      </c>
      <c r="I4636" s="1830"/>
      <c r="J4636" s="1795"/>
      <c r="K4636" s="1795"/>
      <c r="L4636" s="169"/>
      <c r="M4636" s="1783"/>
    </row>
    <row r="4637" spans="1:13" s="1517" customFormat="1" x14ac:dyDescent="0.25">
      <c r="A4637" s="179"/>
      <c r="B4637" s="179"/>
      <c r="C4637" s="1531"/>
      <c r="D4637" s="2141" t="s">
        <v>125</v>
      </c>
      <c r="E4637" s="2141"/>
      <c r="F4637" s="2141"/>
      <c r="G4637" s="2141"/>
      <c r="H4637" s="267">
        <f>SUMIF(F4633:F4635,"&lt;&gt;h",H4633:H4635)</f>
        <v>125.16</v>
      </c>
      <c r="I4637" s="1830"/>
      <c r="J4637" s="1795"/>
      <c r="K4637" s="1795"/>
      <c r="L4637" s="169"/>
      <c r="M4637" s="1783"/>
    </row>
    <row r="4638" spans="1:13" s="1517" customFormat="1" x14ac:dyDescent="0.25">
      <c r="A4638" s="179"/>
      <c r="B4638" s="179"/>
      <c r="C4638" s="1531"/>
      <c r="D4638" s="2142" t="s">
        <v>126</v>
      </c>
      <c r="E4638" s="2142"/>
      <c r="F4638" s="2142"/>
      <c r="G4638" s="2142"/>
      <c r="H4638" s="1532">
        <f>SUM(H4636:H4637)</f>
        <v>156.19</v>
      </c>
      <c r="I4638" s="1830"/>
      <c r="J4638" s="1795"/>
      <c r="K4638" s="1795"/>
      <c r="L4638" s="169"/>
      <c r="M4638" s="1783"/>
    </row>
    <row r="4639" spans="1:13" s="1517" customFormat="1" x14ac:dyDescent="0.25">
      <c r="A4639" s="179"/>
      <c r="B4639" s="179"/>
      <c r="C4639" s="1531"/>
      <c r="D4639" s="2141" t="s">
        <v>28</v>
      </c>
      <c r="E4639" s="2141"/>
      <c r="F4639" s="2141"/>
      <c r="G4639" s="2141"/>
      <c r="H4639" s="269">
        <f>E4632</f>
        <v>9</v>
      </c>
      <c r="I4639" s="1830"/>
      <c r="J4639" s="1795"/>
      <c r="K4639" s="1795"/>
      <c r="L4639" s="169"/>
      <c r="M4639" s="1783"/>
    </row>
    <row r="4640" spans="1:13" s="1517" customFormat="1" x14ac:dyDescent="0.25">
      <c r="A4640" s="179"/>
      <c r="B4640" s="179"/>
      <c r="C4640" s="1531"/>
      <c r="D4640" s="2142" t="s">
        <v>127</v>
      </c>
      <c r="E4640" s="2142"/>
      <c r="F4640" s="2142"/>
      <c r="G4640" s="2142"/>
      <c r="H4640" s="1532">
        <f>ROUND(H4638*H4639,2)</f>
        <v>1405.71</v>
      </c>
      <c r="I4640" s="1830"/>
      <c r="J4640" s="1795"/>
      <c r="K4640" s="1795"/>
      <c r="L4640" s="169"/>
      <c r="M4640" s="1783"/>
    </row>
    <row r="4641" spans="1:13" s="1517" customFormat="1" x14ac:dyDescent="0.25">
      <c r="A4641" s="179"/>
      <c r="B4641" s="179"/>
      <c r="C4641" s="1531"/>
      <c r="D4641" s="2141" t="s">
        <v>15335</v>
      </c>
      <c r="E4641" s="2141"/>
      <c r="F4641" s="2141"/>
      <c r="G4641" s="2141"/>
      <c r="H4641" s="267">
        <f>ROUND(H4638*$B$13,2)</f>
        <v>42.06</v>
      </c>
      <c r="I4641" s="1830"/>
      <c r="J4641" s="1795"/>
      <c r="K4641" s="1795"/>
      <c r="L4641" s="169"/>
      <c r="M4641" s="1783"/>
    </row>
    <row r="4642" spans="1:13" x14ac:dyDescent="0.25">
      <c r="A4642" s="179"/>
      <c r="B4642" s="179"/>
      <c r="C4642" s="1531"/>
      <c r="D4642" s="2142" t="s">
        <v>7898</v>
      </c>
      <c r="E4642" s="2142"/>
      <c r="F4642" s="2142"/>
      <c r="G4642" s="2142"/>
      <c r="H4642" s="1532">
        <f>H4641+H4638</f>
        <v>198.25</v>
      </c>
    </row>
    <row r="4643" spans="1:13" x14ac:dyDescent="0.25">
      <c r="A4643" s="1514"/>
      <c r="B4643" s="1514"/>
      <c r="C4643" s="1514"/>
      <c r="F4643" s="1533"/>
      <c r="G4643" s="1534"/>
      <c r="H4643" s="1514"/>
    </row>
    <row r="4644" spans="1:13" s="1517" customFormat="1" x14ac:dyDescent="0.25">
      <c r="A4644" s="146" t="s">
        <v>6</v>
      </c>
      <c r="B4644" s="2143" t="s">
        <v>7</v>
      </c>
      <c r="C4644" s="2143"/>
      <c r="D4644" s="1518" t="s">
        <v>121</v>
      </c>
      <c r="E4644" s="278" t="s">
        <v>5282</v>
      </c>
      <c r="F4644" s="1518" t="s">
        <v>31</v>
      </c>
      <c r="G4644" s="1519" t="s">
        <v>122</v>
      </c>
      <c r="H4644" s="1520" t="s">
        <v>123</v>
      </c>
      <c r="I4644" s="1830"/>
      <c r="J4644" s="1795"/>
      <c r="K4644" s="1795"/>
      <c r="L4644" s="169"/>
      <c r="M4644" s="1783"/>
    </row>
    <row r="4645" spans="1:13" s="1526" customFormat="1" ht="30" x14ac:dyDescent="0.2">
      <c r="A4645" s="1521" t="str">
        <f>'Orç - Prédio'!A783</f>
        <v>07.02.703.04</v>
      </c>
      <c r="B4645" s="1521" t="str">
        <f>'Orç - Prédio'!B783</f>
        <v>CPOS</v>
      </c>
      <c r="C4645" s="1521" t="str">
        <f>'Orç - Prédio'!C783</f>
        <v>61.10.530 MOD 3</v>
      </c>
      <c r="D4645" s="1522" t="s">
        <v>6867</v>
      </c>
      <c r="E4645" s="1523">
        <f>'Orç - Prédio'!E783</f>
        <v>15</v>
      </c>
      <c r="F4645" s="1521" t="s">
        <v>5284</v>
      </c>
      <c r="G4645" s="1524">
        <v>90.83</v>
      </c>
      <c r="H4645" s="1525">
        <f>H4653</f>
        <v>1362.45</v>
      </c>
      <c r="I4645" s="1910" t="s">
        <v>9579</v>
      </c>
      <c r="J4645" s="1793"/>
      <c r="K4645" s="1793"/>
      <c r="L4645" s="141"/>
      <c r="M4645" s="1515"/>
    </row>
    <row r="4646" spans="1:13" s="156" customFormat="1" ht="30" x14ac:dyDescent="0.2">
      <c r="A4646" s="2145" t="s">
        <v>7670</v>
      </c>
      <c r="B4646" s="2145"/>
      <c r="C4646" s="1496" t="s">
        <v>5696</v>
      </c>
      <c r="D4646" s="182" t="s">
        <v>7671</v>
      </c>
      <c r="E4646" s="1527">
        <v>2.3230000000000001E-2</v>
      </c>
      <c r="F4646" s="1669" t="s">
        <v>306</v>
      </c>
      <c r="G4646" s="367">
        <v>2574.4444444444443</v>
      </c>
      <c r="H4646" s="1530">
        <f>ROUNDDOWN(G4646*E4646,2)</f>
        <v>59.8</v>
      </c>
      <c r="I4646" s="1642"/>
      <c r="J4646" s="1797"/>
      <c r="K4646" s="1797"/>
      <c r="L4646" s="1784"/>
      <c r="M4646" s="1785"/>
    </row>
    <row r="4647" spans="1:13" s="156" customFormat="1" ht="30" x14ac:dyDescent="0.2">
      <c r="A4647" s="2144">
        <v>88279</v>
      </c>
      <c r="B4647" s="2144"/>
      <c r="C4647" s="1516" t="s">
        <v>4448</v>
      </c>
      <c r="D4647" s="182" t="s">
        <v>4302</v>
      </c>
      <c r="E4647" s="1527">
        <v>0.8</v>
      </c>
      <c r="F4647" s="1669" t="s">
        <v>65</v>
      </c>
      <c r="G4647" s="1529">
        <v>21.03</v>
      </c>
      <c r="H4647" s="1530">
        <f>ROUNDDOWN(G4647*E4647,2)</f>
        <v>16.82</v>
      </c>
      <c r="I4647" s="1642"/>
      <c r="J4647" s="1797"/>
      <c r="K4647" s="1797"/>
      <c r="L4647" s="1784"/>
      <c r="M4647" s="1785"/>
    </row>
    <row r="4648" spans="1:13" s="156" customFormat="1" ht="30" x14ac:dyDescent="0.2">
      <c r="A4648" s="2144">
        <v>88243</v>
      </c>
      <c r="B4648" s="2144"/>
      <c r="C4648" s="1516" t="s">
        <v>4448</v>
      </c>
      <c r="D4648" s="182" t="s">
        <v>99</v>
      </c>
      <c r="E4648" s="1527">
        <v>0.8</v>
      </c>
      <c r="F4648" s="1669" t="s">
        <v>65</v>
      </c>
      <c r="G4648" s="1529">
        <v>17.77</v>
      </c>
      <c r="H4648" s="1530">
        <f>ROUNDDOWN(G4648*E4648,2)</f>
        <v>14.21</v>
      </c>
      <c r="I4648" s="1642"/>
      <c r="J4648" s="1797"/>
      <c r="K4648" s="1797"/>
      <c r="L4648" s="1784"/>
      <c r="M4648" s="1785"/>
    </row>
    <row r="4649" spans="1:13" s="1517" customFormat="1" x14ac:dyDescent="0.25">
      <c r="A4649" s="179"/>
      <c r="B4649" s="179"/>
      <c r="C4649" s="1531"/>
      <c r="D4649" s="2141" t="s">
        <v>124</v>
      </c>
      <c r="E4649" s="2141"/>
      <c r="F4649" s="2141"/>
      <c r="G4649" s="2141"/>
      <c r="H4649" s="267">
        <f>SUMIF(F4646:F4648,("h"),H4646:H4648)</f>
        <v>31.03</v>
      </c>
      <c r="I4649" s="1830"/>
      <c r="J4649" s="1795"/>
      <c r="K4649" s="1795"/>
      <c r="L4649" s="169"/>
      <c r="M4649" s="1783"/>
    </row>
    <row r="4650" spans="1:13" s="1517" customFormat="1" x14ac:dyDescent="0.25">
      <c r="A4650" s="179"/>
      <c r="B4650" s="179"/>
      <c r="C4650" s="1531"/>
      <c r="D4650" s="2141" t="s">
        <v>125</v>
      </c>
      <c r="E4650" s="2141"/>
      <c r="F4650" s="2141"/>
      <c r="G4650" s="2141"/>
      <c r="H4650" s="267">
        <f>SUMIF(F4646:F4648,"&lt;&gt;h",H4646:H4648)</f>
        <v>59.8</v>
      </c>
      <c r="I4650" s="1830"/>
      <c r="J4650" s="1795"/>
      <c r="K4650" s="1795"/>
      <c r="L4650" s="169"/>
      <c r="M4650" s="1783"/>
    </row>
    <row r="4651" spans="1:13" s="1517" customFormat="1" x14ac:dyDescent="0.25">
      <c r="A4651" s="179"/>
      <c r="B4651" s="179"/>
      <c r="C4651" s="1531"/>
      <c r="D4651" s="2142" t="s">
        <v>126</v>
      </c>
      <c r="E4651" s="2142"/>
      <c r="F4651" s="2142"/>
      <c r="G4651" s="2142"/>
      <c r="H4651" s="1532">
        <f>SUM(H4649:H4650)</f>
        <v>90.83</v>
      </c>
      <c r="I4651" s="1830"/>
      <c r="J4651" s="1795"/>
      <c r="K4651" s="1795"/>
      <c r="L4651" s="169"/>
      <c r="M4651" s="1783"/>
    </row>
    <row r="4652" spans="1:13" s="1517" customFormat="1" x14ac:dyDescent="0.25">
      <c r="A4652" s="179"/>
      <c r="B4652" s="179"/>
      <c r="C4652" s="1531"/>
      <c r="D4652" s="2141" t="s">
        <v>28</v>
      </c>
      <c r="E4652" s="2141"/>
      <c r="F4652" s="2141"/>
      <c r="G4652" s="2141"/>
      <c r="H4652" s="269">
        <f>E4645</f>
        <v>15</v>
      </c>
      <c r="I4652" s="1830"/>
      <c r="J4652" s="1795"/>
      <c r="K4652" s="1795"/>
      <c r="L4652" s="169"/>
      <c r="M4652" s="1783"/>
    </row>
    <row r="4653" spans="1:13" s="1517" customFormat="1" x14ac:dyDescent="0.25">
      <c r="A4653" s="179"/>
      <c r="B4653" s="179"/>
      <c r="C4653" s="1531"/>
      <c r="D4653" s="2142" t="s">
        <v>127</v>
      </c>
      <c r="E4653" s="2142"/>
      <c r="F4653" s="2142"/>
      <c r="G4653" s="2142"/>
      <c r="H4653" s="1532">
        <f>ROUND(H4651*H4652,2)</f>
        <v>1362.45</v>
      </c>
      <c r="I4653" s="1830"/>
      <c r="J4653" s="1795"/>
      <c r="K4653" s="1795"/>
      <c r="L4653" s="169"/>
      <c r="M4653" s="1783"/>
    </row>
    <row r="4654" spans="1:13" s="1517" customFormat="1" x14ac:dyDescent="0.25">
      <c r="A4654" s="179"/>
      <c r="B4654" s="179"/>
      <c r="C4654" s="1531"/>
      <c r="D4654" s="2141" t="s">
        <v>15335</v>
      </c>
      <c r="E4654" s="2141"/>
      <c r="F4654" s="2141"/>
      <c r="G4654" s="2141"/>
      <c r="H4654" s="267">
        <f>ROUND(H4651*$B$13,2)</f>
        <v>24.46</v>
      </c>
      <c r="I4654" s="1830"/>
      <c r="J4654" s="1795"/>
      <c r="K4654" s="1795"/>
      <c r="L4654" s="169"/>
      <c r="M4654" s="1783"/>
    </row>
    <row r="4655" spans="1:13" x14ac:dyDescent="0.25">
      <c r="A4655" s="179"/>
      <c r="B4655" s="179"/>
      <c r="C4655" s="1531"/>
      <c r="D4655" s="2142" t="s">
        <v>7898</v>
      </c>
      <c r="E4655" s="2142"/>
      <c r="F4655" s="2142"/>
      <c r="G4655" s="2142"/>
      <c r="H4655" s="1532">
        <f>H4654+H4651</f>
        <v>115.28999999999999</v>
      </c>
    </row>
    <row r="4656" spans="1:13" x14ac:dyDescent="0.25">
      <c r="A4656" s="1514"/>
      <c r="B4656" s="1514"/>
      <c r="C4656" s="1514"/>
      <c r="F4656" s="1533"/>
      <c r="G4656" s="1534"/>
      <c r="H4656" s="1514"/>
    </row>
    <row r="4657" spans="1:13" s="1517" customFormat="1" x14ac:dyDescent="0.25">
      <c r="A4657" s="146" t="s">
        <v>6</v>
      </c>
      <c r="B4657" s="2143" t="s">
        <v>7</v>
      </c>
      <c r="C4657" s="2143"/>
      <c r="D4657" s="1518" t="s">
        <v>121</v>
      </c>
      <c r="E4657" s="278" t="s">
        <v>5282</v>
      </c>
      <c r="F4657" s="1518" t="s">
        <v>31</v>
      </c>
      <c r="G4657" s="1519" t="s">
        <v>122</v>
      </c>
      <c r="H4657" s="1520" t="s">
        <v>123</v>
      </c>
      <c r="I4657" s="1830"/>
      <c r="J4657" s="1795"/>
      <c r="K4657" s="1795"/>
      <c r="L4657" s="169"/>
      <c r="M4657" s="1783"/>
    </row>
    <row r="4658" spans="1:13" s="1526" customFormat="1" ht="45" x14ac:dyDescent="0.2">
      <c r="A4658" s="1521" t="str">
        <f>'Orç - Prédio'!A802</f>
        <v>07.02.901</v>
      </c>
      <c r="B4658" s="1521" t="str">
        <f>'Orç - Prédio'!B802</f>
        <v>ORSE</v>
      </c>
      <c r="C4658" s="1521">
        <f>'Orç - Prédio'!C802</f>
        <v>11788</v>
      </c>
      <c r="D4658" s="1522" t="s">
        <v>7553</v>
      </c>
      <c r="E4658" s="1523">
        <f>'Orç - Prédio'!E802</f>
        <v>1</v>
      </c>
      <c r="F4658" s="1521" t="s">
        <v>5284</v>
      </c>
      <c r="G4658" s="1524">
        <v>2576.64</v>
      </c>
      <c r="H4658" s="1525">
        <f>H4664</f>
        <v>2576.64</v>
      </c>
      <c r="I4658" s="1910" t="s">
        <v>14965</v>
      </c>
      <c r="J4658" s="1793"/>
      <c r="K4658" s="1793"/>
      <c r="L4658" s="141"/>
      <c r="M4658" s="1515"/>
    </row>
    <row r="4659" spans="1:13" s="156" customFormat="1" ht="30" x14ac:dyDescent="0.2">
      <c r="A4659" s="2144">
        <v>12641</v>
      </c>
      <c r="B4659" s="2144"/>
      <c r="C4659" s="1516" t="s">
        <v>5281</v>
      </c>
      <c r="D4659" s="182" t="s">
        <v>7554</v>
      </c>
      <c r="E4659" s="1527">
        <v>1</v>
      </c>
      <c r="F4659" s="1640" t="s">
        <v>31</v>
      </c>
      <c r="G4659" s="367">
        <v>2576.64</v>
      </c>
      <c r="H4659" s="1530">
        <f>ROUNDDOWN(G4659*E4659,2)</f>
        <v>2576.64</v>
      </c>
      <c r="I4659" s="1642"/>
      <c r="J4659" s="1797"/>
      <c r="K4659" s="1797"/>
      <c r="L4659" s="1784"/>
      <c r="M4659" s="1785"/>
    </row>
    <row r="4660" spans="1:13" s="1517" customFormat="1" x14ac:dyDescent="0.25">
      <c r="A4660" s="179"/>
      <c r="B4660" s="179"/>
      <c r="C4660" s="1531"/>
      <c r="D4660" s="2141" t="s">
        <v>124</v>
      </c>
      <c r="E4660" s="2141"/>
      <c r="F4660" s="2141"/>
      <c r="G4660" s="2141"/>
      <c r="H4660" s="267">
        <f>SUMIF(F4659:F4659,("h"),H4659:H4659)</f>
        <v>0</v>
      </c>
      <c r="I4660" s="1830"/>
      <c r="J4660" s="1795"/>
      <c r="K4660" s="1795"/>
      <c r="L4660" s="169"/>
      <c r="M4660" s="1783"/>
    </row>
    <row r="4661" spans="1:13" s="1517" customFormat="1" x14ac:dyDescent="0.25">
      <c r="A4661" s="179"/>
      <c r="B4661" s="179"/>
      <c r="C4661" s="1531"/>
      <c r="D4661" s="2141" t="s">
        <v>125</v>
      </c>
      <c r="E4661" s="2141"/>
      <c r="F4661" s="2141"/>
      <c r="G4661" s="2141"/>
      <c r="H4661" s="267">
        <f>SUMIF(F4659:F4659,"&lt;&gt;h",H4659:H4659)</f>
        <v>2576.64</v>
      </c>
      <c r="I4661" s="1830"/>
      <c r="J4661" s="1795"/>
      <c r="K4661" s="1795"/>
      <c r="L4661" s="169"/>
      <c r="M4661" s="1783"/>
    </row>
    <row r="4662" spans="1:13" s="1517" customFormat="1" x14ac:dyDescent="0.25">
      <c r="A4662" s="179"/>
      <c r="B4662" s="179"/>
      <c r="C4662" s="1531"/>
      <c r="D4662" s="2142" t="s">
        <v>126</v>
      </c>
      <c r="E4662" s="2142"/>
      <c r="F4662" s="2142"/>
      <c r="G4662" s="2142"/>
      <c r="H4662" s="1532">
        <f>SUM(H4660:H4661)</f>
        <v>2576.64</v>
      </c>
      <c r="I4662" s="1830"/>
      <c r="J4662" s="1795"/>
      <c r="K4662" s="1795"/>
      <c r="L4662" s="169"/>
      <c r="M4662" s="1783"/>
    </row>
    <row r="4663" spans="1:13" s="1517" customFormat="1" x14ac:dyDescent="0.25">
      <c r="A4663" s="179"/>
      <c r="B4663" s="179"/>
      <c r="C4663" s="1531"/>
      <c r="D4663" s="2141" t="s">
        <v>28</v>
      </c>
      <c r="E4663" s="2141"/>
      <c r="F4663" s="2141"/>
      <c r="G4663" s="2141"/>
      <c r="H4663" s="269">
        <f>E4658</f>
        <v>1</v>
      </c>
      <c r="I4663" s="1830"/>
      <c r="J4663" s="1795"/>
      <c r="K4663" s="1795"/>
      <c r="L4663" s="169"/>
      <c r="M4663" s="1783"/>
    </row>
    <row r="4664" spans="1:13" s="1517" customFormat="1" x14ac:dyDescent="0.25">
      <c r="A4664" s="179"/>
      <c r="B4664" s="179"/>
      <c r="C4664" s="1531"/>
      <c r="D4664" s="2142" t="s">
        <v>127</v>
      </c>
      <c r="E4664" s="2142"/>
      <c r="F4664" s="2142"/>
      <c r="G4664" s="2142"/>
      <c r="H4664" s="1532">
        <f>ROUND(H4662*H4663,2)</f>
        <v>2576.64</v>
      </c>
      <c r="I4664" s="1830"/>
      <c r="J4664" s="1795"/>
      <c r="K4664" s="1795"/>
      <c r="L4664" s="169"/>
      <c r="M4664" s="1783"/>
    </row>
    <row r="4665" spans="1:13" s="1517" customFormat="1" x14ac:dyDescent="0.25">
      <c r="A4665" s="179"/>
      <c r="B4665" s="179"/>
      <c r="C4665" s="1531"/>
      <c r="D4665" s="2141" t="s">
        <v>15335</v>
      </c>
      <c r="E4665" s="2141"/>
      <c r="F4665" s="2141"/>
      <c r="G4665" s="2141"/>
      <c r="H4665" s="267">
        <f>ROUND(H4662*$B$13,2)</f>
        <v>693.89</v>
      </c>
      <c r="I4665" s="1830"/>
      <c r="J4665" s="1795"/>
      <c r="K4665" s="1795"/>
      <c r="L4665" s="169"/>
      <c r="M4665" s="1783"/>
    </row>
    <row r="4666" spans="1:13" x14ac:dyDescent="0.25">
      <c r="A4666" s="179"/>
      <c r="B4666" s="179"/>
      <c r="C4666" s="1531"/>
      <c r="D4666" s="2142" t="s">
        <v>7898</v>
      </c>
      <c r="E4666" s="2142"/>
      <c r="F4666" s="2142"/>
      <c r="G4666" s="2142"/>
      <c r="H4666" s="1532">
        <f>H4665+H4662</f>
        <v>3270.5299999999997</v>
      </c>
    </row>
    <row r="4667" spans="1:13" x14ac:dyDescent="0.25">
      <c r="A4667" s="1514"/>
      <c r="B4667" s="1514"/>
      <c r="C4667" s="1514"/>
      <c r="F4667" s="1533"/>
      <c r="G4667" s="1534"/>
      <c r="H4667" s="1514"/>
    </row>
    <row r="4668" spans="1:13" s="1517" customFormat="1" x14ac:dyDescent="0.25">
      <c r="A4668" s="146" t="s">
        <v>6</v>
      </c>
      <c r="B4668" s="2143" t="s">
        <v>7</v>
      </c>
      <c r="C4668" s="2143"/>
      <c r="D4668" s="1518" t="s">
        <v>121</v>
      </c>
      <c r="E4668" s="278" t="s">
        <v>5282</v>
      </c>
      <c r="F4668" s="1518" t="s">
        <v>31</v>
      </c>
      <c r="G4668" s="1519" t="s">
        <v>122</v>
      </c>
      <c r="H4668" s="1520" t="s">
        <v>123</v>
      </c>
      <c r="I4668" s="1830"/>
      <c r="J4668" s="1795"/>
      <c r="K4668" s="1795"/>
      <c r="L4668" s="169"/>
      <c r="M4668" s="1783"/>
    </row>
    <row r="4669" spans="1:13" s="1526" customFormat="1" ht="60" x14ac:dyDescent="0.2">
      <c r="A4669" s="1961" t="str">
        <f>'Orç - Prédio'!A823</f>
        <v>08.01.509</v>
      </c>
      <c r="B4669" s="1961" t="str">
        <f>'Orç - Prédio'!B823</f>
        <v>ORSE</v>
      </c>
      <c r="C4669" s="1961">
        <f>'Orç - Prédio'!C823</f>
        <v>7643</v>
      </c>
      <c r="D4669" s="1865" t="s">
        <v>7369</v>
      </c>
      <c r="E4669" s="1866">
        <f>'Orç - Prédio'!E823</f>
        <v>5</v>
      </c>
      <c r="F4669" s="1961" t="s">
        <v>5284</v>
      </c>
      <c r="G4669" s="1524">
        <v>123.57000000000001</v>
      </c>
      <c r="H4669" s="1525">
        <f>H4678</f>
        <v>617.85</v>
      </c>
      <c r="I4669" s="1910" t="s">
        <v>9579</v>
      </c>
      <c r="J4669" s="1793"/>
      <c r="K4669" s="1793"/>
      <c r="L4669" s="141"/>
      <c r="M4669" s="1515"/>
    </row>
    <row r="4670" spans="1:13" s="1785" customFormat="1" ht="30" x14ac:dyDescent="0.2">
      <c r="A4670" s="2145">
        <v>3148</v>
      </c>
      <c r="B4670" s="2145"/>
      <c r="C4670" s="1496" t="s">
        <v>4448</v>
      </c>
      <c r="D4670" s="1862" t="s">
        <v>11906</v>
      </c>
      <c r="E4670" s="1967">
        <f>1.4/50</f>
        <v>2.7999999999999997E-2</v>
      </c>
      <c r="F4670" s="1962" t="s">
        <v>39</v>
      </c>
      <c r="G4670" s="1968">
        <v>13.2</v>
      </c>
      <c r="H4670" s="1969">
        <f>ROUNDDOWN(G4670*E4670,2)</f>
        <v>0.36</v>
      </c>
      <c r="I4670" s="1856"/>
      <c r="J4670" s="1856"/>
      <c r="K4670" s="1856"/>
      <c r="L4670" s="1970"/>
    </row>
    <row r="4671" spans="1:13" s="1785" customFormat="1" ht="75" x14ac:dyDescent="0.2">
      <c r="A4671" s="2145">
        <v>10904</v>
      </c>
      <c r="B4671" s="2145"/>
      <c r="C4671" s="1496" t="s">
        <v>4448</v>
      </c>
      <c r="D4671" s="1862" t="s">
        <v>13649</v>
      </c>
      <c r="E4671" s="1967">
        <v>1</v>
      </c>
      <c r="F4671" s="1962" t="s">
        <v>39</v>
      </c>
      <c r="G4671" s="1968">
        <v>111.73</v>
      </c>
      <c r="H4671" s="1969">
        <f>ROUNDDOWN(G4671*E4671,2)</f>
        <v>111.73</v>
      </c>
      <c r="I4671" s="1856"/>
      <c r="J4671" s="1856"/>
      <c r="K4671" s="1856"/>
      <c r="L4671" s="1970"/>
    </row>
    <row r="4672" spans="1:13" s="1785" customFormat="1" ht="30" x14ac:dyDescent="0.2">
      <c r="A4672" s="2145">
        <v>88267</v>
      </c>
      <c r="B4672" s="2145"/>
      <c r="C4672" s="1496" t="s">
        <v>4448</v>
      </c>
      <c r="D4672" s="1862" t="s">
        <v>83</v>
      </c>
      <c r="E4672" s="1967">
        <v>0.33</v>
      </c>
      <c r="F4672" s="1962" t="s">
        <v>65</v>
      </c>
      <c r="G4672" s="1968">
        <v>19.73</v>
      </c>
      <c r="H4672" s="1969">
        <f>ROUNDDOWN(G4672*E4672,2)</f>
        <v>6.51</v>
      </c>
      <c r="I4672" s="1856"/>
      <c r="J4672" s="1856"/>
      <c r="K4672" s="1856"/>
      <c r="L4672" s="1970"/>
    </row>
    <row r="4673" spans="1:13" s="1785" customFormat="1" ht="30" x14ac:dyDescent="0.2">
      <c r="A4673" s="2145">
        <v>88316</v>
      </c>
      <c r="B4673" s="2145"/>
      <c r="C4673" s="1496" t="s">
        <v>4448</v>
      </c>
      <c r="D4673" s="1862" t="s">
        <v>64</v>
      </c>
      <c r="E4673" s="1967">
        <v>0.33</v>
      </c>
      <c r="F4673" s="1962" t="s">
        <v>65</v>
      </c>
      <c r="G4673" s="1968">
        <v>15.08</v>
      </c>
      <c r="H4673" s="1969">
        <f>ROUNDDOWN(G4673*E4673,2)</f>
        <v>4.97</v>
      </c>
      <c r="I4673" s="1856"/>
      <c r="J4673" s="1856"/>
      <c r="K4673" s="1856"/>
      <c r="L4673" s="1970"/>
    </row>
    <row r="4674" spans="1:13" s="1517" customFormat="1" x14ac:dyDescent="0.25">
      <c r="A4674" s="1963"/>
      <c r="B4674" s="1963"/>
      <c r="C4674" s="1531"/>
      <c r="D4674" s="2141" t="s">
        <v>124</v>
      </c>
      <c r="E4674" s="2141"/>
      <c r="F4674" s="2141"/>
      <c r="G4674" s="2141"/>
      <c r="H4674" s="267">
        <f>SUMIF(F4670:F4673,("h"),H4670:H4673)</f>
        <v>11.48</v>
      </c>
      <c r="I4674" s="1830"/>
      <c r="J4674" s="1795"/>
      <c r="K4674" s="1795"/>
      <c r="L4674" s="169"/>
      <c r="M4674" s="1783"/>
    </row>
    <row r="4675" spans="1:13" s="1517" customFormat="1" x14ac:dyDescent="0.25">
      <c r="A4675" s="1963"/>
      <c r="B4675" s="1963"/>
      <c r="C4675" s="1531"/>
      <c r="D4675" s="2141" t="s">
        <v>125</v>
      </c>
      <c r="E4675" s="2141"/>
      <c r="F4675" s="2141"/>
      <c r="G4675" s="2141"/>
      <c r="H4675" s="267">
        <f>SUMIF(F4670:F4673,"&lt;&gt;h",H4670:H4673)</f>
        <v>112.09</v>
      </c>
      <c r="I4675" s="1830"/>
      <c r="J4675" s="1795"/>
      <c r="K4675" s="1795"/>
      <c r="L4675" s="169"/>
      <c r="M4675" s="1783"/>
    </row>
    <row r="4676" spans="1:13" s="1517" customFormat="1" x14ac:dyDescent="0.25">
      <c r="A4676" s="1963"/>
      <c r="B4676" s="1963"/>
      <c r="C4676" s="1531"/>
      <c r="D4676" s="2142" t="s">
        <v>126</v>
      </c>
      <c r="E4676" s="2142"/>
      <c r="F4676" s="2142"/>
      <c r="G4676" s="2142"/>
      <c r="H4676" s="1532">
        <f>SUM(H4674:H4675)</f>
        <v>123.57000000000001</v>
      </c>
      <c r="I4676" s="1830"/>
      <c r="J4676" s="1795"/>
      <c r="K4676" s="1795"/>
      <c r="L4676" s="169"/>
      <c r="M4676" s="1783"/>
    </row>
    <row r="4677" spans="1:13" s="1517" customFormat="1" x14ac:dyDescent="0.25">
      <c r="A4677" s="1963"/>
      <c r="B4677" s="1963"/>
      <c r="C4677" s="1531"/>
      <c r="D4677" s="2141" t="s">
        <v>28</v>
      </c>
      <c r="E4677" s="2141"/>
      <c r="F4677" s="2141"/>
      <c r="G4677" s="2141"/>
      <c r="H4677" s="269">
        <f>E4669</f>
        <v>5</v>
      </c>
      <c r="I4677" s="1830"/>
      <c r="J4677" s="1795"/>
      <c r="K4677" s="1795"/>
      <c r="L4677" s="169"/>
      <c r="M4677" s="1783"/>
    </row>
    <row r="4678" spans="1:13" s="1517" customFormat="1" x14ac:dyDescent="0.25">
      <c r="A4678" s="1963"/>
      <c r="B4678" s="1963"/>
      <c r="C4678" s="1531"/>
      <c r="D4678" s="2142" t="s">
        <v>127</v>
      </c>
      <c r="E4678" s="2142"/>
      <c r="F4678" s="2142"/>
      <c r="G4678" s="2142"/>
      <c r="H4678" s="1532">
        <f>ROUND(H4676*H4677,2)</f>
        <v>617.85</v>
      </c>
      <c r="I4678" s="1830"/>
      <c r="J4678" s="1795"/>
      <c r="K4678" s="1795"/>
      <c r="L4678" s="169"/>
      <c r="M4678" s="1783"/>
    </row>
    <row r="4679" spans="1:13" s="1517" customFormat="1" x14ac:dyDescent="0.25">
      <c r="A4679" s="1963"/>
      <c r="B4679" s="1963"/>
      <c r="C4679" s="1531"/>
      <c r="D4679" s="2141" t="s">
        <v>15335</v>
      </c>
      <c r="E4679" s="2141"/>
      <c r="F4679" s="2141"/>
      <c r="G4679" s="2141"/>
      <c r="H4679" s="267">
        <f>ROUND(H4676*$B$13,2)</f>
        <v>33.28</v>
      </c>
      <c r="I4679" s="1830"/>
      <c r="J4679" s="1795"/>
      <c r="K4679" s="1795"/>
      <c r="L4679" s="169"/>
      <c r="M4679" s="1783"/>
    </row>
    <row r="4680" spans="1:13" x14ac:dyDescent="0.25">
      <c r="A4680" s="1963"/>
      <c r="B4680" s="1963"/>
      <c r="C4680" s="1531"/>
      <c r="D4680" s="2142" t="s">
        <v>7898</v>
      </c>
      <c r="E4680" s="2142"/>
      <c r="F4680" s="2142"/>
      <c r="G4680" s="2142"/>
      <c r="H4680" s="1532">
        <f>H4679+H4676</f>
        <v>156.85000000000002</v>
      </c>
    </row>
    <row r="4681" spans="1:13" x14ac:dyDescent="0.25">
      <c r="A4681" s="1514"/>
      <c r="B4681" s="1514"/>
      <c r="C4681" s="1514"/>
      <c r="F4681" s="1533"/>
      <c r="G4681" s="1534"/>
      <c r="H4681" s="1514"/>
    </row>
    <row r="4682" spans="1:13" s="1517" customFormat="1" x14ac:dyDescent="0.25">
      <c r="A4682" s="146" t="s">
        <v>6</v>
      </c>
      <c r="B4682" s="2143" t="s">
        <v>7</v>
      </c>
      <c r="C4682" s="2143"/>
      <c r="D4682" s="1518" t="s">
        <v>121</v>
      </c>
      <c r="E4682" s="278" t="s">
        <v>5282</v>
      </c>
      <c r="F4682" s="1518" t="s">
        <v>31</v>
      </c>
      <c r="G4682" s="1519" t="s">
        <v>122</v>
      </c>
      <c r="H4682" s="1520" t="s">
        <v>123</v>
      </c>
      <c r="I4682" s="1830"/>
      <c r="J4682" s="1795"/>
      <c r="K4682" s="1795"/>
      <c r="L4682" s="169"/>
      <c r="M4682" s="1783"/>
    </row>
    <row r="4683" spans="1:13" s="1526" customFormat="1" ht="30" x14ac:dyDescent="0.2">
      <c r="A4683" s="1521" t="str">
        <f>'Orç - Prédio'!A826</f>
        <v>08.01.516</v>
      </c>
      <c r="B4683" s="1521" t="str">
        <f>'Orç - Prédio'!B826</f>
        <v>SINAPI</v>
      </c>
      <c r="C4683" s="1521" t="str">
        <f>'Orç - Prédio'!C826</f>
        <v>72288 MOD</v>
      </c>
      <c r="D4683" s="1522" t="s">
        <v>7366</v>
      </c>
      <c r="E4683" s="1523">
        <f>'Orç - Prédio'!E826</f>
        <v>5</v>
      </c>
      <c r="F4683" s="1521" t="s">
        <v>5284</v>
      </c>
      <c r="G4683" s="1524">
        <v>271.58</v>
      </c>
      <c r="H4683" s="1525">
        <f>H4691</f>
        <v>1357.9</v>
      </c>
      <c r="I4683" s="1910" t="s">
        <v>9579</v>
      </c>
      <c r="J4683" s="1793"/>
      <c r="K4683" s="1793"/>
      <c r="L4683" s="141"/>
      <c r="M4683" s="1515"/>
    </row>
    <row r="4684" spans="1:13" s="156" customFormat="1" ht="105" x14ac:dyDescent="0.2">
      <c r="A4684" s="2145">
        <v>20963</v>
      </c>
      <c r="B4684" s="2145"/>
      <c r="C4684" s="1496" t="s">
        <v>4448</v>
      </c>
      <c r="D4684" s="182" t="s">
        <v>10571</v>
      </c>
      <c r="E4684" s="1527">
        <v>1</v>
      </c>
      <c r="F4684" s="1626" t="s">
        <v>39</v>
      </c>
      <c r="G4684" s="1529">
        <v>244.31</v>
      </c>
      <c r="H4684" s="1530">
        <f>ROUNDDOWN(G4684*E4684,2)</f>
        <v>244.31</v>
      </c>
      <c r="I4684" s="1642"/>
      <c r="J4684" s="1797"/>
      <c r="K4684" s="1797"/>
      <c r="L4684" s="1784"/>
      <c r="M4684" s="1785"/>
    </row>
    <row r="4685" spans="1:13" s="156" customFormat="1" ht="30" x14ac:dyDescent="0.2">
      <c r="A4685" s="2144">
        <v>88267</v>
      </c>
      <c r="B4685" s="2144"/>
      <c r="C4685" s="1516" t="s">
        <v>4448</v>
      </c>
      <c r="D4685" s="182" t="s">
        <v>83</v>
      </c>
      <c r="E4685" s="1527">
        <v>1</v>
      </c>
      <c r="F4685" s="1626" t="s">
        <v>65</v>
      </c>
      <c r="G4685" s="1529">
        <v>19.73</v>
      </c>
      <c r="H4685" s="1530">
        <f>ROUNDDOWN(G4685*E4685,2)</f>
        <v>19.73</v>
      </c>
      <c r="I4685" s="1642"/>
      <c r="J4685" s="1797"/>
      <c r="K4685" s="1797"/>
      <c r="L4685" s="1784"/>
      <c r="M4685" s="1785"/>
    </row>
    <row r="4686" spans="1:13" s="156" customFormat="1" ht="30" x14ac:dyDescent="0.2">
      <c r="A4686" s="2144">
        <v>88316</v>
      </c>
      <c r="B4686" s="2144"/>
      <c r="C4686" s="1516" t="s">
        <v>4448</v>
      </c>
      <c r="D4686" s="182" t="s">
        <v>64</v>
      </c>
      <c r="E4686" s="1527">
        <v>0.5</v>
      </c>
      <c r="F4686" s="1626" t="s">
        <v>65</v>
      </c>
      <c r="G4686" s="1529">
        <v>15.08</v>
      </c>
      <c r="H4686" s="1530">
        <f>ROUNDDOWN(G4686*E4686,2)</f>
        <v>7.54</v>
      </c>
      <c r="I4686" s="1642"/>
      <c r="J4686" s="1797"/>
      <c r="K4686" s="1797"/>
      <c r="L4686" s="1784"/>
      <c r="M4686" s="1785"/>
    </row>
    <row r="4687" spans="1:13" s="1517" customFormat="1" x14ac:dyDescent="0.25">
      <c r="A4687" s="179"/>
      <c r="B4687" s="179"/>
      <c r="C4687" s="1531"/>
      <c r="D4687" s="2141" t="s">
        <v>124</v>
      </c>
      <c r="E4687" s="2141"/>
      <c r="F4687" s="2141"/>
      <c r="G4687" s="2141"/>
      <c r="H4687" s="267">
        <f>SUMIF(F4684:F4686,("h"),H4684:H4686)</f>
        <v>27.27</v>
      </c>
      <c r="I4687" s="1830"/>
      <c r="J4687" s="1795"/>
      <c r="K4687" s="1795"/>
      <c r="L4687" s="169"/>
      <c r="M4687" s="1783"/>
    </row>
    <row r="4688" spans="1:13" s="1517" customFormat="1" x14ac:dyDescent="0.25">
      <c r="A4688" s="179"/>
      <c r="B4688" s="179"/>
      <c r="C4688" s="1531"/>
      <c r="D4688" s="2141" t="s">
        <v>125</v>
      </c>
      <c r="E4688" s="2141"/>
      <c r="F4688" s="2141"/>
      <c r="G4688" s="2141"/>
      <c r="H4688" s="267">
        <f>SUMIF(F4684:F4686,"&lt;&gt;h",H4684:H4686)</f>
        <v>244.31</v>
      </c>
      <c r="I4688" s="1830"/>
      <c r="J4688" s="1795"/>
      <c r="K4688" s="1795"/>
      <c r="L4688" s="169"/>
      <c r="M4688" s="1783"/>
    </row>
    <row r="4689" spans="1:13" s="1517" customFormat="1" x14ac:dyDescent="0.25">
      <c r="A4689" s="179"/>
      <c r="B4689" s="179"/>
      <c r="C4689" s="1531"/>
      <c r="D4689" s="2142" t="s">
        <v>126</v>
      </c>
      <c r="E4689" s="2142"/>
      <c r="F4689" s="2142"/>
      <c r="G4689" s="2142"/>
      <c r="H4689" s="1532">
        <f>SUM(H4687:H4688)</f>
        <v>271.58</v>
      </c>
      <c r="I4689" s="1830"/>
      <c r="J4689" s="1795"/>
      <c r="K4689" s="1795"/>
      <c r="L4689" s="169"/>
      <c r="M4689" s="1783"/>
    </row>
    <row r="4690" spans="1:13" s="1517" customFormat="1" x14ac:dyDescent="0.25">
      <c r="A4690" s="179"/>
      <c r="B4690" s="179"/>
      <c r="C4690" s="1531"/>
      <c r="D4690" s="2141" t="s">
        <v>28</v>
      </c>
      <c r="E4690" s="2141"/>
      <c r="F4690" s="2141"/>
      <c r="G4690" s="2141"/>
      <c r="H4690" s="269">
        <f>E4683</f>
        <v>5</v>
      </c>
      <c r="I4690" s="1830"/>
      <c r="J4690" s="1795"/>
      <c r="K4690" s="1795"/>
      <c r="L4690" s="169"/>
      <c r="M4690" s="1783"/>
    </row>
    <row r="4691" spans="1:13" s="1517" customFormat="1" x14ac:dyDescent="0.25">
      <c r="A4691" s="179"/>
      <c r="B4691" s="179"/>
      <c r="C4691" s="1531"/>
      <c r="D4691" s="2142" t="s">
        <v>127</v>
      </c>
      <c r="E4691" s="2142"/>
      <c r="F4691" s="2142"/>
      <c r="G4691" s="2142"/>
      <c r="H4691" s="1532">
        <f>ROUND(H4689*H4690,2)</f>
        <v>1357.9</v>
      </c>
      <c r="I4691" s="1830"/>
      <c r="J4691" s="1795"/>
      <c r="K4691" s="1795"/>
      <c r="L4691" s="169"/>
      <c r="M4691" s="1783"/>
    </row>
    <row r="4692" spans="1:13" s="1517" customFormat="1" x14ac:dyDescent="0.25">
      <c r="A4692" s="179"/>
      <c r="B4692" s="179"/>
      <c r="C4692" s="1531"/>
      <c r="D4692" s="2141" t="s">
        <v>15335</v>
      </c>
      <c r="E4692" s="2141"/>
      <c r="F4692" s="2141"/>
      <c r="G4692" s="2141"/>
      <c r="H4692" s="267">
        <f>ROUND(H4689*$B$13,2)</f>
        <v>73.14</v>
      </c>
      <c r="I4692" s="1830"/>
      <c r="J4692" s="1795"/>
      <c r="K4692" s="1795"/>
      <c r="L4692" s="169"/>
      <c r="M4692" s="1783"/>
    </row>
    <row r="4693" spans="1:13" x14ac:dyDescent="0.25">
      <c r="A4693" s="179"/>
      <c r="B4693" s="179"/>
      <c r="C4693" s="1531"/>
      <c r="D4693" s="2142" t="s">
        <v>7898</v>
      </c>
      <c r="E4693" s="2142"/>
      <c r="F4693" s="2142"/>
      <c r="G4693" s="2142"/>
      <c r="H4693" s="1532">
        <f>H4692+H4689</f>
        <v>344.71999999999997</v>
      </c>
    </row>
    <row r="4694" spans="1:13" x14ac:dyDescent="0.25">
      <c r="A4694" s="1514"/>
      <c r="B4694" s="1514"/>
      <c r="C4694" s="1514"/>
      <c r="F4694" s="1533"/>
      <c r="G4694" s="1534"/>
      <c r="H4694" s="1514"/>
    </row>
    <row r="4695" spans="1:13" s="1517" customFormat="1" x14ac:dyDescent="0.25">
      <c r="A4695" s="146" t="s">
        <v>6</v>
      </c>
      <c r="B4695" s="2143" t="s">
        <v>7</v>
      </c>
      <c r="C4695" s="2143"/>
      <c r="D4695" s="1518" t="s">
        <v>121</v>
      </c>
      <c r="E4695" s="278" t="s">
        <v>5282</v>
      </c>
      <c r="F4695" s="1518" t="s">
        <v>31</v>
      </c>
      <c r="G4695" s="1519" t="s">
        <v>122</v>
      </c>
      <c r="H4695" s="1520" t="s">
        <v>123</v>
      </c>
      <c r="I4695" s="1830"/>
      <c r="J4695" s="1795"/>
      <c r="K4695" s="1795"/>
      <c r="L4695" s="169"/>
      <c r="M4695" s="1783"/>
    </row>
    <row r="4696" spans="1:13" s="1526" customFormat="1" ht="45" x14ac:dyDescent="0.2">
      <c r="A4696" s="1521" t="str">
        <f>'Orç - Prédio'!A828</f>
        <v>08.01.519</v>
      </c>
      <c r="B4696" s="1521" t="str">
        <f>'Orç - Prédio'!B828</f>
        <v>ORSE</v>
      </c>
      <c r="C4696" s="1521">
        <f>'Orç - Prédio'!C828</f>
        <v>11173</v>
      </c>
      <c r="D4696" s="1522" t="s">
        <v>7390</v>
      </c>
      <c r="E4696" s="1523">
        <f>'Orç - Prédio'!E828</f>
        <v>2</v>
      </c>
      <c r="F4696" s="1521" t="s">
        <v>5284</v>
      </c>
      <c r="G4696" s="1524">
        <v>1592.46</v>
      </c>
      <c r="H4696" s="1525">
        <f>H4705</f>
        <v>3184.92</v>
      </c>
      <c r="I4696" s="1910" t="s">
        <v>14965</v>
      </c>
      <c r="J4696" s="1793"/>
      <c r="K4696" s="1793"/>
      <c r="L4696" s="141"/>
      <c r="M4696" s="1515"/>
    </row>
    <row r="4697" spans="1:13" s="156" customFormat="1" x14ac:dyDescent="0.2">
      <c r="A4697" s="2145">
        <v>12017</v>
      </c>
      <c r="B4697" s="2145"/>
      <c r="C4697" s="1496" t="s">
        <v>5281</v>
      </c>
      <c r="D4697" s="182" t="s">
        <v>7392</v>
      </c>
      <c r="E4697" s="1527">
        <v>1</v>
      </c>
      <c r="F4697" s="1626" t="s">
        <v>31</v>
      </c>
      <c r="G4697" s="367">
        <v>1522.24</v>
      </c>
      <c r="H4697" s="1530">
        <f>ROUNDDOWN(G4697*E4697,2)</f>
        <v>1522.24</v>
      </c>
      <c r="I4697" s="1642"/>
      <c r="J4697" s="1797"/>
      <c r="K4697" s="1797"/>
      <c r="L4697" s="1784"/>
      <c r="M4697" s="1785"/>
    </row>
    <row r="4698" spans="1:13" s="156" customFormat="1" ht="30" x14ac:dyDescent="0.2">
      <c r="A4698" s="2144">
        <v>88264</v>
      </c>
      <c r="B4698" s="2144"/>
      <c r="C4698" s="1516" t="s">
        <v>4448</v>
      </c>
      <c r="D4698" s="182" t="s">
        <v>81</v>
      </c>
      <c r="E4698" s="1527">
        <v>1</v>
      </c>
      <c r="F4698" s="1626" t="s">
        <v>65</v>
      </c>
      <c r="G4698" s="1529">
        <v>20.329999999999998</v>
      </c>
      <c r="H4698" s="1530">
        <f>ROUNDDOWN(G4698*E4698,2)</f>
        <v>20.329999999999998</v>
      </c>
      <c r="I4698" s="1642"/>
      <c r="J4698" s="1797"/>
      <c r="K4698" s="1797"/>
      <c r="L4698" s="1784"/>
      <c r="M4698" s="1785"/>
    </row>
    <row r="4699" spans="1:13" s="156" customFormat="1" ht="30" x14ac:dyDescent="0.2">
      <c r="A4699" s="2144">
        <v>88267</v>
      </c>
      <c r="B4699" s="2144"/>
      <c r="C4699" s="1516" t="s">
        <v>4448</v>
      </c>
      <c r="D4699" s="182" t="s">
        <v>83</v>
      </c>
      <c r="E4699" s="1527">
        <v>1</v>
      </c>
      <c r="F4699" s="1626" t="s">
        <v>65</v>
      </c>
      <c r="G4699" s="1529">
        <v>19.73</v>
      </c>
      <c r="H4699" s="1530">
        <f>ROUNDDOWN(G4699*E4699,2)</f>
        <v>19.73</v>
      </c>
      <c r="I4699" s="1642"/>
      <c r="J4699" s="1797"/>
      <c r="K4699" s="1797"/>
      <c r="L4699" s="1784"/>
      <c r="M4699" s="1785"/>
    </row>
    <row r="4700" spans="1:13" s="156" customFormat="1" ht="30" x14ac:dyDescent="0.2">
      <c r="A4700" s="2144">
        <v>88316</v>
      </c>
      <c r="B4700" s="2144"/>
      <c r="C4700" s="1516" t="s">
        <v>4448</v>
      </c>
      <c r="D4700" s="182" t="s">
        <v>64</v>
      </c>
      <c r="E4700" s="1527">
        <v>2</v>
      </c>
      <c r="F4700" s="1626" t="s">
        <v>65</v>
      </c>
      <c r="G4700" s="1529">
        <v>15.08</v>
      </c>
      <c r="H4700" s="1530">
        <f>ROUNDDOWN(G4700*E4700,2)</f>
        <v>30.16</v>
      </c>
      <c r="I4700" s="1642"/>
      <c r="J4700" s="1797"/>
      <c r="K4700" s="1797"/>
      <c r="L4700" s="1784"/>
      <c r="M4700" s="1785"/>
    </row>
    <row r="4701" spans="1:13" s="1517" customFormat="1" x14ac:dyDescent="0.25">
      <c r="A4701" s="179"/>
      <c r="B4701" s="179"/>
      <c r="C4701" s="1531"/>
      <c r="D4701" s="2141" t="s">
        <v>124</v>
      </c>
      <c r="E4701" s="2141"/>
      <c r="F4701" s="2141"/>
      <c r="G4701" s="2141"/>
      <c r="H4701" s="267">
        <f>SUMIF(F4697:F4700,("h"),H4697:H4700)</f>
        <v>70.22</v>
      </c>
      <c r="I4701" s="1830"/>
      <c r="J4701" s="1795"/>
      <c r="K4701" s="1795"/>
      <c r="L4701" s="169"/>
      <c r="M4701" s="1783"/>
    </row>
    <row r="4702" spans="1:13" s="1517" customFormat="1" x14ac:dyDescent="0.25">
      <c r="A4702" s="179"/>
      <c r="B4702" s="179"/>
      <c r="C4702" s="1531"/>
      <c r="D4702" s="2141" t="s">
        <v>125</v>
      </c>
      <c r="E4702" s="2141"/>
      <c r="F4702" s="2141"/>
      <c r="G4702" s="2141"/>
      <c r="H4702" s="267">
        <f>SUMIF(F4697:F4700,"&lt;&gt;h",H4697:H4700)</f>
        <v>1522.24</v>
      </c>
      <c r="I4702" s="1830"/>
      <c r="J4702" s="1795"/>
      <c r="K4702" s="1795"/>
      <c r="L4702" s="169"/>
      <c r="M4702" s="1783"/>
    </row>
    <row r="4703" spans="1:13" s="1517" customFormat="1" x14ac:dyDescent="0.25">
      <c r="A4703" s="179"/>
      <c r="B4703" s="179"/>
      <c r="C4703" s="1531"/>
      <c r="D4703" s="2142" t="s">
        <v>126</v>
      </c>
      <c r="E4703" s="2142"/>
      <c r="F4703" s="2142"/>
      <c r="G4703" s="2142"/>
      <c r="H4703" s="1532">
        <f>SUM(H4701:H4702)</f>
        <v>1592.46</v>
      </c>
      <c r="I4703" s="1830"/>
      <c r="J4703" s="1795"/>
      <c r="K4703" s="1795"/>
      <c r="L4703" s="169"/>
      <c r="M4703" s="1783"/>
    </row>
    <row r="4704" spans="1:13" s="1517" customFormat="1" x14ac:dyDescent="0.25">
      <c r="A4704" s="179"/>
      <c r="B4704" s="179"/>
      <c r="C4704" s="1531"/>
      <c r="D4704" s="2141" t="s">
        <v>28</v>
      </c>
      <c r="E4704" s="2141"/>
      <c r="F4704" s="2141"/>
      <c r="G4704" s="2141"/>
      <c r="H4704" s="269">
        <f>E4696</f>
        <v>2</v>
      </c>
      <c r="I4704" s="1830"/>
      <c r="J4704" s="1795"/>
      <c r="K4704" s="1795"/>
      <c r="L4704" s="169"/>
      <c r="M4704" s="1783"/>
    </row>
    <row r="4705" spans="1:13" s="1517" customFormat="1" x14ac:dyDescent="0.25">
      <c r="A4705" s="179"/>
      <c r="B4705" s="179"/>
      <c r="C4705" s="1531"/>
      <c r="D4705" s="2142" t="s">
        <v>127</v>
      </c>
      <c r="E4705" s="2142"/>
      <c r="F4705" s="2142"/>
      <c r="G4705" s="2142"/>
      <c r="H4705" s="1532">
        <f>ROUND(H4703*H4704,2)</f>
        <v>3184.92</v>
      </c>
      <c r="I4705" s="1830"/>
      <c r="J4705" s="1795"/>
      <c r="K4705" s="1795"/>
      <c r="L4705" s="169"/>
      <c r="M4705" s="1783"/>
    </row>
    <row r="4706" spans="1:13" s="1517" customFormat="1" x14ac:dyDescent="0.25">
      <c r="A4706" s="179"/>
      <c r="B4706" s="179"/>
      <c r="C4706" s="1531"/>
      <c r="D4706" s="2141" t="s">
        <v>15335</v>
      </c>
      <c r="E4706" s="2141"/>
      <c r="F4706" s="2141"/>
      <c r="G4706" s="2141"/>
      <c r="H4706" s="267">
        <f>ROUND(H4703*$B$13,2)</f>
        <v>428.85</v>
      </c>
      <c r="I4706" s="1830"/>
      <c r="J4706" s="1795"/>
      <c r="K4706" s="1795"/>
      <c r="L4706" s="169"/>
      <c r="M4706" s="1783"/>
    </row>
    <row r="4707" spans="1:13" x14ac:dyDescent="0.25">
      <c r="A4707" s="179"/>
      <c r="B4707" s="179"/>
      <c r="C4707" s="1531"/>
      <c r="D4707" s="2142" t="s">
        <v>7898</v>
      </c>
      <c r="E4707" s="2142"/>
      <c r="F4707" s="2142"/>
      <c r="G4707" s="2142"/>
      <c r="H4707" s="1532">
        <f>H4706+H4703</f>
        <v>2021.31</v>
      </c>
    </row>
    <row r="4708" spans="1:13" x14ac:dyDescent="0.25">
      <c r="A4708" s="1514"/>
      <c r="B4708" s="1514"/>
      <c r="C4708" s="1514"/>
      <c r="F4708" s="1533"/>
      <c r="G4708" s="1534"/>
      <c r="H4708" s="1514"/>
    </row>
    <row r="4709" spans="1:13" s="1517" customFormat="1" x14ac:dyDescent="0.25">
      <c r="A4709" s="146" t="s">
        <v>6</v>
      </c>
      <c r="B4709" s="2143" t="s">
        <v>7</v>
      </c>
      <c r="C4709" s="2143"/>
      <c r="D4709" s="1518" t="s">
        <v>121</v>
      </c>
      <c r="E4709" s="278" t="s">
        <v>5282</v>
      </c>
      <c r="F4709" s="1518" t="s">
        <v>31</v>
      </c>
      <c r="G4709" s="1519" t="s">
        <v>122</v>
      </c>
      <c r="H4709" s="1520" t="s">
        <v>123</v>
      </c>
      <c r="I4709" s="1830"/>
      <c r="J4709" s="1795"/>
      <c r="K4709" s="1795"/>
      <c r="L4709" s="169"/>
      <c r="M4709" s="1783"/>
    </row>
    <row r="4710" spans="1:13" s="1526" customFormat="1" ht="30" x14ac:dyDescent="0.2">
      <c r="A4710" s="1521" t="str">
        <f>'Orç - Prédio'!A830</f>
        <v>08.01.521</v>
      </c>
      <c r="B4710" s="1521" t="str">
        <f>'Orç - Prédio'!B830</f>
        <v>ORSE</v>
      </c>
      <c r="C4710" s="1521">
        <f>'Orç - Prédio'!C830</f>
        <v>9905</v>
      </c>
      <c r="D4710" s="1522" t="s">
        <v>7374</v>
      </c>
      <c r="E4710" s="1523">
        <f>'Orç - Prédio'!E830</f>
        <v>2</v>
      </c>
      <c r="F4710" s="1521" t="s">
        <v>5284</v>
      </c>
      <c r="G4710" s="1524">
        <v>447.31</v>
      </c>
      <c r="H4710" s="1525">
        <f>H4717</f>
        <v>894.62</v>
      </c>
      <c r="I4710" s="1910" t="s">
        <v>9579</v>
      </c>
      <c r="J4710" s="1793"/>
      <c r="K4710" s="1793"/>
      <c r="L4710" s="141"/>
      <c r="M4710" s="1515"/>
    </row>
    <row r="4711" spans="1:13" s="156" customFormat="1" ht="30" x14ac:dyDescent="0.2">
      <c r="A4711" s="2145" t="s">
        <v>6257</v>
      </c>
      <c r="B4711" s="2145"/>
      <c r="C4711" s="2145"/>
      <c r="D4711" s="182" t="s">
        <v>8303</v>
      </c>
      <c r="E4711" s="1527">
        <v>1</v>
      </c>
      <c r="F4711" s="1626" t="s">
        <v>31</v>
      </c>
      <c r="G4711" s="367">
        <v>441.4</v>
      </c>
      <c r="H4711" s="1530">
        <f>ROUNDDOWN(G4711*E4711,2)</f>
        <v>441.4</v>
      </c>
      <c r="I4711" s="1642"/>
      <c r="J4711" s="1797"/>
      <c r="K4711" s="1797"/>
      <c r="L4711" s="1784"/>
      <c r="M4711" s="1785"/>
    </row>
    <row r="4712" spans="1:13" s="156" customFormat="1" ht="30" x14ac:dyDescent="0.2">
      <c r="A4712" s="2144">
        <v>88267</v>
      </c>
      <c r="B4712" s="2144"/>
      <c r="C4712" s="1516" t="s">
        <v>4448</v>
      </c>
      <c r="D4712" s="182" t="s">
        <v>83</v>
      </c>
      <c r="E4712" s="1527">
        <v>0.3</v>
      </c>
      <c r="F4712" s="1626" t="s">
        <v>65</v>
      </c>
      <c r="G4712" s="1529">
        <v>19.73</v>
      </c>
      <c r="H4712" s="1530">
        <f>ROUNDDOWN(G4712*E4712,2)</f>
        <v>5.91</v>
      </c>
      <c r="I4712" s="1642"/>
      <c r="J4712" s="1797"/>
      <c r="K4712" s="1797"/>
      <c r="L4712" s="1784"/>
      <c r="M4712" s="1785"/>
    </row>
    <row r="4713" spans="1:13" s="1517" customFormat="1" x14ac:dyDescent="0.25">
      <c r="A4713" s="179"/>
      <c r="B4713" s="179"/>
      <c r="C4713" s="1531"/>
      <c r="D4713" s="2141" t="s">
        <v>124</v>
      </c>
      <c r="E4713" s="2141"/>
      <c r="F4713" s="2141"/>
      <c r="G4713" s="2141"/>
      <c r="H4713" s="267">
        <f>SUMIF(F4711:F4712,("h"),H4711:H4712)</f>
        <v>5.91</v>
      </c>
      <c r="I4713" s="1830"/>
      <c r="J4713" s="1795"/>
      <c r="K4713" s="1795"/>
      <c r="L4713" s="169"/>
      <c r="M4713" s="1783"/>
    </row>
    <row r="4714" spans="1:13" s="1517" customFormat="1" x14ac:dyDescent="0.25">
      <c r="A4714" s="179"/>
      <c r="B4714" s="179"/>
      <c r="C4714" s="1531"/>
      <c r="D4714" s="2141" t="s">
        <v>125</v>
      </c>
      <c r="E4714" s="2141"/>
      <c r="F4714" s="2141"/>
      <c r="G4714" s="2141"/>
      <c r="H4714" s="267">
        <f>SUMIF(F4711:F4712,"&lt;&gt;h",H4711:H4712)</f>
        <v>441.4</v>
      </c>
      <c r="I4714" s="1830"/>
      <c r="J4714" s="1795"/>
      <c r="K4714" s="1795"/>
      <c r="L4714" s="169"/>
      <c r="M4714" s="1783"/>
    </row>
    <row r="4715" spans="1:13" s="1517" customFormat="1" x14ac:dyDescent="0.25">
      <c r="A4715" s="179"/>
      <c r="B4715" s="179"/>
      <c r="C4715" s="1531"/>
      <c r="D4715" s="2142" t="s">
        <v>126</v>
      </c>
      <c r="E4715" s="2142"/>
      <c r="F4715" s="2142"/>
      <c r="G4715" s="2142"/>
      <c r="H4715" s="1532">
        <f>SUM(H4713:H4714)</f>
        <v>447.31</v>
      </c>
      <c r="I4715" s="1830"/>
      <c r="J4715" s="1795"/>
      <c r="K4715" s="1795"/>
      <c r="L4715" s="169"/>
      <c r="M4715" s="1783"/>
    </row>
    <row r="4716" spans="1:13" s="1517" customFormat="1" x14ac:dyDescent="0.25">
      <c r="A4716" s="179"/>
      <c r="B4716" s="179"/>
      <c r="C4716" s="1531"/>
      <c r="D4716" s="2141" t="s">
        <v>28</v>
      </c>
      <c r="E4716" s="2141"/>
      <c r="F4716" s="2141"/>
      <c r="G4716" s="2141"/>
      <c r="H4716" s="269">
        <f>E4710</f>
        <v>2</v>
      </c>
      <c r="I4716" s="1830"/>
      <c r="J4716" s="1795"/>
      <c r="K4716" s="1795"/>
      <c r="L4716" s="169"/>
      <c r="M4716" s="1783"/>
    </row>
    <row r="4717" spans="1:13" s="1517" customFormat="1" x14ac:dyDescent="0.25">
      <c r="A4717" s="179"/>
      <c r="B4717" s="179"/>
      <c r="C4717" s="1531"/>
      <c r="D4717" s="2142" t="s">
        <v>127</v>
      </c>
      <c r="E4717" s="2142"/>
      <c r="F4717" s="2142"/>
      <c r="G4717" s="2142"/>
      <c r="H4717" s="1532">
        <f>ROUND(H4715*H4716,2)</f>
        <v>894.62</v>
      </c>
      <c r="I4717" s="1830"/>
      <c r="J4717" s="1795"/>
      <c r="K4717" s="1795"/>
      <c r="L4717" s="169"/>
      <c r="M4717" s="1783"/>
    </row>
    <row r="4718" spans="1:13" s="1517" customFormat="1" x14ac:dyDescent="0.25">
      <c r="A4718" s="179"/>
      <c r="B4718" s="179"/>
      <c r="C4718" s="1531"/>
      <c r="D4718" s="2141" t="s">
        <v>15335</v>
      </c>
      <c r="E4718" s="2141"/>
      <c r="F4718" s="2141"/>
      <c r="G4718" s="2141"/>
      <c r="H4718" s="267">
        <f>ROUND(H4715*$B$13,2)</f>
        <v>120.46</v>
      </c>
      <c r="I4718" s="1830"/>
      <c r="J4718" s="1795"/>
      <c r="K4718" s="1795"/>
      <c r="L4718" s="169"/>
      <c r="M4718" s="1783"/>
    </row>
    <row r="4719" spans="1:13" x14ac:dyDescent="0.25">
      <c r="A4719" s="179"/>
      <c r="B4719" s="179"/>
      <c r="C4719" s="1531"/>
      <c r="D4719" s="2142" t="s">
        <v>7898</v>
      </c>
      <c r="E4719" s="2142"/>
      <c r="F4719" s="2142"/>
      <c r="G4719" s="2142"/>
      <c r="H4719" s="1532">
        <f>H4718+H4715</f>
        <v>567.77</v>
      </c>
    </row>
    <row r="4720" spans="1:13" x14ac:dyDescent="0.25">
      <c r="A4720" s="1514"/>
      <c r="B4720" s="1514"/>
      <c r="C4720" s="1514"/>
      <c r="F4720" s="1533"/>
      <c r="G4720" s="1534"/>
      <c r="H4720" s="1514"/>
    </row>
    <row r="4721" spans="1:13" s="1517" customFormat="1" x14ac:dyDescent="0.25">
      <c r="A4721" s="146" t="s">
        <v>6</v>
      </c>
      <c r="B4721" s="2143" t="s">
        <v>7</v>
      </c>
      <c r="C4721" s="2143"/>
      <c r="D4721" s="1518" t="s">
        <v>121</v>
      </c>
      <c r="E4721" s="278" t="s">
        <v>5282</v>
      </c>
      <c r="F4721" s="1518" t="s">
        <v>31</v>
      </c>
      <c r="G4721" s="1519" t="s">
        <v>122</v>
      </c>
      <c r="H4721" s="1520" t="s">
        <v>123</v>
      </c>
      <c r="I4721" s="1830"/>
      <c r="J4721" s="1795"/>
      <c r="K4721" s="1795"/>
      <c r="L4721" s="169"/>
      <c r="M4721" s="1783"/>
    </row>
    <row r="4722" spans="1:13" s="1526" customFormat="1" ht="45" x14ac:dyDescent="0.2">
      <c r="A4722" s="1521" t="str">
        <f>'Orç - Prédio'!A831</f>
        <v>08.01.522</v>
      </c>
      <c r="B4722" s="1521" t="str">
        <f>'Orç - Prédio'!B831</f>
        <v>ORSE</v>
      </c>
      <c r="C4722" s="1521">
        <f>'Orç - Prédio'!C831</f>
        <v>9670</v>
      </c>
      <c r="D4722" s="1522" t="s">
        <v>7375</v>
      </c>
      <c r="E4722" s="1523">
        <f>'Orç - Prédio'!E831</f>
        <v>2</v>
      </c>
      <c r="F4722" s="1521" t="s">
        <v>5284</v>
      </c>
      <c r="G4722" s="1524">
        <v>187.56</v>
      </c>
      <c r="H4722" s="1525">
        <f>H4730</f>
        <v>375.12</v>
      </c>
      <c r="I4722" s="1910" t="s">
        <v>14965</v>
      </c>
      <c r="J4722" s="1793"/>
      <c r="K4722" s="1793"/>
      <c r="L4722" s="141"/>
      <c r="M4722" s="1515"/>
    </row>
    <row r="4723" spans="1:13" s="156" customFormat="1" x14ac:dyDescent="0.2">
      <c r="A4723" s="2145">
        <v>10048</v>
      </c>
      <c r="B4723" s="2145"/>
      <c r="C4723" s="1496" t="s">
        <v>5281</v>
      </c>
      <c r="D4723" s="182" t="s">
        <v>7397</v>
      </c>
      <c r="E4723" s="1527">
        <v>1</v>
      </c>
      <c r="F4723" s="1626" t="s">
        <v>31</v>
      </c>
      <c r="G4723" s="367">
        <v>152.28</v>
      </c>
      <c r="H4723" s="1530">
        <f>ROUNDDOWN(G4723*E4723,2)</f>
        <v>152.28</v>
      </c>
      <c r="I4723" s="1642"/>
      <c r="J4723" s="1797"/>
      <c r="K4723" s="1797"/>
      <c r="L4723" s="1784"/>
      <c r="M4723" s="1785"/>
    </row>
    <row r="4724" spans="1:13" s="156" customFormat="1" ht="30" x14ac:dyDescent="0.2">
      <c r="A4724" s="2144">
        <v>88267</v>
      </c>
      <c r="B4724" s="2144"/>
      <c r="C4724" s="1516" t="s">
        <v>4448</v>
      </c>
      <c r="D4724" s="182" t="s">
        <v>83</v>
      </c>
      <c r="E4724" s="1527">
        <v>1</v>
      </c>
      <c r="F4724" s="1626" t="s">
        <v>65</v>
      </c>
      <c r="G4724" s="1529">
        <v>19.73</v>
      </c>
      <c r="H4724" s="1530">
        <f>ROUNDDOWN(G4724*E4724,2)</f>
        <v>19.73</v>
      </c>
      <c r="I4724" s="1642"/>
      <c r="J4724" s="1797"/>
      <c r="K4724" s="1797"/>
      <c r="L4724" s="1784"/>
      <c r="M4724" s="1785"/>
    </row>
    <row r="4725" spans="1:13" s="156" customFormat="1" ht="45" x14ac:dyDescent="0.2">
      <c r="A4725" s="2144">
        <v>88248</v>
      </c>
      <c r="B4725" s="2144"/>
      <c r="C4725" s="1516" t="s">
        <v>4448</v>
      </c>
      <c r="D4725" s="182" t="s">
        <v>73</v>
      </c>
      <c r="E4725" s="1527">
        <v>1</v>
      </c>
      <c r="F4725" s="1626" t="s">
        <v>65</v>
      </c>
      <c r="G4725" s="1529">
        <v>15.55</v>
      </c>
      <c r="H4725" s="1530">
        <f>ROUNDDOWN(G4725*E4725,2)</f>
        <v>15.55</v>
      </c>
      <c r="I4725" s="1642"/>
      <c r="J4725" s="1797"/>
      <c r="K4725" s="1797"/>
      <c r="L4725" s="1784"/>
      <c r="M4725" s="1785"/>
    </row>
    <row r="4726" spans="1:13" s="1517" customFormat="1" x14ac:dyDescent="0.25">
      <c r="A4726" s="179"/>
      <c r="B4726" s="179"/>
      <c r="C4726" s="1531"/>
      <c r="D4726" s="2141" t="s">
        <v>124</v>
      </c>
      <c r="E4726" s="2141"/>
      <c r="F4726" s="2141"/>
      <c r="G4726" s="2141"/>
      <c r="H4726" s="267">
        <f>SUMIF(F4723:F4725,("h"),H4723:H4725)</f>
        <v>35.28</v>
      </c>
      <c r="I4726" s="1830"/>
      <c r="J4726" s="1795"/>
      <c r="K4726" s="1795"/>
      <c r="L4726" s="169"/>
      <c r="M4726" s="1783"/>
    </row>
    <row r="4727" spans="1:13" s="1517" customFormat="1" x14ac:dyDescent="0.25">
      <c r="A4727" s="179"/>
      <c r="B4727" s="179"/>
      <c r="C4727" s="1531"/>
      <c r="D4727" s="2141" t="s">
        <v>125</v>
      </c>
      <c r="E4727" s="2141"/>
      <c r="F4727" s="2141"/>
      <c r="G4727" s="2141"/>
      <c r="H4727" s="267">
        <f>SUMIF(F4723:F4725,"&lt;&gt;h",H4723:H4725)</f>
        <v>152.28</v>
      </c>
      <c r="I4727" s="1830"/>
      <c r="J4727" s="1795"/>
      <c r="K4727" s="1795"/>
      <c r="L4727" s="169"/>
      <c r="M4727" s="1783"/>
    </row>
    <row r="4728" spans="1:13" s="1517" customFormat="1" x14ac:dyDescent="0.25">
      <c r="A4728" s="179"/>
      <c r="B4728" s="179"/>
      <c r="C4728" s="1531"/>
      <c r="D4728" s="2142" t="s">
        <v>126</v>
      </c>
      <c r="E4728" s="2142"/>
      <c r="F4728" s="2142"/>
      <c r="G4728" s="2142"/>
      <c r="H4728" s="1532">
        <f>SUM(H4726:H4727)</f>
        <v>187.56</v>
      </c>
      <c r="I4728" s="1830"/>
      <c r="J4728" s="1795"/>
      <c r="K4728" s="1795"/>
      <c r="L4728" s="169"/>
      <c r="M4728" s="1783"/>
    </row>
    <row r="4729" spans="1:13" s="1517" customFormat="1" x14ac:dyDescent="0.25">
      <c r="A4729" s="179"/>
      <c r="B4729" s="179"/>
      <c r="C4729" s="1531"/>
      <c r="D4729" s="2141" t="s">
        <v>28</v>
      </c>
      <c r="E4729" s="2141"/>
      <c r="F4729" s="2141"/>
      <c r="G4729" s="2141"/>
      <c r="H4729" s="269">
        <f>E4722</f>
        <v>2</v>
      </c>
      <c r="I4729" s="1830"/>
      <c r="J4729" s="1795"/>
      <c r="K4729" s="1795"/>
      <c r="L4729" s="169"/>
      <c r="M4729" s="1783"/>
    </row>
    <row r="4730" spans="1:13" s="1517" customFormat="1" x14ac:dyDescent="0.25">
      <c r="A4730" s="179"/>
      <c r="B4730" s="179"/>
      <c r="C4730" s="1531"/>
      <c r="D4730" s="2142" t="s">
        <v>127</v>
      </c>
      <c r="E4730" s="2142"/>
      <c r="F4730" s="2142"/>
      <c r="G4730" s="2142"/>
      <c r="H4730" s="1532">
        <f>ROUND(H4728*H4729,2)</f>
        <v>375.12</v>
      </c>
      <c r="I4730" s="1830"/>
      <c r="J4730" s="1795"/>
      <c r="K4730" s="1795"/>
      <c r="L4730" s="169"/>
      <c r="M4730" s="1783"/>
    </row>
    <row r="4731" spans="1:13" s="1517" customFormat="1" x14ac:dyDescent="0.25">
      <c r="A4731" s="179"/>
      <c r="B4731" s="179"/>
      <c r="C4731" s="1531"/>
      <c r="D4731" s="2141" t="s">
        <v>15335</v>
      </c>
      <c r="E4731" s="2141"/>
      <c r="F4731" s="2141"/>
      <c r="G4731" s="2141"/>
      <c r="H4731" s="267">
        <f>ROUND(H4728*$B$13,2)</f>
        <v>50.51</v>
      </c>
      <c r="I4731" s="1830"/>
      <c r="J4731" s="1795"/>
      <c r="K4731" s="1795"/>
      <c r="L4731" s="169"/>
      <c r="M4731" s="1783"/>
    </row>
    <row r="4732" spans="1:13" x14ac:dyDescent="0.25">
      <c r="A4732" s="179"/>
      <c r="B4732" s="179"/>
      <c r="C4732" s="1531"/>
      <c r="D4732" s="2142" t="s">
        <v>7898</v>
      </c>
      <c r="E4732" s="2142"/>
      <c r="F4732" s="2142"/>
      <c r="G4732" s="2142"/>
      <c r="H4732" s="1532">
        <f>H4731+H4728</f>
        <v>238.07</v>
      </c>
    </row>
    <row r="4733" spans="1:13" x14ac:dyDescent="0.25">
      <c r="A4733" s="1514"/>
      <c r="B4733" s="1514"/>
      <c r="C4733" s="1514"/>
      <c r="F4733" s="1533"/>
      <c r="G4733" s="1534"/>
      <c r="H4733" s="1514"/>
    </row>
    <row r="4734" spans="1:13" s="1517" customFormat="1" x14ac:dyDescent="0.25">
      <c r="A4734" s="146" t="s">
        <v>6</v>
      </c>
      <c r="B4734" s="2143" t="s">
        <v>7</v>
      </c>
      <c r="C4734" s="2143"/>
      <c r="D4734" s="1518" t="s">
        <v>121</v>
      </c>
      <c r="E4734" s="278" t="s">
        <v>5282</v>
      </c>
      <c r="F4734" s="1518" t="s">
        <v>31</v>
      </c>
      <c r="G4734" s="1519" t="s">
        <v>122</v>
      </c>
      <c r="H4734" s="1520" t="s">
        <v>123</v>
      </c>
      <c r="I4734" s="1830"/>
      <c r="J4734" s="1795"/>
      <c r="K4734" s="1795"/>
      <c r="L4734" s="169"/>
      <c r="M4734" s="1783"/>
    </row>
    <row r="4735" spans="1:13" s="1526" customFormat="1" ht="30" x14ac:dyDescent="0.2">
      <c r="A4735" s="1521" t="s">
        <v>7706</v>
      </c>
      <c r="B4735" s="1521" t="str">
        <f>'Orç - Canteiro e Adm'!B77</f>
        <v>ORSE</v>
      </c>
      <c r="C4735" s="1521">
        <f>'Orç - Canteiro e Adm'!C77</f>
        <v>10832</v>
      </c>
      <c r="D4735" s="1522" t="s">
        <v>7707</v>
      </c>
      <c r="E4735" s="1521" t="s">
        <v>6938</v>
      </c>
      <c r="F4735" s="1521" t="s">
        <v>5286</v>
      </c>
      <c r="G4735" s="1524">
        <v>0.67</v>
      </c>
      <c r="H4735" s="1525" t="s">
        <v>6938</v>
      </c>
      <c r="I4735" s="1910" t="s">
        <v>9481</v>
      </c>
      <c r="J4735" s="1793"/>
      <c r="K4735" s="1793"/>
      <c r="L4735" s="141"/>
      <c r="M4735" s="1515"/>
    </row>
    <row r="4736" spans="1:13" s="156" customFormat="1" ht="30" x14ac:dyDescent="0.2">
      <c r="A4736" s="2144">
        <v>90773</v>
      </c>
      <c r="B4736" s="2144"/>
      <c r="C4736" s="1516" t="s">
        <v>4448</v>
      </c>
      <c r="D4736" s="182" t="s">
        <v>4339</v>
      </c>
      <c r="E4736" s="1527">
        <v>5.8000000000000003E-2</v>
      </c>
      <c r="F4736" s="1675" t="s">
        <v>65</v>
      </c>
      <c r="G4736" s="1529">
        <v>11.56</v>
      </c>
      <c r="H4736" s="1530">
        <f>ROUNDDOWN(G4736*E4736,2)</f>
        <v>0.67</v>
      </c>
      <c r="I4736" s="1642"/>
      <c r="J4736" s="1797"/>
      <c r="K4736" s="1797"/>
      <c r="L4736" s="1784"/>
      <c r="M4736" s="1785"/>
    </row>
    <row r="4737" spans="1:13" s="1517" customFormat="1" x14ac:dyDescent="0.25">
      <c r="A4737" s="179"/>
      <c r="B4737" s="179"/>
      <c r="C4737" s="1531"/>
      <c r="D4737" s="2141" t="s">
        <v>124</v>
      </c>
      <c r="E4737" s="2141"/>
      <c r="F4737" s="2141"/>
      <c r="G4737" s="2141"/>
      <c r="H4737" s="267">
        <f>SUMIF(F4736:F4736,("h"),H4736:H4736)</f>
        <v>0.67</v>
      </c>
      <c r="I4737" s="1830"/>
      <c r="J4737" s="1795"/>
      <c r="K4737" s="1795"/>
      <c r="L4737" s="169"/>
      <c r="M4737" s="1783"/>
    </row>
    <row r="4738" spans="1:13" s="1517" customFormat="1" x14ac:dyDescent="0.25">
      <c r="A4738" s="179"/>
      <c r="B4738" s="179"/>
      <c r="C4738" s="1531"/>
      <c r="D4738" s="2141" t="s">
        <v>125</v>
      </c>
      <c r="E4738" s="2141"/>
      <c r="F4738" s="2141"/>
      <c r="G4738" s="2141"/>
      <c r="H4738" s="267">
        <f>SUMIF(F4736:F4736,"&lt;&gt;h",H4736:H4736)</f>
        <v>0</v>
      </c>
      <c r="I4738" s="1830"/>
      <c r="J4738" s="1795"/>
      <c r="K4738" s="1795"/>
      <c r="L4738" s="169"/>
      <c r="M4738" s="1783"/>
    </row>
    <row r="4739" spans="1:13" s="1517" customFormat="1" x14ac:dyDescent="0.25">
      <c r="A4739" s="179"/>
      <c r="B4739" s="179"/>
      <c r="C4739" s="1531"/>
      <c r="D4739" s="2142" t="s">
        <v>126</v>
      </c>
      <c r="E4739" s="2142"/>
      <c r="F4739" s="2142"/>
      <c r="G4739" s="2142"/>
      <c r="H4739" s="1532">
        <f>SUM(H4737:H4738)</f>
        <v>0.67</v>
      </c>
      <c r="I4739" s="1830"/>
      <c r="J4739" s="1795"/>
      <c r="K4739" s="1795"/>
      <c r="L4739" s="169"/>
      <c r="M4739" s="1783"/>
    </row>
    <row r="4740" spans="1:13" s="1517" customFormat="1" x14ac:dyDescent="0.25">
      <c r="A4740" s="179"/>
      <c r="B4740" s="179"/>
      <c r="C4740" s="1531"/>
      <c r="D4740" s="2141" t="s">
        <v>28</v>
      </c>
      <c r="E4740" s="2141"/>
      <c r="F4740" s="2141"/>
      <c r="G4740" s="2141"/>
      <c r="H4740" s="269" t="str">
        <f>E4735</f>
        <v>-</v>
      </c>
      <c r="I4740" s="1830"/>
      <c r="J4740" s="1795"/>
      <c r="K4740" s="1795"/>
      <c r="L4740" s="169"/>
      <c r="M4740" s="1783"/>
    </row>
    <row r="4741" spans="1:13" x14ac:dyDescent="0.25">
      <c r="A4741" s="1514"/>
      <c r="B4741" s="1514"/>
      <c r="C4741" s="1514"/>
      <c r="F4741" s="1533"/>
      <c r="G4741" s="1534"/>
      <c r="H4741" s="1514"/>
    </row>
    <row r="4742" spans="1:13" s="1517" customFormat="1" x14ac:dyDescent="0.25">
      <c r="A4742" s="146" t="s">
        <v>6</v>
      </c>
      <c r="B4742" s="2143" t="s">
        <v>7</v>
      </c>
      <c r="C4742" s="2143"/>
      <c r="D4742" s="1518" t="s">
        <v>121</v>
      </c>
      <c r="E4742" s="278" t="s">
        <v>5282</v>
      </c>
      <c r="F4742" s="1518" t="s">
        <v>31</v>
      </c>
      <c r="G4742" s="1519" t="s">
        <v>122</v>
      </c>
      <c r="H4742" s="1520" t="s">
        <v>123</v>
      </c>
      <c r="I4742" s="1830"/>
      <c r="J4742" s="1795"/>
      <c r="K4742" s="1795"/>
      <c r="L4742" s="169"/>
      <c r="M4742" s="1783"/>
    </row>
    <row r="4743" spans="1:13" s="1526" customFormat="1" ht="30" x14ac:dyDescent="0.2">
      <c r="A4743" s="1698" t="str">
        <f>'Orç - Canteiro e Adm'!A84</f>
        <v>09.04.100</v>
      </c>
      <c r="B4743" s="1698" t="str">
        <f>'Orç - Canteiro e Adm'!B84</f>
        <v>SETOP-MG</v>
      </c>
      <c r="C4743" s="1698" t="str">
        <f>'Orç - Canteiro e Adm'!C84</f>
        <v>ED-4292</v>
      </c>
      <c r="D4743" s="1522" t="s">
        <v>8302</v>
      </c>
      <c r="E4743" s="1523">
        <f>'Orç - Canteiro e Adm'!E84</f>
        <v>2464.3200000000002</v>
      </c>
      <c r="F4743" s="1698" t="s">
        <v>5286</v>
      </c>
      <c r="G4743" s="1524">
        <v>0.34</v>
      </c>
      <c r="H4743" s="1525">
        <f>H4749</f>
        <v>837.87</v>
      </c>
      <c r="I4743" s="1910" t="s">
        <v>9481</v>
      </c>
      <c r="J4743" s="1793"/>
      <c r="K4743" s="1793"/>
      <c r="L4743" s="141"/>
      <c r="M4743" s="1515"/>
    </row>
    <row r="4744" spans="1:13" s="156" customFormat="1" ht="30" x14ac:dyDescent="0.2">
      <c r="A4744" s="2144">
        <v>90778</v>
      </c>
      <c r="B4744" s="2144"/>
      <c r="C4744" s="1516" t="s">
        <v>4448</v>
      </c>
      <c r="D4744" s="182" t="s">
        <v>4343</v>
      </c>
      <c r="E4744" s="1527">
        <v>4.0000000000000001E-3</v>
      </c>
      <c r="F4744" s="1697" t="s">
        <v>65</v>
      </c>
      <c r="G4744" s="1529">
        <v>85.62</v>
      </c>
      <c r="H4744" s="1530">
        <f>ROUNDDOWN(G4744*E4744,2)</f>
        <v>0.34</v>
      </c>
      <c r="I4744" s="1642"/>
      <c r="J4744" s="1797"/>
      <c r="K4744" s="1797"/>
      <c r="L4744" s="1784"/>
      <c r="M4744" s="1785"/>
    </row>
    <row r="4745" spans="1:13" s="1517" customFormat="1" x14ac:dyDescent="0.25">
      <c r="A4745" s="179"/>
      <c r="B4745" s="179"/>
      <c r="C4745" s="1531"/>
      <c r="D4745" s="2141" t="s">
        <v>124</v>
      </c>
      <c r="E4745" s="2141"/>
      <c r="F4745" s="2141"/>
      <c r="G4745" s="2141"/>
      <c r="H4745" s="267">
        <f>SUMIF(F4744:F4744,("h"),H4744:H4744)</f>
        <v>0.34</v>
      </c>
      <c r="I4745" s="1830"/>
      <c r="J4745" s="1795"/>
      <c r="K4745" s="1795"/>
      <c r="L4745" s="169"/>
      <c r="M4745" s="1783"/>
    </row>
    <row r="4746" spans="1:13" s="1517" customFormat="1" x14ac:dyDescent="0.25">
      <c r="A4746" s="179"/>
      <c r="B4746" s="179"/>
      <c r="C4746" s="1531"/>
      <c r="D4746" s="2141" t="s">
        <v>125</v>
      </c>
      <c r="E4746" s="2141"/>
      <c r="F4746" s="2141"/>
      <c r="G4746" s="2141"/>
      <c r="H4746" s="267">
        <f>SUMIF(F4744:F4744,"&lt;&gt;h",H4744:H4744)</f>
        <v>0</v>
      </c>
      <c r="I4746" s="1830"/>
      <c r="J4746" s="1795"/>
      <c r="K4746" s="1795"/>
      <c r="L4746" s="169"/>
      <c r="M4746" s="1783"/>
    </row>
    <row r="4747" spans="1:13" s="1517" customFormat="1" x14ac:dyDescent="0.25">
      <c r="A4747" s="179"/>
      <c r="B4747" s="179"/>
      <c r="C4747" s="1531"/>
      <c r="D4747" s="2142" t="s">
        <v>126</v>
      </c>
      <c r="E4747" s="2142"/>
      <c r="F4747" s="2142"/>
      <c r="G4747" s="2142"/>
      <c r="H4747" s="1532">
        <f>SUM(H4745:H4746)</f>
        <v>0.34</v>
      </c>
      <c r="I4747" s="1830"/>
      <c r="J4747" s="1795"/>
      <c r="K4747" s="1795"/>
      <c r="L4747" s="169"/>
      <c r="M4747" s="1783"/>
    </row>
    <row r="4748" spans="1:13" s="1517" customFormat="1" x14ac:dyDescent="0.25">
      <c r="A4748" s="179"/>
      <c r="B4748" s="179"/>
      <c r="C4748" s="1531"/>
      <c r="D4748" s="2141" t="s">
        <v>28</v>
      </c>
      <c r="E4748" s="2141"/>
      <c r="F4748" s="2141"/>
      <c r="G4748" s="2141"/>
      <c r="H4748" s="269">
        <f>E4743</f>
        <v>2464.3200000000002</v>
      </c>
      <c r="I4748" s="1830"/>
      <c r="J4748" s="1795"/>
      <c r="K4748" s="1795"/>
      <c r="L4748" s="169"/>
      <c r="M4748" s="1783"/>
    </row>
    <row r="4749" spans="1:13" s="1517" customFormat="1" x14ac:dyDescent="0.25">
      <c r="A4749" s="179"/>
      <c r="B4749" s="179"/>
      <c r="C4749" s="1531"/>
      <c r="D4749" s="2142" t="s">
        <v>127</v>
      </c>
      <c r="E4749" s="2142"/>
      <c r="F4749" s="2142"/>
      <c r="G4749" s="2142"/>
      <c r="H4749" s="1532">
        <f>ROUND(H4747*H4748,2)</f>
        <v>837.87</v>
      </c>
      <c r="I4749" s="1830"/>
      <c r="J4749" s="1795"/>
      <c r="K4749" s="1795"/>
      <c r="L4749" s="169"/>
      <c r="M4749" s="1783"/>
    </row>
    <row r="4750" spans="1:13" s="1517" customFormat="1" x14ac:dyDescent="0.25">
      <c r="A4750" s="179"/>
      <c r="B4750" s="179"/>
      <c r="C4750" s="1531"/>
      <c r="D4750" s="2141" t="s">
        <v>15335</v>
      </c>
      <c r="E4750" s="2141"/>
      <c r="F4750" s="2141"/>
      <c r="G4750" s="2141"/>
      <c r="H4750" s="267">
        <f>ROUND(H4747*$B$13,2)</f>
        <v>0.09</v>
      </c>
      <c r="I4750" s="1830"/>
      <c r="J4750" s="1795"/>
      <c r="K4750" s="1795"/>
      <c r="L4750" s="169"/>
      <c r="M4750" s="1783"/>
    </row>
    <row r="4751" spans="1:13" x14ac:dyDescent="0.25">
      <c r="A4751" s="179"/>
      <c r="B4751" s="179"/>
      <c r="C4751" s="1531"/>
      <c r="D4751" s="2142" t="s">
        <v>7898</v>
      </c>
      <c r="E4751" s="2142"/>
      <c r="F4751" s="2142"/>
      <c r="G4751" s="2142"/>
      <c r="H4751" s="1532">
        <f>H4750+H4747</f>
        <v>0.43000000000000005</v>
      </c>
    </row>
    <row r="4752" spans="1:13" x14ac:dyDescent="0.25">
      <c r="A4752" s="1514"/>
      <c r="B4752" s="1514"/>
      <c r="C4752" s="1514"/>
      <c r="F4752" s="1533"/>
      <c r="G4752" s="1534"/>
      <c r="H4752" s="1514"/>
    </row>
    <row r="4753" spans="1:13" s="1517" customFormat="1" x14ac:dyDescent="0.25">
      <c r="A4753" s="146" t="s">
        <v>6</v>
      </c>
      <c r="B4753" s="2143" t="s">
        <v>7</v>
      </c>
      <c r="C4753" s="2143"/>
      <c r="D4753" s="1518" t="s">
        <v>121</v>
      </c>
      <c r="E4753" s="278" t="s">
        <v>5282</v>
      </c>
      <c r="F4753" s="1518" t="s">
        <v>31</v>
      </c>
      <c r="G4753" s="1519" t="s">
        <v>122</v>
      </c>
      <c r="H4753" s="1520" t="s">
        <v>123</v>
      </c>
      <c r="I4753" s="1830"/>
      <c r="J4753" s="1795"/>
      <c r="K4753" s="1795"/>
      <c r="L4753" s="169"/>
      <c r="M4753" s="1783"/>
    </row>
    <row r="4754" spans="1:13" s="1526" customFormat="1" ht="45" x14ac:dyDescent="0.2">
      <c r="A4754" s="1521" t="str">
        <f>'Orç - Canteiro e Adm'!A102</f>
        <v>10.03.702</v>
      </c>
      <c r="B4754" s="1521" t="str">
        <f>'Orç - Canteiro e Adm'!B102</f>
        <v>SETOP-MG</v>
      </c>
      <c r="C4754" s="1521" t="str">
        <f>'Orç - Canteiro e Adm'!C102</f>
        <v>ED-49750</v>
      </c>
      <c r="D4754" s="1522" t="s">
        <v>15167</v>
      </c>
      <c r="E4754" s="1523">
        <f>'Orç - Canteiro e Adm'!E102</f>
        <v>1</v>
      </c>
      <c r="F4754" s="1521" t="s">
        <v>5284</v>
      </c>
      <c r="G4754" s="1524">
        <v>1000</v>
      </c>
      <c r="H4754" s="1525">
        <f>H4760</f>
        <v>1000</v>
      </c>
      <c r="I4754" s="1910" t="s">
        <v>9600</v>
      </c>
      <c r="J4754" s="1793"/>
      <c r="K4754" s="1793"/>
      <c r="L4754" s="141"/>
      <c r="M4754" s="1515"/>
    </row>
    <row r="4755" spans="1:13" s="156" customFormat="1" ht="45" x14ac:dyDescent="0.2">
      <c r="A4755" s="2144" t="s">
        <v>15165</v>
      </c>
      <c r="B4755" s="2144"/>
      <c r="C4755" s="1516" t="s">
        <v>8533</v>
      </c>
      <c r="D4755" s="182" t="s">
        <v>15164</v>
      </c>
      <c r="E4755" s="1527">
        <v>1</v>
      </c>
      <c r="F4755" s="1675" t="s">
        <v>7726</v>
      </c>
      <c r="G4755" s="367">
        <v>1000</v>
      </c>
      <c r="H4755" s="1530">
        <f>ROUNDDOWN(G4755*E4755,2)</f>
        <v>1000</v>
      </c>
      <c r="I4755" s="1642"/>
      <c r="J4755" s="1797"/>
      <c r="K4755" s="1797"/>
      <c r="L4755" s="1784"/>
      <c r="M4755" s="1785"/>
    </row>
    <row r="4756" spans="1:13" s="1517" customFormat="1" x14ac:dyDescent="0.25">
      <c r="A4756" s="179"/>
      <c r="B4756" s="179"/>
      <c r="C4756" s="1531"/>
      <c r="D4756" s="2141" t="s">
        <v>124</v>
      </c>
      <c r="E4756" s="2141"/>
      <c r="F4756" s="2141"/>
      <c r="G4756" s="2141"/>
      <c r="H4756" s="267">
        <f>SUMIF(F4755,("h"),H4755)</f>
        <v>0</v>
      </c>
      <c r="I4756" s="1830"/>
      <c r="J4756" s="1795"/>
      <c r="K4756" s="1795"/>
      <c r="L4756" s="169"/>
      <c r="M4756" s="1783"/>
    </row>
    <row r="4757" spans="1:13" s="1517" customFormat="1" x14ac:dyDescent="0.25">
      <c r="A4757" s="179"/>
      <c r="B4757" s="179"/>
      <c r="C4757" s="1531"/>
      <c r="D4757" s="2141" t="s">
        <v>125</v>
      </c>
      <c r="E4757" s="2141"/>
      <c r="F4757" s="2141"/>
      <c r="G4757" s="2141"/>
      <c r="H4757" s="267">
        <f>SUMIF(F4755,"&lt;&gt;h",H4755)</f>
        <v>1000</v>
      </c>
      <c r="I4757" s="1830"/>
      <c r="J4757" s="1795"/>
      <c r="K4757" s="1795"/>
      <c r="L4757" s="169"/>
      <c r="M4757" s="1783"/>
    </row>
    <row r="4758" spans="1:13" s="1517" customFormat="1" x14ac:dyDescent="0.25">
      <c r="A4758" s="179"/>
      <c r="B4758" s="179"/>
      <c r="C4758" s="1531"/>
      <c r="D4758" s="2142" t="s">
        <v>126</v>
      </c>
      <c r="E4758" s="2142"/>
      <c r="F4758" s="2142"/>
      <c r="G4758" s="2142"/>
      <c r="H4758" s="1532">
        <f>SUM(H4756:H4757)</f>
        <v>1000</v>
      </c>
      <c r="I4758" s="1830"/>
      <c r="J4758" s="1795"/>
      <c r="K4758" s="1795"/>
      <c r="L4758" s="169"/>
      <c r="M4758" s="1783"/>
    </row>
    <row r="4759" spans="1:13" s="1517" customFormat="1" x14ac:dyDescent="0.25">
      <c r="A4759" s="179"/>
      <c r="B4759" s="179"/>
      <c r="C4759" s="1531"/>
      <c r="D4759" s="2141" t="s">
        <v>28</v>
      </c>
      <c r="E4759" s="2141"/>
      <c r="F4759" s="2141"/>
      <c r="G4759" s="2141"/>
      <c r="H4759" s="269">
        <f>E4754</f>
        <v>1</v>
      </c>
      <c r="I4759" s="1830"/>
      <c r="J4759" s="1795"/>
      <c r="K4759" s="1795"/>
      <c r="L4759" s="169"/>
      <c r="M4759" s="1783"/>
    </row>
    <row r="4760" spans="1:13" s="1517" customFormat="1" x14ac:dyDescent="0.25">
      <c r="A4760" s="179"/>
      <c r="B4760" s="179"/>
      <c r="C4760" s="1531"/>
      <c r="D4760" s="2142" t="s">
        <v>127</v>
      </c>
      <c r="E4760" s="2142"/>
      <c r="F4760" s="2142"/>
      <c r="G4760" s="2142"/>
      <c r="H4760" s="1532">
        <f>ROUND(H4758*H4759,2)</f>
        <v>1000</v>
      </c>
      <c r="I4760" s="1830"/>
      <c r="J4760" s="1795"/>
      <c r="K4760" s="1795"/>
      <c r="L4760" s="169"/>
      <c r="M4760" s="1783"/>
    </row>
    <row r="4761" spans="1:13" s="1517" customFormat="1" x14ac:dyDescent="0.25">
      <c r="A4761" s="179"/>
      <c r="B4761" s="179"/>
      <c r="C4761" s="1531"/>
      <c r="D4761" s="2141" t="s">
        <v>15335</v>
      </c>
      <c r="E4761" s="2141"/>
      <c r="F4761" s="2141"/>
      <c r="G4761" s="2141"/>
      <c r="H4761" s="267">
        <f>ROUND(H4758*$B$13,2)</f>
        <v>269.3</v>
      </c>
      <c r="I4761" s="1830"/>
      <c r="J4761" s="1795"/>
      <c r="K4761" s="1795"/>
      <c r="L4761" s="169"/>
      <c r="M4761" s="1783"/>
    </row>
    <row r="4762" spans="1:13" x14ac:dyDescent="0.25">
      <c r="A4762" s="179"/>
      <c r="B4762" s="179"/>
      <c r="C4762" s="1531"/>
      <c r="D4762" s="2142" t="s">
        <v>7898</v>
      </c>
      <c r="E4762" s="2142"/>
      <c r="F4762" s="2142"/>
      <c r="G4762" s="2142"/>
      <c r="H4762" s="1532">
        <f>H4761+H4758</f>
        <v>1269.3</v>
      </c>
    </row>
    <row r="4763" spans="1:13" x14ac:dyDescent="0.25">
      <c r="A4763" s="1514"/>
      <c r="B4763" s="1514"/>
      <c r="C4763" s="1514"/>
      <c r="F4763" s="1533"/>
      <c r="G4763" s="1534"/>
      <c r="H4763" s="1514"/>
    </row>
  </sheetData>
  <mergeCells count="4065">
    <mergeCell ref="A344:B344"/>
    <mergeCell ref="A304:B304"/>
    <mergeCell ref="A338:H338"/>
    <mergeCell ref="A330:B330"/>
    <mergeCell ref="A328:B328"/>
    <mergeCell ref="A1272:H1272"/>
    <mergeCell ref="A919:B919"/>
    <mergeCell ref="A901:B901"/>
    <mergeCell ref="B827:C827"/>
    <mergeCell ref="A829:B829"/>
    <mergeCell ref="B12:H12"/>
    <mergeCell ref="A309:B309"/>
    <mergeCell ref="A310:B310"/>
    <mergeCell ref="A311:B311"/>
    <mergeCell ref="D312:G312"/>
    <mergeCell ref="D313:G313"/>
    <mergeCell ref="D314:G314"/>
    <mergeCell ref="D315:G315"/>
    <mergeCell ref="D316:G316"/>
    <mergeCell ref="D317:G317"/>
    <mergeCell ref="D318:G318"/>
    <mergeCell ref="A305:B305"/>
    <mergeCell ref="A306:B306"/>
    <mergeCell ref="A307:B307"/>
    <mergeCell ref="D351:G351"/>
    <mergeCell ref="D352:G352"/>
    <mergeCell ref="D353:G353"/>
    <mergeCell ref="D348:G348"/>
    <mergeCell ref="D349:G349"/>
    <mergeCell ref="D350:G350"/>
    <mergeCell ref="B340:C340"/>
    <mergeCell ref="A342:B342"/>
    <mergeCell ref="A343:B343"/>
    <mergeCell ref="A786:B786"/>
    <mergeCell ref="A780:B780"/>
    <mergeCell ref="A781:B781"/>
    <mergeCell ref="A448:B448"/>
    <mergeCell ref="D1330:G1330"/>
    <mergeCell ref="A1334:B1334"/>
    <mergeCell ref="A1335:B1335"/>
    <mergeCell ref="D1354:G1354"/>
    <mergeCell ref="A817:B817"/>
    <mergeCell ref="D819:G819"/>
    <mergeCell ref="D137:G137"/>
    <mergeCell ref="D138:G138"/>
    <mergeCell ref="D139:G139"/>
    <mergeCell ref="D140:G140"/>
    <mergeCell ref="D243:G243"/>
    <mergeCell ref="D284:G284"/>
    <mergeCell ref="D285:G285"/>
    <mergeCell ref="D286:G286"/>
    <mergeCell ref="D287:G287"/>
    <mergeCell ref="A536:H536"/>
    <mergeCell ref="B245:C245"/>
    <mergeCell ref="A247:B247"/>
    <mergeCell ref="D248:G248"/>
    <mergeCell ref="D249:G249"/>
    <mergeCell ref="D250:G250"/>
    <mergeCell ref="D251:G251"/>
    <mergeCell ref="A689:B689"/>
    <mergeCell ref="A1352:B1352"/>
    <mergeCell ref="D252:G252"/>
    <mergeCell ref="D253:G253"/>
    <mergeCell ref="A1353:B1353"/>
    <mergeCell ref="B302:C302"/>
    <mergeCell ref="D2742:G2742"/>
    <mergeCell ref="A308:B308"/>
    <mergeCell ref="A436:B436"/>
    <mergeCell ref="A446:B446"/>
    <mergeCell ref="A449:B449"/>
    <mergeCell ref="A450:B450"/>
    <mergeCell ref="A319:H319"/>
    <mergeCell ref="B2854:C2854"/>
    <mergeCell ref="A2856:B2856"/>
    <mergeCell ref="D2857:G2857"/>
    <mergeCell ref="D2858:G2858"/>
    <mergeCell ref="D2859:G2859"/>
    <mergeCell ref="B278:C278"/>
    <mergeCell ref="A280:B280"/>
    <mergeCell ref="D281:G281"/>
    <mergeCell ref="D282:G282"/>
    <mergeCell ref="D283:G283"/>
    <mergeCell ref="D2848:G2848"/>
    <mergeCell ref="D2849:G2849"/>
    <mergeCell ref="D2850:G2850"/>
    <mergeCell ref="D2851:G2851"/>
    <mergeCell ref="D2852:G2852"/>
    <mergeCell ref="B2799:C2799"/>
    <mergeCell ref="A2801:B2801"/>
    <mergeCell ref="D2802:G2802"/>
    <mergeCell ref="D2803:G2803"/>
    <mergeCell ref="D2804:G2804"/>
    <mergeCell ref="D2805:G2805"/>
    <mergeCell ref="D2806:G2806"/>
    <mergeCell ref="D732:G732"/>
    <mergeCell ref="D755:G755"/>
    <mergeCell ref="A779:B779"/>
    <mergeCell ref="D2860:G2860"/>
    <mergeCell ref="D2807:G2807"/>
    <mergeCell ref="D2808:G2808"/>
    <mergeCell ref="A2823:B2823"/>
    <mergeCell ref="B101:C101"/>
    <mergeCell ref="A111:B111"/>
    <mergeCell ref="D112:G112"/>
    <mergeCell ref="D113:G113"/>
    <mergeCell ref="D114:G114"/>
    <mergeCell ref="D115:G115"/>
    <mergeCell ref="D116:G116"/>
    <mergeCell ref="D117:G117"/>
    <mergeCell ref="D118:G118"/>
    <mergeCell ref="A119:H119"/>
    <mergeCell ref="A103:B103"/>
    <mergeCell ref="A104:B104"/>
    <mergeCell ref="A109:B109"/>
    <mergeCell ref="A110:B110"/>
    <mergeCell ref="A105:B105"/>
    <mergeCell ref="A106:B106"/>
    <mergeCell ref="A107:B107"/>
    <mergeCell ref="B177:C177"/>
    <mergeCell ref="D202:G202"/>
    <mergeCell ref="D203:G203"/>
    <mergeCell ref="D204:G204"/>
    <mergeCell ref="D136:G136"/>
    <mergeCell ref="D2736:G2736"/>
    <mergeCell ref="D2737:G2737"/>
    <mergeCell ref="D2738:G2738"/>
    <mergeCell ref="D2739:G2739"/>
    <mergeCell ref="D2740:G2740"/>
    <mergeCell ref="D2741:G2741"/>
    <mergeCell ref="D2825:G2825"/>
    <mergeCell ref="D2826:G2826"/>
    <mergeCell ref="D2827:G2827"/>
    <mergeCell ref="D2828:G2828"/>
    <mergeCell ref="D2829:G2829"/>
    <mergeCell ref="D2830:G2830"/>
    <mergeCell ref="B2832:C2832"/>
    <mergeCell ref="A2834:B2834"/>
    <mergeCell ref="D2835:G2835"/>
    <mergeCell ref="D2836:G2836"/>
    <mergeCell ref="D2837:G2837"/>
    <mergeCell ref="D2840:G2840"/>
    <mergeCell ref="D2841:G2841"/>
    <mergeCell ref="B2843:C2843"/>
    <mergeCell ref="A2845:B2845"/>
    <mergeCell ref="D2846:G2846"/>
    <mergeCell ref="D2847:G2847"/>
    <mergeCell ref="D2838:G2838"/>
    <mergeCell ref="D2839:G2839"/>
    <mergeCell ref="D2896:G2896"/>
    <mergeCell ref="D2861:G2861"/>
    <mergeCell ref="D2862:G2862"/>
    <mergeCell ref="D2863:G2863"/>
    <mergeCell ref="B2865:C2865"/>
    <mergeCell ref="A2867:B2867"/>
    <mergeCell ref="D2868:G2868"/>
    <mergeCell ref="D2869:G2869"/>
    <mergeCell ref="D2870:G2870"/>
    <mergeCell ref="D2871:G2871"/>
    <mergeCell ref="D2872:G2872"/>
    <mergeCell ref="D2873:G2873"/>
    <mergeCell ref="D2874:G2874"/>
    <mergeCell ref="B2876:C2876"/>
    <mergeCell ref="A2878:B2878"/>
    <mergeCell ref="D2879:G2879"/>
    <mergeCell ref="D2880:G2880"/>
    <mergeCell ref="D2881:G2881"/>
    <mergeCell ref="D2883:G2883"/>
    <mergeCell ref="D2884:G2884"/>
    <mergeCell ref="D2885:G2885"/>
    <mergeCell ref="B2887:C2887"/>
    <mergeCell ref="A2889:B2889"/>
    <mergeCell ref="D2890:G2890"/>
    <mergeCell ref="D2891:G2891"/>
    <mergeCell ref="D2892:G2892"/>
    <mergeCell ref="D2893:G2893"/>
    <mergeCell ref="D2894:G2894"/>
    <mergeCell ref="D2895:G2895"/>
    <mergeCell ref="D2882:G2882"/>
    <mergeCell ref="D2824:G2824"/>
    <mergeCell ref="B2810:C2810"/>
    <mergeCell ref="D2813:G2813"/>
    <mergeCell ref="D2814:G2814"/>
    <mergeCell ref="B2755:C2755"/>
    <mergeCell ref="A2757:B2757"/>
    <mergeCell ref="A2779:B2779"/>
    <mergeCell ref="D2780:G2780"/>
    <mergeCell ref="D2781:G2781"/>
    <mergeCell ref="D2782:G2782"/>
    <mergeCell ref="D2783:G2783"/>
    <mergeCell ref="D2784:G2784"/>
    <mergeCell ref="D2785:G2785"/>
    <mergeCell ref="D2786:G2786"/>
    <mergeCell ref="D2758:G2758"/>
    <mergeCell ref="D2759:G2759"/>
    <mergeCell ref="D2760:G2760"/>
    <mergeCell ref="D2761:G2761"/>
    <mergeCell ref="D2762:G2762"/>
    <mergeCell ref="D2763:G2763"/>
    <mergeCell ref="D2764:G2764"/>
    <mergeCell ref="B2766:C2766"/>
    <mergeCell ref="A2768:B2768"/>
    <mergeCell ref="D2769:G2769"/>
    <mergeCell ref="D2770:G2770"/>
    <mergeCell ref="D2771:G2771"/>
    <mergeCell ref="D2772:G2772"/>
    <mergeCell ref="D2773:G2773"/>
    <mergeCell ref="D2774:G2774"/>
    <mergeCell ref="D2775:G2775"/>
    <mergeCell ref="B2777:C2777"/>
    <mergeCell ref="B2744:C2744"/>
    <mergeCell ref="A2746:B2746"/>
    <mergeCell ref="D2747:G2747"/>
    <mergeCell ref="D2748:G2748"/>
    <mergeCell ref="D2749:G2749"/>
    <mergeCell ref="D2750:G2750"/>
    <mergeCell ref="D2751:G2751"/>
    <mergeCell ref="D2752:G2752"/>
    <mergeCell ref="D2753:G2753"/>
    <mergeCell ref="B2821:C2821"/>
    <mergeCell ref="D2815:G2815"/>
    <mergeCell ref="D2816:G2816"/>
    <mergeCell ref="D2817:G2817"/>
    <mergeCell ref="D2818:G2818"/>
    <mergeCell ref="D2819:G2819"/>
    <mergeCell ref="A2812:C2812"/>
    <mergeCell ref="B2788:C2788"/>
    <mergeCell ref="A2790:B2790"/>
    <mergeCell ref="D2791:G2791"/>
    <mergeCell ref="D2792:G2792"/>
    <mergeCell ref="D2793:G2793"/>
    <mergeCell ref="D2794:G2794"/>
    <mergeCell ref="D2795:G2795"/>
    <mergeCell ref="D2796:G2796"/>
    <mergeCell ref="D2797:G2797"/>
    <mergeCell ref="D2715:G2715"/>
    <mergeCell ref="D2716:G2716"/>
    <mergeCell ref="D2717:G2717"/>
    <mergeCell ref="D2718:G2718"/>
    <mergeCell ref="B2720:C2720"/>
    <mergeCell ref="A2722:B2722"/>
    <mergeCell ref="A2723:B2723"/>
    <mergeCell ref="A2724:B2724"/>
    <mergeCell ref="D2725:G2725"/>
    <mergeCell ref="D2726:G2726"/>
    <mergeCell ref="D2727:G2727"/>
    <mergeCell ref="D2728:G2728"/>
    <mergeCell ref="D2729:G2729"/>
    <mergeCell ref="D2730:G2730"/>
    <mergeCell ref="D2731:G2731"/>
    <mergeCell ref="B2733:C2733"/>
    <mergeCell ref="A2735:B2735"/>
    <mergeCell ref="D2694:G2694"/>
    <mergeCell ref="B2696:C2696"/>
    <mergeCell ref="A2698:B2698"/>
    <mergeCell ref="A2699:B2699"/>
    <mergeCell ref="A2700:B2700"/>
    <mergeCell ref="D2701:G2701"/>
    <mergeCell ref="D2702:G2702"/>
    <mergeCell ref="D2703:G2703"/>
    <mergeCell ref="D2704:G2704"/>
    <mergeCell ref="D2705:G2705"/>
    <mergeCell ref="D2706:G2706"/>
    <mergeCell ref="D2707:G2707"/>
    <mergeCell ref="B2709:C2709"/>
    <mergeCell ref="A2711:B2711"/>
    <mergeCell ref="D2712:G2712"/>
    <mergeCell ref="D2713:G2713"/>
    <mergeCell ref="D2714:G2714"/>
    <mergeCell ref="D2675:G2675"/>
    <mergeCell ref="D2676:G2676"/>
    <mergeCell ref="D2677:G2677"/>
    <mergeCell ref="D2678:G2678"/>
    <mergeCell ref="D2679:G2679"/>
    <mergeCell ref="D2680:G2680"/>
    <mergeCell ref="D2681:G2681"/>
    <mergeCell ref="B2683:C2683"/>
    <mergeCell ref="A2685:B2685"/>
    <mergeCell ref="A2686:B2686"/>
    <mergeCell ref="A2687:B2687"/>
    <mergeCell ref="D2688:G2688"/>
    <mergeCell ref="D2689:G2689"/>
    <mergeCell ref="D2690:G2690"/>
    <mergeCell ref="D2691:G2691"/>
    <mergeCell ref="D2692:G2692"/>
    <mergeCell ref="D2693:G2693"/>
    <mergeCell ref="D2654:G2654"/>
    <mergeCell ref="D2655:G2655"/>
    <mergeCell ref="D2656:G2656"/>
    <mergeCell ref="D2657:G2657"/>
    <mergeCell ref="D2658:G2658"/>
    <mergeCell ref="D2659:G2659"/>
    <mergeCell ref="B2661:C2661"/>
    <mergeCell ref="A2663:B2663"/>
    <mergeCell ref="D2664:G2664"/>
    <mergeCell ref="D2665:G2665"/>
    <mergeCell ref="D2666:G2666"/>
    <mergeCell ref="D2667:G2667"/>
    <mergeCell ref="D2668:G2668"/>
    <mergeCell ref="D2669:G2669"/>
    <mergeCell ref="D2670:G2670"/>
    <mergeCell ref="B2672:C2672"/>
    <mergeCell ref="A2674:B2674"/>
    <mergeCell ref="D2648:G2648"/>
    <mergeCell ref="B2650:C2650"/>
    <mergeCell ref="A2652:B2652"/>
    <mergeCell ref="D2653:G2653"/>
    <mergeCell ref="D2574:G2574"/>
    <mergeCell ref="D2575:G2575"/>
    <mergeCell ref="D2576:G2576"/>
    <mergeCell ref="D2598:G2598"/>
    <mergeCell ref="D2599:G2599"/>
    <mergeCell ref="D2600:G2600"/>
    <mergeCell ref="D2601:G2601"/>
    <mergeCell ref="D2602:G2602"/>
    <mergeCell ref="B2604:C2604"/>
    <mergeCell ref="A2606:B2606"/>
    <mergeCell ref="D2607:G2607"/>
    <mergeCell ref="D2608:G2608"/>
    <mergeCell ref="D2609:G2609"/>
    <mergeCell ref="D2610:G2610"/>
    <mergeCell ref="D2611:G2611"/>
    <mergeCell ref="B2615:C2615"/>
    <mergeCell ref="D2566:G2566"/>
    <mergeCell ref="D2567:G2567"/>
    <mergeCell ref="D2568:G2568"/>
    <mergeCell ref="D2634:G2634"/>
    <mergeCell ref="D2635:G2635"/>
    <mergeCell ref="D2636:G2636"/>
    <mergeCell ref="D2637:G2637"/>
    <mergeCell ref="B2639:C2639"/>
    <mergeCell ref="A2641:B2641"/>
    <mergeCell ref="D2591:G2591"/>
    <mergeCell ref="B2593:C2593"/>
    <mergeCell ref="D2642:G2642"/>
    <mergeCell ref="D2643:G2643"/>
    <mergeCell ref="D2644:G2644"/>
    <mergeCell ref="D2645:G2645"/>
    <mergeCell ref="D2646:G2646"/>
    <mergeCell ref="D2647:G2647"/>
    <mergeCell ref="D4661:G4661"/>
    <mergeCell ref="D4662:G4662"/>
    <mergeCell ref="D2534:G2534"/>
    <mergeCell ref="D2535:G2535"/>
    <mergeCell ref="A2617:B2617"/>
    <mergeCell ref="D2618:G2618"/>
    <mergeCell ref="D2619:G2619"/>
    <mergeCell ref="D2620:G2620"/>
    <mergeCell ref="D2621:G2621"/>
    <mergeCell ref="D2622:G2622"/>
    <mergeCell ref="D2623:G2623"/>
    <mergeCell ref="D2624:G2624"/>
    <mergeCell ref="B2626:C2626"/>
    <mergeCell ref="A2628:B2628"/>
    <mergeCell ref="A2629:B2629"/>
    <mergeCell ref="A2630:B2630"/>
    <mergeCell ref="D2631:G2631"/>
    <mergeCell ref="D2632:G2632"/>
    <mergeCell ref="D2633:G2633"/>
    <mergeCell ref="D2543:G2543"/>
    <mergeCell ref="D2544:G2544"/>
    <mergeCell ref="D2545:G2545"/>
    <mergeCell ref="D2546:G2546"/>
    <mergeCell ref="D2547:G2547"/>
    <mergeCell ref="D2555:G2555"/>
    <mergeCell ref="D2557:G2557"/>
    <mergeCell ref="D2558:G2558"/>
    <mergeCell ref="B2560:C2560"/>
    <mergeCell ref="A2562:B2562"/>
    <mergeCell ref="D2563:G2563"/>
    <mergeCell ref="D2564:G2564"/>
    <mergeCell ref="D2565:G2565"/>
    <mergeCell ref="D2353:G2353"/>
    <mergeCell ref="D2362:G2362"/>
    <mergeCell ref="D2363:G2363"/>
    <mergeCell ref="D2366:G2366"/>
    <mergeCell ref="D2336:G2336"/>
    <mergeCell ref="D4666:G4666"/>
    <mergeCell ref="B4377:C4377"/>
    <mergeCell ref="D4386:G4386"/>
    <mergeCell ref="D4324:G4324"/>
    <mergeCell ref="D4307:G4307"/>
    <mergeCell ref="D4311:G4311"/>
    <mergeCell ref="B3215:C3215"/>
    <mergeCell ref="D3259:G3259"/>
    <mergeCell ref="D3181:G3181"/>
    <mergeCell ref="D3182:G3182"/>
    <mergeCell ref="A3400:B3400"/>
    <mergeCell ref="D3380:G3380"/>
    <mergeCell ref="B3358:C3358"/>
    <mergeCell ref="D3402:G3402"/>
    <mergeCell ref="D3403:G3403"/>
    <mergeCell ref="D3351:G3351"/>
    <mergeCell ref="D3013:G3013"/>
    <mergeCell ref="D3014:G3014"/>
    <mergeCell ref="B3863:C3863"/>
    <mergeCell ref="A3866:B3866"/>
    <mergeCell ref="D3867:G3867"/>
    <mergeCell ref="D3868:G3868"/>
    <mergeCell ref="D3869:G3869"/>
    <mergeCell ref="D3870:G3870"/>
    <mergeCell ref="D3871:G3871"/>
    <mergeCell ref="D3872:G3872"/>
    <mergeCell ref="D4321:G4321"/>
    <mergeCell ref="A3219:B3219"/>
    <mergeCell ref="D3225:G3225"/>
    <mergeCell ref="D3226:G3226"/>
    <mergeCell ref="B3228:C3228"/>
    <mergeCell ref="B4225:C4225"/>
    <mergeCell ref="A4227:B4227"/>
    <mergeCell ref="A2306:B2306"/>
    <mergeCell ref="D2313:G2313"/>
    <mergeCell ref="A2308:B2308"/>
    <mergeCell ref="D2309:G2309"/>
    <mergeCell ref="D2320:G2320"/>
    <mergeCell ref="B2952:C2952"/>
    <mergeCell ref="A2926:B2926"/>
    <mergeCell ref="D2932:G2932"/>
    <mergeCell ref="A2928:B2928"/>
    <mergeCell ref="A2929:B2929"/>
    <mergeCell ref="D2377:G2377"/>
    <mergeCell ref="D2378:G2378"/>
    <mergeCell ref="D2379:G2379"/>
    <mergeCell ref="B2392:C2392"/>
    <mergeCell ref="A2394:B2394"/>
    <mergeCell ref="D2395:G2395"/>
    <mergeCell ref="D2396:G2396"/>
    <mergeCell ref="D2397:G2397"/>
    <mergeCell ref="D2398:G2398"/>
    <mergeCell ref="D2324:G2324"/>
    <mergeCell ref="D2352:G2352"/>
    <mergeCell ref="A2427:B2427"/>
    <mergeCell ref="D2428:G2428"/>
    <mergeCell ref="D2429:G2429"/>
    <mergeCell ref="D2431:G2431"/>
    <mergeCell ref="D2432:G2432"/>
    <mergeCell ref="D3211:G3211"/>
    <mergeCell ref="A3282:B3282"/>
    <mergeCell ref="A3362:B3362"/>
    <mergeCell ref="D2502:G2502"/>
    <mergeCell ref="D2503:G2503"/>
    <mergeCell ref="B2505:C2505"/>
    <mergeCell ref="D2311:G2311"/>
    <mergeCell ref="D3576:G3576"/>
    <mergeCell ref="D3577:G3577"/>
    <mergeCell ref="A4172:B4172"/>
    <mergeCell ref="D4192:G4192"/>
    <mergeCell ref="A4214:B4214"/>
    <mergeCell ref="D4312:G4312"/>
    <mergeCell ref="D3210:G3210"/>
    <mergeCell ref="D3404:G3404"/>
    <mergeCell ref="D3405:G3405"/>
    <mergeCell ref="A3323:B3323"/>
    <mergeCell ref="D3324:G3324"/>
    <mergeCell ref="D3325:G3325"/>
    <mergeCell ref="D3326:G3326"/>
    <mergeCell ref="D3313:G3313"/>
    <mergeCell ref="D3327:G3327"/>
    <mergeCell ref="D3252:G3252"/>
    <mergeCell ref="D4193:G4193"/>
    <mergeCell ref="B3410:C3410"/>
    <mergeCell ref="A4088:B4088"/>
    <mergeCell ref="A4229:B4229"/>
    <mergeCell ref="D3350:G3350"/>
    <mergeCell ref="B3241:C3241"/>
    <mergeCell ref="D3220:G3220"/>
    <mergeCell ref="D3221:G3221"/>
    <mergeCell ref="A3243:B3243"/>
    <mergeCell ref="D821:G821"/>
    <mergeCell ref="D99:G99"/>
    <mergeCell ref="D189:G189"/>
    <mergeCell ref="D190:G190"/>
    <mergeCell ref="D191:G191"/>
    <mergeCell ref="A108:B108"/>
    <mergeCell ref="A1009:B1009"/>
    <mergeCell ref="A196:H196"/>
    <mergeCell ref="D4663:G4663"/>
    <mergeCell ref="D4332:G4332"/>
    <mergeCell ref="D4333:G4333"/>
    <mergeCell ref="D4334:G4334"/>
    <mergeCell ref="D4335:G4335"/>
    <mergeCell ref="D4380:G4380"/>
    <mergeCell ref="D4381:G4381"/>
    <mergeCell ref="A4379:B4379"/>
    <mergeCell ref="D4385:G4385"/>
    <mergeCell ref="A3244:B3244"/>
    <mergeCell ref="D3265:G3265"/>
    <mergeCell ref="D3263:G3263"/>
    <mergeCell ref="A3245:B3245"/>
    <mergeCell ref="D3248:G3248"/>
    <mergeCell ref="A3218:B3218"/>
    <mergeCell ref="D3212:G3212"/>
    <mergeCell ref="A2485:B2485"/>
    <mergeCell ref="D2486:G2486"/>
    <mergeCell ref="D3379:G3379"/>
    <mergeCell ref="D4152:G4152"/>
    <mergeCell ref="D4153:G4153"/>
    <mergeCell ref="D3381:G3381"/>
    <mergeCell ref="D3382:G3382"/>
    <mergeCell ref="D4322:G4322"/>
    <mergeCell ref="D823:G823"/>
    <mergeCell ref="A862:B862"/>
    <mergeCell ref="D2149:G2149"/>
    <mergeCell ref="B2156:C2156"/>
    <mergeCell ref="D2138:G2138"/>
    <mergeCell ref="B2140:C2140"/>
    <mergeCell ref="A2142:B2142"/>
    <mergeCell ref="A2143:B2143"/>
    <mergeCell ref="D97:G97"/>
    <mergeCell ref="D98:G98"/>
    <mergeCell ref="A183:B183"/>
    <mergeCell ref="D194:G194"/>
    <mergeCell ref="B777:C777"/>
    <mergeCell ref="B683:C683"/>
    <mergeCell ref="A674:B674"/>
    <mergeCell ref="A766:B766"/>
    <mergeCell ref="A742:B742"/>
    <mergeCell ref="A502:B502"/>
    <mergeCell ref="D734:G734"/>
    <mergeCell ref="D733:G733"/>
    <mergeCell ref="D192:G192"/>
    <mergeCell ref="D193:G193"/>
    <mergeCell ref="D1016:G1016"/>
    <mergeCell ref="A1008:B1008"/>
    <mergeCell ref="A950:B950"/>
    <mergeCell ref="A938:B938"/>
    <mergeCell ref="A939:B939"/>
    <mergeCell ref="D803:G803"/>
    <mergeCell ref="A325:B325"/>
    <mergeCell ref="A686:B686"/>
    <mergeCell ref="D820:G820"/>
    <mergeCell ref="A1117:B1117"/>
    <mergeCell ref="D1118:G1118"/>
    <mergeCell ref="A802:B802"/>
    <mergeCell ref="A765:B765"/>
    <mergeCell ref="B740:C740"/>
    <mergeCell ref="A2161:B2161"/>
    <mergeCell ref="D1140:G1140"/>
    <mergeCell ref="D1369:G1369"/>
    <mergeCell ref="D1370:G1370"/>
    <mergeCell ref="D1371:G1371"/>
    <mergeCell ref="D1372:G1372"/>
    <mergeCell ref="D1373:G1373"/>
    <mergeCell ref="B1375:C1375"/>
    <mergeCell ref="A1377:B1377"/>
    <mergeCell ref="A2144:B2144"/>
    <mergeCell ref="D804:G804"/>
    <mergeCell ref="D1465:G1465"/>
    <mergeCell ref="D1325:G1325"/>
    <mergeCell ref="D1326:G1326"/>
    <mergeCell ref="B1399:C1399"/>
    <mergeCell ref="D1360:G1360"/>
    <mergeCell ref="B1348:C1348"/>
    <mergeCell ref="A1350:B1350"/>
    <mergeCell ref="A1351:B1351"/>
    <mergeCell ref="D1341:G1341"/>
    <mergeCell ref="A975:B975"/>
    <mergeCell ref="A1247:H1247"/>
    <mergeCell ref="A1228:B1228"/>
    <mergeCell ref="A1230:B1230"/>
    <mergeCell ref="A1233:B1233"/>
    <mergeCell ref="A1234:B1234"/>
    <mergeCell ref="D807:G807"/>
    <mergeCell ref="A2068:B2068"/>
    <mergeCell ref="B2370:C2370"/>
    <mergeCell ref="D2462:G2462"/>
    <mergeCell ref="A3204:B3204"/>
    <mergeCell ref="D2349:G2349"/>
    <mergeCell ref="D2990:G2990"/>
    <mergeCell ref="D2213:G2213"/>
    <mergeCell ref="D2214:G2214"/>
    <mergeCell ref="A2225:B2225"/>
    <mergeCell ref="D1164:G1164"/>
    <mergeCell ref="D2247:G2247"/>
    <mergeCell ref="B2204:C2204"/>
    <mergeCell ref="A2206:B2206"/>
    <mergeCell ref="A2207:B2207"/>
    <mergeCell ref="A2208:B2208"/>
    <mergeCell ref="A2209:B2209"/>
    <mergeCell ref="B2236:C2236"/>
    <mergeCell ref="A2254:B2254"/>
    <mergeCell ref="D2314:G2314"/>
    <mergeCell ref="A2223:B2223"/>
    <mergeCell ref="A2224:B2224"/>
    <mergeCell ref="B2284:C2284"/>
    <mergeCell ref="A2286:B2286"/>
    <mergeCell ref="A2287:B2287"/>
    <mergeCell ref="A2288:B2288"/>
    <mergeCell ref="A2289:B2289"/>
    <mergeCell ref="A2290:B2290"/>
    <mergeCell ref="A2307:B2307"/>
    <mergeCell ref="A2450:B2450"/>
    <mergeCell ref="A2238:B2238"/>
    <mergeCell ref="A2272:B2272"/>
    <mergeCell ref="D1324:G1324"/>
    <mergeCell ref="D2430:G2430"/>
    <mergeCell ref="A2291:B2291"/>
    <mergeCell ref="D2261:G2261"/>
    <mergeCell ref="D2228:G2228"/>
    <mergeCell ref="D2229:G2229"/>
    <mergeCell ref="B2266:C2266"/>
    <mergeCell ref="A2239:B2239"/>
    <mergeCell ref="A2240:B2240"/>
    <mergeCell ref="D2278:G2278"/>
    <mergeCell ref="D2295:G2295"/>
    <mergeCell ref="D2296:G2296"/>
    <mergeCell ref="D2297:G2297"/>
    <mergeCell ref="D2298:G2298"/>
    <mergeCell ref="A2273:B2273"/>
    <mergeCell ref="A2274:B2274"/>
    <mergeCell ref="A2275:B2275"/>
    <mergeCell ref="D2248:G2248"/>
    <mergeCell ref="D2249:G2249"/>
    <mergeCell ref="B2251:C2251"/>
    <mergeCell ref="A2292:B2292"/>
    <mergeCell ref="D2230:G2230"/>
    <mergeCell ref="D2231:G2231"/>
    <mergeCell ref="D2232:G2232"/>
    <mergeCell ref="D2233:G2233"/>
    <mergeCell ref="D2234:G2234"/>
    <mergeCell ref="A2257:B2257"/>
    <mergeCell ref="D2258:G2258"/>
    <mergeCell ref="D2259:G2259"/>
    <mergeCell ref="D2260:G2260"/>
    <mergeCell ref="D2262:G2262"/>
    <mergeCell ref="D2263:G2263"/>
    <mergeCell ref="D2264:G2264"/>
    <mergeCell ref="A2241:B2241"/>
    <mergeCell ref="B2304:C2304"/>
    <mergeCell ref="B2994:C2994"/>
    <mergeCell ref="A2996:B2996"/>
    <mergeCell ref="D2310:G2310"/>
    <mergeCell ref="D2312:G2312"/>
    <mergeCell ref="B2448:C2448"/>
    <mergeCell ref="D2300:G2300"/>
    <mergeCell ref="A2271:B2271"/>
    <mergeCell ref="A2293:B2293"/>
    <mergeCell ref="D2294:G2294"/>
    <mergeCell ref="A2242:B2242"/>
    <mergeCell ref="D2282:G2282"/>
    <mergeCell ref="D2465:G2465"/>
    <mergeCell ref="D2466:G2466"/>
    <mergeCell ref="D2467:G2467"/>
    <mergeCell ref="D2463:G2463"/>
    <mergeCell ref="D2299:G2299"/>
    <mergeCell ref="D2315:G2315"/>
    <mergeCell ref="B2317:C2317"/>
    <mergeCell ref="B2342:C2342"/>
    <mergeCell ref="D2962:G2962"/>
    <mergeCell ref="A2345:B2345"/>
    <mergeCell ref="D2350:G2350"/>
    <mergeCell ref="D2367:G2367"/>
    <mergeCell ref="D2364:G2364"/>
    <mergeCell ref="D2365:G2365"/>
    <mergeCell ref="D2321:G2321"/>
    <mergeCell ref="D2322:G2322"/>
    <mergeCell ref="D2323:G2323"/>
    <mergeCell ref="D2325:G2325"/>
    <mergeCell ref="D2326:G2326"/>
    <mergeCell ref="D2340:G2340"/>
    <mergeCell ref="D3170:G3170"/>
    <mergeCell ref="D3173:G3173"/>
    <mergeCell ref="D2468:G2468"/>
    <mergeCell ref="D3015:G3015"/>
    <mergeCell ref="A2372:B2372"/>
    <mergeCell ref="D2373:G2373"/>
    <mergeCell ref="A3960:B3960"/>
    <mergeCell ref="D3961:G3961"/>
    <mergeCell ref="B2459:C2459"/>
    <mergeCell ref="A2461:B2461"/>
    <mergeCell ref="D3077:G3077"/>
    <mergeCell ref="D2961:G2961"/>
    <mergeCell ref="A2982:B2982"/>
    <mergeCell ref="B3072:C3072"/>
    <mergeCell ref="D3003:G3003"/>
    <mergeCell ref="D3004:G3004"/>
    <mergeCell ref="D3005:G3005"/>
    <mergeCell ref="D2933:G2933"/>
    <mergeCell ref="D2934:G2934"/>
    <mergeCell ref="A3010:B3010"/>
    <mergeCell ref="A3011:B3011"/>
    <mergeCell ref="D2999:G2999"/>
    <mergeCell ref="D3012:G3012"/>
    <mergeCell ref="B2381:C2381"/>
    <mergeCell ref="A2383:B2383"/>
    <mergeCell ref="D2384:G2384"/>
    <mergeCell ref="D2385:G2385"/>
    <mergeCell ref="A2507:B2507"/>
    <mergeCell ref="D2508:G2508"/>
    <mergeCell ref="D2509:G2509"/>
    <mergeCell ref="D2510:G2510"/>
    <mergeCell ref="D2533:G2533"/>
    <mergeCell ref="D4762:G4762"/>
    <mergeCell ref="B4734:C4734"/>
    <mergeCell ref="A4736:B4736"/>
    <mergeCell ref="D4737:G4737"/>
    <mergeCell ref="D4738:G4738"/>
    <mergeCell ref="D4739:G4739"/>
    <mergeCell ref="D4740:G4740"/>
    <mergeCell ref="D4756:G4756"/>
    <mergeCell ref="B4753:C4753"/>
    <mergeCell ref="A4755:B4755"/>
    <mergeCell ref="D4757:G4757"/>
    <mergeCell ref="D4758:G4758"/>
    <mergeCell ref="D4759:G4759"/>
    <mergeCell ref="D4760:G4760"/>
    <mergeCell ref="D4749:G4749"/>
    <mergeCell ref="D4750:G4750"/>
    <mergeCell ref="D4751:G4751"/>
    <mergeCell ref="D4747:G4747"/>
    <mergeCell ref="D4745:G4745"/>
    <mergeCell ref="D4748:G4748"/>
    <mergeCell ref="B4742:C4742"/>
    <mergeCell ref="A4744:B4744"/>
    <mergeCell ref="D4746:G4746"/>
    <mergeCell ref="D4761:G4761"/>
    <mergeCell ref="D3342:G3342"/>
    <mergeCell ref="D3343:G3343"/>
    <mergeCell ref="B3345:C3345"/>
    <mergeCell ref="A3347:B3347"/>
    <mergeCell ref="A3348:B3348"/>
    <mergeCell ref="A3374:B3374"/>
    <mergeCell ref="A3375:B3375"/>
    <mergeCell ref="D3314:G3314"/>
    <mergeCell ref="D3315:G3315"/>
    <mergeCell ref="D3316:G3316"/>
    <mergeCell ref="D3317:G3317"/>
    <mergeCell ref="A3349:B3349"/>
    <mergeCell ref="A3413:B3413"/>
    <mergeCell ref="A3414:B3414"/>
    <mergeCell ref="B4327:C4327"/>
    <mergeCell ref="A4330:B4330"/>
    <mergeCell ref="A3335:B3335"/>
    <mergeCell ref="A3336:B3336"/>
    <mergeCell ref="D3337:G3337"/>
    <mergeCell ref="D4222:G4222"/>
    <mergeCell ref="D4230:G4230"/>
    <mergeCell ref="D4220:G4220"/>
    <mergeCell ref="D4221:G4221"/>
    <mergeCell ref="A4203:B4203"/>
    <mergeCell ref="D4219:G4219"/>
    <mergeCell ref="B4212:C4212"/>
    <mergeCell ref="D4223:G4223"/>
    <mergeCell ref="A4316:B4316"/>
    <mergeCell ref="A4304:B4304"/>
    <mergeCell ref="D4162:G4162"/>
    <mergeCell ref="D4163:G4163"/>
    <mergeCell ref="D3353:G3353"/>
    <mergeCell ref="A3360:B3360"/>
    <mergeCell ref="D3354:G3354"/>
    <mergeCell ref="D4284:G4284"/>
    <mergeCell ref="A4254:B4254"/>
    <mergeCell ref="A4255:B4255"/>
    <mergeCell ref="B3423:C3423"/>
    <mergeCell ref="D3433:G3433"/>
    <mergeCell ref="D3434:G3434"/>
    <mergeCell ref="D4338:G4338"/>
    <mergeCell ref="A4329:B4329"/>
    <mergeCell ref="B4340:C4340"/>
    <mergeCell ref="A4342:B4342"/>
    <mergeCell ref="A4343:B4343"/>
    <mergeCell ref="A4344:B4344"/>
    <mergeCell ref="D4308:G4308"/>
    <mergeCell ref="D4274:G4274"/>
    <mergeCell ref="B4277:C4277"/>
    <mergeCell ref="D4247:G4247"/>
    <mergeCell ref="D4273:G4273"/>
    <mergeCell ref="D4319:G4319"/>
    <mergeCell ref="A4317:B4317"/>
    <mergeCell ref="D4309:G4309"/>
    <mergeCell ref="A4318:B4318"/>
    <mergeCell ref="A4303:B4303"/>
    <mergeCell ref="D4310:G4310"/>
    <mergeCell ref="D4306:G4306"/>
    <mergeCell ref="A4290:B4290"/>
    <mergeCell ref="D4280:G4280"/>
    <mergeCell ref="D4296:G4296"/>
    <mergeCell ref="D4281:G4281"/>
    <mergeCell ref="D3393:G3393"/>
    <mergeCell ref="D3394:G3394"/>
    <mergeCell ref="B4657:C4657"/>
    <mergeCell ref="A4659:B4659"/>
    <mergeCell ref="D4660:G4660"/>
    <mergeCell ref="D4286:G4286"/>
    <mergeCell ref="D4445:G4445"/>
    <mergeCell ref="D4446:G4446"/>
    <mergeCell ref="A4414:B4414"/>
    <mergeCell ref="A4415:B4415"/>
    <mergeCell ref="A4416:B4416"/>
    <mergeCell ref="D4418:G4418"/>
    <mergeCell ref="D4419:G4419"/>
    <mergeCell ref="D4420:G4420"/>
    <mergeCell ref="D4421:G4421"/>
    <mergeCell ref="D4422:G4422"/>
    <mergeCell ref="D4423:G4423"/>
    <mergeCell ref="B4425:C4425"/>
    <mergeCell ref="A4427:B4427"/>
    <mergeCell ref="A4428:B4428"/>
    <mergeCell ref="A4429:B4429"/>
    <mergeCell ref="D4459:G4459"/>
    <mergeCell ref="D4460:G4460"/>
    <mergeCell ref="A4452:B4452"/>
    <mergeCell ref="A4453:B4453"/>
    <mergeCell ref="B4462:C4462"/>
    <mergeCell ref="D4364:G4364"/>
    <mergeCell ref="B4366:C4366"/>
    <mergeCell ref="A4368:B4368"/>
    <mergeCell ref="D4369:G4369"/>
    <mergeCell ref="D4370:G4370"/>
    <mergeCell ref="D4371:G4371"/>
    <mergeCell ref="D4372:G4372"/>
    <mergeCell ref="D4373:G4373"/>
    <mergeCell ref="D3395:G3395"/>
    <mergeCell ref="B3384:C3384"/>
    <mergeCell ref="A3386:B3386"/>
    <mergeCell ref="A3387:B3387"/>
    <mergeCell ref="A3388:B3388"/>
    <mergeCell ref="D3408:G3408"/>
    <mergeCell ref="B3397:C3397"/>
    <mergeCell ref="A3399:B3399"/>
    <mergeCell ref="D4167:G4167"/>
    <mergeCell ref="A4216:B4216"/>
    <mergeCell ref="D4217:G4217"/>
    <mergeCell ref="D3415:G3415"/>
    <mergeCell ref="A3956:B3956"/>
    <mergeCell ref="A3957:B3957"/>
    <mergeCell ref="A3958:B3958"/>
    <mergeCell ref="A3959:B3959"/>
    <mergeCell ref="D3966:G3966"/>
    <mergeCell ref="D3963:G3963"/>
    <mergeCell ref="D3964:G3964"/>
    <mergeCell ref="D3965:G3965"/>
    <mergeCell ref="A3451:B3451"/>
    <mergeCell ref="A3452:B3452"/>
    <mergeCell ref="B3462:C3462"/>
    <mergeCell ref="A3464:B3464"/>
    <mergeCell ref="A3465:B3465"/>
    <mergeCell ref="A3466:B3466"/>
    <mergeCell ref="D3967:G3967"/>
    <mergeCell ref="D3962:G3962"/>
    <mergeCell ref="B3449:C3449"/>
    <mergeCell ref="A3426:B3426"/>
    <mergeCell ref="A3477:B3477"/>
    <mergeCell ref="A3427:B3427"/>
    <mergeCell ref="D3428:G3428"/>
    <mergeCell ref="D4154:G4154"/>
    <mergeCell ref="D4155:G4155"/>
    <mergeCell ref="D3247:G3247"/>
    <mergeCell ref="D3277:G3277"/>
    <mergeCell ref="D3278:G3278"/>
    <mergeCell ref="B3280:C3280"/>
    <mergeCell ref="D4665:G4665"/>
    <mergeCell ref="B3553:C3553"/>
    <mergeCell ref="A3555:B3555"/>
    <mergeCell ref="A3556:B3556"/>
    <mergeCell ref="A3557:B3557"/>
    <mergeCell ref="D3558:G3558"/>
    <mergeCell ref="D3559:G3559"/>
    <mergeCell ref="D3560:G3560"/>
    <mergeCell ref="D3561:G3561"/>
    <mergeCell ref="D3562:G3562"/>
    <mergeCell ref="D3563:G3563"/>
    <mergeCell ref="D3564:G3564"/>
    <mergeCell ref="B3566:C3566"/>
    <mergeCell ref="A3568:B3568"/>
    <mergeCell ref="D3546:G3546"/>
    <mergeCell ref="D3547:G3547"/>
    <mergeCell ref="D3303:G3303"/>
    <mergeCell ref="D4164:G4164"/>
    <mergeCell ref="A3518:B3518"/>
    <mergeCell ref="D3519:G3519"/>
    <mergeCell ref="D3482:G3482"/>
    <mergeCell ref="D3328:G3328"/>
    <mergeCell ref="D4166:G4166"/>
    <mergeCell ref="D4664:G4664"/>
    <mergeCell ref="D3312:G3312"/>
    <mergeCell ref="A4215:B4215"/>
    <mergeCell ref="A3373:B3373"/>
    <mergeCell ref="D4151:G4151"/>
    <mergeCell ref="A4189:B4189"/>
    <mergeCell ref="D3390:G3390"/>
    <mergeCell ref="B3007:C3007"/>
    <mergeCell ref="A3074:B3074"/>
    <mergeCell ref="D3161:G3161"/>
    <mergeCell ref="B3137:C3137"/>
    <mergeCell ref="B3267:C3267"/>
    <mergeCell ref="A3230:B3230"/>
    <mergeCell ref="A3295:B3295"/>
    <mergeCell ref="D3290:G3290"/>
    <mergeCell ref="D3238:G3238"/>
    <mergeCell ref="A3231:B3231"/>
    <mergeCell ref="D3233:G3233"/>
    <mergeCell ref="D3200:G3200"/>
    <mergeCell ref="D3276:G3276"/>
    <mergeCell ref="D3250:G3250"/>
    <mergeCell ref="D3251:G3251"/>
    <mergeCell ref="D3186:G3186"/>
    <mergeCell ref="A3269:B3269"/>
    <mergeCell ref="A3271:B3271"/>
    <mergeCell ref="A3232:B3232"/>
    <mergeCell ref="D3224:G3224"/>
    <mergeCell ref="A3217:B3217"/>
    <mergeCell ref="A3321:B3321"/>
    <mergeCell ref="A3322:B3322"/>
    <mergeCell ref="D3187:G3187"/>
    <mergeCell ref="D3108:G3108"/>
    <mergeCell ref="A3191:B3191"/>
    <mergeCell ref="A3192:B3192"/>
    <mergeCell ref="D4218:G4218"/>
    <mergeCell ref="D3457:G3457"/>
    <mergeCell ref="D3213:G3213"/>
    <mergeCell ref="B3202:C3202"/>
    <mergeCell ref="A3205:B3205"/>
    <mergeCell ref="B3189:C3189"/>
    <mergeCell ref="A3206:B3206"/>
    <mergeCell ref="D3207:G3207"/>
    <mergeCell ref="D3222:G3222"/>
    <mergeCell ref="D3223:G3223"/>
    <mergeCell ref="D3246:G3246"/>
    <mergeCell ref="A2360:B2360"/>
    <mergeCell ref="A2361:B2361"/>
    <mergeCell ref="D2351:G2351"/>
    <mergeCell ref="D2454:G2454"/>
    <mergeCell ref="B2470:C2470"/>
    <mergeCell ref="A3955:B3955"/>
    <mergeCell ref="D2464:G2464"/>
    <mergeCell ref="B3953:C3953"/>
    <mergeCell ref="A2358:B2358"/>
    <mergeCell ref="D2400:G2400"/>
    <mergeCell ref="D2401:G2401"/>
    <mergeCell ref="D2410:G2410"/>
    <mergeCell ref="D2411:G2411"/>
    <mergeCell ref="D2433:G2433"/>
    <mergeCell ref="D2434:G2434"/>
    <mergeCell ref="A2359:B2359"/>
    <mergeCell ref="B2980:C2980"/>
    <mergeCell ref="A3166:B3166"/>
    <mergeCell ref="A3167:B3167"/>
    <mergeCell ref="A3009:B3009"/>
    <mergeCell ref="D3107:G3107"/>
    <mergeCell ref="D3000:G3000"/>
    <mergeCell ref="D2153:G2153"/>
    <mergeCell ref="D2154:G2154"/>
    <mergeCell ref="D2184:G2184"/>
    <mergeCell ref="D2185:G2185"/>
    <mergeCell ref="D2186:G2186"/>
    <mergeCell ref="D2347:G2347"/>
    <mergeCell ref="D2348:G2348"/>
    <mergeCell ref="D2215:G2215"/>
    <mergeCell ref="D2216:G2216"/>
    <mergeCell ref="D2217:G2217"/>
    <mergeCell ref="D3184:G3184"/>
    <mergeCell ref="A2319:B2319"/>
    <mergeCell ref="D2949:G2949"/>
    <mergeCell ref="D2374:G2374"/>
    <mergeCell ref="D2375:G2375"/>
    <mergeCell ref="D2376:G2376"/>
    <mergeCell ref="D2388:G2388"/>
    <mergeCell ref="D2386:G2386"/>
    <mergeCell ref="D2412:G2412"/>
    <mergeCell ref="B3163:C3163"/>
    <mergeCell ref="B2966:C2966"/>
    <mergeCell ref="D2389:G2389"/>
    <mergeCell ref="D2390:G2390"/>
    <mergeCell ref="A3165:B3165"/>
    <mergeCell ref="B2403:C2403"/>
    <mergeCell ref="A2405:B2405"/>
    <mergeCell ref="D2407:G2407"/>
    <mergeCell ref="D2408:G2408"/>
    <mergeCell ref="D2409:G2409"/>
    <mergeCell ref="A2927:B2927"/>
    <mergeCell ref="D2963:G2963"/>
    <mergeCell ref="D2368:G2368"/>
    <mergeCell ref="A2332:B2332"/>
    <mergeCell ref="A2331:B2331"/>
    <mergeCell ref="D2406:G2406"/>
    <mergeCell ref="D2399:G2399"/>
    <mergeCell ref="D2387:G2387"/>
    <mergeCell ref="D2419:G2419"/>
    <mergeCell ref="D2420:G2420"/>
    <mergeCell ref="D2421:G2421"/>
    <mergeCell ref="D2422:G2422"/>
    <mergeCell ref="D2423:G2423"/>
    <mergeCell ref="B2425:C2425"/>
    <mergeCell ref="A2997:B2997"/>
    <mergeCell ref="D2988:G2988"/>
    <mergeCell ref="D2989:G2989"/>
    <mergeCell ref="D2552:G2552"/>
    <mergeCell ref="A3088:B3088"/>
    <mergeCell ref="A2983:B2983"/>
    <mergeCell ref="D2337:G2337"/>
    <mergeCell ref="D2338:G2338"/>
    <mergeCell ref="D2339:G2339"/>
    <mergeCell ref="A2357:B2357"/>
    <mergeCell ref="A2344:B2344"/>
    <mergeCell ref="A2346:B2346"/>
    <mergeCell ref="B2355:C2355"/>
    <mergeCell ref="A2940:B2940"/>
    <mergeCell ref="A2941:B2941"/>
    <mergeCell ref="A2942:B2942"/>
    <mergeCell ref="A2943:B2943"/>
    <mergeCell ref="D2944:G2944"/>
    <mergeCell ref="B2414:C2414"/>
    <mergeCell ref="A2416:B2416"/>
    <mergeCell ref="D2417:G2417"/>
    <mergeCell ref="D2418:G2418"/>
    <mergeCell ref="B2924:C2924"/>
    <mergeCell ref="D2936:G2936"/>
    <mergeCell ref="A2957:B2957"/>
    <mergeCell ref="B2938:C2938"/>
    <mergeCell ref="D2487:G2487"/>
    <mergeCell ref="D2488:G2488"/>
    <mergeCell ref="D2489:G2489"/>
    <mergeCell ref="D2511:G2511"/>
    <mergeCell ref="D2512:G2512"/>
    <mergeCell ref="D2513:G2513"/>
    <mergeCell ref="D2514:G2514"/>
    <mergeCell ref="B2516:C2516"/>
    <mergeCell ref="A2518:B2518"/>
    <mergeCell ref="A2540:B2540"/>
    <mergeCell ref="D2541:G2541"/>
    <mergeCell ref="D2542:G2542"/>
    <mergeCell ref="D2519:G2519"/>
    <mergeCell ref="D2520:G2520"/>
    <mergeCell ref="D2446:G2446"/>
    <mergeCell ref="D2447:G2447"/>
    <mergeCell ref="D2901:G2901"/>
    <mergeCell ref="D2902:G2902"/>
    <mergeCell ref="D2903:G2903"/>
    <mergeCell ref="D2904:G2904"/>
    <mergeCell ref="D2905:G2905"/>
    <mergeCell ref="D2906:G2906"/>
    <mergeCell ref="D2907:G2907"/>
    <mergeCell ref="A2900:C2900"/>
    <mergeCell ref="D2501:G2501"/>
    <mergeCell ref="D2946:G2946"/>
    <mergeCell ref="B3176:C3176"/>
    <mergeCell ref="A2998:B2998"/>
    <mergeCell ref="A2984:B2984"/>
    <mergeCell ref="A2985:B2985"/>
    <mergeCell ref="D2986:G2986"/>
    <mergeCell ref="D3001:G3001"/>
    <mergeCell ref="D3002:G3002"/>
    <mergeCell ref="A2968:B2968"/>
    <mergeCell ref="D2455:G2455"/>
    <mergeCell ref="D2456:G2456"/>
    <mergeCell ref="D3016:G3016"/>
    <mergeCell ref="D3017:G3017"/>
    <mergeCell ref="D3018:G3018"/>
    <mergeCell ref="D2991:G2991"/>
    <mergeCell ref="B3059:C3059"/>
    <mergeCell ref="A2970:B2970"/>
    <mergeCell ref="D2976:G2976"/>
    <mergeCell ref="D2977:G2977"/>
    <mergeCell ref="D2978:G2978"/>
    <mergeCell ref="D2975:G2975"/>
    <mergeCell ref="D3025:G3025"/>
    <mergeCell ref="D3026:G3026"/>
    <mergeCell ref="D3027:G3027"/>
    <mergeCell ref="D3028:G3028"/>
    <mergeCell ref="A3089:B3089"/>
    <mergeCell ref="B2549:C2549"/>
    <mergeCell ref="A2551:B2551"/>
    <mergeCell ref="D2457:G2457"/>
    <mergeCell ref="D2945:G2945"/>
    <mergeCell ref="D2964:G2964"/>
    <mergeCell ref="D2959:G2959"/>
    <mergeCell ref="D2960:G2960"/>
    <mergeCell ref="D3042:G3042"/>
    <mergeCell ref="D3043:G3043"/>
    <mergeCell ref="D3044:G3044"/>
    <mergeCell ref="D3091:G3091"/>
    <mergeCell ref="D3092:G3092"/>
    <mergeCell ref="D3056:G3056"/>
    <mergeCell ref="D3057:G3057"/>
    <mergeCell ref="B3046:C3046"/>
    <mergeCell ref="A3048:B3048"/>
    <mergeCell ref="D2490:G2490"/>
    <mergeCell ref="D2536:G2536"/>
    <mergeCell ref="B2538:C2538"/>
    <mergeCell ref="A2971:B2971"/>
    <mergeCell ref="D2972:G2972"/>
    <mergeCell ref="D2973:G2973"/>
    <mergeCell ref="D2974:G2974"/>
    <mergeCell ref="A2969:B2969"/>
    <mergeCell ref="D2935:G2935"/>
    <mergeCell ref="A3023:B3023"/>
    <mergeCell ref="A3024:B3024"/>
    <mergeCell ref="D3031:G3031"/>
    <mergeCell ref="B3033:C3033"/>
    <mergeCell ref="D2521:G2521"/>
    <mergeCell ref="D2522:G2522"/>
    <mergeCell ref="D2523:G2523"/>
    <mergeCell ref="D2524:G2524"/>
    <mergeCell ref="D2525:G2525"/>
    <mergeCell ref="B2527:C2527"/>
    <mergeCell ref="A2529:B2529"/>
    <mergeCell ref="D2530:G2530"/>
    <mergeCell ref="D2531:G2531"/>
    <mergeCell ref="D2532:G2532"/>
    <mergeCell ref="D2279:G2279"/>
    <mergeCell ref="D2280:G2280"/>
    <mergeCell ref="D2281:G2281"/>
    <mergeCell ref="D2243:G2243"/>
    <mergeCell ref="D2244:G2244"/>
    <mergeCell ref="A2253:B2253"/>
    <mergeCell ref="A2255:B2255"/>
    <mergeCell ref="A2256:B2256"/>
    <mergeCell ref="A2268:B2268"/>
    <mergeCell ref="A2222:B2222"/>
    <mergeCell ref="D2132:G2132"/>
    <mergeCell ref="D2133:G2133"/>
    <mergeCell ref="D2166:G2166"/>
    <mergeCell ref="D2167:G2167"/>
    <mergeCell ref="D2168:G2168"/>
    <mergeCell ref="A2158:B2158"/>
    <mergeCell ref="D2169:G2169"/>
    <mergeCell ref="D2170:G2170"/>
    <mergeCell ref="B2172:C2172"/>
    <mergeCell ref="A2160:B2160"/>
    <mergeCell ref="D2152:G2152"/>
    <mergeCell ref="A2174:B2174"/>
    <mergeCell ref="A2177:B2177"/>
    <mergeCell ref="A2175:B2175"/>
    <mergeCell ref="A2191:B2191"/>
    <mergeCell ref="A2192:B2192"/>
    <mergeCell ref="A2226:B2226"/>
    <mergeCell ref="A2227:B2227"/>
    <mergeCell ref="A2159:B2159"/>
    <mergeCell ref="D2277:G2277"/>
    <mergeCell ref="A2269:B2269"/>
    <mergeCell ref="A2270:B2270"/>
    <mergeCell ref="A2069:B2069"/>
    <mergeCell ref="A2071:B2071"/>
    <mergeCell ref="A2211:B2211"/>
    <mergeCell ref="A2195:B2195"/>
    <mergeCell ref="D2196:G2196"/>
    <mergeCell ref="D2181:G2181"/>
    <mergeCell ref="D2182:G2182"/>
    <mergeCell ref="D2183:G2183"/>
    <mergeCell ref="D2197:G2197"/>
    <mergeCell ref="D2164:G2164"/>
    <mergeCell ref="D2165:G2165"/>
    <mergeCell ref="A2145:B2145"/>
    <mergeCell ref="D2117:G2117"/>
    <mergeCell ref="D2198:G2198"/>
    <mergeCell ref="D2199:G2199"/>
    <mergeCell ref="D2200:G2200"/>
    <mergeCell ref="B2095:C2095"/>
    <mergeCell ref="A2070:B2070"/>
    <mergeCell ref="A2101:B2101"/>
    <mergeCell ref="D2091:G2091"/>
    <mergeCell ref="A2112:B2112"/>
    <mergeCell ref="A2176:B2176"/>
    <mergeCell ref="A2210:B2210"/>
    <mergeCell ref="D2103:G2103"/>
    <mergeCell ref="D2104:G2104"/>
    <mergeCell ref="D2106:G2106"/>
    <mergeCell ref="A2115:B2115"/>
    <mergeCell ref="A2113:B2113"/>
    <mergeCell ref="D2107:G2107"/>
    <mergeCell ref="D2134:G2134"/>
    <mergeCell ref="D2135:G2135"/>
    <mergeCell ref="A2100:B2100"/>
    <mergeCell ref="D2006:G2006"/>
    <mergeCell ref="D2007:G2007"/>
    <mergeCell ref="A2146:B2146"/>
    <mergeCell ref="A2147:B2147"/>
    <mergeCell ref="D2136:G2136"/>
    <mergeCell ref="D2137:G2137"/>
    <mergeCell ref="A2097:B2097"/>
    <mergeCell ref="D2087:G2087"/>
    <mergeCell ref="D2088:G2088"/>
    <mergeCell ref="D2072:G2072"/>
    <mergeCell ref="D2073:G2073"/>
    <mergeCell ref="D2119:G2119"/>
    <mergeCell ref="B2065:C2065"/>
    <mergeCell ref="A2067:B2067"/>
    <mergeCell ref="D1511:G1511"/>
    <mergeCell ref="B1579:C1579"/>
    <mergeCell ref="A1581:B1581"/>
    <mergeCell ref="A1535:B1535"/>
    <mergeCell ref="D1523:G1523"/>
    <mergeCell ref="D1959:G1959"/>
    <mergeCell ref="D1960:G1960"/>
    <mergeCell ref="D1718:G1718"/>
    <mergeCell ref="B1765:C1765"/>
    <mergeCell ref="A1774:B1774"/>
    <mergeCell ref="D1775:G1775"/>
    <mergeCell ref="D1776:G1776"/>
    <mergeCell ref="D1745:G1745"/>
    <mergeCell ref="A1584:B1584"/>
    <mergeCell ref="A1615:B1615"/>
    <mergeCell ref="A1613:B1613"/>
    <mergeCell ref="A1566:B1566"/>
    <mergeCell ref="D1571:G1571"/>
    <mergeCell ref="D1395:G1395"/>
    <mergeCell ref="D1396:G1396"/>
    <mergeCell ref="B1447:C1447"/>
    <mergeCell ref="A1450:B1450"/>
    <mergeCell ref="D1451:G1451"/>
    <mergeCell ref="D1452:G1452"/>
    <mergeCell ref="D1453:G1453"/>
    <mergeCell ref="D1454:G1454"/>
    <mergeCell ref="D1455:G1455"/>
    <mergeCell ref="D1456:G1456"/>
    <mergeCell ref="A1449:B1449"/>
    <mergeCell ref="D1457:G1457"/>
    <mergeCell ref="B1459:C1459"/>
    <mergeCell ref="A1461:B1461"/>
    <mergeCell ref="D1383:G1383"/>
    <mergeCell ref="D1384:G1384"/>
    <mergeCell ref="D2005:G2005"/>
    <mergeCell ref="A1390:B1390"/>
    <mergeCell ref="D1391:G1391"/>
    <mergeCell ref="D1392:G1392"/>
    <mergeCell ref="D1560:G1560"/>
    <mergeCell ref="A1462:B1462"/>
    <mergeCell ref="A1473:B1473"/>
    <mergeCell ref="D1479:G1479"/>
    <mergeCell ref="D1468:G1468"/>
    <mergeCell ref="D1469:G1469"/>
    <mergeCell ref="D1418:G1418"/>
    <mergeCell ref="D1441:G1441"/>
    <mergeCell ref="B1499:C1499"/>
    <mergeCell ref="A1501:B1501"/>
    <mergeCell ref="A1502:B1502"/>
    <mergeCell ref="A1503:B1503"/>
    <mergeCell ref="D1380:G1380"/>
    <mergeCell ref="A1338:B1338"/>
    <mergeCell ref="A1339:B1339"/>
    <mergeCell ref="B1332:C1332"/>
    <mergeCell ref="D1381:G1381"/>
    <mergeCell ref="D1382:G1382"/>
    <mergeCell ref="D1385:G1385"/>
    <mergeCell ref="B1387:C1387"/>
    <mergeCell ref="D1368:G1368"/>
    <mergeCell ref="D1344:G1344"/>
    <mergeCell ref="D1345:G1345"/>
    <mergeCell ref="B1362:C1362"/>
    <mergeCell ref="A1364:B1364"/>
    <mergeCell ref="A1365:B1365"/>
    <mergeCell ref="A1336:B1336"/>
    <mergeCell ref="A1337:B1337"/>
    <mergeCell ref="D1507:G1507"/>
    <mergeCell ref="D1397:G1397"/>
    <mergeCell ref="D1408:G1408"/>
    <mergeCell ref="D1409:G1409"/>
    <mergeCell ref="B1411:C1411"/>
    <mergeCell ref="A1413:B1413"/>
    <mergeCell ref="A1414:B1414"/>
    <mergeCell ref="D1415:G1415"/>
    <mergeCell ref="D1416:G1416"/>
    <mergeCell ref="A1504:B1504"/>
    <mergeCell ref="A1505:B1505"/>
    <mergeCell ref="D1342:G1342"/>
    <mergeCell ref="A1389:B1389"/>
    <mergeCell ref="D1343:G1343"/>
    <mergeCell ref="D1393:G1393"/>
    <mergeCell ref="D1394:G1394"/>
    <mergeCell ref="D1346:G1346"/>
    <mergeCell ref="A1049:H1049"/>
    <mergeCell ref="D1034:G1034"/>
    <mergeCell ref="D1035:G1035"/>
    <mergeCell ref="B1037:C1037"/>
    <mergeCell ref="A1039:B1039"/>
    <mergeCell ref="A1040:B1040"/>
    <mergeCell ref="A988:B988"/>
    <mergeCell ref="A926:B926"/>
    <mergeCell ref="B935:C935"/>
    <mergeCell ref="D1328:G1328"/>
    <mergeCell ref="D1139:G1139"/>
    <mergeCell ref="A1251:C1251"/>
    <mergeCell ref="A1041:B1041"/>
    <mergeCell ref="D1042:G1042"/>
    <mergeCell ref="A1056:B1056"/>
    <mergeCell ref="A1071:B1071"/>
    <mergeCell ref="B1082:C1082"/>
    <mergeCell ref="A1084:B1084"/>
    <mergeCell ref="D1047:G1047"/>
    <mergeCell ref="D1048:G1048"/>
    <mergeCell ref="D1105:G1105"/>
    <mergeCell ref="D1106:G1106"/>
    <mergeCell ref="A1101:B1101"/>
    <mergeCell ref="A1102:B1102"/>
    <mergeCell ref="B1096:C1096"/>
    <mergeCell ref="A1006:B1006"/>
    <mergeCell ref="D1043:G1043"/>
    <mergeCell ref="D1044:G1044"/>
    <mergeCell ref="D1013:G1013"/>
    <mergeCell ref="D983:G983"/>
    <mergeCell ref="D1193:G1193"/>
    <mergeCell ref="D1355:G1355"/>
    <mergeCell ref="D1379:G1379"/>
    <mergeCell ref="A918:B918"/>
    <mergeCell ref="D1108:G1108"/>
    <mergeCell ref="A1103:B1103"/>
    <mergeCell ref="D1104:G1104"/>
    <mergeCell ref="D1089:G1089"/>
    <mergeCell ref="A1238:B1238"/>
    <mergeCell ref="A1239:B1239"/>
    <mergeCell ref="A1237:B1237"/>
    <mergeCell ref="A881:B881"/>
    <mergeCell ref="A1094:H1094"/>
    <mergeCell ref="D1194:G1194"/>
    <mergeCell ref="B1249:C1249"/>
    <mergeCell ref="D1245:G1245"/>
    <mergeCell ref="D1246:G1246"/>
    <mergeCell ref="B1051:C1051"/>
    <mergeCell ref="A1053:B1053"/>
    <mergeCell ref="A1054:B1054"/>
    <mergeCell ref="A1057:B1057"/>
    <mergeCell ref="A1055:B1055"/>
    <mergeCell ref="D1152:G1152"/>
    <mergeCell ref="D914:G914"/>
    <mergeCell ref="B916:C916"/>
    <mergeCell ref="D908:G908"/>
    <mergeCell ref="D909:G909"/>
    <mergeCell ref="D910:G910"/>
    <mergeCell ref="D911:G911"/>
    <mergeCell ref="D1119:G1119"/>
    <mergeCell ref="D1046:G1046"/>
    <mergeCell ref="B1171:C1171"/>
    <mergeCell ref="B1126:C1126"/>
    <mergeCell ref="A2:H2"/>
    <mergeCell ref="A4:H4"/>
    <mergeCell ref="A3:H3"/>
    <mergeCell ref="A7:H7"/>
    <mergeCell ref="B19:C19"/>
    <mergeCell ref="A526:B526"/>
    <mergeCell ref="D791:G791"/>
    <mergeCell ref="D792:G792"/>
    <mergeCell ref="D793:G793"/>
    <mergeCell ref="D770:G770"/>
    <mergeCell ref="D773:G773"/>
    <mergeCell ref="D774:G774"/>
    <mergeCell ref="D736:G736"/>
    <mergeCell ref="D737:G737"/>
    <mergeCell ref="D738:G738"/>
    <mergeCell ref="A761:B761"/>
    <mergeCell ref="A762:B762"/>
    <mergeCell ref="D790:G790"/>
    <mergeCell ref="D788:G788"/>
    <mergeCell ref="D757:G757"/>
    <mergeCell ref="A763:B763"/>
    <mergeCell ref="A764:B764"/>
    <mergeCell ref="D516:G516"/>
    <mergeCell ref="B321:C321"/>
    <mergeCell ref="A323:B323"/>
    <mergeCell ref="A324:B324"/>
    <mergeCell ref="D700:G700"/>
    <mergeCell ref="B644:C644"/>
    <mergeCell ref="A494:B494"/>
    <mergeCell ref="A497:B497"/>
    <mergeCell ref="B475:C475"/>
    <mergeCell ref="A553:B553"/>
    <mergeCell ref="A646:B646"/>
    <mergeCell ref="A569:B569"/>
    <mergeCell ref="A505:B505"/>
    <mergeCell ref="A527:B527"/>
    <mergeCell ref="A528:B528"/>
    <mergeCell ref="A617:B617"/>
    <mergeCell ref="A478:B478"/>
    <mergeCell ref="A482:B482"/>
    <mergeCell ref="A483:B483"/>
    <mergeCell ref="A484:B484"/>
    <mergeCell ref="A491:B491"/>
    <mergeCell ref="B563:C563"/>
    <mergeCell ref="B613:C613"/>
    <mergeCell ref="A615:B615"/>
    <mergeCell ref="A616:B616"/>
    <mergeCell ref="A633:B633"/>
    <mergeCell ref="A485:B485"/>
    <mergeCell ref="A486:B486"/>
    <mergeCell ref="A492:B492"/>
    <mergeCell ref="A600:B600"/>
    <mergeCell ref="A618:B618"/>
    <mergeCell ref="A568:B568"/>
    <mergeCell ref="A479:B479"/>
    <mergeCell ref="A480:B480"/>
    <mergeCell ref="A481:B481"/>
    <mergeCell ref="A630:B630"/>
    <mergeCell ref="A589:B589"/>
    <mergeCell ref="A570:B570"/>
    <mergeCell ref="A602:B602"/>
    <mergeCell ref="B627:C627"/>
    <mergeCell ref="A642:H642"/>
    <mergeCell ref="D624:G624"/>
    <mergeCell ref="A521:B521"/>
    <mergeCell ref="A522:B522"/>
    <mergeCell ref="A523:B523"/>
    <mergeCell ref="A524:B524"/>
    <mergeCell ref="D533:G533"/>
    <mergeCell ref="D561:G561"/>
    <mergeCell ref="A583:B583"/>
    <mergeCell ref="B538:C538"/>
    <mergeCell ref="D541:G541"/>
    <mergeCell ref="A498:B498"/>
    <mergeCell ref="A499:B499"/>
    <mergeCell ref="A500:B500"/>
    <mergeCell ref="A501:B501"/>
    <mergeCell ref="A745:B745"/>
    <mergeCell ref="A746:B746"/>
    <mergeCell ref="A747:B747"/>
    <mergeCell ref="B549:C549"/>
    <mergeCell ref="A551:B551"/>
    <mergeCell ref="A552:B552"/>
    <mergeCell ref="D619:G619"/>
    <mergeCell ref="D620:G620"/>
    <mergeCell ref="D621:G621"/>
    <mergeCell ref="D576:G576"/>
    <mergeCell ref="A601:B601"/>
    <mergeCell ref="A554:B554"/>
    <mergeCell ref="A587:B587"/>
    <mergeCell ref="A588:B588"/>
    <mergeCell ref="D594:G594"/>
    <mergeCell ref="D595:G595"/>
    <mergeCell ref="D735:G735"/>
    <mergeCell ref="A692:B692"/>
    <mergeCell ref="D545:G545"/>
    <mergeCell ref="D754:G754"/>
    <mergeCell ref="A647:B647"/>
    <mergeCell ref="A668:B668"/>
    <mergeCell ref="A653:B653"/>
    <mergeCell ref="A654:B654"/>
    <mergeCell ref="A731:B731"/>
    <mergeCell ref="B721:C721"/>
    <mergeCell ref="D698:G698"/>
    <mergeCell ref="A729:B729"/>
    <mergeCell ref="A730:B730"/>
    <mergeCell ref="D658:G658"/>
    <mergeCell ref="D659:G659"/>
    <mergeCell ref="D661:G661"/>
    <mergeCell ref="B663:C663"/>
    <mergeCell ref="A670:B670"/>
    <mergeCell ref="A671:B671"/>
    <mergeCell ref="A649:B649"/>
    <mergeCell ref="D677:G677"/>
    <mergeCell ref="D660:G660"/>
    <mergeCell ref="A665:B665"/>
    <mergeCell ref="A666:B666"/>
    <mergeCell ref="A750:B750"/>
    <mergeCell ref="A748:B748"/>
    <mergeCell ref="D655:G655"/>
    <mergeCell ref="A669:B669"/>
    <mergeCell ref="D656:G656"/>
    <mergeCell ref="D657:G657"/>
    <mergeCell ref="D676:G676"/>
    <mergeCell ref="A667:B667"/>
    <mergeCell ref="A726:B726"/>
    <mergeCell ref="A687:B687"/>
    <mergeCell ref="A688:B688"/>
    <mergeCell ref="D789:G789"/>
    <mergeCell ref="D775:G775"/>
    <mergeCell ref="A785:B785"/>
    <mergeCell ref="A743:B743"/>
    <mergeCell ref="A690:B690"/>
    <mergeCell ref="A691:B691"/>
    <mergeCell ref="A585:B585"/>
    <mergeCell ref="A634:B634"/>
    <mergeCell ref="D635:G635"/>
    <mergeCell ref="D636:G636"/>
    <mergeCell ref="A672:B672"/>
    <mergeCell ref="A651:B651"/>
    <mergeCell ref="A650:B650"/>
    <mergeCell ref="D625:G625"/>
    <mergeCell ref="D623:G623"/>
    <mergeCell ref="A749:B749"/>
    <mergeCell ref="A652:B652"/>
    <mergeCell ref="D751:G751"/>
    <mergeCell ref="D752:G752"/>
    <mergeCell ref="A784:B784"/>
    <mergeCell ref="D753:G753"/>
    <mergeCell ref="A728:B728"/>
    <mergeCell ref="D593:G593"/>
    <mergeCell ref="D695:G695"/>
    <mergeCell ref="D696:G696"/>
    <mergeCell ref="D697:G697"/>
    <mergeCell ref="D699:G699"/>
    <mergeCell ref="A685:B685"/>
    <mergeCell ref="A744:B744"/>
    <mergeCell ref="D675:G675"/>
    <mergeCell ref="A648:B648"/>
    <mergeCell ref="D596:G596"/>
    <mergeCell ref="A800:B800"/>
    <mergeCell ref="A801:B801"/>
    <mergeCell ref="B811:C811"/>
    <mergeCell ref="A813:B813"/>
    <mergeCell ref="A814:B814"/>
    <mergeCell ref="A816:B816"/>
    <mergeCell ref="A815:B815"/>
    <mergeCell ref="D756:G756"/>
    <mergeCell ref="A782:B782"/>
    <mergeCell ref="B759:C759"/>
    <mergeCell ref="D769:G769"/>
    <mergeCell ref="A832:B832"/>
    <mergeCell ref="A833:B833"/>
    <mergeCell ref="A818:B818"/>
    <mergeCell ref="D822:G822"/>
    <mergeCell ref="A831:B831"/>
    <mergeCell ref="D806:G806"/>
    <mergeCell ref="D787:G787"/>
    <mergeCell ref="D771:G771"/>
    <mergeCell ref="D772:G772"/>
    <mergeCell ref="D808:G808"/>
    <mergeCell ref="D824:G824"/>
    <mergeCell ref="D809:G809"/>
    <mergeCell ref="D805:G805"/>
    <mergeCell ref="B795:C795"/>
    <mergeCell ref="D825:G825"/>
    <mergeCell ref="A799:B799"/>
    <mergeCell ref="A798:B798"/>
    <mergeCell ref="A768:B768"/>
    <mergeCell ref="A783:B783"/>
    <mergeCell ref="A797:B797"/>
    <mergeCell ref="A830:B830"/>
    <mergeCell ref="D838:G838"/>
    <mergeCell ref="D839:G839"/>
    <mergeCell ref="D840:G840"/>
    <mergeCell ref="A887:B887"/>
    <mergeCell ref="A888:B888"/>
    <mergeCell ref="A900:B900"/>
    <mergeCell ref="A899:B899"/>
    <mergeCell ref="D890:G890"/>
    <mergeCell ref="D856:G856"/>
    <mergeCell ref="A834:B834"/>
    <mergeCell ref="D857:G857"/>
    <mergeCell ref="A848:B848"/>
    <mergeCell ref="A849:B849"/>
    <mergeCell ref="A861:B861"/>
    <mergeCell ref="D871:G871"/>
    <mergeCell ref="A865:B865"/>
    <mergeCell ref="A867:B867"/>
    <mergeCell ref="A868:B868"/>
    <mergeCell ref="A869:B869"/>
    <mergeCell ref="A883:B883"/>
    <mergeCell ref="D870:G870"/>
    <mergeCell ref="A850:B850"/>
    <mergeCell ref="B843:C843"/>
    <mergeCell ref="A845:B845"/>
    <mergeCell ref="A846:B846"/>
    <mergeCell ref="D873:G873"/>
    <mergeCell ref="D835:G835"/>
    <mergeCell ref="D836:G836"/>
    <mergeCell ref="D837:G837"/>
    <mergeCell ref="D841:G841"/>
    <mergeCell ref="A880:B880"/>
    <mergeCell ref="A847:B847"/>
    <mergeCell ref="D912:G912"/>
    <mergeCell ref="D892:G892"/>
    <mergeCell ref="D893:G893"/>
    <mergeCell ref="D894:G894"/>
    <mergeCell ref="D895:G895"/>
    <mergeCell ref="B897:C897"/>
    <mergeCell ref="D913:G913"/>
    <mergeCell ref="A906:B906"/>
    <mergeCell ref="A907:B907"/>
    <mergeCell ref="D851:G851"/>
    <mergeCell ref="D852:G852"/>
    <mergeCell ref="D853:G853"/>
    <mergeCell ref="D854:G854"/>
    <mergeCell ref="D855:G855"/>
    <mergeCell ref="A864:B864"/>
    <mergeCell ref="D874:G874"/>
    <mergeCell ref="D875:G875"/>
    <mergeCell ref="D876:G876"/>
    <mergeCell ref="A903:B903"/>
    <mergeCell ref="D889:G889"/>
    <mergeCell ref="A863:B863"/>
    <mergeCell ref="A866:B866"/>
    <mergeCell ref="B878:C878"/>
    <mergeCell ref="A884:B884"/>
    <mergeCell ref="A885:B885"/>
    <mergeCell ref="A886:B886"/>
    <mergeCell ref="A905:B905"/>
    <mergeCell ref="D872:G872"/>
    <mergeCell ref="A902:B902"/>
    <mergeCell ref="A904:B904"/>
    <mergeCell ref="A920:B920"/>
    <mergeCell ref="A921:B921"/>
    <mergeCell ref="A922:B922"/>
    <mergeCell ref="A923:B923"/>
    <mergeCell ref="A969:B969"/>
    <mergeCell ref="A970:B970"/>
    <mergeCell ref="A971:B971"/>
    <mergeCell ref="A957:B957"/>
    <mergeCell ref="B1003:C1003"/>
    <mergeCell ref="A1005:B1005"/>
    <mergeCell ref="A1007:B1007"/>
    <mergeCell ref="D941:G941"/>
    <mergeCell ref="D942:G942"/>
    <mergeCell ref="D943:G943"/>
    <mergeCell ref="D944:G944"/>
    <mergeCell ref="D959:G959"/>
    <mergeCell ref="D960:G960"/>
    <mergeCell ref="D961:G961"/>
    <mergeCell ref="A958:B958"/>
    <mergeCell ref="D981:G981"/>
    <mergeCell ref="D982:G982"/>
    <mergeCell ref="A953:B953"/>
    <mergeCell ref="A955:B955"/>
    <mergeCell ref="B948:C948"/>
    <mergeCell ref="D1000:G1000"/>
    <mergeCell ref="D965:G965"/>
    <mergeCell ref="B967:C967"/>
    <mergeCell ref="A973:B973"/>
    <mergeCell ref="A972:B972"/>
    <mergeCell ref="D933:G933"/>
    <mergeCell ref="D995:G995"/>
    <mergeCell ref="A924:B924"/>
    <mergeCell ref="D946:G946"/>
    <mergeCell ref="A951:B951"/>
    <mergeCell ref="D980:G980"/>
    <mergeCell ref="D984:G984"/>
    <mergeCell ref="D999:G999"/>
    <mergeCell ref="A991:B991"/>
    <mergeCell ref="A993:B993"/>
    <mergeCell ref="A989:B989"/>
    <mergeCell ref="D978:G978"/>
    <mergeCell ref="D979:G979"/>
    <mergeCell ref="D996:G996"/>
    <mergeCell ref="D997:G997"/>
    <mergeCell ref="D998:G998"/>
    <mergeCell ref="D945:G945"/>
    <mergeCell ref="D927:G927"/>
    <mergeCell ref="D928:G928"/>
    <mergeCell ref="A977:B977"/>
    <mergeCell ref="D940:G940"/>
    <mergeCell ref="A937:B937"/>
    <mergeCell ref="D962:G962"/>
    <mergeCell ref="D930:G930"/>
    <mergeCell ref="D931:G931"/>
    <mergeCell ref="D932:G932"/>
    <mergeCell ref="A954:B954"/>
    <mergeCell ref="A956:B956"/>
    <mergeCell ref="A992:B992"/>
    <mergeCell ref="D1012:G1012"/>
    <mergeCell ref="A976:B976"/>
    <mergeCell ref="A1085:B1085"/>
    <mergeCell ref="D1076:G1076"/>
    <mergeCell ref="D1077:G1077"/>
    <mergeCell ref="D1078:G1078"/>
    <mergeCell ref="D1079:G1079"/>
    <mergeCell ref="D1080:G1080"/>
    <mergeCell ref="A1070:B1070"/>
    <mergeCell ref="D1045:G1045"/>
    <mergeCell ref="D1033:G1033"/>
    <mergeCell ref="D1032:G1032"/>
    <mergeCell ref="B859:C859"/>
    <mergeCell ref="D891:G891"/>
    <mergeCell ref="A882:B882"/>
    <mergeCell ref="D929:G929"/>
    <mergeCell ref="A1023:B1023"/>
    <mergeCell ref="A1024:B1024"/>
    <mergeCell ref="A1026:B1026"/>
    <mergeCell ref="A1027:B1027"/>
    <mergeCell ref="A1028:B1028"/>
    <mergeCell ref="D1029:G1029"/>
    <mergeCell ref="D1030:G1030"/>
    <mergeCell ref="A1010:B1010"/>
    <mergeCell ref="A1011:B1011"/>
    <mergeCell ref="D963:G963"/>
    <mergeCell ref="A974:B974"/>
    <mergeCell ref="D964:G964"/>
    <mergeCell ref="D1001:G1001"/>
    <mergeCell ref="A1025:B1025"/>
    <mergeCell ref="D1014:G1014"/>
    <mergeCell ref="A925:B925"/>
    <mergeCell ref="D1151:G1151"/>
    <mergeCell ref="D1031:G1031"/>
    <mergeCell ref="B1319:C1319"/>
    <mergeCell ref="D1015:G1015"/>
    <mergeCell ref="D1017:G1017"/>
    <mergeCell ref="D1018:G1018"/>
    <mergeCell ref="B1020:C1020"/>
    <mergeCell ref="A1022:B1022"/>
    <mergeCell ref="A952:B952"/>
    <mergeCell ref="A994:B994"/>
    <mergeCell ref="A990:B990"/>
    <mergeCell ref="B986:C986"/>
    <mergeCell ref="D1265:G1265"/>
    <mergeCell ref="D1266:G1266"/>
    <mergeCell ref="D1267:G1267"/>
    <mergeCell ref="D1268:G1268"/>
    <mergeCell ref="A1100:B1100"/>
    <mergeCell ref="D1090:G1090"/>
    <mergeCell ref="D1091:G1091"/>
    <mergeCell ref="D1092:G1092"/>
    <mergeCell ref="D1093:G1093"/>
    <mergeCell ref="B1067:C1067"/>
    <mergeCell ref="A1069:B1069"/>
    <mergeCell ref="A1072:B1072"/>
    <mergeCell ref="A1058:B1058"/>
    <mergeCell ref="D1059:G1059"/>
    <mergeCell ref="D1060:G1060"/>
    <mergeCell ref="D1061:G1061"/>
    <mergeCell ref="D1062:G1062"/>
    <mergeCell ref="D1063:G1063"/>
    <mergeCell ref="D1064:G1064"/>
    <mergeCell ref="D1065:G1065"/>
    <mergeCell ref="B1113:C1113"/>
    <mergeCell ref="D1109:G1109"/>
    <mergeCell ref="D1110:G1110"/>
    <mergeCell ref="A1177:B1177"/>
    <mergeCell ref="D1240:G1240"/>
    <mergeCell ref="D1241:G1241"/>
    <mergeCell ref="D1242:G1242"/>
    <mergeCell ref="D1243:G1243"/>
    <mergeCell ref="D1244:G1244"/>
    <mergeCell ref="A1162:B1162"/>
    <mergeCell ref="D1163:G1163"/>
    <mergeCell ref="B1225:C1225"/>
    <mergeCell ref="A1227:B1227"/>
    <mergeCell ref="A1229:B1229"/>
    <mergeCell ref="A1231:B1231"/>
    <mergeCell ref="A1232:B1232"/>
    <mergeCell ref="D1138:G1138"/>
    <mergeCell ref="D1204:G1204"/>
    <mergeCell ref="D1205:G1205"/>
    <mergeCell ref="D1206:G1206"/>
    <mergeCell ref="D1207:G1207"/>
    <mergeCell ref="D1210:G1210"/>
    <mergeCell ref="D1169:G1169"/>
    <mergeCell ref="A1111:H1111"/>
    <mergeCell ref="D1155:G1155"/>
    <mergeCell ref="A1203:B1203"/>
    <mergeCell ref="D1141:G1141"/>
    <mergeCell ref="B1201:C1201"/>
    <mergeCell ref="D1209:G1209"/>
    <mergeCell ref="A1188:B1188"/>
    <mergeCell ref="A1149:B1149"/>
    <mergeCell ref="D1150:G1150"/>
    <mergeCell ref="A1236:B1236"/>
    <mergeCell ref="A1073:B1073"/>
    <mergeCell ref="D1088:G1088"/>
    <mergeCell ref="A1098:B1098"/>
    <mergeCell ref="D1142:G1142"/>
    <mergeCell ref="D1143:G1143"/>
    <mergeCell ref="B1145:C1145"/>
    <mergeCell ref="A1147:B1147"/>
    <mergeCell ref="A1148:B1148"/>
    <mergeCell ref="A1136:B1136"/>
    <mergeCell ref="A1128:B1128"/>
    <mergeCell ref="A1129:B1129"/>
    <mergeCell ref="A1130:B1130"/>
    <mergeCell ref="A1131:B1131"/>
    <mergeCell ref="A1132:B1132"/>
    <mergeCell ref="A1133:B1133"/>
    <mergeCell ref="A1134:B1134"/>
    <mergeCell ref="A1135:B1135"/>
    <mergeCell ref="A1099:B1099"/>
    <mergeCell ref="D1107:G1107"/>
    <mergeCell ref="D1074:G1074"/>
    <mergeCell ref="D1075:G1075"/>
    <mergeCell ref="A1115:B1115"/>
    <mergeCell ref="A1116:B1116"/>
    <mergeCell ref="A1086:B1086"/>
    <mergeCell ref="D1087:G1087"/>
    <mergeCell ref="D1137:G1137"/>
    <mergeCell ref="D1120:G1120"/>
    <mergeCell ref="D1121:G1121"/>
    <mergeCell ref="D1122:G1122"/>
    <mergeCell ref="D1123:G1123"/>
    <mergeCell ref="D1124:G1124"/>
    <mergeCell ref="D1316:G1316"/>
    <mergeCell ref="D1153:G1153"/>
    <mergeCell ref="A1175:B1175"/>
    <mergeCell ref="A1176:B1176"/>
    <mergeCell ref="D1178:G1178"/>
    <mergeCell ref="D1179:G1179"/>
    <mergeCell ref="D1180:G1180"/>
    <mergeCell ref="D1181:G1181"/>
    <mergeCell ref="D1156:G1156"/>
    <mergeCell ref="B1158:C1158"/>
    <mergeCell ref="A1160:B1160"/>
    <mergeCell ref="A1161:B1161"/>
    <mergeCell ref="A1173:B1173"/>
    <mergeCell ref="B1289:C1289"/>
    <mergeCell ref="A1174:B1174"/>
    <mergeCell ref="A1190:B1190"/>
    <mergeCell ref="D1154:G1154"/>
    <mergeCell ref="D1198:G1198"/>
    <mergeCell ref="D1269:G1269"/>
    <mergeCell ref="D1270:G1270"/>
    <mergeCell ref="D1271:G1271"/>
    <mergeCell ref="A1262:B1262"/>
    <mergeCell ref="A1263:B1263"/>
    <mergeCell ref="A1264:B1264"/>
    <mergeCell ref="B1260:C1260"/>
    <mergeCell ref="D1165:G1165"/>
    <mergeCell ref="D1166:G1166"/>
    <mergeCell ref="D1167:G1167"/>
    <mergeCell ref="B1212:C1212"/>
    <mergeCell ref="A1214:B1214"/>
    <mergeCell ref="A1215:B1215"/>
    <mergeCell ref="A1235:B1235"/>
    <mergeCell ref="A1278:B1278"/>
    <mergeCell ref="D1428:G1428"/>
    <mergeCell ref="D1168:G1168"/>
    <mergeCell ref="D1199:G1199"/>
    <mergeCell ref="A1192:B1192"/>
    <mergeCell ref="A1191:B1191"/>
    <mergeCell ref="D1182:G1182"/>
    <mergeCell ref="D1183:G1183"/>
    <mergeCell ref="D1184:G1184"/>
    <mergeCell ref="B1186:C1186"/>
    <mergeCell ref="D1255:G1255"/>
    <mergeCell ref="D1252:G1252"/>
    <mergeCell ref="D1253:G1253"/>
    <mergeCell ref="D1208:G1208"/>
    <mergeCell ref="D1196:G1196"/>
    <mergeCell ref="D1197:G1197"/>
    <mergeCell ref="A1425:B1425"/>
    <mergeCell ref="D1327:G1327"/>
    <mergeCell ref="D1329:G1329"/>
    <mergeCell ref="A1378:B1378"/>
    <mergeCell ref="D1340:G1340"/>
    <mergeCell ref="D1417:G1417"/>
    <mergeCell ref="D1406:G1406"/>
    <mergeCell ref="D1407:G1407"/>
    <mergeCell ref="A1366:B1366"/>
    <mergeCell ref="D1367:G1367"/>
    <mergeCell ref="D1356:G1356"/>
    <mergeCell ref="D1357:G1357"/>
    <mergeCell ref="D1358:G1358"/>
    <mergeCell ref="D1359:G1359"/>
    <mergeCell ref="D1314:G1314"/>
    <mergeCell ref="D1315:G1315"/>
    <mergeCell ref="D1298:G1298"/>
    <mergeCell ref="A1401:B1401"/>
    <mergeCell ref="A1402:B1402"/>
    <mergeCell ref="D1432:G1432"/>
    <mergeCell ref="D1433:G1433"/>
    <mergeCell ref="D1256:G1256"/>
    <mergeCell ref="D1257:G1257"/>
    <mergeCell ref="D1258:G1258"/>
    <mergeCell ref="D1254:G1254"/>
    <mergeCell ref="D1195:G1195"/>
    <mergeCell ref="A1321:B1321"/>
    <mergeCell ref="A1322:B1322"/>
    <mergeCell ref="A1323:B1323"/>
    <mergeCell ref="D1403:G1403"/>
    <mergeCell ref="D1404:G1404"/>
    <mergeCell ref="A1474:B1474"/>
    <mergeCell ref="A1475:B1475"/>
    <mergeCell ref="A1279:B1279"/>
    <mergeCell ref="D1281:G1281"/>
    <mergeCell ref="D1282:G1282"/>
    <mergeCell ref="D1283:G1283"/>
    <mergeCell ref="D1284:G1284"/>
    <mergeCell ref="D1285:G1285"/>
    <mergeCell ref="D1286:G1286"/>
    <mergeCell ref="D1287:G1287"/>
    <mergeCell ref="A1426:B1426"/>
    <mergeCell ref="D1405:G1405"/>
    <mergeCell ref="D1430:G1430"/>
    <mergeCell ref="D1431:G1431"/>
    <mergeCell ref="D1419:G1419"/>
    <mergeCell ref="D1420:G1420"/>
    <mergeCell ref="D1421:G1421"/>
    <mergeCell ref="B1901:C1901"/>
    <mergeCell ref="A1863:B1863"/>
    <mergeCell ref="A1830:B1830"/>
    <mergeCell ref="D1934:G1934"/>
    <mergeCell ref="A1876:B1876"/>
    <mergeCell ref="D1508:G1508"/>
    <mergeCell ref="D1445:G1445"/>
    <mergeCell ref="D1476:G1476"/>
    <mergeCell ref="D1481:G1481"/>
    <mergeCell ref="D1482:G1482"/>
    <mergeCell ref="D1477:G1477"/>
    <mergeCell ref="D1466:G1466"/>
    <mergeCell ref="D1467:G1467"/>
    <mergeCell ref="D1618:G1618"/>
    <mergeCell ref="D1651:G1651"/>
    <mergeCell ref="D1652:G1652"/>
    <mergeCell ref="D1653:G1653"/>
    <mergeCell ref="D1632:G1632"/>
    <mergeCell ref="D1633:G1633"/>
    <mergeCell ref="D1634:G1634"/>
    <mergeCell ref="D1635:G1635"/>
    <mergeCell ref="A1565:B1565"/>
    <mergeCell ref="D1575:G1575"/>
    <mergeCell ref="D1576:G1576"/>
    <mergeCell ref="A1597:B1597"/>
    <mergeCell ref="A1616:B1616"/>
    <mergeCell ref="B1626:C1626"/>
    <mergeCell ref="A1628:B1628"/>
    <mergeCell ref="A1629:B1629"/>
    <mergeCell ref="D1605:G1605"/>
    <mergeCell ref="D1607:G1607"/>
    <mergeCell ref="A1582:B1582"/>
    <mergeCell ref="D1978:G1978"/>
    <mergeCell ref="A2000:B2000"/>
    <mergeCell ref="A2002:B2002"/>
    <mergeCell ref="A2003:B2003"/>
    <mergeCell ref="A2004:B2004"/>
    <mergeCell ref="D2074:G2074"/>
    <mergeCell ref="D2075:G2075"/>
    <mergeCell ref="D2076:G2076"/>
    <mergeCell ref="B2080:C2080"/>
    <mergeCell ref="A2082:B2082"/>
    <mergeCell ref="A2083:B2083"/>
    <mergeCell ref="A2084:B2084"/>
    <mergeCell ref="A2085:B2085"/>
    <mergeCell ref="D1715:G1715"/>
    <mergeCell ref="D1620:G1620"/>
    <mergeCell ref="D1936:G1936"/>
    <mergeCell ref="D1937:G1937"/>
    <mergeCell ref="A1931:B1931"/>
    <mergeCell ref="D1932:G1932"/>
    <mergeCell ref="D1777:G1777"/>
    <mergeCell ref="D1806:G1806"/>
    <mergeCell ref="D1805:G1805"/>
    <mergeCell ref="B1783:C1783"/>
    <mergeCell ref="B1796:C1796"/>
    <mergeCell ref="A1798:B1798"/>
    <mergeCell ref="A1801:B1801"/>
    <mergeCell ref="A1802:B1802"/>
    <mergeCell ref="B1704:C1704"/>
    <mergeCell ref="D1760:G1760"/>
    <mergeCell ref="D1761:G1761"/>
    <mergeCell ref="D1803:G1803"/>
    <mergeCell ref="D1762:G1762"/>
    <mergeCell ref="B3319:C3319"/>
    <mergeCell ref="D3239:G3239"/>
    <mergeCell ref="D3261:G3261"/>
    <mergeCell ref="D2987:G2987"/>
    <mergeCell ref="D2992:G2992"/>
    <mergeCell ref="D3040:G3040"/>
    <mergeCell ref="D3029:G3029"/>
    <mergeCell ref="D3030:G3030"/>
    <mergeCell ref="D3106:G3106"/>
    <mergeCell ref="D3038:G3038"/>
    <mergeCell ref="D3041:G3041"/>
    <mergeCell ref="D3171:G3171"/>
    <mergeCell ref="D3172:G3172"/>
    <mergeCell ref="A1768:B1768"/>
    <mergeCell ref="A1771:B1771"/>
    <mergeCell ref="D1990:G1990"/>
    <mergeCell ref="D1991:G1991"/>
    <mergeCell ref="D1992:G1992"/>
    <mergeCell ref="D1961:G1961"/>
    <mergeCell ref="D1989:G1989"/>
    <mergeCell ref="D1994:G1994"/>
    <mergeCell ref="D1995:G1995"/>
    <mergeCell ref="D2010:G2010"/>
    <mergeCell ref="D2011:G2011"/>
    <mergeCell ref="A2001:B2001"/>
    <mergeCell ref="D1962:G1962"/>
    <mergeCell ref="D1963:G1963"/>
    <mergeCell ref="D1964:G1964"/>
    <mergeCell ref="D1965:G1965"/>
    <mergeCell ref="A2086:B2086"/>
    <mergeCell ref="D1974:G1974"/>
    <mergeCell ref="D1975:G1975"/>
    <mergeCell ref="D3118:G3118"/>
    <mergeCell ref="D3119:G3119"/>
    <mergeCell ref="D3120:G3120"/>
    <mergeCell ref="D3366:G3366"/>
    <mergeCell ref="D3367:G3367"/>
    <mergeCell ref="D3368:G3368"/>
    <mergeCell ref="D3369:G3369"/>
    <mergeCell ref="A3401:B3401"/>
    <mergeCell ref="D3262:G3262"/>
    <mergeCell ref="D3264:G3264"/>
    <mergeCell ref="D3209:G3209"/>
    <mergeCell ref="A3270:B3270"/>
    <mergeCell ref="D3298:G3298"/>
    <mergeCell ref="D3299:G3299"/>
    <mergeCell ref="A3283:B3283"/>
    <mergeCell ref="D3304:G3304"/>
    <mergeCell ref="D3300:G3300"/>
    <mergeCell ref="D3301:G3301"/>
    <mergeCell ref="A3296:B3296"/>
    <mergeCell ref="A3297:B3297"/>
    <mergeCell ref="D3302:G3302"/>
    <mergeCell ref="D3377:G3377"/>
    <mergeCell ref="D3285:G3285"/>
    <mergeCell ref="D3338:G3338"/>
    <mergeCell ref="D3339:G3339"/>
    <mergeCell ref="D3340:G3340"/>
    <mergeCell ref="D3286:G3286"/>
    <mergeCell ref="D3234:G3234"/>
    <mergeCell ref="D3235:G3235"/>
    <mergeCell ref="D3236:G3236"/>
    <mergeCell ref="D3237:G3237"/>
    <mergeCell ref="D3289:G3289"/>
    <mergeCell ref="D3376:G3376"/>
    <mergeCell ref="B3371:C3371"/>
    <mergeCell ref="D3421:G3421"/>
    <mergeCell ref="D3121:G3121"/>
    <mergeCell ref="D3122:G3122"/>
    <mergeCell ref="B3124:C3124"/>
    <mergeCell ref="A3126:B3126"/>
    <mergeCell ref="D3130:G3130"/>
    <mergeCell ref="D3131:G3131"/>
    <mergeCell ref="D3132:G3132"/>
    <mergeCell ref="D3133:G3133"/>
    <mergeCell ref="D3134:G3134"/>
    <mergeCell ref="D3135:G3135"/>
    <mergeCell ref="A3075:B3075"/>
    <mergeCell ref="A3076:B3076"/>
    <mergeCell ref="A3154:B3154"/>
    <mergeCell ref="A3139:B3139"/>
    <mergeCell ref="A3140:B3140"/>
    <mergeCell ref="D3144:G3144"/>
    <mergeCell ref="D3147:G3147"/>
    <mergeCell ref="A3127:B3127"/>
    <mergeCell ref="A3128:B3128"/>
    <mergeCell ref="D3129:G3129"/>
    <mergeCell ref="B3150:C3150"/>
    <mergeCell ref="D3117:G3117"/>
    <mergeCell ref="D3109:G3109"/>
    <mergeCell ref="B3085:C3085"/>
    <mergeCell ref="A3087:B3087"/>
    <mergeCell ref="A3102:B3102"/>
    <mergeCell ref="D3103:G3103"/>
    <mergeCell ref="D3104:G3104"/>
    <mergeCell ref="D3105:G3105"/>
    <mergeCell ref="D3495:G3495"/>
    <mergeCell ref="D3509:G3509"/>
    <mergeCell ref="D3510:G3510"/>
    <mergeCell ref="D3432:G3432"/>
    <mergeCell ref="A3361:B3361"/>
    <mergeCell ref="A3310:B3310"/>
    <mergeCell ref="D3311:G3311"/>
    <mergeCell ref="A3425:B3425"/>
    <mergeCell ref="D3470:G3470"/>
    <mergeCell ref="D3471:G3471"/>
    <mergeCell ref="A3478:B3478"/>
    <mergeCell ref="D3391:G3391"/>
    <mergeCell ref="D3392:G3392"/>
    <mergeCell ref="D3407:G3407"/>
    <mergeCell ref="D3389:G3389"/>
    <mergeCell ref="D3356:G3356"/>
    <mergeCell ref="A3334:B3334"/>
    <mergeCell ref="D3363:G3363"/>
    <mergeCell ref="D3364:G3364"/>
    <mergeCell ref="D3365:G3365"/>
    <mergeCell ref="D3378:G3378"/>
    <mergeCell ref="D3355:G3355"/>
    <mergeCell ref="D3341:G3341"/>
    <mergeCell ref="A3412:B3412"/>
    <mergeCell ref="D3352:G3352"/>
    <mergeCell ref="D3406:G3406"/>
    <mergeCell ref="D3454:G3454"/>
    <mergeCell ref="D3455:G3455"/>
    <mergeCell ref="D3416:G3416"/>
    <mergeCell ref="D3417:G3417"/>
    <mergeCell ref="D3418:G3418"/>
    <mergeCell ref="D3330:G3330"/>
    <mergeCell ref="D3483:G3483"/>
    <mergeCell ref="D3484:G3484"/>
    <mergeCell ref="D3485:G3485"/>
    <mergeCell ref="D3486:G3486"/>
    <mergeCell ref="B3488:C3488"/>
    <mergeCell ref="A3490:B3490"/>
    <mergeCell ref="A3491:B3491"/>
    <mergeCell ref="A3516:B3516"/>
    <mergeCell ref="D3507:G3507"/>
    <mergeCell ref="D3508:G3508"/>
    <mergeCell ref="A3453:B3453"/>
    <mergeCell ref="D3481:G3481"/>
    <mergeCell ref="B3475:C3475"/>
    <mergeCell ref="D3522:G3522"/>
    <mergeCell ref="D3472:G3472"/>
    <mergeCell ref="D3473:G3473"/>
    <mergeCell ref="A3479:B3479"/>
    <mergeCell ref="A3503:B3503"/>
    <mergeCell ref="A3504:B3504"/>
    <mergeCell ref="A3505:B3505"/>
    <mergeCell ref="D3506:G3506"/>
    <mergeCell ref="D3521:G3521"/>
    <mergeCell ref="D3456:G3456"/>
    <mergeCell ref="D3480:G3480"/>
    <mergeCell ref="D3520:G3520"/>
    <mergeCell ref="A3492:B3492"/>
    <mergeCell ref="D3493:G3493"/>
    <mergeCell ref="B3514:C3514"/>
    <mergeCell ref="D3467:G3467"/>
    <mergeCell ref="D3468:G3468"/>
    <mergeCell ref="D3469:G3469"/>
    <mergeCell ref="D3494:G3494"/>
    <mergeCell ref="D3674:G3674"/>
    <mergeCell ref="D3675:G3675"/>
    <mergeCell ref="D3676:G3676"/>
    <mergeCell ref="D3677:G3677"/>
    <mergeCell ref="D3678:G3678"/>
    <mergeCell ref="B3680:C3680"/>
    <mergeCell ref="A3685:B3685"/>
    <mergeCell ref="A3686:B3686"/>
    <mergeCell ref="D3534:G3534"/>
    <mergeCell ref="D3525:G3525"/>
    <mergeCell ref="B3527:C3527"/>
    <mergeCell ref="A3517:B3517"/>
    <mergeCell ref="D3532:G3532"/>
    <mergeCell ref="D3533:G3533"/>
    <mergeCell ref="D3524:G3524"/>
    <mergeCell ref="A3529:B3529"/>
    <mergeCell ref="A3530:B3530"/>
    <mergeCell ref="A3531:B3531"/>
    <mergeCell ref="A3635:B3635"/>
    <mergeCell ref="A3636:B3636"/>
    <mergeCell ref="A3637:B3637"/>
    <mergeCell ref="A3638:B3638"/>
    <mergeCell ref="A3639:B3639"/>
    <mergeCell ref="D3640:G3640"/>
    <mergeCell ref="D3641:G3641"/>
    <mergeCell ref="D3642:G3642"/>
    <mergeCell ref="D3643:G3643"/>
    <mergeCell ref="D3644:G3644"/>
    <mergeCell ref="D3645:G3645"/>
    <mergeCell ref="A3651:B3651"/>
    <mergeCell ref="A3652:B3652"/>
    <mergeCell ref="D3646:G3646"/>
    <mergeCell ref="D3662:G3662"/>
    <mergeCell ref="D3672:G3672"/>
    <mergeCell ref="D3673:G3673"/>
    <mergeCell ref="A4150:B4150"/>
    <mergeCell ref="D4165:G4165"/>
    <mergeCell ref="D4209:G4209"/>
    <mergeCell ref="A4202:B4202"/>
    <mergeCell ref="A4087:B4087"/>
    <mergeCell ref="D4055:G4055"/>
    <mergeCell ref="A4011:B4011"/>
    <mergeCell ref="A3986:B3986"/>
    <mergeCell ref="D3883:G3883"/>
    <mergeCell ref="A3971:B3971"/>
    <mergeCell ref="D3899:G3899"/>
    <mergeCell ref="B3901:C3901"/>
    <mergeCell ref="D3935:G3935"/>
    <mergeCell ref="D3936:G3936"/>
    <mergeCell ref="D3976:G3976"/>
    <mergeCell ref="D4030:G4030"/>
    <mergeCell ref="D4031:G4031"/>
    <mergeCell ref="D3906:G3906"/>
    <mergeCell ref="D3907:G3907"/>
    <mergeCell ref="D4206:G4206"/>
    <mergeCell ref="B4199:C4199"/>
    <mergeCell ref="D3975:G3975"/>
    <mergeCell ref="D4094:G4094"/>
    <mergeCell ref="D4102:G4102"/>
    <mergeCell ref="D4103:G4103"/>
    <mergeCell ref="D4104:G4104"/>
    <mergeCell ref="D4101:G4101"/>
    <mergeCell ref="D4095:G4095"/>
    <mergeCell ref="A4074:B4074"/>
    <mergeCell ref="D4056:G4056"/>
    <mergeCell ref="D4057:G4057"/>
    <mergeCell ref="B4059:C4059"/>
    <mergeCell ref="D4231:G4231"/>
    <mergeCell ref="D4232:G4232"/>
    <mergeCell ref="D4233:G4233"/>
    <mergeCell ref="D4275:G4275"/>
    <mergeCell ref="A4268:B4268"/>
    <mergeCell ref="D4269:G4269"/>
    <mergeCell ref="D4117:G4117"/>
    <mergeCell ref="D4118:G4118"/>
    <mergeCell ref="A4124:B4124"/>
    <mergeCell ref="D4116:G4116"/>
    <mergeCell ref="D4143:G4143"/>
    <mergeCell ref="D4144:G4144"/>
    <mergeCell ref="D4132:G4132"/>
    <mergeCell ref="D4129:G4129"/>
    <mergeCell ref="D4130:G4130"/>
    <mergeCell ref="D4131:G4131"/>
    <mergeCell ref="B4134:C4134"/>
    <mergeCell ref="A4136:B4136"/>
    <mergeCell ref="D4140:G4140"/>
    <mergeCell ref="D4141:G4141"/>
    <mergeCell ref="D4196:G4196"/>
    <mergeCell ref="D4197:G4197"/>
    <mergeCell ref="D4178:G4178"/>
    <mergeCell ref="D4179:G4179"/>
    <mergeCell ref="D4191:G4191"/>
    <mergeCell ref="D4195:G4195"/>
    <mergeCell ref="D4208:G4208"/>
    <mergeCell ref="B4146:C4146"/>
    <mergeCell ref="D4157:G4157"/>
    <mergeCell ref="A4149:B4149"/>
    <mergeCell ref="A4242:B4242"/>
    <mergeCell ref="D4243:G4243"/>
    <mergeCell ref="D4262:G4262"/>
    <mergeCell ref="B4238:C4238"/>
    <mergeCell ref="A4240:B4240"/>
    <mergeCell ref="A4267:B4267"/>
    <mergeCell ref="D4285:G4285"/>
    <mergeCell ref="D4249:G4249"/>
    <mergeCell ref="D4176:G4176"/>
    <mergeCell ref="D4177:G4177"/>
    <mergeCell ref="A4173:B4173"/>
    <mergeCell ref="A4190:B4190"/>
    <mergeCell ref="B4183:C4183"/>
    <mergeCell ref="D4013:G4013"/>
    <mergeCell ref="D4014:G4014"/>
    <mergeCell ref="D4015:G4015"/>
    <mergeCell ref="D4016:G4016"/>
    <mergeCell ref="A4174:B4174"/>
    <mergeCell ref="D4175:G4175"/>
    <mergeCell ref="D4235:G4235"/>
    <mergeCell ref="D4236:G4236"/>
    <mergeCell ref="D4126:G4126"/>
    <mergeCell ref="D4168:G4168"/>
    <mergeCell ref="D4114:G4114"/>
    <mergeCell ref="D4194:G4194"/>
    <mergeCell ref="A4228:B4228"/>
    <mergeCell ref="A4148:B4148"/>
    <mergeCell ref="A4185:B4185"/>
    <mergeCell ref="D4128:G4128"/>
    <mergeCell ref="B4122:C4122"/>
    <mergeCell ref="D4234:G4234"/>
    <mergeCell ref="B4170:C4170"/>
    <mergeCell ref="B4109:C4109"/>
    <mergeCell ref="D4093:G4093"/>
    <mergeCell ref="B3981:C3981"/>
    <mergeCell ref="A3983:B3983"/>
    <mergeCell ref="A3985:B3985"/>
    <mergeCell ref="D3979:G3979"/>
    <mergeCell ref="A4075:B4075"/>
    <mergeCell ref="D4029:G4029"/>
    <mergeCell ref="D3601:G3601"/>
    <mergeCell ref="D3628:G3628"/>
    <mergeCell ref="D3629:G3629"/>
    <mergeCell ref="D3630:G3630"/>
    <mergeCell ref="A3732:B3732"/>
    <mergeCell ref="D3733:G3733"/>
    <mergeCell ref="D3734:G3734"/>
    <mergeCell ref="B3664:C3664"/>
    <mergeCell ref="A3653:B3653"/>
    <mergeCell ref="A3654:B3654"/>
    <mergeCell ref="A3879:B3879"/>
    <mergeCell ref="D3880:G3880"/>
    <mergeCell ref="D3977:G3977"/>
    <mergeCell ref="D3815:G3815"/>
    <mergeCell ref="D3816:G3816"/>
    <mergeCell ref="D3798:G3798"/>
    <mergeCell ref="D3785:G3785"/>
    <mergeCell ref="D3783:G3783"/>
    <mergeCell ref="D3784:G3784"/>
    <mergeCell ref="D3781:G3781"/>
    <mergeCell ref="A3666:B3666"/>
    <mergeCell ref="A3667:B3667"/>
    <mergeCell ref="D3738:G3738"/>
    <mergeCell ref="A3687:B3687"/>
    <mergeCell ref="B3632:C3632"/>
    <mergeCell ref="A3634:B3634"/>
    <mergeCell ref="D3973:G3973"/>
    <mergeCell ref="A3743:B3743"/>
    <mergeCell ref="A3747:B3747"/>
    <mergeCell ref="A3729:B3729"/>
    <mergeCell ref="A3730:B3730"/>
    <mergeCell ref="A3716:B3716"/>
    <mergeCell ref="D3873:G3873"/>
    <mergeCell ref="A3865:C3865"/>
    <mergeCell ref="D3769:G3769"/>
    <mergeCell ref="D3827:G3827"/>
    <mergeCell ref="A3822:B3822"/>
    <mergeCell ref="A3820:B3820"/>
    <mergeCell ref="B3818:C3818"/>
    <mergeCell ref="D3882:G3882"/>
    <mergeCell ref="A3891:B3891"/>
    <mergeCell ref="D3937:G3937"/>
    <mergeCell ref="D3938:G3938"/>
    <mergeCell ref="D3753:G3753"/>
    <mergeCell ref="D3721:G3721"/>
    <mergeCell ref="B3773:C3773"/>
    <mergeCell ref="A3775:B3775"/>
    <mergeCell ref="D3739:G3739"/>
    <mergeCell ref="B3741:C3741"/>
    <mergeCell ref="D3704:G3704"/>
    <mergeCell ref="D3705:G3705"/>
    <mergeCell ref="D3736:G3736"/>
    <mergeCell ref="D3717:G3717"/>
    <mergeCell ref="D3718:G3718"/>
    <mergeCell ref="D3719:G3719"/>
    <mergeCell ref="D3720:G3720"/>
    <mergeCell ref="D3723:G3723"/>
    <mergeCell ref="B3725:C3725"/>
    <mergeCell ref="A3712:B3712"/>
    <mergeCell ref="A3713:B3713"/>
    <mergeCell ref="A3714:B3714"/>
    <mergeCell ref="A3715:B3715"/>
    <mergeCell ref="D3198:G3198"/>
    <mergeCell ref="D3196:G3196"/>
    <mergeCell ref="D4417:G4417"/>
    <mergeCell ref="D3722:G3722"/>
    <mergeCell ref="A3727:B3727"/>
    <mergeCell ref="A3728:B3728"/>
    <mergeCell ref="D3702:G3702"/>
    <mergeCell ref="A3744:B3744"/>
    <mergeCell ref="D3706:G3706"/>
    <mergeCell ref="D3751:G3751"/>
    <mergeCell ref="D3752:G3752"/>
    <mergeCell ref="D4282:G4282"/>
    <mergeCell ref="D4283:G4283"/>
    <mergeCell ref="D4180:G4180"/>
    <mergeCell ref="D4181:G4181"/>
    <mergeCell ref="D3737:G3737"/>
    <mergeCell ref="D4127:G4127"/>
    <mergeCell ref="D4106:G4106"/>
    <mergeCell ref="D4244:G4244"/>
    <mergeCell ref="D4245:G4245"/>
    <mergeCell ref="A4201:B4201"/>
    <mergeCell ref="A4253:B4253"/>
    <mergeCell ref="A4279:B4279"/>
    <mergeCell ref="D4246:G4246"/>
    <mergeCell ref="A3972:B3972"/>
    <mergeCell ref="A3878:B3878"/>
    <mergeCell ref="A3745:B3745"/>
    <mergeCell ref="A3746:B3746"/>
    <mergeCell ref="D3829:G3829"/>
    <mergeCell ref="D3828:G3828"/>
    <mergeCell ref="D3770:G3770"/>
    <mergeCell ref="D3771:G3771"/>
    <mergeCell ref="B3332:C3332"/>
    <mergeCell ref="D3274:G3274"/>
    <mergeCell ref="D3148:G3148"/>
    <mergeCell ref="A3153:B3153"/>
    <mergeCell ref="A3141:B3141"/>
    <mergeCell ref="D3142:G3142"/>
    <mergeCell ref="D3143:G3143"/>
    <mergeCell ref="A3178:B3178"/>
    <mergeCell ref="A3179:B3179"/>
    <mergeCell ref="A3284:B3284"/>
    <mergeCell ref="D3160:G3160"/>
    <mergeCell ref="D3275:G3275"/>
    <mergeCell ref="D3168:G3168"/>
    <mergeCell ref="D3272:G3272"/>
    <mergeCell ref="D3155:G3155"/>
    <mergeCell ref="D3156:G3156"/>
    <mergeCell ref="D3157:G3157"/>
    <mergeCell ref="D3158:G3158"/>
    <mergeCell ref="A3193:B3193"/>
    <mergeCell ref="D3249:G3249"/>
    <mergeCell ref="D3159:G3159"/>
    <mergeCell ref="A3256:B3256"/>
    <mergeCell ref="D3194:G3194"/>
    <mergeCell ref="D3260:G3260"/>
    <mergeCell ref="B3254:C3254"/>
    <mergeCell ref="D3273:G3273"/>
    <mergeCell ref="D3185:G3185"/>
    <mergeCell ref="D3208:G3208"/>
    <mergeCell ref="D3145:G3145"/>
    <mergeCell ref="D3146:G3146"/>
    <mergeCell ref="D3197:G3197"/>
    <mergeCell ref="D3183:G3183"/>
    <mergeCell ref="A3764:B3764"/>
    <mergeCell ref="D3765:G3765"/>
    <mergeCell ref="A3605:B3605"/>
    <mergeCell ref="B3591:C3591"/>
    <mergeCell ref="A3593:B3593"/>
    <mergeCell ref="A3594:B3594"/>
    <mergeCell ref="B3616:C3616"/>
    <mergeCell ref="A3618:B3618"/>
    <mergeCell ref="D3599:G3599"/>
    <mergeCell ref="D3600:G3600"/>
    <mergeCell ref="D3195:G3195"/>
    <mergeCell ref="D3169:G3169"/>
    <mergeCell ref="A3152:B3152"/>
    <mergeCell ref="A3180:B3180"/>
    <mergeCell ref="D3291:G3291"/>
    <mergeCell ref="D3287:G3287"/>
    <mergeCell ref="D3288:G3288"/>
    <mergeCell ref="D3174:G3174"/>
    <mergeCell ref="D3511:G3511"/>
    <mergeCell ref="D3512:G3512"/>
    <mergeCell ref="D3550:G3550"/>
    <mergeCell ref="D3496:G3496"/>
    <mergeCell ref="D3497:G3497"/>
    <mergeCell ref="D3498:G3498"/>
    <mergeCell ref="D3499:G3499"/>
    <mergeCell ref="B3501:C3501"/>
    <mergeCell ref="D3523:G3523"/>
    <mergeCell ref="D3535:G3535"/>
    <mergeCell ref="D3536:G3536"/>
    <mergeCell ref="D3537:G3537"/>
    <mergeCell ref="D3538:G3538"/>
    <mergeCell ref="D3429:G3429"/>
    <mergeCell ref="D3611:G3611"/>
    <mergeCell ref="D3612:G3612"/>
    <mergeCell ref="D3688:G3688"/>
    <mergeCell ref="A3668:B3668"/>
    <mergeCell ref="A3621:B3621"/>
    <mergeCell ref="A3622:B3622"/>
    <mergeCell ref="A3620:B3620"/>
    <mergeCell ref="D3595:G3595"/>
    <mergeCell ref="D3596:G3596"/>
    <mergeCell ref="D3826:G3826"/>
    <mergeCell ref="A3821:B3821"/>
    <mergeCell ref="D3419:G3419"/>
    <mergeCell ref="D3574:G3574"/>
    <mergeCell ref="A3570:B3570"/>
    <mergeCell ref="D3572:G3572"/>
    <mergeCell ref="A3650:B3650"/>
    <mergeCell ref="B3540:C3540"/>
    <mergeCell ref="D3693:G3693"/>
    <mergeCell ref="A3700:B3700"/>
    <mergeCell ref="A3701:B3701"/>
    <mergeCell ref="A3623:B3623"/>
    <mergeCell ref="D3624:G3624"/>
    <mergeCell ref="D3689:G3689"/>
    <mergeCell ref="B3696:C3696"/>
    <mergeCell ref="A3698:B3698"/>
    <mergeCell ref="A3699:B3699"/>
    <mergeCell ref="A3670:B3670"/>
    <mergeCell ref="A3671:B3671"/>
    <mergeCell ref="D3613:G3613"/>
    <mergeCell ref="D3614:G3614"/>
    <mergeCell ref="A3619:B3619"/>
    <mergeCell ref="A3763:B3763"/>
    <mergeCell ref="A4061:B4061"/>
    <mergeCell ref="A4062:B4062"/>
    <mergeCell ref="A4063:B4063"/>
    <mergeCell ref="D4064:G4064"/>
    <mergeCell ref="D4003:G4003"/>
    <mergeCell ref="A4076:B4076"/>
    <mergeCell ref="D4028:G4028"/>
    <mergeCell ref="D4004:G4004"/>
    <mergeCell ref="D4005:G4005"/>
    <mergeCell ref="D4018:G4018"/>
    <mergeCell ref="B4008:C4008"/>
    <mergeCell ref="D4082:G4082"/>
    <mergeCell ref="D4083:G4083"/>
    <mergeCell ref="D4044:G4044"/>
    <mergeCell ref="B4046:C4046"/>
    <mergeCell ref="A4048:B4048"/>
    <mergeCell ref="A4049:B4049"/>
    <mergeCell ref="D4039:G4039"/>
    <mergeCell ref="A4050:B4050"/>
    <mergeCell ref="D4051:G4051"/>
    <mergeCell ref="A4023:B4023"/>
    <mergeCell ref="B4033:C4033"/>
    <mergeCell ref="A4035:B4035"/>
    <mergeCell ref="A4036:B4036"/>
    <mergeCell ref="D4012:G4012"/>
    <mergeCell ref="D4080:G4080"/>
    <mergeCell ref="D4081:G4081"/>
    <mergeCell ref="D4068:G4068"/>
    <mergeCell ref="D4077:G4077"/>
    <mergeCell ref="D399:G399"/>
    <mergeCell ref="D531:G531"/>
    <mergeCell ref="D532:G532"/>
    <mergeCell ref="D622:G622"/>
    <mergeCell ref="A434:B434"/>
    <mergeCell ref="A438:B438"/>
    <mergeCell ref="D557:G557"/>
    <mergeCell ref="D512:G512"/>
    <mergeCell ref="D513:G513"/>
    <mergeCell ref="D514:G514"/>
    <mergeCell ref="D515:G515"/>
    <mergeCell ref="A506:B506"/>
    <mergeCell ref="A507:B507"/>
    <mergeCell ref="A508:B508"/>
    <mergeCell ref="A509:B509"/>
    <mergeCell ref="D4107:G4107"/>
    <mergeCell ref="A487:B487"/>
    <mergeCell ref="A693:B693"/>
    <mergeCell ref="D4042:G4042"/>
    <mergeCell ref="D4043:G4043"/>
    <mergeCell ref="D3430:G3430"/>
    <mergeCell ref="D3431:G3431"/>
    <mergeCell ref="D3823:G3823"/>
    <mergeCell ref="D3824:G3824"/>
    <mergeCell ref="D3978:G3978"/>
    <mergeCell ref="D3884:G3884"/>
    <mergeCell ref="D3885:G3885"/>
    <mergeCell ref="B3969:C3969"/>
    <mergeCell ref="D3881:G3881"/>
    <mergeCell ref="D4053:G4053"/>
    <mergeCell ref="D4054:G4054"/>
    <mergeCell ref="D4017:G4017"/>
    <mergeCell ref="A21:B21"/>
    <mergeCell ref="D22:G22"/>
    <mergeCell ref="D23:G23"/>
    <mergeCell ref="D24:G24"/>
    <mergeCell ref="D25:G25"/>
    <mergeCell ref="D26:G26"/>
    <mergeCell ref="D27:G27"/>
    <mergeCell ref="D28:G28"/>
    <mergeCell ref="B77:C77"/>
    <mergeCell ref="A79:B79"/>
    <mergeCell ref="A91:B91"/>
    <mergeCell ref="A92:B92"/>
    <mergeCell ref="D93:G93"/>
    <mergeCell ref="D94:G94"/>
    <mergeCell ref="D95:G95"/>
    <mergeCell ref="D96:G96"/>
    <mergeCell ref="D38:G38"/>
    <mergeCell ref="A81:B81"/>
    <mergeCell ref="A82:B82"/>
    <mergeCell ref="D39:G39"/>
    <mergeCell ref="D40:G40"/>
    <mergeCell ref="B30:C30"/>
    <mergeCell ref="A32:B32"/>
    <mergeCell ref="D34:G34"/>
    <mergeCell ref="D35:G35"/>
    <mergeCell ref="D36:G36"/>
    <mergeCell ref="D37:G37"/>
    <mergeCell ref="A33:B33"/>
    <mergeCell ref="B42:C42"/>
    <mergeCell ref="A44:B44"/>
    <mergeCell ref="D45:G45"/>
    <mergeCell ref="D46:G46"/>
    <mergeCell ref="A83:B83"/>
    <mergeCell ref="A89:B89"/>
    <mergeCell ref="A90:B90"/>
    <mergeCell ref="A88:B88"/>
    <mergeCell ref="A84:B84"/>
    <mergeCell ref="A85:B85"/>
    <mergeCell ref="A86:B86"/>
    <mergeCell ref="A87:B87"/>
    <mergeCell ref="D47:G47"/>
    <mergeCell ref="D48:G48"/>
    <mergeCell ref="D49:G49"/>
    <mergeCell ref="A80:B80"/>
    <mergeCell ref="D50:G50"/>
    <mergeCell ref="D51:G51"/>
    <mergeCell ref="B53:C53"/>
    <mergeCell ref="A55:B55"/>
    <mergeCell ref="D56:G56"/>
    <mergeCell ref="D57:G57"/>
    <mergeCell ref="D58:G58"/>
    <mergeCell ref="D59:G59"/>
    <mergeCell ref="D60:G60"/>
    <mergeCell ref="D61:G61"/>
    <mergeCell ref="D62:G62"/>
    <mergeCell ref="B66:C66"/>
    <mergeCell ref="A68:B68"/>
    <mergeCell ref="D69:G69"/>
    <mergeCell ref="D70:G70"/>
    <mergeCell ref="D71:G71"/>
    <mergeCell ref="D72:G72"/>
    <mergeCell ref="D73:G73"/>
    <mergeCell ref="D74:G74"/>
    <mergeCell ref="D75:G75"/>
    <mergeCell ref="A345:B345"/>
    <mergeCell ref="A346:B346"/>
    <mergeCell ref="D347:G347"/>
    <mergeCell ref="A188:B188"/>
    <mergeCell ref="A179:B179"/>
    <mergeCell ref="A180:B180"/>
    <mergeCell ref="A184:B184"/>
    <mergeCell ref="A187:B187"/>
    <mergeCell ref="D333:G333"/>
    <mergeCell ref="D334:G334"/>
    <mergeCell ref="D335:G335"/>
    <mergeCell ref="D336:G336"/>
    <mergeCell ref="D337:G337"/>
    <mergeCell ref="A327:B327"/>
    <mergeCell ref="A329:B329"/>
    <mergeCell ref="D195:G195"/>
    <mergeCell ref="B198:C198"/>
    <mergeCell ref="A200:B200"/>
    <mergeCell ref="A201:B201"/>
    <mergeCell ref="B256:C256"/>
    <mergeCell ref="A258:B258"/>
    <mergeCell ref="D259:G259"/>
    <mergeCell ref="D214:G214"/>
    <mergeCell ref="D215:G215"/>
    <mergeCell ref="A221:H221"/>
    <mergeCell ref="B289:C289"/>
    <mergeCell ref="A291:B291"/>
    <mergeCell ref="D292:G292"/>
    <mergeCell ref="D254:G254"/>
    <mergeCell ref="A326:B326"/>
    <mergeCell ref="D331:G331"/>
    <mergeCell ref="D332:G332"/>
    <mergeCell ref="A4241:B4241"/>
    <mergeCell ref="A393:B393"/>
    <mergeCell ref="D394:G394"/>
    <mergeCell ref="D395:G395"/>
    <mergeCell ref="D396:G396"/>
    <mergeCell ref="D397:G397"/>
    <mergeCell ref="D590:G590"/>
    <mergeCell ref="D591:G591"/>
    <mergeCell ref="D592:G592"/>
    <mergeCell ref="D574:G574"/>
    <mergeCell ref="D467:G467"/>
    <mergeCell ref="D468:G468"/>
    <mergeCell ref="D469:G469"/>
    <mergeCell ref="D470:G470"/>
    <mergeCell ref="D471:G471"/>
    <mergeCell ref="D472:G472"/>
    <mergeCell ref="A462:B462"/>
    <mergeCell ref="A463:B463"/>
    <mergeCell ref="A464:B464"/>
    <mergeCell ref="D694:G694"/>
    <mergeCell ref="D4067:G4067"/>
    <mergeCell ref="A4022:B4022"/>
    <mergeCell ref="A4024:B4024"/>
    <mergeCell ref="A3791:B3791"/>
    <mergeCell ref="A3792:B3792"/>
    <mergeCell ref="A3793:B3793"/>
    <mergeCell ref="A3794:B3794"/>
    <mergeCell ref="D3795:G3795"/>
    <mergeCell ref="D3796:G3796"/>
    <mergeCell ref="D1881:G1881"/>
    <mergeCell ref="A1832:B1832"/>
    <mergeCell ref="D1838:G1838"/>
    <mergeCell ref="D4728:G4728"/>
    <mergeCell ref="D4729:G4729"/>
    <mergeCell ref="D4730:G4730"/>
    <mergeCell ref="D4731:G4731"/>
    <mergeCell ref="D4714:G4714"/>
    <mergeCell ref="D4715:G4715"/>
    <mergeCell ref="D4716:G4716"/>
    <mergeCell ref="D4717:G4717"/>
    <mergeCell ref="D4718:G4718"/>
    <mergeCell ref="B4682:C4682"/>
    <mergeCell ref="A4684:B4684"/>
    <mergeCell ref="A4685:B4685"/>
    <mergeCell ref="A4686:B4686"/>
    <mergeCell ref="D4687:G4687"/>
    <mergeCell ref="D4688:G4688"/>
    <mergeCell ref="D4689:G4689"/>
    <mergeCell ref="D4690:G4690"/>
    <mergeCell ref="D4691:G4691"/>
    <mergeCell ref="D4692:G4692"/>
    <mergeCell ref="D4693:G4693"/>
    <mergeCell ref="B4695:C4695"/>
    <mergeCell ref="A4697:B4697"/>
    <mergeCell ref="A4699:B4699"/>
    <mergeCell ref="A4700:B4700"/>
    <mergeCell ref="D4701:G4701"/>
    <mergeCell ref="D4702:G4702"/>
    <mergeCell ref="B4721:C4721"/>
    <mergeCell ref="A4711:C4711"/>
    <mergeCell ref="A4723:B4723"/>
    <mergeCell ref="D4732:G4732"/>
    <mergeCell ref="B370:C370"/>
    <mergeCell ref="A372:B372"/>
    <mergeCell ref="A373:B373"/>
    <mergeCell ref="D4703:G4703"/>
    <mergeCell ref="D4704:G4704"/>
    <mergeCell ref="D4705:G4705"/>
    <mergeCell ref="D4706:G4706"/>
    <mergeCell ref="D4707:G4707"/>
    <mergeCell ref="A4698:B4698"/>
    <mergeCell ref="B4709:C4709"/>
    <mergeCell ref="A4712:B4712"/>
    <mergeCell ref="D4719:G4719"/>
    <mergeCell ref="D4256:G4256"/>
    <mergeCell ref="D4257:G4257"/>
    <mergeCell ref="D4258:G4258"/>
    <mergeCell ref="D4259:G4259"/>
    <mergeCell ref="D4260:G4260"/>
    <mergeCell ref="D4261:G4261"/>
    <mergeCell ref="D4079:G4079"/>
    <mergeCell ref="A4724:B4724"/>
    <mergeCell ref="A374:B374"/>
    <mergeCell ref="A375:B375"/>
    <mergeCell ref="A377:B377"/>
    <mergeCell ref="D378:G378"/>
    <mergeCell ref="D379:G379"/>
    <mergeCell ref="D380:G380"/>
    <mergeCell ref="D381:G381"/>
    <mergeCell ref="A4725:B4725"/>
    <mergeCell ref="D4726:G4726"/>
    <mergeCell ref="D4727:G4727"/>
    <mergeCell ref="D4713:G4713"/>
    <mergeCell ref="D3992:G3992"/>
    <mergeCell ref="D3993:G3993"/>
    <mergeCell ref="A3999:B3999"/>
    <mergeCell ref="D4006:G4006"/>
    <mergeCell ref="D4001:G4001"/>
    <mergeCell ref="D4002:G4002"/>
    <mergeCell ref="D3909:G3909"/>
    <mergeCell ref="D3910:G3910"/>
    <mergeCell ref="D3932:G3932"/>
    <mergeCell ref="D3933:G3933"/>
    <mergeCell ref="A3944:B3944"/>
    <mergeCell ref="D3949:G3949"/>
    <mergeCell ref="A3890:B3890"/>
    <mergeCell ref="A3606:B3606"/>
    <mergeCell ref="A3607:B3607"/>
    <mergeCell ref="D3886:G3886"/>
    <mergeCell ref="A3903:B3903"/>
    <mergeCell ref="A3892:B3892"/>
    <mergeCell ref="D3893:G3893"/>
    <mergeCell ref="D3894:G3894"/>
    <mergeCell ref="D3895:G3895"/>
    <mergeCell ref="D3896:G3896"/>
    <mergeCell ref="D3946:G3946"/>
    <mergeCell ref="D3947:G3947"/>
    <mergeCell ref="D3948:G3948"/>
    <mergeCell ref="D3945:G3945"/>
    <mergeCell ref="D3657:G3657"/>
    <mergeCell ref="D3658:G3658"/>
    <mergeCell ref="D3659:G3659"/>
    <mergeCell ref="D3660:G3660"/>
    <mergeCell ref="D3661:G3661"/>
    <mergeCell ref="D3694:G3694"/>
    <mergeCell ref="D3934:G3934"/>
    <mergeCell ref="D3951:G3951"/>
    <mergeCell ref="D3625:G3625"/>
    <mergeCell ref="D3626:G3626"/>
    <mergeCell ref="D3627:G3627"/>
    <mergeCell ref="D3690:G3690"/>
    <mergeCell ref="D3691:G3691"/>
    <mergeCell ref="D3692:G3692"/>
    <mergeCell ref="D3994:G3994"/>
    <mergeCell ref="D3995:G3995"/>
    <mergeCell ref="A3943:B3943"/>
    <mergeCell ref="B3579:C3579"/>
    <mergeCell ref="A3581:B3581"/>
    <mergeCell ref="A3582:B3582"/>
    <mergeCell ref="D3583:G3583"/>
    <mergeCell ref="D3584:G3584"/>
    <mergeCell ref="D3585:G3585"/>
    <mergeCell ref="D3586:G3586"/>
    <mergeCell ref="D3587:G3587"/>
    <mergeCell ref="D3588:G3588"/>
    <mergeCell ref="D3897:G3897"/>
    <mergeCell ref="D3898:G3898"/>
    <mergeCell ref="D3950:G3950"/>
    <mergeCell ref="D3911:G3911"/>
    <mergeCell ref="D3912:G3912"/>
    <mergeCell ref="B3914:C3914"/>
    <mergeCell ref="A3916:B3916"/>
    <mergeCell ref="A3917:B3917"/>
    <mergeCell ref="A3918:B3918"/>
    <mergeCell ref="D3919:G3919"/>
    <mergeCell ref="A3904:B3904"/>
    <mergeCell ref="A3905:B3905"/>
    <mergeCell ref="D510:G510"/>
    <mergeCell ref="D511:G511"/>
    <mergeCell ref="A525:B525"/>
    <mergeCell ref="B3875:C3875"/>
    <mergeCell ref="A3877:B3877"/>
    <mergeCell ref="A3809:B3809"/>
    <mergeCell ref="D3801:G3801"/>
    <mergeCell ref="A3984:B3984"/>
    <mergeCell ref="D1923:G1923"/>
    <mergeCell ref="D1879:G1879"/>
    <mergeCell ref="D1880:G1880"/>
    <mergeCell ref="A673:B673"/>
    <mergeCell ref="D1835:G1835"/>
    <mergeCell ref="A1708:B1708"/>
    <mergeCell ref="D1836:G1836"/>
    <mergeCell ref="A723:B723"/>
    <mergeCell ref="A724:B724"/>
    <mergeCell ref="D1908:G1908"/>
    <mergeCell ref="A727:B727"/>
    <mergeCell ref="D678:G678"/>
    <mergeCell ref="D679:G679"/>
    <mergeCell ref="D3656:G3656"/>
    <mergeCell ref="A1905:B1905"/>
    <mergeCell ref="D1807:G1807"/>
    <mergeCell ref="D1808:G1808"/>
    <mergeCell ref="B1997:C1997"/>
    <mergeCell ref="D2092:G2092"/>
    <mergeCell ref="D2093:G2093"/>
    <mergeCell ref="A1986:B1986"/>
    <mergeCell ref="D3589:G3589"/>
    <mergeCell ref="A3731:B3731"/>
    <mergeCell ref="D3575:G3575"/>
    <mergeCell ref="D1636:G1636"/>
    <mergeCell ref="D1758:G1758"/>
    <mergeCell ref="A1630:B1630"/>
    <mergeCell ref="A1631:B1631"/>
    <mergeCell ref="A1769:B1769"/>
    <mergeCell ref="D1682:G1682"/>
    <mergeCell ref="D1716:G1716"/>
    <mergeCell ref="A1661:B1661"/>
    <mergeCell ref="A1662:B1662"/>
    <mergeCell ref="A1647:B1647"/>
    <mergeCell ref="D1648:G1648"/>
    <mergeCell ref="D1649:G1649"/>
    <mergeCell ref="D1839:G1839"/>
    <mergeCell ref="D3797:G3797"/>
    <mergeCell ref="D3991:G3991"/>
    <mergeCell ref="D1702:G1702"/>
    <mergeCell ref="D1681:G1681"/>
    <mergeCell ref="A1678:B1678"/>
    <mergeCell ref="D1714:G1714"/>
    <mergeCell ref="D3551:G3551"/>
    <mergeCell ref="A3569:B3569"/>
    <mergeCell ref="A3682:B3682"/>
    <mergeCell ref="A3683:B3683"/>
    <mergeCell ref="A3684:B3684"/>
    <mergeCell ref="B3648:C3648"/>
    <mergeCell ref="D3597:G3597"/>
    <mergeCell ref="D3598:G3598"/>
    <mergeCell ref="A3669:B3669"/>
    <mergeCell ref="A3655:B3655"/>
    <mergeCell ref="D3703:G3703"/>
    <mergeCell ref="D3707:G3707"/>
    <mergeCell ref="D3708:G3708"/>
    <mergeCell ref="A1815:B1815"/>
    <mergeCell ref="D1789:G1789"/>
    <mergeCell ref="D1790:G1790"/>
    <mergeCell ref="D1791:G1791"/>
    <mergeCell ref="D1792:G1792"/>
    <mergeCell ref="A1831:B1831"/>
    <mergeCell ref="B1859:C1859"/>
    <mergeCell ref="D1819:G1819"/>
    <mergeCell ref="D1820:G1820"/>
    <mergeCell ref="D1670:G1670"/>
    <mergeCell ref="B1672:C1672"/>
    <mergeCell ref="A1674:B1674"/>
    <mergeCell ref="A1675:B1675"/>
    <mergeCell ref="A1676:B1676"/>
    <mergeCell ref="A1677:B1677"/>
    <mergeCell ref="A1706:B1706"/>
    <mergeCell ref="A1753:B1753"/>
    <mergeCell ref="D1697:G1697"/>
    <mergeCell ref="A1814:B1814"/>
    <mergeCell ref="D1809:G1809"/>
    <mergeCell ref="A1799:B1799"/>
    <mergeCell ref="A1800:B1800"/>
    <mergeCell ref="A1787:B1787"/>
    <mergeCell ref="D1778:G1778"/>
    <mergeCell ref="D1837:G1837"/>
    <mergeCell ref="A1848:B1848"/>
    <mergeCell ref="A1849:B1849"/>
    <mergeCell ref="A1850:B1850"/>
    <mergeCell ref="A1785:B1785"/>
    <mergeCell ref="A1818:B1818"/>
    <mergeCell ref="D1794:G1794"/>
    <mergeCell ref="D1853:G1853"/>
    <mergeCell ref="D1637:G1637"/>
    <mergeCell ref="D1638:G1638"/>
    <mergeCell ref="D1781:G1781"/>
    <mergeCell ref="D1665:G1665"/>
    <mergeCell ref="A1644:B1644"/>
    <mergeCell ref="A1904:B1904"/>
    <mergeCell ref="A1903:B1903"/>
    <mergeCell ref="A1663:B1663"/>
    <mergeCell ref="D1654:G1654"/>
    <mergeCell ref="D1619:G1619"/>
    <mergeCell ref="A1602:B1602"/>
    <mergeCell ref="D1603:G1603"/>
    <mergeCell ref="D1604:G1604"/>
    <mergeCell ref="A1645:B1645"/>
    <mergeCell ref="A1646:B1646"/>
    <mergeCell ref="A1614:B1614"/>
    <mergeCell ref="A1679:B1679"/>
    <mergeCell ref="A1660:B1660"/>
    <mergeCell ref="D1650:G1650"/>
    <mergeCell ref="D1699:G1699"/>
    <mergeCell ref="D1897:G1897"/>
    <mergeCell ref="D1804:G1804"/>
    <mergeCell ref="D1793:G1793"/>
    <mergeCell ref="A1845:B1845"/>
    <mergeCell ref="D1686:G1686"/>
    <mergeCell ref="B1688:C1688"/>
    <mergeCell ref="A1877:B1877"/>
    <mergeCell ref="A1864:B1864"/>
    <mergeCell ref="A1770:B1770"/>
    <mergeCell ref="A1786:B1786"/>
    <mergeCell ref="A1816:B1816"/>
    <mergeCell ref="B1811:C1811"/>
    <mergeCell ref="D1683:G1683"/>
    <mergeCell ref="D1684:G1684"/>
    <mergeCell ref="A1772:B1772"/>
    <mergeCell ref="A1773:B1773"/>
    <mergeCell ref="D1746:G1746"/>
    <mergeCell ref="D1909:G1909"/>
    <mergeCell ref="A1892:B1892"/>
    <mergeCell ref="D1893:G1893"/>
    <mergeCell ref="D1713:G1713"/>
    <mergeCell ref="A1693:B1693"/>
    <mergeCell ref="D1698:G1698"/>
    <mergeCell ref="D1906:G1906"/>
    <mergeCell ref="D1907:G1907"/>
    <mergeCell ref="D1910:G1910"/>
    <mergeCell ref="D1911:G1911"/>
    <mergeCell ref="A1767:B1767"/>
    <mergeCell ref="D1779:G1779"/>
    <mergeCell ref="D1788:G1788"/>
    <mergeCell ref="A1694:B1694"/>
    <mergeCell ref="A1695:B1695"/>
    <mergeCell ref="D1696:G1696"/>
    <mergeCell ref="A1817:B1817"/>
    <mergeCell ref="D1717:G1717"/>
    <mergeCell ref="A1878:B1878"/>
    <mergeCell ref="A1813:B1813"/>
    <mergeCell ref="D1759:G1759"/>
    <mergeCell ref="D1871:G1871"/>
    <mergeCell ref="D1854:G1854"/>
    <mergeCell ref="D1855:G1855"/>
    <mergeCell ref="D1763:G1763"/>
    <mergeCell ref="D1841:G1841"/>
    <mergeCell ref="D1851:G1851"/>
    <mergeCell ref="D1526:G1526"/>
    <mergeCell ref="D1527:G1527"/>
    <mergeCell ref="D1528:G1528"/>
    <mergeCell ref="D1529:G1529"/>
    <mergeCell ref="B1531:C1531"/>
    <mergeCell ref="D1439:G1439"/>
    <mergeCell ref="B1435:C1435"/>
    <mergeCell ref="D1608:G1608"/>
    <mergeCell ref="D1609:G1609"/>
    <mergeCell ref="B1611:C1611"/>
    <mergeCell ref="A1506:B1506"/>
    <mergeCell ref="A1521:B1521"/>
    <mergeCell ref="A1522:B1522"/>
    <mergeCell ref="B1515:C1515"/>
    <mergeCell ref="A1517:B1517"/>
    <mergeCell ref="A1518:B1518"/>
    <mergeCell ref="D1480:G1480"/>
    <mergeCell ref="D1513:G1513"/>
    <mergeCell ref="D1512:G1512"/>
    <mergeCell ref="A1554:B1554"/>
    <mergeCell ref="D1559:G1559"/>
    <mergeCell ref="D1556:G1556"/>
    <mergeCell ref="A1583:B1583"/>
    <mergeCell ref="A1599:B1599"/>
    <mergeCell ref="A1570:B1570"/>
    <mergeCell ref="D1589:G1589"/>
    <mergeCell ref="D1590:G1590"/>
    <mergeCell ref="D1577:G1577"/>
    <mergeCell ref="A1569:B1569"/>
    <mergeCell ref="D1606:G1606"/>
    <mergeCell ref="A4188:B4188"/>
    <mergeCell ref="A4186:B4186"/>
    <mergeCell ref="D4052:G4052"/>
    <mergeCell ref="D4025:G4025"/>
    <mergeCell ref="A4037:B4037"/>
    <mergeCell ref="D4038:G4038"/>
    <mergeCell ref="D4040:G4040"/>
    <mergeCell ref="D4026:G4026"/>
    <mergeCell ref="D4027:G4027"/>
    <mergeCell ref="D4041:G4041"/>
    <mergeCell ref="A2114:B2114"/>
    <mergeCell ref="A1971:B1971"/>
    <mergeCell ref="D1951:G1951"/>
    <mergeCell ref="A1958:B1958"/>
    <mergeCell ref="D3039:G3039"/>
    <mergeCell ref="A1942:B1942"/>
    <mergeCell ref="A1943:B1943"/>
    <mergeCell ref="D2008:G2008"/>
    <mergeCell ref="D2009:G2009"/>
    <mergeCell ref="D1949:G1949"/>
    <mergeCell ref="D1950:G1950"/>
    <mergeCell ref="A1956:B1956"/>
    <mergeCell ref="A1957:B1957"/>
    <mergeCell ref="B1982:C1982"/>
    <mergeCell ref="A1984:B1984"/>
    <mergeCell ref="A1985:B1985"/>
    <mergeCell ref="A1944:B1944"/>
    <mergeCell ref="A1945:B1945"/>
    <mergeCell ref="D1946:G1946"/>
    <mergeCell ref="D1947:G1947"/>
    <mergeCell ref="D1980:G1980"/>
    <mergeCell ref="A1970:B1970"/>
    <mergeCell ref="B4159:C4159"/>
    <mergeCell ref="A4161:B4161"/>
    <mergeCell ref="D3974:G3974"/>
    <mergeCell ref="A4010:B4010"/>
    <mergeCell ref="B4020:C4020"/>
    <mergeCell ref="D4000:G4000"/>
    <mergeCell ref="D4105:G4105"/>
    <mergeCell ref="D4069:G4069"/>
    <mergeCell ref="D4070:G4070"/>
    <mergeCell ref="B4072:C4072"/>
    <mergeCell ref="D4065:G4065"/>
    <mergeCell ref="D4066:G4066"/>
    <mergeCell ref="D4090:G4090"/>
    <mergeCell ref="D4091:G4091"/>
    <mergeCell ref="B4085:C4085"/>
    <mergeCell ref="D4089:G4089"/>
    <mergeCell ref="A4100:B4100"/>
    <mergeCell ref="D4078:G4078"/>
    <mergeCell ref="D4156:G4156"/>
    <mergeCell ref="D4142:G4142"/>
    <mergeCell ref="A4125:B4125"/>
    <mergeCell ref="D4119:G4119"/>
    <mergeCell ref="D4120:G4120"/>
    <mergeCell ref="A4137:B4137"/>
    <mergeCell ref="D4138:G4138"/>
    <mergeCell ref="D4139:G4139"/>
    <mergeCell ref="D4115:G4115"/>
    <mergeCell ref="B3997:C3997"/>
    <mergeCell ref="A3987:B3987"/>
    <mergeCell ref="A3988:B3988"/>
    <mergeCell ref="D3989:G3989"/>
    <mergeCell ref="D3990:G3990"/>
    <mergeCell ref="D4384:G4384"/>
    <mergeCell ref="D4397:G4397"/>
    <mergeCell ref="D4447:G4447"/>
    <mergeCell ref="D4458:G4458"/>
    <mergeCell ref="D4431:G4431"/>
    <mergeCell ref="D4432:G4432"/>
    <mergeCell ref="D4393:G4393"/>
    <mergeCell ref="D4394:G4394"/>
    <mergeCell ref="D4395:G4395"/>
    <mergeCell ref="D4396:G4396"/>
    <mergeCell ref="D4433:G4433"/>
    <mergeCell ref="D4434:G4434"/>
    <mergeCell ref="D4435:G4435"/>
    <mergeCell ref="D4436:G4436"/>
    <mergeCell ref="D4408:G4408"/>
    <mergeCell ref="D4409:G4409"/>
    <mergeCell ref="D4410:G4410"/>
    <mergeCell ref="D4430:G4430"/>
    <mergeCell ref="D4444:G4444"/>
    <mergeCell ref="B4288:C4288"/>
    <mergeCell ref="D4294:G4294"/>
    <mergeCell ref="D4336:G4336"/>
    <mergeCell ref="D4337:G4337"/>
    <mergeCell ref="D4325:G4325"/>
    <mergeCell ref="D4345:G4345"/>
    <mergeCell ref="D4346:G4346"/>
    <mergeCell ref="D4347:G4347"/>
    <mergeCell ref="D4348:G4348"/>
    <mergeCell ref="A4291:B4291"/>
    <mergeCell ref="D4293:G4293"/>
    <mergeCell ref="A4305:B4305"/>
    <mergeCell ref="A4292:B4292"/>
    <mergeCell ref="D4297:G4297"/>
    <mergeCell ref="D4298:G4298"/>
    <mergeCell ref="D4299:G4299"/>
    <mergeCell ref="D4323:G4323"/>
    <mergeCell ref="B4314:C4314"/>
    <mergeCell ref="D4320:G4320"/>
    <mergeCell ref="D4454:G4454"/>
    <mergeCell ref="D4455:G4455"/>
    <mergeCell ref="B4399:C4399"/>
    <mergeCell ref="A4401:B4401"/>
    <mergeCell ref="A4403:B4403"/>
    <mergeCell ref="D4404:G4404"/>
    <mergeCell ref="A4464:B4464"/>
    <mergeCell ref="A4465:B4465"/>
    <mergeCell ref="A4466:B4466"/>
    <mergeCell ref="D4467:G4467"/>
    <mergeCell ref="D4468:G4468"/>
    <mergeCell ref="D4469:G4469"/>
    <mergeCell ref="D4406:G4406"/>
    <mergeCell ref="D4407:G4407"/>
    <mergeCell ref="B4438:C4438"/>
    <mergeCell ref="D4349:G4349"/>
    <mergeCell ref="D4350:G4350"/>
    <mergeCell ref="D4351:G4351"/>
    <mergeCell ref="B4353:C4353"/>
    <mergeCell ref="A4355:B4355"/>
    <mergeCell ref="A4356:B4356"/>
    <mergeCell ref="A4357:B4357"/>
    <mergeCell ref="D4358:G4358"/>
    <mergeCell ref="D4363:G4363"/>
    <mergeCell ref="D4359:G4359"/>
    <mergeCell ref="D4360:G4360"/>
    <mergeCell ref="D4361:G4361"/>
    <mergeCell ref="D4362:G4362"/>
    <mergeCell ref="D4374:G4374"/>
    <mergeCell ref="D4375:G4375"/>
    <mergeCell ref="D4382:G4382"/>
    <mergeCell ref="D4383:G4383"/>
    <mergeCell ref="D4640:G4640"/>
    <mergeCell ref="D4641:G4641"/>
    <mergeCell ref="D4624:G4624"/>
    <mergeCell ref="D4625:G4625"/>
    <mergeCell ref="D4626:G4626"/>
    <mergeCell ref="D4627:G4627"/>
    <mergeCell ref="D4628:G4628"/>
    <mergeCell ref="D4629:G4629"/>
    <mergeCell ref="B4631:C4631"/>
    <mergeCell ref="A4633:B4633"/>
    <mergeCell ref="A4634:B4634"/>
    <mergeCell ref="D4637:G4637"/>
    <mergeCell ref="D4638:G4638"/>
    <mergeCell ref="A4531:B4531"/>
    <mergeCell ref="D4532:G4532"/>
    <mergeCell ref="D4533:G4533"/>
    <mergeCell ref="D4534:G4534"/>
    <mergeCell ref="D4535:G4535"/>
    <mergeCell ref="D4536:G4536"/>
    <mergeCell ref="D4537:G4537"/>
    <mergeCell ref="D4538:G4538"/>
    <mergeCell ref="D4615:G4615"/>
    <mergeCell ref="D4616:G4616"/>
    <mergeCell ref="B4618:C4618"/>
    <mergeCell ref="D4574:G4574"/>
    <mergeCell ref="D4573:G4573"/>
    <mergeCell ref="D4572:G4572"/>
    <mergeCell ref="D4571:G4571"/>
    <mergeCell ref="D1824:G1824"/>
    <mergeCell ref="A1707:B1707"/>
    <mergeCell ref="D1865:G1865"/>
    <mergeCell ref="D1866:G1866"/>
    <mergeCell ref="B1656:C1656"/>
    <mergeCell ref="A1658:B1658"/>
    <mergeCell ref="A1601:B1601"/>
    <mergeCell ref="D1666:G1666"/>
    <mergeCell ref="D4649:G4649"/>
    <mergeCell ref="D4650:G4650"/>
    <mergeCell ref="D4655:G4655"/>
    <mergeCell ref="D4602:G4602"/>
    <mergeCell ref="A4620:B4620"/>
    <mergeCell ref="A4621:B4621"/>
    <mergeCell ref="A4622:B4622"/>
    <mergeCell ref="D4623:G4623"/>
    <mergeCell ref="D4610:G4610"/>
    <mergeCell ref="D4611:G4611"/>
    <mergeCell ref="D4612:G4612"/>
    <mergeCell ref="D4613:G4613"/>
    <mergeCell ref="D4651:G4651"/>
    <mergeCell ref="D4652:G4652"/>
    <mergeCell ref="D4653:G4653"/>
    <mergeCell ref="D4654:G4654"/>
    <mergeCell ref="D4642:G4642"/>
    <mergeCell ref="B4644:C4644"/>
    <mergeCell ref="A4646:B4646"/>
    <mergeCell ref="A4647:B4647"/>
    <mergeCell ref="A4648:B4648"/>
    <mergeCell ref="A4635:B4635"/>
    <mergeCell ref="D4636:G4636"/>
    <mergeCell ref="D4639:G4639"/>
    <mergeCell ref="D1912:G1912"/>
    <mergeCell ref="B1914:C1914"/>
    <mergeCell ref="D1924:G1924"/>
    <mergeCell ref="D1925:G1925"/>
    <mergeCell ref="B1927:C1927"/>
    <mergeCell ref="D1952:G1952"/>
    <mergeCell ref="A1916:B1916"/>
    <mergeCell ref="A1917:B1917"/>
    <mergeCell ref="D1894:G1894"/>
    <mergeCell ref="D4603:G4603"/>
    <mergeCell ref="D4564:G4564"/>
    <mergeCell ref="D4590:G4590"/>
    <mergeCell ref="B4592:C4592"/>
    <mergeCell ref="A4594:B4594"/>
    <mergeCell ref="D4577:G4577"/>
    <mergeCell ref="D4576:G4576"/>
    <mergeCell ref="D4575:G4575"/>
    <mergeCell ref="A4491:B4491"/>
    <mergeCell ref="A4492:B4492"/>
    <mergeCell ref="D4493:G4493"/>
    <mergeCell ref="D4494:G4494"/>
    <mergeCell ref="D4495:G4495"/>
    <mergeCell ref="D4496:G4496"/>
    <mergeCell ref="D4497:G4497"/>
    <mergeCell ref="D4498:G4498"/>
    <mergeCell ref="D4499:G4499"/>
    <mergeCell ref="B4501:C4501"/>
    <mergeCell ref="A4503:B4503"/>
    <mergeCell ref="A4504:B4504"/>
    <mergeCell ref="B4449:C4449"/>
    <mergeCell ref="A4451:B4451"/>
    <mergeCell ref="A4390:B4390"/>
    <mergeCell ref="A1930:B1930"/>
    <mergeCell ref="D4522:G4522"/>
    <mergeCell ref="D4550:G4550"/>
    <mergeCell ref="D4551:G4551"/>
    <mergeCell ref="A4542:B4542"/>
    <mergeCell ref="A4583:B4583"/>
    <mergeCell ref="B3603:C3603"/>
    <mergeCell ref="A4555:B4555"/>
    <mergeCell ref="A4556:B4556"/>
    <mergeCell ref="A4557:B4557"/>
    <mergeCell ref="D4558:G4558"/>
    <mergeCell ref="D4559:G4559"/>
    <mergeCell ref="D4560:G4560"/>
    <mergeCell ref="D4561:G4561"/>
    <mergeCell ref="D4092:G4092"/>
    <mergeCell ref="D4510:G4510"/>
    <mergeCell ref="D4511:G4511"/>
    <mergeCell ref="A4543:B4543"/>
    <mergeCell ref="A4544:B4544"/>
    <mergeCell ref="D4545:G4545"/>
    <mergeCell ref="D4546:G4546"/>
    <mergeCell ref="D4547:G4547"/>
    <mergeCell ref="D4548:G4548"/>
    <mergeCell ref="B4514:C4514"/>
    <mergeCell ref="A4516:B4516"/>
    <mergeCell ref="D4523:G4523"/>
    <mergeCell ref="D4524:G4524"/>
    <mergeCell ref="D4525:G4525"/>
    <mergeCell ref="B4527:C4527"/>
    <mergeCell ref="A4529:B4529"/>
    <mergeCell ref="A4530:B4530"/>
    <mergeCell ref="B4566:C4566"/>
    <mergeCell ref="D4456:G4456"/>
    <mergeCell ref="D4457:G4457"/>
    <mergeCell ref="D4586:G4586"/>
    <mergeCell ref="D4587:G4587"/>
    <mergeCell ref="A4569:B4569"/>
    <mergeCell ref="A4478:B4478"/>
    <mergeCell ref="A4479:B4479"/>
    <mergeCell ref="D4480:G4480"/>
    <mergeCell ref="D4481:G4481"/>
    <mergeCell ref="D4588:G4588"/>
    <mergeCell ref="D4589:G4589"/>
    <mergeCell ref="A4568:B4568"/>
    <mergeCell ref="D4584:G4584"/>
    <mergeCell ref="D4585:G4585"/>
    <mergeCell ref="D4482:G4482"/>
    <mergeCell ref="D4483:G4483"/>
    <mergeCell ref="D4484:G4484"/>
    <mergeCell ref="A4570:B4570"/>
    <mergeCell ref="D4472:G4472"/>
    <mergeCell ref="D4473:G4473"/>
    <mergeCell ref="B4475:C4475"/>
    <mergeCell ref="A4477:B4477"/>
    <mergeCell ref="D4485:G4485"/>
    <mergeCell ref="D4486:G4486"/>
    <mergeCell ref="B4488:C4488"/>
    <mergeCell ref="A4490:B4490"/>
    <mergeCell ref="D4470:G4470"/>
    <mergeCell ref="D4471:G4471"/>
    <mergeCell ref="D4614:G4614"/>
    <mergeCell ref="D4600:G4600"/>
    <mergeCell ref="D4601:G4601"/>
    <mergeCell ref="B4579:C4579"/>
    <mergeCell ref="A4581:B4581"/>
    <mergeCell ref="A4582:B4582"/>
    <mergeCell ref="A4505:B4505"/>
    <mergeCell ref="D4506:G4506"/>
    <mergeCell ref="D4507:G4507"/>
    <mergeCell ref="D4508:G4508"/>
    <mergeCell ref="D4509:G4509"/>
    <mergeCell ref="D4599:G4599"/>
    <mergeCell ref="D4563:G4563"/>
    <mergeCell ref="D4562:G4562"/>
    <mergeCell ref="D4512:G4512"/>
    <mergeCell ref="A4517:B4517"/>
    <mergeCell ref="A4518:B4518"/>
    <mergeCell ref="D4519:G4519"/>
    <mergeCell ref="D4520:G4520"/>
    <mergeCell ref="D4521:G4521"/>
    <mergeCell ref="B4540:C4540"/>
    <mergeCell ref="D4549:G4549"/>
    <mergeCell ref="B4553:C4553"/>
    <mergeCell ref="A4595:B4595"/>
    <mergeCell ref="A4596:B4596"/>
    <mergeCell ref="D4597:G4597"/>
    <mergeCell ref="D4598:G4598"/>
    <mergeCell ref="B4605:C4605"/>
    <mergeCell ref="A4607:B4607"/>
    <mergeCell ref="A4608:B4608"/>
    <mergeCell ref="A4609:B4609"/>
    <mergeCell ref="D4272:G4272"/>
    <mergeCell ref="D4270:G4270"/>
    <mergeCell ref="D4271:G4271"/>
    <mergeCell ref="D4295:G4295"/>
    <mergeCell ref="A4440:B4440"/>
    <mergeCell ref="D4441:G4441"/>
    <mergeCell ref="D4442:G4442"/>
    <mergeCell ref="D4443:G4443"/>
    <mergeCell ref="B2013:C2013"/>
    <mergeCell ref="A2015:B2015"/>
    <mergeCell ref="A2016:B2016"/>
    <mergeCell ref="A3930:B3930"/>
    <mergeCell ref="A3931:B3931"/>
    <mergeCell ref="B3940:C3940"/>
    <mergeCell ref="A3942:B3942"/>
    <mergeCell ref="B4251:C4251"/>
    <mergeCell ref="B4097:C4097"/>
    <mergeCell ref="A4099:B4099"/>
    <mergeCell ref="B4264:C4264"/>
    <mergeCell ref="A4266:B4266"/>
    <mergeCell ref="D4248:G4248"/>
    <mergeCell ref="D4207:G4207"/>
    <mergeCell ref="D4204:G4204"/>
    <mergeCell ref="B3888:C3888"/>
    <mergeCell ref="A4402:B4402"/>
    <mergeCell ref="B4412:C4412"/>
    <mergeCell ref="B4388:C4388"/>
    <mergeCell ref="D4391:G4391"/>
    <mergeCell ref="D4392:G4392"/>
    <mergeCell ref="D4405:G4405"/>
    <mergeCell ref="A4331:B4331"/>
    <mergeCell ref="B4301:C4301"/>
    <mergeCell ref="D3460:G3460"/>
    <mergeCell ref="B3710:C3710"/>
    <mergeCell ref="A2128:B2128"/>
    <mergeCell ref="A2129:B2129"/>
    <mergeCell ref="A2130:B2130"/>
    <mergeCell ref="D2122:G2122"/>
    <mergeCell ref="A3808:B3808"/>
    <mergeCell ref="A3748:B3748"/>
    <mergeCell ref="A3762:B3762"/>
    <mergeCell ref="D3920:G3920"/>
    <mergeCell ref="D3921:G3921"/>
    <mergeCell ref="D3922:G3922"/>
    <mergeCell ref="D3923:G3923"/>
    <mergeCell ref="D3924:G3924"/>
    <mergeCell ref="D3925:G3925"/>
    <mergeCell ref="B3927:C3927"/>
    <mergeCell ref="A3929:B3929"/>
    <mergeCell ref="B3306:C3306"/>
    <mergeCell ref="A3308:B3308"/>
    <mergeCell ref="A3309:B3309"/>
    <mergeCell ref="B3293:C3293"/>
    <mergeCell ref="D3329:G3329"/>
    <mergeCell ref="A3542:B3542"/>
    <mergeCell ref="A3543:B3543"/>
    <mergeCell ref="D3548:G3548"/>
    <mergeCell ref="D3549:G3549"/>
    <mergeCell ref="D3571:G3571"/>
    <mergeCell ref="A3544:B3544"/>
    <mergeCell ref="D3545:G3545"/>
    <mergeCell ref="D3608:G3608"/>
    <mergeCell ref="D3609:G3609"/>
    <mergeCell ref="D3610:G3610"/>
    <mergeCell ref="A440:B440"/>
    <mergeCell ref="A447:B447"/>
    <mergeCell ref="B598:C598"/>
    <mergeCell ref="D603:G603"/>
    <mergeCell ref="D604:G604"/>
    <mergeCell ref="A1537:B1537"/>
    <mergeCell ref="A1538:B1538"/>
    <mergeCell ref="D1539:G1539"/>
    <mergeCell ref="A1552:B1552"/>
    <mergeCell ref="D4205:G4205"/>
    <mergeCell ref="D4210:G4210"/>
    <mergeCell ref="A4111:B4111"/>
    <mergeCell ref="A4112:B4112"/>
    <mergeCell ref="A4113:B4113"/>
    <mergeCell ref="B3803:C3803"/>
    <mergeCell ref="A3805:B3805"/>
    <mergeCell ref="A3806:B3806"/>
    <mergeCell ref="A2017:B2017"/>
    <mergeCell ref="A2024:B2024"/>
    <mergeCell ref="A2023:B2023"/>
    <mergeCell ref="A2056:B2056"/>
    <mergeCell ref="A2054:B2054"/>
    <mergeCell ref="A2055:B2055"/>
    <mergeCell ref="D3908:G3908"/>
    <mergeCell ref="D3735:G3735"/>
    <mergeCell ref="B1954:C1954"/>
    <mergeCell ref="A1988:B1988"/>
    <mergeCell ref="A3258:B3258"/>
    <mergeCell ref="D3825:G3825"/>
    <mergeCell ref="D3573:G3573"/>
    <mergeCell ref="D3458:G3458"/>
    <mergeCell ref="D3459:G3459"/>
    <mergeCell ref="D1882:G1882"/>
    <mergeCell ref="D1883:G1883"/>
    <mergeCell ref="D1884:G1884"/>
    <mergeCell ref="D1885:G1885"/>
    <mergeCell ref="A1755:B1755"/>
    <mergeCell ref="A1756:B1756"/>
    <mergeCell ref="D1757:G1757"/>
    <mergeCell ref="D1669:G1669"/>
    <mergeCell ref="A1643:B1643"/>
    <mergeCell ref="D1840:G1840"/>
    <mergeCell ref="D1780:G1780"/>
    <mergeCell ref="B1640:C1640"/>
    <mergeCell ref="A1642:B1642"/>
    <mergeCell ref="B1749:C1749"/>
    <mergeCell ref="A477:B477"/>
    <mergeCell ref="A495:B495"/>
    <mergeCell ref="A496:B496"/>
    <mergeCell ref="D534:G534"/>
    <mergeCell ref="D535:G535"/>
    <mergeCell ref="D560:G560"/>
    <mergeCell ref="D1867:G1867"/>
    <mergeCell ref="A1692:B1692"/>
    <mergeCell ref="D1591:G1591"/>
    <mergeCell ref="D1592:G1592"/>
    <mergeCell ref="D1593:G1593"/>
    <mergeCell ref="B1595:C1595"/>
    <mergeCell ref="A1691:B1691"/>
    <mergeCell ref="D1667:G1667"/>
    <mergeCell ref="D1668:G1668"/>
    <mergeCell ref="D1664:G1664"/>
    <mergeCell ref="A1690:B1690"/>
    <mergeCell ref="D1823:G1823"/>
    <mergeCell ref="D558:G558"/>
    <mergeCell ref="D1621:G1621"/>
    <mergeCell ref="D1622:G1622"/>
    <mergeCell ref="D1623:G1623"/>
    <mergeCell ref="D1624:G1624"/>
    <mergeCell ref="B386:C386"/>
    <mergeCell ref="A388:B388"/>
    <mergeCell ref="A389:B389"/>
    <mergeCell ref="A1751:B1751"/>
    <mergeCell ref="A1752:B1752"/>
    <mergeCell ref="D1895:G1895"/>
    <mergeCell ref="D1896:G1896"/>
    <mergeCell ref="D605:G605"/>
    <mergeCell ref="B518:C518"/>
    <mergeCell ref="A441:B441"/>
    <mergeCell ref="A451:B451"/>
    <mergeCell ref="A452:B452"/>
    <mergeCell ref="A453:B453"/>
    <mergeCell ref="D398:G398"/>
    <mergeCell ref="D556:G556"/>
    <mergeCell ref="A488:B488"/>
    <mergeCell ref="D559:G559"/>
    <mergeCell ref="D412:G412"/>
    <mergeCell ref="D413:G413"/>
    <mergeCell ref="D414:G414"/>
    <mergeCell ref="D1312:G1312"/>
    <mergeCell ref="D1313:G1313"/>
    <mergeCell ref="A1617:B1617"/>
    <mergeCell ref="A1536:B1536"/>
    <mergeCell ref="A439:B439"/>
    <mergeCell ref="B1471:C1471"/>
    <mergeCell ref="D1442:G1442"/>
    <mergeCell ref="D364:G364"/>
    <mergeCell ref="D365:G365"/>
    <mergeCell ref="D366:G366"/>
    <mergeCell ref="D367:G367"/>
    <mergeCell ref="D368:G368"/>
    <mergeCell ref="A407:B407"/>
    <mergeCell ref="A408:B408"/>
    <mergeCell ref="B432:C432"/>
    <mergeCell ref="D555:G555"/>
    <mergeCell ref="A376:B376"/>
    <mergeCell ref="B539:C539"/>
    <mergeCell ref="A540:C540"/>
    <mergeCell ref="D382:G382"/>
    <mergeCell ref="D383:G383"/>
    <mergeCell ref="A409:B409"/>
    <mergeCell ref="D384:G384"/>
    <mergeCell ref="A465:B465"/>
    <mergeCell ref="D415:G415"/>
    <mergeCell ref="A442:B442"/>
    <mergeCell ref="A443:B443"/>
    <mergeCell ref="A455:B455"/>
    <mergeCell ref="A456:B456"/>
    <mergeCell ref="A457:B457"/>
    <mergeCell ref="A458:B458"/>
    <mergeCell ref="A459:B459"/>
    <mergeCell ref="A454:B454"/>
    <mergeCell ref="B402:C402"/>
    <mergeCell ref="A490:B490"/>
    <mergeCell ref="A460:B460"/>
    <mergeCell ref="A461:B461"/>
    <mergeCell ref="A392:B392"/>
    <mergeCell ref="D430:G430"/>
    <mergeCell ref="A767:B767"/>
    <mergeCell ref="B1547:C1547"/>
    <mergeCell ref="A1549:B1549"/>
    <mergeCell ref="D1509:G1509"/>
    <mergeCell ref="A1567:B1567"/>
    <mergeCell ref="A1568:B1568"/>
    <mergeCell ref="D1427:G1427"/>
    <mergeCell ref="D1557:G1557"/>
    <mergeCell ref="D1297:G1297"/>
    <mergeCell ref="D1299:G1299"/>
    <mergeCell ref="D1300:G1300"/>
    <mergeCell ref="D1301:G1301"/>
    <mergeCell ref="D1302:G1302"/>
    <mergeCell ref="B1484:C1484"/>
    <mergeCell ref="A1486:B1486"/>
    <mergeCell ref="D1510:G1510"/>
    <mergeCell ref="D1524:G1524"/>
    <mergeCell ref="A1519:B1519"/>
    <mergeCell ref="A1520:B1520"/>
    <mergeCell ref="A1437:B1437"/>
    <mergeCell ref="A1438:B1438"/>
    <mergeCell ref="D1296:G1296"/>
    <mergeCell ref="A1216:B1216"/>
    <mergeCell ref="D1217:G1217"/>
    <mergeCell ref="A1189:B1189"/>
    <mergeCell ref="A1551:B1551"/>
    <mergeCell ref="D1429:G1429"/>
    <mergeCell ref="D1540:G1540"/>
    <mergeCell ref="D1541:G1541"/>
    <mergeCell ref="D1542:G1542"/>
    <mergeCell ref="D1543:G1543"/>
    <mergeCell ref="D1525:G1525"/>
    <mergeCell ref="B142:C142"/>
    <mergeCell ref="A144:B144"/>
    <mergeCell ref="A145:B145"/>
    <mergeCell ref="A146:B146"/>
    <mergeCell ref="A147:B147"/>
    <mergeCell ref="A152:B152"/>
    <mergeCell ref="D153:G153"/>
    <mergeCell ref="D154:G154"/>
    <mergeCell ref="D155:G155"/>
    <mergeCell ref="D156:G156"/>
    <mergeCell ref="D157:G157"/>
    <mergeCell ref="D158:G158"/>
    <mergeCell ref="D159:G159"/>
    <mergeCell ref="A148:B148"/>
    <mergeCell ref="A149:B149"/>
    <mergeCell ref="A150:B150"/>
    <mergeCell ref="A151:B151"/>
    <mergeCell ref="D680:G680"/>
    <mergeCell ref="D681:G681"/>
    <mergeCell ref="A725:B725"/>
    <mergeCell ref="B1274:C1274"/>
    <mergeCell ref="A1276:B1276"/>
    <mergeCell ref="A1280:B1280"/>
    <mergeCell ref="A1308:B1308"/>
    <mergeCell ref="A1309:B1309"/>
    <mergeCell ref="A1310:B1310"/>
    <mergeCell ref="D1311:G1311"/>
    <mergeCell ref="A1833:B1833"/>
    <mergeCell ref="D1712:G1712"/>
    <mergeCell ref="A1709:B1709"/>
    <mergeCell ref="A1710:B1710"/>
    <mergeCell ref="A1711:B1711"/>
    <mergeCell ref="D207:G207"/>
    <mergeCell ref="D208:G208"/>
    <mergeCell ref="B210:C210"/>
    <mergeCell ref="A212:B212"/>
    <mergeCell ref="A213:B213"/>
    <mergeCell ref="B1735:C1735"/>
    <mergeCell ref="A1737:B1737"/>
    <mergeCell ref="A1738:B1738"/>
    <mergeCell ref="A1739:B1739"/>
    <mergeCell ref="D575:G575"/>
    <mergeCell ref="A632:B632"/>
    <mergeCell ref="A582:B582"/>
    <mergeCell ref="A631:B631"/>
    <mergeCell ref="D530:G530"/>
    <mergeCell ref="D577:G577"/>
    <mergeCell ref="A578:H578"/>
    <mergeCell ref="D547:G547"/>
    <mergeCell ref="D638:G638"/>
    <mergeCell ref="D639:G639"/>
    <mergeCell ref="D640:G640"/>
    <mergeCell ref="D641:G641"/>
    <mergeCell ref="D571:G571"/>
    <mergeCell ref="D572:G572"/>
    <mergeCell ref="A629:B629"/>
    <mergeCell ref="D543:G543"/>
    <mergeCell ref="D544:G544"/>
    <mergeCell ref="D546:G546"/>
    <mergeCell ref="A390:B390"/>
    <mergeCell ref="A391:B391"/>
    <mergeCell ref="A520:B520"/>
    <mergeCell ref="D205:G205"/>
    <mergeCell ref="D206:G206"/>
    <mergeCell ref="D216:G216"/>
    <mergeCell ref="D217:G217"/>
    <mergeCell ref="D218:G218"/>
    <mergeCell ref="D219:G219"/>
    <mergeCell ref="D220:G220"/>
    <mergeCell ref="D637:G637"/>
    <mergeCell ref="A503:B503"/>
    <mergeCell ref="A504:B504"/>
    <mergeCell ref="D529:G529"/>
    <mergeCell ref="D573:G573"/>
    <mergeCell ref="D260:G260"/>
    <mergeCell ref="D261:G261"/>
    <mergeCell ref="D262:G262"/>
    <mergeCell ref="D263:G263"/>
    <mergeCell ref="D264:G264"/>
    <mergeCell ref="D265:G265"/>
    <mergeCell ref="B267:C267"/>
    <mergeCell ref="D609:G609"/>
    <mergeCell ref="A584:B584"/>
    <mergeCell ref="D606:G606"/>
    <mergeCell ref="D607:G607"/>
    <mergeCell ref="D608:G608"/>
    <mergeCell ref="B580:C580"/>
    <mergeCell ref="A404:B404"/>
    <mergeCell ref="A405:B405"/>
    <mergeCell ref="A406:B406"/>
    <mergeCell ref="D294:G294"/>
    <mergeCell ref="D295:G295"/>
    <mergeCell ref="D296:G296"/>
    <mergeCell ref="D297:G297"/>
    <mergeCell ref="D298:G298"/>
    <mergeCell ref="A422:B422"/>
    <mergeCell ref="A423:B423"/>
    <mergeCell ref="D424:G424"/>
    <mergeCell ref="D425:G425"/>
    <mergeCell ref="D426:G426"/>
    <mergeCell ref="D427:G427"/>
    <mergeCell ref="A444:B444"/>
    <mergeCell ref="A445:B445"/>
    <mergeCell ref="A493:B493"/>
    <mergeCell ref="A435:B435"/>
    <mergeCell ref="D542:G542"/>
    <mergeCell ref="A489:B489"/>
    <mergeCell ref="D473:G473"/>
    <mergeCell ref="D416:G416"/>
    <mergeCell ref="A466:B466"/>
    <mergeCell ref="A437:B437"/>
    <mergeCell ref="D428:G428"/>
    <mergeCell ref="D429:G429"/>
    <mergeCell ref="B355:C355"/>
    <mergeCell ref="A357:B357"/>
    <mergeCell ref="A358:B358"/>
    <mergeCell ref="A359:B359"/>
    <mergeCell ref="A360:B360"/>
    <mergeCell ref="A361:B361"/>
    <mergeCell ref="D362:G362"/>
    <mergeCell ref="D363:G363"/>
    <mergeCell ref="A565:B565"/>
    <mergeCell ref="A566:B566"/>
    <mergeCell ref="A567:B567"/>
    <mergeCell ref="A1600:B1600"/>
    <mergeCell ref="D1440:G1440"/>
    <mergeCell ref="D1443:G1443"/>
    <mergeCell ref="D1444:G1444"/>
    <mergeCell ref="B1423:C1423"/>
    <mergeCell ref="D1463:G1463"/>
    <mergeCell ref="D1464:G1464"/>
    <mergeCell ref="A1534:B1534"/>
    <mergeCell ref="D1574:G1574"/>
    <mergeCell ref="D1545:G1545"/>
    <mergeCell ref="D1555:G1555"/>
    <mergeCell ref="D1544:G1544"/>
    <mergeCell ref="A1487:B1487"/>
    <mergeCell ref="A1488:B1488"/>
    <mergeCell ref="D1561:G1561"/>
    <mergeCell ref="B1563:C1563"/>
    <mergeCell ref="A1550:B1550"/>
    <mergeCell ref="A1293:B1293"/>
    <mergeCell ref="A1294:B1294"/>
    <mergeCell ref="A1295:B1295"/>
    <mergeCell ref="D1223:G1223"/>
    <mergeCell ref="B121:C121"/>
    <mergeCell ref="A123:B123"/>
    <mergeCell ref="A124:B124"/>
    <mergeCell ref="A125:B125"/>
    <mergeCell ref="A126:B126"/>
    <mergeCell ref="A127:B127"/>
    <mergeCell ref="A128:B128"/>
    <mergeCell ref="A129:B129"/>
    <mergeCell ref="A130:B130"/>
    <mergeCell ref="A131:B131"/>
    <mergeCell ref="A132:B132"/>
    <mergeCell ref="A133:B133"/>
    <mergeCell ref="D134:G134"/>
    <mergeCell ref="D135:G135"/>
    <mergeCell ref="A2099:B2099"/>
    <mergeCell ref="D2077:G2077"/>
    <mergeCell ref="D2078:G2078"/>
    <mergeCell ref="D293:G293"/>
    <mergeCell ref="D1478:G1478"/>
    <mergeCell ref="D1317:G1317"/>
    <mergeCell ref="D1685:G1685"/>
    <mergeCell ref="D1558:G1558"/>
    <mergeCell ref="A1598:B1598"/>
    <mergeCell ref="A2018:B2018"/>
    <mergeCell ref="A2019:B2019"/>
    <mergeCell ref="A2020:B2020"/>
    <mergeCell ref="D2059:G2059"/>
    <mergeCell ref="D2089:G2089"/>
    <mergeCell ref="D2090:G2090"/>
    <mergeCell ref="D2030:G2030"/>
    <mergeCell ref="A2098:B2098"/>
    <mergeCell ref="D1222:G1222"/>
    <mergeCell ref="D3766:G3766"/>
    <mergeCell ref="D3767:G3767"/>
    <mergeCell ref="D3768:G3768"/>
    <mergeCell ref="D3749:G3749"/>
    <mergeCell ref="D3750:G3750"/>
    <mergeCell ref="D3420:G3420"/>
    <mergeCell ref="D3199:G3199"/>
    <mergeCell ref="B2436:C2436"/>
    <mergeCell ref="A2438:B2438"/>
    <mergeCell ref="A2439:B2439"/>
    <mergeCell ref="A2440:B2440"/>
    <mergeCell ref="D2441:G2441"/>
    <mergeCell ref="B2328:C2328"/>
    <mergeCell ref="A2330:B2330"/>
    <mergeCell ref="D2058:G2058"/>
    <mergeCell ref="A2053:B2053"/>
    <mergeCell ref="A2022:B2022"/>
    <mergeCell ref="D2475:G2475"/>
    <mergeCell ref="D2476:G2476"/>
    <mergeCell ref="D2477:G2477"/>
    <mergeCell ref="D2478:G2478"/>
    <mergeCell ref="D3446:G3446"/>
    <mergeCell ref="D3447:G3447"/>
    <mergeCell ref="D3093:G3093"/>
    <mergeCell ref="D3094:G3094"/>
    <mergeCell ref="D2027:G2027"/>
    <mergeCell ref="D2031:G2031"/>
    <mergeCell ref="D2108:G2108"/>
    <mergeCell ref="A3257:B3257"/>
    <mergeCell ref="D2032:G2032"/>
    <mergeCell ref="D2123:G2123"/>
    <mergeCell ref="B2125:C2125"/>
    <mergeCell ref="A1489:B1489"/>
    <mergeCell ref="A1490:B1490"/>
    <mergeCell ref="D1491:G1491"/>
    <mergeCell ref="D1492:G1492"/>
    <mergeCell ref="D1493:G1493"/>
    <mergeCell ref="D1494:G1494"/>
    <mergeCell ref="D1495:G1495"/>
    <mergeCell ref="D1496:G1496"/>
    <mergeCell ref="D1497:G1497"/>
    <mergeCell ref="A2025:B2025"/>
    <mergeCell ref="D2026:G2026"/>
    <mergeCell ref="A1740:B1740"/>
    <mergeCell ref="D1741:G1741"/>
    <mergeCell ref="D1742:G1742"/>
    <mergeCell ref="D1743:G1743"/>
    <mergeCell ref="D1747:G1747"/>
    <mergeCell ref="D1680:G1680"/>
    <mergeCell ref="A1890:B1890"/>
    <mergeCell ref="A1891:B1891"/>
    <mergeCell ref="D1822:G1822"/>
    <mergeCell ref="D1856:G1856"/>
    <mergeCell ref="A1861:B1861"/>
    <mergeCell ref="A1862:B1862"/>
    <mergeCell ref="A2021:B2021"/>
    <mergeCell ref="A1553:B1553"/>
    <mergeCell ref="A1533:B1533"/>
    <mergeCell ref="A1586:B1586"/>
    <mergeCell ref="D1587:G1587"/>
    <mergeCell ref="D1588:G1588"/>
    <mergeCell ref="D1572:G1572"/>
    <mergeCell ref="D1573:G1573"/>
    <mergeCell ref="D1920:G1920"/>
    <mergeCell ref="D1218:G1218"/>
    <mergeCell ref="D1219:G1219"/>
    <mergeCell ref="D1220:G1220"/>
    <mergeCell ref="D1221:G1221"/>
    <mergeCell ref="A3100:B3100"/>
    <mergeCell ref="D3065:G3065"/>
    <mergeCell ref="D3066:G3066"/>
    <mergeCell ref="A3049:B3049"/>
    <mergeCell ref="A3050:B3050"/>
    <mergeCell ref="D3051:G3051"/>
    <mergeCell ref="D3052:G3052"/>
    <mergeCell ref="D3053:G3053"/>
    <mergeCell ref="D2105:G2105"/>
    <mergeCell ref="A3101:B3101"/>
    <mergeCell ref="A3035:B3035"/>
    <mergeCell ref="D2061:G2061"/>
    <mergeCell ref="D2062:G2062"/>
    <mergeCell ref="D2063:G2063"/>
    <mergeCell ref="A2116:B2116"/>
    <mergeCell ref="B2110:C2110"/>
    <mergeCell ref="A2131:B2131"/>
    <mergeCell ref="D2120:G2120"/>
    <mergeCell ref="A2333:B2333"/>
    <mergeCell ref="A3062:B3062"/>
    <mergeCell ref="A3063:B3063"/>
    <mergeCell ref="D3064:G3064"/>
    <mergeCell ref="D3054:G3054"/>
    <mergeCell ref="D3055:G3055"/>
    <mergeCell ref="D3068:G3068"/>
    <mergeCell ref="D3069:G3069"/>
    <mergeCell ref="D3070:G3070"/>
    <mergeCell ref="D2474:G2474"/>
    <mergeCell ref="B223:C223"/>
    <mergeCell ref="A225:B225"/>
    <mergeCell ref="D226:G226"/>
    <mergeCell ref="D227:G227"/>
    <mergeCell ref="D228:G228"/>
    <mergeCell ref="D229:G229"/>
    <mergeCell ref="D230:G230"/>
    <mergeCell ref="D231:G231"/>
    <mergeCell ref="D232:G232"/>
    <mergeCell ref="B234:C234"/>
    <mergeCell ref="A236:B236"/>
    <mergeCell ref="D237:G237"/>
    <mergeCell ref="D238:G238"/>
    <mergeCell ref="D239:G239"/>
    <mergeCell ref="D240:G240"/>
    <mergeCell ref="D241:G241"/>
    <mergeCell ref="D242:G242"/>
    <mergeCell ref="D3067:G3067"/>
    <mergeCell ref="D3096:G3096"/>
    <mergeCell ref="B3098:C3098"/>
    <mergeCell ref="A2179:B2179"/>
    <mergeCell ref="D2180:G2180"/>
    <mergeCell ref="A2178:B2178"/>
    <mergeCell ref="D2480:G2480"/>
    <mergeCell ref="B2482:C2482"/>
    <mergeCell ref="A2484:B2484"/>
    <mergeCell ref="D2452:G2452"/>
    <mergeCell ref="D2930:G2930"/>
    <mergeCell ref="D2931:G2931"/>
    <mergeCell ref="D2451:G2451"/>
    <mergeCell ref="D2453:G2453"/>
    <mergeCell ref="D2950:G2950"/>
    <mergeCell ref="A2956:B2956"/>
    <mergeCell ref="D2442:G2442"/>
    <mergeCell ref="D2612:G2612"/>
    <mergeCell ref="A2190:B2190"/>
    <mergeCell ref="D2498:G2498"/>
    <mergeCell ref="D2499:G2499"/>
    <mergeCell ref="D2500:G2500"/>
    <mergeCell ref="D2569:G2569"/>
    <mergeCell ref="B2571:C2571"/>
    <mergeCell ref="D2553:G2553"/>
    <mergeCell ref="D2554:G2554"/>
    <mergeCell ref="D2556:G2556"/>
    <mergeCell ref="A2955:B2955"/>
    <mergeCell ref="D2445:G2445"/>
    <mergeCell ref="D2947:G2947"/>
    <mergeCell ref="D2948:G2948"/>
    <mergeCell ref="D2479:G2479"/>
    <mergeCell ref="A2162:B2162"/>
    <mergeCell ref="A2163:B2163"/>
    <mergeCell ref="D2121:G2121"/>
    <mergeCell ref="D2118:G2118"/>
    <mergeCell ref="D2150:G2150"/>
    <mergeCell ref="D2218:G2218"/>
    <mergeCell ref="D2201:G2201"/>
    <mergeCell ref="B2220:C2220"/>
    <mergeCell ref="D2212:G2212"/>
    <mergeCell ref="D2245:G2245"/>
    <mergeCell ref="D2246:G2246"/>
    <mergeCell ref="D2276:G2276"/>
    <mergeCell ref="D3079:G3079"/>
    <mergeCell ref="D3080:G3080"/>
    <mergeCell ref="D3081:G3081"/>
    <mergeCell ref="D3082:G3082"/>
    <mergeCell ref="D2029:G2029"/>
    <mergeCell ref="A2052:B2052"/>
    <mergeCell ref="D2443:G2443"/>
    <mergeCell ref="D2444:G2444"/>
    <mergeCell ref="A2472:B2472"/>
    <mergeCell ref="A2473:B2473"/>
    <mergeCell ref="A2595:B2595"/>
    <mergeCell ref="D2596:G2596"/>
    <mergeCell ref="D2597:G2597"/>
    <mergeCell ref="D2060:G2060"/>
    <mergeCell ref="D2151:G2151"/>
    <mergeCell ref="D2102:G2102"/>
    <mergeCell ref="A2127:B2127"/>
    <mergeCell ref="A2193:B2193"/>
    <mergeCell ref="A2194:B2194"/>
    <mergeCell ref="B2188:C2188"/>
    <mergeCell ref="D2045:G2045"/>
    <mergeCell ref="D2046:G2046"/>
    <mergeCell ref="D2047:G2047"/>
    <mergeCell ref="D2048:G2048"/>
    <mergeCell ref="D2334:G2334"/>
    <mergeCell ref="D2335:G2335"/>
    <mergeCell ref="A2573:B2573"/>
    <mergeCell ref="D2057:G2057"/>
    <mergeCell ref="B2050:C2050"/>
    <mergeCell ref="D2148:G2148"/>
    <mergeCell ref="D2202:G2202"/>
    <mergeCell ref="A3847:B3847"/>
    <mergeCell ref="A3844:B3844"/>
    <mergeCell ref="B3842:C3842"/>
    <mergeCell ref="A3852:B3852"/>
    <mergeCell ref="A3853:B3853"/>
    <mergeCell ref="D3090:G3090"/>
    <mergeCell ref="A3113:B3113"/>
    <mergeCell ref="A3114:B3114"/>
    <mergeCell ref="B3111:C3111"/>
    <mergeCell ref="D2491:G2491"/>
    <mergeCell ref="A2954:B2954"/>
    <mergeCell ref="D2492:G2492"/>
    <mergeCell ref="B2494:C2494"/>
    <mergeCell ref="A2496:B2496"/>
    <mergeCell ref="D2586:G2586"/>
    <mergeCell ref="D2587:G2587"/>
    <mergeCell ref="D2588:G2588"/>
    <mergeCell ref="D2589:G2589"/>
    <mergeCell ref="D2590:G2590"/>
    <mergeCell ref="B2898:C2898"/>
    <mergeCell ref="D2497:G2497"/>
    <mergeCell ref="A3807:B3807"/>
    <mergeCell ref="D3813:G3813"/>
    <mergeCell ref="D3814:G3814"/>
    <mergeCell ref="D3799:G3799"/>
    <mergeCell ref="D3800:G3800"/>
    <mergeCell ref="A3779:B3779"/>
    <mergeCell ref="A3780:B3780"/>
    <mergeCell ref="D2920:G2920"/>
    <mergeCell ref="D2921:G2921"/>
    <mergeCell ref="D2922:G2922"/>
    <mergeCell ref="A2912:B2912"/>
    <mergeCell ref="A2913:B2913"/>
    <mergeCell ref="A2911:B2911"/>
    <mergeCell ref="A2914:B2914"/>
    <mergeCell ref="A2915:B2915"/>
    <mergeCell ref="D3810:G3810"/>
    <mergeCell ref="D3811:G3811"/>
    <mergeCell ref="D3812:G3812"/>
    <mergeCell ref="D3754:G3754"/>
    <mergeCell ref="D3755:G3755"/>
    <mergeCell ref="B3757:C3757"/>
    <mergeCell ref="A3759:B3759"/>
    <mergeCell ref="A3760:B3760"/>
    <mergeCell ref="A3036:B3036"/>
    <mergeCell ref="A3037:B3037"/>
    <mergeCell ref="A3761:B3761"/>
    <mergeCell ref="D3782:G3782"/>
    <mergeCell ref="A3776:B3776"/>
    <mergeCell ref="A3777:B3777"/>
    <mergeCell ref="D3786:G3786"/>
    <mergeCell ref="D3787:G3787"/>
    <mergeCell ref="B3789:C3789"/>
    <mergeCell ref="A3778:B3778"/>
    <mergeCell ref="B2909:C2909"/>
    <mergeCell ref="D2916:G2916"/>
    <mergeCell ref="D2917:G2917"/>
    <mergeCell ref="D2918:G2918"/>
    <mergeCell ref="D2919:G2919"/>
    <mergeCell ref="D2613:G2613"/>
    <mergeCell ref="D2577:G2577"/>
    <mergeCell ref="D2578:G2578"/>
    <mergeCell ref="D2579:G2579"/>
    <mergeCell ref="D2580:G2580"/>
    <mergeCell ref="B2582:C2582"/>
    <mergeCell ref="A2584:B2584"/>
    <mergeCell ref="D2585:G2585"/>
    <mergeCell ref="A3115:B3115"/>
    <mergeCell ref="D3116:G3116"/>
    <mergeCell ref="A3022:B3022"/>
    <mergeCell ref="D3078:G3078"/>
    <mergeCell ref="A3061:B3061"/>
    <mergeCell ref="D3095:G3095"/>
    <mergeCell ref="D3083:G3083"/>
    <mergeCell ref="B3020:C3020"/>
    <mergeCell ref="D2958:G2958"/>
    <mergeCell ref="B3436:C3436"/>
    <mergeCell ref="A3438:B3438"/>
    <mergeCell ref="A3439:B3439"/>
    <mergeCell ref="A3440:B3440"/>
    <mergeCell ref="D3441:G3441"/>
    <mergeCell ref="D3442:G3442"/>
    <mergeCell ref="D3443:G3443"/>
    <mergeCell ref="D3444:G3444"/>
    <mergeCell ref="D3445:G3445"/>
    <mergeCell ref="B161:C161"/>
    <mergeCell ref="A167:B167"/>
    <mergeCell ref="A168:B168"/>
    <mergeCell ref="D169:G169"/>
    <mergeCell ref="D170:G170"/>
    <mergeCell ref="D171:G171"/>
    <mergeCell ref="D172:G172"/>
    <mergeCell ref="D173:G173"/>
    <mergeCell ref="D174:G174"/>
    <mergeCell ref="D175:G175"/>
    <mergeCell ref="A163:B163"/>
    <mergeCell ref="A164:B164"/>
    <mergeCell ref="A165:B165"/>
    <mergeCell ref="A166:B166"/>
    <mergeCell ref="B418:C418"/>
    <mergeCell ref="A420:B420"/>
    <mergeCell ref="A421:B421"/>
    <mergeCell ref="A269:B269"/>
    <mergeCell ref="D270:G270"/>
    <mergeCell ref="D271:G271"/>
    <mergeCell ref="D272:G272"/>
    <mergeCell ref="D273:G273"/>
    <mergeCell ref="D274:G274"/>
    <mergeCell ref="D275:G275"/>
    <mergeCell ref="D276:G276"/>
    <mergeCell ref="D410:G410"/>
    <mergeCell ref="D411:G411"/>
    <mergeCell ref="D400:G400"/>
    <mergeCell ref="A181:B181"/>
    <mergeCell ref="A182:B182"/>
    <mergeCell ref="A185:B185"/>
    <mergeCell ref="A186:B186"/>
    <mergeCell ref="B2035:C2035"/>
    <mergeCell ref="A2037:B2037"/>
    <mergeCell ref="A2038:B2038"/>
    <mergeCell ref="A2039:B2039"/>
    <mergeCell ref="A2040:B2040"/>
    <mergeCell ref="A2041:B2041"/>
    <mergeCell ref="D2042:G2042"/>
    <mergeCell ref="D2043:G2043"/>
    <mergeCell ref="D2044:G2044"/>
    <mergeCell ref="D1857:G1857"/>
    <mergeCell ref="A1659:B1659"/>
    <mergeCell ref="A1585:B1585"/>
    <mergeCell ref="A1846:B1846"/>
    <mergeCell ref="B1873:C1873"/>
    <mergeCell ref="A1875:B1875"/>
    <mergeCell ref="D1700:G1700"/>
    <mergeCell ref="D1701:G1701"/>
    <mergeCell ref="A1754:B1754"/>
    <mergeCell ref="D1870:G1870"/>
    <mergeCell ref="A1847:B1847"/>
    <mergeCell ref="B1843:C1843"/>
    <mergeCell ref="D1921:G1921"/>
    <mergeCell ref="D1922:G1922"/>
    <mergeCell ref="A1929:B1929"/>
    <mergeCell ref="D1852:G1852"/>
    <mergeCell ref="A2033:H2033"/>
    <mergeCell ref="D2028:G2028"/>
    <mergeCell ref="D1979:G1979"/>
    <mergeCell ref="D1935:G1935"/>
    <mergeCell ref="A1972:B1972"/>
    <mergeCell ref="A1973:B1973"/>
    <mergeCell ref="A1999:B1999"/>
    <mergeCell ref="B1304:C1304"/>
    <mergeCell ref="A1306:B1306"/>
    <mergeCell ref="A1307:B1307"/>
    <mergeCell ref="A1277:B1277"/>
    <mergeCell ref="A1291:B1291"/>
    <mergeCell ref="A1292:B1292"/>
    <mergeCell ref="D1977:G1977"/>
    <mergeCell ref="A1918:B1918"/>
    <mergeCell ref="D1728:G1728"/>
    <mergeCell ref="D1729:G1729"/>
    <mergeCell ref="D1730:G1730"/>
    <mergeCell ref="D1731:G1731"/>
    <mergeCell ref="D1732:G1732"/>
    <mergeCell ref="D1733:G1733"/>
    <mergeCell ref="A1723:B1723"/>
    <mergeCell ref="B1827:C1827"/>
    <mergeCell ref="D1868:G1868"/>
    <mergeCell ref="D1869:G1869"/>
    <mergeCell ref="D1948:G1948"/>
    <mergeCell ref="B1887:C1887"/>
    <mergeCell ref="D1938:G1938"/>
    <mergeCell ref="B1940:C1940"/>
    <mergeCell ref="A1829:B1829"/>
    <mergeCell ref="D1825:G1825"/>
    <mergeCell ref="D1821:G1821"/>
    <mergeCell ref="A1834:B1834"/>
    <mergeCell ref="D1933:G1933"/>
    <mergeCell ref="D1919:G1919"/>
    <mergeCell ref="A1889:B1889"/>
    <mergeCell ref="D1898:G1898"/>
    <mergeCell ref="D1899:G1899"/>
    <mergeCell ref="D1744:G1744"/>
    <mergeCell ref="D4678:G4678"/>
    <mergeCell ref="D4679:G4679"/>
    <mergeCell ref="D4680:G4680"/>
    <mergeCell ref="A4671:B4671"/>
    <mergeCell ref="B702:C702"/>
    <mergeCell ref="A704:B704"/>
    <mergeCell ref="A705:B705"/>
    <mergeCell ref="A706:B706"/>
    <mergeCell ref="A707:B707"/>
    <mergeCell ref="A708:B708"/>
    <mergeCell ref="A709:B709"/>
    <mergeCell ref="A710:B710"/>
    <mergeCell ref="A711:B711"/>
    <mergeCell ref="A712:B712"/>
    <mergeCell ref="D713:G713"/>
    <mergeCell ref="D714:G714"/>
    <mergeCell ref="D715:G715"/>
    <mergeCell ref="D716:G716"/>
    <mergeCell ref="D717:G717"/>
    <mergeCell ref="D718:G718"/>
    <mergeCell ref="D719:G719"/>
    <mergeCell ref="A1987:B1987"/>
    <mergeCell ref="D1993:G1993"/>
    <mergeCell ref="D1976:G1976"/>
    <mergeCell ref="B1967:C1967"/>
    <mergeCell ref="A1969:B1969"/>
    <mergeCell ref="B1720:C1720"/>
    <mergeCell ref="A1722:B1722"/>
    <mergeCell ref="A1724:B1724"/>
    <mergeCell ref="A1725:B1725"/>
    <mergeCell ref="A1726:B1726"/>
    <mergeCell ref="D1727:G1727"/>
    <mergeCell ref="D3839:G3839"/>
    <mergeCell ref="D3840:G3840"/>
    <mergeCell ref="B3831:C3831"/>
    <mergeCell ref="A3833:B3833"/>
    <mergeCell ref="D3834:G3834"/>
    <mergeCell ref="D3835:G3835"/>
    <mergeCell ref="D3836:G3836"/>
    <mergeCell ref="D3837:G3837"/>
    <mergeCell ref="D3838:G3838"/>
    <mergeCell ref="B4668:C4668"/>
    <mergeCell ref="A4670:B4670"/>
    <mergeCell ref="A4672:B4672"/>
    <mergeCell ref="A4673:B4673"/>
    <mergeCell ref="D4674:G4674"/>
    <mergeCell ref="D4675:G4675"/>
    <mergeCell ref="D4676:G4676"/>
    <mergeCell ref="D4677:G4677"/>
    <mergeCell ref="A4187:B4187"/>
    <mergeCell ref="D3854:G3854"/>
    <mergeCell ref="D3855:G3855"/>
    <mergeCell ref="D3856:G3856"/>
    <mergeCell ref="D3857:G3857"/>
    <mergeCell ref="D3858:G3858"/>
    <mergeCell ref="D3859:G3859"/>
    <mergeCell ref="D3860:G3860"/>
    <mergeCell ref="A3861:H3861"/>
    <mergeCell ref="A3848:B3848"/>
    <mergeCell ref="A3851:B3851"/>
    <mergeCell ref="A3849:B3849"/>
    <mergeCell ref="A3850:B3850"/>
    <mergeCell ref="A3845:B3845"/>
    <mergeCell ref="A3846:B3846"/>
  </mergeCells>
  <conditionalFormatting sqref="J323:J330">
    <cfRule type="expression" dxfId="2232" priority="3" stopIfTrue="1">
      <formula>AND($A323&lt;&gt;"COMPOSICAO",$A323&lt;&gt;"INSUMO",$A323&lt;&gt;"")</formula>
    </cfRule>
    <cfRule type="expression" dxfId="2231" priority="4" stopIfTrue="1">
      <formula>AND(OR($A323="COMPOSICAO",$A323="INSUMO",$A323&lt;&gt;""),$A323&lt;&gt;"")</formula>
    </cfRule>
  </conditionalFormatting>
  <conditionalFormatting sqref="I323:I330">
    <cfRule type="expression" dxfId="2230" priority="1" stopIfTrue="1">
      <formula>AND($A323&lt;&gt;"COMPOSICAO",$A323&lt;&gt;"INSUMO",$A323&lt;&gt;"")</formula>
    </cfRule>
    <cfRule type="expression" dxfId="2229" priority="2" stopIfTrue="1">
      <formula>AND(OR($A323="COMPOSICAO",$A323="INSUMO",$A323&lt;&gt;""),$A323&lt;&gt;"")</formula>
    </cfRule>
  </conditionalFormatting>
  <pageMargins left="0.39370078740157483" right="0.39370078740157483" top="0.39370078740157483" bottom="0.98425196850393704" header="0" footer="0.39370078740157483"/>
  <pageSetup paperSize="9" scale="73" firstPageNumber="34" orientation="portrait" useFirstPageNumber="1" r:id="rId1"/>
  <headerFooter>
    <oddFooter>&amp;RPágina &amp;P de 249</oddFooter>
  </headerFooter>
  <rowBreaks count="72" manualBreakCount="72">
    <brk id="52" max="7" man="1"/>
    <brk id="255" max="7" man="1"/>
    <brk id="392" max="7" man="1"/>
    <brk id="431" max="7" man="1"/>
    <brk id="537" max="7" man="1"/>
    <brk id="673" max="7" man="1"/>
    <brk id="758" max="7" man="1"/>
    <brk id="794" max="7" man="1"/>
    <brk id="868" max="7" man="1"/>
    <brk id="934" max="7" man="1"/>
    <brk id="966" max="7" man="1"/>
    <brk id="993" max="7" man="1"/>
    <brk id="1066" max="7" man="1"/>
    <brk id="1102" max="7" man="1"/>
    <brk id="1135" max="7" man="1"/>
    <brk id="1176" max="7" man="1"/>
    <brk id="1215" max="7" man="1"/>
    <brk id="1248" max="7" man="1"/>
    <brk id="1434" max="7" man="1"/>
    <brk id="1483" max="7" man="1"/>
    <brk id="1521" max="7" man="1"/>
    <brk id="1601" max="7" man="1"/>
    <brk id="1725" max="7" man="1"/>
    <brk id="1764" max="7" man="1"/>
    <brk id="1842" max="7" man="1"/>
    <brk id="1972" max="7" man="1"/>
    <brk id="2085" max="7" man="1"/>
    <brk id="2162" max="7" man="1"/>
    <brk id="2203" max="7" man="1"/>
    <brk id="2283" max="7" man="1"/>
    <brk id="2327" max="7" man="1"/>
    <brk id="2360" max="7" man="1"/>
    <brk id="2458" max="7" man="1"/>
    <brk id="2504" max="7" man="1"/>
    <brk id="2548" max="7" man="1"/>
    <brk id="2603" max="7" man="1"/>
    <brk id="2708" max="7" man="1"/>
    <brk id="2765" max="7" man="1"/>
    <brk id="2820" max="7" man="1"/>
    <brk id="2875" max="7" man="1"/>
    <brk id="2965" max="7" man="1"/>
    <brk id="3006" max="7" man="1"/>
    <brk id="3045" max="7" man="1"/>
    <brk id="3084" max="7" man="1"/>
    <brk id="3123" max="7" man="1"/>
    <brk id="3257" max="7" man="1"/>
    <brk id="3305" max="7" man="1"/>
    <brk id="3348" max="7" man="1"/>
    <brk id="3396" max="7" man="1"/>
    <brk id="3439" max="7" man="1"/>
    <brk id="3487" max="7" man="1"/>
    <brk id="3530" max="7" man="1"/>
    <brk id="3578" max="7" man="1"/>
    <brk id="3686" max="7" man="1"/>
    <brk id="3724" max="7" man="1"/>
    <brk id="3756" max="7" man="1"/>
    <brk id="3788" max="7" man="1"/>
    <brk id="3821" max="7" man="1"/>
    <brk id="3952" max="7" man="1"/>
    <brk id="3987" max="7" man="1"/>
    <brk id="4084" max="7" man="1"/>
    <brk id="4124" max="7" man="1"/>
    <brk id="4173" max="7" man="1"/>
    <brk id="4215" max="7" man="1"/>
    <brk id="4263" max="7" man="1"/>
    <brk id="4356" max="7" man="1"/>
    <brk id="4461" max="7" man="1"/>
    <brk id="4556" max="7" man="1"/>
    <brk id="4604" max="7" man="1"/>
    <brk id="4647" max="7" man="1"/>
    <brk id="4685" max="7" man="1"/>
    <brk id="4733"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88A1E-DE28-4368-87B4-0B092C2DBBC7}">
  <sheetPr codeName="Plan19">
    <tabColor theme="8" tint="-0.249977111117893"/>
    <pageSetUpPr fitToPage="1"/>
  </sheetPr>
  <dimension ref="A1:S803"/>
  <sheetViews>
    <sheetView view="pageBreakPreview" zoomScale="110" zoomScaleNormal="100" zoomScaleSheetLayoutView="110" zoomScalePageLayoutView="90" workbookViewId="0">
      <selection activeCell="D19" sqref="D19"/>
    </sheetView>
  </sheetViews>
  <sheetFormatPr defaultRowHeight="12.75" x14ac:dyDescent="0.2"/>
  <cols>
    <col min="1" max="1" width="11" style="2103" bestFit="1" customWidth="1"/>
    <col min="2" max="2" width="39.42578125" style="2103" customWidth="1"/>
    <col min="3" max="3" width="60.140625" style="2112" customWidth="1"/>
    <col min="4" max="4" width="50.28515625" style="2113" customWidth="1"/>
    <col min="5" max="16384" width="9.140625" style="2097"/>
  </cols>
  <sheetData>
    <row r="1" spans="1:19" s="1819" customFormat="1" ht="15" x14ac:dyDescent="0.2">
      <c r="A1" s="184"/>
      <c r="B1" s="184"/>
      <c r="C1" s="1826"/>
      <c r="D1" s="2111"/>
      <c r="E1" s="1751"/>
      <c r="F1" s="1751"/>
      <c r="G1" s="1751"/>
      <c r="H1" s="1751"/>
      <c r="I1" s="1751"/>
      <c r="J1" s="1751"/>
      <c r="K1" s="1751"/>
      <c r="L1" s="1751"/>
      <c r="M1" s="1751"/>
      <c r="N1" s="1751"/>
      <c r="O1" s="1751"/>
      <c r="P1" s="1751"/>
      <c r="Q1" s="1751"/>
      <c r="R1" s="1751"/>
      <c r="S1" s="1751"/>
    </row>
    <row r="2" spans="1:19" s="1819" customFormat="1" ht="15" x14ac:dyDescent="0.2">
      <c r="A2" s="2123" t="s">
        <v>34</v>
      </c>
      <c r="B2" s="2123"/>
      <c r="C2" s="2123"/>
      <c r="D2" s="2123"/>
      <c r="E2" s="1751"/>
      <c r="F2" s="1751"/>
      <c r="G2" s="1751"/>
      <c r="H2" s="1751"/>
      <c r="I2" s="1751"/>
      <c r="J2" s="1751"/>
      <c r="K2" s="1751"/>
      <c r="L2" s="1751"/>
      <c r="M2" s="1751"/>
      <c r="N2" s="1751"/>
      <c r="O2" s="1751"/>
      <c r="P2" s="1751"/>
      <c r="Q2" s="1751"/>
      <c r="R2" s="1751"/>
      <c r="S2" s="1751"/>
    </row>
    <row r="3" spans="1:19" s="1819" customFormat="1" ht="15" x14ac:dyDescent="0.2">
      <c r="A3" s="2123" t="s">
        <v>35</v>
      </c>
      <c r="B3" s="2123"/>
      <c r="C3" s="2123"/>
      <c r="D3" s="2123"/>
      <c r="E3" s="1751"/>
      <c r="F3" s="1751"/>
      <c r="G3" s="1751"/>
      <c r="H3" s="1751"/>
      <c r="I3" s="1751"/>
      <c r="J3" s="1751"/>
      <c r="K3" s="1751"/>
      <c r="L3" s="1751"/>
      <c r="M3" s="1751"/>
      <c r="N3" s="1751"/>
      <c r="O3" s="1751"/>
      <c r="P3" s="1751"/>
      <c r="Q3" s="1751"/>
      <c r="R3" s="1751"/>
      <c r="S3" s="1751"/>
    </row>
    <row r="4" spans="1:19" s="1819" customFormat="1" ht="15" x14ac:dyDescent="0.2">
      <c r="A4" s="2123" t="s">
        <v>4980</v>
      </c>
      <c r="B4" s="2123"/>
      <c r="C4" s="2123"/>
      <c r="D4" s="2123"/>
      <c r="E4" s="1751"/>
      <c r="F4" s="1751"/>
      <c r="G4" s="1751"/>
      <c r="H4" s="1751"/>
      <c r="I4" s="1751"/>
      <c r="J4" s="1751"/>
      <c r="K4" s="1751"/>
      <c r="L4" s="1751"/>
      <c r="M4" s="1751"/>
      <c r="N4" s="1751"/>
      <c r="O4" s="1751"/>
      <c r="P4" s="1751"/>
      <c r="Q4" s="1751"/>
      <c r="R4" s="1751"/>
      <c r="S4" s="1751"/>
    </row>
    <row r="5" spans="1:19" s="1819" customFormat="1" ht="15" x14ac:dyDescent="0.2">
      <c r="A5" s="1739"/>
      <c r="B5" s="1739"/>
      <c r="C5" s="23"/>
      <c r="D5" s="1653"/>
      <c r="E5" s="1751"/>
      <c r="F5" s="1751"/>
      <c r="G5" s="1751"/>
      <c r="H5" s="1751"/>
      <c r="I5" s="1751"/>
      <c r="J5" s="1751"/>
      <c r="K5" s="1751"/>
      <c r="L5" s="1751"/>
      <c r="M5" s="1751"/>
      <c r="N5" s="1751"/>
      <c r="O5" s="1751"/>
      <c r="P5" s="1751"/>
      <c r="Q5" s="1751"/>
      <c r="R5" s="1751"/>
      <c r="S5" s="1751"/>
    </row>
    <row r="6" spans="1:19" s="1819" customFormat="1" ht="15" x14ac:dyDescent="0.2">
      <c r="A6" s="1739"/>
      <c r="B6" s="1739"/>
      <c r="C6" s="1826"/>
      <c r="D6" s="2111"/>
      <c r="E6" s="1751"/>
      <c r="F6" s="1751"/>
      <c r="G6" s="1751"/>
      <c r="H6" s="1751"/>
      <c r="I6" s="1751"/>
      <c r="J6" s="1751"/>
      <c r="K6" s="1751"/>
      <c r="L6" s="1751"/>
      <c r="M6" s="1751"/>
      <c r="N6" s="1751"/>
      <c r="O6" s="1751"/>
      <c r="P6" s="1751"/>
      <c r="Q6" s="1751"/>
      <c r="R6" s="1751"/>
      <c r="S6" s="1751"/>
    </row>
    <row r="7" spans="1:19" s="1819" customFormat="1" ht="21" x14ac:dyDescent="0.2">
      <c r="A7" s="2128" t="s">
        <v>15171</v>
      </c>
      <c r="B7" s="2128"/>
      <c r="C7" s="2128"/>
      <c r="D7" s="2128"/>
      <c r="E7" s="1751"/>
      <c r="F7" s="1751"/>
      <c r="G7" s="1751"/>
      <c r="H7" s="1751"/>
      <c r="I7" s="1751"/>
      <c r="J7" s="1751"/>
      <c r="K7" s="1751"/>
      <c r="L7" s="1751"/>
      <c r="M7" s="1751"/>
      <c r="N7" s="1751"/>
      <c r="O7" s="1751"/>
      <c r="P7" s="1751"/>
      <c r="Q7" s="1751"/>
      <c r="R7" s="1751"/>
      <c r="S7" s="1751"/>
    </row>
    <row r="8" spans="1:19" s="1819" customFormat="1" ht="15" x14ac:dyDescent="0.2">
      <c r="A8" s="1739"/>
      <c r="B8" s="1739"/>
      <c r="C8" s="23"/>
      <c r="D8" s="1653"/>
      <c r="E8" s="1751"/>
      <c r="F8" s="1751"/>
      <c r="G8" s="1751"/>
      <c r="H8" s="1751"/>
      <c r="I8" s="1751"/>
      <c r="J8" s="1751"/>
      <c r="K8" s="1751"/>
      <c r="L8" s="1751"/>
      <c r="M8" s="1751"/>
      <c r="N8" s="1751"/>
      <c r="O8" s="1751"/>
      <c r="P8" s="1751"/>
      <c r="Q8" s="1751"/>
      <c r="R8" s="1751"/>
      <c r="S8" s="1751"/>
    </row>
    <row r="9" spans="1:19" s="1819" customFormat="1" ht="15" x14ac:dyDescent="0.2">
      <c r="A9" s="1750" t="s">
        <v>4443</v>
      </c>
      <c r="B9" s="94" t="s">
        <v>15152</v>
      </c>
      <c r="C9" s="2085"/>
      <c r="D9" s="2085"/>
      <c r="E9" s="1751"/>
      <c r="F9" s="1751"/>
      <c r="G9" s="1751"/>
      <c r="H9" s="1751"/>
      <c r="I9" s="1751"/>
      <c r="J9" s="1751"/>
      <c r="K9" s="1751"/>
      <c r="L9" s="1751"/>
      <c r="M9" s="1751"/>
      <c r="N9" s="1751"/>
      <c r="O9" s="1751"/>
      <c r="P9" s="1751"/>
      <c r="Q9" s="1751"/>
      <c r="R9" s="1751"/>
      <c r="S9" s="1751"/>
    </row>
    <row r="10" spans="1:19" s="1819" customFormat="1" ht="15" x14ac:dyDescent="0.2">
      <c r="A10" s="1750" t="s">
        <v>128</v>
      </c>
      <c r="B10" s="94" t="s">
        <v>8381</v>
      </c>
      <c r="C10" s="2085"/>
      <c r="D10" s="2085"/>
      <c r="E10" s="1751"/>
      <c r="F10" s="1751"/>
      <c r="G10" s="1751"/>
      <c r="H10" s="1751"/>
      <c r="I10" s="1751"/>
      <c r="J10" s="1751"/>
      <c r="K10" s="1751"/>
      <c r="L10" s="1751"/>
      <c r="M10" s="1751"/>
      <c r="N10" s="1751"/>
      <c r="O10" s="1751"/>
      <c r="P10" s="1751"/>
      <c r="Q10" s="1751"/>
      <c r="R10" s="1751"/>
      <c r="S10" s="1751"/>
    </row>
    <row r="11" spans="1:19" s="1819" customFormat="1" ht="15" x14ac:dyDescent="0.2">
      <c r="A11" s="1750" t="s">
        <v>4444</v>
      </c>
      <c r="B11" s="1814" t="s">
        <v>14964</v>
      </c>
      <c r="C11" s="1856"/>
      <c r="D11" s="1856"/>
      <c r="E11" s="1751"/>
      <c r="F11" s="1751"/>
      <c r="G11" s="1751"/>
      <c r="H11" s="1751"/>
      <c r="I11" s="1751"/>
      <c r="J11" s="1751"/>
      <c r="K11" s="1751"/>
      <c r="L11" s="1751"/>
      <c r="M11" s="1751"/>
      <c r="N11" s="1751"/>
      <c r="O11" s="1751"/>
      <c r="P11" s="1751"/>
      <c r="Q11" s="1751"/>
      <c r="R11" s="1751"/>
      <c r="S11" s="1751"/>
    </row>
    <row r="12" spans="1:19" s="1751" customFormat="1" ht="15" x14ac:dyDescent="0.2">
      <c r="A12" s="2139" t="s">
        <v>4854</v>
      </c>
      <c r="B12" s="2139"/>
      <c r="C12" s="2139"/>
      <c r="D12" s="2139"/>
    </row>
    <row r="13" spans="1:19" s="2098" customFormat="1" ht="15" x14ac:dyDescent="0.2">
      <c r="A13" s="2109" t="s">
        <v>15172</v>
      </c>
      <c r="B13" s="2084" t="s">
        <v>15173</v>
      </c>
      <c r="C13" s="1990" t="s">
        <v>15174</v>
      </c>
      <c r="D13" s="2110" t="s">
        <v>15175</v>
      </c>
    </row>
    <row r="14" spans="1:19" s="1856" customFormat="1" ht="15" x14ac:dyDescent="0.2">
      <c r="A14" s="2162">
        <v>1</v>
      </c>
      <c r="B14" s="2068" t="s">
        <v>15176</v>
      </c>
      <c r="C14" s="2104" t="s">
        <v>15179</v>
      </c>
      <c r="D14" s="2105"/>
    </row>
    <row r="15" spans="1:19" s="1856" customFormat="1" ht="30" x14ac:dyDescent="0.2">
      <c r="A15" s="2163"/>
      <c r="B15" s="1856" t="s">
        <v>15177</v>
      </c>
      <c r="C15" s="2099" t="s">
        <v>15180</v>
      </c>
      <c r="D15" s="2106"/>
    </row>
    <row r="16" spans="1:19" s="1856" customFormat="1" ht="15" x14ac:dyDescent="0.2">
      <c r="A16" s="2164"/>
      <c r="B16" s="2026" t="s">
        <v>15178</v>
      </c>
      <c r="C16" s="2107"/>
      <c r="D16" s="2108"/>
    </row>
    <row r="17" spans="1:4" s="1856" customFormat="1" ht="15" x14ac:dyDescent="0.2">
      <c r="A17" s="2157">
        <v>2</v>
      </c>
      <c r="B17" s="2114" t="s">
        <v>15181</v>
      </c>
      <c r="C17" s="2115" t="s">
        <v>15183</v>
      </c>
      <c r="D17" s="2116" t="s">
        <v>15188</v>
      </c>
    </row>
    <row r="18" spans="1:4" s="1856" customFormat="1" ht="15" x14ac:dyDescent="0.2">
      <c r="A18" s="2158"/>
      <c r="B18" s="2161" t="s">
        <v>15182</v>
      </c>
      <c r="C18" s="2117" t="s">
        <v>15184</v>
      </c>
      <c r="D18" s="2116" t="s">
        <v>15185</v>
      </c>
    </row>
    <row r="19" spans="1:4" s="1856" customFormat="1" ht="15" x14ac:dyDescent="0.2">
      <c r="A19" s="2158"/>
      <c r="B19" s="2161"/>
      <c r="C19" s="2117" t="s">
        <v>15185</v>
      </c>
      <c r="D19" s="2116" t="s">
        <v>15189</v>
      </c>
    </row>
    <row r="20" spans="1:4" s="1856" customFormat="1" ht="15" x14ac:dyDescent="0.2">
      <c r="A20" s="2158"/>
      <c r="B20" s="2118"/>
      <c r="C20" s="2117" t="s">
        <v>15186</v>
      </c>
      <c r="D20" s="2116" t="s">
        <v>15190</v>
      </c>
    </row>
    <row r="21" spans="1:4" s="1856" customFormat="1" ht="15" x14ac:dyDescent="0.2">
      <c r="A21" s="2158"/>
      <c r="B21" s="2118"/>
      <c r="C21" s="2117" t="s">
        <v>15187</v>
      </c>
      <c r="D21" s="2119" t="s">
        <v>15191</v>
      </c>
    </row>
    <row r="22" spans="1:4" s="1856" customFormat="1" ht="15" x14ac:dyDescent="0.2">
      <c r="A22" s="2162">
        <v>3</v>
      </c>
      <c r="B22" s="2068"/>
      <c r="C22" s="2104" t="s">
        <v>15192</v>
      </c>
      <c r="D22" s="2105" t="s">
        <v>15197</v>
      </c>
    </row>
    <row r="23" spans="1:4" s="1856" customFormat="1" ht="15" x14ac:dyDescent="0.2">
      <c r="A23" s="2163"/>
      <c r="C23" s="2099" t="s">
        <v>15193</v>
      </c>
      <c r="D23" s="2106" t="s">
        <v>15198</v>
      </c>
    </row>
    <row r="24" spans="1:4" s="1856" customFormat="1" ht="15" x14ac:dyDescent="0.2">
      <c r="A24" s="2163"/>
      <c r="C24" s="2099" t="s">
        <v>15194</v>
      </c>
      <c r="D24" s="2106" t="s">
        <v>15199</v>
      </c>
    </row>
    <row r="25" spans="1:4" s="1856" customFormat="1" ht="15" x14ac:dyDescent="0.2">
      <c r="A25" s="2163"/>
      <c r="C25" s="2099" t="s">
        <v>15195</v>
      </c>
      <c r="D25" s="2106"/>
    </row>
    <row r="26" spans="1:4" s="1856" customFormat="1" ht="15" x14ac:dyDescent="0.2">
      <c r="A26" s="2164"/>
      <c r="B26" s="2026"/>
      <c r="C26" s="2107" t="s">
        <v>15196</v>
      </c>
      <c r="D26" s="2108"/>
    </row>
    <row r="27" spans="1:4" s="1856" customFormat="1" ht="15" x14ac:dyDescent="0.2">
      <c r="A27" s="2157">
        <v>4</v>
      </c>
      <c r="B27" s="2114"/>
      <c r="C27" s="2115" t="s">
        <v>15200</v>
      </c>
      <c r="D27" s="2120" t="s">
        <v>15207</v>
      </c>
    </row>
    <row r="28" spans="1:4" s="1856" customFormat="1" ht="15" x14ac:dyDescent="0.2">
      <c r="A28" s="2158"/>
      <c r="B28" s="2118"/>
      <c r="C28" s="2117" t="s">
        <v>15201</v>
      </c>
      <c r="D28" s="2116"/>
    </row>
    <row r="29" spans="1:4" s="1856" customFormat="1" ht="15" x14ac:dyDescent="0.2">
      <c r="A29" s="2158"/>
      <c r="B29" s="2118"/>
      <c r="C29" s="2117" t="s">
        <v>15202</v>
      </c>
      <c r="D29" s="2116"/>
    </row>
    <row r="30" spans="1:4" s="1856" customFormat="1" ht="15" x14ac:dyDescent="0.2">
      <c r="A30" s="2158"/>
      <c r="B30" s="2118"/>
      <c r="C30" s="2117" t="s">
        <v>15203</v>
      </c>
      <c r="D30" s="2116"/>
    </row>
    <row r="31" spans="1:4" s="1856" customFormat="1" ht="15" x14ac:dyDescent="0.2">
      <c r="A31" s="2158"/>
      <c r="B31" s="2118"/>
      <c r="C31" s="2117" t="s">
        <v>15204</v>
      </c>
      <c r="D31" s="2116"/>
    </row>
    <row r="32" spans="1:4" s="1856" customFormat="1" ht="15" x14ac:dyDescent="0.2">
      <c r="A32" s="2158"/>
      <c r="B32" s="2118"/>
      <c r="C32" s="2117" t="s">
        <v>15205</v>
      </c>
      <c r="D32" s="2116"/>
    </row>
    <row r="33" spans="1:4" s="1856" customFormat="1" ht="15" x14ac:dyDescent="0.2">
      <c r="A33" s="2159"/>
      <c r="B33" s="2121"/>
      <c r="C33" s="2122" t="s">
        <v>15206</v>
      </c>
      <c r="D33" s="2119"/>
    </row>
    <row r="34" spans="1:4" s="1856" customFormat="1" ht="15" x14ac:dyDescent="0.2">
      <c r="A34" s="2162">
        <v>5</v>
      </c>
      <c r="B34" s="2068"/>
      <c r="C34" s="2104" t="s">
        <v>15208</v>
      </c>
      <c r="D34" s="2105" t="s">
        <v>15210</v>
      </c>
    </row>
    <row r="35" spans="1:4" s="1856" customFormat="1" ht="15" x14ac:dyDescent="0.2">
      <c r="A35" s="2164"/>
      <c r="B35" s="2026"/>
      <c r="C35" s="2107" t="s">
        <v>15209</v>
      </c>
      <c r="D35" s="2108" t="s">
        <v>15211</v>
      </c>
    </row>
    <row r="36" spans="1:4" s="2098" customFormat="1" ht="15" x14ac:dyDescent="0.2">
      <c r="A36" s="2109" t="s">
        <v>15172</v>
      </c>
      <c r="B36" s="2084" t="s">
        <v>15173</v>
      </c>
      <c r="C36" s="1990" t="s">
        <v>15174</v>
      </c>
      <c r="D36" s="2110" t="s">
        <v>15175</v>
      </c>
    </row>
    <row r="37" spans="1:4" s="1856" customFormat="1" ht="15" x14ac:dyDescent="0.2">
      <c r="A37" s="2157">
        <v>6</v>
      </c>
      <c r="B37" s="2114"/>
      <c r="C37" s="2115" t="s">
        <v>15212</v>
      </c>
      <c r="D37" s="2120" t="s">
        <v>15216</v>
      </c>
    </row>
    <row r="38" spans="1:4" s="1856" customFormat="1" ht="15" x14ac:dyDescent="0.2">
      <c r="A38" s="2158"/>
      <c r="B38" s="2118"/>
      <c r="C38" s="2117" t="s">
        <v>15213</v>
      </c>
      <c r="D38" s="2116" t="s">
        <v>15217</v>
      </c>
    </row>
    <row r="39" spans="1:4" s="1856" customFormat="1" ht="15" x14ac:dyDescent="0.2">
      <c r="A39" s="2158"/>
      <c r="B39" s="2118"/>
      <c r="C39" s="2117" t="s">
        <v>15214</v>
      </c>
      <c r="D39" s="2116"/>
    </row>
    <row r="40" spans="1:4" s="1856" customFormat="1" ht="15" x14ac:dyDescent="0.2">
      <c r="A40" s="2159"/>
      <c r="B40" s="2121"/>
      <c r="C40" s="2122" t="s">
        <v>15215</v>
      </c>
      <c r="D40" s="2119"/>
    </row>
    <row r="41" spans="1:4" s="1856" customFormat="1" ht="30" x14ac:dyDescent="0.2">
      <c r="A41" s="2162">
        <v>7</v>
      </c>
      <c r="B41" s="2068" t="s">
        <v>15218</v>
      </c>
      <c r="C41" s="2104" t="s">
        <v>15219</v>
      </c>
      <c r="D41" s="2105" t="s">
        <v>15226</v>
      </c>
    </row>
    <row r="42" spans="1:4" s="1856" customFormat="1" ht="15" x14ac:dyDescent="0.2">
      <c r="A42" s="2163"/>
      <c r="C42" s="2099" t="s">
        <v>15220</v>
      </c>
      <c r="D42" s="2106"/>
    </row>
    <row r="43" spans="1:4" s="1856" customFormat="1" ht="15" x14ac:dyDescent="0.2">
      <c r="A43" s="2163"/>
      <c r="C43" s="2099" t="s">
        <v>15221</v>
      </c>
      <c r="D43" s="2106"/>
    </row>
    <row r="44" spans="1:4" s="1856" customFormat="1" ht="15" x14ac:dyDescent="0.2">
      <c r="A44" s="2163"/>
      <c r="C44" s="2099" t="s">
        <v>15222</v>
      </c>
      <c r="D44" s="2106"/>
    </row>
    <row r="45" spans="1:4" s="1856" customFormat="1" ht="15" x14ac:dyDescent="0.2">
      <c r="A45" s="2163"/>
      <c r="C45" s="2099" t="s">
        <v>15223</v>
      </c>
      <c r="D45" s="2106"/>
    </row>
    <row r="46" spans="1:4" s="1856" customFormat="1" ht="15" x14ac:dyDescent="0.2">
      <c r="A46" s="2163"/>
      <c r="C46" s="2099" t="s">
        <v>15224</v>
      </c>
      <c r="D46" s="2106"/>
    </row>
    <row r="47" spans="1:4" s="1856" customFormat="1" ht="15" x14ac:dyDescent="0.2">
      <c r="A47" s="2164"/>
      <c r="B47" s="2026"/>
      <c r="C47" s="2107" t="s">
        <v>15225</v>
      </c>
      <c r="D47" s="2108"/>
    </row>
    <row r="48" spans="1:4" s="1856" customFormat="1" ht="30" x14ac:dyDescent="0.2">
      <c r="A48" s="2157">
        <v>8</v>
      </c>
      <c r="B48" s="2114" t="s">
        <v>15227</v>
      </c>
      <c r="C48" s="2115" t="s">
        <v>15228</v>
      </c>
      <c r="D48" s="2120" t="s">
        <v>15240</v>
      </c>
    </row>
    <row r="49" spans="1:4" s="1797" customFormat="1" ht="15" x14ac:dyDescent="0.2">
      <c r="A49" s="2158"/>
      <c r="B49" s="2118"/>
      <c r="C49" s="2117" t="s">
        <v>15229</v>
      </c>
      <c r="D49" s="2116" t="s">
        <v>15241</v>
      </c>
    </row>
    <row r="50" spans="1:4" s="1797" customFormat="1" ht="30" x14ac:dyDescent="0.2">
      <c r="A50" s="2158"/>
      <c r="B50" s="2118"/>
      <c r="C50" s="2117" t="s">
        <v>15230</v>
      </c>
      <c r="D50" s="2116" t="s">
        <v>15242</v>
      </c>
    </row>
    <row r="51" spans="1:4" s="1797" customFormat="1" ht="15" x14ac:dyDescent="0.2">
      <c r="A51" s="2158"/>
      <c r="B51" s="2118"/>
      <c r="C51" s="2117" t="s">
        <v>15231</v>
      </c>
      <c r="D51" s="2116" t="s">
        <v>15243</v>
      </c>
    </row>
    <row r="52" spans="1:4" s="1797" customFormat="1" ht="15" x14ac:dyDescent="0.2">
      <c r="A52" s="2158"/>
      <c r="B52" s="2118"/>
      <c r="C52" s="2117" t="s">
        <v>15232</v>
      </c>
      <c r="D52" s="2116" t="s">
        <v>15244</v>
      </c>
    </row>
    <row r="53" spans="1:4" s="1797" customFormat="1" ht="15" x14ac:dyDescent="0.2">
      <c r="A53" s="2158"/>
      <c r="B53" s="2118"/>
      <c r="C53" s="2117" t="s">
        <v>15233</v>
      </c>
      <c r="D53" s="2116"/>
    </row>
    <row r="54" spans="1:4" s="1797" customFormat="1" ht="15" x14ac:dyDescent="0.2">
      <c r="A54" s="2158"/>
      <c r="B54" s="2118"/>
      <c r="C54" s="2117" t="s">
        <v>15234</v>
      </c>
      <c r="D54" s="2116"/>
    </row>
    <row r="55" spans="1:4" s="1797" customFormat="1" ht="15" x14ac:dyDescent="0.2">
      <c r="A55" s="2158"/>
      <c r="B55" s="2118"/>
      <c r="C55" s="2117" t="s">
        <v>15235</v>
      </c>
      <c r="D55" s="2116"/>
    </row>
    <row r="56" spans="1:4" s="1797" customFormat="1" ht="15" x14ac:dyDescent="0.2">
      <c r="A56" s="2158"/>
      <c r="B56" s="2118"/>
      <c r="C56" s="2117" t="s">
        <v>15236</v>
      </c>
      <c r="D56" s="2116"/>
    </row>
    <row r="57" spans="1:4" s="1797" customFormat="1" ht="15" x14ac:dyDescent="0.2">
      <c r="A57" s="2158"/>
      <c r="B57" s="2118"/>
      <c r="C57" s="2117" t="s">
        <v>15237</v>
      </c>
      <c r="D57" s="2116"/>
    </row>
    <row r="58" spans="1:4" s="1797" customFormat="1" ht="15" x14ac:dyDescent="0.2">
      <c r="A58" s="2158"/>
      <c r="B58" s="2118"/>
      <c r="C58" s="2117" t="s">
        <v>15238</v>
      </c>
      <c r="D58" s="2116"/>
    </row>
    <row r="59" spans="1:4" s="1797" customFormat="1" ht="15" x14ac:dyDescent="0.2">
      <c r="A59" s="2159"/>
      <c r="B59" s="2121"/>
      <c r="C59" s="2122" t="s">
        <v>15239</v>
      </c>
      <c r="D59" s="2119"/>
    </row>
    <row r="60" spans="1:4" s="2098" customFormat="1" ht="15" x14ac:dyDescent="0.2">
      <c r="A60" s="2109" t="s">
        <v>15172</v>
      </c>
      <c r="B60" s="2084" t="s">
        <v>15173</v>
      </c>
      <c r="C60" s="1990" t="s">
        <v>15174</v>
      </c>
      <c r="D60" s="2110" t="s">
        <v>15175</v>
      </c>
    </row>
    <row r="61" spans="1:4" s="1797" customFormat="1" ht="30" x14ac:dyDescent="0.2">
      <c r="A61" s="2162">
        <v>9</v>
      </c>
      <c r="B61" s="2068" t="s">
        <v>15245</v>
      </c>
      <c r="C61" s="2104" t="s">
        <v>15246</v>
      </c>
      <c r="D61" s="2105" t="s">
        <v>15259</v>
      </c>
    </row>
    <row r="62" spans="1:4" s="1797" customFormat="1" ht="15" x14ac:dyDescent="0.2">
      <c r="A62" s="2163"/>
      <c r="B62" s="1856"/>
      <c r="C62" s="2099" t="s">
        <v>15247</v>
      </c>
      <c r="D62" s="2106"/>
    </row>
    <row r="63" spans="1:4" s="1797" customFormat="1" ht="15" x14ac:dyDescent="0.2">
      <c r="A63" s="2163"/>
      <c r="B63" s="1856"/>
      <c r="C63" s="2099" t="s">
        <v>15248</v>
      </c>
      <c r="D63" s="2106"/>
    </row>
    <row r="64" spans="1:4" s="1797" customFormat="1" ht="15" x14ac:dyDescent="0.2">
      <c r="A64" s="2163"/>
      <c r="B64" s="1856"/>
      <c r="C64" s="2099" t="s">
        <v>15249</v>
      </c>
      <c r="D64" s="2106"/>
    </row>
    <row r="65" spans="1:4" s="1797" customFormat="1" ht="15" x14ac:dyDescent="0.2">
      <c r="A65" s="2163"/>
      <c r="B65" s="1856"/>
      <c r="C65" s="2099" t="s">
        <v>15250</v>
      </c>
      <c r="D65" s="2106"/>
    </row>
    <row r="66" spans="1:4" s="1797" customFormat="1" ht="15" x14ac:dyDescent="0.2">
      <c r="A66" s="2163"/>
      <c r="B66" s="1856"/>
      <c r="C66" s="2099" t="s">
        <v>15251</v>
      </c>
      <c r="D66" s="2106"/>
    </row>
    <row r="67" spans="1:4" s="1797" customFormat="1" ht="15" x14ac:dyDescent="0.2">
      <c r="A67" s="2163"/>
      <c r="B67" s="1856"/>
      <c r="C67" s="2099" t="s">
        <v>15252</v>
      </c>
      <c r="D67" s="2106"/>
    </row>
    <row r="68" spans="1:4" s="1797" customFormat="1" ht="15" x14ac:dyDescent="0.2">
      <c r="A68" s="2163"/>
      <c r="B68" s="1856"/>
      <c r="C68" s="2099" t="s">
        <v>15253</v>
      </c>
      <c r="D68" s="2106"/>
    </row>
    <row r="69" spans="1:4" s="1797" customFormat="1" ht="15" x14ac:dyDescent="0.2">
      <c r="A69" s="2163"/>
      <c r="B69" s="1856"/>
      <c r="C69" s="2099" t="s">
        <v>15254</v>
      </c>
      <c r="D69" s="2106"/>
    </row>
    <row r="70" spans="1:4" s="1797" customFormat="1" ht="15" x14ac:dyDescent="0.2">
      <c r="A70" s="2163"/>
      <c r="B70" s="1856"/>
      <c r="C70" s="2099" t="s">
        <v>15255</v>
      </c>
      <c r="D70" s="2106"/>
    </row>
    <row r="71" spans="1:4" s="1797" customFormat="1" ht="15" x14ac:dyDescent="0.2">
      <c r="A71" s="2163"/>
      <c r="B71" s="1856"/>
      <c r="C71" s="2099" t="s">
        <v>15256</v>
      </c>
      <c r="D71" s="2106"/>
    </row>
    <row r="72" spans="1:4" s="1797" customFormat="1" ht="15" x14ac:dyDescent="0.2">
      <c r="A72" s="2163"/>
      <c r="B72" s="1856"/>
      <c r="C72" s="2099" t="s">
        <v>15257</v>
      </c>
      <c r="D72" s="2106"/>
    </row>
    <row r="73" spans="1:4" s="1797" customFormat="1" ht="15" x14ac:dyDescent="0.2">
      <c r="A73" s="2164"/>
      <c r="B73" s="2026"/>
      <c r="C73" s="2107" t="s">
        <v>15258</v>
      </c>
      <c r="D73" s="2108"/>
    </row>
    <row r="74" spans="1:4" s="1797" customFormat="1" ht="15" x14ac:dyDescent="0.2">
      <c r="A74" s="2157">
        <v>10</v>
      </c>
      <c r="B74" s="2160" t="s">
        <v>15260</v>
      </c>
      <c r="C74" s="2115" t="s">
        <v>15261</v>
      </c>
      <c r="D74" s="2120" t="s">
        <v>15279</v>
      </c>
    </row>
    <row r="75" spans="1:4" s="1797" customFormat="1" ht="15" x14ac:dyDescent="0.2">
      <c r="A75" s="2158"/>
      <c r="B75" s="2161"/>
      <c r="C75" s="2117" t="s">
        <v>15262</v>
      </c>
      <c r="D75" s="2116" t="s">
        <v>15280</v>
      </c>
    </row>
    <row r="76" spans="1:4" s="1797" customFormat="1" ht="15" x14ac:dyDescent="0.2">
      <c r="A76" s="2158"/>
      <c r="B76" s="2118"/>
      <c r="C76" s="2117" t="s">
        <v>15263</v>
      </c>
      <c r="D76" s="2116"/>
    </row>
    <row r="77" spans="1:4" s="1797" customFormat="1" ht="15" x14ac:dyDescent="0.2">
      <c r="A77" s="2158"/>
      <c r="B77" s="2118"/>
      <c r="C77" s="2117" t="s">
        <v>15264</v>
      </c>
      <c r="D77" s="2116"/>
    </row>
    <row r="78" spans="1:4" s="1797" customFormat="1" ht="15" x14ac:dyDescent="0.2">
      <c r="A78" s="2158"/>
      <c r="B78" s="2118"/>
      <c r="C78" s="2117" t="s">
        <v>15265</v>
      </c>
      <c r="D78" s="2116"/>
    </row>
    <row r="79" spans="1:4" s="1797" customFormat="1" ht="15" x14ac:dyDescent="0.2">
      <c r="A79" s="2158"/>
      <c r="B79" s="2118"/>
      <c r="C79" s="2117" t="s">
        <v>15266</v>
      </c>
      <c r="D79" s="2116"/>
    </row>
    <row r="80" spans="1:4" s="1797" customFormat="1" ht="15" x14ac:dyDescent="0.2">
      <c r="A80" s="2158"/>
      <c r="B80" s="2118"/>
      <c r="C80" s="2117" t="s">
        <v>15267</v>
      </c>
      <c r="D80" s="2116"/>
    </row>
    <row r="81" spans="1:4" s="1797" customFormat="1" ht="15" x14ac:dyDescent="0.2">
      <c r="A81" s="2158"/>
      <c r="B81" s="2118"/>
      <c r="C81" s="2117" t="s">
        <v>15268</v>
      </c>
      <c r="D81" s="2116"/>
    </row>
    <row r="82" spans="1:4" s="1797" customFormat="1" ht="15" x14ac:dyDescent="0.2">
      <c r="A82" s="2158"/>
      <c r="B82" s="2118"/>
      <c r="C82" s="2117" t="s">
        <v>15269</v>
      </c>
      <c r="D82" s="2116"/>
    </row>
    <row r="83" spans="1:4" s="1797" customFormat="1" ht="15" x14ac:dyDescent="0.2">
      <c r="A83" s="2158"/>
      <c r="B83" s="2118"/>
      <c r="C83" s="2117" t="s">
        <v>15270</v>
      </c>
      <c r="D83" s="2116"/>
    </row>
    <row r="84" spans="1:4" s="1797" customFormat="1" ht="16.5" customHeight="1" x14ac:dyDescent="0.2">
      <c r="A84" s="2158"/>
      <c r="B84" s="2118"/>
      <c r="C84" s="2117" t="s">
        <v>15271</v>
      </c>
      <c r="D84" s="2116"/>
    </row>
    <row r="85" spans="1:4" s="1797" customFormat="1" ht="15" x14ac:dyDescent="0.2">
      <c r="A85" s="2158"/>
      <c r="B85" s="2118"/>
      <c r="C85" s="2117" t="s">
        <v>15272</v>
      </c>
      <c r="D85" s="2116"/>
    </row>
    <row r="86" spans="1:4" s="1797" customFormat="1" ht="15" x14ac:dyDescent="0.2">
      <c r="A86" s="2158"/>
      <c r="B86" s="2118"/>
      <c r="C86" s="2117" t="s">
        <v>15273</v>
      </c>
      <c r="D86" s="2116"/>
    </row>
    <row r="87" spans="1:4" s="1797" customFormat="1" ht="15" x14ac:dyDescent="0.2">
      <c r="A87" s="2158"/>
      <c r="B87" s="2118"/>
      <c r="C87" s="2117" t="s">
        <v>15274</v>
      </c>
      <c r="D87" s="2116"/>
    </row>
    <row r="88" spans="1:4" s="1797" customFormat="1" ht="15" x14ac:dyDescent="0.2">
      <c r="A88" s="2158"/>
      <c r="B88" s="2118"/>
      <c r="C88" s="2117" t="s">
        <v>15275</v>
      </c>
      <c r="D88" s="2116"/>
    </row>
    <row r="89" spans="1:4" s="1797" customFormat="1" ht="15" x14ac:dyDescent="0.2">
      <c r="A89" s="2158"/>
      <c r="B89" s="2118"/>
      <c r="C89" s="2117" t="s">
        <v>15276</v>
      </c>
      <c r="D89" s="2116"/>
    </row>
    <row r="90" spans="1:4" s="1797" customFormat="1" ht="15" x14ac:dyDescent="0.2">
      <c r="A90" s="2158"/>
      <c r="B90" s="2118"/>
      <c r="C90" s="2117" t="s">
        <v>15277</v>
      </c>
      <c r="D90" s="2116"/>
    </row>
    <row r="91" spans="1:4" s="1797" customFormat="1" ht="15" x14ac:dyDescent="0.2">
      <c r="A91" s="2159"/>
      <c r="B91" s="2121"/>
      <c r="C91" s="2122" t="s">
        <v>15278</v>
      </c>
      <c r="D91" s="2119"/>
    </row>
    <row r="92" spans="1:4" s="2098" customFormat="1" ht="15" x14ac:dyDescent="0.2">
      <c r="A92" s="2109" t="s">
        <v>15172</v>
      </c>
      <c r="B92" s="2084" t="s">
        <v>15173</v>
      </c>
      <c r="C92" s="1990" t="s">
        <v>15174</v>
      </c>
      <c r="D92" s="2110" t="s">
        <v>15175</v>
      </c>
    </row>
    <row r="93" spans="1:4" s="1797" customFormat="1" ht="30" x14ac:dyDescent="0.2">
      <c r="A93" s="2162">
        <v>11</v>
      </c>
      <c r="B93" s="2068" t="s">
        <v>15281</v>
      </c>
      <c r="C93" s="2104" t="s">
        <v>15282</v>
      </c>
      <c r="D93" s="2105"/>
    </row>
    <row r="94" spans="1:4" s="1797" customFormat="1" ht="15" x14ac:dyDescent="0.2">
      <c r="A94" s="2163"/>
      <c r="B94" s="1856"/>
      <c r="C94" s="2099" t="s">
        <v>15283</v>
      </c>
      <c r="D94" s="2106"/>
    </row>
    <row r="95" spans="1:4" s="1797" customFormat="1" ht="15" x14ac:dyDescent="0.2">
      <c r="A95" s="2163"/>
      <c r="B95" s="1856"/>
      <c r="C95" s="2099" t="s">
        <v>15284</v>
      </c>
      <c r="D95" s="2106"/>
    </row>
    <row r="96" spans="1:4" s="1797" customFormat="1" ht="15" x14ac:dyDescent="0.2">
      <c r="A96" s="2163"/>
      <c r="B96" s="1856"/>
      <c r="C96" s="2099" t="s">
        <v>15285</v>
      </c>
      <c r="D96" s="2106"/>
    </row>
    <row r="97" spans="1:4" s="1797" customFormat="1" ht="15" x14ac:dyDescent="0.2">
      <c r="A97" s="2163"/>
      <c r="B97" s="1856"/>
      <c r="C97" s="2099" t="s">
        <v>15286</v>
      </c>
      <c r="D97" s="2106"/>
    </row>
    <row r="98" spans="1:4" s="1797" customFormat="1" ht="15" x14ac:dyDescent="0.2">
      <c r="A98" s="2163"/>
      <c r="B98" s="1856"/>
      <c r="C98" s="2099" t="s">
        <v>15287</v>
      </c>
      <c r="D98" s="2106"/>
    </row>
    <row r="99" spans="1:4" s="1797" customFormat="1" ht="15" x14ac:dyDescent="0.2">
      <c r="A99" s="2163"/>
      <c r="B99" s="1856"/>
      <c r="C99" s="2099" t="s">
        <v>15288</v>
      </c>
      <c r="D99" s="2106"/>
    </row>
    <row r="100" spans="1:4" s="1797" customFormat="1" ht="15" x14ac:dyDescent="0.2">
      <c r="A100" s="2163"/>
      <c r="B100" s="1856"/>
      <c r="C100" s="2099" t="s">
        <v>15289</v>
      </c>
      <c r="D100" s="2106"/>
    </row>
    <row r="101" spans="1:4" s="1797" customFormat="1" ht="30" x14ac:dyDescent="0.2">
      <c r="A101" s="2163"/>
      <c r="B101" s="1856"/>
      <c r="C101" s="2099" t="s">
        <v>15290</v>
      </c>
      <c r="D101" s="2106"/>
    </row>
    <row r="102" spans="1:4" s="1797" customFormat="1" ht="15" x14ac:dyDescent="0.2">
      <c r="A102" s="2163"/>
      <c r="B102" s="1856"/>
      <c r="C102" s="2099" t="s">
        <v>15291</v>
      </c>
      <c r="D102" s="2106"/>
    </row>
    <row r="103" spans="1:4" s="1797" customFormat="1" ht="15" x14ac:dyDescent="0.2">
      <c r="A103" s="2163"/>
      <c r="B103" s="1856"/>
      <c r="C103" s="2099" t="s">
        <v>15292</v>
      </c>
      <c r="D103" s="2106"/>
    </row>
    <row r="104" spans="1:4" s="1797" customFormat="1" ht="15" x14ac:dyDescent="0.2">
      <c r="A104" s="2163"/>
      <c r="B104" s="1856"/>
      <c r="C104" s="2099" t="s">
        <v>15293</v>
      </c>
      <c r="D104" s="2106"/>
    </row>
    <row r="105" spans="1:4" s="1797" customFormat="1" ht="15" x14ac:dyDescent="0.2">
      <c r="A105" s="2163"/>
      <c r="B105" s="1856"/>
      <c r="C105" s="2099" t="s">
        <v>15294</v>
      </c>
      <c r="D105" s="2106"/>
    </row>
    <row r="106" spans="1:4" s="1797" customFormat="1" ht="15" x14ac:dyDescent="0.2">
      <c r="A106" s="2163"/>
      <c r="B106" s="1856"/>
      <c r="C106" s="2099" t="s">
        <v>15295</v>
      </c>
      <c r="D106" s="2106"/>
    </row>
    <row r="107" spans="1:4" s="1797" customFormat="1" ht="15" x14ac:dyDescent="0.2">
      <c r="A107" s="2163"/>
      <c r="B107" s="1856"/>
      <c r="C107" s="2099" t="s">
        <v>15296</v>
      </c>
      <c r="D107" s="2106"/>
    </row>
    <row r="108" spans="1:4" s="1797" customFormat="1" ht="15" x14ac:dyDescent="0.2">
      <c r="A108" s="2164"/>
      <c r="B108" s="2026"/>
      <c r="C108" s="2107" t="s">
        <v>15297</v>
      </c>
      <c r="D108" s="2108"/>
    </row>
    <row r="109" spans="1:4" s="1797" customFormat="1" ht="30" x14ac:dyDescent="0.2">
      <c r="A109" s="2157">
        <v>12</v>
      </c>
      <c r="B109" s="2114" t="s">
        <v>15298</v>
      </c>
      <c r="C109" s="2115" t="s">
        <v>15299</v>
      </c>
      <c r="D109" s="2120"/>
    </row>
    <row r="110" spans="1:4" s="1797" customFormat="1" ht="15" x14ac:dyDescent="0.2">
      <c r="A110" s="2158"/>
      <c r="B110" s="2118"/>
      <c r="C110" s="2117" t="s">
        <v>15300</v>
      </c>
      <c r="D110" s="2116"/>
    </row>
    <row r="111" spans="1:4" s="1797" customFormat="1" ht="15" x14ac:dyDescent="0.2">
      <c r="A111" s="2158"/>
      <c r="B111" s="2118"/>
      <c r="C111" s="2117" t="s">
        <v>15301</v>
      </c>
      <c r="D111" s="2116"/>
    </row>
    <row r="112" spans="1:4" s="1797" customFormat="1" ht="15" x14ac:dyDescent="0.2">
      <c r="A112" s="2158"/>
      <c r="B112" s="2118"/>
      <c r="C112" s="2117" t="s">
        <v>15302</v>
      </c>
      <c r="D112" s="2116"/>
    </row>
    <row r="113" spans="1:4" s="1797" customFormat="1" ht="15" x14ac:dyDescent="0.2">
      <c r="A113" s="2158"/>
      <c r="B113" s="2118"/>
      <c r="C113" s="2117" t="s">
        <v>15303</v>
      </c>
      <c r="D113" s="2116"/>
    </row>
    <row r="114" spans="1:4" s="1797" customFormat="1" ht="30" x14ac:dyDescent="0.2">
      <c r="A114" s="2158"/>
      <c r="B114" s="2118"/>
      <c r="C114" s="2117" t="s">
        <v>15304</v>
      </c>
      <c r="D114" s="2116"/>
    </row>
    <row r="115" spans="1:4" s="1797" customFormat="1" ht="15" x14ac:dyDescent="0.2">
      <c r="A115" s="2158"/>
      <c r="B115" s="2118"/>
      <c r="C115" s="2117" t="s">
        <v>15305</v>
      </c>
      <c r="D115" s="2116"/>
    </row>
    <row r="116" spans="1:4" s="1797" customFormat="1" ht="15" x14ac:dyDescent="0.2">
      <c r="A116" s="2158"/>
      <c r="B116" s="2118"/>
      <c r="C116" s="2117" t="s">
        <v>15306</v>
      </c>
      <c r="D116" s="2116"/>
    </row>
    <row r="117" spans="1:4" s="1797" customFormat="1" ht="15" x14ac:dyDescent="0.2">
      <c r="A117" s="2158"/>
      <c r="B117" s="2118"/>
      <c r="C117" s="2117" t="s">
        <v>15307</v>
      </c>
      <c r="D117" s="2116"/>
    </row>
    <row r="118" spans="1:4" s="1797" customFormat="1" ht="15" x14ac:dyDescent="0.2">
      <c r="A118" s="2158"/>
      <c r="B118" s="2118"/>
      <c r="C118" s="2117" t="s">
        <v>15308</v>
      </c>
      <c r="D118" s="2116"/>
    </row>
    <row r="119" spans="1:4" s="1797" customFormat="1" ht="15" x14ac:dyDescent="0.2">
      <c r="A119" s="2159"/>
      <c r="B119" s="2121"/>
      <c r="C119" s="2122" t="s">
        <v>15309</v>
      </c>
      <c r="D119" s="2119"/>
    </row>
    <row r="120" spans="1:4" s="2098" customFormat="1" ht="15" x14ac:dyDescent="0.2">
      <c r="A120" s="2109" t="s">
        <v>15172</v>
      </c>
      <c r="B120" s="2084" t="s">
        <v>15173</v>
      </c>
      <c r="C120" s="1990" t="s">
        <v>15174</v>
      </c>
      <c r="D120" s="2110" t="s">
        <v>15175</v>
      </c>
    </row>
    <row r="121" spans="1:4" s="1797" customFormat="1" ht="30" x14ac:dyDescent="0.2">
      <c r="A121" s="2162">
        <v>13</v>
      </c>
      <c r="B121" s="2068" t="s">
        <v>15310</v>
      </c>
      <c r="C121" s="2104" t="s">
        <v>15311</v>
      </c>
      <c r="D121" s="2105"/>
    </row>
    <row r="122" spans="1:4" s="1797" customFormat="1" ht="15" x14ac:dyDescent="0.2">
      <c r="A122" s="2163"/>
      <c r="B122" s="1856"/>
      <c r="C122" s="2099" t="s">
        <v>15312</v>
      </c>
      <c r="D122" s="2106"/>
    </row>
    <row r="123" spans="1:4" s="1797" customFormat="1" ht="15" x14ac:dyDescent="0.2">
      <c r="A123" s="2163"/>
      <c r="B123" s="1856"/>
      <c r="C123" s="2099" t="s">
        <v>15313</v>
      </c>
      <c r="D123" s="2106"/>
    </row>
    <row r="124" spans="1:4" s="1797" customFormat="1" ht="15" x14ac:dyDescent="0.2">
      <c r="A124" s="2163"/>
      <c r="B124" s="1856"/>
      <c r="C124" s="2099" t="s">
        <v>15314</v>
      </c>
      <c r="D124" s="2106"/>
    </row>
    <row r="125" spans="1:4" s="1797" customFormat="1" ht="30" x14ac:dyDescent="0.2">
      <c r="A125" s="2163"/>
      <c r="B125" s="1856"/>
      <c r="C125" s="2099" t="s">
        <v>15315</v>
      </c>
      <c r="D125" s="2106"/>
    </row>
    <row r="126" spans="1:4" s="1797" customFormat="1" ht="15" x14ac:dyDescent="0.2">
      <c r="A126" s="2163"/>
      <c r="B126" s="1856"/>
      <c r="C126" s="2099" t="s">
        <v>15316</v>
      </c>
      <c r="D126" s="2106"/>
    </row>
    <row r="127" spans="1:4" s="1797" customFormat="1" ht="15" x14ac:dyDescent="0.2">
      <c r="A127" s="2163"/>
      <c r="B127" s="1856"/>
      <c r="C127" s="2099" t="s">
        <v>15317</v>
      </c>
      <c r="D127" s="2106"/>
    </row>
    <row r="128" spans="1:4" s="1797" customFormat="1" ht="15" x14ac:dyDescent="0.2">
      <c r="A128" s="2163"/>
      <c r="B128" s="1856"/>
      <c r="C128" s="2099" t="s">
        <v>15318</v>
      </c>
      <c r="D128" s="2106"/>
    </row>
    <row r="129" spans="1:4" s="1797" customFormat="1" ht="15" x14ac:dyDescent="0.2">
      <c r="A129" s="2163"/>
      <c r="B129" s="1856"/>
      <c r="C129" s="2099" t="s">
        <v>15319</v>
      </c>
      <c r="D129" s="2106"/>
    </row>
    <row r="130" spans="1:4" s="1797" customFormat="1" ht="15" x14ac:dyDescent="0.2">
      <c r="A130" s="2163"/>
      <c r="B130" s="1856"/>
      <c r="C130" s="2099" t="s">
        <v>15320</v>
      </c>
      <c r="D130" s="2106"/>
    </row>
    <row r="131" spans="1:4" s="1797" customFormat="1" ht="15" x14ac:dyDescent="0.2">
      <c r="A131" s="2163"/>
      <c r="B131" s="1856"/>
      <c r="C131" s="2099" t="s">
        <v>15321</v>
      </c>
      <c r="D131" s="2106"/>
    </row>
    <row r="132" spans="1:4" s="1797" customFormat="1" ht="15" x14ac:dyDescent="0.2">
      <c r="A132" s="2163"/>
      <c r="B132" s="1856"/>
      <c r="C132" s="2099" t="s">
        <v>15322</v>
      </c>
      <c r="D132" s="2106"/>
    </row>
    <row r="133" spans="1:4" s="1797" customFormat="1" ht="15" x14ac:dyDescent="0.2">
      <c r="A133" s="2164"/>
      <c r="B133" s="2026"/>
      <c r="C133" s="2107" t="s">
        <v>15323</v>
      </c>
      <c r="D133" s="2108"/>
    </row>
    <row r="134" spans="1:4" s="1797" customFormat="1" ht="15" x14ac:dyDescent="0.2">
      <c r="A134" s="2157">
        <v>14</v>
      </c>
      <c r="B134" s="2160" t="s">
        <v>15324</v>
      </c>
      <c r="C134" s="2115" t="s">
        <v>15326</v>
      </c>
      <c r="D134" s="2120"/>
    </row>
    <row r="135" spans="1:4" s="1797" customFormat="1" ht="15" x14ac:dyDescent="0.2">
      <c r="A135" s="2158"/>
      <c r="B135" s="2161"/>
      <c r="C135" s="2117" t="s">
        <v>15327</v>
      </c>
      <c r="D135" s="2116"/>
    </row>
    <row r="136" spans="1:4" s="1797" customFormat="1" ht="30" x14ac:dyDescent="0.2">
      <c r="A136" s="2158"/>
      <c r="B136" s="2118" t="s">
        <v>15325</v>
      </c>
      <c r="C136" s="2117" t="s">
        <v>15328</v>
      </c>
      <c r="D136" s="2116"/>
    </row>
    <row r="137" spans="1:4" s="1797" customFormat="1" ht="15" x14ac:dyDescent="0.2">
      <c r="A137" s="2158"/>
      <c r="B137" s="2118"/>
      <c r="C137" s="2117" t="s">
        <v>15329</v>
      </c>
      <c r="D137" s="2116"/>
    </row>
    <row r="138" spans="1:4" s="1797" customFormat="1" ht="15" x14ac:dyDescent="0.2">
      <c r="A138" s="2158"/>
      <c r="B138" s="2118"/>
      <c r="C138" s="2117" t="s">
        <v>15330</v>
      </c>
      <c r="D138" s="2116"/>
    </row>
    <row r="139" spans="1:4" s="1797" customFormat="1" ht="15" x14ac:dyDescent="0.2">
      <c r="A139" s="2158"/>
      <c r="B139" s="2118"/>
      <c r="C139" s="2117" t="s">
        <v>15331</v>
      </c>
      <c r="D139" s="2116"/>
    </row>
    <row r="140" spans="1:4" s="1797" customFormat="1" ht="15" x14ac:dyDescent="0.2">
      <c r="A140" s="2158"/>
      <c r="B140" s="2118"/>
      <c r="C140" s="2117" t="s">
        <v>15332</v>
      </c>
      <c r="D140" s="2116"/>
    </row>
    <row r="141" spans="1:4" s="1797" customFormat="1" ht="15" x14ac:dyDescent="0.2">
      <c r="A141" s="2159"/>
      <c r="B141" s="2121"/>
      <c r="C141" s="2122" t="s">
        <v>15333</v>
      </c>
      <c r="D141" s="2119"/>
    </row>
    <row r="142" spans="1:4" s="1809" customFormat="1" ht="15" x14ac:dyDescent="0.2">
      <c r="A142" s="1856"/>
      <c r="B142" s="1856"/>
      <c r="C142" s="2099"/>
      <c r="D142" s="2100"/>
    </row>
    <row r="143" spans="1:4" s="1809" customFormat="1" ht="15" x14ac:dyDescent="0.2">
      <c r="A143" s="1797"/>
      <c r="B143" s="1856"/>
      <c r="C143" s="2099"/>
      <c r="D143" s="2100"/>
    </row>
    <row r="144" spans="1:4" s="1809" customFormat="1" ht="15" x14ac:dyDescent="0.2">
      <c r="A144" s="1856"/>
      <c r="B144" s="1856"/>
      <c r="C144" s="2099"/>
      <c r="D144" s="2100"/>
    </row>
    <row r="145" spans="1:4" s="1809" customFormat="1" ht="15" x14ac:dyDescent="0.2">
      <c r="A145" s="1797"/>
      <c r="B145" s="1856"/>
      <c r="C145" s="2099"/>
      <c r="D145" s="2100"/>
    </row>
    <row r="146" spans="1:4" s="1809" customFormat="1" ht="15" x14ac:dyDescent="0.2">
      <c r="A146" s="1856"/>
      <c r="B146" s="1856"/>
      <c r="C146" s="2099"/>
      <c r="D146" s="2100"/>
    </row>
    <row r="147" spans="1:4" s="1809" customFormat="1" ht="15" x14ac:dyDescent="0.2">
      <c r="A147" s="1797"/>
      <c r="B147" s="1856"/>
      <c r="C147" s="2099"/>
      <c r="D147" s="2100"/>
    </row>
    <row r="148" spans="1:4" s="1809" customFormat="1" ht="15" x14ac:dyDescent="0.2">
      <c r="A148" s="1856"/>
      <c r="B148" s="1856"/>
      <c r="C148" s="2099"/>
      <c r="D148" s="2100"/>
    </row>
    <row r="149" spans="1:4" s="1797" customFormat="1" ht="15" x14ac:dyDescent="0.2">
      <c r="B149" s="1856"/>
      <c r="C149" s="2099"/>
      <c r="D149" s="2100"/>
    </row>
    <row r="150" spans="1:4" s="1809" customFormat="1" ht="15" x14ac:dyDescent="0.2">
      <c r="A150" s="1856"/>
      <c r="B150" s="1856"/>
      <c r="C150" s="2099"/>
      <c r="D150" s="2100"/>
    </row>
    <row r="151" spans="1:4" s="1809" customFormat="1" ht="15" x14ac:dyDescent="0.2">
      <c r="A151" s="1797"/>
      <c r="B151" s="1856"/>
      <c r="C151" s="2099"/>
      <c r="D151" s="2100"/>
    </row>
    <row r="152" spans="1:4" s="1809" customFormat="1" ht="15" x14ac:dyDescent="0.2">
      <c r="A152" s="1856"/>
      <c r="B152" s="1856"/>
      <c r="C152" s="2099"/>
      <c r="D152" s="2100"/>
    </row>
    <row r="153" spans="1:4" s="1809" customFormat="1" ht="15" x14ac:dyDescent="0.2">
      <c r="A153" s="1856"/>
      <c r="B153" s="1856"/>
      <c r="C153" s="2099"/>
      <c r="D153" s="2100"/>
    </row>
    <row r="154" spans="1:4" s="1809" customFormat="1" ht="15" x14ac:dyDescent="0.2">
      <c r="A154" s="1797"/>
      <c r="B154" s="1856"/>
      <c r="C154" s="2099"/>
      <c r="D154" s="2100"/>
    </row>
    <row r="155" spans="1:4" s="1809" customFormat="1" ht="15" x14ac:dyDescent="0.2">
      <c r="A155" s="1856"/>
      <c r="B155" s="1856"/>
      <c r="C155" s="2099"/>
      <c r="D155" s="2100"/>
    </row>
    <row r="156" spans="1:4" s="1809" customFormat="1" ht="15" x14ac:dyDescent="0.2">
      <c r="A156" s="1797"/>
      <c r="B156" s="1856"/>
      <c r="C156" s="2099"/>
      <c r="D156" s="2100"/>
    </row>
    <row r="157" spans="1:4" ht="15" x14ac:dyDescent="0.2">
      <c r="A157" s="1856"/>
      <c r="B157" s="1856"/>
      <c r="C157" s="2099"/>
      <c r="D157" s="2100"/>
    </row>
    <row r="158" spans="1:4" s="1809" customFormat="1" ht="15" x14ac:dyDescent="0.2">
      <c r="A158" s="1797"/>
      <c r="B158" s="1856"/>
      <c r="C158" s="2099"/>
      <c r="D158" s="2100"/>
    </row>
    <row r="159" spans="1:4" ht="15" x14ac:dyDescent="0.2">
      <c r="A159" s="1856"/>
      <c r="B159" s="1856"/>
      <c r="C159" s="2099"/>
      <c r="D159" s="2100"/>
    </row>
    <row r="160" spans="1:4" s="1809" customFormat="1" ht="15" x14ac:dyDescent="0.2">
      <c r="A160" s="212"/>
      <c r="B160" s="212"/>
      <c r="C160" s="2101"/>
      <c r="D160" s="2101"/>
    </row>
    <row r="161" spans="1:4" s="1809" customFormat="1" ht="15" x14ac:dyDescent="0.2">
      <c r="A161" s="1797"/>
      <c r="B161" s="1856"/>
      <c r="C161" s="2099"/>
      <c r="D161" s="2100"/>
    </row>
    <row r="162" spans="1:4" s="1809" customFormat="1" ht="15" x14ac:dyDescent="0.2">
      <c r="A162" s="1856"/>
      <c r="B162" s="1856"/>
      <c r="C162" s="2099"/>
      <c r="D162" s="2100"/>
    </row>
    <row r="163" spans="1:4" s="1809" customFormat="1" ht="15" x14ac:dyDescent="0.2">
      <c r="A163" s="1797"/>
      <c r="B163" s="1856"/>
      <c r="C163" s="2099"/>
      <c r="D163" s="2100"/>
    </row>
    <row r="164" spans="1:4" s="1809" customFormat="1" ht="15" x14ac:dyDescent="0.2">
      <c r="A164" s="1856"/>
      <c r="B164" s="1856"/>
      <c r="C164" s="2099"/>
      <c r="D164" s="2100"/>
    </row>
    <row r="165" spans="1:4" s="1809" customFormat="1" ht="15" x14ac:dyDescent="0.2">
      <c r="A165" s="1797"/>
      <c r="B165" s="1856"/>
      <c r="C165" s="2099"/>
      <c r="D165" s="2100"/>
    </row>
    <row r="166" spans="1:4" s="1809" customFormat="1" ht="15" x14ac:dyDescent="0.2">
      <c r="A166" s="1856"/>
      <c r="B166" s="1856"/>
      <c r="C166" s="2099"/>
      <c r="D166" s="2100"/>
    </row>
    <row r="167" spans="1:4" s="1809" customFormat="1" ht="15" x14ac:dyDescent="0.2">
      <c r="A167" s="1797"/>
      <c r="B167" s="1856"/>
      <c r="C167" s="2099"/>
      <c r="D167" s="2100"/>
    </row>
    <row r="168" spans="1:4" s="1809" customFormat="1" ht="15" x14ac:dyDescent="0.2">
      <c r="A168" s="1856"/>
      <c r="B168" s="1856"/>
      <c r="C168" s="2099"/>
      <c r="D168" s="2100"/>
    </row>
    <row r="169" spans="1:4" s="1809" customFormat="1" ht="15" x14ac:dyDescent="0.2">
      <c r="A169" s="1797"/>
      <c r="B169" s="1856"/>
      <c r="C169" s="2099"/>
      <c r="D169" s="2100"/>
    </row>
    <row r="170" spans="1:4" s="1809" customFormat="1" ht="15" x14ac:dyDescent="0.2">
      <c r="A170" s="1856"/>
      <c r="B170" s="1856"/>
      <c r="C170" s="2099"/>
      <c r="D170" s="2100"/>
    </row>
    <row r="171" spans="1:4" s="1809" customFormat="1" ht="15" x14ac:dyDescent="0.2">
      <c r="A171" s="1797"/>
      <c r="B171" s="1856"/>
      <c r="C171" s="2099"/>
      <c r="D171" s="2100"/>
    </row>
    <row r="172" spans="1:4" s="1809" customFormat="1" ht="15" x14ac:dyDescent="0.2">
      <c r="A172" s="1856"/>
      <c r="B172" s="1856"/>
      <c r="C172" s="2099"/>
      <c r="D172" s="2100"/>
    </row>
    <row r="173" spans="1:4" s="1809" customFormat="1" ht="15" x14ac:dyDescent="0.2">
      <c r="A173" s="1797"/>
      <c r="B173" s="1856"/>
      <c r="C173" s="2099"/>
      <c r="D173" s="2100"/>
    </row>
    <row r="174" spans="1:4" s="1809" customFormat="1" ht="15" x14ac:dyDescent="0.2">
      <c r="A174" s="1856"/>
      <c r="B174" s="1856"/>
      <c r="C174" s="2099"/>
      <c r="D174" s="2100"/>
    </row>
    <row r="175" spans="1:4" s="1809" customFormat="1" ht="15" x14ac:dyDescent="0.2">
      <c r="A175" s="1797"/>
      <c r="B175" s="1856"/>
      <c r="C175" s="2099"/>
      <c r="D175" s="2100"/>
    </row>
    <row r="176" spans="1:4" s="1809" customFormat="1" ht="15" x14ac:dyDescent="0.2">
      <c r="A176" s="1856"/>
      <c r="B176" s="1856"/>
      <c r="C176" s="2099"/>
      <c r="D176" s="2100"/>
    </row>
    <row r="177" spans="1:4" s="1809" customFormat="1" ht="15" x14ac:dyDescent="0.2">
      <c r="A177" s="1797"/>
      <c r="B177" s="1856"/>
      <c r="C177" s="2099"/>
      <c r="D177" s="2100"/>
    </row>
    <row r="178" spans="1:4" s="1809" customFormat="1" ht="15" x14ac:dyDescent="0.2">
      <c r="A178" s="1856"/>
      <c r="B178" s="1856"/>
      <c r="C178" s="2099"/>
      <c r="D178" s="2100"/>
    </row>
    <row r="179" spans="1:4" s="1809" customFormat="1" ht="15" x14ac:dyDescent="0.2">
      <c r="A179" s="1797"/>
      <c r="B179" s="1856"/>
      <c r="C179" s="2099"/>
      <c r="D179" s="2100"/>
    </row>
    <row r="180" spans="1:4" s="1809" customFormat="1" ht="15" x14ac:dyDescent="0.2">
      <c r="A180" s="1856"/>
      <c r="B180" s="1856"/>
      <c r="C180" s="2099"/>
      <c r="D180" s="2100"/>
    </row>
    <row r="181" spans="1:4" s="1809" customFormat="1" ht="15" x14ac:dyDescent="0.2">
      <c r="A181" s="1797"/>
      <c r="B181" s="1856"/>
      <c r="C181" s="2099"/>
      <c r="D181" s="2100"/>
    </row>
    <row r="182" spans="1:4" s="1809" customFormat="1" ht="15" x14ac:dyDescent="0.2">
      <c r="A182" s="1856"/>
      <c r="B182" s="1856"/>
      <c r="C182" s="2099"/>
      <c r="D182" s="2100"/>
    </row>
    <row r="183" spans="1:4" s="1809" customFormat="1" ht="15" x14ac:dyDescent="0.2">
      <c r="A183" s="1797"/>
      <c r="B183" s="1856"/>
      <c r="C183" s="2099"/>
      <c r="D183" s="2100"/>
    </row>
    <row r="184" spans="1:4" s="1809" customFormat="1" ht="15" x14ac:dyDescent="0.2">
      <c r="A184" s="1856"/>
      <c r="B184" s="1856"/>
      <c r="C184" s="2099"/>
      <c r="D184" s="2100"/>
    </row>
    <row r="185" spans="1:4" s="1809" customFormat="1" ht="15" x14ac:dyDescent="0.2">
      <c r="A185" s="1797"/>
      <c r="B185" s="1856"/>
      <c r="C185" s="2099"/>
      <c r="D185" s="2100"/>
    </row>
    <row r="186" spans="1:4" s="1809" customFormat="1" ht="15" x14ac:dyDescent="0.2">
      <c r="A186" s="1856"/>
      <c r="B186" s="1856"/>
      <c r="C186" s="2099"/>
      <c r="D186" s="2100"/>
    </row>
    <row r="187" spans="1:4" s="1809" customFormat="1" ht="15" x14ac:dyDescent="0.2">
      <c r="A187" s="1797"/>
      <c r="B187" s="1856"/>
      <c r="C187" s="2099"/>
      <c r="D187" s="2100"/>
    </row>
    <row r="188" spans="1:4" s="1809" customFormat="1" ht="15" x14ac:dyDescent="0.2">
      <c r="A188" s="1856"/>
      <c r="B188" s="1856"/>
      <c r="C188" s="2099"/>
      <c r="D188" s="2100"/>
    </row>
    <row r="189" spans="1:4" s="1809" customFormat="1" ht="15" x14ac:dyDescent="0.2">
      <c r="A189" s="1797"/>
      <c r="B189" s="1856"/>
      <c r="C189" s="2099"/>
      <c r="D189" s="2100"/>
    </row>
    <row r="190" spans="1:4" s="1809" customFormat="1" ht="15" x14ac:dyDescent="0.2">
      <c r="A190" s="1856"/>
      <c r="B190" s="1856"/>
      <c r="C190" s="2099"/>
      <c r="D190" s="2100"/>
    </row>
    <row r="191" spans="1:4" s="1809" customFormat="1" ht="15" x14ac:dyDescent="0.2">
      <c r="A191" s="1797"/>
      <c r="B191" s="1856"/>
      <c r="C191" s="2099"/>
      <c r="D191" s="2100"/>
    </row>
    <row r="192" spans="1:4" s="1809" customFormat="1" ht="15" x14ac:dyDescent="0.2">
      <c r="A192" s="212"/>
      <c r="B192" s="212"/>
      <c r="C192" s="2101"/>
      <c r="D192" s="2101"/>
    </row>
    <row r="193" spans="1:4" s="1809" customFormat="1" ht="15" x14ac:dyDescent="0.2">
      <c r="A193" s="1856"/>
      <c r="B193" s="1856"/>
      <c r="C193" s="2099"/>
      <c r="D193" s="2100"/>
    </row>
    <row r="194" spans="1:4" s="1809" customFormat="1" ht="15" x14ac:dyDescent="0.2">
      <c r="A194" s="1797"/>
      <c r="B194" s="1785"/>
      <c r="C194" s="2099"/>
      <c r="D194" s="2100"/>
    </row>
    <row r="195" spans="1:4" s="1809" customFormat="1" ht="15" x14ac:dyDescent="0.2">
      <c r="A195" s="1856"/>
      <c r="B195" s="1856"/>
      <c r="C195" s="2099"/>
      <c r="D195" s="2100"/>
    </row>
    <row r="196" spans="1:4" s="1809" customFormat="1" ht="15" x14ac:dyDescent="0.2">
      <c r="A196" s="1797"/>
      <c r="B196" s="1856"/>
      <c r="C196" s="2099"/>
      <c r="D196" s="2100"/>
    </row>
    <row r="197" spans="1:4" s="1809" customFormat="1" ht="15" x14ac:dyDescent="0.2">
      <c r="A197" s="1856"/>
      <c r="B197" s="1856"/>
      <c r="C197" s="2099"/>
      <c r="D197" s="2100"/>
    </row>
    <row r="198" spans="1:4" s="1809" customFormat="1" ht="15" x14ac:dyDescent="0.2">
      <c r="A198" s="1797"/>
      <c r="B198" s="1856"/>
      <c r="C198" s="2099"/>
      <c r="D198" s="2100"/>
    </row>
    <row r="199" spans="1:4" s="1809" customFormat="1" ht="15" x14ac:dyDescent="0.2">
      <c r="A199" s="1856"/>
      <c r="B199" s="1856"/>
      <c r="C199" s="2099"/>
      <c r="D199" s="2100"/>
    </row>
    <row r="200" spans="1:4" s="1809" customFormat="1" ht="15" x14ac:dyDescent="0.2">
      <c r="A200" s="1797"/>
      <c r="B200" s="1856"/>
      <c r="C200" s="2099"/>
      <c r="D200" s="2100"/>
    </row>
    <row r="201" spans="1:4" s="1809" customFormat="1" ht="15" x14ac:dyDescent="0.2">
      <c r="A201" s="1856"/>
      <c r="B201" s="1856"/>
      <c r="C201" s="2099"/>
      <c r="D201" s="2100"/>
    </row>
    <row r="202" spans="1:4" s="1809" customFormat="1" ht="15" x14ac:dyDescent="0.2">
      <c r="A202" s="1797"/>
      <c r="B202" s="1856"/>
      <c r="C202" s="2099"/>
      <c r="D202" s="2100"/>
    </row>
    <row r="203" spans="1:4" s="1809" customFormat="1" ht="15" x14ac:dyDescent="0.2">
      <c r="A203" s="1856"/>
      <c r="B203" s="1856"/>
      <c r="C203" s="2099"/>
      <c r="D203" s="2100"/>
    </row>
    <row r="204" spans="1:4" s="1809" customFormat="1" ht="15" x14ac:dyDescent="0.2">
      <c r="A204" s="1797"/>
      <c r="B204" s="1856"/>
      <c r="C204" s="2099"/>
      <c r="D204" s="2100"/>
    </row>
    <row r="205" spans="1:4" s="1809" customFormat="1" ht="15" x14ac:dyDescent="0.2">
      <c r="A205" s="1856"/>
      <c r="B205" s="1856"/>
      <c r="C205" s="2099"/>
      <c r="D205" s="2100"/>
    </row>
    <row r="206" spans="1:4" s="1809" customFormat="1" ht="15" x14ac:dyDescent="0.2">
      <c r="A206" s="1797"/>
      <c r="B206" s="1856"/>
      <c r="C206" s="2099"/>
      <c r="D206" s="2100"/>
    </row>
    <row r="207" spans="1:4" s="1809" customFormat="1" ht="15" x14ac:dyDescent="0.2">
      <c r="A207" s="1856"/>
      <c r="B207" s="1856"/>
      <c r="C207" s="2099"/>
      <c r="D207" s="2100"/>
    </row>
    <row r="208" spans="1:4" s="1809" customFormat="1" ht="15" x14ac:dyDescent="0.2">
      <c r="A208" s="1797"/>
      <c r="B208" s="1856"/>
      <c r="C208" s="2099"/>
      <c r="D208" s="2100"/>
    </row>
    <row r="209" spans="1:4" s="1809" customFormat="1" ht="15" x14ac:dyDescent="0.2">
      <c r="A209" s="1856"/>
      <c r="B209" s="1856"/>
      <c r="C209" s="2099"/>
      <c r="D209" s="2100"/>
    </row>
    <row r="210" spans="1:4" s="1809" customFormat="1" ht="15" x14ac:dyDescent="0.2">
      <c r="A210" s="1797"/>
      <c r="B210" s="1856"/>
      <c r="C210" s="2099"/>
      <c r="D210" s="2100"/>
    </row>
    <row r="211" spans="1:4" s="1809" customFormat="1" ht="15" x14ac:dyDescent="0.2">
      <c r="A211" s="1856"/>
      <c r="B211" s="1856"/>
      <c r="C211" s="2099"/>
      <c r="D211" s="2100"/>
    </row>
    <row r="212" spans="1:4" s="1809" customFormat="1" ht="15" x14ac:dyDescent="0.2">
      <c r="A212" s="1797"/>
      <c r="B212" s="1856"/>
      <c r="C212" s="2099"/>
      <c r="D212" s="2100"/>
    </row>
    <row r="213" spans="1:4" s="1809" customFormat="1" ht="15" x14ac:dyDescent="0.2">
      <c r="A213" s="1856"/>
      <c r="B213" s="1856"/>
      <c r="C213" s="2099"/>
      <c r="D213" s="2100"/>
    </row>
    <row r="214" spans="1:4" s="1809" customFormat="1" ht="15" x14ac:dyDescent="0.2">
      <c r="A214" s="1797"/>
      <c r="B214" s="1856"/>
      <c r="C214" s="2099"/>
      <c r="D214" s="2100"/>
    </row>
    <row r="215" spans="1:4" s="1809" customFormat="1" ht="15" x14ac:dyDescent="0.2">
      <c r="A215" s="1856"/>
      <c r="B215" s="1856"/>
      <c r="C215" s="2099"/>
      <c r="D215" s="2100"/>
    </row>
    <row r="216" spans="1:4" s="1809" customFormat="1" ht="15" x14ac:dyDescent="0.2">
      <c r="A216" s="1797"/>
      <c r="B216" s="1856"/>
      <c r="C216" s="2099"/>
      <c r="D216" s="2100"/>
    </row>
    <row r="217" spans="1:4" s="1809" customFormat="1" ht="15" x14ac:dyDescent="0.2">
      <c r="A217" s="1856"/>
      <c r="B217" s="1856"/>
      <c r="C217" s="2099"/>
      <c r="D217" s="2100"/>
    </row>
    <row r="218" spans="1:4" s="1809" customFormat="1" ht="15" x14ac:dyDescent="0.2">
      <c r="A218" s="1797"/>
      <c r="B218" s="1856"/>
      <c r="C218" s="2099"/>
      <c r="D218" s="2100"/>
    </row>
    <row r="219" spans="1:4" s="1809" customFormat="1" ht="15" x14ac:dyDescent="0.2">
      <c r="A219" s="1856"/>
      <c r="B219" s="1856"/>
      <c r="C219" s="2099"/>
      <c r="D219" s="2100"/>
    </row>
    <row r="220" spans="1:4" s="1809" customFormat="1" ht="15" x14ac:dyDescent="0.2">
      <c r="A220" s="1797"/>
      <c r="B220" s="1856"/>
      <c r="C220" s="2099"/>
      <c r="D220" s="2100"/>
    </row>
    <row r="221" spans="1:4" s="1809" customFormat="1" ht="15" x14ac:dyDescent="0.2">
      <c r="A221" s="1856"/>
      <c r="B221" s="1856"/>
      <c r="C221" s="2099"/>
      <c r="D221" s="2100"/>
    </row>
    <row r="222" spans="1:4" s="1809" customFormat="1" ht="15" x14ac:dyDescent="0.2">
      <c r="A222" s="212"/>
      <c r="B222" s="212"/>
      <c r="C222" s="2101"/>
      <c r="D222" s="2101"/>
    </row>
    <row r="223" spans="1:4" s="1809" customFormat="1" ht="15" x14ac:dyDescent="0.2">
      <c r="A223" s="1797"/>
      <c r="B223" s="1856"/>
      <c r="C223" s="2099"/>
      <c r="D223" s="2100"/>
    </row>
    <row r="224" spans="1:4" s="1809" customFormat="1" ht="15" x14ac:dyDescent="0.2">
      <c r="A224" s="1856"/>
      <c r="B224" s="1856"/>
      <c r="C224" s="2099"/>
      <c r="D224" s="2100"/>
    </row>
    <row r="225" spans="1:4" s="1809" customFormat="1" ht="15" x14ac:dyDescent="0.2">
      <c r="A225" s="1797"/>
      <c r="B225" s="1856"/>
      <c r="C225" s="2099"/>
      <c r="D225" s="2100"/>
    </row>
    <row r="226" spans="1:4" s="1809" customFormat="1" ht="15" x14ac:dyDescent="0.2">
      <c r="A226" s="1856"/>
      <c r="B226" s="1856"/>
      <c r="C226" s="2099"/>
      <c r="D226" s="2100"/>
    </row>
    <row r="227" spans="1:4" s="1809" customFormat="1" ht="15" x14ac:dyDescent="0.2">
      <c r="A227" s="1797"/>
      <c r="B227" s="1856"/>
      <c r="C227" s="2099"/>
      <c r="D227" s="2100"/>
    </row>
    <row r="228" spans="1:4" s="1809" customFormat="1" ht="15" x14ac:dyDescent="0.2">
      <c r="A228" s="1856"/>
      <c r="B228" s="1856"/>
      <c r="C228" s="2099"/>
      <c r="D228" s="2100"/>
    </row>
    <row r="229" spans="1:4" s="1809" customFormat="1" ht="15" x14ac:dyDescent="0.2">
      <c r="A229" s="1797"/>
      <c r="B229" s="1856"/>
      <c r="C229" s="2099"/>
      <c r="D229" s="2100"/>
    </row>
    <row r="230" spans="1:4" s="1809" customFormat="1" ht="15" x14ac:dyDescent="0.2">
      <c r="A230" s="1856"/>
      <c r="B230" s="1856"/>
      <c r="C230" s="2099"/>
      <c r="D230" s="2100"/>
    </row>
    <row r="231" spans="1:4" s="1809" customFormat="1" ht="15" x14ac:dyDescent="0.2">
      <c r="A231" s="1797"/>
      <c r="B231" s="1856"/>
      <c r="C231" s="2099"/>
      <c r="D231" s="2100"/>
    </row>
    <row r="232" spans="1:4" s="1809" customFormat="1" ht="15" x14ac:dyDescent="0.2">
      <c r="A232" s="1856"/>
      <c r="B232" s="1856"/>
      <c r="C232" s="2099"/>
      <c r="D232" s="2100"/>
    </row>
    <row r="233" spans="1:4" s="1809" customFormat="1" ht="15" x14ac:dyDescent="0.2">
      <c r="A233" s="1797"/>
      <c r="B233" s="1856"/>
      <c r="C233" s="2099"/>
      <c r="D233" s="2100"/>
    </row>
    <row r="234" spans="1:4" s="1809" customFormat="1" ht="15" x14ac:dyDescent="0.2">
      <c r="A234" s="1856"/>
      <c r="B234" s="1856"/>
      <c r="C234" s="2099"/>
      <c r="D234" s="2100"/>
    </row>
    <row r="235" spans="1:4" s="1809" customFormat="1" ht="15" x14ac:dyDescent="0.2">
      <c r="A235" s="1797"/>
      <c r="B235" s="1856"/>
      <c r="C235" s="2099"/>
      <c r="D235" s="2100"/>
    </row>
    <row r="236" spans="1:4" s="1809" customFormat="1" ht="15" x14ac:dyDescent="0.2">
      <c r="A236" s="1856"/>
      <c r="B236" s="1856"/>
      <c r="C236" s="2099"/>
      <c r="D236" s="2100"/>
    </row>
    <row r="237" spans="1:4" s="1809" customFormat="1" ht="15" x14ac:dyDescent="0.2">
      <c r="A237" s="1797"/>
      <c r="B237" s="1856"/>
      <c r="C237" s="2099"/>
      <c r="D237" s="2100"/>
    </row>
    <row r="238" spans="1:4" s="1809" customFormat="1" ht="15" x14ac:dyDescent="0.2">
      <c r="A238" s="1856"/>
      <c r="B238" s="1856"/>
      <c r="C238" s="2099"/>
      <c r="D238" s="2100"/>
    </row>
    <row r="239" spans="1:4" s="1809" customFormat="1" ht="15" x14ac:dyDescent="0.2">
      <c r="A239" s="1797"/>
      <c r="B239" s="1856"/>
      <c r="C239" s="2099"/>
      <c r="D239" s="2100"/>
    </row>
    <row r="240" spans="1:4" s="1809" customFormat="1" ht="15" x14ac:dyDescent="0.2">
      <c r="A240" s="1856"/>
      <c r="B240" s="1856"/>
      <c r="C240" s="2099"/>
      <c r="D240" s="2100"/>
    </row>
    <row r="241" spans="1:4" s="1809" customFormat="1" ht="15" x14ac:dyDescent="0.2">
      <c r="A241" s="1797"/>
      <c r="B241" s="1856"/>
      <c r="C241" s="2099"/>
      <c r="D241" s="2100"/>
    </row>
    <row r="242" spans="1:4" s="1809" customFormat="1" ht="15" x14ac:dyDescent="0.2">
      <c r="A242" s="1856"/>
      <c r="B242" s="1856"/>
      <c r="C242" s="2099"/>
      <c r="D242" s="2100"/>
    </row>
    <row r="243" spans="1:4" s="1809" customFormat="1" ht="15" x14ac:dyDescent="0.2">
      <c r="A243" s="1797"/>
      <c r="B243" s="1856"/>
      <c r="C243" s="2099"/>
      <c r="D243" s="2100"/>
    </row>
    <row r="244" spans="1:4" s="1809" customFormat="1" ht="15" x14ac:dyDescent="0.2">
      <c r="A244" s="1856"/>
      <c r="B244" s="1856"/>
      <c r="C244" s="2099"/>
      <c r="D244" s="2100"/>
    </row>
    <row r="245" spans="1:4" s="1809" customFormat="1" ht="15" x14ac:dyDescent="0.2">
      <c r="A245" s="1797"/>
      <c r="B245" s="1856"/>
      <c r="C245" s="2099"/>
      <c r="D245" s="2100"/>
    </row>
    <row r="246" spans="1:4" s="1809" customFormat="1" ht="15" x14ac:dyDescent="0.2">
      <c r="A246" s="1856"/>
      <c r="B246" s="1856"/>
      <c r="C246" s="2099"/>
      <c r="D246" s="2100"/>
    </row>
    <row r="247" spans="1:4" s="1809" customFormat="1" ht="15" x14ac:dyDescent="0.2">
      <c r="A247" s="1797"/>
      <c r="B247" s="1856"/>
      <c r="C247" s="2099"/>
      <c r="D247" s="2100"/>
    </row>
    <row r="248" spans="1:4" s="1809" customFormat="1" ht="15" x14ac:dyDescent="0.2">
      <c r="A248" s="1856"/>
      <c r="B248" s="1856"/>
      <c r="C248" s="2099"/>
      <c r="D248" s="2100"/>
    </row>
    <row r="249" spans="1:4" s="1809" customFormat="1" ht="15" x14ac:dyDescent="0.2">
      <c r="A249" s="1797"/>
      <c r="B249" s="1856"/>
      <c r="C249" s="2099"/>
      <c r="D249" s="2100"/>
    </row>
    <row r="250" spans="1:4" s="1809" customFormat="1" ht="15" x14ac:dyDescent="0.2">
      <c r="A250" s="1856"/>
      <c r="B250" s="1856"/>
      <c r="C250" s="2099"/>
      <c r="D250" s="2100"/>
    </row>
    <row r="251" spans="1:4" s="1809" customFormat="1" ht="15" x14ac:dyDescent="0.2">
      <c r="A251" s="1797"/>
      <c r="B251" s="1856"/>
      <c r="C251" s="2099"/>
      <c r="D251" s="2100"/>
    </row>
    <row r="252" spans="1:4" s="1809" customFormat="1" ht="15" x14ac:dyDescent="0.2">
      <c r="A252" s="1856"/>
      <c r="B252" s="1856"/>
      <c r="C252" s="2099"/>
      <c r="D252" s="2100"/>
    </row>
    <row r="253" spans="1:4" s="1809" customFormat="1" ht="15" x14ac:dyDescent="0.2">
      <c r="A253" s="1797"/>
      <c r="B253" s="1856"/>
      <c r="C253" s="2099"/>
      <c r="D253" s="2100"/>
    </row>
    <row r="254" spans="1:4" s="1809" customFormat="1" ht="15" x14ac:dyDescent="0.2">
      <c r="A254" s="1856"/>
      <c r="B254" s="1856"/>
      <c r="C254" s="2099"/>
      <c r="D254" s="2100"/>
    </row>
    <row r="255" spans="1:4" s="1809" customFormat="1" ht="15" x14ac:dyDescent="0.2">
      <c r="A255" s="1797"/>
      <c r="B255" s="1856"/>
      <c r="C255" s="2099"/>
      <c r="D255" s="2100"/>
    </row>
    <row r="256" spans="1:4" s="1809" customFormat="1" ht="15" x14ac:dyDescent="0.2">
      <c r="A256" s="1856"/>
      <c r="B256" s="1856"/>
      <c r="C256" s="2099"/>
      <c r="D256" s="2100"/>
    </row>
    <row r="257" spans="1:4" s="1809" customFormat="1" ht="15" x14ac:dyDescent="0.2">
      <c r="A257" s="212"/>
      <c r="B257" s="212"/>
      <c r="C257" s="2101"/>
      <c r="D257" s="2101"/>
    </row>
    <row r="258" spans="1:4" s="1809" customFormat="1" ht="15" x14ac:dyDescent="0.2">
      <c r="A258" s="1797"/>
      <c r="B258" s="1856"/>
      <c r="C258" s="2099"/>
      <c r="D258" s="2100"/>
    </row>
    <row r="259" spans="1:4" s="1809" customFormat="1" ht="15" x14ac:dyDescent="0.2">
      <c r="A259" s="1856"/>
      <c r="B259" s="1856"/>
      <c r="C259" s="2099"/>
      <c r="D259" s="2100"/>
    </row>
    <row r="260" spans="1:4" s="1809" customFormat="1" ht="15" x14ac:dyDescent="0.2">
      <c r="A260" s="1797"/>
      <c r="B260" s="1856"/>
      <c r="C260" s="2099"/>
      <c r="D260" s="2100"/>
    </row>
    <row r="261" spans="1:4" s="1809" customFormat="1" ht="15" x14ac:dyDescent="0.2">
      <c r="A261" s="1856"/>
      <c r="B261" s="1856"/>
      <c r="C261" s="2099"/>
      <c r="D261" s="2100"/>
    </row>
    <row r="262" spans="1:4" s="1809" customFormat="1" ht="15" x14ac:dyDescent="0.2">
      <c r="A262" s="1797"/>
      <c r="B262" s="1856"/>
      <c r="C262" s="2099"/>
      <c r="D262" s="2100"/>
    </row>
    <row r="263" spans="1:4" s="1809" customFormat="1" ht="15" x14ac:dyDescent="0.2">
      <c r="A263" s="1856"/>
      <c r="B263" s="1856"/>
      <c r="C263" s="2099"/>
      <c r="D263" s="2100"/>
    </row>
    <row r="264" spans="1:4" s="1809" customFormat="1" ht="15" x14ac:dyDescent="0.2">
      <c r="A264" s="1797"/>
      <c r="B264" s="1856"/>
      <c r="C264" s="2099"/>
      <c r="D264" s="2100"/>
    </row>
    <row r="265" spans="1:4" s="1809" customFormat="1" ht="15" x14ac:dyDescent="0.2">
      <c r="A265" s="1856"/>
      <c r="B265" s="1856"/>
      <c r="C265" s="2099"/>
      <c r="D265" s="2100"/>
    </row>
    <row r="266" spans="1:4" s="1809" customFormat="1" ht="15" x14ac:dyDescent="0.2">
      <c r="A266" s="1797"/>
      <c r="B266" s="1856"/>
      <c r="C266" s="2099"/>
      <c r="D266" s="2100"/>
    </row>
    <row r="267" spans="1:4" s="1809" customFormat="1" ht="15" x14ac:dyDescent="0.2">
      <c r="A267" s="1856"/>
      <c r="B267" s="1856"/>
      <c r="C267" s="2099"/>
      <c r="D267" s="2100"/>
    </row>
    <row r="268" spans="1:4" s="1809" customFormat="1" ht="15" x14ac:dyDescent="0.2">
      <c r="A268" s="1797"/>
      <c r="B268" s="1856"/>
      <c r="C268" s="2099"/>
      <c r="D268" s="2100"/>
    </row>
    <row r="269" spans="1:4" s="1809" customFormat="1" ht="15" x14ac:dyDescent="0.2">
      <c r="A269" s="1856"/>
      <c r="B269" s="1856"/>
      <c r="C269" s="2099"/>
      <c r="D269" s="2100"/>
    </row>
    <row r="270" spans="1:4" s="1809" customFormat="1" ht="15" x14ac:dyDescent="0.2">
      <c r="A270" s="1797"/>
      <c r="B270" s="1856"/>
      <c r="C270" s="2099"/>
      <c r="D270" s="2100"/>
    </row>
    <row r="271" spans="1:4" s="1809" customFormat="1" ht="15" x14ac:dyDescent="0.2">
      <c r="A271" s="1856"/>
      <c r="B271" s="1856"/>
      <c r="C271" s="2099"/>
      <c r="D271" s="2100"/>
    </row>
    <row r="272" spans="1:4" s="1809" customFormat="1" ht="15" x14ac:dyDescent="0.2">
      <c r="A272" s="1797"/>
      <c r="B272" s="1856"/>
      <c r="C272" s="2099"/>
      <c r="D272" s="2100"/>
    </row>
    <row r="273" spans="1:4" s="1809" customFormat="1" ht="15" x14ac:dyDescent="0.2">
      <c r="A273" s="1856"/>
      <c r="B273" s="1856"/>
      <c r="C273" s="2099"/>
      <c r="D273" s="2100"/>
    </row>
    <row r="274" spans="1:4" s="1809" customFormat="1" ht="15" x14ac:dyDescent="0.2">
      <c r="A274" s="1797"/>
      <c r="B274" s="1856"/>
      <c r="C274" s="2099"/>
      <c r="D274" s="2100"/>
    </row>
    <row r="275" spans="1:4" s="1809" customFormat="1" ht="15" x14ac:dyDescent="0.2">
      <c r="A275" s="1856"/>
      <c r="B275" s="1856"/>
      <c r="C275" s="2099"/>
      <c r="D275" s="2100"/>
    </row>
    <row r="276" spans="1:4" s="1809" customFormat="1" ht="15" x14ac:dyDescent="0.2">
      <c r="A276" s="1797"/>
      <c r="B276" s="1856"/>
      <c r="C276" s="2099"/>
      <c r="D276" s="2100"/>
    </row>
    <row r="277" spans="1:4" s="1809" customFormat="1" ht="15" x14ac:dyDescent="0.2">
      <c r="A277" s="1856"/>
      <c r="B277" s="1785"/>
      <c r="C277" s="2099"/>
      <c r="D277" s="2100"/>
    </row>
    <row r="278" spans="1:4" s="1809" customFormat="1" ht="15" x14ac:dyDescent="0.2">
      <c r="A278" s="1797"/>
      <c r="B278" s="1856"/>
      <c r="C278" s="2099"/>
      <c r="D278" s="2100"/>
    </row>
    <row r="279" spans="1:4" s="1809" customFormat="1" ht="15" x14ac:dyDescent="0.2">
      <c r="A279" s="1856"/>
      <c r="B279" s="1856"/>
      <c r="C279" s="2099"/>
      <c r="D279" s="2100"/>
    </row>
    <row r="280" spans="1:4" s="1809" customFormat="1" ht="15" x14ac:dyDescent="0.2">
      <c r="A280" s="1797"/>
      <c r="B280" s="1856"/>
      <c r="C280" s="2099"/>
      <c r="D280" s="2100"/>
    </row>
    <row r="281" spans="1:4" s="1809" customFormat="1" ht="15" x14ac:dyDescent="0.2">
      <c r="A281" s="1856"/>
      <c r="B281" s="1856"/>
      <c r="C281" s="2099"/>
      <c r="D281" s="2100"/>
    </row>
    <row r="282" spans="1:4" s="1809" customFormat="1" ht="15" x14ac:dyDescent="0.2">
      <c r="A282" s="1856"/>
      <c r="B282" s="1856"/>
      <c r="C282" s="2099"/>
      <c r="D282" s="2100"/>
    </row>
    <row r="283" spans="1:4" s="1809" customFormat="1" ht="15" x14ac:dyDescent="0.2">
      <c r="A283" s="1856"/>
      <c r="B283" s="1856"/>
      <c r="C283" s="2099"/>
      <c r="D283" s="2100"/>
    </row>
    <row r="284" spans="1:4" s="1809" customFormat="1" ht="15" x14ac:dyDescent="0.2">
      <c r="A284" s="1856"/>
      <c r="B284" s="1856"/>
      <c r="C284" s="2099"/>
      <c r="D284" s="2100"/>
    </row>
    <row r="285" spans="1:4" s="1809" customFormat="1" ht="15" x14ac:dyDescent="0.2">
      <c r="A285" s="1856"/>
      <c r="B285" s="1856"/>
      <c r="C285" s="2099"/>
      <c r="D285" s="2100"/>
    </row>
    <row r="286" spans="1:4" s="1809" customFormat="1" ht="15" x14ac:dyDescent="0.2">
      <c r="A286" s="1856"/>
      <c r="B286" s="1856"/>
      <c r="C286" s="2099"/>
      <c r="D286" s="2100"/>
    </row>
    <row r="287" spans="1:4" s="1809" customFormat="1" ht="15" x14ac:dyDescent="0.2">
      <c r="A287" s="1856"/>
      <c r="B287" s="1856"/>
      <c r="C287" s="2099"/>
      <c r="D287" s="2100"/>
    </row>
    <row r="288" spans="1:4" s="1809" customFormat="1" ht="15" x14ac:dyDescent="0.2">
      <c r="A288" s="1856"/>
      <c r="B288" s="1856"/>
      <c r="C288" s="2099"/>
      <c r="D288" s="2100"/>
    </row>
    <row r="289" spans="1:4" s="1809" customFormat="1" ht="15" x14ac:dyDescent="0.2">
      <c r="A289" s="1856"/>
      <c r="B289" s="1856"/>
      <c r="C289" s="2099"/>
      <c r="D289" s="2100"/>
    </row>
    <row r="290" spans="1:4" s="1809" customFormat="1" ht="15" x14ac:dyDescent="0.2">
      <c r="A290" s="1856"/>
      <c r="B290" s="1856"/>
      <c r="C290" s="2099"/>
      <c r="D290" s="2100"/>
    </row>
    <row r="291" spans="1:4" s="1809" customFormat="1" ht="15" x14ac:dyDescent="0.2">
      <c r="A291" s="1856"/>
      <c r="B291" s="1856"/>
      <c r="C291" s="2099"/>
      <c r="D291" s="2100"/>
    </row>
    <row r="292" spans="1:4" s="1809" customFormat="1" ht="15" x14ac:dyDescent="0.2">
      <c r="A292" s="1856"/>
      <c r="B292" s="1856"/>
      <c r="C292" s="2099"/>
      <c r="D292" s="2100"/>
    </row>
    <row r="293" spans="1:4" s="1809" customFormat="1" ht="15" x14ac:dyDescent="0.2">
      <c r="A293" s="1856"/>
      <c r="B293" s="1856"/>
      <c r="C293" s="2099"/>
      <c r="D293" s="2100"/>
    </row>
    <row r="294" spans="1:4" s="1809" customFormat="1" ht="15" x14ac:dyDescent="0.2">
      <c r="A294" s="1856"/>
      <c r="B294" s="1856"/>
      <c r="C294" s="2099"/>
      <c r="D294" s="2100"/>
    </row>
    <row r="295" spans="1:4" s="1809" customFormat="1" ht="15" x14ac:dyDescent="0.2">
      <c r="A295" s="212"/>
      <c r="B295" s="212"/>
      <c r="C295" s="2101"/>
      <c r="D295" s="2101"/>
    </row>
    <row r="296" spans="1:4" ht="15" x14ac:dyDescent="0.2">
      <c r="A296" s="1856"/>
      <c r="B296" s="1856"/>
      <c r="C296" s="2099"/>
      <c r="D296" s="2100"/>
    </row>
    <row r="297" spans="1:4" s="1809" customFormat="1" ht="15" x14ac:dyDescent="0.2">
      <c r="A297" s="1856"/>
      <c r="B297" s="1856"/>
      <c r="C297" s="2099"/>
      <c r="D297" s="2100"/>
    </row>
    <row r="298" spans="1:4" ht="15" x14ac:dyDescent="0.2">
      <c r="A298" s="1856"/>
      <c r="B298" s="1856"/>
      <c r="C298" s="2099"/>
      <c r="D298" s="2100"/>
    </row>
    <row r="299" spans="1:4" s="1809" customFormat="1" ht="15" x14ac:dyDescent="0.2">
      <c r="A299" s="1856"/>
      <c r="B299" s="1856"/>
      <c r="C299" s="2099"/>
      <c r="D299" s="2100"/>
    </row>
    <row r="300" spans="1:4" s="1809" customFormat="1" ht="15" x14ac:dyDescent="0.2">
      <c r="A300" s="1856"/>
      <c r="B300" s="1856"/>
      <c r="C300" s="2099"/>
      <c r="D300" s="2100"/>
    </row>
    <row r="301" spans="1:4" s="1809" customFormat="1" ht="15" x14ac:dyDescent="0.2">
      <c r="A301" s="1856"/>
      <c r="B301" s="1856"/>
      <c r="C301" s="2099"/>
      <c r="D301" s="2100"/>
    </row>
    <row r="302" spans="1:4" s="1809" customFormat="1" ht="15" x14ac:dyDescent="0.2">
      <c r="A302" s="1856"/>
      <c r="B302" s="1856"/>
      <c r="C302" s="2099"/>
      <c r="D302" s="2100"/>
    </row>
    <row r="303" spans="1:4" s="1809" customFormat="1" ht="15" x14ac:dyDescent="0.2">
      <c r="A303" s="1856"/>
      <c r="B303" s="1856"/>
      <c r="C303" s="2099"/>
      <c r="D303" s="2100"/>
    </row>
    <row r="304" spans="1:4" s="1809" customFormat="1" ht="15" x14ac:dyDescent="0.2">
      <c r="A304" s="1856"/>
      <c r="B304" s="1856"/>
      <c r="C304" s="2099"/>
      <c r="D304" s="2100"/>
    </row>
    <row r="305" spans="1:4" s="1809" customFormat="1" ht="15" x14ac:dyDescent="0.2">
      <c r="A305" s="1856"/>
      <c r="B305" s="1856"/>
      <c r="C305" s="2099"/>
      <c r="D305" s="2100"/>
    </row>
    <row r="306" spans="1:4" s="1809" customFormat="1" ht="15" x14ac:dyDescent="0.2">
      <c r="A306" s="1856"/>
      <c r="B306" s="1856"/>
      <c r="C306" s="2099"/>
      <c r="D306" s="2100"/>
    </row>
    <row r="307" spans="1:4" s="1809" customFormat="1" ht="15" x14ac:dyDescent="0.2">
      <c r="A307" s="1856"/>
      <c r="B307" s="1856"/>
      <c r="C307" s="2099"/>
      <c r="D307" s="2100"/>
    </row>
    <row r="308" spans="1:4" s="1809" customFormat="1" ht="15" x14ac:dyDescent="0.2">
      <c r="A308" s="1856"/>
      <c r="B308" s="1856"/>
      <c r="C308" s="2099"/>
      <c r="D308" s="2100"/>
    </row>
    <row r="309" spans="1:4" s="1809" customFormat="1" ht="15" x14ac:dyDescent="0.2">
      <c r="A309" s="1856"/>
      <c r="B309" s="1856"/>
      <c r="C309" s="2099"/>
      <c r="D309" s="2100"/>
    </row>
    <row r="310" spans="1:4" s="1809" customFormat="1" ht="15" x14ac:dyDescent="0.2">
      <c r="A310" s="1856"/>
      <c r="B310" s="1856"/>
      <c r="C310" s="2099"/>
      <c r="D310" s="2100"/>
    </row>
    <row r="311" spans="1:4" s="1809" customFormat="1" ht="15" x14ac:dyDescent="0.2">
      <c r="A311" s="1856"/>
      <c r="B311" s="1856"/>
      <c r="C311" s="2099"/>
      <c r="D311" s="2100"/>
    </row>
    <row r="312" spans="1:4" s="1809" customFormat="1" ht="15" x14ac:dyDescent="0.2">
      <c r="A312" s="1856"/>
      <c r="B312" s="1856"/>
      <c r="C312" s="2099"/>
      <c r="D312" s="2100"/>
    </row>
    <row r="313" spans="1:4" s="1809" customFormat="1" ht="15" x14ac:dyDescent="0.2">
      <c r="A313" s="1856"/>
      <c r="B313" s="1856"/>
      <c r="C313" s="2099"/>
      <c r="D313" s="2100"/>
    </row>
    <row r="314" spans="1:4" s="1809" customFormat="1" ht="15" x14ac:dyDescent="0.2">
      <c r="A314" s="1856"/>
      <c r="B314" s="1856"/>
      <c r="C314" s="2099"/>
      <c r="D314" s="2100"/>
    </row>
    <row r="315" spans="1:4" s="1809" customFormat="1" ht="15" x14ac:dyDescent="0.2">
      <c r="A315" s="1856"/>
      <c r="B315" s="1856"/>
      <c r="C315" s="2099"/>
      <c r="D315" s="2100"/>
    </row>
    <row r="316" spans="1:4" s="1809" customFormat="1" ht="15" x14ac:dyDescent="0.2">
      <c r="A316" s="1856"/>
      <c r="B316" s="1856"/>
      <c r="C316" s="2099"/>
      <c r="D316" s="2100"/>
    </row>
    <row r="317" spans="1:4" s="1809" customFormat="1" ht="15" x14ac:dyDescent="0.2">
      <c r="A317" s="1856"/>
      <c r="B317" s="1856"/>
      <c r="C317" s="2099"/>
      <c r="D317" s="2100"/>
    </row>
    <row r="318" spans="1:4" s="1809" customFormat="1" ht="15" x14ac:dyDescent="0.2">
      <c r="A318" s="1856"/>
      <c r="B318" s="1856"/>
      <c r="C318" s="2099"/>
      <c r="D318" s="2100"/>
    </row>
    <row r="319" spans="1:4" s="1809" customFormat="1" ht="15" x14ac:dyDescent="0.2">
      <c r="A319" s="1856"/>
      <c r="B319" s="1856"/>
      <c r="C319" s="2099"/>
      <c r="D319" s="2100"/>
    </row>
    <row r="320" spans="1:4" s="1809" customFormat="1" ht="15" x14ac:dyDescent="0.2">
      <c r="A320" s="1856"/>
      <c r="B320" s="1856"/>
      <c r="C320" s="2099"/>
      <c r="D320" s="2100"/>
    </row>
    <row r="321" spans="1:4" s="1809" customFormat="1" ht="15" x14ac:dyDescent="0.2">
      <c r="A321" s="1856"/>
      <c r="B321" s="1856"/>
      <c r="C321" s="2099"/>
      <c r="D321" s="2100"/>
    </row>
    <row r="322" spans="1:4" s="1809" customFormat="1" ht="15" x14ac:dyDescent="0.2">
      <c r="A322" s="1856"/>
      <c r="B322" s="1856"/>
      <c r="C322" s="2099"/>
      <c r="D322" s="2100"/>
    </row>
    <row r="323" spans="1:4" s="1809" customFormat="1" ht="15" x14ac:dyDescent="0.2">
      <c r="A323" s="1856"/>
      <c r="B323" s="1856"/>
      <c r="C323" s="2099"/>
      <c r="D323" s="2100"/>
    </row>
    <row r="324" spans="1:4" s="1809" customFormat="1" ht="15" x14ac:dyDescent="0.2">
      <c r="A324" s="1856"/>
      <c r="B324" s="1856"/>
      <c r="C324" s="2099"/>
      <c r="D324" s="2100"/>
    </row>
    <row r="325" spans="1:4" s="1809" customFormat="1" ht="15" x14ac:dyDescent="0.2">
      <c r="A325" s="1856"/>
      <c r="B325" s="1856"/>
      <c r="C325" s="2099"/>
      <c r="D325" s="2100"/>
    </row>
    <row r="326" spans="1:4" s="1809" customFormat="1" ht="15" x14ac:dyDescent="0.2">
      <c r="A326" s="1856"/>
      <c r="B326" s="1856"/>
      <c r="C326" s="2099"/>
      <c r="D326" s="2100"/>
    </row>
    <row r="327" spans="1:4" s="1809" customFormat="1" ht="15" x14ac:dyDescent="0.2">
      <c r="A327" s="1856"/>
      <c r="B327" s="1856"/>
      <c r="C327" s="2099"/>
      <c r="D327" s="2100"/>
    </row>
    <row r="328" spans="1:4" s="1809" customFormat="1" ht="15" x14ac:dyDescent="0.2">
      <c r="A328" s="1856"/>
      <c r="B328" s="1856"/>
      <c r="C328" s="2099"/>
      <c r="D328" s="2100"/>
    </row>
    <row r="329" spans="1:4" s="1809" customFormat="1" ht="15" x14ac:dyDescent="0.2">
      <c r="A329" s="1856"/>
      <c r="B329" s="1856"/>
      <c r="C329" s="2099"/>
      <c r="D329" s="2100"/>
    </row>
    <row r="330" spans="1:4" s="1809" customFormat="1" ht="15" x14ac:dyDescent="0.2">
      <c r="A330" s="1856"/>
      <c r="B330" s="1856"/>
      <c r="C330" s="2099"/>
      <c r="D330" s="2100"/>
    </row>
    <row r="331" spans="1:4" s="1809" customFormat="1" ht="15" x14ac:dyDescent="0.2">
      <c r="A331" s="1856"/>
      <c r="B331" s="1856"/>
      <c r="C331" s="2099"/>
      <c r="D331" s="2100"/>
    </row>
    <row r="332" spans="1:4" s="1809" customFormat="1" ht="15" x14ac:dyDescent="0.2">
      <c r="A332" s="1856"/>
      <c r="B332" s="1856"/>
      <c r="C332" s="2099"/>
      <c r="D332" s="2100"/>
    </row>
    <row r="333" spans="1:4" s="1809" customFormat="1" ht="15" x14ac:dyDescent="0.2">
      <c r="A333" s="1856"/>
      <c r="B333" s="1856"/>
      <c r="C333" s="2099"/>
      <c r="D333" s="2100"/>
    </row>
    <row r="334" spans="1:4" s="1809" customFormat="1" ht="15" x14ac:dyDescent="0.2">
      <c r="A334" s="1856"/>
      <c r="B334" s="1856"/>
      <c r="C334" s="2099"/>
      <c r="D334" s="2100"/>
    </row>
    <row r="335" spans="1:4" s="1809" customFormat="1" ht="15" x14ac:dyDescent="0.2">
      <c r="A335" s="212"/>
      <c r="B335" s="212"/>
      <c r="C335" s="2101"/>
      <c r="D335" s="2101"/>
    </row>
    <row r="336" spans="1:4" s="1809" customFormat="1" ht="15" x14ac:dyDescent="0.2">
      <c r="A336" s="1856"/>
      <c r="B336" s="1856"/>
      <c r="C336" s="2099"/>
      <c r="D336" s="2100"/>
    </row>
    <row r="337" spans="1:4" s="1809" customFormat="1" ht="15" x14ac:dyDescent="0.2">
      <c r="A337" s="1856"/>
      <c r="B337" s="1856"/>
      <c r="C337" s="2099"/>
      <c r="D337" s="2100"/>
    </row>
    <row r="338" spans="1:4" s="1809" customFormat="1" ht="15" x14ac:dyDescent="0.2">
      <c r="A338" s="1856"/>
      <c r="B338" s="1856"/>
      <c r="C338" s="2099"/>
      <c r="D338" s="2100"/>
    </row>
    <row r="339" spans="1:4" s="1809" customFormat="1" ht="15" x14ac:dyDescent="0.2">
      <c r="A339" s="1856"/>
      <c r="B339" s="1856"/>
      <c r="C339" s="2099"/>
      <c r="D339" s="2100"/>
    </row>
    <row r="340" spans="1:4" s="1809" customFormat="1" ht="15" x14ac:dyDescent="0.2">
      <c r="A340" s="1856"/>
      <c r="B340" s="1856"/>
      <c r="C340" s="2099"/>
      <c r="D340" s="2100"/>
    </row>
    <row r="341" spans="1:4" s="1809" customFormat="1" ht="15" x14ac:dyDescent="0.2">
      <c r="A341" s="1856"/>
      <c r="B341" s="1856"/>
      <c r="C341" s="2099"/>
      <c r="D341" s="2100"/>
    </row>
    <row r="342" spans="1:4" s="1809" customFormat="1" ht="15" x14ac:dyDescent="0.2">
      <c r="A342" s="1856"/>
      <c r="B342" s="1856"/>
      <c r="C342" s="2099"/>
      <c r="D342" s="2100"/>
    </row>
    <row r="343" spans="1:4" s="1809" customFormat="1" ht="15" x14ac:dyDescent="0.2">
      <c r="A343" s="1856"/>
      <c r="B343" s="1856"/>
      <c r="C343" s="2099"/>
      <c r="D343" s="2100"/>
    </row>
    <row r="344" spans="1:4" s="1809" customFormat="1" ht="15" x14ac:dyDescent="0.2">
      <c r="A344" s="1856"/>
      <c r="B344" s="1856"/>
      <c r="C344" s="2099"/>
      <c r="D344" s="2100"/>
    </row>
    <row r="345" spans="1:4" s="1809" customFormat="1" ht="15" x14ac:dyDescent="0.2">
      <c r="A345" s="1856"/>
      <c r="B345" s="1856"/>
      <c r="C345" s="2099"/>
      <c r="D345" s="2100"/>
    </row>
    <row r="346" spans="1:4" s="1809" customFormat="1" ht="15" x14ac:dyDescent="0.2">
      <c r="A346" s="1856"/>
      <c r="B346" s="1856"/>
      <c r="C346" s="2099"/>
      <c r="D346" s="2100"/>
    </row>
    <row r="347" spans="1:4" s="1809" customFormat="1" ht="15" x14ac:dyDescent="0.2">
      <c r="A347" s="1856"/>
      <c r="B347" s="1856"/>
      <c r="C347" s="2099"/>
      <c r="D347" s="2100"/>
    </row>
    <row r="348" spans="1:4" s="1809" customFormat="1" ht="15" x14ac:dyDescent="0.2">
      <c r="A348" s="1856"/>
      <c r="B348" s="1856"/>
      <c r="C348" s="2099"/>
      <c r="D348" s="2100"/>
    </row>
    <row r="349" spans="1:4" s="1809" customFormat="1" ht="15" x14ac:dyDescent="0.2">
      <c r="A349" s="1856"/>
      <c r="B349" s="1856"/>
      <c r="C349" s="2099"/>
      <c r="D349" s="2100"/>
    </row>
    <row r="350" spans="1:4" s="1809" customFormat="1" ht="15" x14ac:dyDescent="0.2">
      <c r="A350" s="1856"/>
      <c r="B350" s="1856"/>
      <c r="C350" s="2099"/>
      <c r="D350" s="2100"/>
    </row>
    <row r="351" spans="1:4" s="1809" customFormat="1" ht="15" x14ac:dyDescent="0.2">
      <c r="A351" s="1856"/>
      <c r="B351" s="1856"/>
      <c r="C351" s="2099"/>
      <c r="D351" s="2100"/>
    </row>
    <row r="352" spans="1:4" s="1809" customFormat="1" ht="15" x14ac:dyDescent="0.2">
      <c r="A352" s="1856"/>
      <c r="B352" s="1856"/>
      <c r="C352" s="2099"/>
      <c r="D352" s="2100"/>
    </row>
    <row r="353" spans="1:4" s="1809" customFormat="1" ht="15" x14ac:dyDescent="0.2">
      <c r="A353" s="1856"/>
      <c r="B353" s="1856"/>
      <c r="C353" s="2099"/>
      <c r="D353" s="2100"/>
    </row>
    <row r="354" spans="1:4" s="1809" customFormat="1" ht="15" x14ac:dyDescent="0.2">
      <c r="A354" s="1856"/>
      <c r="B354" s="1856"/>
      <c r="C354" s="2099"/>
      <c r="D354" s="2100"/>
    </row>
    <row r="355" spans="1:4" s="1809" customFormat="1" ht="15" x14ac:dyDescent="0.2">
      <c r="A355" s="1856"/>
      <c r="B355" s="1856"/>
      <c r="C355" s="2099"/>
      <c r="D355" s="2100"/>
    </row>
    <row r="356" spans="1:4" s="1809" customFormat="1" ht="15" x14ac:dyDescent="0.2">
      <c r="A356" s="1856"/>
      <c r="B356" s="1856"/>
      <c r="C356" s="2099"/>
      <c r="D356" s="2100"/>
    </row>
    <row r="357" spans="1:4" s="1809" customFormat="1" ht="15" x14ac:dyDescent="0.2">
      <c r="A357" s="1856"/>
      <c r="B357" s="1856"/>
      <c r="C357" s="2099"/>
      <c r="D357" s="2100"/>
    </row>
    <row r="358" spans="1:4" s="1809" customFormat="1" ht="15" x14ac:dyDescent="0.2">
      <c r="A358" s="1856"/>
      <c r="B358" s="1856"/>
      <c r="C358" s="2099"/>
      <c r="D358" s="2100"/>
    </row>
    <row r="359" spans="1:4" s="1809" customFormat="1" ht="15" x14ac:dyDescent="0.2">
      <c r="A359" s="1856"/>
      <c r="B359" s="1856"/>
      <c r="C359" s="2099"/>
      <c r="D359" s="2100"/>
    </row>
    <row r="360" spans="1:4" s="1809" customFormat="1" ht="15" x14ac:dyDescent="0.2">
      <c r="A360" s="1856"/>
      <c r="B360" s="1856"/>
      <c r="C360" s="2099"/>
      <c r="D360" s="2100"/>
    </row>
    <row r="361" spans="1:4" s="1809" customFormat="1" ht="15" x14ac:dyDescent="0.2">
      <c r="A361" s="1856"/>
      <c r="B361" s="1856"/>
      <c r="C361" s="2099"/>
      <c r="D361" s="2100"/>
    </row>
    <row r="362" spans="1:4" s="1809" customFormat="1" ht="15" x14ac:dyDescent="0.2">
      <c r="A362" s="1856"/>
      <c r="B362" s="1856"/>
      <c r="C362" s="2099"/>
      <c r="D362" s="2100"/>
    </row>
    <row r="363" spans="1:4" s="1809" customFormat="1" ht="15" x14ac:dyDescent="0.2">
      <c r="A363" s="1856"/>
      <c r="B363" s="1856"/>
      <c r="C363" s="2099"/>
      <c r="D363" s="2100"/>
    </row>
    <row r="364" spans="1:4" s="1809" customFormat="1" ht="15" x14ac:dyDescent="0.2">
      <c r="A364" s="1856"/>
      <c r="B364" s="1856"/>
      <c r="C364" s="2099"/>
      <c r="D364" s="2100"/>
    </row>
    <row r="365" spans="1:4" s="1809" customFormat="1" ht="15" x14ac:dyDescent="0.2">
      <c r="A365" s="1856"/>
      <c r="B365" s="1856"/>
      <c r="C365" s="2099"/>
      <c r="D365" s="2100"/>
    </row>
    <row r="366" spans="1:4" s="1809" customFormat="1" ht="15" x14ac:dyDescent="0.2">
      <c r="A366" s="1856"/>
      <c r="B366" s="1856"/>
      <c r="C366" s="2099"/>
      <c r="D366" s="2100"/>
    </row>
    <row r="367" spans="1:4" s="1809" customFormat="1" ht="15" x14ac:dyDescent="0.2">
      <c r="A367" s="1856"/>
      <c r="B367" s="1856"/>
      <c r="C367" s="2099"/>
      <c r="D367" s="2100"/>
    </row>
    <row r="368" spans="1:4" s="1809" customFormat="1" ht="15" x14ac:dyDescent="0.2">
      <c r="A368" s="1856"/>
      <c r="B368" s="1856"/>
      <c r="C368" s="2099"/>
      <c r="D368" s="2100"/>
    </row>
    <row r="369" spans="1:4" s="1809" customFormat="1" ht="15" x14ac:dyDescent="0.2">
      <c r="A369" s="1856"/>
      <c r="B369" s="1856"/>
      <c r="C369" s="2099"/>
      <c r="D369" s="2100"/>
    </row>
    <row r="370" spans="1:4" s="1809" customFormat="1" ht="15" x14ac:dyDescent="0.2">
      <c r="A370" s="1856"/>
      <c r="B370" s="1856"/>
      <c r="C370" s="2099"/>
      <c r="D370" s="2100"/>
    </row>
    <row r="371" spans="1:4" s="1809" customFormat="1" ht="15" x14ac:dyDescent="0.2">
      <c r="A371" s="1856"/>
      <c r="B371" s="1856"/>
      <c r="C371" s="2099"/>
      <c r="D371" s="2100"/>
    </row>
    <row r="372" spans="1:4" s="1809" customFormat="1" ht="15" x14ac:dyDescent="0.2">
      <c r="A372" s="1856"/>
      <c r="B372" s="1856"/>
      <c r="C372" s="2099"/>
      <c r="D372" s="2100"/>
    </row>
    <row r="373" spans="1:4" s="1809" customFormat="1" ht="15" x14ac:dyDescent="0.2">
      <c r="A373" s="1856"/>
      <c r="B373" s="1856"/>
      <c r="C373" s="2099"/>
      <c r="D373" s="2100"/>
    </row>
    <row r="374" spans="1:4" s="1809" customFormat="1" ht="15" x14ac:dyDescent="0.2">
      <c r="A374" s="1856"/>
      <c r="B374" s="1856"/>
      <c r="C374" s="2099"/>
      <c r="D374" s="2100"/>
    </row>
    <row r="375" spans="1:4" s="1809" customFormat="1" ht="15" x14ac:dyDescent="0.2">
      <c r="A375" s="1856"/>
      <c r="B375" s="1856"/>
      <c r="C375" s="2099"/>
      <c r="D375" s="2100"/>
    </row>
    <row r="376" spans="1:4" s="1809" customFormat="1" ht="15" x14ac:dyDescent="0.2">
      <c r="A376" s="1856"/>
      <c r="B376" s="1856"/>
      <c r="C376" s="2099"/>
      <c r="D376" s="2100"/>
    </row>
    <row r="377" spans="1:4" s="1809" customFormat="1" ht="15" x14ac:dyDescent="0.2">
      <c r="A377" s="212"/>
      <c r="B377" s="212"/>
      <c r="C377" s="2101"/>
      <c r="D377" s="2101"/>
    </row>
    <row r="378" spans="1:4" s="1809" customFormat="1" ht="15" x14ac:dyDescent="0.2">
      <c r="A378" s="1856"/>
      <c r="B378" s="1856"/>
      <c r="C378" s="2099"/>
      <c r="D378" s="2100"/>
    </row>
    <row r="379" spans="1:4" s="1809" customFormat="1" ht="15" x14ac:dyDescent="0.2">
      <c r="A379" s="1856"/>
      <c r="B379" s="1856"/>
      <c r="C379" s="2099"/>
      <c r="D379" s="2100"/>
    </row>
    <row r="380" spans="1:4" s="1809" customFormat="1" ht="15" x14ac:dyDescent="0.2">
      <c r="A380" s="1856"/>
      <c r="B380" s="1856"/>
      <c r="C380" s="2099"/>
      <c r="D380" s="2100"/>
    </row>
    <row r="381" spans="1:4" s="1809" customFormat="1" ht="15" x14ac:dyDescent="0.2">
      <c r="A381" s="1856"/>
      <c r="B381" s="1856"/>
      <c r="C381" s="2099"/>
      <c r="D381" s="2100"/>
    </row>
    <row r="382" spans="1:4" s="1809" customFormat="1" ht="15" x14ac:dyDescent="0.2">
      <c r="A382" s="1856"/>
      <c r="B382" s="1856"/>
      <c r="C382" s="2099"/>
      <c r="D382" s="2100"/>
    </row>
    <row r="383" spans="1:4" s="1809" customFormat="1" ht="15" x14ac:dyDescent="0.2">
      <c r="A383" s="1856"/>
      <c r="B383" s="1856"/>
      <c r="C383" s="2099"/>
      <c r="D383" s="2100"/>
    </row>
    <row r="384" spans="1:4" s="1809" customFormat="1" ht="15" x14ac:dyDescent="0.2">
      <c r="A384" s="1856"/>
      <c r="B384" s="1856"/>
      <c r="C384" s="2099"/>
      <c r="D384" s="2100"/>
    </row>
    <row r="385" spans="1:4" s="1809" customFormat="1" ht="15" x14ac:dyDescent="0.2">
      <c r="A385" s="1856"/>
      <c r="B385" s="1856"/>
      <c r="C385" s="2099"/>
      <c r="D385" s="2100"/>
    </row>
    <row r="386" spans="1:4" s="1809" customFormat="1" ht="15" x14ac:dyDescent="0.2">
      <c r="A386" s="1856"/>
      <c r="B386" s="1856"/>
      <c r="C386" s="2099"/>
      <c r="D386" s="2100"/>
    </row>
    <row r="387" spans="1:4" s="1809" customFormat="1" ht="15" x14ac:dyDescent="0.2">
      <c r="A387" s="1856"/>
      <c r="B387" s="1856"/>
      <c r="C387" s="2099"/>
      <c r="D387" s="2100"/>
    </row>
    <row r="388" spans="1:4" s="1809" customFormat="1" ht="15" x14ac:dyDescent="0.2">
      <c r="A388" s="1856"/>
      <c r="B388" s="1856"/>
      <c r="C388" s="2099"/>
      <c r="D388" s="2100"/>
    </row>
    <row r="389" spans="1:4" s="1809" customFormat="1" ht="15" x14ac:dyDescent="0.2">
      <c r="A389" s="1856"/>
      <c r="B389" s="1856"/>
      <c r="C389" s="2099"/>
      <c r="D389" s="2100"/>
    </row>
    <row r="390" spans="1:4" s="1809" customFormat="1" ht="15" x14ac:dyDescent="0.2">
      <c r="A390" s="1856"/>
      <c r="B390" s="1856"/>
      <c r="C390" s="2099"/>
      <c r="D390" s="2100"/>
    </row>
    <row r="391" spans="1:4" s="1809" customFormat="1" ht="15" x14ac:dyDescent="0.2">
      <c r="A391" s="1856"/>
      <c r="B391" s="1856"/>
      <c r="C391" s="2099"/>
      <c r="D391" s="2100"/>
    </row>
    <row r="392" spans="1:4" s="1809" customFormat="1" ht="15" x14ac:dyDescent="0.2">
      <c r="A392" s="1856"/>
      <c r="B392" s="1856"/>
      <c r="C392" s="2099"/>
      <c r="D392" s="2100"/>
    </row>
    <row r="393" spans="1:4" s="1809" customFormat="1" ht="15" x14ac:dyDescent="0.2">
      <c r="A393" s="1856"/>
      <c r="B393" s="1856"/>
      <c r="C393" s="2099"/>
      <c r="D393" s="2100"/>
    </row>
    <row r="394" spans="1:4" s="1809" customFormat="1" ht="15" x14ac:dyDescent="0.2">
      <c r="A394" s="1856"/>
      <c r="B394" s="1856"/>
      <c r="C394" s="2099"/>
      <c r="D394" s="2100"/>
    </row>
    <row r="395" spans="1:4" s="1809" customFormat="1" ht="15" x14ac:dyDescent="0.2">
      <c r="A395" s="1856"/>
      <c r="B395" s="1856"/>
      <c r="C395" s="2099"/>
      <c r="D395" s="2100"/>
    </row>
    <row r="396" spans="1:4" s="1809" customFormat="1" ht="15" x14ac:dyDescent="0.2">
      <c r="A396" s="1856"/>
      <c r="B396" s="1856"/>
      <c r="C396" s="2099"/>
      <c r="D396" s="2100"/>
    </row>
    <row r="397" spans="1:4" s="1809" customFormat="1" ht="15" x14ac:dyDescent="0.2">
      <c r="A397" s="1856"/>
      <c r="B397" s="1856"/>
      <c r="C397" s="2099"/>
      <c r="D397" s="2100"/>
    </row>
    <row r="398" spans="1:4" s="1809" customFormat="1" ht="15" x14ac:dyDescent="0.2">
      <c r="A398" s="1856"/>
      <c r="B398" s="1856"/>
      <c r="C398" s="2099"/>
      <c r="D398" s="2100"/>
    </row>
    <row r="399" spans="1:4" s="1809" customFormat="1" ht="15" x14ac:dyDescent="0.2">
      <c r="A399" s="1856"/>
      <c r="B399" s="1856"/>
      <c r="C399" s="2099"/>
      <c r="D399" s="2100"/>
    </row>
    <row r="400" spans="1:4" s="1809" customFormat="1" ht="15" x14ac:dyDescent="0.2">
      <c r="A400" s="1856"/>
      <c r="B400" s="1856"/>
      <c r="C400" s="2099"/>
      <c r="D400" s="2100"/>
    </row>
    <row r="401" spans="1:4" s="1809" customFormat="1" ht="15" x14ac:dyDescent="0.2">
      <c r="A401" s="1856"/>
      <c r="B401" s="1856"/>
      <c r="C401" s="2099"/>
      <c r="D401" s="2100"/>
    </row>
    <row r="402" spans="1:4" s="1809" customFormat="1" ht="15" x14ac:dyDescent="0.2">
      <c r="A402" s="1856"/>
      <c r="B402" s="1856"/>
      <c r="C402" s="2099"/>
      <c r="D402" s="2100"/>
    </row>
    <row r="403" spans="1:4" s="1809" customFormat="1" ht="15" x14ac:dyDescent="0.2">
      <c r="A403" s="1856"/>
      <c r="B403" s="1856"/>
      <c r="C403" s="2099"/>
      <c r="D403" s="2100"/>
    </row>
    <row r="404" spans="1:4" s="1809" customFormat="1" ht="15" x14ac:dyDescent="0.2">
      <c r="A404" s="1856"/>
      <c r="B404" s="1856"/>
      <c r="C404" s="2099"/>
      <c r="D404" s="2100"/>
    </row>
    <row r="405" spans="1:4" s="1809" customFormat="1" ht="15" x14ac:dyDescent="0.2">
      <c r="A405" s="1856"/>
      <c r="B405" s="1856"/>
      <c r="C405" s="2099"/>
      <c r="D405" s="2100"/>
    </row>
    <row r="406" spans="1:4" s="1809" customFormat="1" ht="15" x14ac:dyDescent="0.2">
      <c r="A406" s="1856"/>
      <c r="B406" s="1856"/>
      <c r="C406" s="2099"/>
      <c r="D406" s="2100"/>
    </row>
    <row r="407" spans="1:4" s="1809" customFormat="1" ht="15" x14ac:dyDescent="0.2">
      <c r="A407" s="1856"/>
      <c r="B407" s="1856"/>
      <c r="C407" s="2099"/>
      <c r="D407" s="2100"/>
    </row>
    <row r="408" spans="1:4" s="1809" customFormat="1" ht="15" x14ac:dyDescent="0.2">
      <c r="A408" s="1856"/>
      <c r="B408" s="1856"/>
      <c r="C408" s="2099"/>
      <c r="D408" s="2100"/>
    </row>
    <row r="409" spans="1:4" s="1809" customFormat="1" ht="15" x14ac:dyDescent="0.2">
      <c r="A409" s="1856"/>
      <c r="B409" s="1856"/>
      <c r="C409" s="2099"/>
      <c r="D409" s="2100"/>
    </row>
    <row r="410" spans="1:4" s="1809" customFormat="1" ht="15" x14ac:dyDescent="0.2">
      <c r="A410" s="1856"/>
      <c r="B410" s="1856"/>
      <c r="C410" s="2099"/>
      <c r="D410" s="2100"/>
    </row>
    <row r="411" spans="1:4" s="1809" customFormat="1" ht="15" x14ac:dyDescent="0.2">
      <c r="A411" s="1856"/>
      <c r="B411" s="1856"/>
      <c r="C411" s="2099"/>
      <c r="D411" s="2100"/>
    </row>
    <row r="412" spans="1:4" s="1809" customFormat="1" ht="15" x14ac:dyDescent="0.2">
      <c r="A412" s="1856"/>
      <c r="B412" s="1856"/>
      <c r="C412" s="2099"/>
      <c r="D412" s="2100"/>
    </row>
    <row r="413" spans="1:4" s="1809" customFormat="1" ht="15" x14ac:dyDescent="0.2">
      <c r="A413" s="1856"/>
      <c r="B413" s="1856"/>
      <c r="C413" s="2099"/>
      <c r="D413" s="2100"/>
    </row>
    <row r="414" spans="1:4" s="1809" customFormat="1" ht="15" x14ac:dyDescent="0.2">
      <c r="A414" s="1856"/>
      <c r="B414" s="1856"/>
      <c r="C414" s="2099"/>
      <c r="D414" s="2100"/>
    </row>
    <row r="415" spans="1:4" s="1809" customFormat="1" ht="15" x14ac:dyDescent="0.2">
      <c r="A415" s="1856"/>
      <c r="B415" s="1856"/>
      <c r="C415" s="2099"/>
      <c r="D415" s="2100"/>
    </row>
    <row r="416" spans="1:4" s="1809" customFormat="1" ht="15" x14ac:dyDescent="0.2">
      <c r="A416" s="1797"/>
      <c r="B416" s="1856"/>
      <c r="C416" s="2099"/>
      <c r="D416" s="2100"/>
    </row>
    <row r="417" spans="1:4" s="1809" customFormat="1" ht="15" x14ac:dyDescent="0.2">
      <c r="A417" s="212"/>
      <c r="B417" s="212"/>
      <c r="C417" s="2101"/>
      <c r="D417" s="2101"/>
    </row>
    <row r="418" spans="1:4" s="1809" customFormat="1" ht="15" x14ac:dyDescent="0.2">
      <c r="A418" s="1856"/>
      <c r="B418" s="1856"/>
      <c r="C418" s="2099"/>
      <c r="D418" s="2100"/>
    </row>
    <row r="419" spans="1:4" s="1809" customFormat="1" ht="15" x14ac:dyDescent="0.2">
      <c r="A419" s="1856"/>
      <c r="B419" s="1856"/>
      <c r="C419" s="2099"/>
      <c r="D419" s="2100"/>
    </row>
    <row r="420" spans="1:4" s="1809" customFormat="1" ht="15" x14ac:dyDescent="0.2">
      <c r="A420" s="1856"/>
      <c r="B420" s="1856"/>
      <c r="C420" s="2099"/>
      <c r="D420" s="2100"/>
    </row>
    <row r="421" spans="1:4" s="1809" customFormat="1" ht="15" x14ac:dyDescent="0.2">
      <c r="A421" s="1856"/>
      <c r="B421" s="1856"/>
      <c r="C421" s="2099"/>
      <c r="D421" s="2100"/>
    </row>
    <row r="422" spans="1:4" s="1809" customFormat="1" ht="15" x14ac:dyDescent="0.2">
      <c r="A422" s="1856"/>
      <c r="B422" s="1856"/>
      <c r="C422" s="2099"/>
      <c r="D422" s="2100"/>
    </row>
    <row r="423" spans="1:4" s="1809" customFormat="1" ht="15" x14ac:dyDescent="0.2">
      <c r="A423" s="1856"/>
      <c r="B423" s="1856"/>
      <c r="C423" s="2099"/>
      <c r="D423" s="2100"/>
    </row>
    <row r="424" spans="1:4" s="1809" customFormat="1" ht="15" x14ac:dyDescent="0.2">
      <c r="A424" s="1856"/>
      <c r="B424" s="1856"/>
      <c r="C424" s="2099"/>
      <c r="D424" s="2100"/>
    </row>
    <row r="425" spans="1:4" s="1809" customFormat="1" ht="15" x14ac:dyDescent="0.2">
      <c r="A425" s="1856"/>
      <c r="B425" s="1856"/>
      <c r="C425" s="2099"/>
      <c r="D425" s="2100"/>
    </row>
    <row r="426" spans="1:4" s="1809" customFormat="1" ht="15" x14ac:dyDescent="0.2">
      <c r="A426" s="1856"/>
      <c r="B426" s="1856"/>
      <c r="C426" s="2099"/>
      <c r="D426" s="2100"/>
    </row>
    <row r="427" spans="1:4" s="1809" customFormat="1" ht="15" x14ac:dyDescent="0.2">
      <c r="A427" s="1856"/>
      <c r="B427" s="1856"/>
      <c r="C427" s="2099"/>
      <c r="D427" s="2100"/>
    </row>
    <row r="428" spans="1:4" s="1809" customFormat="1" ht="15" x14ac:dyDescent="0.2">
      <c r="A428" s="1856"/>
      <c r="B428" s="1856"/>
      <c r="C428" s="2099"/>
      <c r="D428" s="2100"/>
    </row>
    <row r="429" spans="1:4" s="1809" customFormat="1" ht="15" x14ac:dyDescent="0.2">
      <c r="A429" s="1856"/>
      <c r="B429" s="1856"/>
      <c r="C429" s="2099"/>
      <c r="D429" s="2100"/>
    </row>
    <row r="430" spans="1:4" s="1809" customFormat="1" ht="15" x14ac:dyDescent="0.2">
      <c r="A430" s="1856"/>
      <c r="B430" s="1856"/>
      <c r="C430" s="2099"/>
      <c r="D430" s="2100"/>
    </row>
    <row r="431" spans="1:4" s="1809" customFormat="1" ht="15" x14ac:dyDescent="0.2">
      <c r="A431" s="1856"/>
      <c r="B431" s="1856"/>
      <c r="C431" s="2099"/>
      <c r="D431" s="2100"/>
    </row>
    <row r="432" spans="1:4" s="1809" customFormat="1" ht="15" x14ac:dyDescent="0.2">
      <c r="A432" s="1856"/>
      <c r="B432" s="1856"/>
      <c r="C432" s="2099"/>
      <c r="D432" s="2100"/>
    </row>
    <row r="433" spans="1:4" s="1809" customFormat="1" ht="15" x14ac:dyDescent="0.2">
      <c r="A433" s="1856"/>
      <c r="B433" s="1856"/>
      <c r="C433" s="2099"/>
      <c r="D433" s="2100"/>
    </row>
    <row r="434" spans="1:4" s="1809" customFormat="1" ht="15" x14ac:dyDescent="0.2">
      <c r="A434" s="1856"/>
      <c r="B434" s="1856"/>
      <c r="C434" s="2099"/>
      <c r="D434" s="2100"/>
    </row>
    <row r="435" spans="1:4" s="1809" customFormat="1" ht="15" x14ac:dyDescent="0.2">
      <c r="A435" s="1856"/>
      <c r="B435" s="1856"/>
      <c r="C435" s="2099"/>
      <c r="D435" s="2100"/>
    </row>
    <row r="436" spans="1:4" s="1809" customFormat="1" ht="15" x14ac:dyDescent="0.2">
      <c r="A436" s="1856"/>
      <c r="B436" s="1856"/>
      <c r="C436" s="2099"/>
      <c r="D436" s="2100"/>
    </row>
    <row r="437" spans="1:4" s="1809" customFormat="1" ht="15" x14ac:dyDescent="0.2">
      <c r="A437" s="1856"/>
      <c r="B437" s="1856"/>
      <c r="C437" s="2099"/>
      <c r="D437" s="2100"/>
    </row>
    <row r="438" spans="1:4" s="1809" customFormat="1" ht="15" x14ac:dyDescent="0.2">
      <c r="A438" s="1856"/>
      <c r="B438" s="1856"/>
      <c r="C438" s="2099"/>
      <c r="D438" s="2100"/>
    </row>
    <row r="439" spans="1:4" s="1809" customFormat="1" ht="15" x14ac:dyDescent="0.2">
      <c r="A439" s="1856"/>
      <c r="B439" s="1856"/>
      <c r="C439" s="2099"/>
      <c r="D439" s="2100"/>
    </row>
    <row r="440" spans="1:4" s="1809" customFormat="1" ht="15" x14ac:dyDescent="0.2">
      <c r="A440" s="1856"/>
      <c r="B440" s="1856"/>
      <c r="C440" s="2099"/>
      <c r="D440" s="2100"/>
    </row>
    <row r="441" spans="1:4" s="1809" customFormat="1" ht="15" x14ac:dyDescent="0.2">
      <c r="A441" s="1856"/>
      <c r="B441" s="1856"/>
      <c r="C441" s="2099"/>
      <c r="D441" s="2100"/>
    </row>
    <row r="442" spans="1:4" s="1809" customFormat="1" ht="15" x14ac:dyDescent="0.2">
      <c r="A442" s="1856"/>
      <c r="B442" s="1856"/>
      <c r="C442" s="2099"/>
      <c r="D442" s="2100"/>
    </row>
    <row r="443" spans="1:4" s="1809" customFormat="1" ht="15" x14ac:dyDescent="0.2">
      <c r="A443" s="1856"/>
      <c r="B443" s="1856"/>
      <c r="C443" s="2099"/>
      <c r="D443" s="2100"/>
    </row>
    <row r="444" spans="1:4" s="1809" customFormat="1" ht="15" x14ac:dyDescent="0.2">
      <c r="A444" s="1856"/>
      <c r="B444" s="1856"/>
      <c r="C444" s="2099"/>
      <c r="D444" s="2100"/>
    </row>
    <row r="445" spans="1:4" s="1809" customFormat="1" ht="15" x14ac:dyDescent="0.2">
      <c r="A445" s="1856"/>
      <c r="B445" s="1856"/>
      <c r="C445" s="2099"/>
      <c r="D445" s="2100"/>
    </row>
    <row r="446" spans="1:4" s="1809" customFormat="1" ht="15" x14ac:dyDescent="0.2">
      <c r="A446" s="1856"/>
      <c r="B446" s="1856"/>
      <c r="C446" s="2099"/>
      <c r="D446" s="2100"/>
    </row>
    <row r="447" spans="1:4" s="1809" customFormat="1" ht="15" x14ac:dyDescent="0.2">
      <c r="A447" s="1856"/>
      <c r="B447" s="1856"/>
      <c r="C447" s="2099"/>
      <c r="D447" s="2100"/>
    </row>
    <row r="448" spans="1:4" s="1809" customFormat="1" ht="15" x14ac:dyDescent="0.2">
      <c r="A448" s="1856"/>
      <c r="B448" s="1856"/>
      <c r="C448" s="2099"/>
      <c r="D448" s="2100"/>
    </row>
    <row r="449" spans="1:4" s="1809" customFormat="1" ht="15" x14ac:dyDescent="0.2">
      <c r="A449" s="1856"/>
      <c r="B449" s="1856"/>
      <c r="C449" s="2099"/>
      <c r="D449" s="2100"/>
    </row>
    <row r="450" spans="1:4" s="1809" customFormat="1" ht="15" x14ac:dyDescent="0.2">
      <c r="A450" s="1856"/>
      <c r="B450" s="1856"/>
      <c r="C450" s="2099"/>
      <c r="D450" s="2100"/>
    </row>
    <row r="451" spans="1:4" s="1809" customFormat="1" ht="15" x14ac:dyDescent="0.2">
      <c r="A451" s="1856"/>
      <c r="B451" s="1856"/>
      <c r="C451" s="2099"/>
      <c r="D451" s="2100"/>
    </row>
    <row r="452" spans="1:4" s="1809" customFormat="1" ht="15" x14ac:dyDescent="0.2">
      <c r="A452" s="1856"/>
      <c r="B452" s="1856"/>
      <c r="C452" s="2099"/>
      <c r="D452" s="2100"/>
    </row>
    <row r="453" spans="1:4" s="1809" customFormat="1" ht="15" x14ac:dyDescent="0.2">
      <c r="A453" s="1856"/>
      <c r="B453" s="1856"/>
      <c r="C453" s="2099"/>
      <c r="D453" s="2100"/>
    </row>
    <row r="454" spans="1:4" s="1809" customFormat="1" ht="15" x14ac:dyDescent="0.2">
      <c r="A454" s="1856"/>
      <c r="B454" s="1856"/>
      <c r="C454" s="2099"/>
      <c r="D454" s="2100"/>
    </row>
    <row r="455" spans="1:4" s="1809" customFormat="1" ht="15" x14ac:dyDescent="0.2">
      <c r="A455" s="1856"/>
      <c r="B455" s="1856"/>
      <c r="C455" s="2099"/>
      <c r="D455" s="2100"/>
    </row>
    <row r="456" spans="1:4" s="1809" customFormat="1" ht="15" x14ac:dyDescent="0.2">
      <c r="A456" s="1856"/>
      <c r="B456" s="1856"/>
      <c r="C456" s="2099"/>
      <c r="D456" s="2100"/>
    </row>
    <row r="457" spans="1:4" s="1809" customFormat="1" ht="15" x14ac:dyDescent="0.2">
      <c r="A457" s="1856"/>
      <c r="B457" s="1856"/>
      <c r="C457" s="2099"/>
      <c r="D457" s="2100"/>
    </row>
    <row r="458" spans="1:4" s="1809" customFormat="1" ht="15" x14ac:dyDescent="0.2">
      <c r="A458" s="1856"/>
      <c r="B458" s="1856"/>
      <c r="C458" s="2099"/>
      <c r="D458" s="2100"/>
    </row>
    <row r="459" spans="1:4" s="1809" customFormat="1" ht="15" x14ac:dyDescent="0.2">
      <c r="A459" s="212"/>
      <c r="B459" s="212"/>
      <c r="C459" s="2101"/>
      <c r="D459" s="2101"/>
    </row>
    <row r="460" spans="1:4" s="1809" customFormat="1" ht="15" x14ac:dyDescent="0.2">
      <c r="A460" s="1856"/>
      <c r="B460" s="1856"/>
      <c r="C460" s="2099"/>
      <c r="D460" s="2100"/>
    </row>
    <row r="461" spans="1:4" s="1809" customFormat="1" ht="15" x14ac:dyDescent="0.2">
      <c r="A461" s="1856"/>
      <c r="B461" s="1856"/>
      <c r="C461" s="2099"/>
      <c r="D461" s="2100"/>
    </row>
    <row r="462" spans="1:4" s="1809" customFormat="1" ht="15" x14ac:dyDescent="0.2">
      <c r="A462" s="1856"/>
      <c r="B462" s="1856"/>
      <c r="C462" s="2099"/>
      <c r="D462" s="2100"/>
    </row>
    <row r="463" spans="1:4" s="1809" customFormat="1" ht="15" x14ac:dyDescent="0.2">
      <c r="A463" s="1856"/>
      <c r="B463" s="1856"/>
      <c r="C463" s="2099"/>
      <c r="D463" s="2100"/>
    </row>
    <row r="464" spans="1:4" s="1809" customFormat="1" ht="15" x14ac:dyDescent="0.2">
      <c r="A464" s="1856"/>
      <c r="B464" s="1856"/>
      <c r="C464" s="2099"/>
      <c r="D464" s="2100"/>
    </row>
    <row r="465" spans="1:4" s="1809" customFormat="1" ht="15" x14ac:dyDescent="0.2">
      <c r="A465" s="1856"/>
      <c r="B465" s="1856"/>
      <c r="C465" s="2099"/>
      <c r="D465" s="2100"/>
    </row>
    <row r="466" spans="1:4" s="1809" customFormat="1" ht="15" x14ac:dyDescent="0.2">
      <c r="A466" s="1856"/>
      <c r="B466" s="1856"/>
      <c r="C466" s="2099"/>
      <c r="D466" s="2100"/>
    </row>
    <row r="467" spans="1:4" s="1809" customFormat="1" ht="15" x14ac:dyDescent="0.2">
      <c r="A467" s="1856"/>
      <c r="B467" s="1856"/>
      <c r="C467" s="2099"/>
      <c r="D467" s="2100"/>
    </row>
    <row r="468" spans="1:4" s="1809" customFormat="1" ht="15" x14ac:dyDescent="0.2">
      <c r="A468" s="1856"/>
      <c r="B468" s="1856"/>
      <c r="C468" s="2099"/>
      <c r="D468" s="2100"/>
    </row>
    <row r="469" spans="1:4" s="1809" customFormat="1" ht="15" x14ac:dyDescent="0.2">
      <c r="A469" s="1856"/>
      <c r="B469" s="1856"/>
      <c r="C469" s="2099"/>
      <c r="D469" s="2100"/>
    </row>
    <row r="470" spans="1:4" s="1809" customFormat="1" ht="15" x14ac:dyDescent="0.2">
      <c r="A470" s="1856"/>
      <c r="B470" s="1856"/>
      <c r="C470" s="2099"/>
      <c r="D470" s="2100"/>
    </row>
    <row r="471" spans="1:4" s="1809" customFormat="1" ht="15" x14ac:dyDescent="0.2">
      <c r="A471" s="1856"/>
      <c r="B471" s="1856"/>
      <c r="C471" s="2099"/>
      <c r="D471" s="2100"/>
    </row>
    <row r="472" spans="1:4" s="1809" customFormat="1" ht="15" x14ac:dyDescent="0.2">
      <c r="A472" s="1856"/>
      <c r="B472" s="1785"/>
      <c r="C472" s="2099"/>
      <c r="D472" s="2100"/>
    </row>
    <row r="473" spans="1:4" s="1809" customFormat="1" ht="15" x14ac:dyDescent="0.2">
      <c r="A473" s="1856"/>
      <c r="B473" s="1856"/>
      <c r="C473" s="2099"/>
      <c r="D473" s="2100"/>
    </row>
    <row r="474" spans="1:4" s="1809" customFormat="1" ht="15" x14ac:dyDescent="0.2">
      <c r="A474" s="1856"/>
      <c r="B474" s="1856"/>
      <c r="C474" s="2099"/>
      <c r="D474" s="2100"/>
    </row>
    <row r="475" spans="1:4" ht="15" x14ac:dyDescent="0.2">
      <c r="A475" s="1856"/>
      <c r="B475" s="1856"/>
      <c r="C475" s="2099"/>
      <c r="D475" s="2100"/>
    </row>
    <row r="476" spans="1:4" s="1809" customFormat="1" ht="15" x14ac:dyDescent="0.2">
      <c r="A476" s="1856"/>
      <c r="B476" s="1856"/>
      <c r="C476" s="2099"/>
      <c r="D476" s="2100"/>
    </row>
    <row r="477" spans="1:4" ht="15" x14ac:dyDescent="0.2">
      <c r="A477" s="1856"/>
      <c r="B477" s="1856"/>
      <c r="C477" s="2099"/>
      <c r="D477" s="2100"/>
    </row>
    <row r="478" spans="1:4" s="1809" customFormat="1" ht="15" x14ac:dyDescent="0.2">
      <c r="A478" s="1856"/>
      <c r="B478" s="1856"/>
      <c r="C478" s="2099"/>
      <c r="D478" s="2100"/>
    </row>
    <row r="479" spans="1:4" s="1809" customFormat="1" ht="15" x14ac:dyDescent="0.2">
      <c r="A479" s="1856"/>
      <c r="B479" s="1785"/>
      <c r="C479" s="2099"/>
      <c r="D479" s="2100"/>
    </row>
    <row r="480" spans="1:4" s="1809" customFormat="1" ht="15" x14ac:dyDescent="0.2">
      <c r="A480" s="1856"/>
      <c r="B480" s="1856"/>
      <c r="C480" s="2099"/>
      <c r="D480" s="2100"/>
    </row>
    <row r="481" spans="1:4" s="1809" customFormat="1" ht="15" x14ac:dyDescent="0.2">
      <c r="A481" s="1856"/>
      <c r="B481" s="1856"/>
      <c r="C481" s="2099"/>
      <c r="D481" s="2100"/>
    </row>
    <row r="482" spans="1:4" s="1809" customFormat="1" ht="15" x14ac:dyDescent="0.2">
      <c r="A482" s="1856"/>
      <c r="B482" s="1856"/>
      <c r="C482" s="2099"/>
      <c r="D482" s="2100"/>
    </row>
    <row r="483" spans="1:4" s="1809" customFormat="1" ht="15" x14ac:dyDescent="0.2">
      <c r="A483" s="1856"/>
      <c r="B483" s="1856"/>
      <c r="C483" s="2099"/>
      <c r="D483" s="2100"/>
    </row>
    <row r="484" spans="1:4" s="1809" customFormat="1" ht="15" x14ac:dyDescent="0.2">
      <c r="A484" s="1856"/>
      <c r="B484" s="1856"/>
      <c r="C484" s="2099"/>
      <c r="D484" s="2100"/>
    </row>
    <row r="485" spans="1:4" s="1809" customFormat="1" ht="15" x14ac:dyDescent="0.2">
      <c r="A485" s="1856"/>
      <c r="B485" s="1856"/>
      <c r="C485" s="2099"/>
      <c r="D485" s="2100"/>
    </row>
    <row r="486" spans="1:4" s="1809" customFormat="1" ht="15" x14ac:dyDescent="0.2">
      <c r="A486" s="1856"/>
      <c r="B486" s="1856"/>
      <c r="C486" s="2099"/>
      <c r="D486" s="2100"/>
    </row>
    <row r="487" spans="1:4" s="1809" customFormat="1" ht="15" x14ac:dyDescent="0.2">
      <c r="A487" s="1856"/>
      <c r="B487" s="1856"/>
      <c r="C487" s="2099"/>
      <c r="D487" s="2100"/>
    </row>
    <row r="488" spans="1:4" s="1809" customFormat="1" ht="15" x14ac:dyDescent="0.2">
      <c r="A488" s="1856"/>
      <c r="B488" s="1856"/>
      <c r="C488" s="2099"/>
      <c r="D488" s="2100"/>
    </row>
    <row r="489" spans="1:4" s="1809" customFormat="1" ht="15" x14ac:dyDescent="0.2">
      <c r="A489" s="1856"/>
      <c r="B489" s="1856"/>
      <c r="C489" s="2099"/>
      <c r="D489" s="2100"/>
    </row>
    <row r="490" spans="1:4" s="1809" customFormat="1" ht="15" x14ac:dyDescent="0.2">
      <c r="A490" s="1856"/>
      <c r="B490" s="1856"/>
      <c r="C490" s="2099"/>
      <c r="D490" s="2100"/>
    </row>
    <row r="491" spans="1:4" s="1809" customFormat="1" ht="15" x14ac:dyDescent="0.2">
      <c r="A491" s="1856"/>
      <c r="B491" s="1856"/>
      <c r="C491" s="2099"/>
      <c r="D491" s="2100"/>
    </row>
    <row r="492" spans="1:4" s="1809" customFormat="1" ht="15" x14ac:dyDescent="0.2">
      <c r="A492" s="1856"/>
      <c r="B492" s="1856"/>
      <c r="C492" s="2099"/>
      <c r="D492" s="2100"/>
    </row>
    <row r="493" spans="1:4" s="1809" customFormat="1" ht="15" x14ac:dyDescent="0.2">
      <c r="A493" s="1856"/>
      <c r="B493" s="1856"/>
      <c r="C493" s="2099"/>
      <c r="D493" s="2100"/>
    </row>
    <row r="494" spans="1:4" s="1809" customFormat="1" ht="15" x14ac:dyDescent="0.2">
      <c r="A494" s="1856"/>
      <c r="B494" s="1856"/>
      <c r="C494" s="2099"/>
      <c r="D494" s="2100"/>
    </row>
    <row r="495" spans="1:4" s="1809" customFormat="1" ht="15" x14ac:dyDescent="0.2">
      <c r="A495" s="1856"/>
      <c r="B495" s="1856"/>
      <c r="C495" s="2099"/>
      <c r="D495" s="2100"/>
    </row>
    <row r="496" spans="1:4" s="1809" customFormat="1" ht="15" x14ac:dyDescent="0.2">
      <c r="A496" s="1856"/>
      <c r="B496" s="1856"/>
      <c r="C496" s="2099"/>
      <c r="D496" s="2100"/>
    </row>
    <row r="497" spans="1:4" s="1809" customFormat="1" ht="15" x14ac:dyDescent="0.2">
      <c r="A497" s="1856"/>
      <c r="B497" s="1856"/>
      <c r="C497" s="2099"/>
      <c r="D497" s="2100"/>
    </row>
    <row r="498" spans="1:4" s="1809" customFormat="1" ht="15" x14ac:dyDescent="0.2">
      <c r="A498" s="212"/>
      <c r="B498" s="212"/>
      <c r="C498" s="2101"/>
      <c r="D498" s="2101"/>
    </row>
    <row r="499" spans="1:4" s="1809" customFormat="1" ht="15" x14ac:dyDescent="0.2">
      <c r="A499" s="1856"/>
      <c r="B499" s="1856"/>
      <c r="C499" s="2099"/>
      <c r="D499" s="2100"/>
    </row>
    <row r="500" spans="1:4" s="1809" customFormat="1" ht="15" x14ac:dyDescent="0.2">
      <c r="A500" s="1856"/>
      <c r="B500" s="1856"/>
      <c r="C500" s="2099"/>
      <c r="D500" s="2100"/>
    </row>
    <row r="501" spans="1:4" s="1809" customFormat="1" ht="15" x14ac:dyDescent="0.2">
      <c r="A501" s="1856"/>
      <c r="B501" s="1856"/>
      <c r="C501" s="2099"/>
      <c r="D501" s="2100"/>
    </row>
    <row r="502" spans="1:4" s="1809" customFormat="1" ht="15" x14ac:dyDescent="0.2">
      <c r="A502" s="1856"/>
      <c r="B502" s="1856"/>
      <c r="C502" s="2099"/>
      <c r="D502" s="2100"/>
    </row>
    <row r="503" spans="1:4" s="1809" customFormat="1" ht="15" x14ac:dyDescent="0.2">
      <c r="A503" s="1856"/>
      <c r="B503" s="1856"/>
      <c r="C503" s="2099"/>
      <c r="D503" s="2100"/>
    </row>
    <row r="504" spans="1:4" s="1809" customFormat="1" ht="15" x14ac:dyDescent="0.2">
      <c r="A504" s="1856"/>
      <c r="B504" s="1856"/>
      <c r="C504" s="2099"/>
      <c r="D504" s="2100"/>
    </row>
    <row r="505" spans="1:4" s="1809" customFormat="1" ht="15" x14ac:dyDescent="0.2">
      <c r="A505" s="1856"/>
      <c r="B505" s="1856"/>
      <c r="C505" s="2099"/>
      <c r="D505" s="2100"/>
    </row>
    <row r="506" spans="1:4" s="1809" customFormat="1" ht="15" x14ac:dyDescent="0.2">
      <c r="A506" s="1856"/>
      <c r="B506" s="1856"/>
      <c r="C506" s="2099"/>
      <c r="D506" s="2100"/>
    </row>
    <row r="507" spans="1:4" s="1809" customFormat="1" ht="15" x14ac:dyDescent="0.2">
      <c r="A507" s="1856"/>
      <c r="B507" s="1856"/>
      <c r="C507" s="2099"/>
      <c r="D507" s="2100"/>
    </row>
    <row r="508" spans="1:4" s="1809" customFormat="1" ht="15" x14ac:dyDescent="0.2">
      <c r="A508" s="1856"/>
      <c r="B508" s="1856"/>
      <c r="C508" s="2099"/>
      <c r="D508" s="2100"/>
    </row>
    <row r="509" spans="1:4" s="1809" customFormat="1" ht="15" x14ac:dyDescent="0.2">
      <c r="A509" s="1856"/>
      <c r="B509" s="1856"/>
      <c r="C509" s="2099"/>
      <c r="D509" s="2100"/>
    </row>
    <row r="510" spans="1:4" s="1809" customFormat="1" ht="15" x14ac:dyDescent="0.2">
      <c r="A510" s="1856"/>
      <c r="B510" s="1856"/>
      <c r="C510" s="2099"/>
      <c r="D510" s="2100"/>
    </row>
    <row r="511" spans="1:4" s="1809" customFormat="1" ht="15" x14ac:dyDescent="0.2">
      <c r="A511" s="1856"/>
      <c r="B511" s="1856"/>
      <c r="C511" s="2099"/>
      <c r="D511" s="2100"/>
    </row>
    <row r="512" spans="1:4" s="1809" customFormat="1" ht="15" x14ac:dyDescent="0.2">
      <c r="A512" s="1856"/>
      <c r="B512" s="1856"/>
      <c r="C512" s="2099"/>
      <c r="D512" s="2100"/>
    </row>
    <row r="513" spans="1:4" s="1809" customFormat="1" ht="15" x14ac:dyDescent="0.2">
      <c r="A513" s="1856"/>
      <c r="B513" s="1856"/>
      <c r="C513" s="2099"/>
      <c r="D513" s="2100"/>
    </row>
    <row r="514" spans="1:4" s="1809" customFormat="1" ht="15" x14ac:dyDescent="0.2">
      <c r="A514" s="1856"/>
      <c r="B514" s="1856"/>
      <c r="C514" s="2099"/>
      <c r="D514" s="2100"/>
    </row>
    <row r="515" spans="1:4" s="1809" customFormat="1" ht="15" x14ac:dyDescent="0.2">
      <c r="A515" s="1856"/>
      <c r="B515" s="1856"/>
      <c r="C515" s="2099"/>
      <c r="D515" s="2100"/>
    </row>
    <row r="516" spans="1:4" s="1809" customFormat="1" ht="15" x14ac:dyDescent="0.2">
      <c r="A516" s="1856"/>
      <c r="B516" s="1856"/>
      <c r="C516" s="2099"/>
      <c r="D516" s="2100"/>
    </row>
    <row r="517" spans="1:4" s="1809" customFormat="1" ht="15" x14ac:dyDescent="0.2">
      <c r="A517" s="1856"/>
      <c r="B517" s="1856"/>
      <c r="C517" s="2099"/>
      <c r="D517" s="2100"/>
    </row>
    <row r="518" spans="1:4" s="1809" customFormat="1" ht="15" x14ac:dyDescent="0.2">
      <c r="A518" s="1856"/>
      <c r="B518" s="1856"/>
      <c r="C518" s="2099"/>
      <c r="D518" s="2100"/>
    </row>
    <row r="519" spans="1:4" s="1809" customFormat="1" ht="15" x14ac:dyDescent="0.2">
      <c r="A519" s="1856"/>
      <c r="B519" s="1856"/>
      <c r="C519" s="2099"/>
      <c r="D519" s="2100"/>
    </row>
    <row r="520" spans="1:4" s="1809" customFormat="1" ht="15" x14ac:dyDescent="0.2">
      <c r="A520" s="1856"/>
      <c r="B520" s="1785"/>
      <c r="C520" s="2099"/>
      <c r="D520" s="2100"/>
    </row>
    <row r="521" spans="1:4" s="1809" customFormat="1" ht="15" x14ac:dyDescent="0.2">
      <c r="A521" s="1856"/>
      <c r="B521" s="1856"/>
      <c r="C521" s="2099"/>
      <c r="D521" s="2100"/>
    </row>
    <row r="522" spans="1:4" s="1809" customFormat="1" ht="15" x14ac:dyDescent="0.2">
      <c r="A522" s="1856"/>
      <c r="B522" s="1856"/>
      <c r="C522" s="2099"/>
      <c r="D522" s="2100"/>
    </row>
    <row r="523" spans="1:4" s="1809" customFormat="1" ht="15" x14ac:dyDescent="0.2">
      <c r="A523" s="1856"/>
      <c r="B523" s="1856"/>
      <c r="C523" s="2099"/>
      <c r="D523" s="2100"/>
    </row>
    <row r="524" spans="1:4" s="1809" customFormat="1" ht="15" x14ac:dyDescent="0.2">
      <c r="A524" s="1856"/>
      <c r="B524" s="1856"/>
      <c r="C524" s="2099"/>
      <c r="D524" s="2100"/>
    </row>
    <row r="525" spans="1:4" s="1809" customFormat="1" ht="15" x14ac:dyDescent="0.2">
      <c r="A525" s="1856"/>
      <c r="B525" s="1856"/>
      <c r="C525" s="2099"/>
      <c r="D525" s="2100"/>
    </row>
    <row r="526" spans="1:4" s="1809" customFormat="1" ht="15" x14ac:dyDescent="0.2">
      <c r="A526" s="1856"/>
      <c r="B526" s="1856"/>
      <c r="C526" s="2099"/>
      <c r="D526" s="2100"/>
    </row>
    <row r="527" spans="1:4" s="1809" customFormat="1" ht="15" x14ac:dyDescent="0.2">
      <c r="A527" s="1856"/>
      <c r="B527" s="1856"/>
      <c r="C527" s="2099"/>
      <c r="D527" s="2100"/>
    </row>
    <row r="528" spans="1:4" s="1809" customFormat="1" ht="15" x14ac:dyDescent="0.2">
      <c r="A528" s="1856"/>
      <c r="B528" s="1856"/>
      <c r="C528" s="2099"/>
      <c r="D528" s="2100"/>
    </row>
    <row r="529" spans="1:4" s="1809" customFormat="1" ht="15" x14ac:dyDescent="0.2">
      <c r="A529" s="1856"/>
      <c r="B529" s="1856"/>
      <c r="C529" s="2099"/>
      <c r="D529" s="2100"/>
    </row>
    <row r="530" spans="1:4" s="1809" customFormat="1" ht="15" x14ac:dyDescent="0.2">
      <c r="A530" s="1856"/>
      <c r="B530" s="1856"/>
      <c r="C530" s="2099"/>
      <c r="D530" s="2100"/>
    </row>
    <row r="531" spans="1:4" s="1809" customFormat="1" ht="15" x14ac:dyDescent="0.2">
      <c r="A531" s="1856"/>
      <c r="B531" s="1856"/>
      <c r="C531" s="2099"/>
      <c r="D531" s="2100"/>
    </row>
    <row r="532" spans="1:4" s="1809" customFormat="1" ht="15" x14ac:dyDescent="0.2">
      <c r="A532" s="1856"/>
      <c r="B532" s="1856"/>
      <c r="C532" s="2099"/>
      <c r="D532" s="2100"/>
    </row>
    <row r="533" spans="1:4" s="1809" customFormat="1" ht="15" x14ac:dyDescent="0.2">
      <c r="A533" s="1856"/>
      <c r="B533" s="1856"/>
      <c r="C533" s="2099"/>
      <c r="D533" s="2100"/>
    </row>
    <row r="534" spans="1:4" s="1809" customFormat="1" ht="15" x14ac:dyDescent="0.2">
      <c r="A534" s="1856"/>
      <c r="B534" s="1856"/>
      <c r="C534" s="2099"/>
      <c r="D534" s="2100"/>
    </row>
    <row r="535" spans="1:4" s="1809" customFormat="1" ht="15" x14ac:dyDescent="0.2">
      <c r="A535" s="1856"/>
      <c r="B535" s="1856"/>
      <c r="C535" s="2099"/>
      <c r="D535" s="2100"/>
    </row>
    <row r="536" spans="1:4" s="1809" customFormat="1" ht="15" x14ac:dyDescent="0.2">
      <c r="A536" s="1856"/>
      <c r="B536" s="1856"/>
      <c r="C536" s="2099"/>
      <c r="D536" s="2100"/>
    </row>
    <row r="537" spans="1:4" s="1809" customFormat="1" ht="15" x14ac:dyDescent="0.2">
      <c r="A537" s="1856"/>
      <c r="B537" s="1856"/>
      <c r="C537" s="2099"/>
      <c r="D537" s="2100"/>
    </row>
    <row r="538" spans="1:4" s="1809" customFormat="1" ht="15" x14ac:dyDescent="0.2">
      <c r="A538" s="212"/>
      <c r="B538" s="212"/>
      <c r="C538" s="2101"/>
      <c r="D538" s="2101"/>
    </row>
    <row r="539" spans="1:4" s="1809" customFormat="1" ht="15" x14ac:dyDescent="0.2">
      <c r="A539" s="1856"/>
      <c r="B539" s="1856"/>
      <c r="C539" s="2099"/>
      <c r="D539" s="2100"/>
    </row>
    <row r="540" spans="1:4" s="1809" customFormat="1" ht="15" x14ac:dyDescent="0.2">
      <c r="A540" s="1856"/>
      <c r="B540" s="1856"/>
      <c r="C540" s="2099"/>
      <c r="D540" s="2100"/>
    </row>
    <row r="541" spans="1:4" s="1809" customFormat="1" ht="15" x14ac:dyDescent="0.2">
      <c r="A541" s="1856"/>
      <c r="B541" s="1856"/>
      <c r="C541" s="2099"/>
      <c r="D541" s="2100"/>
    </row>
    <row r="542" spans="1:4" s="1809" customFormat="1" ht="15" x14ac:dyDescent="0.2">
      <c r="A542" s="1856"/>
      <c r="B542" s="1856"/>
      <c r="C542" s="2099"/>
      <c r="D542" s="2100"/>
    </row>
    <row r="543" spans="1:4" s="1809" customFormat="1" ht="15" x14ac:dyDescent="0.2">
      <c r="A543" s="1856"/>
      <c r="B543" s="1856"/>
      <c r="C543" s="2099"/>
      <c r="D543" s="2100"/>
    </row>
    <row r="544" spans="1:4" s="1809" customFormat="1" ht="15" x14ac:dyDescent="0.2">
      <c r="A544" s="1856"/>
      <c r="B544" s="1856"/>
      <c r="C544" s="2099"/>
      <c r="D544" s="2100"/>
    </row>
    <row r="545" spans="1:4" s="1809" customFormat="1" ht="15" x14ac:dyDescent="0.2">
      <c r="A545" s="1856"/>
      <c r="B545" s="1856"/>
      <c r="C545" s="2099"/>
      <c r="D545" s="2100"/>
    </row>
    <row r="546" spans="1:4" s="1809" customFormat="1" ht="15" x14ac:dyDescent="0.2">
      <c r="A546" s="1856"/>
      <c r="B546" s="1856"/>
      <c r="C546" s="2099"/>
      <c r="D546" s="2100"/>
    </row>
    <row r="547" spans="1:4" s="1809" customFormat="1" ht="15" x14ac:dyDescent="0.2">
      <c r="A547" s="1856"/>
      <c r="B547" s="1856"/>
      <c r="C547" s="2099"/>
      <c r="D547" s="2100"/>
    </row>
    <row r="548" spans="1:4" s="1809" customFormat="1" ht="15" x14ac:dyDescent="0.2">
      <c r="A548" s="1856"/>
      <c r="B548" s="1856"/>
      <c r="C548" s="2099"/>
      <c r="D548" s="2100"/>
    </row>
    <row r="549" spans="1:4" s="1809" customFormat="1" ht="15" x14ac:dyDescent="0.2">
      <c r="A549" s="1856"/>
      <c r="B549" s="1856"/>
      <c r="C549" s="2099"/>
      <c r="D549" s="2100"/>
    </row>
    <row r="550" spans="1:4" s="1809" customFormat="1" ht="15" x14ac:dyDescent="0.2">
      <c r="A550" s="1856"/>
      <c r="B550" s="1856"/>
      <c r="C550" s="2099"/>
      <c r="D550" s="2100"/>
    </row>
    <row r="551" spans="1:4" s="1809" customFormat="1" ht="15" x14ac:dyDescent="0.2">
      <c r="A551" s="1856"/>
      <c r="B551" s="1856"/>
      <c r="C551" s="2099"/>
      <c r="D551" s="2100"/>
    </row>
    <row r="552" spans="1:4" s="1809" customFormat="1" ht="15" x14ac:dyDescent="0.2">
      <c r="A552" s="1856"/>
      <c r="B552" s="1856"/>
      <c r="C552" s="2099"/>
      <c r="D552" s="2100"/>
    </row>
    <row r="553" spans="1:4" s="1809" customFormat="1" ht="15" x14ac:dyDescent="0.2">
      <c r="A553" s="1856"/>
      <c r="B553" s="1856"/>
      <c r="C553" s="2099"/>
      <c r="D553" s="2100"/>
    </row>
    <row r="554" spans="1:4" s="1809" customFormat="1" ht="15" x14ac:dyDescent="0.2">
      <c r="A554" s="1856"/>
      <c r="B554" s="1856"/>
      <c r="C554" s="2099"/>
      <c r="D554" s="2100"/>
    </row>
    <row r="555" spans="1:4" s="1809" customFormat="1" ht="15" x14ac:dyDescent="0.2">
      <c r="A555" s="1856"/>
      <c r="B555" s="1856"/>
      <c r="C555" s="2099"/>
      <c r="D555" s="2100"/>
    </row>
    <row r="556" spans="1:4" s="1809" customFormat="1" ht="15" x14ac:dyDescent="0.2">
      <c r="A556" s="1856"/>
      <c r="B556" s="1856"/>
      <c r="C556" s="2099"/>
      <c r="D556" s="2100"/>
    </row>
    <row r="557" spans="1:4" s="1809" customFormat="1" ht="15" x14ac:dyDescent="0.2">
      <c r="A557" s="1856"/>
      <c r="B557" s="1856"/>
      <c r="C557" s="2099"/>
      <c r="D557" s="2100"/>
    </row>
    <row r="558" spans="1:4" s="1809" customFormat="1" ht="15" x14ac:dyDescent="0.2">
      <c r="A558" s="1856"/>
      <c r="B558" s="1856"/>
      <c r="C558" s="2099"/>
      <c r="D558" s="2100"/>
    </row>
    <row r="559" spans="1:4" s="1809" customFormat="1" ht="15" x14ac:dyDescent="0.2">
      <c r="A559" s="1856"/>
      <c r="B559" s="1856"/>
      <c r="C559" s="2099"/>
      <c r="D559" s="2100"/>
    </row>
    <row r="560" spans="1:4" s="1809" customFormat="1" ht="15" x14ac:dyDescent="0.2">
      <c r="A560" s="1856"/>
      <c r="B560" s="1856"/>
      <c r="C560" s="2099"/>
      <c r="D560" s="2100"/>
    </row>
    <row r="561" spans="1:4" s="1809" customFormat="1" ht="15" x14ac:dyDescent="0.2">
      <c r="A561" s="1856"/>
      <c r="B561" s="1856"/>
      <c r="C561" s="2099"/>
      <c r="D561" s="2100"/>
    </row>
    <row r="562" spans="1:4" s="1809" customFormat="1" ht="15" x14ac:dyDescent="0.2">
      <c r="A562" s="1856"/>
      <c r="B562" s="1856"/>
      <c r="C562" s="2099"/>
      <c r="D562" s="2100"/>
    </row>
    <row r="563" spans="1:4" s="1809" customFormat="1" ht="15" x14ac:dyDescent="0.2">
      <c r="A563" s="1856"/>
      <c r="B563" s="1856"/>
      <c r="C563" s="2099"/>
      <c r="D563" s="2100"/>
    </row>
    <row r="564" spans="1:4" s="1809" customFormat="1" ht="15" x14ac:dyDescent="0.2">
      <c r="A564" s="1856"/>
      <c r="B564" s="1856"/>
      <c r="C564" s="2099"/>
      <c r="D564" s="2100"/>
    </row>
    <row r="565" spans="1:4" s="1809" customFormat="1" ht="15" x14ac:dyDescent="0.2">
      <c r="A565" s="1856"/>
      <c r="B565" s="1856"/>
      <c r="C565" s="2099"/>
      <c r="D565" s="2100"/>
    </row>
    <row r="566" spans="1:4" s="1809" customFormat="1" ht="15" x14ac:dyDescent="0.2">
      <c r="A566" s="1856"/>
      <c r="B566" s="1856"/>
      <c r="C566" s="2099"/>
      <c r="D566" s="2100"/>
    </row>
    <row r="567" spans="1:4" s="1809" customFormat="1" ht="15" x14ac:dyDescent="0.2">
      <c r="A567" s="1856"/>
      <c r="B567" s="1856"/>
      <c r="C567" s="2099"/>
      <c r="D567" s="2100"/>
    </row>
    <row r="568" spans="1:4" s="1809" customFormat="1" ht="15" x14ac:dyDescent="0.2">
      <c r="A568" s="1856"/>
      <c r="B568" s="1856"/>
      <c r="C568" s="2099"/>
      <c r="D568" s="2100"/>
    </row>
    <row r="569" spans="1:4" s="1809" customFormat="1" ht="15" x14ac:dyDescent="0.2">
      <c r="A569" s="1856"/>
      <c r="B569" s="1856"/>
      <c r="C569" s="2099"/>
      <c r="D569" s="2100"/>
    </row>
    <row r="570" spans="1:4" s="1809" customFormat="1" ht="15" x14ac:dyDescent="0.2">
      <c r="A570" s="1856"/>
      <c r="B570" s="1856"/>
      <c r="C570" s="2099"/>
      <c r="D570" s="2100"/>
    </row>
    <row r="571" spans="1:4" s="1809" customFormat="1" ht="15" x14ac:dyDescent="0.2">
      <c r="A571" s="1856"/>
      <c r="B571" s="1856"/>
      <c r="C571" s="2099"/>
      <c r="D571" s="2100"/>
    </row>
    <row r="572" spans="1:4" s="1809" customFormat="1" ht="15" x14ac:dyDescent="0.2">
      <c r="A572" s="1856"/>
      <c r="B572" s="2102"/>
      <c r="C572" s="2099"/>
      <c r="D572" s="2100"/>
    </row>
    <row r="573" spans="1:4" s="1809" customFormat="1" ht="15" x14ac:dyDescent="0.2">
      <c r="A573" s="1856"/>
      <c r="B573" s="1856"/>
      <c r="C573" s="2099"/>
      <c r="D573" s="2100"/>
    </row>
    <row r="574" spans="1:4" s="1809" customFormat="1" ht="15" x14ac:dyDescent="0.2">
      <c r="A574" s="1856"/>
      <c r="B574" s="1856"/>
      <c r="C574" s="2099"/>
      <c r="D574" s="2100"/>
    </row>
    <row r="575" spans="1:4" s="1809" customFormat="1" ht="15" x14ac:dyDescent="0.2">
      <c r="A575" s="1856"/>
      <c r="B575" s="1856"/>
      <c r="C575" s="2099"/>
      <c r="D575" s="2100"/>
    </row>
    <row r="576" spans="1:4" s="1809" customFormat="1" ht="15" x14ac:dyDescent="0.2">
      <c r="A576" s="1856"/>
      <c r="B576" s="1856"/>
      <c r="C576" s="2099"/>
      <c r="D576" s="2100"/>
    </row>
    <row r="577" spans="1:4" s="1809" customFormat="1" ht="15" x14ac:dyDescent="0.2">
      <c r="A577" s="1856"/>
      <c r="B577" s="1856"/>
      <c r="C577" s="2099"/>
      <c r="D577" s="2100"/>
    </row>
    <row r="578" spans="1:4" s="1809" customFormat="1" ht="15" x14ac:dyDescent="0.2">
      <c r="A578" s="1856"/>
      <c r="B578" s="1856"/>
      <c r="C578" s="2099"/>
      <c r="D578" s="2100"/>
    </row>
    <row r="579" spans="1:4" s="1809" customFormat="1" ht="15" x14ac:dyDescent="0.2">
      <c r="A579" s="212"/>
      <c r="B579" s="212"/>
      <c r="C579" s="2101"/>
      <c r="D579" s="2101"/>
    </row>
    <row r="580" spans="1:4" s="1809" customFormat="1" ht="15" x14ac:dyDescent="0.2">
      <c r="A580" s="1856"/>
      <c r="B580" s="1856"/>
      <c r="C580" s="2099"/>
      <c r="D580" s="2100"/>
    </row>
    <row r="581" spans="1:4" s="1809" customFormat="1" ht="15" x14ac:dyDescent="0.2">
      <c r="A581" s="1856"/>
      <c r="B581" s="1856"/>
      <c r="C581" s="2099"/>
      <c r="D581" s="2100"/>
    </row>
    <row r="582" spans="1:4" s="1809" customFormat="1" ht="15" x14ac:dyDescent="0.2">
      <c r="A582" s="1856"/>
      <c r="B582" s="1856"/>
      <c r="C582" s="2099"/>
      <c r="D582" s="2100"/>
    </row>
    <row r="583" spans="1:4" s="1809" customFormat="1" ht="15" x14ac:dyDescent="0.2">
      <c r="A583" s="1856"/>
      <c r="B583" s="1856"/>
      <c r="C583" s="2099"/>
      <c r="D583" s="2100"/>
    </row>
    <row r="584" spans="1:4" s="1809" customFormat="1" ht="15" x14ac:dyDescent="0.2">
      <c r="A584" s="1856"/>
      <c r="B584" s="1856"/>
      <c r="C584" s="2099"/>
      <c r="D584" s="2100"/>
    </row>
    <row r="585" spans="1:4" s="1809" customFormat="1" ht="15" x14ac:dyDescent="0.2">
      <c r="A585" s="1856"/>
      <c r="B585" s="1856"/>
      <c r="C585" s="2099"/>
      <c r="D585" s="2100"/>
    </row>
    <row r="586" spans="1:4" s="1809" customFormat="1" ht="15" x14ac:dyDescent="0.2">
      <c r="A586" s="1856"/>
      <c r="B586" s="1856"/>
      <c r="C586" s="2099"/>
      <c r="D586" s="2100"/>
    </row>
    <row r="587" spans="1:4" s="1809" customFormat="1" ht="15" x14ac:dyDescent="0.2">
      <c r="A587" s="1856"/>
      <c r="B587" s="1856"/>
      <c r="C587" s="2099"/>
      <c r="D587" s="2100"/>
    </row>
    <row r="588" spans="1:4" s="1809" customFormat="1" ht="15" x14ac:dyDescent="0.2">
      <c r="A588" s="1856"/>
      <c r="B588" s="1856"/>
      <c r="C588" s="2099"/>
      <c r="D588" s="2100"/>
    </row>
    <row r="589" spans="1:4" s="1809" customFormat="1" ht="15" x14ac:dyDescent="0.2">
      <c r="A589" s="1856"/>
      <c r="B589" s="1856"/>
      <c r="C589" s="2099"/>
      <c r="D589" s="2100"/>
    </row>
    <row r="590" spans="1:4" s="1809" customFormat="1" ht="15" x14ac:dyDescent="0.2">
      <c r="A590" s="1856"/>
      <c r="B590" s="1856"/>
      <c r="C590" s="2099"/>
      <c r="D590" s="2100"/>
    </row>
    <row r="591" spans="1:4" s="1809" customFormat="1" ht="15" x14ac:dyDescent="0.2">
      <c r="A591" s="1856"/>
      <c r="B591" s="1856"/>
      <c r="C591" s="2099"/>
      <c r="D591" s="2100"/>
    </row>
    <row r="592" spans="1:4" s="1809" customFormat="1" ht="15" x14ac:dyDescent="0.2">
      <c r="A592" s="1856"/>
      <c r="B592" s="1856"/>
      <c r="C592" s="2099"/>
      <c r="D592" s="2100"/>
    </row>
    <row r="593" spans="1:4" s="1809" customFormat="1" ht="15" x14ac:dyDescent="0.2">
      <c r="A593" s="1856"/>
      <c r="B593" s="1856"/>
      <c r="C593" s="2099"/>
      <c r="D593" s="2100"/>
    </row>
    <row r="594" spans="1:4" s="1809" customFormat="1" ht="15" x14ac:dyDescent="0.2">
      <c r="A594" s="1856"/>
      <c r="B594" s="1856"/>
      <c r="C594" s="2099"/>
      <c r="D594" s="2100"/>
    </row>
    <row r="595" spans="1:4" s="1809" customFormat="1" ht="15" x14ac:dyDescent="0.2">
      <c r="A595" s="1856"/>
      <c r="B595" s="1856"/>
      <c r="C595" s="2099"/>
      <c r="D595" s="2100"/>
    </row>
    <row r="596" spans="1:4" s="1809" customFormat="1" ht="15" x14ac:dyDescent="0.2">
      <c r="A596" s="1856"/>
      <c r="B596" s="1856"/>
      <c r="C596" s="2099"/>
      <c r="D596" s="2100"/>
    </row>
    <row r="597" spans="1:4" s="1809" customFormat="1" ht="15" x14ac:dyDescent="0.2">
      <c r="A597" s="1856"/>
      <c r="B597" s="1856"/>
      <c r="C597" s="2099"/>
      <c r="D597" s="2100"/>
    </row>
    <row r="598" spans="1:4" s="1809" customFormat="1" ht="15" x14ac:dyDescent="0.2">
      <c r="A598" s="1856"/>
      <c r="B598" s="1856"/>
      <c r="C598" s="2099"/>
      <c r="D598" s="2100"/>
    </row>
    <row r="599" spans="1:4" s="1809" customFormat="1" ht="15" x14ac:dyDescent="0.2">
      <c r="A599" s="1856"/>
      <c r="B599" s="1856"/>
      <c r="C599" s="2099"/>
      <c r="D599" s="2100"/>
    </row>
    <row r="600" spans="1:4" s="1809" customFormat="1" ht="15" x14ac:dyDescent="0.2">
      <c r="A600" s="1856"/>
      <c r="B600" s="1856"/>
      <c r="C600" s="2099"/>
      <c r="D600" s="2100"/>
    </row>
    <row r="601" spans="1:4" s="1809" customFormat="1" ht="15" x14ac:dyDescent="0.2">
      <c r="A601" s="1856"/>
      <c r="B601" s="1856"/>
      <c r="C601" s="2099"/>
      <c r="D601" s="2100"/>
    </row>
    <row r="602" spans="1:4" s="1809" customFormat="1" ht="15" x14ac:dyDescent="0.2">
      <c r="A602" s="1856"/>
      <c r="B602" s="1856"/>
      <c r="C602" s="2099"/>
      <c r="D602" s="2100"/>
    </row>
    <row r="603" spans="1:4" s="1809" customFormat="1" ht="15" x14ac:dyDescent="0.2">
      <c r="A603" s="1856"/>
      <c r="B603" s="1856"/>
      <c r="C603" s="2099"/>
      <c r="D603" s="2100"/>
    </row>
    <row r="604" spans="1:4" s="1809" customFormat="1" ht="15" x14ac:dyDescent="0.2">
      <c r="A604" s="1856"/>
      <c r="B604" s="1856"/>
      <c r="C604" s="2099"/>
      <c r="D604" s="2100"/>
    </row>
    <row r="605" spans="1:4" s="1809" customFormat="1" ht="15" x14ac:dyDescent="0.2">
      <c r="A605" s="1856"/>
      <c r="B605" s="1856"/>
      <c r="C605" s="2099"/>
      <c r="D605" s="2100"/>
    </row>
    <row r="606" spans="1:4" s="1809" customFormat="1" ht="15" x14ac:dyDescent="0.2">
      <c r="A606" s="1856"/>
      <c r="B606" s="1856"/>
      <c r="C606" s="2099"/>
      <c r="D606" s="2100"/>
    </row>
    <row r="607" spans="1:4" s="1809" customFormat="1" ht="15" x14ac:dyDescent="0.2">
      <c r="A607" s="1856"/>
      <c r="B607" s="1856"/>
      <c r="C607" s="2099"/>
      <c r="D607" s="2100"/>
    </row>
    <row r="608" spans="1:4" s="1809" customFormat="1" ht="15" x14ac:dyDescent="0.2">
      <c r="A608" s="1856"/>
      <c r="B608" s="1856"/>
      <c r="C608" s="2099"/>
      <c r="D608" s="2100"/>
    </row>
    <row r="609" spans="1:4" s="1809" customFormat="1" ht="15" x14ac:dyDescent="0.2">
      <c r="A609" s="1856"/>
      <c r="B609" s="1856"/>
      <c r="C609" s="2099"/>
      <c r="D609" s="2100"/>
    </row>
    <row r="610" spans="1:4" s="1809" customFormat="1" ht="15" x14ac:dyDescent="0.2">
      <c r="A610" s="1856"/>
      <c r="B610" s="1856"/>
      <c r="C610" s="2099"/>
      <c r="D610" s="2100"/>
    </row>
    <row r="611" spans="1:4" s="1809" customFormat="1" ht="15" x14ac:dyDescent="0.2">
      <c r="A611" s="1856"/>
      <c r="B611" s="1856"/>
      <c r="C611" s="2099"/>
      <c r="D611" s="2100"/>
    </row>
    <row r="612" spans="1:4" s="1809" customFormat="1" ht="15" x14ac:dyDescent="0.2">
      <c r="A612" s="1856"/>
      <c r="B612" s="1856"/>
      <c r="C612" s="2099"/>
      <c r="D612" s="2100"/>
    </row>
    <row r="613" spans="1:4" s="1809" customFormat="1" ht="15" x14ac:dyDescent="0.2">
      <c r="A613" s="1856"/>
      <c r="B613" s="1856"/>
      <c r="C613" s="2099"/>
      <c r="D613" s="2100"/>
    </row>
    <row r="614" spans="1:4" s="1809" customFormat="1" ht="15" x14ac:dyDescent="0.2">
      <c r="A614" s="1856"/>
      <c r="B614" s="1856"/>
      <c r="C614" s="2099"/>
      <c r="D614" s="2100"/>
    </row>
    <row r="615" spans="1:4" s="1809" customFormat="1" ht="15" x14ac:dyDescent="0.2">
      <c r="A615" s="1856"/>
      <c r="B615" s="1856"/>
      <c r="C615" s="2099"/>
      <c r="D615" s="2100"/>
    </row>
    <row r="616" spans="1:4" s="1809" customFormat="1" ht="15" x14ac:dyDescent="0.2">
      <c r="A616" s="1856"/>
      <c r="B616" s="1856"/>
      <c r="C616" s="2099"/>
      <c r="D616" s="2100"/>
    </row>
    <row r="617" spans="1:4" s="1809" customFormat="1" ht="15" x14ac:dyDescent="0.2">
      <c r="A617" s="212"/>
      <c r="B617" s="212"/>
      <c r="C617" s="2101"/>
      <c r="D617" s="2101"/>
    </row>
    <row r="618" spans="1:4" s="1809" customFormat="1" ht="15" x14ac:dyDescent="0.2">
      <c r="A618" s="1856"/>
      <c r="B618" s="1856"/>
      <c r="C618" s="2099"/>
      <c r="D618" s="2100"/>
    </row>
    <row r="619" spans="1:4" s="1809" customFormat="1" ht="15" x14ac:dyDescent="0.2">
      <c r="A619" s="1856"/>
      <c r="B619" s="1856"/>
      <c r="C619" s="2099"/>
      <c r="D619" s="2100"/>
    </row>
    <row r="620" spans="1:4" s="1809" customFormat="1" ht="15" x14ac:dyDescent="0.2">
      <c r="A620" s="1856"/>
      <c r="B620" s="1856"/>
      <c r="C620" s="2099"/>
      <c r="D620" s="2100"/>
    </row>
    <row r="621" spans="1:4" s="1809" customFormat="1" ht="15" x14ac:dyDescent="0.2">
      <c r="A621" s="1856"/>
      <c r="B621" s="1856"/>
      <c r="C621" s="2099"/>
      <c r="D621" s="2100"/>
    </row>
    <row r="622" spans="1:4" s="1809" customFormat="1" ht="15" x14ac:dyDescent="0.2">
      <c r="A622" s="1856"/>
      <c r="B622" s="1856"/>
      <c r="C622" s="2099"/>
      <c r="D622" s="2100"/>
    </row>
    <row r="623" spans="1:4" s="1809" customFormat="1" ht="15" x14ac:dyDescent="0.2">
      <c r="A623" s="1856"/>
      <c r="B623" s="1856"/>
      <c r="C623" s="2099"/>
      <c r="D623" s="2100"/>
    </row>
    <row r="624" spans="1:4" s="1809" customFormat="1" ht="15" x14ac:dyDescent="0.2">
      <c r="A624" s="1856"/>
      <c r="B624" s="1856"/>
      <c r="C624" s="2099"/>
      <c r="D624" s="2100"/>
    </row>
    <row r="625" spans="1:4" s="1809" customFormat="1" ht="15" x14ac:dyDescent="0.2">
      <c r="A625" s="1856"/>
      <c r="B625" s="1856"/>
      <c r="C625" s="2099"/>
      <c r="D625" s="2100"/>
    </row>
    <row r="626" spans="1:4" s="1809" customFormat="1" ht="15" x14ac:dyDescent="0.2">
      <c r="A626" s="1856"/>
      <c r="B626" s="1856"/>
      <c r="C626" s="2099"/>
      <c r="D626" s="2100"/>
    </row>
    <row r="627" spans="1:4" s="1809" customFormat="1" ht="15" x14ac:dyDescent="0.2">
      <c r="A627" s="1856"/>
      <c r="B627" s="1856"/>
      <c r="C627" s="2099"/>
      <c r="D627" s="2100"/>
    </row>
    <row r="628" spans="1:4" s="1809" customFormat="1" ht="15" x14ac:dyDescent="0.2">
      <c r="A628" s="1856"/>
      <c r="B628" s="1856"/>
      <c r="C628" s="2099"/>
      <c r="D628" s="2100"/>
    </row>
    <row r="629" spans="1:4" s="1809" customFormat="1" ht="15" x14ac:dyDescent="0.2">
      <c r="A629" s="1856"/>
      <c r="B629" s="1856"/>
      <c r="C629" s="2099"/>
      <c r="D629" s="2100"/>
    </row>
    <row r="630" spans="1:4" s="1809" customFormat="1" ht="15" x14ac:dyDescent="0.2">
      <c r="A630" s="1856"/>
      <c r="B630" s="1856"/>
      <c r="C630" s="2099"/>
      <c r="D630" s="2100"/>
    </row>
    <row r="631" spans="1:4" s="1809" customFormat="1" ht="15" x14ac:dyDescent="0.2">
      <c r="A631" s="1856"/>
      <c r="B631" s="1856"/>
      <c r="C631" s="2099"/>
      <c r="D631" s="2100"/>
    </row>
    <row r="632" spans="1:4" s="1809" customFormat="1" ht="15" x14ac:dyDescent="0.2">
      <c r="A632" s="1856"/>
      <c r="B632" s="1856"/>
      <c r="C632" s="2099"/>
      <c r="D632" s="2100"/>
    </row>
    <row r="633" spans="1:4" s="1809" customFormat="1" ht="15" x14ac:dyDescent="0.2">
      <c r="A633" s="1856"/>
      <c r="B633" s="1856"/>
      <c r="C633" s="2099"/>
      <c r="D633" s="2100"/>
    </row>
    <row r="634" spans="1:4" s="1809" customFormat="1" ht="15" x14ac:dyDescent="0.2">
      <c r="A634" s="1856"/>
      <c r="B634" s="1856"/>
      <c r="C634" s="2099"/>
      <c r="D634" s="2100"/>
    </row>
    <row r="635" spans="1:4" s="1809" customFormat="1" ht="15" x14ac:dyDescent="0.2">
      <c r="A635" s="1856"/>
      <c r="B635" s="1856"/>
      <c r="C635" s="2099"/>
      <c r="D635" s="2100"/>
    </row>
    <row r="636" spans="1:4" s="1809" customFormat="1" ht="15" x14ac:dyDescent="0.2">
      <c r="A636" s="1856"/>
      <c r="B636" s="1856"/>
      <c r="C636" s="2099"/>
      <c r="D636" s="2100"/>
    </row>
    <row r="637" spans="1:4" s="1809" customFormat="1" ht="15" x14ac:dyDescent="0.2">
      <c r="A637" s="1856"/>
      <c r="B637" s="1856"/>
      <c r="C637" s="2099"/>
      <c r="D637" s="2100"/>
    </row>
    <row r="638" spans="1:4" s="1809" customFormat="1" ht="15" x14ac:dyDescent="0.2">
      <c r="A638" s="1856"/>
      <c r="B638" s="1856"/>
      <c r="C638" s="2099"/>
      <c r="D638" s="2100"/>
    </row>
    <row r="639" spans="1:4" s="1809" customFormat="1" ht="15" x14ac:dyDescent="0.2">
      <c r="A639" s="1856"/>
      <c r="B639" s="1856"/>
      <c r="C639" s="2099"/>
      <c r="D639" s="2100"/>
    </row>
    <row r="640" spans="1:4" s="1809" customFormat="1" ht="15" x14ac:dyDescent="0.2">
      <c r="A640" s="1856"/>
      <c r="B640" s="1856"/>
      <c r="C640" s="2099"/>
      <c r="D640" s="2100"/>
    </row>
    <row r="641" spans="1:4" s="1809" customFormat="1" ht="15" x14ac:dyDescent="0.2">
      <c r="A641" s="1856"/>
      <c r="B641" s="1856"/>
      <c r="C641" s="2099"/>
      <c r="D641" s="2100"/>
    </row>
    <row r="642" spans="1:4" s="1809" customFormat="1" ht="15" x14ac:dyDescent="0.2">
      <c r="A642" s="1856"/>
      <c r="B642" s="1856"/>
      <c r="C642" s="2099"/>
      <c r="D642" s="2100"/>
    </row>
    <row r="643" spans="1:4" s="1809" customFormat="1" ht="15" x14ac:dyDescent="0.2">
      <c r="A643" s="1856"/>
      <c r="B643" s="1856"/>
      <c r="C643" s="2099"/>
      <c r="D643" s="2100"/>
    </row>
    <row r="644" spans="1:4" s="1809" customFormat="1" ht="15" x14ac:dyDescent="0.2">
      <c r="A644" s="1856"/>
      <c r="B644" s="1856"/>
      <c r="C644" s="2099"/>
      <c r="D644" s="2100"/>
    </row>
    <row r="645" spans="1:4" s="1809" customFormat="1" ht="15" x14ac:dyDescent="0.2">
      <c r="A645" s="1856"/>
      <c r="B645" s="1856"/>
      <c r="C645" s="2099"/>
      <c r="D645" s="2100"/>
    </row>
    <row r="646" spans="1:4" s="1809" customFormat="1" ht="15" x14ac:dyDescent="0.2">
      <c r="A646" s="1856"/>
      <c r="B646" s="1856"/>
      <c r="C646" s="2099"/>
      <c r="D646" s="2100"/>
    </row>
    <row r="647" spans="1:4" s="1809" customFormat="1" ht="15" x14ac:dyDescent="0.2">
      <c r="A647" s="1856"/>
      <c r="B647" s="1856"/>
      <c r="C647" s="2099"/>
      <c r="D647" s="2100"/>
    </row>
    <row r="648" spans="1:4" s="1809" customFormat="1" ht="15" x14ac:dyDescent="0.2">
      <c r="A648" s="1856"/>
      <c r="B648" s="1856"/>
      <c r="C648" s="2099"/>
      <c r="D648" s="2100"/>
    </row>
    <row r="649" spans="1:4" s="1809" customFormat="1" ht="15" x14ac:dyDescent="0.2">
      <c r="A649" s="1856"/>
      <c r="B649" s="1856"/>
      <c r="C649" s="2099"/>
      <c r="D649" s="2100"/>
    </row>
    <row r="650" spans="1:4" s="1809" customFormat="1" ht="15" x14ac:dyDescent="0.2">
      <c r="A650" s="1856"/>
      <c r="B650" s="1856"/>
      <c r="C650" s="2099"/>
      <c r="D650" s="2100"/>
    </row>
    <row r="651" spans="1:4" s="1809" customFormat="1" ht="15" x14ac:dyDescent="0.2">
      <c r="A651" s="1856"/>
      <c r="B651" s="1856"/>
      <c r="C651" s="2099"/>
      <c r="D651" s="2100"/>
    </row>
    <row r="652" spans="1:4" s="1809" customFormat="1" ht="15" x14ac:dyDescent="0.2">
      <c r="A652" s="1856"/>
      <c r="B652" s="1856"/>
      <c r="C652" s="2099"/>
      <c r="D652" s="2100"/>
    </row>
    <row r="653" spans="1:4" s="1809" customFormat="1" ht="15" x14ac:dyDescent="0.2">
      <c r="A653" s="1856"/>
      <c r="B653" s="1856"/>
      <c r="C653" s="2099"/>
      <c r="D653" s="2100"/>
    </row>
    <row r="654" spans="1:4" s="1809" customFormat="1" ht="15" x14ac:dyDescent="0.2">
      <c r="A654" s="1856"/>
      <c r="B654" s="1856"/>
      <c r="C654" s="2099"/>
      <c r="D654" s="2100"/>
    </row>
    <row r="655" spans="1:4" s="1809" customFormat="1" ht="15" x14ac:dyDescent="0.2">
      <c r="A655" s="1856"/>
      <c r="B655" s="1856"/>
      <c r="C655" s="2099"/>
      <c r="D655" s="2100"/>
    </row>
    <row r="656" spans="1:4" s="1809" customFormat="1" ht="15" x14ac:dyDescent="0.2">
      <c r="A656" s="1856"/>
      <c r="B656" s="1856"/>
      <c r="C656" s="2099"/>
      <c r="D656" s="2100"/>
    </row>
    <row r="657" spans="1:4" s="1809" customFormat="1" ht="15" x14ac:dyDescent="0.2">
      <c r="A657" s="212"/>
      <c r="B657" s="212"/>
      <c r="C657" s="2101"/>
      <c r="D657" s="2101"/>
    </row>
    <row r="658" spans="1:4" s="1809" customFormat="1" ht="15" x14ac:dyDescent="0.2">
      <c r="A658" s="1856"/>
      <c r="B658" s="1856"/>
      <c r="C658" s="2099"/>
      <c r="D658" s="2100"/>
    </row>
    <row r="659" spans="1:4" s="1809" customFormat="1" ht="15" x14ac:dyDescent="0.2">
      <c r="A659" s="1856"/>
      <c r="B659" s="1856"/>
      <c r="C659" s="2099"/>
      <c r="D659" s="2100"/>
    </row>
    <row r="660" spans="1:4" s="1809" customFormat="1" ht="15" x14ac:dyDescent="0.2">
      <c r="A660" s="1856"/>
      <c r="B660" s="1856"/>
      <c r="C660" s="2099"/>
      <c r="D660" s="2100"/>
    </row>
    <row r="661" spans="1:4" s="1809" customFormat="1" ht="15" x14ac:dyDescent="0.2">
      <c r="A661" s="1856"/>
      <c r="B661" s="1856"/>
      <c r="C661" s="2099"/>
      <c r="D661" s="2100"/>
    </row>
    <row r="662" spans="1:4" s="1809" customFormat="1" ht="15" x14ac:dyDescent="0.2">
      <c r="A662" s="1856"/>
      <c r="B662" s="1856"/>
      <c r="C662" s="2099"/>
      <c r="D662" s="2100"/>
    </row>
    <row r="663" spans="1:4" s="1809" customFormat="1" ht="15" x14ac:dyDescent="0.2">
      <c r="A663" s="1856"/>
      <c r="B663" s="1856"/>
      <c r="C663" s="2099"/>
      <c r="D663" s="2100"/>
    </row>
    <row r="664" spans="1:4" s="1809" customFormat="1" ht="15" x14ac:dyDescent="0.2">
      <c r="A664" s="1856"/>
      <c r="B664" s="1785"/>
      <c r="C664" s="2099"/>
      <c r="D664" s="2100"/>
    </row>
    <row r="665" spans="1:4" s="1809" customFormat="1" ht="15" x14ac:dyDescent="0.2">
      <c r="A665" s="1856"/>
      <c r="B665" s="1856"/>
      <c r="C665" s="2099"/>
      <c r="D665" s="2100"/>
    </row>
    <row r="666" spans="1:4" s="1809" customFormat="1" ht="15" x14ac:dyDescent="0.2">
      <c r="A666" s="1856"/>
      <c r="B666" s="1856"/>
      <c r="C666" s="2099"/>
      <c r="D666" s="2100"/>
    </row>
    <row r="667" spans="1:4" s="1809" customFormat="1" ht="15" x14ac:dyDescent="0.2">
      <c r="A667" s="1856"/>
      <c r="B667" s="1856"/>
      <c r="C667" s="2099"/>
      <c r="D667" s="2100"/>
    </row>
    <row r="668" spans="1:4" s="1809" customFormat="1" ht="15" x14ac:dyDescent="0.2">
      <c r="A668" s="1856"/>
      <c r="B668" s="1856"/>
      <c r="C668" s="2099"/>
      <c r="D668" s="2100"/>
    </row>
    <row r="669" spans="1:4" s="1809" customFormat="1" ht="15" x14ac:dyDescent="0.2">
      <c r="A669" s="1856"/>
      <c r="B669" s="1856"/>
      <c r="C669" s="2099"/>
      <c r="D669" s="2100"/>
    </row>
    <row r="670" spans="1:4" s="1809" customFormat="1" ht="15" x14ac:dyDescent="0.2">
      <c r="A670" s="1856"/>
      <c r="B670" s="2102"/>
      <c r="C670" s="2099"/>
      <c r="D670" s="2100"/>
    </row>
    <row r="671" spans="1:4" s="1809" customFormat="1" ht="15" x14ac:dyDescent="0.2">
      <c r="A671" s="1856"/>
      <c r="B671" s="1856"/>
      <c r="C671" s="2099"/>
      <c r="D671" s="2100"/>
    </row>
    <row r="672" spans="1:4" s="1809" customFormat="1" ht="15" x14ac:dyDescent="0.2">
      <c r="A672" s="1856"/>
      <c r="B672" s="1856"/>
      <c r="C672" s="2099"/>
      <c r="D672" s="2100"/>
    </row>
    <row r="673" spans="1:4" s="1809" customFormat="1" ht="15" x14ac:dyDescent="0.2">
      <c r="A673" s="1856"/>
      <c r="B673" s="1856"/>
      <c r="C673" s="2099"/>
      <c r="D673" s="2100"/>
    </row>
    <row r="674" spans="1:4" s="1809" customFormat="1" ht="15" x14ac:dyDescent="0.2">
      <c r="A674" s="1856"/>
      <c r="B674" s="1856"/>
      <c r="C674" s="2099"/>
      <c r="D674" s="2100"/>
    </row>
    <row r="675" spans="1:4" s="1809" customFormat="1" ht="15" x14ac:dyDescent="0.2">
      <c r="A675" s="1856"/>
      <c r="B675" s="1856"/>
      <c r="C675" s="2099"/>
      <c r="D675" s="2100"/>
    </row>
    <row r="676" spans="1:4" s="1809" customFormat="1" ht="15" x14ac:dyDescent="0.2">
      <c r="A676" s="1856"/>
      <c r="B676" s="1856"/>
      <c r="C676" s="2099"/>
      <c r="D676" s="2100"/>
    </row>
    <row r="677" spans="1:4" s="1809" customFormat="1" ht="15" x14ac:dyDescent="0.2">
      <c r="A677" s="1856"/>
      <c r="B677" s="1856"/>
      <c r="C677" s="2099"/>
      <c r="D677" s="2100"/>
    </row>
    <row r="678" spans="1:4" s="1809" customFormat="1" ht="15" x14ac:dyDescent="0.2">
      <c r="A678" s="1856"/>
      <c r="B678" s="1856"/>
      <c r="C678" s="2099"/>
      <c r="D678" s="2100"/>
    </row>
    <row r="679" spans="1:4" s="1809" customFormat="1" ht="15" x14ac:dyDescent="0.2">
      <c r="A679" s="1856"/>
      <c r="B679" s="1856"/>
      <c r="C679" s="2099"/>
      <c r="D679" s="2100"/>
    </row>
    <row r="680" spans="1:4" s="1809" customFormat="1" ht="15" x14ac:dyDescent="0.2">
      <c r="A680" s="1856"/>
      <c r="B680" s="1856"/>
      <c r="C680" s="2099"/>
      <c r="D680" s="2100"/>
    </row>
    <row r="681" spans="1:4" s="1809" customFormat="1" ht="15" x14ac:dyDescent="0.2">
      <c r="A681" s="1856"/>
      <c r="B681" s="1856"/>
      <c r="C681" s="2099"/>
      <c r="D681" s="2100"/>
    </row>
    <row r="682" spans="1:4" s="1809" customFormat="1" ht="15" x14ac:dyDescent="0.2">
      <c r="A682" s="1856"/>
      <c r="B682" s="1856"/>
      <c r="C682" s="2099"/>
      <c r="D682" s="2100"/>
    </row>
    <row r="683" spans="1:4" s="1809" customFormat="1" ht="15" x14ac:dyDescent="0.2">
      <c r="A683" s="1856"/>
      <c r="B683" s="1856"/>
      <c r="C683" s="2099"/>
      <c r="D683" s="2100"/>
    </row>
    <row r="684" spans="1:4" s="1809" customFormat="1" ht="15" x14ac:dyDescent="0.2">
      <c r="A684" s="1856"/>
      <c r="B684" s="1856"/>
      <c r="C684" s="2099"/>
      <c r="D684" s="2100"/>
    </row>
    <row r="685" spans="1:4" s="1809" customFormat="1" ht="15" x14ac:dyDescent="0.2">
      <c r="A685" s="1856"/>
      <c r="B685" s="1856"/>
      <c r="C685" s="2099"/>
      <c r="D685" s="2100"/>
    </row>
    <row r="686" spans="1:4" s="1809" customFormat="1" ht="15" x14ac:dyDescent="0.2">
      <c r="A686" s="1856"/>
      <c r="B686" s="1856"/>
      <c r="C686" s="2099"/>
      <c r="D686" s="2100"/>
    </row>
    <row r="687" spans="1:4" s="1809" customFormat="1" ht="15" x14ac:dyDescent="0.2">
      <c r="A687" s="1856"/>
      <c r="B687" s="1856"/>
      <c r="C687" s="2099"/>
      <c r="D687" s="2100"/>
    </row>
    <row r="688" spans="1:4" s="1809" customFormat="1" ht="15" x14ac:dyDescent="0.2">
      <c r="A688" s="1856"/>
      <c r="B688" s="1856"/>
      <c r="C688" s="2099"/>
      <c r="D688" s="2100"/>
    </row>
    <row r="689" spans="1:4" s="1809" customFormat="1" ht="15" x14ac:dyDescent="0.2">
      <c r="A689" s="1856"/>
      <c r="B689" s="1856"/>
      <c r="C689" s="2099"/>
      <c r="D689" s="2100"/>
    </row>
    <row r="690" spans="1:4" s="1809" customFormat="1" ht="15" x14ac:dyDescent="0.2">
      <c r="A690" s="1856"/>
      <c r="B690" s="1856"/>
      <c r="C690" s="2099"/>
      <c r="D690" s="2100"/>
    </row>
    <row r="691" spans="1:4" s="1809" customFormat="1" ht="15" x14ac:dyDescent="0.2">
      <c r="A691" s="1856"/>
      <c r="B691" s="1856"/>
      <c r="C691" s="2099"/>
      <c r="D691" s="2100"/>
    </row>
    <row r="692" spans="1:4" s="1809" customFormat="1" ht="15" x14ac:dyDescent="0.2">
      <c r="A692" s="1856"/>
      <c r="B692" s="1856"/>
      <c r="C692" s="2099"/>
      <c r="D692" s="2100"/>
    </row>
    <row r="693" spans="1:4" s="1809" customFormat="1" ht="15" x14ac:dyDescent="0.2">
      <c r="A693" s="1856"/>
      <c r="B693" s="1856"/>
      <c r="C693" s="2099"/>
      <c r="D693" s="2100"/>
    </row>
    <row r="694" spans="1:4" s="1809" customFormat="1" ht="15" x14ac:dyDescent="0.2">
      <c r="A694" s="1856"/>
      <c r="B694" s="1856"/>
      <c r="C694" s="2099"/>
      <c r="D694" s="2100"/>
    </row>
    <row r="695" spans="1:4" s="1809" customFormat="1" ht="15" x14ac:dyDescent="0.2">
      <c r="A695" s="1856"/>
      <c r="B695" s="1856"/>
      <c r="C695" s="2099"/>
      <c r="D695" s="2100"/>
    </row>
    <row r="696" spans="1:4" s="1809" customFormat="1" ht="15" x14ac:dyDescent="0.2">
      <c r="A696" s="1856"/>
      <c r="B696" s="1856"/>
      <c r="C696" s="2099"/>
      <c r="D696" s="2100"/>
    </row>
    <row r="697" spans="1:4" s="1809" customFormat="1" ht="15" x14ac:dyDescent="0.2">
      <c r="A697" s="1856"/>
      <c r="B697" s="1856"/>
      <c r="C697" s="2099"/>
      <c r="D697" s="2100"/>
    </row>
    <row r="698" spans="1:4" s="1809" customFormat="1" ht="15" x14ac:dyDescent="0.2">
      <c r="A698" s="1856"/>
      <c r="B698" s="1856"/>
      <c r="C698" s="2099"/>
      <c r="D698" s="2100"/>
    </row>
    <row r="699" spans="1:4" s="1809" customFormat="1" ht="15" x14ac:dyDescent="0.2">
      <c r="A699" s="1856"/>
      <c r="B699" s="1856"/>
      <c r="C699" s="2099"/>
      <c r="D699" s="2100"/>
    </row>
    <row r="700" spans="1:4" s="1809" customFormat="1" ht="15" x14ac:dyDescent="0.2">
      <c r="A700" s="1856"/>
      <c r="B700" s="1856"/>
      <c r="C700" s="2099"/>
      <c r="D700" s="2100"/>
    </row>
    <row r="701" spans="1:4" s="1809" customFormat="1" ht="15" x14ac:dyDescent="0.2">
      <c r="A701" s="1856"/>
      <c r="B701" s="1856"/>
      <c r="C701" s="2099"/>
      <c r="D701" s="2100"/>
    </row>
    <row r="702" spans="1:4" s="1809" customFormat="1" ht="15" x14ac:dyDescent="0.2">
      <c r="A702" s="1856"/>
      <c r="B702" s="1856"/>
      <c r="C702" s="2099"/>
      <c r="D702" s="2100"/>
    </row>
    <row r="703" spans="1:4" s="1809" customFormat="1" ht="15" x14ac:dyDescent="0.2">
      <c r="A703" s="1856"/>
      <c r="B703" s="1856"/>
      <c r="C703" s="2099"/>
      <c r="D703" s="2100"/>
    </row>
    <row r="704" spans="1:4" s="1809" customFormat="1" ht="15" x14ac:dyDescent="0.2">
      <c r="A704" s="1856"/>
      <c r="B704" s="1856"/>
      <c r="C704" s="2099"/>
      <c r="D704" s="2100"/>
    </row>
    <row r="705" spans="1:4" s="1809" customFormat="1" ht="15" x14ac:dyDescent="0.2">
      <c r="A705" s="212"/>
      <c r="B705" s="212"/>
      <c r="C705" s="2101"/>
      <c r="D705" s="2101"/>
    </row>
    <row r="706" spans="1:4" s="1809" customFormat="1" ht="15" x14ac:dyDescent="0.2">
      <c r="A706" s="1856"/>
      <c r="B706" s="1856"/>
      <c r="C706" s="2099"/>
      <c r="D706" s="2100"/>
    </row>
    <row r="707" spans="1:4" s="1809" customFormat="1" ht="15" x14ac:dyDescent="0.2">
      <c r="A707" s="1856"/>
      <c r="B707" s="1856"/>
      <c r="C707" s="2099"/>
      <c r="D707" s="2100"/>
    </row>
    <row r="708" spans="1:4" s="1809" customFormat="1" ht="15" x14ac:dyDescent="0.2">
      <c r="A708" s="1856"/>
      <c r="B708" s="1856"/>
      <c r="C708" s="2099"/>
      <c r="D708" s="2100"/>
    </row>
    <row r="709" spans="1:4" s="1809" customFormat="1" ht="15" x14ac:dyDescent="0.2">
      <c r="A709" s="1856"/>
      <c r="B709" s="1856"/>
      <c r="C709" s="2099"/>
      <c r="D709" s="2100"/>
    </row>
    <row r="710" spans="1:4" s="1809" customFormat="1" ht="15" x14ac:dyDescent="0.2">
      <c r="A710" s="1856"/>
      <c r="B710" s="1856"/>
      <c r="C710" s="2099"/>
      <c r="D710" s="2100"/>
    </row>
    <row r="711" spans="1:4" s="1809" customFormat="1" ht="15" x14ac:dyDescent="0.2">
      <c r="A711" s="1856"/>
      <c r="B711" s="1856"/>
      <c r="C711" s="2099"/>
      <c r="D711" s="2100"/>
    </row>
    <row r="712" spans="1:4" s="1809" customFormat="1" ht="15" x14ac:dyDescent="0.2">
      <c r="A712" s="1856"/>
      <c r="B712" s="1856"/>
      <c r="C712" s="2099"/>
      <c r="D712" s="2100"/>
    </row>
    <row r="713" spans="1:4" s="1809" customFormat="1" ht="15" x14ac:dyDescent="0.2">
      <c r="A713" s="1856"/>
      <c r="B713" s="1856"/>
      <c r="C713" s="2099"/>
      <c r="D713" s="2100"/>
    </row>
    <row r="714" spans="1:4" s="1809" customFormat="1" ht="15" x14ac:dyDescent="0.2">
      <c r="A714" s="1856"/>
      <c r="B714" s="1856"/>
      <c r="C714" s="2099"/>
      <c r="D714" s="2100"/>
    </row>
    <row r="715" spans="1:4" s="1809" customFormat="1" ht="15" x14ac:dyDescent="0.2">
      <c r="A715" s="1856"/>
      <c r="B715" s="1856"/>
      <c r="C715" s="2099"/>
      <c r="D715" s="2100"/>
    </row>
    <row r="716" spans="1:4" s="1809" customFormat="1" ht="15" x14ac:dyDescent="0.2">
      <c r="A716" s="1856"/>
      <c r="B716" s="1856"/>
      <c r="C716" s="2099"/>
      <c r="D716" s="2100"/>
    </row>
    <row r="717" spans="1:4" s="1809" customFormat="1" ht="15" x14ac:dyDescent="0.2">
      <c r="A717" s="1856"/>
      <c r="B717" s="1856"/>
      <c r="C717" s="2099"/>
      <c r="D717" s="2100"/>
    </row>
    <row r="718" spans="1:4" s="1809" customFormat="1" ht="15" x14ac:dyDescent="0.2">
      <c r="A718" s="1856"/>
      <c r="B718" s="1856"/>
      <c r="C718" s="2099"/>
      <c r="D718" s="2100"/>
    </row>
    <row r="719" spans="1:4" s="1809" customFormat="1" ht="15" x14ac:dyDescent="0.2">
      <c r="A719" s="1856"/>
      <c r="B719" s="1856"/>
      <c r="C719" s="2099"/>
      <c r="D719" s="2100"/>
    </row>
    <row r="720" spans="1:4" s="1809" customFormat="1" ht="15" x14ac:dyDescent="0.2">
      <c r="A720" s="1856"/>
      <c r="B720" s="1856"/>
      <c r="C720" s="2099"/>
      <c r="D720" s="2100"/>
    </row>
    <row r="721" spans="1:4" s="1809" customFormat="1" ht="15" x14ac:dyDescent="0.2">
      <c r="A721" s="1856"/>
      <c r="B721" s="1856"/>
      <c r="C721" s="2099"/>
      <c r="D721" s="2100"/>
    </row>
    <row r="722" spans="1:4" s="1809" customFormat="1" ht="15" x14ac:dyDescent="0.2">
      <c r="A722" s="1856"/>
      <c r="B722" s="1856"/>
      <c r="C722" s="2099"/>
      <c r="D722" s="2100"/>
    </row>
    <row r="723" spans="1:4" s="1809" customFormat="1" ht="15" x14ac:dyDescent="0.2">
      <c r="A723" s="1856"/>
      <c r="B723" s="1856"/>
      <c r="C723" s="2099"/>
      <c r="D723" s="2100"/>
    </row>
    <row r="724" spans="1:4" s="1809" customFormat="1" ht="15" x14ac:dyDescent="0.2">
      <c r="A724" s="1856"/>
      <c r="B724" s="1856"/>
      <c r="C724" s="2099"/>
      <c r="D724" s="2100"/>
    </row>
    <row r="725" spans="1:4" s="1809" customFormat="1" ht="15" x14ac:dyDescent="0.2">
      <c r="A725" s="1856"/>
      <c r="B725" s="1856"/>
      <c r="C725" s="2099"/>
      <c r="D725" s="2100"/>
    </row>
    <row r="726" spans="1:4" s="1809" customFormat="1" ht="15" x14ac:dyDescent="0.2">
      <c r="A726" s="1856"/>
      <c r="B726" s="1856"/>
      <c r="C726" s="2099"/>
      <c r="D726" s="2100"/>
    </row>
    <row r="727" spans="1:4" s="1809" customFormat="1" ht="15" x14ac:dyDescent="0.2">
      <c r="A727" s="1856"/>
      <c r="B727" s="1856"/>
      <c r="C727" s="2099"/>
      <c r="D727" s="2100"/>
    </row>
    <row r="728" spans="1:4" s="1809" customFormat="1" ht="15" x14ac:dyDescent="0.2">
      <c r="A728" s="1856"/>
      <c r="B728" s="1856"/>
      <c r="C728" s="2099"/>
      <c r="D728" s="2100"/>
    </row>
    <row r="729" spans="1:4" s="1809" customFormat="1" ht="15" x14ac:dyDescent="0.2">
      <c r="A729" s="1856"/>
      <c r="B729" s="1856"/>
      <c r="C729" s="2099"/>
      <c r="D729" s="2100"/>
    </row>
    <row r="730" spans="1:4" s="1809" customFormat="1" ht="15" x14ac:dyDescent="0.2">
      <c r="A730" s="1856"/>
      <c r="B730" s="2102"/>
      <c r="C730" s="2099"/>
      <c r="D730" s="2100"/>
    </row>
    <row r="731" spans="1:4" s="1809" customFormat="1" ht="15" x14ac:dyDescent="0.2">
      <c r="A731" s="1856"/>
      <c r="B731" s="1856"/>
      <c r="C731" s="2099"/>
      <c r="D731" s="2100"/>
    </row>
    <row r="732" spans="1:4" s="1809" customFormat="1" ht="15" x14ac:dyDescent="0.2">
      <c r="A732" s="1856"/>
      <c r="B732" s="1856"/>
      <c r="C732" s="2099"/>
      <c r="D732" s="2100"/>
    </row>
    <row r="733" spans="1:4" s="1809" customFormat="1" ht="15" x14ac:dyDescent="0.2">
      <c r="A733" s="1856"/>
      <c r="B733" s="1856"/>
      <c r="C733" s="2099"/>
      <c r="D733" s="2100"/>
    </row>
    <row r="734" spans="1:4" s="1809" customFormat="1" ht="15" x14ac:dyDescent="0.2">
      <c r="A734" s="1856"/>
      <c r="B734" s="1856"/>
      <c r="C734" s="2099"/>
      <c r="D734" s="2100"/>
    </row>
    <row r="735" spans="1:4" s="1809" customFormat="1" ht="15" x14ac:dyDescent="0.2">
      <c r="A735" s="1856"/>
      <c r="B735" s="1856"/>
      <c r="C735" s="2099"/>
      <c r="D735" s="2100"/>
    </row>
    <row r="736" spans="1:4" s="1809" customFormat="1" ht="15" x14ac:dyDescent="0.2">
      <c r="A736" s="1856"/>
      <c r="B736" s="1856"/>
      <c r="C736" s="2099"/>
      <c r="D736" s="2100"/>
    </row>
    <row r="737" spans="1:4" s="1809" customFormat="1" ht="15" x14ac:dyDescent="0.2">
      <c r="A737" s="1856"/>
      <c r="B737" s="1856"/>
      <c r="C737" s="2099"/>
      <c r="D737" s="2100"/>
    </row>
    <row r="738" spans="1:4" s="1809" customFormat="1" ht="15" x14ac:dyDescent="0.2">
      <c r="A738" s="1856"/>
      <c r="B738" s="1856"/>
      <c r="C738" s="2099"/>
      <c r="D738" s="2100"/>
    </row>
    <row r="739" spans="1:4" s="1809" customFormat="1" ht="15" x14ac:dyDescent="0.2">
      <c r="A739" s="1856"/>
      <c r="B739" s="1856"/>
      <c r="C739" s="2099"/>
      <c r="D739" s="2100"/>
    </row>
    <row r="740" spans="1:4" s="1809" customFormat="1" ht="15" x14ac:dyDescent="0.2">
      <c r="A740" s="1856"/>
      <c r="B740" s="1856"/>
      <c r="C740" s="2099"/>
      <c r="D740" s="2100"/>
    </row>
    <row r="741" spans="1:4" ht="15" x14ac:dyDescent="0.2">
      <c r="A741" s="1856"/>
      <c r="B741" s="1856"/>
      <c r="C741" s="2099"/>
      <c r="D741" s="2100"/>
    </row>
    <row r="742" spans="1:4" s="1809" customFormat="1" ht="15" x14ac:dyDescent="0.2">
      <c r="A742" s="1856"/>
      <c r="B742" s="1856"/>
      <c r="C742" s="2099"/>
      <c r="D742" s="2100"/>
    </row>
    <row r="743" spans="1:4" ht="15" x14ac:dyDescent="0.2">
      <c r="A743" s="1856"/>
      <c r="B743" s="1856"/>
      <c r="C743" s="2099"/>
      <c r="D743" s="2100"/>
    </row>
    <row r="744" spans="1:4" s="1809" customFormat="1" ht="15" x14ac:dyDescent="0.2">
      <c r="A744" s="1856"/>
      <c r="B744" s="1856"/>
      <c r="C744" s="2099"/>
      <c r="D744" s="2100"/>
    </row>
    <row r="745" spans="1:4" s="1809" customFormat="1" ht="15" x14ac:dyDescent="0.2">
      <c r="A745" s="1856"/>
      <c r="B745" s="1856"/>
      <c r="C745" s="2099"/>
      <c r="D745" s="2100"/>
    </row>
    <row r="746" spans="1:4" s="1809" customFormat="1" ht="15" x14ac:dyDescent="0.2">
      <c r="A746" s="1856"/>
      <c r="B746" s="1856"/>
      <c r="C746" s="2099"/>
      <c r="D746" s="2100"/>
    </row>
    <row r="747" spans="1:4" s="1809" customFormat="1" ht="15" x14ac:dyDescent="0.2">
      <c r="A747" s="1856"/>
      <c r="B747" s="1856"/>
      <c r="C747" s="2099"/>
      <c r="D747" s="2100"/>
    </row>
    <row r="748" spans="1:4" s="1809" customFormat="1" ht="15" x14ac:dyDescent="0.2">
      <c r="A748" s="1856"/>
      <c r="B748" s="1856"/>
      <c r="C748" s="2099"/>
      <c r="D748" s="2100"/>
    </row>
    <row r="749" spans="1:4" s="1809" customFormat="1" ht="15" x14ac:dyDescent="0.2">
      <c r="A749" s="1856"/>
      <c r="B749" s="1856"/>
      <c r="C749" s="2099"/>
      <c r="D749" s="2100"/>
    </row>
    <row r="750" spans="1:4" s="1809" customFormat="1" ht="15" x14ac:dyDescent="0.2">
      <c r="A750" s="1856"/>
      <c r="B750" s="1856"/>
      <c r="C750" s="2099"/>
      <c r="D750" s="2100"/>
    </row>
    <row r="751" spans="1:4" s="1809" customFormat="1" ht="15" x14ac:dyDescent="0.2">
      <c r="A751" s="212"/>
      <c r="B751" s="212"/>
      <c r="C751" s="2101"/>
      <c r="D751" s="2101"/>
    </row>
    <row r="752" spans="1:4" s="1809" customFormat="1" ht="15" x14ac:dyDescent="0.2">
      <c r="A752" s="1856"/>
      <c r="B752" s="1856"/>
      <c r="C752" s="2099"/>
      <c r="D752" s="2100"/>
    </row>
    <row r="753" spans="1:4" s="1809" customFormat="1" ht="15" x14ac:dyDescent="0.2">
      <c r="A753" s="1856"/>
      <c r="B753" s="1856"/>
      <c r="C753" s="2099"/>
      <c r="D753" s="2100"/>
    </row>
    <row r="754" spans="1:4" ht="15" x14ac:dyDescent="0.2">
      <c r="A754" s="1856"/>
      <c r="B754" s="1856"/>
      <c r="C754" s="2099"/>
      <c r="D754" s="2100"/>
    </row>
    <row r="755" spans="1:4" s="1809" customFormat="1" ht="15" x14ac:dyDescent="0.2">
      <c r="A755" s="1856"/>
      <c r="B755" s="1856"/>
      <c r="C755" s="2099"/>
      <c r="D755" s="2100"/>
    </row>
    <row r="756" spans="1:4" ht="15" x14ac:dyDescent="0.2">
      <c r="A756" s="1856"/>
      <c r="B756" s="1856"/>
      <c r="C756" s="2099"/>
      <c r="D756" s="2100"/>
    </row>
    <row r="757" spans="1:4" s="1809" customFormat="1" ht="15" x14ac:dyDescent="0.2">
      <c r="A757" s="1856"/>
      <c r="B757" s="1856"/>
      <c r="C757" s="2099"/>
      <c r="D757" s="2100"/>
    </row>
    <row r="758" spans="1:4" s="1809" customFormat="1" ht="15" x14ac:dyDescent="0.2">
      <c r="A758" s="1856"/>
      <c r="B758" s="1856"/>
      <c r="C758" s="2099"/>
      <c r="D758" s="2100"/>
    </row>
    <row r="759" spans="1:4" s="1809" customFormat="1" ht="15" x14ac:dyDescent="0.2">
      <c r="A759" s="1856"/>
      <c r="B759" s="1856"/>
      <c r="C759" s="2099"/>
      <c r="D759" s="2100"/>
    </row>
    <row r="760" spans="1:4" s="1809" customFormat="1" ht="15" x14ac:dyDescent="0.2">
      <c r="A760" s="1856"/>
      <c r="B760" s="1856"/>
      <c r="C760" s="2099"/>
      <c r="D760" s="2100"/>
    </row>
    <row r="761" spans="1:4" s="1809" customFormat="1" ht="15" x14ac:dyDescent="0.2">
      <c r="A761" s="1856"/>
      <c r="B761" s="1856"/>
      <c r="C761" s="2099"/>
      <c r="D761" s="2100"/>
    </row>
    <row r="762" spans="1:4" s="1809" customFormat="1" ht="15" x14ac:dyDescent="0.2">
      <c r="A762" s="1856"/>
      <c r="B762" s="1856"/>
      <c r="C762" s="2099"/>
      <c r="D762" s="2100"/>
    </row>
    <row r="763" spans="1:4" s="1809" customFormat="1" ht="15" x14ac:dyDescent="0.2">
      <c r="A763" s="1856"/>
      <c r="B763" s="1856"/>
      <c r="C763" s="2099"/>
      <c r="D763" s="2100"/>
    </row>
    <row r="764" spans="1:4" s="1809" customFormat="1" ht="15" x14ac:dyDescent="0.2">
      <c r="A764" s="1856"/>
      <c r="B764" s="1856"/>
      <c r="C764" s="2099"/>
      <c r="D764" s="2100"/>
    </row>
    <row r="765" spans="1:4" s="1809" customFormat="1" ht="15" x14ac:dyDescent="0.2">
      <c r="A765" s="1856"/>
      <c r="B765" s="1856"/>
      <c r="C765" s="2099"/>
      <c r="D765" s="2100"/>
    </row>
    <row r="766" spans="1:4" s="1809" customFormat="1" ht="15" x14ac:dyDescent="0.2">
      <c r="A766" s="1856"/>
      <c r="B766" s="1856"/>
      <c r="C766" s="2099"/>
      <c r="D766" s="2100"/>
    </row>
    <row r="767" spans="1:4" s="1809" customFormat="1" ht="15" x14ac:dyDescent="0.2">
      <c r="A767" s="1856"/>
      <c r="B767" s="1856"/>
      <c r="C767" s="2099"/>
      <c r="D767" s="2100"/>
    </row>
    <row r="768" spans="1:4" s="1809" customFormat="1" ht="15" x14ac:dyDescent="0.2">
      <c r="A768" s="1856"/>
      <c r="B768" s="1856"/>
      <c r="C768" s="2099"/>
      <c r="D768" s="2100"/>
    </row>
    <row r="769" spans="1:4" s="1809" customFormat="1" ht="15" x14ac:dyDescent="0.2">
      <c r="A769" s="1856"/>
      <c r="B769" s="1856"/>
      <c r="C769" s="2099"/>
      <c r="D769" s="2100"/>
    </row>
    <row r="770" spans="1:4" s="1809" customFormat="1" ht="15" x14ac:dyDescent="0.2">
      <c r="A770" s="1856"/>
      <c r="B770" s="1856"/>
      <c r="C770" s="2099"/>
      <c r="D770" s="2100"/>
    </row>
    <row r="771" spans="1:4" s="1809" customFormat="1" ht="15" x14ac:dyDescent="0.2">
      <c r="A771" s="1856"/>
      <c r="B771" s="1856"/>
      <c r="C771" s="2099"/>
      <c r="D771" s="2100"/>
    </row>
    <row r="772" spans="1:4" s="1809" customFormat="1" ht="15" x14ac:dyDescent="0.2">
      <c r="A772" s="1856"/>
      <c r="B772" s="1856"/>
      <c r="C772" s="2099"/>
      <c r="D772" s="2100"/>
    </row>
    <row r="773" spans="1:4" s="1809" customFormat="1" ht="15" x14ac:dyDescent="0.2">
      <c r="A773" s="1856"/>
      <c r="B773" s="1856"/>
      <c r="C773" s="2099"/>
      <c r="D773" s="2100"/>
    </row>
    <row r="774" spans="1:4" s="1809" customFormat="1" ht="15" x14ac:dyDescent="0.2">
      <c r="A774" s="1856"/>
      <c r="B774" s="1856"/>
      <c r="C774" s="2099"/>
      <c r="D774" s="2100"/>
    </row>
    <row r="775" spans="1:4" s="1809" customFormat="1" ht="15" x14ac:dyDescent="0.2">
      <c r="A775" s="1856"/>
      <c r="B775" s="1856"/>
      <c r="C775" s="2099"/>
      <c r="D775" s="2100"/>
    </row>
    <row r="776" spans="1:4" s="1809" customFormat="1" ht="15" x14ac:dyDescent="0.2">
      <c r="A776" s="1856"/>
      <c r="B776" s="1856"/>
      <c r="C776" s="2099"/>
      <c r="D776" s="2100"/>
    </row>
    <row r="777" spans="1:4" s="1809" customFormat="1" ht="15" x14ac:dyDescent="0.2">
      <c r="A777" s="1856"/>
      <c r="B777" s="1856"/>
      <c r="C777" s="2099"/>
      <c r="D777" s="2100"/>
    </row>
    <row r="778" spans="1:4" s="1809" customFormat="1" ht="15" x14ac:dyDescent="0.2">
      <c r="A778" s="1856"/>
      <c r="B778" s="1856"/>
      <c r="C778" s="2099"/>
      <c r="D778" s="2100"/>
    </row>
    <row r="779" spans="1:4" s="1809" customFormat="1" ht="15" x14ac:dyDescent="0.2">
      <c r="A779" s="1856"/>
      <c r="B779" s="1856"/>
      <c r="C779" s="2099"/>
      <c r="D779" s="2100"/>
    </row>
    <row r="780" spans="1:4" s="1809" customFormat="1" ht="15" x14ac:dyDescent="0.2">
      <c r="A780" s="1856"/>
      <c r="B780" s="1856"/>
      <c r="C780" s="2099"/>
      <c r="D780" s="2100"/>
    </row>
    <row r="781" spans="1:4" s="1809" customFormat="1" ht="15" x14ac:dyDescent="0.2">
      <c r="A781" s="1856"/>
      <c r="B781" s="1856"/>
      <c r="C781" s="2099"/>
      <c r="D781" s="2100"/>
    </row>
    <row r="782" spans="1:4" s="1809" customFormat="1" ht="15" x14ac:dyDescent="0.2">
      <c r="A782" s="1856"/>
      <c r="B782" s="1856"/>
      <c r="C782" s="2099"/>
      <c r="D782" s="2100"/>
    </row>
    <row r="783" spans="1:4" s="1809" customFormat="1" ht="15" x14ac:dyDescent="0.2">
      <c r="A783" s="1856"/>
      <c r="B783" s="1856"/>
      <c r="C783" s="2099"/>
      <c r="D783" s="2100"/>
    </row>
    <row r="784" spans="1:4" s="1809" customFormat="1" ht="15" x14ac:dyDescent="0.2">
      <c r="A784" s="1856"/>
      <c r="B784" s="1856"/>
      <c r="C784" s="2099"/>
      <c r="D784" s="2100"/>
    </row>
    <row r="785" spans="1:4" s="1809" customFormat="1" ht="15" x14ac:dyDescent="0.2">
      <c r="A785" s="1856"/>
      <c r="B785" s="1856"/>
      <c r="C785" s="2099"/>
      <c r="D785" s="2100"/>
    </row>
    <row r="786" spans="1:4" s="1809" customFormat="1" ht="15" x14ac:dyDescent="0.2">
      <c r="A786" s="1856"/>
      <c r="B786" s="1856"/>
      <c r="C786" s="2099"/>
      <c r="D786" s="2100"/>
    </row>
    <row r="787" spans="1:4" s="1809" customFormat="1" ht="15" x14ac:dyDescent="0.2">
      <c r="A787" s="1856"/>
      <c r="B787" s="1856"/>
      <c r="C787" s="2099"/>
      <c r="D787" s="2100"/>
    </row>
    <row r="788" spans="1:4" s="1809" customFormat="1" ht="15" x14ac:dyDescent="0.2">
      <c r="A788" s="1856"/>
      <c r="B788" s="1856"/>
      <c r="C788" s="2099"/>
      <c r="D788" s="2100"/>
    </row>
    <row r="789" spans="1:4" s="1809" customFormat="1" ht="15" x14ac:dyDescent="0.2">
      <c r="A789" s="1856"/>
      <c r="B789" s="1856"/>
      <c r="C789" s="2099"/>
      <c r="D789" s="2100"/>
    </row>
    <row r="790" spans="1:4" s="1809" customFormat="1" ht="15" x14ac:dyDescent="0.2">
      <c r="A790" s="1856"/>
      <c r="B790" s="1856"/>
      <c r="C790" s="2099"/>
      <c r="D790" s="2100"/>
    </row>
    <row r="791" spans="1:4" s="1809" customFormat="1" ht="15" x14ac:dyDescent="0.2">
      <c r="A791" s="1856"/>
      <c r="B791" s="1856"/>
      <c r="C791" s="2099"/>
      <c r="D791" s="2100"/>
    </row>
    <row r="792" spans="1:4" s="1809" customFormat="1" ht="15" x14ac:dyDescent="0.2">
      <c r="A792" s="1856"/>
      <c r="B792" s="1856"/>
      <c r="C792" s="2099"/>
      <c r="D792" s="2100"/>
    </row>
    <row r="793" spans="1:4" s="1809" customFormat="1" ht="15" x14ac:dyDescent="0.2">
      <c r="A793" s="1856"/>
      <c r="B793" s="1856"/>
      <c r="C793" s="2099"/>
      <c r="D793" s="2100"/>
    </row>
    <row r="794" spans="1:4" s="1809" customFormat="1" ht="15" x14ac:dyDescent="0.2">
      <c r="A794" s="1856"/>
      <c r="B794" s="1856"/>
      <c r="C794" s="2099"/>
      <c r="D794" s="2100"/>
    </row>
    <row r="795" spans="1:4" ht="15" x14ac:dyDescent="0.2">
      <c r="A795" s="1856"/>
      <c r="B795" s="1856"/>
      <c r="C795" s="2099"/>
      <c r="D795" s="2100"/>
    </row>
    <row r="796" spans="1:4" s="1809" customFormat="1" ht="15" x14ac:dyDescent="0.2">
      <c r="A796" s="1856"/>
      <c r="B796" s="1856"/>
      <c r="C796" s="2099"/>
      <c r="D796" s="2100"/>
    </row>
    <row r="797" spans="1:4" s="1809" customFormat="1" ht="15" x14ac:dyDescent="0.2">
      <c r="A797" s="1856"/>
      <c r="B797" s="1856"/>
      <c r="C797" s="2099"/>
      <c r="D797" s="2100"/>
    </row>
    <row r="798" spans="1:4" s="1809" customFormat="1" ht="15" x14ac:dyDescent="0.2">
      <c r="A798" s="1856"/>
      <c r="B798" s="1856"/>
      <c r="C798" s="2099"/>
      <c r="D798" s="2100"/>
    </row>
    <row r="799" spans="1:4" s="1809" customFormat="1" ht="15" x14ac:dyDescent="0.2">
      <c r="A799" s="1856"/>
      <c r="B799" s="1856"/>
      <c r="C799" s="2099"/>
      <c r="D799" s="2100"/>
    </row>
    <row r="800" spans="1:4" s="1809" customFormat="1" ht="15" x14ac:dyDescent="0.2">
      <c r="A800" s="1856"/>
      <c r="B800" s="1856"/>
      <c r="C800" s="2099"/>
      <c r="D800" s="2100"/>
    </row>
    <row r="801" spans="1:4" s="1809" customFormat="1" ht="15" x14ac:dyDescent="0.2">
      <c r="A801" s="1856"/>
      <c r="B801" s="1856"/>
      <c r="C801" s="2099"/>
      <c r="D801" s="2100"/>
    </row>
    <row r="802" spans="1:4" s="1809" customFormat="1" ht="15" x14ac:dyDescent="0.2">
      <c r="A802" s="1856"/>
      <c r="B802" s="1856"/>
      <c r="C802" s="2099"/>
      <c r="D802" s="2100"/>
    </row>
    <row r="803" spans="1:4" s="1809" customFormat="1" ht="15" x14ac:dyDescent="0.2">
      <c r="A803" s="1856"/>
      <c r="B803" s="1856"/>
      <c r="C803" s="2099"/>
      <c r="D803" s="2100"/>
    </row>
  </sheetData>
  <sheetProtection selectLockedCells="1" selectUnlockedCells="1"/>
  <mergeCells count="22">
    <mergeCell ref="A14:A16"/>
    <mergeCell ref="A2:D2"/>
    <mergeCell ref="A3:D3"/>
    <mergeCell ref="A4:D4"/>
    <mergeCell ref="A7:D7"/>
    <mergeCell ref="A12:D12"/>
    <mergeCell ref="A134:A141"/>
    <mergeCell ref="B134:B135"/>
    <mergeCell ref="B18:B19"/>
    <mergeCell ref="B74:B75"/>
    <mergeCell ref="A93:A108"/>
    <mergeCell ref="A109:A119"/>
    <mergeCell ref="A22:A26"/>
    <mergeCell ref="A27:A33"/>
    <mergeCell ref="A34:A35"/>
    <mergeCell ref="A37:A40"/>
    <mergeCell ref="A41:A47"/>
    <mergeCell ref="A74:A91"/>
    <mergeCell ref="A121:A133"/>
    <mergeCell ref="A48:A59"/>
    <mergeCell ref="A61:A73"/>
    <mergeCell ref="A17:A21"/>
  </mergeCells>
  <printOptions horizontalCentered="1"/>
  <pageMargins left="0.39370078740157483" right="0.39370078740157483" top="0.39370078740157483" bottom="0.98425196850393704" header="0" footer="0.39370078740157483"/>
  <pageSetup paperSize="9" scale="88" firstPageNumber="151" fitToHeight="0" orientation="landscape" useFirstPageNumber="1" r:id="rId1"/>
  <headerFooter alignWithMargins="0">
    <oddFooter>&amp;RPágina &amp;P de 249</oddFooter>
  </headerFooter>
  <rowBreaks count="4" manualBreakCount="4">
    <brk id="35" max="3" man="1"/>
    <brk id="59" max="3" man="1"/>
    <brk id="91" max="3" man="1"/>
    <brk id="119" max="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1"/>
  <dimension ref="A1:S59"/>
  <sheetViews>
    <sheetView view="pageBreakPreview" zoomScale="90" zoomScaleNormal="100" zoomScaleSheetLayoutView="90" zoomScalePageLayoutView="77" workbookViewId="0">
      <selection activeCell="I124" sqref="I123:I124"/>
    </sheetView>
  </sheetViews>
  <sheetFormatPr defaultRowHeight="12.75" x14ac:dyDescent="0.2"/>
  <cols>
    <col min="1" max="1" width="13.28515625" style="1753" customWidth="1"/>
    <col min="2" max="2" width="34.5703125" style="1753" customWidth="1"/>
    <col min="3" max="3" width="12.140625" style="1753" customWidth="1"/>
    <col min="4" max="4" width="17.140625" style="1753" customWidth="1"/>
    <col min="5" max="18" width="17.5703125" style="1767" customWidth="1"/>
    <col min="19" max="19" width="16.28515625" style="1820" customWidth="1"/>
    <col min="20" max="16384" width="9.140625" style="1753"/>
  </cols>
  <sheetData>
    <row r="1" spans="1:19" s="1738" customFormat="1" ht="15" x14ac:dyDescent="0.2">
      <c r="A1" s="2123" t="s">
        <v>34</v>
      </c>
      <c r="B1" s="2123"/>
      <c r="C1" s="2123"/>
      <c r="D1" s="2123"/>
      <c r="E1" s="2123"/>
      <c r="F1" s="2123"/>
      <c r="G1" s="2123"/>
      <c r="H1" s="2123"/>
      <c r="I1" s="2123"/>
      <c r="J1" s="2123"/>
      <c r="K1" s="2123"/>
      <c r="L1" s="2123"/>
      <c r="M1" s="2123"/>
      <c r="N1" s="2123"/>
      <c r="O1" s="2123"/>
      <c r="P1" s="2123"/>
      <c r="Q1" s="2123"/>
      <c r="R1" s="2123"/>
      <c r="S1" s="1818"/>
    </row>
    <row r="2" spans="1:19" s="1738" customFormat="1" ht="15" x14ac:dyDescent="0.2">
      <c r="A2" s="2123" t="s">
        <v>35</v>
      </c>
      <c r="B2" s="2123"/>
      <c r="C2" s="2123"/>
      <c r="D2" s="2123"/>
      <c r="E2" s="2123"/>
      <c r="F2" s="2123"/>
      <c r="G2" s="2123"/>
      <c r="H2" s="2123"/>
      <c r="I2" s="2123"/>
      <c r="J2" s="2123"/>
      <c r="K2" s="2123"/>
      <c r="L2" s="2123"/>
      <c r="M2" s="2123"/>
      <c r="N2" s="2123"/>
      <c r="O2" s="2123"/>
      <c r="P2" s="2123"/>
      <c r="Q2" s="2123"/>
      <c r="R2" s="2123"/>
      <c r="S2" s="1818"/>
    </row>
    <row r="3" spans="1:19" s="1738" customFormat="1" ht="15" x14ac:dyDescent="0.2">
      <c r="A3" s="2123" t="s">
        <v>4980</v>
      </c>
      <c r="B3" s="2123"/>
      <c r="C3" s="2123"/>
      <c r="D3" s="2123"/>
      <c r="E3" s="2123"/>
      <c r="F3" s="2123"/>
      <c r="G3" s="2123"/>
      <c r="H3" s="2123"/>
      <c r="I3" s="2123"/>
      <c r="J3" s="2123"/>
      <c r="K3" s="2123"/>
      <c r="L3" s="2123"/>
      <c r="M3" s="2123"/>
      <c r="N3" s="2123"/>
      <c r="O3" s="2123"/>
      <c r="P3" s="2123"/>
      <c r="Q3" s="2123"/>
      <c r="R3" s="2123"/>
      <c r="S3" s="1818"/>
    </row>
    <row r="4" spans="1:19" s="1738" customFormat="1" ht="15" x14ac:dyDescent="0.2">
      <c r="A4" s="1739"/>
      <c r="B4" s="1739"/>
      <c r="C4" s="1739"/>
      <c r="D4" s="1740" t="s">
        <v>29</v>
      </c>
      <c r="E4" s="1741"/>
      <c r="F4" s="1742"/>
      <c r="G4" s="1743"/>
      <c r="H4" s="1744"/>
      <c r="I4" s="1744"/>
      <c r="J4" s="1745"/>
      <c r="S4" s="1818"/>
    </row>
    <row r="5" spans="1:19" s="1738" customFormat="1" ht="15" x14ac:dyDescent="0.2">
      <c r="A5" s="1739"/>
      <c r="B5" s="1739"/>
      <c r="C5" s="1739"/>
      <c r="D5" s="1740"/>
      <c r="E5" s="1741"/>
      <c r="F5" s="1746"/>
      <c r="G5" s="1747"/>
      <c r="H5" s="1748"/>
      <c r="I5" s="1748"/>
      <c r="J5" s="1749"/>
      <c r="S5" s="1818"/>
    </row>
    <row r="6" spans="1:19" s="1738" customFormat="1" ht="21" x14ac:dyDescent="0.2">
      <c r="A6" s="2128" t="s">
        <v>7862</v>
      </c>
      <c r="B6" s="2128"/>
      <c r="C6" s="2128"/>
      <c r="D6" s="2128"/>
      <c r="E6" s="2128"/>
      <c r="F6" s="2128"/>
      <c r="G6" s="2128"/>
      <c r="H6" s="2128"/>
      <c r="I6" s="2128"/>
      <c r="J6" s="2128"/>
      <c r="K6" s="2128"/>
      <c r="L6" s="2128"/>
      <c r="M6" s="2128"/>
      <c r="N6" s="2128"/>
      <c r="O6" s="2128"/>
      <c r="P6" s="2128"/>
      <c r="Q6" s="2128"/>
      <c r="R6" s="2128"/>
      <c r="S6" s="1818"/>
    </row>
    <row r="7" spans="1:19" s="1738" customFormat="1" ht="15" x14ac:dyDescent="0.2">
      <c r="A7" s="1739"/>
      <c r="B7" s="1739"/>
      <c r="C7" s="1739"/>
      <c r="D7" s="1740"/>
      <c r="E7" s="1741"/>
      <c r="F7" s="1742"/>
      <c r="G7" s="1743"/>
      <c r="H7" s="1744"/>
      <c r="I7" s="1744"/>
      <c r="J7" s="1745"/>
      <c r="S7" s="1818"/>
    </row>
    <row r="8" spans="1:19" s="1751" customFormat="1" ht="15" x14ac:dyDescent="0.2">
      <c r="A8" s="1750" t="s">
        <v>4443</v>
      </c>
      <c r="B8" s="2127" t="str">
        <f>'Orç - Canteiro e Adm'!B9:J9</f>
        <v>Construção do Edifício ULEG-FM</v>
      </c>
      <c r="C8" s="2127"/>
      <c r="D8" s="2127"/>
      <c r="E8" s="2127"/>
      <c r="F8" s="2127"/>
      <c r="G8" s="2127"/>
      <c r="H8" s="2127"/>
      <c r="I8" s="2127"/>
      <c r="J8" s="2127"/>
      <c r="S8" s="1819"/>
    </row>
    <row r="9" spans="1:19" s="1738" customFormat="1" ht="15" x14ac:dyDescent="0.2">
      <c r="A9" s="1750" t="s">
        <v>128</v>
      </c>
      <c r="B9" s="2127" t="str">
        <f>'Orç - Canteiro e Adm'!B10:J10</f>
        <v>Campus Darcy Ribeiro</v>
      </c>
      <c r="C9" s="2127"/>
      <c r="D9" s="2127"/>
      <c r="E9" s="2127"/>
      <c r="F9" s="2127"/>
      <c r="G9" s="2127"/>
      <c r="H9" s="2127"/>
      <c r="I9" s="2127"/>
      <c r="J9" s="2127"/>
      <c r="S9" s="1818"/>
    </row>
    <row r="10" spans="1:19" s="1738" customFormat="1" ht="15" x14ac:dyDescent="0.2">
      <c r="A10" s="1750" t="s">
        <v>4444</v>
      </c>
      <c r="B10" s="2126" t="str">
        <f>'Orç - Canteiro e Adm'!B11:J11</f>
        <v>Maio de 2020</v>
      </c>
      <c r="C10" s="2127"/>
      <c r="D10" s="2127"/>
      <c r="E10" s="2127"/>
      <c r="F10" s="2127"/>
      <c r="G10" s="2127"/>
      <c r="H10" s="2127"/>
      <c r="I10" s="2127"/>
      <c r="J10" s="2127"/>
      <c r="S10" s="1818"/>
    </row>
    <row r="11" spans="1:19" s="1738" customFormat="1" ht="15.75" thickBot="1" x14ac:dyDescent="0.25">
      <c r="A11" s="1750"/>
      <c r="B11" s="1752"/>
      <c r="C11" s="1752"/>
      <c r="D11" s="1752"/>
      <c r="E11" s="1752"/>
      <c r="F11" s="1752"/>
      <c r="G11" s="1752"/>
      <c r="H11" s="1752"/>
      <c r="I11" s="1752"/>
      <c r="J11" s="1752"/>
      <c r="S11" s="1818"/>
    </row>
    <row r="12" spans="1:19" x14ac:dyDescent="0.2">
      <c r="A12" s="2166" t="s">
        <v>26</v>
      </c>
      <c r="B12" s="2168" t="s">
        <v>24</v>
      </c>
      <c r="C12" s="2170" t="s">
        <v>25</v>
      </c>
      <c r="D12" s="2172" t="s">
        <v>4447</v>
      </c>
      <c r="E12" s="2165" t="s">
        <v>19</v>
      </c>
      <c r="F12" s="2165" t="s">
        <v>20</v>
      </c>
      <c r="G12" s="2165" t="s">
        <v>30</v>
      </c>
      <c r="H12" s="2165" t="s">
        <v>4982</v>
      </c>
      <c r="I12" s="2165" t="s">
        <v>7709</v>
      </c>
      <c r="J12" s="2165" t="s">
        <v>7710</v>
      </c>
      <c r="K12" s="2165" t="s">
        <v>7711</v>
      </c>
      <c r="L12" s="2165" t="s">
        <v>7712</v>
      </c>
      <c r="M12" s="2165" t="s">
        <v>7713</v>
      </c>
      <c r="N12" s="2165" t="s">
        <v>7714</v>
      </c>
      <c r="O12" s="2165" t="s">
        <v>7715</v>
      </c>
      <c r="P12" s="2165" t="s">
        <v>7716</v>
      </c>
      <c r="Q12" s="2165" t="s">
        <v>7717</v>
      </c>
      <c r="R12" s="2165" t="s">
        <v>7718</v>
      </c>
    </row>
    <row r="13" spans="1:19" ht="41.25" customHeight="1" thickBot="1" x14ac:dyDescent="0.25">
      <c r="A13" s="2167"/>
      <c r="B13" s="2169"/>
      <c r="C13" s="2171"/>
      <c r="D13" s="2173"/>
      <c r="E13" s="2165"/>
      <c r="F13" s="2165"/>
      <c r="G13" s="2165"/>
      <c r="H13" s="2165"/>
      <c r="I13" s="2165"/>
      <c r="J13" s="2165"/>
      <c r="K13" s="2165"/>
      <c r="L13" s="2165"/>
      <c r="M13" s="2165"/>
      <c r="N13" s="2165"/>
      <c r="O13" s="2165"/>
      <c r="P13" s="2165"/>
      <c r="Q13" s="2165"/>
      <c r="R13" s="2165"/>
    </row>
    <row r="14" spans="1:19" ht="15.75" thickBot="1" x14ac:dyDescent="0.25">
      <c r="A14" s="1754" t="s">
        <v>7708</v>
      </c>
      <c r="B14" s="1755"/>
      <c r="C14" s="1755"/>
      <c r="D14" s="1755"/>
      <c r="E14" s="1755"/>
      <c r="F14" s="1755"/>
      <c r="G14" s="1755"/>
      <c r="H14" s="1755"/>
      <c r="I14" s="1755"/>
      <c r="J14" s="1755"/>
      <c r="K14" s="1755"/>
      <c r="L14" s="1755"/>
      <c r="M14" s="1755"/>
      <c r="N14" s="1755"/>
      <c r="O14" s="1755"/>
      <c r="P14" s="1755"/>
      <c r="Q14" s="1755"/>
      <c r="R14" s="1755"/>
    </row>
    <row r="15" spans="1:19" ht="15.75" thickBot="1" x14ac:dyDescent="0.25">
      <c r="A15" s="2174" t="s">
        <v>7336</v>
      </c>
      <c r="B15" s="2176" t="s">
        <v>7332</v>
      </c>
      <c r="C15" s="2177">
        <f>D15/$D$53</f>
        <v>5.3072849849383264E-4</v>
      </c>
      <c r="D15" s="2178">
        <f>'Orç - Canteiro e Adm'!J24</f>
        <v>4807.6099999999997</v>
      </c>
      <c r="E15" s="1904">
        <f>ROUND(E16*$D15,2)</f>
        <v>139.57</v>
      </c>
      <c r="F15" s="1904">
        <f t="shared" ref="F15:R15" si="0">ROUND(F16*$D15,2)</f>
        <v>46.35</v>
      </c>
      <c r="G15" s="1904">
        <f t="shared" si="0"/>
        <v>123.06</v>
      </c>
      <c r="H15" s="1904">
        <f t="shared" si="0"/>
        <v>153.79</v>
      </c>
      <c r="I15" s="1904">
        <f t="shared" si="0"/>
        <v>411.62</v>
      </c>
      <c r="J15" s="1904">
        <f t="shared" si="0"/>
        <v>439.41</v>
      </c>
      <c r="K15" s="1904">
        <f t="shared" si="0"/>
        <v>197.58</v>
      </c>
      <c r="L15" s="1904">
        <f t="shared" si="0"/>
        <v>324.64</v>
      </c>
      <c r="M15" s="1904">
        <f t="shared" si="0"/>
        <v>307.97000000000003</v>
      </c>
      <c r="N15" s="1904">
        <f t="shared" si="0"/>
        <v>549.27</v>
      </c>
      <c r="O15" s="1904">
        <f>ROUND(O16*$D15,2)+0.01</f>
        <v>608.73</v>
      </c>
      <c r="P15" s="1904">
        <f t="shared" si="0"/>
        <v>584.21</v>
      </c>
      <c r="Q15" s="1904">
        <f>ROUND(Q16*$D15,2)</f>
        <v>586.66999999999996</v>
      </c>
      <c r="R15" s="1904">
        <f t="shared" si="0"/>
        <v>334.74</v>
      </c>
      <c r="S15" s="1765">
        <f>SUM(E15:R15)</f>
        <v>4807.6099999999997</v>
      </c>
    </row>
    <row r="16" spans="1:19" ht="15.75" thickBot="1" x14ac:dyDescent="0.25">
      <c r="A16" s="2175"/>
      <c r="B16" s="2176"/>
      <c r="C16" s="2177"/>
      <c r="D16" s="2178"/>
      <c r="E16" s="1905">
        <v>2.9031760317752835E-2</v>
      </c>
      <c r="F16" s="1905">
        <v>9.6407917489235197E-3</v>
      </c>
      <c r="G16" s="1905">
        <v>2.5596993539715538E-2</v>
      </c>
      <c r="H16" s="1905">
        <v>3.198859118812538E-2</v>
      </c>
      <c r="I16" s="1905">
        <v>8.5618774681543275E-2</v>
      </c>
      <c r="J16" s="1905">
        <v>9.1398598374687209E-2</v>
      </c>
      <c r="K16" s="1905">
        <v>4.1097704381416952E-2</v>
      </c>
      <c r="L16" s="1905">
        <v>6.7526861245235159E-2</v>
      </c>
      <c r="M16" s="1905">
        <v>6.4059822590832566E-2</v>
      </c>
      <c r="N16" s="1905">
        <v>0.11424942290190968</v>
      </c>
      <c r="O16" s="1905">
        <v>0.12661672099158094</v>
      </c>
      <c r="P16" s="1905">
        <v>0.12151769494108129</v>
      </c>
      <c r="Q16" s="1905">
        <v>0.1220295639237578</v>
      </c>
      <c r="R16" s="1905">
        <v>6.9626699173437695E-2</v>
      </c>
      <c r="S16" s="1817">
        <f>SUM(E16:R16)</f>
        <v>0.99999999999999989</v>
      </c>
    </row>
    <row r="17" spans="1:19" ht="15.75" thickBot="1" x14ac:dyDescent="0.25">
      <c r="A17" s="2174" t="s">
        <v>2</v>
      </c>
      <c r="B17" s="2176" t="s">
        <v>8</v>
      </c>
      <c r="C17" s="2177">
        <f t="shared" ref="C17" si="1">D17/$D$53</f>
        <v>2.4493315436249441E-2</v>
      </c>
      <c r="D17" s="2178">
        <f>'Orç - Canteiro e Adm'!J59</f>
        <v>221872.97</v>
      </c>
      <c r="E17" s="1904">
        <f>ROUND(E18*$D17,2)</f>
        <v>217963.43</v>
      </c>
      <c r="F17" s="1904">
        <f t="shared" ref="F17" si="2">ROUND(F18*$D17,2)</f>
        <v>1688.26</v>
      </c>
      <c r="G17" s="1904">
        <f t="shared" ref="G17" si="3">ROUND(G18*$D17,2)</f>
        <v>0</v>
      </c>
      <c r="H17" s="1904">
        <f t="shared" ref="H17" si="4">ROUND(H18*$D17,2)</f>
        <v>0</v>
      </c>
      <c r="I17" s="1904">
        <f t="shared" ref="I17" si="5">ROUND(I18*$D17,2)</f>
        <v>0</v>
      </c>
      <c r="J17" s="1904">
        <f t="shared" ref="J17" si="6">ROUND(J18*$D17,2)</f>
        <v>0</v>
      </c>
      <c r="K17" s="1904">
        <f t="shared" ref="K17" si="7">ROUND(K18*$D17,2)</f>
        <v>0</v>
      </c>
      <c r="L17" s="1904">
        <f t="shared" ref="L17" si="8">ROUND(L18*$D17,2)</f>
        <v>0</v>
      </c>
      <c r="M17" s="1904">
        <f t="shared" ref="M17" si="9">ROUND(M18*$D17,2)</f>
        <v>0</v>
      </c>
      <c r="N17" s="1904">
        <f t="shared" ref="N17" si="10">ROUND(N18*$D17,2)</f>
        <v>0</v>
      </c>
      <c r="O17" s="1904">
        <f t="shared" ref="O17" si="11">ROUND(O18*$D17,2)</f>
        <v>0</v>
      </c>
      <c r="P17" s="1904">
        <f t="shared" ref="P17" si="12">ROUND(P18*$D17,2)</f>
        <v>0</v>
      </c>
      <c r="Q17" s="1904">
        <f t="shared" ref="Q17" si="13">ROUND(Q18*$D17,2)</f>
        <v>0</v>
      </c>
      <c r="R17" s="1904">
        <f t="shared" ref="R17" si="14">ROUND(R18*$D17,2)</f>
        <v>2221.2800000000002</v>
      </c>
      <c r="S17" s="1765">
        <f t="shared" ref="S17:S22" si="15">SUM(E17:R17)</f>
        <v>221872.97</v>
      </c>
    </row>
    <row r="18" spans="1:19" ht="15.75" thickBot="1" x14ac:dyDescent="0.25">
      <c r="A18" s="2175"/>
      <c r="B18" s="2176"/>
      <c r="C18" s="2177"/>
      <c r="D18" s="2178"/>
      <c r="E18" s="1905">
        <f>'Orç - Canteiro e Adm'!M60</f>
        <v>0.98237939484020964</v>
      </c>
      <c r="F18" s="1905">
        <f>'Orç - Canteiro e Adm'!N60</f>
        <v>7.6091107447653489E-3</v>
      </c>
      <c r="G18" s="1905">
        <f>'Orç - Canteiro e Adm'!O60</f>
        <v>0</v>
      </c>
      <c r="H18" s="1905">
        <f>'Orç - Canteiro e Adm'!P60</f>
        <v>0</v>
      </c>
      <c r="I18" s="1905">
        <f>'Orç - Canteiro e Adm'!Q60</f>
        <v>0</v>
      </c>
      <c r="J18" s="1905">
        <f>'Orç - Canteiro e Adm'!R60</f>
        <v>0</v>
      </c>
      <c r="K18" s="1905">
        <f>'Orç - Canteiro e Adm'!S60</f>
        <v>0</v>
      </c>
      <c r="L18" s="1905">
        <f>'Orç - Canteiro e Adm'!T60</f>
        <v>0</v>
      </c>
      <c r="M18" s="1905">
        <f>'Orç - Canteiro e Adm'!U60</f>
        <v>0</v>
      </c>
      <c r="N18" s="1905">
        <f>'Orç - Canteiro e Adm'!V60</f>
        <v>0</v>
      </c>
      <c r="O18" s="1905">
        <f>'Orç - Canteiro e Adm'!W60</f>
        <v>0</v>
      </c>
      <c r="P18" s="1905">
        <f>'Orç - Canteiro e Adm'!X60</f>
        <v>0</v>
      </c>
      <c r="Q18" s="1905">
        <f>'Orç - Canteiro e Adm'!Y60</f>
        <v>0</v>
      </c>
      <c r="R18" s="1905">
        <f>'Orç - Canteiro e Adm'!Z60</f>
        <v>1.0011494415024958E-2</v>
      </c>
      <c r="S18" s="1817">
        <f t="shared" si="15"/>
        <v>0.99999999999999989</v>
      </c>
    </row>
    <row r="19" spans="1:19" ht="15.75" thickBot="1" x14ac:dyDescent="0.25">
      <c r="A19" s="2174" t="s">
        <v>13</v>
      </c>
      <c r="B19" s="2176" t="s">
        <v>4857</v>
      </c>
      <c r="C19" s="2177">
        <f t="shared" ref="C19" si="16">D19/$D$53</f>
        <v>5.0012446250673106E-3</v>
      </c>
      <c r="D19" s="2178">
        <f>'Orç - Canteiro e Adm'!J87</f>
        <v>45303.83</v>
      </c>
      <c r="E19" s="1904">
        <f>E20*$D19</f>
        <v>0</v>
      </c>
      <c r="F19" s="1904">
        <f t="shared" ref="F19" si="17">F20*$D19</f>
        <v>0</v>
      </c>
      <c r="G19" s="1904">
        <f t="shared" ref="G19" si="18">G20*$D19</f>
        <v>0</v>
      </c>
      <c r="H19" s="1904">
        <f t="shared" ref="H19" si="19">H20*$D19</f>
        <v>0</v>
      </c>
      <c r="I19" s="1904">
        <f t="shared" ref="I19" si="20">I20*$D19</f>
        <v>0</v>
      </c>
      <c r="J19" s="1904">
        <f t="shared" ref="J19" si="21">J20*$D19</f>
        <v>0</v>
      </c>
      <c r="K19" s="1904">
        <f t="shared" ref="K19" si="22">K20*$D19</f>
        <v>0</v>
      </c>
      <c r="L19" s="1904">
        <f t="shared" ref="L19" si="23">L20*$D19</f>
        <v>0</v>
      </c>
      <c r="M19" s="1904">
        <f t="shared" ref="M19" si="24">M20*$D19</f>
        <v>0</v>
      </c>
      <c r="N19" s="1904">
        <f t="shared" ref="N19" si="25">N20*$D19</f>
        <v>0</v>
      </c>
      <c r="O19" s="1904">
        <f t="shared" ref="O19" si="26">O20*$D19</f>
        <v>0</v>
      </c>
      <c r="P19" s="1904">
        <f t="shared" ref="P19" si="27">P20*$D19</f>
        <v>0</v>
      </c>
      <c r="Q19" s="1904">
        <f t="shared" ref="Q19" si="28">Q20*$D19</f>
        <v>0</v>
      </c>
      <c r="R19" s="1904">
        <f t="shared" ref="R19" si="29">R20*$D19</f>
        <v>45303.83</v>
      </c>
      <c r="S19" s="1765">
        <f t="shared" si="15"/>
        <v>45303.83</v>
      </c>
    </row>
    <row r="20" spans="1:19" ht="15.75" thickBot="1" x14ac:dyDescent="0.25">
      <c r="A20" s="2175"/>
      <c r="B20" s="2176"/>
      <c r="C20" s="2177"/>
      <c r="D20" s="2178"/>
      <c r="E20" s="1905">
        <f>'Orç - Canteiro e Adm'!M88</f>
        <v>0</v>
      </c>
      <c r="F20" s="1905">
        <f>'Orç - Canteiro e Adm'!N88</f>
        <v>0</v>
      </c>
      <c r="G20" s="1905">
        <f>'Orç - Canteiro e Adm'!O88</f>
        <v>0</v>
      </c>
      <c r="H20" s="1905">
        <f>'Orç - Canteiro e Adm'!P88</f>
        <v>0</v>
      </c>
      <c r="I20" s="1905">
        <f>'Orç - Canteiro e Adm'!Q88</f>
        <v>0</v>
      </c>
      <c r="J20" s="1905">
        <f>'Orç - Canteiro e Adm'!R88</f>
        <v>0</v>
      </c>
      <c r="K20" s="1905">
        <f>'Orç - Canteiro e Adm'!S88</f>
        <v>0</v>
      </c>
      <c r="L20" s="1905">
        <f>'Orç - Canteiro e Adm'!T88</f>
        <v>0</v>
      </c>
      <c r="M20" s="1905">
        <f>'Orç - Canteiro e Adm'!U88</f>
        <v>0</v>
      </c>
      <c r="N20" s="1905">
        <f>'Orç - Canteiro e Adm'!V88</f>
        <v>0</v>
      </c>
      <c r="O20" s="1905">
        <f>'Orç - Canteiro e Adm'!W88</f>
        <v>0</v>
      </c>
      <c r="P20" s="1905">
        <f>'Orç - Canteiro e Adm'!X88</f>
        <v>0</v>
      </c>
      <c r="Q20" s="1905">
        <f>'Orç - Canteiro e Adm'!Y88</f>
        <v>0</v>
      </c>
      <c r="R20" s="1905">
        <f>'Orç - Canteiro e Adm'!Z88</f>
        <v>1</v>
      </c>
      <c r="S20" s="1817">
        <f t="shared" si="15"/>
        <v>1</v>
      </c>
    </row>
    <row r="21" spans="1:19" ht="15.75" thickBot="1" x14ac:dyDescent="0.25">
      <c r="A21" s="2179" t="str">
        <f>'Orç - Canteiro e Adm'!A91</f>
        <v>10.01.000</v>
      </c>
      <c r="B21" s="2176" t="str" cm="1">
        <f t="array" ref="B21">'Orç - Canteiro e Adm'!B91:B91</f>
        <v>PESSOAL</v>
      </c>
      <c r="C21" s="2177">
        <f t="shared" ref="C21" si="30">D21/$D$53</f>
        <v>8.3915835700730315E-2</v>
      </c>
      <c r="D21" s="2180">
        <f>'Orç - Canteiro e Adm'!J99</f>
        <v>760152.53</v>
      </c>
      <c r="E21" s="1904">
        <f>ROUND(E22*$D21,2)</f>
        <v>22068.57</v>
      </c>
      <c r="F21" s="1904">
        <f t="shared" ref="F21" si="31">ROUND(F22*$D21,2)</f>
        <v>7328.47</v>
      </c>
      <c r="G21" s="1904">
        <f t="shared" ref="G21" si="32">ROUND(G22*$D21,2)</f>
        <v>19457.62</v>
      </c>
      <c r="H21" s="1904">
        <f t="shared" ref="H21" si="33">ROUND(H22*$D21,2)</f>
        <v>24316.21</v>
      </c>
      <c r="I21" s="1904">
        <f t="shared" ref="I21" si="34">ROUND(I22*$D21,2)</f>
        <v>65083.33</v>
      </c>
      <c r="J21" s="1904">
        <f t="shared" ref="J21" si="35">ROUND(J22*$D21,2)</f>
        <v>69476.88</v>
      </c>
      <c r="K21" s="1904">
        <f t="shared" ref="K21" si="36">ROUND(K22*$D21,2)</f>
        <v>31240.52</v>
      </c>
      <c r="L21" s="1904">
        <f t="shared" ref="L21" si="37">ROUND(L22*$D21,2)</f>
        <v>51330.71</v>
      </c>
      <c r="M21" s="1904">
        <f t="shared" ref="M21" si="38">ROUND(M22*$D21,2)</f>
        <v>48695.24</v>
      </c>
      <c r="N21" s="1904">
        <f t="shared" ref="N21" si="39">ROUND(N22*$D21,2)</f>
        <v>86846.99</v>
      </c>
      <c r="O21" s="1904">
        <f t="shared" ref="O21" si="40">ROUND(O22*$D21,2)</f>
        <v>96248.02</v>
      </c>
      <c r="P21" s="1904">
        <f>ROUND(P22*$D21,2)</f>
        <v>92371.98</v>
      </c>
      <c r="Q21" s="1904">
        <f t="shared" ref="Q21" si="41">ROUND(Q22*$D21,2)</f>
        <v>92761.08</v>
      </c>
      <c r="R21" s="1904">
        <f t="shared" ref="R21" si="42">ROUND(R22*$D21,2)</f>
        <v>52926.91</v>
      </c>
      <c r="S21" s="1765">
        <f t="shared" si="15"/>
        <v>760152.53</v>
      </c>
    </row>
    <row r="22" spans="1:19" ht="15.75" thickBot="1" x14ac:dyDescent="0.25">
      <c r="A22" s="2175"/>
      <c r="B22" s="2176"/>
      <c r="C22" s="2177"/>
      <c r="D22" s="2180"/>
      <c r="E22" s="1905">
        <v>2.903175984218977E-2</v>
      </c>
      <c r="F22" s="1905">
        <v>9.6407920189100875E-3</v>
      </c>
      <c r="G22" s="1905">
        <v>2.559699346732296E-2</v>
      </c>
      <c r="H22" s="1905">
        <v>3.1988591010009788E-2</v>
      </c>
      <c r="I22" s="1905">
        <v>8.5618774463262257E-2</v>
      </c>
      <c r="J22" s="1905">
        <v>9.1398597867422285E-2</v>
      </c>
      <c r="K22" s="1905">
        <v>4.10977048592251E-2</v>
      </c>
      <c r="L22" s="1905">
        <v>6.7526861778001476E-2</v>
      </c>
      <c r="M22" s="1905">
        <v>6.4059822134305888E-2</v>
      </c>
      <c r="N22" s="1905">
        <v>0.1142494226450748</v>
      </c>
      <c r="O22" s="1905">
        <v>0.12661672108828917</v>
      </c>
      <c r="P22" s="1905">
        <v>0.12151769533285935</v>
      </c>
      <c r="Q22" s="1905">
        <v>0.12202956413493893</v>
      </c>
      <c r="R22" s="1905">
        <v>6.9626699358188202E-2</v>
      </c>
      <c r="S22" s="1817">
        <f t="shared" si="15"/>
        <v>1</v>
      </c>
    </row>
    <row r="23" spans="1:19" s="2083" customFormat="1" ht="15.75" thickBot="1" x14ac:dyDescent="0.25">
      <c r="A23" s="2174" t="str">
        <f>'Orç - Canteiro e Adm'!A101</f>
        <v>10.03.000</v>
      </c>
      <c r="B23" s="2176" t="str" cm="1">
        <f t="array" ref="B23">'Orç - Canteiro e Adm'!B101:B101</f>
        <v>MÁQUINAS E EQUIPAMENTOS</v>
      </c>
      <c r="C23" s="2177">
        <f t="shared" ref="C23" si="43">D23/$D$53</f>
        <v>5.7465735116816585E-4</v>
      </c>
      <c r="D23" s="2180">
        <f>'Orç - Canteiro e Adm'!J105</f>
        <v>5205.54</v>
      </c>
      <c r="E23" s="1904">
        <f>ROUND(E24*$D23,2)</f>
        <v>0</v>
      </c>
      <c r="F23" s="1904">
        <f t="shared" ref="F23" si="44">ROUND(F24*$D23,2)</f>
        <v>1269.3</v>
      </c>
      <c r="G23" s="1904">
        <f t="shared" ref="G23" si="45">ROUND(G24*$D23,2)</f>
        <v>0</v>
      </c>
      <c r="H23" s="1904">
        <f t="shared" ref="H23" si="46">ROUND(H24*$D23,2)</f>
        <v>0</v>
      </c>
      <c r="I23" s="1904">
        <f t="shared" ref="I23" si="47">ROUND(I24*$D23,2)</f>
        <v>0</v>
      </c>
      <c r="J23" s="1904">
        <f t="shared" ref="J23" si="48">ROUND(J24*$D23,2)</f>
        <v>0</v>
      </c>
      <c r="K23" s="1904">
        <f t="shared" ref="K23" si="49">ROUND(K24*$D23,2)</f>
        <v>492.03</v>
      </c>
      <c r="L23" s="1904">
        <f t="shared" ref="L23" si="50">ROUND(L24*$D23,2)</f>
        <v>492.03</v>
      </c>
      <c r="M23" s="1904">
        <f t="shared" ref="M23" si="51">ROUND(M24*$D23,2)</f>
        <v>492.03</v>
      </c>
      <c r="N23" s="1904">
        <f t="shared" ref="N23" si="52">ROUND(N24*$D23,2)</f>
        <v>492.03</v>
      </c>
      <c r="O23" s="1904">
        <f t="shared" ref="O23" si="53">ROUND(O24*$D23,2)</f>
        <v>492.03</v>
      </c>
      <c r="P23" s="1904">
        <f t="shared" ref="P23" si="54">ROUND(P24*$D23,2)</f>
        <v>492.03</v>
      </c>
      <c r="Q23" s="1904">
        <f t="shared" ref="Q23" si="55">ROUND(Q24*$D23,2)</f>
        <v>492.03</v>
      </c>
      <c r="R23" s="1904">
        <f t="shared" ref="R23" si="56">ROUND(R24*$D23,2)</f>
        <v>492.03</v>
      </c>
      <c r="S23" s="1765">
        <f t="shared" ref="S23:S24" si="57">SUM(E23:R23)</f>
        <v>5205.5399999999981</v>
      </c>
    </row>
    <row r="24" spans="1:19" s="2083" customFormat="1" ht="15.75" thickBot="1" x14ac:dyDescent="0.25">
      <c r="A24" s="2175"/>
      <c r="B24" s="2176"/>
      <c r="C24" s="2177"/>
      <c r="D24" s="2180"/>
      <c r="E24" s="1905">
        <v>0</v>
      </c>
      <c r="F24" s="1905">
        <v>0.2438363743242776</v>
      </c>
      <c r="G24" s="1905">
        <v>0</v>
      </c>
      <c r="H24" s="1905">
        <v>0</v>
      </c>
      <c r="I24" s="1905">
        <v>0</v>
      </c>
      <c r="J24" s="1905">
        <v>0</v>
      </c>
      <c r="K24" s="1905">
        <v>9.452045320946531E-2</v>
      </c>
      <c r="L24" s="1905">
        <v>9.452045320946531E-2</v>
      </c>
      <c r="M24" s="1905">
        <v>9.452045320946531E-2</v>
      </c>
      <c r="N24" s="1905">
        <v>9.452045320946531E-2</v>
      </c>
      <c r="O24" s="1905">
        <v>9.452045320946531E-2</v>
      </c>
      <c r="P24" s="1905">
        <v>9.452045320946531E-2</v>
      </c>
      <c r="Q24" s="1905">
        <v>9.452045320946531E-2</v>
      </c>
      <c r="R24" s="1905">
        <v>9.452045320946531E-2</v>
      </c>
      <c r="S24" s="1817">
        <f t="shared" si="57"/>
        <v>1.0000000000000002</v>
      </c>
    </row>
    <row r="25" spans="1:19" ht="15.75" thickBot="1" x14ac:dyDescent="0.25">
      <c r="A25" s="1754" t="s">
        <v>9474</v>
      </c>
      <c r="B25" s="1755"/>
      <c r="C25" s="1755"/>
      <c r="D25" s="1755"/>
      <c r="E25" s="1755"/>
      <c r="F25" s="1755"/>
      <c r="G25" s="1755"/>
      <c r="H25" s="1755"/>
      <c r="I25" s="1755"/>
      <c r="J25" s="1755"/>
      <c r="K25" s="1755"/>
      <c r="L25" s="1755"/>
      <c r="M25" s="1755"/>
      <c r="N25" s="1755"/>
      <c r="O25" s="1755"/>
      <c r="P25" s="1755"/>
      <c r="Q25" s="1755"/>
      <c r="R25" s="1755"/>
    </row>
    <row r="26" spans="1:19" ht="15.75" thickBot="1" x14ac:dyDescent="0.25">
      <c r="A26" s="2174" t="s">
        <v>7336</v>
      </c>
      <c r="B26" s="2176" t="s">
        <v>7332</v>
      </c>
      <c r="C26" s="2177">
        <f t="shared" ref="C26:C40" si="58">D26/$D$53</f>
        <v>3.6650625689854687E-3</v>
      </c>
      <c r="D26" s="2180">
        <f>'Orç - Prédio'!J29</f>
        <v>33200.01</v>
      </c>
      <c r="E26" s="1904">
        <f>ROUND(E27*$D26,2)</f>
        <v>22203.52</v>
      </c>
      <c r="F26" s="1904">
        <f t="shared" ref="F26" si="59">ROUND(F27*$D26,2)</f>
        <v>4288.63</v>
      </c>
      <c r="G26" s="1904">
        <f t="shared" ref="G26" si="60">ROUND(G27*$D26,2)</f>
        <v>2859.09</v>
      </c>
      <c r="H26" s="1904">
        <f t="shared" ref="H26" si="61">ROUND(H27*$D26,2)</f>
        <v>2639.16</v>
      </c>
      <c r="I26" s="1904">
        <f t="shared" ref="I26" si="62">ROUND(I27*$D26,2)</f>
        <v>0</v>
      </c>
      <c r="J26" s="1904">
        <f t="shared" ref="J26" si="63">ROUND(J27*$D26,2)</f>
        <v>219.93</v>
      </c>
      <c r="K26" s="1904">
        <f t="shared" ref="K26" si="64">ROUND(K27*$D26,2)</f>
        <v>0</v>
      </c>
      <c r="L26" s="1904">
        <f t="shared" ref="L26" si="65">ROUND(L27*$D26,2)</f>
        <v>989.68</v>
      </c>
      <c r="M26" s="1904">
        <f t="shared" ref="M26" si="66">ROUND(M27*$D26,2)</f>
        <v>0</v>
      </c>
      <c r="N26" s="1904">
        <f t="shared" ref="N26" si="67">ROUND(N27*$D26,2)</f>
        <v>0</v>
      </c>
      <c r="O26" s="1904">
        <f t="shared" ref="O26" si="68">ROUND(O27*$D26,2)</f>
        <v>0</v>
      </c>
      <c r="P26" s="1904">
        <f t="shared" ref="P26" si="69">ROUND(P27*$D26,2)</f>
        <v>0</v>
      </c>
      <c r="Q26" s="1904">
        <f t="shared" ref="Q26" si="70">ROUND(Q27*$D26,2)</f>
        <v>0</v>
      </c>
      <c r="R26" s="1904">
        <f t="shared" ref="R26" si="71">ROUND(R27*$D26,2)</f>
        <v>0</v>
      </c>
      <c r="S26" s="1765">
        <f>SUM(E26:R26)</f>
        <v>33200.01</v>
      </c>
    </row>
    <row r="27" spans="1:19" ht="15.75" thickBot="1" x14ac:dyDescent="0.25">
      <c r="A27" s="2175"/>
      <c r="B27" s="2176"/>
      <c r="C27" s="2177"/>
      <c r="D27" s="2180"/>
      <c r="E27" s="1756">
        <f>'Orç - Prédio'!M30</f>
        <v>0.66878052145165012</v>
      </c>
      <c r="F27" s="1756">
        <f>'Orç - Prédio'!N30</f>
        <v>0.12917559663385644</v>
      </c>
      <c r="G27" s="1756">
        <f>'Orç - Prédio'!O30</f>
        <v>8.6117064422570944E-2</v>
      </c>
      <c r="H27" s="1756">
        <f>'Orç - Prédio'!P30</f>
        <v>7.9492674851603953E-2</v>
      </c>
      <c r="I27" s="1756">
        <f>'Orç - Prédio'!Q30</f>
        <v>0</v>
      </c>
      <c r="J27" s="1756">
        <f>'Orç - Prédio'!R30</f>
        <v>6.6243895709669964E-3</v>
      </c>
      <c r="K27" s="1756">
        <f>'Orç - Prédio'!S30</f>
        <v>0</v>
      </c>
      <c r="L27" s="1756">
        <f>'Orç - Prédio'!T30</f>
        <v>2.9809753069351481E-2</v>
      </c>
      <c r="M27" s="1756">
        <f>'Orç - Prédio'!U30</f>
        <v>0</v>
      </c>
      <c r="N27" s="1756">
        <f>'Orç - Prédio'!V30</f>
        <v>0</v>
      </c>
      <c r="O27" s="1756">
        <f>'Orç - Prédio'!W30</f>
        <v>0</v>
      </c>
      <c r="P27" s="1756">
        <f>'Orç - Prédio'!X30</f>
        <v>0</v>
      </c>
      <c r="Q27" s="1756">
        <f>'Orç - Prédio'!Y30</f>
        <v>0</v>
      </c>
      <c r="R27" s="1756">
        <f>'Orç - Prédio'!Z30</f>
        <v>0</v>
      </c>
      <c r="S27" s="1817">
        <f>SUM(E27:R27)</f>
        <v>1</v>
      </c>
    </row>
    <row r="28" spans="1:19" ht="15.75" thickBot="1" x14ac:dyDescent="0.25">
      <c r="A28" s="2174" t="s">
        <v>2</v>
      </c>
      <c r="B28" s="2176" t="s">
        <v>8</v>
      </c>
      <c r="C28" s="2177">
        <f t="shared" si="58"/>
        <v>1.4128767790405684E-3</v>
      </c>
      <c r="D28" s="2178">
        <f>'Orç - Prédio'!J50</f>
        <v>12798.56</v>
      </c>
      <c r="E28" s="1904">
        <f>ROUND(E29*$D28,2)</f>
        <v>609.42999999999995</v>
      </c>
      <c r="F28" s="1904">
        <f t="shared" ref="F28" si="72">ROUND(F29*$D28,2)</f>
        <v>12189.13</v>
      </c>
      <c r="G28" s="1904">
        <f t="shared" ref="G28" si="73">ROUND(G29*$D28,2)</f>
        <v>0</v>
      </c>
      <c r="H28" s="1904">
        <f t="shared" ref="H28" si="74">ROUND(H29*$D28,2)</f>
        <v>0</v>
      </c>
      <c r="I28" s="1904">
        <f t="shared" ref="I28" si="75">ROUND(I29*$D28,2)</f>
        <v>0</v>
      </c>
      <c r="J28" s="1904">
        <f t="shared" ref="J28" si="76">ROUND(J29*$D28,2)</f>
        <v>0</v>
      </c>
      <c r="K28" s="1904">
        <f t="shared" ref="K28" si="77">ROUND(K29*$D28,2)</f>
        <v>0</v>
      </c>
      <c r="L28" s="1904">
        <f t="shared" ref="L28" si="78">ROUND(L29*$D28,2)</f>
        <v>0</v>
      </c>
      <c r="M28" s="1904">
        <f t="shared" ref="M28" si="79">ROUND(M29*$D28,2)</f>
        <v>0</v>
      </c>
      <c r="N28" s="1904">
        <f t="shared" ref="N28" si="80">ROUND(N29*$D28,2)</f>
        <v>0</v>
      </c>
      <c r="O28" s="1904">
        <f t="shared" ref="O28" si="81">ROUND(O29*$D28,2)</f>
        <v>0</v>
      </c>
      <c r="P28" s="1904">
        <f t="shared" ref="P28" si="82">ROUND(P29*$D28,2)</f>
        <v>0</v>
      </c>
      <c r="Q28" s="1904">
        <f t="shared" ref="Q28" si="83">ROUND(Q29*$D28,2)</f>
        <v>0</v>
      </c>
      <c r="R28" s="1904">
        <f t="shared" ref="R28" si="84">ROUND(R29*$D28,2)</f>
        <v>0</v>
      </c>
      <c r="S28" s="1765">
        <f t="shared" ref="S28:S41" si="85">SUM(E28:R28)</f>
        <v>12798.56</v>
      </c>
    </row>
    <row r="29" spans="1:19" ht="15.75" thickBot="1" x14ac:dyDescent="0.25">
      <c r="A29" s="2175"/>
      <c r="B29" s="2176"/>
      <c r="C29" s="2177"/>
      <c r="D29" s="2178"/>
      <c r="E29" s="1756">
        <f>'Orç - Prédio'!M51</f>
        <v>4.76173882061732E-2</v>
      </c>
      <c r="F29" s="1756">
        <f>'Orç - Prédio'!N51</f>
        <v>0.95238261179382688</v>
      </c>
      <c r="G29" s="1756">
        <f>'Orç - Prédio'!O51</f>
        <v>0</v>
      </c>
      <c r="H29" s="1756">
        <f>'Orç - Prédio'!P51</f>
        <v>0</v>
      </c>
      <c r="I29" s="1756">
        <f>'Orç - Prédio'!Q51</f>
        <v>0</v>
      </c>
      <c r="J29" s="1756">
        <f>'Orç - Prédio'!R51</f>
        <v>0</v>
      </c>
      <c r="K29" s="1756">
        <f>'Orç - Prédio'!S51</f>
        <v>0</v>
      </c>
      <c r="L29" s="1756">
        <f>'Orç - Prédio'!T51</f>
        <v>0</v>
      </c>
      <c r="M29" s="1756">
        <f>'Orç - Prédio'!U51</f>
        <v>0</v>
      </c>
      <c r="N29" s="1756">
        <f>'Orç - Prédio'!V51</f>
        <v>0</v>
      </c>
      <c r="O29" s="1756">
        <f>'Orç - Prédio'!W51</f>
        <v>0</v>
      </c>
      <c r="P29" s="1756">
        <f>'Orç - Prédio'!X51</f>
        <v>0</v>
      </c>
      <c r="Q29" s="1756">
        <f>'Orç - Prédio'!Y51</f>
        <v>0</v>
      </c>
      <c r="R29" s="1756">
        <f>'Orç - Prédio'!Z51</f>
        <v>0</v>
      </c>
      <c r="S29" s="1817">
        <f t="shared" si="85"/>
        <v>1</v>
      </c>
    </row>
    <row r="30" spans="1:19" ht="15.75" thickBot="1" x14ac:dyDescent="0.25">
      <c r="A30" s="2174" t="s">
        <v>3</v>
      </c>
      <c r="B30" s="2176" t="s">
        <v>4851</v>
      </c>
      <c r="C30" s="2177">
        <f t="shared" si="58"/>
        <v>0.21056315622270075</v>
      </c>
      <c r="D30" s="2178">
        <f>'Orç - Prédio'!J115</f>
        <v>1907388.69</v>
      </c>
      <c r="E30" s="1904">
        <f>ROUND(E31*$D30,2)</f>
        <v>0</v>
      </c>
      <c r="F30" s="1904">
        <f t="shared" ref="F30" si="86">ROUND(F31*$D30,2)</f>
        <v>38715.760000000002</v>
      </c>
      <c r="G30" s="1904">
        <f t="shared" ref="G30" si="87">ROUND(G31*$D30,2)</f>
        <v>197754.2</v>
      </c>
      <c r="H30" s="1904">
        <f t="shared" ref="H30" si="88">ROUND(H31*$D30,2)</f>
        <v>226796.94</v>
      </c>
      <c r="I30" s="1904">
        <f t="shared" ref="I30" si="89">ROUND(I31*$D30,2)</f>
        <v>686138.96</v>
      </c>
      <c r="J30" s="1904">
        <f>ROUND(J31*$D30,2)-0.01</f>
        <v>677069.41</v>
      </c>
      <c r="K30" s="1904">
        <f t="shared" ref="K30" si="90">ROUND(K31*$D30,2)</f>
        <v>17735.28</v>
      </c>
      <c r="L30" s="1904">
        <f t="shared" ref="L30" si="91">ROUND(L31*$D30,2)</f>
        <v>55343.73</v>
      </c>
      <c r="M30" s="1904">
        <f t="shared" ref="M30" si="92">ROUND(M31*$D30,2)</f>
        <v>0</v>
      </c>
      <c r="N30" s="1904">
        <f t="shared" ref="N30" si="93">ROUND(N31*$D30,2)</f>
        <v>0</v>
      </c>
      <c r="O30" s="1904">
        <f t="shared" ref="O30" si="94">ROUND(O31*$D30,2)</f>
        <v>7834.4</v>
      </c>
      <c r="P30" s="1904">
        <f t="shared" ref="P30" si="95">ROUND(P31*$D30,2)</f>
        <v>0</v>
      </c>
      <c r="Q30" s="1904">
        <f t="shared" ref="Q30" si="96">ROUND(Q31*$D30,2)</f>
        <v>0</v>
      </c>
      <c r="R30" s="1904">
        <f t="shared" ref="R30" si="97">ROUND(R31*$D30,2)</f>
        <v>0</v>
      </c>
      <c r="S30" s="1765">
        <f t="shared" si="85"/>
        <v>1907388.68</v>
      </c>
    </row>
    <row r="31" spans="1:19" ht="15.75" thickBot="1" x14ac:dyDescent="0.25">
      <c r="A31" s="2175"/>
      <c r="B31" s="2176"/>
      <c r="C31" s="2177"/>
      <c r="D31" s="2178"/>
      <c r="E31" s="1756">
        <f>'Orç - Prédio'!M116</f>
        <v>0</v>
      </c>
      <c r="F31" s="1756">
        <f>'Orç - Prédio'!N116</f>
        <v>2.0297779997846165E-2</v>
      </c>
      <c r="G31" s="1756">
        <f>'Orç - Prédio'!O116</f>
        <v>0.10367797556773811</v>
      </c>
      <c r="H31" s="1756">
        <f>'Orç - Prédio'!P116</f>
        <v>0.11890441795583888</v>
      </c>
      <c r="I31" s="1756">
        <f>'Orç - Prédio'!Q116</f>
        <v>0.35972687035278583</v>
      </c>
      <c r="J31" s="1756">
        <f>'Orç - Prédio'!R116</f>
        <v>0.35497191712927684</v>
      </c>
      <c r="K31" s="1756">
        <f>'Orç - Prédio'!S116</f>
        <v>9.2981992044841155E-3</v>
      </c>
      <c r="L31" s="1756">
        <f>'Orç - Prédio'!T116</f>
        <v>2.9015444146310836E-2</v>
      </c>
      <c r="M31" s="1756">
        <f>'Orç - Prédio'!U116</f>
        <v>0</v>
      </c>
      <c r="N31" s="1756">
        <f>'Orç - Prédio'!V116</f>
        <v>0</v>
      </c>
      <c r="O31" s="1756">
        <f>'Orç - Prédio'!W116</f>
        <v>4.1073956457191741E-3</v>
      </c>
      <c r="P31" s="1756">
        <f>'Orç - Prédio'!X116</f>
        <v>0</v>
      </c>
      <c r="Q31" s="1756">
        <f>'Orç - Prédio'!Y116</f>
        <v>0</v>
      </c>
      <c r="R31" s="1756">
        <f>'Orç - Prédio'!Z116</f>
        <v>0</v>
      </c>
      <c r="S31" s="1817">
        <f t="shared" si="85"/>
        <v>1.0000000000000002</v>
      </c>
    </row>
    <row r="32" spans="1:19" ht="15.75" thickBot="1" x14ac:dyDescent="0.25">
      <c r="A32" s="2174" t="s">
        <v>4</v>
      </c>
      <c r="B32" s="2176" t="s">
        <v>4862</v>
      </c>
      <c r="C32" s="2177">
        <f t="shared" si="58"/>
        <v>0.3042331798829136</v>
      </c>
      <c r="D32" s="2178">
        <f>'Orç - Prédio'!J248</f>
        <v>2755899.6400000006</v>
      </c>
      <c r="E32" s="1904">
        <f>ROUND(E33*$D32,2)</f>
        <v>0</v>
      </c>
      <c r="F32" s="1904">
        <f t="shared" ref="F32" si="98">ROUND(F33*$D32,2)</f>
        <v>0</v>
      </c>
      <c r="G32" s="1904">
        <f t="shared" ref="G32" si="99">ROUND(G33*$D32,2)</f>
        <v>0</v>
      </c>
      <c r="H32" s="1904">
        <f t="shared" ref="H32" si="100">ROUND(H33*$D32,2)</f>
        <v>0</v>
      </c>
      <c r="I32" s="1904">
        <f t="shared" ref="I32" si="101">ROUND(I33*$D32,2)</f>
        <v>0</v>
      </c>
      <c r="J32" s="1904">
        <f t="shared" ref="J32" si="102">ROUND(J33*$D32,2)</f>
        <v>56784.88</v>
      </c>
      <c r="K32" s="1904">
        <f t="shared" ref="K32" si="103">ROUND(K33*$D32,2)</f>
        <v>281759.44</v>
      </c>
      <c r="L32" s="1904">
        <f t="shared" ref="L32" si="104">ROUND(L33*$D32,2)</f>
        <v>365292.83</v>
      </c>
      <c r="M32" s="1904">
        <f t="shared" ref="M32" si="105">ROUND(M33*$D32,2)</f>
        <v>281054.05</v>
      </c>
      <c r="N32" s="1904">
        <f t="shared" ref="N32" si="106">ROUND(N33*$D32,2)</f>
        <v>465581.51</v>
      </c>
      <c r="O32" s="1904">
        <f>ROUND(O33*$D32,2)+0.01</f>
        <v>402426.2</v>
      </c>
      <c r="P32" s="1904">
        <f t="shared" ref="P32" si="107">ROUND(P33*$D32,2)</f>
        <v>354360.38</v>
      </c>
      <c r="Q32" s="1904">
        <f t="shared" ref="Q32" si="108">ROUND(Q33*$D32,2)</f>
        <v>358655.2</v>
      </c>
      <c r="R32" s="1904">
        <f t="shared" ref="R32" si="109">ROUND(R33*$D32,2)</f>
        <v>189985.16</v>
      </c>
      <c r="S32" s="1765">
        <f t="shared" si="85"/>
        <v>2755899.6500000004</v>
      </c>
    </row>
    <row r="33" spans="1:19" ht="15.75" thickBot="1" x14ac:dyDescent="0.25">
      <c r="A33" s="2175"/>
      <c r="B33" s="2176"/>
      <c r="C33" s="2177"/>
      <c r="D33" s="2178"/>
      <c r="E33" s="1756">
        <f>'Orç - Prédio'!M249</f>
        <v>0</v>
      </c>
      <c r="F33" s="1756">
        <f>'Orç - Prédio'!N249</f>
        <v>0</v>
      </c>
      <c r="G33" s="1756">
        <f>'Orç - Prédio'!O249</f>
        <v>0</v>
      </c>
      <c r="H33" s="1756">
        <f>'Orç - Prédio'!P249</f>
        <v>0</v>
      </c>
      <c r="I33" s="1756">
        <f>'Orç - Prédio'!Q249</f>
        <v>0</v>
      </c>
      <c r="J33" s="1756">
        <f>'Orç - Prédio'!R249</f>
        <v>2.0604843941269206E-2</v>
      </c>
      <c r="K33" s="1756">
        <f>'Orç - Prédio'!S249</f>
        <v>0.10223864229685807</v>
      </c>
      <c r="L33" s="1756">
        <f>'Orç - Prédio'!T249</f>
        <v>0.13254939555781498</v>
      </c>
      <c r="M33" s="1756">
        <f>'Orç - Prédio'!U249</f>
        <v>0.10198268794722869</v>
      </c>
      <c r="N33" s="1756">
        <f>'Orç - Prédio'!V249</f>
        <v>0.16893993534539592</v>
      </c>
      <c r="O33" s="1756">
        <f>'Orç - Prédio'!W249</f>
        <v>0.14602352682189831</v>
      </c>
      <c r="P33" s="1756">
        <f>'Orç - Prédio'!X249</f>
        <v>0.12858246971576948</v>
      </c>
      <c r="Q33" s="1756">
        <f>'Orç - Prédio'!Y249</f>
        <v>0.13014087769901517</v>
      </c>
      <c r="R33" s="1756">
        <f>'Orç - Prédio'!Z249</f>
        <v>6.8937620674749955E-2</v>
      </c>
      <c r="S33" s="1817">
        <f t="shared" si="85"/>
        <v>0.99999999999999978</v>
      </c>
    </row>
    <row r="34" spans="1:19" ht="15.75" thickBot="1" x14ac:dyDescent="0.25">
      <c r="A34" s="2174" t="s">
        <v>4991</v>
      </c>
      <c r="B34" s="2181" t="s">
        <v>4999</v>
      </c>
      <c r="C34" s="2177">
        <f t="shared" si="58"/>
        <v>4.2506706160014875E-2</v>
      </c>
      <c r="D34" s="2178">
        <f>'Orç - Prédio'!J430</f>
        <v>385047.47000000009</v>
      </c>
      <c r="E34" s="1904">
        <f>ROUND(E35*$D34,2)</f>
        <v>0</v>
      </c>
      <c r="F34" s="1904">
        <f t="shared" ref="F34" si="110">ROUND(F35*$D34,2)</f>
        <v>0</v>
      </c>
      <c r="G34" s="1904">
        <f t="shared" ref="G34" si="111">ROUND(G35*$D34,2)</f>
        <v>0</v>
      </c>
      <c r="H34" s="1904">
        <f t="shared" ref="H34" si="112">ROUND(H35*$D34,2)</f>
        <v>34111.949999999997</v>
      </c>
      <c r="I34" s="1904">
        <f t="shared" ref="I34" si="113">ROUND(I35*$D34,2)</f>
        <v>0</v>
      </c>
      <c r="J34" s="1904">
        <f t="shared" ref="J34" si="114">ROUND(J35*$D34,2)</f>
        <v>0</v>
      </c>
      <c r="K34" s="1904">
        <f t="shared" ref="K34" si="115">ROUND(K35*$D34,2)</f>
        <v>27438.92</v>
      </c>
      <c r="L34" s="1904">
        <f t="shared" ref="L34" si="116">ROUND(L35*$D34,2)</f>
        <v>27438.92</v>
      </c>
      <c r="M34" s="1904">
        <f>ROUND(M35*$D34,2)-0.01</f>
        <v>104471.70000000001</v>
      </c>
      <c r="N34" s="1904">
        <f t="shared" ref="N34" si="117">ROUND(N35*$D34,2)</f>
        <v>88073.85</v>
      </c>
      <c r="O34" s="1904">
        <f t="shared" ref="O34" si="118">ROUND(O35*$D34,2)</f>
        <v>80942.86</v>
      </c>
      <c r="P34" s="1904">
        <f t="shared" ref="P34" si="119">ROUND(P35*$D34,2)</f>
        <v>0</v>
      </c>
      <c r="Q34" s="1904">
        <f t="shared" ref="Q34" si="120">ROUND(Q35*$D34,2)</f>
        <v>0</v>
      </c>
      <c r="R34" s="1904">
        <f t="shared" ref="R34" si="121">ROUND(R35*$D34,2)</f>
        <v>22569.27</v>
      </c>
      <c r="S34" s="1765">
        <f t="shared" si="85"/>
        <v>385047.47</v>
      </c>
    </row>
    <row r="35" spans="1:19" ht="15.75" thickBot="1" x14ac:dyDescent="0.25">
      <c r="A35" s="2175"/>
      <c r="B35" s="2182"/>
      <c r="C35" s="2177"/>
      <c r="D35" s="2178"/>
      <c r="E35" s="1756">
        <f>'Orç - Prédio'!M431</f>
        <v>0</v>
      </c>
      <c r="F35" s="1756">
        <f>'Orç - Prédio'!N431</f>
        <v>0</v>
      </c>
      <c r="G35" s="1756">
        <f>'Orç - Prédio'!O431</f>
        <v>0</v>
      </c>
      <c r="H35" s="1756">
        <f>'Orç - Prédio'!P431</f>
        <v>8.8591532623237323E-2</v>
      </c>
      <c r="I35" s="1756">
        <f>'Orç - Prédio'!Q431</f>
        <v>0</v>
      </c>
      <c r="J35" s="1756">
        <f>'Orç - Prédio'!R431</f>
        <v>0</v>
      </c>
      <c r="K35" s="1756">
        <f>'Orç - Prédio'!S431</f>
        <v>7.126112658265224E-2</v>
      </c>
      <c r="L35" s="1756">
        <f>'Orç - Prédio'!T431</f>
        <v>7.126112658265224E-2</v>
      </c>
      <c r="M35" s="1756">
        <f>'Orç - Prédio'!U431</f>
        <v>0.27132163990065944</v>
      </c>
      <c r="N35" s="1756">
        <f>'Orç - Prédio'!V431</f>
        <v>0.22873504791500124</v>
      </c>
      <c r="O35" s="1756">
        <f>'Orç - Prédio'!W431</f>
        <v>0.21021527293764572</v>
      </c>
      <c r="P35" s="1756">
        <f>'Orç - Prédio'!X431</f>
        <v>0</v>
      </c>
      <c r="Q35" s="1756">
        <f>'Orç - Prédio'!Y431</f>
        <v>0</v>
      </c>
      <c r="R35" s="1756">
        <f>'Orç - Prédio'!Z431</f>
        <v>5.8614253458151515E-2</v>
      </c>
      <c r="S35" s="1817">
        <f t="shared" si="85"/>
        <v>0.99999999999999967</v>
      </c>
    </row>
    <row r="36" spans="1:19" ht="15.75" thickBot="1" x14ac:dyDescent="0.25">
      <c r="A36" s="2174" t="s">
        <v>5</v>
      </c>
      <c r="B36" s="2176" t="s">
        <v>4864</v>
      </c>
      <c r="C36" s="2177">
        <f t="shared" si="58"/>
        <v>0.18194589596302871</v>
      </c>
      <c r="D36" s="2178">
        <f>'Orç - Prédio'!J736</f>
        <v>1648158.9199999992</v>
      </c>
      <c r="E36" s="1904">
        <f>ROUND(E37*$D36,2)</f>
        <v>0</v>
      </c>
      <c r="F36" s="1904">
        <f t="shared" ref="F36" si="122">ROUND(F37*$D36,2)</f>
        <v>0</v>
      </c>
      <c r="G36" s="1904">
        <f t="shared" ref="G36" si="123">ROUND(G37*$D36,2)</f>
        <v>0</v>
      </c>
      <c r="H36" s="1904">
        <f t="shared" ref="H36" si="124">ROUND(H37*$D36,2)</f>
        <v>0</v>
      </c>
      <c r="I36" s="1904">
        <f t="shared" ref="I36" si="125">ROUND(I37*$D36,2)</f>
        <v>0</v>
      </c>
      <c r="J36" s="1904">
        <f t="shared" ref="J36" si="126">ROUND(J37*$D36,2)</f>
        <v>0</v>
      </c>
      <c r="K36" s="1904">
        <f t="shared" ref="K36" si="127">ROUND(K37*$D36,2)</f>
        <v>0</v>
      </c>
      <c r="L36" s="1904">
        <f t="shared" ref="L36" si="128">ROUND(L37*$D36,2)</f>
        <v>69712.13</v>
      </c>
      <c r="M36" s="1904">
        <f t="shared" ref="M36" si="129">ROUND(M37*$D36,2)</f>
        <v>23477.66</v>
      </c>
      <c r="N36" s="1904">
        <f t="shared" ref="N36" si="130">ROUND(N37*$D36,2)</f>
        <v>180826.53</v>
      </c>
      <c r="O36" s="1904">
        <f t="shared" ref="O36" si="131">ROUND(O37*$D36,2)</f>
        <v>246374.36</v>
      </c>
      <c r="P36" s="1904">
        <f t="shared" ref="P36" si="132">ROUND(P37*$D36,2)</f>
        <v>341145.48</v>
      </c>
      <c r="Q36" s="1904">
        <f t="shared" ref="Q36" si="133">ROUND(Q37*$D36,2)</f>
        <v>507774.24</v>
      </c>
      <c r="R36" s="1904">
        <f t="shared" ref="R36" si="134">ROUND(R37*$D36,2)</f>
        <v>278848.52</v>
      </c>
      <c r="S36" s="1765">
        <f t="shared" si="85"/>
        <v>1648158.92</v>
      </c>
    </row>
    <row r="37" spans="1:19" ht="15.75" thickBot="1" x14ac:dyDescent="0.25">
      <c r="A37" s="2175"/>
      <c r="B37" s="2176"/>
      <c r="C37" s="2177"/>
      <c r="D37" s="2178"/>
      <c r="E37" s="1756">
        <f>'Orç - Prédio'!M737</f>
        <v>0</v>
      </c>
      <c r="F37" s="1756">
        <f>'Orç - Prédio'!N737</f>
        <v>0</v>
      </c>
      <c r="G37" s="1756">
        <f>'Orç - Prédio'!O737</f>
        <v>0</v>
      </c>
      <c r="H37" s="1756">
        <f>'Orç - Prédio'!P737</f>
        <v>0</v>
      </c>
      <c r="I37" s="1756">
        <f>'Orç - Prédio'!Q737</f>
        <v>0</v>
      </c>
      <c r="J37" s="1756">
        <f>'Orç - Prédio'!R737</f>
        <v>0</v>
      </c>
      <c r="K37" s="1756">
        <f>'Orç - Prédio'!S737</f>
        <v>0</v>
      </c>
      <c r="L37" s="1756">
        <f>'Orç - Prédio'!T737</f>
        <v>4.2296970367396408E-2</v>
      </c>
      <c r="M37" s="1756">
        <f>'Orç - Prédio'!U737</f>
        <v>1.4244779259514617E-2</v>
      </c>
      <c r="N37" s="1756">
        <f>'Orç - Prédio'!V737</f>
        <v>0.1097142549821592</v>
      </c>
      <c r="O37" s="1756">
        <f>'Orç - Prédio'!W737</f>
        <v>0.14948459096408009</v>
      </c>
      <c r="P37" s="1756">
        <f>'Orç - Prédio'!X737</f>
        <v>0.2069857929719546</v>
      </c>
      <c r="Q37" s="1756">
        <f>'Orç - Prédio'!Y737</f>
        <v>0.30808572998530986</v>
      </c>
      <c r="R37" s="1756">
        <f>'Orç - Prédio'!Z737</f>
        <v>0.16918788146958563</v>
      </c>
      <c r="S37" s="1817">
        <f t="shared" si="85"/>
        <v>1.0000000000000004</v>
      </c>
    </row>
    <row r="38" spans="1:19" ht="15.75" thickBot="1" x14ac:dyDescent="0.25">
      <c r="A38" s="2174" t="s">
        <v>9</v>
      </c>
      <c r="B38" s="2181" t="s">
        <v>7845</v>
      </c>
      <c r="C38" s="2177">
        <f t="shared" si="58"/>
        <v>0.12313826372290006</v>
      </c>
      <c r="D38" s="2178">
        <f>'Orç - Prédio'!J805</f>
        <v>1115449.3299999998</v>
      </c>
      <c r="E38" s="1904">
        <f>ROUND(E39*$D38,2)</f>
        <v>0</v>
      </c>
      <c r="F38" s="1904">
        <f t="shared" ref="F38" si="135">ROUND(F39*$D38,2)</f>
        <v>0</v>
      </c>
      <c r="G38" s="1904">
        <f t="shared" ref="G38" si="136">ROUND(G39*$D38,2)</f>
        <v>0</v>
      </c>
      <c r="H38" s="1904">
        <f t="shared" ref="H38" si="137">ROUND(H39*$D38,2)</f>
        <v>0</v>
      </c>
      <c r="I38" s="1904">
        <f t="shared" ref="I38" si="138">ROUND(I39*$D38,2)</f>
        <v>0</v>
      </c>
      <c r="J38" s="1904">
        <f t="shared" ref="J38" si="139">ROUND(J39*$D38,2)</f>
        <v>0</v>
      </c>
      <c r="K38" s="1904">
        <f t="shared" ref="K38" si="140">ROUND(K39*$D38,2)</f>
        <v>0</v>
      </c>
      <c r="L38" s="1904">
        <f t="shared" ref="L38" si="141">ROUND(L39*$D38,2)</f>
        <v>0</v>
      </c>
      <c r="M38" s="1904">
        <f t="shared" ref="M38" si="142">ROUND(M39*$D38,2)</f>
        <v>103938.44</v>
      </c>
      <c r="N38" s="1904">
        <f t="shared" ref="N38" si="143">ROUND(N39*$D38,2)</f>
        <v>207876.87</v>
      </c>
      <c r="O38" s="1904">
        <f t="shared" ref="O38" si="144">ROUND(O39*$D38,2)</f>
        <v>311815.31</v>
      </c>
      <c r="P38" s="1904">
        <f>ROUND(P39*$D38,2)</f>
        <v>311815.31</v>
      </c>
      <c r="Q38" s="1904">
        <f>ROUND(Q39*$D38,2)-0.01</f>
        <v>141970.91</v>
      </c>
      <c r="R38" s="1904">
        <f t="shared" ref="R38" si="145">ROUND(R39*$D38,2)</f>
        <v>38032.49</v>
      </c>
      <c r="S38" s="1765">
        <f t="shared" si="85"/>
        <v>1115449.3299999998</v>
      </c>
    </row>
    <row r="39" spans="1:19" ht="15.75" thickBot="1" x14ac:dyDescent="0.25">
      <c r="A39" s="2175"/>
      <c r="B39" s="2182"/>
      <c r="C39" s="2177"/>
      <c r="D39" s="2178"/>
      <c r="E39" s="1756">
        <f>'Orç - Prédio'!M806</f>
        <v>0</v>
      </c>
      <c r="F39" s="1756">
        <f>'Orç - Prédio'!N806</f>
        <v>0</v>
      </c>
      <c r="G39" s="1756">
        <f>'Orç - Prédio'!O806</f>
        <v>0</v>
      </c>
      <c r="H39" s="1756">
        <f>'Orç - Prédio'!P806</f>
        <v>0</v>
      </c>
      <c r="I39" s="1756">
        <f>'Orç - Prédio'!Q806</f>
        <v>0</v>
      </c>
      <c r="J39" s="1756">
        <f>'Orç - Prédio'!R806</f>
        <v>0</v>
      </c>
      <c r="K39" s="1756">
        <f>'Orç - Prédio'!S806</f>
        <v>0</v>
      </c>
      <c r="L39" s="1756">
        <f>'Orç - Prédio'!T806</f>
        <v>0</v>
      </c>
      <c r="M39" s="1756">
        <f>'Orç - Prédio'!U806</f>
        <v>9.3180777651280716E-2</v>
      </c>
      <c r="N39" s="1756">
        <f>'Orç - Prédio'!V806</f>
        <v>0.18636155530256143</v>
      </c>
      <c r="O39" s="1756">
        <f>'Orç - Prédio'!W806</f>
        <v>0.27954233295384201</v>
      </c>
      <c r="P39" s="1756">
        <f>'Orç - Prédio'!X806</f>
        <v>0.27954233295384201</v>
      </c>
      <c r="Q39" s="1756">
        <f>'Orç - Prédio'!Y806</f>
        <v>0.12727688939487736</v>
      </c>
      <c r="R39" s="1756">
        <f>'Orç - Prédio'!Z806</f>
        <v>3.4096111743596641E-2</v>
      </c>
      <c r="S39" s="1817">
        <f t="shared" si="85"/>
        <v>1.0000000000000002</v>
      </c>
    </row>
    <row r="40" spans="1:19" ht="15.75" thickBot="1" x14ac:dyDescent="0.25">
      <c r="A40" s="2174" t="s">
        <v>5014</v>
      </c>
      <c r="B40" s="2176" t="s">
        <v>5016</v>
      </c>
      <c r="C40" s="2177">
        <f t="shared" si="58"/>
        <v>3.4950931356753623E-3</v>
      </c>
      <c r="D40" s="2178">
        <f>'Orç - Prédio'!J834</f>
        <v>31660.34</v>
      </c>
      <c r="E40" s="1904">
        <f>ROUND(E41*$D40,2)</f>
        <v>0</v>
      </c>
      <c r="F40" s="1904">
        <f t="shared" ref="F40" si="146">ROUND(F41*$D40,2)</f>
        <v>0</v>
      </c>
      <c r="G40" s="1904">
        <f t="shared" ref="G40" si="147">ROUND(G41*$D40,2)</f>
        <v>0</v>
      </c>
      <c r="H40" s="1904">
        <f t="shared" ref="H40" si="148">ROUND(H41*$D40,2)</f>
        <v>0</v>
      </c>
      <c r="I40" s="1904">
        <f t="shared" ref="I40" si="149">ROUND(I41*$D40,2)</f>
        <v>0</v>
      </c>
      <c r="J40" s="1904">
        <f t="shared" ref="J40" si="150">ROUND(J41*$D40,2)</f>
        <v>0</v>
      </c>
      <c r="K40" s="1904">
        <f t="shared" ref="K40" si="151">ROUND(K41*$D40,2)</f>
        <v>0</v>
      </c>
      <c r="L40" s="1904">
        <f t="shared" ref="L40" si="152">ROUND(L41*$D40,2)</f>
        <v>15830.17</v>
      </c>
      <c r="M40" s="1904">
        <f t="shared" ref="M40" si="153">ROUND(M41*$D40,2)</f>
        <v>12664.14</v>
      </c>
      <c r="N40" s="1904">
        <f t="shared" ref="N40" si="154">ROUND(N41*$D40,2)</f>
        <v>0</v>
      </c>
      <c r="O40" s="1904">
        <f t="shared" ref="O40" si="155">ROUND(O41*$D40,2)</f>
        <v>0</v>
      </c>
      <c r="P40" s="1904">
        <f t="shared" ref="P40" si="156">ROUND(P41*$D40,2)</f>
        <v>0</v>
      </c>
      <c r="Q40" s="1904">
        <f t="shared" ref="Q40" si="157">ROUND(Q41*$D40,2)</f>
        <v>3166.03</v>
      </c>
      <c r="R40" s="1904">
        <f t="shared" ref="R40" si="158">ROUND(R41*$D40,2)</f>
        <v>0</v>
      </c>
      <c r="S40" s="1765">
        <f t="shared" si="85"/>
        <v>31660.339999999997</v>
      </c>
    </row>
    <row r="41" spans="1:19" ht="15.75" thickBot="1" x14ac:dyDescent="0.25">
      <c r="A41" s="2175"/>
      <c r="B41" s="2176"/>
      <c r="C41" s="2177"/>
      <c r="D41" s="2178"/>
      <c r="E41" s="1756">
        <f>'Orç - Prédio'!M835</f>
        <v>0</v>
      </c>
      <c r="F41" s="1756">
        <f>'Orç - Prédio'!N835</f>
        <v>0</v>
      </c>
      <c r="G41" s="1756">
        <f>'Orç - Prédio'!O835</f>
        <v>0</v>
      </c>
      <c r="H41" s="1756">
        <f>'Orç - Prédio'!P835</f>
        <v>0</v>
      </c>
      <c r="I41" s="1756">
        <f>'Orç - Prédio'!Q835</f>
        <v>0</v>
      </c>
      <c r="J41" s="1756">
        <f>'Orç - Prédio'!R835</f>
        <v>0</v>
      </c>
      <c r="K41" s="1756">
        <f>'Orç - Prédio'!S835</f>
        <v>0</v>
      </c>
      <c r="L41" s="1756">
        <f>'Orç - Prédio'!T835</f>
        <v>0.5</v>
      </c>
      <c r="M41" s="1756">
        <f>'Orç - Prédio'!U835</f>
        <v>0.4</v>
      </c>
      <c r="N41" s="1756">
        <f>'Orç - Prédio'!V835</f>
        <v>0</v>
      </c>
      <c r="O41" s="1756">
        <f>'Orç - Prédio'!W835</f>
        <v>0</v>
      </c>
      <c r="P41" s="1756">
        <f>'Orç - Prédio'!X835</f>
        <v>0</v>
      </c>
      <c r="Q41" s="1756">
        <f>'Orç - Prédio'!Y835</f>
        <v>0.1</v>
      </c>
      <c r="R41" s="1756">
        <f>'Orç - Prédio'!Z835</f>
        <v>0</v>
      </c>
      <c r="S41" s="1817">
        <f t="shared" si="85"/>
        <v>1</v>
      </c>
    </row>
    <row r="42" spans="1:19" ht="15.75" thickBot="1" x14ac:dyDescent="0.25">
      <c r="A42" s="1754" t="s">
        <v>7719</v>
      </c>
      <c r="B42" s="1755"/>
      <c r="C42" s="1755"/>
      <c r="D42" s="1755"/>
      <c r="E42" s="1755"/>
      <c r="F42" s="1755"/>
      <c r="G42" s="1755"/>
      <c r="H42" s="1755"/>
      <c r="I42" s="1755"/>
      <c r="J42" s="1755"/>
      <c r="K42" s="1755"/>
      <c r="L42" s="1755"/>
      <c r="M42" s="1755"/>
      <c r="N42" s="1755"/>
      <c r="O42" s="1755"/>
      <c r="P42" s="1755"/>
      <c r="Q42" s="1755"/>
      <c r="R42" s="1755"/>
    </row>
    <row r="43" spans="1:19" ht="15.75" thickBot="1" x14ac:dyDescent="0.25">
      <c r="A43" s="2174" t="s">
        <v>7336</v>
      </c>
      <c r="B43" s="2176" t="s">
        <v>7332</v>
      </c>
      <c r="C43" s="2177">
        <f t="shared" ref="C43:C51" si="159">D43/$D$53</f>
        <v>1.6740168241621779E-4</v>
      </c>
      <c r="D43" s="2178">
        <f>'Orç - Reservatório'!J25</f>
        <v>1516.41</v>
      </c>
      <c r="E43" s="1904">
        <f>ROUND(E44*$D43,2)</f>
        <v>0</v>
      </c>
      <c r="F43" s="1904">
        <f>ROUND(F44*$D43,2)-0.01</f>
        <v>470.08</v>
      </c>
      <c r="G43" s="1904">
        <f t="shared" ref="G43" si="160">ROUND(G44*$D43,2)</f>
        <v>257.79000000000002</v>
      </c>
      <c r="H43" s="1904">
        <f t="shared" ref="H43" si="161">ROUND(H44*$D43,2)</f>
        <v>0</v>
      </c>
      <c r="I43" s="1904">
        <f t="shared" ref="I43" si="162">ROUND(I44*$D43,2)</f>
        <v>394.27</v>
      </c>
      <c r="J43" s="1904">
        <f t="shared" ref="J43" si="163">ROUND(J44*$D43,2)</f>
        <v>394.27</v>
      </c>
      <c r="K43" s="1904">
        <f t="shared" ref="K43" si="164">ROUND(K44*$D43,2)</f>
        <v>0</v>
      </c>
      <c r="L43" s="1904">
        <f t="shared" ref="L43" si="165">ROUND(L44*$D43,2)</f>
        <v>0</v>
      </c>
      <c r="M43" s="1904">
        <f t="shared" ref="M43" si="166">ROUND(M44*$D43,2)</f>
        <v>0</v>
      </c>
      <c r="N43" s="1904">
        <f t="shared" ref="N43" si="167">ROUND(N44*$D43,2)</f>
        <v>0</v>
      </c>
      <c r="O43" s="1904">
        <f t="shared" ref="O43" si="168">ROUND(O44*$D43,2)</f>
        <v>0</v>
      </c>
      <c r="P43" s="1904">
        <f t="shared" ref="P43" si="169">ROUND(P44*$D43,2)</f>
        <v>0</v>
      </c>
      <c r="Q43" s="1904">
        <f t="shared" ref="Q43" si="170">ROUND(Q44*$D43,2)</f>
        <v>0</v>
      </c>
      <c r="R43" s="1904">
        <f t="shared" ref="R43" si="171">ROUND(R44*$D43,2)</f>
        <v>0</v>
      </c>
      <c r="S43" s="1765">
        <f>SUM(E43:R43)</f>
        <v>1516.4099999999999</v>
      </c>
    </row>
    <row r="44" spans="1:19" ht="15.75" thickBot="1" x14ac:dyDescent="0.25">
      <c r="A44" s="2175"/>
      <c r="B44" s="2176"/>
      <c r="C44" s="2177"/>
      <c r="D44" s="2178"/>
      <c r="E44" s="1756">
        <f>'Orç - Reservatório'!M24</f>
        <v>0</v>
      </c>
      <c r="F44" s="1756">
        <f>'Orç - Reservatório'!N24</f>
        <v>0.31</v>
      </c>
      <c r="G44" s="1756">
        <f>'Orç - Reservatório'!O24</f>
        <v>0.17</v>
      </c>
      <c r="H44" s="1756">
        <f>'Orç - Reservatório'!P24</f>
        <v>0</v>
      </c>
      <c r="I44" s="1756">
        <f>'Orç - Reservatório'!Q24</f>
        <v>0.26</v>
      </c>
      <c r="J44" s="1756">
        <f>'Orç - Reservatório'!R24</f>
        <v>0.26</v>
      </c>
      <c r="K44" s="1756">
        <f>'Orç - Reservatório'!S24</f>
        <v>0</v>
      </c>
      <c r="L44" s="1756">
        <f>'Orç - Reservatório'!T24</f>
        <v>0</v>
      </c>
      <c r="M44" s="1756">
        <f>'Orç - Reservatório'!U24</f>
        <v>0</v>
      </c>
      <c r="N44" s="1756">
        <f>'Orç - Reservatório'!V24</f>
        <v>0</v>
      </c>
      <c r="O44" s="1756">
        <f>'Orç - Reservatório'!W24</f>
        <v>0</v>
      </c>
      <c r="P44" s="1756">
        <f>'Orç - Reservatório'!X24</f>
        <v>0</v>
      </c>
      <c r="Q44" s="1756">
        <f>'Orç - Reservatório'!Y24</f>
        <v>0</v>
      </c>
      <c r="R44" s="1756">
        <f>'Orç - Reservatório'!Z24</f>
        <v>0</v>
      </c>
      <c r="S44" s="1817">
        <f>SUM(E44:R44)</f>
        <v>1</v>
      </c>
    </row>
    <row r="45" spans="1:19" ht="15.75" thickBot="1" x14ac:dyDescent="0.25">
      <c r="A45" s="2174" t="s">
        <v>2</v>
      </c>
      <c r="B45" s="2176" t="s">
        <v>8</v>
      </c>
      <c r="C45" s="2177">
        <f t="shared" si="159"/>
        <v>4.2544188037100074E-4</v>
      </c>
      <c r="D45" s="2178">
        <f>'Orç - Reservatório'!J37</f>
        <v>3853.87</v>
      </c>
      <c r="E45" s="1904">
        <f>ROUND(E46*$D45,2)</f>
        <v>0</v>
      </c>
      <c r="F45" s="1904">
        <f t="shared" ref="F45" si="172">ROUND(F46*$D45,2)</f>
        <v>3853.87</v>
      </c>
      <c r="G45" s="1904">
        <f t="shared" ref="G45" si="173">ROUND(G46*$D45,2)</f>
        <v>0</v>
      </c>
      <c r="H45" s="1904">
        <f t="shared" ref="H45" si="174">ROUND(H46*$D45,2)</f>
        <v>0</v>
      </c>
      <c r="I45" s="1904">
        <f t="shared" ref="I45" si="175">ROUND(I46*$D45,2)</f>
        <v>0</v>
      </c>
      <c r="J45" s="1904">
        <f t="shared" ref="J45" si="176">ROUND(J46*$D45,2)</f>
        <v>0</v>
      </c>
      <c r="K45" s="1904">
        <f t="shared" ref="K45" si="177">ROUND(K46*$D45,2)</f>
        <v>0</v>
      </c>
      <c r="L45" s="1904">
        <f t="shared" ref="L45" si="178">ROUND(L46*$D45,2)</f>
        <v>0</v>
      </c>
      <c r="M45" s="1904">
        <f t="shared" ref="M45" si="179">ROUND(M46*$D45,2)</f>
        <v>0</v>
      </c>
      <c r="N45" s="1904">
        <f t="shared" ref="N45" si="180">ROUND(N46*$D45,2)</f>
        <v>0</v>
      </c>
      <c r="O45" s="1904">
        <f t="shared" ref="O45" si="181">ROUND(O46*$D45,2)</f>
        <v>0</v>
      </c>
      <c r="P45" s="1904">
        <f t="shared" ref="P45" si="182">ROUND(P46*$D45,2)</f>
        <v>0</v>
      </c>
      <c r="Q45" s="1904">
        <f t="shared" ref="Q45" si="183">ROUND(Q46*$D45,2)</f>
        <v>0</v>
      </c>
      <c r="R45" s="1904">
        <f t="shared" ref="R45" si="184">ROUND(R46*$D45,2)</f>
        <v>0</v>
      </c>
      <c r="S45" s="1765">
        <f t="shared" ref="S45:S52" si="185">SUM(E45:R45)</f>
        <v>3853.87</v>
      </c>
    </row>
    <row r="46" spans="1:19" ht="15.75" thickBot="1" x14ac:dyDescent="0.25">
      <c r="A46" s="2175"/>
      <c r="B46" s="2176"/>
      <c r="C46" s="2177"/>
      <c r="D46" s="2178"/>
      <c r="E46" s="1756">
        <f>'Orç - Reservatório'!M38</f>
        <v>0</v>
      </c>
      <c r="F46" s="1756">
        <f>'Orç - Reservatório'!N38</f>
        <v>1</v>
      </c>
      <c r="G46" s="1756">
        <f>'Orç - Reservatório'!O38</f>
        <v>0</v>
      </c>
      <c r="H46" s="1756">
        <f>'Orç - Reservatório'!P38</f>
        <v>0</v>
      </c>
      <c r="I46" s="1756">
        <f>'Orç - Reservatório'!Q38</f>
        <v>0</v>
      </c>
      <c r="J46" s="1756">
        <f>'Orç - Reservatório'!R38</f>
        <v>0</v>
      </c>
      <c r="K46" s="1756">
        <f>'Orç - Reservatório'!S38</f>
        <v>0</v>
      </c>
      <c r="L46" s="1756">
        <f>'Orç - Reservatório'!T38</f>
        <v>0</v>
      </c>
      <c r="M46" s="1756">
        <f>'Orç - Reservatório'!U38</f>
        <v>0</v>
      </c>
      <c r="N46" s="1756">
        <f>'Orç - Reservatório'!V38</f>
        <v>0</v>
      </c>
      <c r="O46" s="1756">
        <f>'Orç - Reservatório'!W38</f>
        <v>0</v>
      </c>
      <c r="P46" s="1756">
        <f>'Orç - Reservatório'!X38</f>
        <v>0</v>
      </c>
      <c r="Q46" s="1756">
        <f>'Orç - Reservatório'!Y38</f>
        <v>0</v>
      </c>
      <c r="R46" s="1756">
        <f>'Orç - Reservatório'!Z38</f>
        <v>0</v>
      </c>
      <c r="S46" s="1817">
        <f t="shared" si="185"/>
        <v>1</v>
      </c>
    </row>
    <row r="47" spans="1:19" ht="15.75" thickBot="1" x14ac:dyDescent="0.25">
      <c r="A47" s="2174" t="s">
        <v>3</v>
      </c>
      <c r="B47" s="2176" t="s">
        <v>4851</v>
      </c>
      <c r="C47" s="2177">
        <f t="shared" si="159"/>
        <v>8.5793260124400316E-3</v>
      </c>
      <c r="D47" s="2178">
        <f>'Orç - Reservatório'!J84</f>
        <v>77715.92</v>
      </c>
      <c r="E47" s="1904">
        <f>ROUND(E48*$D47,2)</f>
        <v>0</v>
      </c>
      <c r="F47" s="1904">
        <f t="shared" ref="F47" si="186">ROUND(F48*$D47,2)</f>
        <v>17481.37</v>
      </c>
      <c r="G47" s="1904">
        <f t="shared" ref="G47" si="187">ROUND(G48*$D47,2)</f>
        <v>11418.89</v>
      </c>
      <c r="H47" s="1904">
        <f t="shared" ref="H47" si="188">ROUND(H48*$D47,2)</f>
        <v>1714.78</v>
      </c>
      <c r="I47" s="1904">
        <f t="shared" ref="I47" si="189">ROUND(I48*$D47,2)</f>
        <v>23550.44</v>
      </c>
      <c r="J47" s="1904">
        <f t="shared" ref="J47" si="190">ROUND(J48*$D47,2)</f>
        <v>23550.44</v>
      </c>
      <c r="K47" s="1904">
        <f t="shared" ref="K47" si="191">ROUND(K48*$D47,2)</f>
        <v>0</v>
      </c>
      <c r="L47" s="1904">
        <f t="shared" ref="L47" si="192">ROUND(L48*$D47,2)</f>
        <v>0</v>
      </c>
      <c r="M47" s="1904">
        <f t="shared" ref="M47" si="193">ROUND(M48*$D47,2)</f>
        <v>0</v>
      </c>
      <c r="N47" s="1904">
        <f t="shared" ref="N47" si="194">ROUND(N48*$D47,2)</f>
        <v>0</v>
      </c>
      <c r="O47" s="1904">
        <f t="shared" ref="O47" si="195">ROUND(O48*$D47,2)</f>
        <v>0</v>
      </c>
      <c r="P47" s="1904">
        <f t="shared" ref="P47" si="196">ROUND(P48*$D47,2)</f>
        <v>0</v>
      </c>
      <c r="Q47" s="1904">
        <f t="shared" ref="Q47" si="197">ROUND(Q48*$D47,2)</f>
        <v>0</v>
      </c>
      <c r="R47" s="1904">
        <f t="shared" ref="R47" si="198">ROUND(R48*$D47,2)</f>
        <v>0</v>
      </c>
      <c r="S47" s="1765">
        <f t="shared" si="185"/>
        <v>77715.92</v>
      </c>
    </row>
    <row r="48" spans="1:19" ht="15.75" thickBot="1" x14ac:dyDescent="0.25">
      <c r="A48" s="2175"/>
      <c r="B48" s="2176"/>
      <c r="C48" s="2177"/>
      <c r="D48" s="2178"/>
      <c r="E48" s="1756">
        <f>'Orç - Reservatório'!M85</f>
        <v>0</v>
      </c>
      <c r="F48" s="1756">
        <f>'Orç - Reservatório'!N85</f>
        <v>0.22493936892209471</v>
      </c>
      <c r="G48" s="1756">
        <f>'Orç - Reservatório'!O85</f>
        <v>0.14693115644773944</v>
      </c>
      <c r="H48" s="1756">
        <f>'Orç - Reservatório'!P85</f>
        <v>2.2064719815450939E-2</v>
      </c>
      <c r="I48" s="1756">
        <f>'Orç - Reservatório'!Q85</f>
        <v>0.30303237740735744</v>
      </c>
      <c r="J48" s="1756">
        <f>'Orç - Reservatório'!R85</f>
        <v>0.30303237740735744</v>
      </c>
      <c r="K48" s="1756">
        <f>'Orç - Reservatório'!S85</f>
        <v>0</v>
      </c>
      <c r="L48" s="1756">
        <f>'Orç - Reservatório'!T85</f>
        <v>0</v>
      </c>
      <c r="M48" s="1756">
        <f>'Orç - Reservatório'!U85</f>
        <v>0</v>
      </c>
      <c r="N48" s="1756">
        <f>'Orç - Reservatório'!V85</f>
        <v>0</v>
      </c>
      <c r="O48" s="1756">
        <f>'Orç - Reservatório'!W85</f>
        <v>0</v>
      </c>
      <c r="P48" s="1756">
        <f>'Orç - Reservatório'!X85</f>
        <v>0</v>
      </c>
      <c r="Q48" s="1756">
        <f>'Orç - Reservatório'!Y85</f>
        <v>0</v>
      </c>
      <c r="R48" s="1756">
        <f>'Orç - Reservatório'!Z85</f>
        <v>0</v>
      </c>
      <c r="S48" s="1817">
        <f t="shared" si="185"/>
        <v>0.99999999999999989</v>
      </c>
    </row>
    <row r="49" spans="1:19" ht="15.75" thickBot="1" x14ac:dyDescent="0.25">
      <c r="A49" s="2174" t="s">
        <v>4</v>
      </c>
      <c r="B49" s="2176" t="s">
        <v>4862</v>
      </c>
      <c r="C49" s="2177">
        <f t="shared" si="159"/>
        <v>4.2780153967267162E-3</v>
      </c>
      <c r="D49" s="2183">
        <f>'Orç - Reservatório'!J108</f>
        <v>38752.450000000004</v>
      </c>
      <c r="E49" s="1904">
        <f>ROUND(E50*$D49,2)</f>
        <v>0</v>
      </c>
      <c r="F49" s="1904">
        <f t="shared" ref="F49" si="199">ROUND(F50*$D49,2)</f>
        <v>0</v>
      </c>
      <c r="G49" s="1904">
        <f t="shared" ref="G49" si="200">ROUND(G50*$D49,2)</f>
        <v>0</v>
      </c>
      <c r="H49" s="1904">
        <f t="shared" ref="H49" si="201">ROUND(H50*$D49,2)</f>
        <v>0</v>
      </c>
      <c r="I49" s="1904">
        <f t="shared" ref="I49" si="202">ROUND(I50*$D49,2)</f>
        <v>0</v>
      </c>
      <c r="J49" s="1904">
        <f t="shared" ref="J49" si="203">ROUND(J50*$D49,2)</f>
        <v>0</v>
      </c>
      <c r="K49" s="1904">
        <f t="shared" ref="K49" si="204">ROUND(K50*$D49,2)</f>
        <v>13347.88</v>
      </c>
      <c r="L49" s="1904">
        <f t="shared" ref="L49" si="205">ROUND(L50*$D49,2)</f>
        <v>24865.62</v>
      </c>
      <c r="M49" s="1904">
        <f t="shared" ref="M49" si="206">ROUND(M50*$D49,2)</f>
        <v>538.95000000000005</v>
      </c>
      <c r="N49" s="1904">
        <f t="shared" ref="N49" si="207">ROUND(N50*$D49,2)</f>
        <v>0</v>
      </c>
      <c r="O49" s="1904">
        <f t="shared" ref="O49" si="208">ROUND(O50*$D49,2)</f>
        <v>0</v>
      </c>
      <c r="P49" s="1904">
        <f t="shared" ref="P49" si="209">ROUND(P50*$D49,2)</f>
        <v>0</v>
      </c>
      <c r="Q49" s="1904">
        <f t="shared" ref="Q49" si="210">ROUND(Q50*$D49,2)</f>
        <v>0</v>
      </c>
      <c r="R49" s="1904">
        <f t="shared" ref="R49" si="211">ROUND(R50*$D49,2)</f>
        <v>0</v>
      </c>
      <c r="S49" s="1765">
        <f t="shared" si="185"/>
        <v>38752.449999999997</v>
      </c>
    </row>
    <row r="50" spans="1:19" ht="15.75" thickBot="1" x14ac:dyDescent="0.25">
      <c r="A50" s="2175"/>
      <c r="B50" s="2176"/>
      <c r="C50" s="2177"/>
      <c r="D50" s="2183"/>
      <c r="E50" s="1756">
        <f>'Orç - Reservatório'!M109</f>
        <v>0</v>
      </c>
      <c r="F50" s="1756">
        <f>'Orç - Reservatório'!N109</f>
        <v>0</v>
      </c>
      <c r="G50" s="1756">
        <f>'Orç - Reservatório'!O109</f>
        <v>0</v>
      </c>
      <c r="H50" s="1756">
        <f>'Orç - Reservatório'!P109</f>
        <v>0</v>
      </c>
      <c r="I50" s="1756">
        <f>'Orç - Reservatório'!Q109</f>
        <v>0</v>
      </c>
      <c r="J50" s="1756">
        <f>'Orç - Reservatório'!R109</f>
        <v>0</v>
      </c>
      <c r="K50" s="1756">
        <f>'Orç - Reservatório'!S109</f>
        <v>0.34443964188070686</v>
      </c>
      <c r="L50" s="1756">
        <f>'Orç - Reservatório'!T109</f>
        <v>0.64165285033591413</v>
      </c>
      <c r="M50" s="1756">
        <f>'Orç - Reservatório'!U109</f>
        <v>1.3907507783378856E-2</v>
      </c>
      <c r="N50" s="1756">
        <f>'Orç - Reservatório'!V109</f>
        <v>0</v>
      </c>
      <c r="O50" s="1756">
        <f>'Orç - Reservatório'!W109</f>
        <v>0</v>
      </c>
      <c r="P50" s="1756">
        <f>'Orç - Reservatório'!X109</f>
        <v>0</v>
      </c>
      <c r="Q50" s="1756">
        <f>'Orç - Reservatório'!Y109</f>
        <v>0</v>
      </c>
      <c r="R50" s="1756">
        <f>'Orç - Reservatório'!Z109</f>
        <v>0</v>
      </c>
      <c r="S50" s="1817">
        <f t="shared" si="185"/>
        <v>0.99999999999999989</v>
      </c>
    </row>
    <row r="51" spans="1:19" ht="15.75" thickBot="1" x14ac:dyDescent="0.25">
      <c r="A51" s="2174" t="s">
        <v>4991</v>
      </c>
      <c r="B51" s="2181" t="s">
        <v>4999</v>
      </c>
      <c r="C51" s="2177">
        <f t="shared" si="159"/>
        <v>1.0737989810778079E-3</v>
      </c>
      <c r="D51" s="2178">
        <f>'Orç - Reservatório'!J141</f>
        <v>9727.02</v>
      </c>
      <c r="E51" s="1904">
        <f>ROUND(E52*$D51,2)</f>
        <v>0</v>
      </c>
      <c r="F51" s="1904">
        <f t="shared" ref="F51" si="212">ROUND(F52*$D51,2)</f>
        <v>0</v>
      </c>
      <c r="G51" s="1904">
        <f t="shared" ref="G51" si="213">ROUND(G52*$D51,2)</f>
        <v>0</v>
      </c>
      <c r="H51" s="1904">
        <f t="shared" ref="H51" si="214">ROUND(H52*$D51,2)</f>
        <v>36.18</v>
      </c>
      <c r="I51" s="1904">
        <f t="shared" ref="I51" si="215">ROUND(I52*$D51,2)</f>
        <v>0</v>
      </c>
      <c r="J51" s="1904">
        <f t="shared" ref="J51" si="216">ROUND(J52*$D51,2)</f>
        <v>0</v>
      </c>
      <c r="K51" s="1904">
        <f t="shared" ref="K51" si="217">ROUND(K52*$D51,2)</f>
        <v>72.36</v>
      </c>
      <c r="L51" s="1904">
        <f t="shared" ref="L51" si="218">ROUND(L52*$D51,2)</f>
        <v>72.36</v>
      </c>
      <c r="M51" s="1904">
        <f>ROUND(M52*$D51,2)-0.01</f>
        <v>4646.4299999999994</v>
      </c>
      <c r="N51" s="1904">
        <f t="shared" ref="N51" si="219">ROUND(N52*$D51,2)</f>
        <v>4682.62</v>
      </c>
      <c r="O51" s="1904">
        <f t="shared" ref="O51" si="220">ROUND(O52*$D51,2)</f>
        <v>217.07</v>
      </c>
      <c r="P51" s="1904">
        <f t="shared" ref="P51" si="221">ROUND(P52*$D51,2)</f>
        <v>0</v>
      </c>
      <c r="Q51" s="1904">
        <f t="shared" ref="Q51" si="222">ROUND(Q52*$D51,2)</f>
        <v>0</v>
      </c>
      <c r="R51" s="1904">
        <f t="shared" ref="R51" si="223">ROUND(R52*$D51,2)</f>
        <v>0</v>
      </c>
      <c r="S51" s="1765">
        <f t="shared" si="185"/>
        <v>9727.0199999999986</v>
      </c>
    </row>
    <row r="52" spans="1:19" ht="15.75" thickBot="1" x14ac:dyDescent="0.25">
      <c r="A52" s="2175"/>
      <c r="B52" s="2182"/>
      <c r="C52" s="2177"/>
      <c r="D52" s="2178"/>
      <c r="E52" s="1756">
        <f>'Orç - Reservatório'!M142</f>
        <v>0</v>
      </c>
      <c r="F52" s="1756">
        <f>'Orç - Reservatório'!N142</f>
        <v>0</v>
      </c>
      <c r="G52" s="1756">
        <f>'Orç - Reservatório'!O142</f>
        <v>0</v>
      </c>
      <c r="H52" s="1756">
        <f>'Orç - Reservatório'!P142</f>
        <v>3.7193302779268472E-3</v>
      </c>
      <c r="I52" s="1756">
        <f>'Orç - Reservatório'!Q142</f>
        <v>0</v>
      </c>
      <c r="J52" s="1756">
        <f>'Orç - Reservatório'!R142</f>
        <v>0</v>
      </c>
      <c r="K52" s="1756">
        <f>'Orç - Reservatório'!S142</f>
        <v>7.4386605558536944E-3</v>
      </c>
      <c r="L52" s="1756">
        <f>'Orç - Reservatório'!T142</f>
        <v>7.4386605558536944E-3</v>
      </c>
      <c r="M52" s="1756">
        <f>'Orç - Reservatório'!U142</f>
        <v>0.47768401833243901</v>
      </c>
      <c r="N52" s="1756">
        <f>'Orç - Reservatório'!V142</f>
        <v>0.48140334861036571</v>
      </c>
      <c r="O52" s="1756">
        <f>'Orç - Reservatório'!W142</f>
        <v>2.2315981667561081E-2</v>
      </c>
      <c r="P52" s="1756">
        <f>'Orç - Reservatório'!X142</f>
        <v>0</v>
      </c>
      <c r="Q52" s="1756">
        <f>'Orç - Reservatório'!Y142</f>
        <v>0</v>
      </c>
      <c r="R52" s="1756">
        <f>'Orç - Reservatório'!Z142</f>
        <v>0</v>
      </c>
      <c r="S52" s="1817">
        <f t="shared" si="185"/>
        <v>1</v>
      </c>
    </row>
    <row r="53" spans="1:19" ht="15" x14ac:dyDescent="0.2">
      <c r="A53" s="1757" t="s">
        <v>21</v>
      </c>
      <c r="B53" s="1758" t="s">
        <v>4981</v>
      </c>
      <c r="C53" s="1759"/>
      <c r="D53" s="1760">
        <f>SUM(D15:D52)</f>
        <v>9058511.1099999975</v>
      </c>
      <c r="E53" s="1776">
        <f>E51+E49+E47+E45+E43+E40+E38+E36+E34+E32+E30+E28+E26+E21+E19+E17+E15+E23</f>
        <v>262984.52</v>
      </c>
      <c r="F53" s="1776">
        <f t="shared" ref="F53:R53" si="224">F51+F49+F47+F45+F43+F40+F38+F36+F34+F32+F30+F28+F26+F21+F19+F17+F15+F23</f>
        <v>87331.220000000016</v>
      </c>
      <c r="G53" s="1776">
        <f t="shared" si="224"/>
        <v>231870.65</v>
      </c>
      <c r="H53" s="1776">
        <f t="shared" si="224"/>
        <v>289769.00999999995</v>
      </c>
      <c r="I53" s="1776">
        <f t="shared" si="224"/>
        <v>775578.61999999988</v>
      </c>
      <c r="J53" s="1776">
        <f t="shared" si="224"/>
        <v>827935.22000000009</v>
      </c>
      <c r="K53" s="1776">
        <f t="shared" si="224"/>
        <v>372284.01000000007</v>
      </c>
      <c r="L53" s="1776">
        <f t="shared" si="224"/>
        <v>611692.82000000007</v>
      </c>
      <c r="M53" s="1776">
        <f t="shared" si="224"/>
        <v>580286.61</v>
      </c>
      <c r="N53" s="1776">
        <f t="shared" si="224"/>
        <v>1034929.67</v>
      </c>
      <c r="O53" s="1776">
        <f t="shared" si="224"/>
        <v>1146958.98</v>
      </c>
      <c r="P53" s="1776">
        <f t="shared" si="224"/>
        <v>1100769.3900000001</v>
      </c>
      <c r="Q53" s="1776">
        <f t="shared" si="224"/>
        <v>1105406.1599999999</v>
      </c>
      <c r="R53" s="1776">
        <f t="shared" si="224"/>
        <v>630714.2300000001</v>
      </c>
      <c r="S53" s="1765">
        <f>SUM(E53:R53)</f>
        <v>9058511.1100000013</v>
      </c>
    </row>
    <row r="54" spans="1:19" ht="15.75" thickBot="1" x14ac:dyDescent="0.25">
      <c r="A54" s="1761" t="s">
        <v>22</v>
      </c>
      <c r="B54" s="1762" t="s">
        <v>23</v>
      </c>
      <c r="C54" s="1763"/>
      <c r="D54" s="1764">
        <v>1</v>
      </c>
      <c r="E54" s="1777">
        <f>E53/$S$53</f>
        <v>2.903175994448827E-2</v>
      </c>
      <c r="F54" s="1777">
        <f t="shared" ref="F54:R54" si="225">F53/$S$53</f>
        <v>9.6407918409011032E-3</v>
      </c>
      <c r="G54" s="1777">
        <f t="shared" si="225"/>
        <v>2.5596993499740817E-2</v>
      </c>
      <c r="H54" s="1777">
        <f t="shared" si="225"/>
        <v>3.1988591334851262E-2</v>
      </c>
      <c r="I54" s="1777">
        <f t="shared" si="225"/>
        <v>8.5618774496375241E-2</v>
      </c>
      <c r="J54" s="1777">
        <f t="shared" si="225"/>
        <v>9.139859850544467E-2</v>
      </c>
      <c r="K54" s="1777">
        <f t="shared" si="225"/>
        <v>4.1097704189932818E-2</v>
      </c>
      <c r="L54" s="1777">
        <f t="shared" si="225"/>
        <v>6.7526860934655292E-2</v>
      </c>
      <c r="M54" s="1777">
        <f t="shared" si="225"/>
        <v>6.4059822078200213E-2</v>
      </c>
      <c r="N54" s="1777">
        <f t="shared" si="225"/>
        <v>0.11424942326973642</v>
      </c>
      <c r="O54" s="1777">
        <f t="shared" si="225"/>
        <v>0.12661672167447391</v>
      </c>
      <c r="P54" s="1777">
        <f t="shared" si="225"/>
        <v>0.12151769497581374</v>
      </c>
      <c r="Q54" s="1777">
        <f t="shared" si="225"/>
        <v>0.122029563862841</v>
      </c>
      <c r="R54" s="1777">
        <f t="shared" si="225"/>
        <v>6.9626699392545094E-2</v>
      </c>
    </row>
    <row r="57" spans="1:19" x14ac:dyDescent="0.2">
      <c r="D57" s="1765"/>
      <c r="E57" s="2088"/>
      <c r="F57" s="2088"/>
      <c r="G57" s="2088"/>
      <c r="H57" s="2088"/>
      <c r="I57" s="2088"/>
      <c r="J57" s="2088"/>
      <c r="K57" s="2088"/>
      <c r="L57" s="2088"/>
      <c r="M57" s="2088"/>
      <c r="N57" s="2088"/>
      <c r="O57" s="2088"/>
      <c r="P57" s="2088"/>
      <c r="Q57" s="2088"/>
      <c r="R57" s="2088"/>
    </row>
    <row r="58" spans="1:19" x14ac:dyDescent="0.2">
      <c r="E58" s="2088"/>
      <c r="F58" s="2088"/>
      <c r="G58" s="2088"/>
      <c r="H58" s="2088"/>
      <c r="I58" s="2088"/>
      <c r="J58" s="2088"/>
      <c r="K58" s="2088"/>
      <c r="L58" s="2088"/>
      <c r="M58" s="2088"/>
      <c r="N58" s="2088"/>
      <c r="O58" s="2088"/>
      <c r="P58" s="2088"/>
      <c r="Q58" s="2088"/>
      <c r="R58" s="2088"/>
    </row>
    <row r="59" spans="1:19" x14ac:dyDescent="0.2">
      <c r="D59" s="1765"/>
      <c r="E59" s="1766"/>
      <c r="F59" s="1766"/>
      <c r="G59" s="1766"/>
      <c r="H59" s="1766"/>
      <c r="I59" s="1766"/>
      <c r="J59" s="1766"/>
      <c r="K59" s="1766"/>
      <c r="L59" s="1766"/>
      <c r="M59" s="1766"/>
      <c r="N59" s="1766"/>
      <c r="O59" s="1766"/>
      <c r="P59" s="1766"/>
      <c r="Q59" s="1766"/>
      <c r="R59" s="1766"/>
    </row>
  </sheetData>
  <mergeCells count="97">
    <mergeCell ref="A47:A48"/>
    <mergeCell ref="B47:B48"/>
    <mergeCell ref="C47:C48"/>
    <mergeCell ref="D47:D48"/>
    <mergeCell ref="A49:A50"/>
    <mergeCell ref="B49:B50"/>
    <mergeCell ref="C49:C50"/>
    <mergeCell ref="D49:D50"/>
    <mergeCell ref="A51:A52"/>
    <mergeCell ref="B51:B52"/>
    <mergeCell ref="C51:C52"/>
    <mergeCell ref="D51:D52"/>
    <mergeCell ref="A40:A41"/>
    <mergeCell ref="B40:B41"/>
    <mergeCell ref="C40:C41"/>
    <mergeCell ref="D40:D41"/>
    <mergeCell ref="A43:A44"/>
    <mergeCell ref="B43:B44"/>
    <mergeCell ref="C43:C44"/>
    <mergeCell ref="D43:D44"/>
    <mergeCell ref="A45:A46"/>
    <mergeCell ref="B45:B46"/>
    <mergeCell ref="C45:C46"/>
    <mergeCell ref="D45:D46"/>
    <mergeCell ref="A36:A37"/>
    <mergeCell ref="B36:B37"/>
    <mergeCell ref="C36:C37"/>
    <mergeCell ref="D36:D37"/>
    <mergeCell ref="A38:A39"/>
    <mergeCell ref="B38:B39"/>
    <mergeCell ref="C38:C39"/>
    <mergeCell ref="D38:D39"/>
    <mergeCell ref="A32:A33"/>
    <mergeCell ref="B32:B33"/>
    <mergeCell ref="C32:C33"/>
    <mergeCell ref="D32:D33"/>
    <mergeCell ref="A34:A35"/>
    <mergeCell ref="B34:B35"/>
    <mergeCell ref="C34:C35"/>
    <mergeCell ref="D34:D35"/>
    <mergeCell ref="A28:A29"/>
    <mergeCell ref="B28:B29"/>
    <mergeCell ref="C28:C29"/>
    <mergeCell ref="D28:D29"/>
    <mergeCell ref="A30:A31"/>
    <mergeCell ref="B30:B31"/>
    <mergeCell ref="C30:C31"/>
    <mergeCell ref="D30:D31"/>
    <mergeCell ref="A21:A22"/>
    <mergeCell ref="B21:B22"/>
    <mergeCell ref="C21:C22"/>
    <mergeCell ref="D21:D22"/>
    <mergeCell ref="A26:A27"/>
    <mergeCell ref="B26:B27"/>
    <mergeCell ref="C26:C27"/>
    <mergeCell ref="D26:D27"/>
    <mergeCell ref="A23:A24"/>
    <mergeCell ref="B23:B24"/>
    <mergeCell ref="C23:C24"/>
    <mergeCell ref="D23:D24"/>
    <mergeCell ref="A17:A18"/>
    <mergeCell ref="B17:B18"/>
    <mergeCell ref="C17:C18"/>
    <mergeCell ref="D17:D18"/>
    <mergeCell ref="A19:A20"/>
    <mergeCell ref="B19:B20"/>
    <mergeCell ref="C19:C20"/>
    <mergeCell ref="D19:D20"/>
    <mergeCell ref="A15:A16"/>
    <mergeCell ref="B15:B16"/>
    <mergeCell ref="C15:C16"/>
    <mergeCell ref="D15:D16"/>
    <mergeCell ref="J12:J13"/>
    <mergeCell ref="F12:F13"/>
    <mergeCell ref="G12:G13"/>
    <mergeCell ref="H12:H13"/>
    <mergeCell ref="I12:I13"/>
    <mergeCell ref="B9:J9"/>
    <mergeCell ref="B10:J10"/>
    <mergeCell ref="A12:A13"/>
    <mergeCell ref="B12:B13"/>
    <mergeCell ref="C12:C13"/>
    <mergeCell ref="D12:D13"/>
    <mergeCell ref="E12:E13"/>
    <mergeCell ref="A1:R1"/>
    <mergeCell ref="A2:R2"/>
    <mergeCell ref="A3:R3"/>
    <mergeCell ref="A6:R6"/>
    <mergeCell ref="B8:J8"/>
    <mergeCell ref="P12:P13"/>
    <mergeCell ref="Q12:Q13"/>
    <mergeCell ref="R12:R13"/>
    <mergeCell ref="O12:O13"/>
    <mergeCell ref="K12:K13"/>
    <mergeCell ref="L12:L13"/>
    <mergeCell ref="M12:M13"/>
    <mergeCell ref="N12:N13"/>
  </mergeCells>
  <conditionalFormatting sqref="E16:R16 E19:Q19 E20:R20 E29:R29 E33:R33 E35:R35 E37:R37 E39:R39 E41:R42 E44:R44 E48:R48 E50:R50 E52:R52 E22:R22 E25:R25">
    <cfRule type="cellIs" dxfId="2228" priority="2755" operator="greaterThan">
      <formula>1</formula>
    </cfRule>
  </conditionalFormatting>
  <conditionalFormatting sqref="E17:R18">
    <cfRule type="cellIs" dxfId="2227" priority="2754" operator="greaterThan">
      <formula>1</formula>
    </cfRule>
  </conditionalFormatting>
  <conditionalFormatting sqref="E27:R27">
    <cfRule type="cellIs" dxfId="2226" priority="2753" operator="greaterThan">
      <formula>1</formula>
    </cfRule>
  </conditionalFormatting>
  <conditionalFormatting sqref="E31:R31">
    <cfRule type="cellIs" dxfId="2225" priority="2752" operator="greaterThan">
      <formula>1</formula>
    </cfRule>
  </conditionalFormatting>
  <conditionalFormatting sqref="E46:R46">
    <cfRule type="cellIs" dxfId="2224" priority="2750" operator="greaterThan">
      <formula>1</formula>
    </cfRule>
  </conditionalFormatting>
  <conditionalFormatting sqref="E18:R18">
    <cfRule type="cellIs" dxfId="2223" priority="2748" operator="greaterThan">
      <formula>1</formula>
    </cfRule>
  </conditionalFormatting>
  <conditionalFormatting sqref="E22:R22">
    <cfRule type="cellIs" dxfId="2222" priority="2747" operator="greaterThan">
      <formula>1</formula>
    </cfRule>
  </conditionalFormatting>
  <conditionalFormatting sqref="E22:R22">
    <cfRule type="cellIs" dxfId="2221" priority="2746" operator="greaterThan">
      <formula>1</formula>
    </cfRule>
  </conditionalFormatting>
  <conditionalFormatting sqref="E27:R27">
    <cfRule type="cellIs" dxfId="2220" priority="2745" operator="greaterThan">
      <formula>1</formula>
    </cfRule>
  </conditionalFormatting>
  <conditionalFormatting sqref="E27:R27">
    <cfRule type="cellIs" dxfId="2219" priority="2744" operator="greaterThan">
      <formula>1</formula>
    </cfRule>
  </conditionalFormatting>
  <conditionalFormatting sqref="E27:R27">
    <cfRule type="cellIs" dxfId="2218" priority="2743" operator="greaterThan">
      <formula>1</formula>
    </cfRule>
  </conditionalFormatting>
  <conditionalFormatting sqref="L27">
    <cfRule type="cellIs" dxfId="2217" priority="2742" operator="greaterThan">
      <formula>1</formula>
    </cfRule>
  </conditionalFormatting>
  <conditionalFormatting sqref="L27">
    <cfRule type="cellIs" dxfId="2216" priority="2741" operator="greaterThan">
      <formula>1</formula>
    </cfRule>
  </conditionalFormatting>
  <conditionalFormatting sqref="L27">
    <cfRule type="cellIs" dxfId="2215" priority="2740" operator="greaterThan">
      <formula>1</formula>
    </cfRule>
  </conditionalFormatting>
  <conditionalFormatting sqref="F29">
    <cfRule type="cellIs" dxfId="2214" priority="2739" operator="greaterThan">
      <formula>1</formula>
    </cfRule>
  </conditionalFormatting>
  <conditionalFormatting sqref="F29">
    <cfRule type="cellIs" dxfId="2213" priority="2738" operator="greaterThan">
      <formula>1</formula>
    </cfRule>
  </conditionalFormatting>
  <conditionalFormatting sqref="F29">
    <cfRule type="cellIs" dxfId="2212" priority="2737" operator="greaterThan">
      <formula>1</formula>
    </cfRule>
  </conditionalFormatting>
  <conditionalFormatting sqref="F29">
    <cfRule type="cellIs" dxfId="2211" priority="2736" operator="greaterThan">
      <formula>1</formula>
    </cfRule>
  </conditionalFormatting>
  <conditionalFormatting sqref="F31:L31">
    <cfRule type="cellIs" dxfId="2210" priority="2735" operator="greaterThan">
      <formula>1</formula>
    </cfRule>
  </conditionalFormatting>
  <conditionalFormatting sqref="F31:L31">
    <cfRule type="cellIs" dxfId="2209" priority="2734" operator="greaterThan">
      <formula>1</formula>
    </cfRule>
  </conditionalFormatting>
  <conditionalFormatting sqref="F31:L31">
    <cfRule type="cellIs" dxfId="2208" priority="2733" operator="greaterThan">
      <formula>1</formula>
    </cfRule>
  </conditionalFormatting>
  <conditionalFormatting sqref="F31:L31">
    <cfRule type="cellIs" dxfId="2207" priority="2732" operator="greaterThan">
      <formula>1</formula>
    </cfRule>
  </conditionalFormatting>
  <conditionalFormatting sqref="O31">
    <cfRule type="cellIs" dxfId="2206" priority="2731" operator="greaterThan">
      <formula>1</formula>
    </cfRule>
  </conditionalFormatting>
  <conditionalFormatting sqref="O31">
    <cfRule type="cellIs" dxfId="2205" priority="2730" operator="greaterThan">
      <formula>1</formula>
    </cfRule>
  </conditionalFormatting>
  <conditionalFormatting sqref="O31">
    <cfRule type="cellIs" dxfId="2204" priority="2729" operator="greaterThan">
      <formula>1</formula>
    </cfRule>
  </conditionalFormatting>
  <conditionalFormatting sqref="O31">
    <cfRule type="cellIs" dxfId="2203" priority="2728" operator="greaterThan">
      <formula>1</formula>
    </cfRule>
  </conditionalFormatting>
  <conditionalFormatting sqref="J33:R33">
    <cfRule type="cellIs" dxfId="2202" priority="2727" operator="greaterThan">
      <formula>1</formula>
    </cfRule>
  </conditionalFormatting>
  <conditionalFormatting sqref="J33:R33">
    <cfRule type="cellIs" dxfId="2201" priority="2726" operator="greaterThan">
      <formula>1</formula>
    </cfRule>
  </conditionalFormatting>
  <conditionalFormatting sqref="J33:R33">
    <cfRule type="cellIs" dxfId="2200" priority="2725" operator="greaterThan">
      <formula>1</formula>
    </cfRule>
  </conditionalFormatting>
  <conditionalFormatting sqref="J33:R33">
    <cfRule type="cellIs" dxfId="2199" priority="2724" operator="greaterThan">
      <formula>1</formula>
    </cfRule>
  </conditionalFormatting>
  <conditionalFormatting sqref="H35">
    <cfRule type="cellIs" dxfId="2198" priority="2723" operator="greaterThan">
      <formula>1</formula>
    </cfRule>
  </conditionalFormatting>
  <conditionalFormatting sqref="H35">
    <cfRule type="cellIs" dxfId="2197" priority="2722" operator="greaterThan">
      <formula>1</formula>
    </cfRule>
  </conditionalFormatting>
  <conditionalFormatting sqref="H35">
    <cfRule type="cellIs" dxfId="2196" priority="2721" operator="greaterThan">
      <formula>1</formula>
    </cfRule>
  </conditionalFormatting>
  <conditionalFormatting sqref="H35">
    <cfRule type="cellIs" dxfId="2195" priority="2720" operator="greaterThan">
      <formula>1</formula>
    </cfRule>
  </conditionalFormatting>
  <conditionalFormatting sqref="K35:O35">
    <cfRule type="cellIs" dxfId="2194" priority="2719" operator="greaterThan">
      <formula>1</formula>
    </cfRule>
  </conditionalFormatting>
  <conditionalFormatting sqref="K35:O35">
    <cfRule type="cellIs" dxfId="2193" priority="2718" operator="greaterThan">
      <formula>1</formula>
    </cfRule>
  </conditionalFormatting>
  <conditionalFormatting sqref="K35:O35">
    <cfRule type="cellIs" dxfId="2192" priority="2717" operator="greaterThan">
      <formula>1</formula>
    </cfRule>
  </conditionalFormatting>
  <conditionalFormatting sqref="K35:O35">
    <cfRule type="cellIs" dxfId="2191" priority="2716" operator="greaterThan">
      <formula>1</formula>
    </cfRule>
  </conditionalFormatting>
  <conditionalFormatting sqref="L37:R37">
    <cfRule type="cellIs" dxfId="2190" priority="2715" operator="greaterThan">
      <formula>1</formula>
    </cfRule>
  </conditionalFormatting>
  <conditionalFormatting sqref="L37:R37">
    <cfRule type="cellIs" dxfId="2189" priority="2714" operator="greaterThan">
      <formula>1</formula>
    </cfRule>
  </conditionalFormatting>
  <conditionalFormatting sqref="L37:R37">
    <cfRule type="cellIs" dxfId="2188" priority="2713" operator="greaterThan">
      <formula>1</formula>
    </cfRule>
  </conditionalFormatting>
  <conditionalFormatting sqref="L37:R37">
    <cfRule type="cellIs" dxfId="2187" priority="2712" operator="greaterThan">
      <formula>1</formula>
    </cfRule>
  </conditionalFormatting>
  <conditionalFormatting sqref="M39:R39">
    <cfRule type="cellIs" dxfId="2186" priority="2711" operator="greaterThan">
      <formula>1</formula>
    </cfRule>
  </conditionalFormatting>
  <conditionalFormatting sqref="M39:R39">
    <cfRule type="cellIs" dxfId="2185" priority="2710" operator="greaterThan">
      <formula>1</formula>
    </cfRule>
  </conditionalFormatting>
  <conditionalFormatting sqref="M39:R39">
    <cfRule type="cellIs" dxfId="2184" priority="2709" operator="greaterThan">
      <formula>1</formula>
    </cfRule>
  </conditionalFormatting>
  <conditionalFormatting sqref="M39:R39">
    <cfRule type="cellIs" dxfId="2183" priority="2708" operator="greaterThan">
      <formula>1</formula>
    </cfRule>
  </conditionalFormatting>
  <conditionalFormatting sqref="L41:M41">
    <cfRule type="cellIs" dxfId="2182" priority="2707" operator="greaterThan">
      <formula>1</formula>
    </cfRule>
  </conditionalFormatting>
  <conditionalFormatting sqref="L41:M41">
    <cfRule type="cellIs" dxfId="2181" priority="2706" operator="greaterThan">
      <formula>1</formula>
    </cfRule>
  </conditionalFormatting>
  <conditionalFormatting sqref="L41:M41">
    <cfRule type="cellIs" dxfId="2180" priority="2705" operator="greaterThan">
      <formula>1</formula>
    </cfRule>
  </conditionalFormatting>
  <conditionalFormatting sqref="L41:M41">
    <cfRule type="cellIs" dxfId="2179" priority="2704" operator="greaterThan">
      <formula>1</formula>
    </cfRule>
  </conditionalFormatting>
  <conditionalFormatting sqref="Q41">
    <cfRule type="cellIs" dxfId="2178" priority="2703" operator="greaterThan">
      <formula>1</formula>
    </cfRule>
  </conditionalFormatting>
  <conditionalFormatting sqref="Q41">
    <cfRule type="cellIs" dxfId="2177" priority="2702" operator="greaterThan">
      <formula>1</formula>
    </cfRule>
  </conditionalFormatting>
  <conditionalFormatting sqref="Q41">
    <cfRule type="cellIs" dxfId="2176" priority="2701" operator="greaterThan">
      <formula>1</formula>
    </cfRule>
  </conditionalFormatting>
  <conditionalFormatting sqref="Q41">
    <cfRule type="cellIs" dxfId="2175" priority="2700" operator="greaterThan">
      <formula>1</formula>
    </cfRule>
  </conditionalFormatting>
  <conditionalFormatting sqref="F44:J44">
    <cfRule type="cellIs" dxfId="2174" priority="2655" operator="greaterThan">
      <formula>1</formula>
    </cfRule>
  </conditionalFormatting>
  <conditionalFormatting sqref="F44:J44">
    <cfRule type="cellIs" dxfId="2173" priority="2654" operator="greaterThan">
      <formula>1</formula>
    </cfRule>
  </conditionalFormatting>
  <conditionalFormatting sqref="F44:J44">
    <cfRule type="cellIs" dxfId="2172" priority="2653" operator="greaterThan">
      <formula>1</formula>
    </cfRule>
  </conditionalFormatting>
  <conditionalFormatting sqref="F44:J44">
    <cfRule type="cellIs" dxfId="2171" priority="2652" operator="greaterThan">
      <formula>1</formula>
    </cfRule>
  </conditionalFormatting>
  <conditionalFormatting sqref="F46">
    <cfRule type="cellIs" dxfId="2170" priority="2651" operator="greaterThan">
      <formula>1</formula>
    </cfRule>
  </conditionalFormatting>
  <conditionalFormatting sqref="F46">
    <cfRule type="cellIs" dxfId="2169" priority="2650" operator="greaterThan">
      <formula>1</formula>
    </cfRule>
  </conditionalFormatting>
  <conditionalFormatting sqref="F46">
    <cfRule type="cellIs" dxfId="2168" priority="2649" operator="greaterThan">
      <formula>1</formula>
    </cfRule>
  </conditionalFormatting>
  <conditionalFormatting sqref="F46">
    <cfRule type="cellIs" dxfId="2167" priority="2648" operator="greaterThan">
      <formula>1</formula>
    </cfRule>
  </conditionalFormatting>
  <conditionalFormatting sqref="F48:J48">
    <cfRule type="cellIs" dxfId="2166" priority="2647" operator="greaterThan">
      <formula>1</formula>
    </cfRule>
  </conditionalFormatting>
  <conditionalFormatting sqref="F48:J48">
    <cfRule type="cellIs" dxfId="2165" priority="2646" operator="greaterThan">
      <formula>1</formula>
    </cfRule>
  </conditionalFormatting>
  <conditionalFormatting sqref="F48:J48">
    <cfRule type="cellIs" dxfId="2164" priority="2645" operator="greaterThan">
      <formula>1</formula>
    </cfRule>
  </conditionalFormatting>
  <conditionalFormatting sqref="F48:J48">
    <cfRule type="cellIs" dxfId="2163" priority="2644" operator="greaterThan">
      <formula>1</formula>
    </cfRule>
  </conditionalFormatting>
  <conditionalFormatting sqref="K50:M50">
    <cfRule type="cellIs" dxfId="2162" priority="2643" operator="greaterThan">
      <formula>1</formula>
    </cfRule>
  </conditionalFormatting>
  <conditionalFormatting sqref="K50:M50">
    <cfRule type="cellIs" dxfId="2161" priority="2642" operator="greaterThan">
      <formula>1</formula>
    </cfRule>
  </conditionalFormatting>
  <conditionalFormatting sqref="K50:M50">
    <cfRule type="cellIs" dxfId="2160" priority="2641" operator="greaterThan">
      <formula>1</formula>
    </cfRule>
  </conditionalFormatting>
  <conditionalFormatting sqref="K50:M50">
    <cfRule type="cellIs" dxfId="2159" priority="2640" operator="greaterThan">
      <formula>1</formula>
    </cfRule>
  </conditionalFormatting>
  <conditionalFormatting sqref="L52:M52">
    <cfRule type="cellIs" dxfId="2158" priority="2639" operator="greaterThan">
      <formula>1</formula>
    </cfRule>
  </conditionalFormatting>
  <conditionalFormatting sqref="L52:M52">
    <cfRule type="cellIs" dxfId="2157" priority="2638" operator="greaterThan">
      <formula>1</formula>
    </cfRule>
  </conditionalFormatting>
  <conditionalFormatting sqref="L52:M52">
    <cfRule type="cellIs" dxfId="2156" priority="2637" operator="greaterThan">
      <formula>1</formula>
    </cfRule>
  </conditionalFormatting>
  <conditionalFormatting sqref="L52:M52">
    <cfRule type="cellIs" dxfId="2155" priority="2636" operator="greaterThan">
      <formula>1</formula>
    </cfRule>
  </conditionalFormatting>
  <conditionalFormatting sqref="E17:R17">
    <cfRule type="cellIs" dxfId="2154" priority="2615" operator="greaterThan">
      <formula>1</formula>
    </cfRule>
  </conditionalFormatting>
  <conditionalFormatting sqref="H51">
    <cfRule type="cellIs" dxfId="2153" priority="2180" operator="greaterThan">
      <formula>1</formula>
    </cfRule>
  </conditionalFormatting>
  <conditionalFormatting sqref="I51">
    <cfRule type="cellIs" dxfId="2152" priority="2179" operator="greaterThan">
      <formula>1</formula>
    </cfRule>
  </conditionalFormatting>
  <conditionalFormatting sqref="J51">
    <cfRule type="cellIs" dxfId="2151" priority="2178" operator="greaterThan">
      <formula>1</formula>
    </cfRule>
  </conditionalFormatting>
  <conditionalFormatting sqref="K51">
    <cfRule type="cellIs" dxfId="2150" priority="2177" operator="greaterThan">
      <formula>1</formula>
    </cfRule>
  </conditionalFormatting>
  <conditionalFormatting sqref="L51">
    <cfRule type="cellIs" dxfId="2149" priority="2176" operator="greaterThan">
      <formula>1</formula>
    </cfRule>
  </conditionalFormatting>
  <conditionalFormatting sqref="O51">
    <cfRule type="cellIs" dxfId="2148" priority="2173" operator="greaterThan">
      <formula>1</formula>
    </cfRule>
  </conditionalFormatting>
  <conditionalFormatting sqref="P47">
    <cfRule type="cellIs" dxfId="2147" priority="2200" operator="greaterThan">
      <formula>1</formula>
    </cfRule>
  </conditionalFormatting>
  <conditionalFormatting sqref="Q47">
    <cfRule type="cellIs" dxfId="2146" priority="2199" operator="greaterThan">
      <formula>1</formula>
    </cfRule>
  </conditionalFormatting>
  <conditionalFormatting sqref="R47">
    <cfRule type="cellIs" dxfId="2145" priority="2198" operator="greaterThan">
      <formula>1</formula>
    </cfRule>
  </conditionalFormatting>
  <conditionalFormatting sqref="E49:J49 N49:R49">
    <cfRule type="cellIs" dxfId="2144" priority="2197" operator="greaterThan">
      <formula>1</formula>
    </cfRule>
  </conditionalFormatting>
  <conditionalFormatting sqref="E49:J49 N49:R49">
    <cfRule type="cellIs" dxfId="2143" priority="2196" operator="greaterThan">
      <formula>1</formula>
    </cfRule>
  </conditionalFormatting>
  <conditionalFormatting sqref="G49">
    <cfRule type="cellIs" dxfId="2142" priority="2195" operator="greaterThan">
      <formula>1</formula>
    </cfRule>
  </conditionalFormatting>
  <conditionalFormatting sqref="H49">
    <cfRule type="cellIs" dxfId="2141" priority="2194" operator="greaterThan">
      <formula>1</formula>
    </cfRule>
  </conditionalFormatting>
  <conditionalFormatting sqref="I49">
    <cfRule type="cellIs" dxfId="2140" priority="2193" operator="greaterThan">
      <formula>1</formula>
    </cfRule>
  </conditionalFormatting>
  <conditionalFormatting sqref="J49">
    <cfRule type="cellIs" dxfId="2139" priority="2192" operator="greaterThan">
      <formula>1</formula>
    </cfRule>
  </conditionalFormatting>
  <conditionalFormatting sqref="L47">
    <cfRule type="cellIs" dxfId="2138" priority="2204" operator="greaterThan">
      <formula>1</formula>
    </cfRule>
  </conditionalFormatting>
  <conditionalFormatting sqref="M47">
    <cfRule type="cellIs" dxfId="2137" priority="2203" operator="greaterThan">
      <formula>1</formula>
    </cfRule>
  </conditionalFormatting>
  <conditionalFormatting sqref="N47">
    <cfRule type="cellIs" dxfId="2136" priority="2202" operator="greaterThan">
      <formula>1</formula>
    </cfRule>
  </conditionalFormatting>
  <conditionalFormatting sqref="O47">
    <cfRule type="cellIs" dxfId="2135" priority="2201" operator="greaterThan">
      <formula>1</formula>
    </cfRule>
  </conditionalFormatting>
  <conditionalFormatting sqref="Q51">
    <cfRule type="cellIs" dxfId="2134" priority="2171" operator="greaterThan">
      <formula>1</formula>
    </cfRule>
  </conditionalFormatting>
  <conditionalFormatting sqref="R51">
    <cfRule type="cellIs" dxfId="2133" priority="2170" operator="greaterThan">
      <formula>1</formula>
    </cfRule>
  </conditionalFormatting>
  <conditionalFormatting sqref="K47">
    <cfRule type="cellIs" dxfId="2132" priority="2205" operator="greaterThan">
      <formula>1</formula>
    </cfRule>
  </conditionalFormatting>
  <conditionalFormatting sqref="M45">
    <cfRule type="cellIs" dxfId="2131" priority="2217" operator="greaterThan">
      <formula>1</formula>
    </cfRule>
  </conditionalFormatting>
  <conditionalFormatting sqref="N45">
    <cfRule type="cellIs" dxfId="2130" priority="2216" operator="greaterThan">
      <formula>1</formula>
    </cfRule>
  </conditionalFormatting>
  <conditionalFormatting sqref="O45">
    <cfRule type="cellIs" dxfId="2129" priority="2215" operator="greaterThan">
      <formula>1</formula>
    </cfRule>
  </conditionalFormatting>
  <conditionalFormatting sqref="P45">
    <cfRule type="cellIs" dxfId="2128" priority="2214" operator="greaterThan">
      <formula>1</formula>
    </cfRule>
  </conditionalFormatting>
  <conditionalFormatting sqref="Q45">
    <cfRule type="cellIs" dxfId="2127" priority="2213" operator="greaterThan">
      <formula>1</formula>
    </cfRule>
  </conditionalFormatting>
  <conditionalFormatting sqref="R45">
    <cfRule type="cellIs" dxfId="2126" priority="2212" operator="greaterThan">
      <formula>1</formula>
    </cfRule>
  </conditionalFormatting>
  <conditionalFormatting sqref="E47 K47:R47">
    <cfRule type="cellIs" dxfId="2125" priority="2211" operator="greaterThan">
      <formula>1</formula>
    </cfRule>
  </conditionalFormatting>
  <conditionalFormatting sqref="E47 K47:R47">
    <cfRule type="cellIs" dxfId="2124" priority="2210" operator="greaterThan">
      <formula>1</formula>
    </cfRule>
  </conditionalFormatting>
  <conditionalFormatting sqref="P51">
    <cfRule type="cellIs" dxfId="2123" priority="2172" operator="greaterThan">
      <formula>1</formula>
    </cfRule>
  </conditionalFormatting>
  <conditionalFormatting sqref="G51">
    <cfRule type="cellIs" dxfId="2122" priority="2181" operator="greaterThan">
      <formula>1</formula>
    </cfRule>
  </conditionalFormatting>
  <conditionalFormatting sqref="P49">
    <cfRule type="cellIs" dxfId="2121" priority="2186" operator="greaterThan">
      <formula>1</formula>
    </cfRule>
  </conditionalFormatting>
  <conditionalFormatting sqref="Q49">
    <cfRule type="cellIs" dxfId="2120" priority="2185" operator="greaterThan">
      <formula>1</formula>
    </cfRule>
  </conditionalFormatting>
  <conditionalFormatting sqref="R49">
    <cfRule type="cellIs" dxfId="2119" priority="2184" operator="greaterThan">
      <formula>1</formula>
    </cfRule>
  </conditionalFormatting>
  <conditionalFormatting sqref="E51:L51 O51:R51">
    <cfRule type="cellIs" dxfId="2118" priority="2183" operator="greaterThan">
      <formula>1</formula>
    </cfRule>
  </conditionalFormatting>
  <conditionalFormatting sqref="E51:L51 O51:R51">
    <cfRule type="cellIs" dxfId="2117" priority="2182" operator="greaterThan">
      <formula>1</formula>
    </cfRule>
  </conditionalFormatting>
  <conditionalFormatting sqref="N49">
    <cfRule type="cellIs" dxfId="2116" priority="2188" operator="greaterThan">
      <formula>1</formula>
    </cfRule>
  </conditionalFormatting>
  <conditionalFormatting sqref="O49">
    <cfRule type="cellIs" dxfId="2115" priority="2187" operator="greaterThan">
      <formula>1</formula>
    </cfRule>
  </conditionalFormatting>
  <conditionalFormatting sqref="J47">
    <cfRule type="cellIs" dxfId="2114" priority="1949" operator="greaterThan">
      <formula>1</formula>
    </cfRule>
  </conditionalFormatting>
  <conditionalFormatting sqref="J47">
    <cfRule type="cellIs" dxfId="2113" priority="1948" operator="greaterThan">
      <formula>1</formula>
    </cfRule>
  </conditionalFormatting>
  <conditionalFormatting sqref="K49">
    <cfRule type="cellIs" dxfId="2112" priority="1947" operator="greaterThan">
      <formula>1</formula>
    </cfRule>
  </conditionalFormatting>
  <conditionalFormatting sqref="K49">
    <cfRule type="cellIs" dxfId="2111" priority="1946" operator="greaterThan">
      <formula>1</formula>
    </cfRule>
  </conditionalFormatting>
  <conditionalFormatting sqref="L49">
    <cfRule type="cellIs" dxfId="2110" priority="1945" operator="greaterThan">
      <formula>1</formula>
    </cfRule>
  </conditionalFormatting>
  <conditionalFormatting sqref="L49">
    <cfRule type="cellIs" dxfId="2109" priority="1944" operator="greaterThan">
      <formula>1</formula>
    </cfRule>
  </conditionalFormatting>
  <conditionalFormatting sqref="L40">
    <cfRule type="cellIs" dxfId="2108" priority="1971" operator="greaterThan">
      <formula>1</formula>
    </cfRule>
  </conditionalFormatting>
  <conditionalFormatting sqref="L40">
    <cfRule type="cellIs" dxfId="2107" priority="1970" operator="greaterThan">
      <formula>1</formula>
    </cfRule>
  </conditionalFormatting>
  <conditionalFormatting sqref="F43">
    <cfRule type="cellIs" dxfId="2106" priority="1969" operator="greaterThan">
      <formula>1</formula>
    </cfRule>
  </conditionalFormatting>
  <conditionalFormatting sqref="F43">
    <cfRule type="cellIs" dxfId="2105" priority="1968" operator="greaterThan">
      <formula>1</formula>
    </cfRule>
  </conditionalFormatting>
  <conditionalFormatting sqref="O36">
    <cfRule type="cellIs" dxfId="2104" priority="1995" operator="greaterThan">
      <formula>1</formula>
    </cfRule>
  </conditionalFormatting>
  <conditionalFormatting sqref="O36">
    <cfRule type="cellIs" dxfId="2103" priority="1994" operator="greaterThan">
      <formula>1</formula>
    </cfRule>
  </conditionalFormatting>
  <conditionalFormatting sqref="N36">
    <cfRule type="cellIs" dxfId="2102" priority="1993" operator="greaterThan">
      <formula>1</formula>
    </cfRule>
  </conditionalFormatting>
  <conditionalFormatting sqref="N36">
    <cfRule type="cellIs" dxfId="2101" priority="1992" operator="greaterThan">
      <formula>1</formula>
    </cfRule>
  </conditionalFormatting>
  <conditionalFormatting sqref="M36">
    <cfRule type="cellIs" dxfId="2100" priority="1991" operator="greaterThan">
      <formula>1</formula>
    </cfRule>
  </conditionalFormatting>
  <conditionalFormatting sqref="O30">
    <cfRule type="cellIs" dxfId="2099" priority="2032" operator="greaterThan">
      <formula>1</formula>
    </cfRule>
  </conditionalFormatting>
  <conditionalFormatting sqref="R32">
    <cfRule type="cellIs" dxfId="2098" priority="2031" operator="greaterThan">
      <formula>1</formula>
    </cfRule>
  </conditionalFormatting>
  <conditionalFormatting sqref="R32">
    <cfRule type="cellIs" dxfId="2097" priority="2030" operator="greaterThan">
      <formula>1</formula>
    </cfRule>
  </conditionalFormatting>
  <conditionalFormatting sqref="Q32">
    <cfRule type="cellIs" dxfId="2096" priority="2029" operator="greaterThan">
      <formula>1</formula>
    </cfRule>
  </conditionalFormatting>
  <conditionalFormatting sqref="Q32">
    <cfRule type="cellIs" dxfId="2095" priority="2028" operator="greaterThan">
      <formula>1</formula>
    </cfRule>
  </conditionalFormatting>
  <conditionalFormatting sqref="P32">
    <cfRule type="cellIs" dxfId="2094" priority="2027" operator="greaterThan">
      <formula>1</formula>
    </cfRule>
  </conditionalFormatting>
  <conditionalFormatting sqref="P32">
    <cfRule type="cellIs" dxfId="2093" priority="2026" operator="greaterThan">
      <formula>1</formula>
    </cfRule>
  </conditionalFormatting>
  <conditionalFormatting sqref="O32">
    <cfRule type="cellIs" dxfId="2092" priority="2025" operator="greaterThan">
      <formula>1</formula>
    </cfRule>
  </conditionalFormatting>
  <conditionalFormatting sqref="G17">
    <cfRule type="cellIs" dxfId="2091" priority="2363" operator="greaterThan">
      <formula>1</formula>
    </cfRule>
  </conditionalFormatting>
  <conditionalFormatting sqref="H17">
    <cfRule type="cellIs" dxfId="2090" priority="2362" operator="greaterThan">
      <formula>1</formula>
    </cfRule>
  </conditionalFormatting>
  <conditionalFormatting sqref="I17">
    <cfRule type="cellIs" dxfId="2089" priority="2361" operator="greaterThan">
      <formula>1</formula>
    </cfRule>
  </conditionalFormatting>
  <conditionalFormatting sqref="J17">
    <cfRule type="cellIs" dxfId="2088" priority="2360" operator="greaterThan">
      <formula>1</formula>
    </cfRule>
  </conditionalFormatting>
  <conditionalFormatting sqref="K17">
    <cfRule type="cellIs" dxfId="2087" priority="2359" operator="greaterThan">
      <formula>1</formula>
    </cfRule>
  </conditionalFormatting>
  <conditionalFormatting sqref="L17">
    <cfRule type="cellIs" dxfId="2086" priority="2358" operator="greaterThan">
      <formula>1</formula>
    </cfRule>
  </conditionalFormatting>
  <conditionalFormatting sqref="M17">
    <cfRule type="cellIs" dxfId="2085" priority="2357" operator="greaterThan">
      <formula>1</formula>
    </cfRule>
  </conditionalFormatting>
  <conditionalFormatting sqref="N17">
    <cfRule type="cellIs" dxfId="2084" priority="2356" operator="greaterThan">
      <formula>1</formula>
    </cfRule>
  </conditionalFormatting>
  <conditionalFormatting sqref="O17">
    <cfRule type="cellIs" dxfId="2083" priority="2355" operator="greaterThan">
      <formula>1</formula>
    </cfRule>
  </conditionalFormatting>
  <conditionalFormatting sqref="P17">
    <cfRule type="cellIs" dxfId="2082" priority="2354" operator="greaterThan">
      <formula>1</formula>
    </cfRule>
  </conditionalFormatting>
  <conditionalFormatting sqref="Q17">
    <cfRule type="cellIs" dxfId="2081" priority="2353" operator="greaterThan">
      <formula>1</formula>
    </cfRule>
  </conditionalFormatting>
  <conditionalFormatting sqref="R17">
    <cfRule type="cellIs" dxfId="2080" priority="2352" operator="greaterThan">
      <formula>1</formula>
    </cfRule>
  </conditionalFormatting>
  <conditionalFormatting sqref="G26:R26">
    <cfRule type="cellIs" dxfId="2079" priority="2351" operator="greaterThan">
      <formula>1</formula>
    </cfRule>
  </conditionalFormatting>
  <conditionalFormatting sqref="G26:R26">
    <cfRule type="cellIs" dxfId="2078" priority="2350" operator="greaterThan">
      <formula>1</formula>
    </cfRule>
  </conditionalFormatting>
  <conditionalFormatting sqref="G26">
    <cfRule type="cellIs" dxfId="2077" priority="2349" operator="greaterThan">
      <formula>1</formula>
    </cfRule>
  </conditionalFormatting>
  <conditionalFormatting sqref="H26">
    <cfRule type="cellIs" dxfId="2076" priority="2348" operator="greaterThan">
      <formula>1</formula>
    </cfRule>
  </conditionalFormatting>
  <conditionalFormatting sqref="I26">
    <cfRule type="cellIs" dxfId="2075" priority="2347" operator="greaterThan">
      <formula>1</formula>
    </cfRule>
  </conditionalFormatting>
  <conditionalFormatting sqref="J26">
    <cfRule type="cellIs" dxfId="2074" priority="2346" operator="greaterThan">
      <formula>1</formula>
    </cfRule>
  </conditionalFormatting>
  <conditionalFormatting sqref="K26">
    <cfRule type="cellIs" dxfId="2073" priority="2345" operator="greaterThan">
      <formula>1</formula>
    </cfRule>
  </conditionalFormatting>
  <conditionalFormatting sqref="L26">
    <cfRule type="cellIs" dxfId="2072" priority="2344" operator="greaterThan">
      <formula>1</formula>
    </cfRule>
  </conditionalFormatting>
  <conditionalFormatting sqref="M26">
    <cfRule type="cellIs" dxfId="2071" priority="2343" operator="greaterThan">
      <formula>1</formula>
    </cfRule>
  </conditionalFormatting>
  <conditionalFormatting sqref="N26">
    <cfRule type="cellIs" dxfId="2070" priority="2342" operator="greaterThan">
      <formula>1</formula>
    </cfRule>
  </conditionalFormatting>
  <conditionalFormatting sqref="O26">
    <cfRule type="cellIs" dxfId="2069" priority="2341" operator="greaterThan">
      <formula>1</formula>
    </cfRule>
  </conditionalFormatting>
  <conditionalFormatting sqref="P26">
    <cfRule type="cellIs" dxfId="2068" priority="2340" operator="greaterThan">
      <formula>1</formula>
    </cfRule>
  </conditionalFormatting>
  <conditionalFormatting sqref="Q26">
    <cfRule type="cellIs" dxfId="2067" priority="2339" operator="greaterThan">
      <formula>1</formula>
    </cfRule>
  </conditionalFormatting>
  <conditionalFormatting sqref="R26">
    <cfRule type="cellIs" dxfId="2066" priority="2338" operator="greaterThan">
      <formula>1</formula>
    </cfRule>
  </conditionalFormatting>
  <conditionalFormatting sqref="E28 M28:N28 P28:R28">
    <cfRule type="cellIs" dxfId="2065" priority="2337" operator="greaterThan">
      <formula>1</formula>
    </cfRule>
  </conditionalFormatting>
  <conditionalFormatting sqref="E28 M28:N28 P28:R28">
    <cfRule type="cellIs" dxfId="2064" priority="2336" operator="greaterThan">
      <formula>1</formula>
    </cfRule>
  </conditionalFormatting>
  <conditionalFormatting sqref="M28">
    <cfRule type="cellIs" dxfId="2063" priority="2329" operator="greaterThan">
      <formula>1</formula>
    </cfRule>
  </conditionalFormatting>
  <conditionalFormatting sqref="N28">
    <cfRule type="cellIs" dxfId="2062" priority="2328" operator="greaterThan">
      <formula>1</formula>
    </cfRule>
  </conditionalFormatting>
  <conditionalFormatting sqref="P28">
    <cfRule type="cellIs" dxfId="2061" priority="2326" operator="greaterThan">
      <formula>1</formula>
    </cfRule>
  </conditionalFormatting>
  <conditionalFormatting sqref="Q28">
    <cfRule type="cellIs" dxfId="2060" priority="2325" operator="greaterThan">
      <formula>1</formula>
    </cfRule>
  </conditionalFormatting>
  <conditionalFormatting sqref="R28">
    <cfRule type="cellIs" dxfId="2059" priority="2324" operator="greaterThan">
      <formula>1</formula>
    </cfRule>
  </conditionalFormatting>
  <conditionalFormatting sqref="E30 P30:R30 M30:N30">
    <cfRule type="cellIs" dxfId="2058" priority="2323" operator="greaterThan">
      <formula>1</formula>
    </cfRule>
  </conditionalFormatting>
  <conditionalFormatting sqref="E30 P30:R30 M30:N30">
    <cfRule type="cellIs" dxfId="2057" priority="2322" operator="greaterThan">
      <formula>1</formula>
    </cfRule>
  </conditionalFormatting>
  <conditionalFormatting sqref="M30">
    <cfRule type="cellIs" dxfId="2056" priority="2315" operator="greaterThan">
      <formula>1</formula>
    </cfRule>
  </conditionalFormatting>
  <conditionalFormatting sqref="N30">
    <cfRule type="cellIs" dxfId="2055" priority="2314" operator="greaterThan">
      <formula>1</formula>
    </cfRule>
  </conditionalFormatting>
  <conditionalFormatting sqref="P30">
    <cfRule type="cellIs" dxfId="2054" priority="2312" operator="greaterThan">
      <formula>1</formula>
    </cfRule>
  </conditionalFormatting>
  <conditionalFormatting sqref="Q30">
    <cfRule type="cellIs" dxfId="2053" priority="2311" operator="greaterThan">
      <formula>1</formula>
    </cfRule>
  </conditionalFormatting>
  <conditionalFormatting sqref="R30">
    <cfRule type="cellIs" dxfId="2052" priority="2310" operator="greaterThan">
      <formula>1</formula>
    </cfRule>
  </conditionalFormatting>
  <conditionalFormatting sqref="E32:I32">
    <cfRule type="cellIs" dxfId="2051" priority="2309" operator="greaterThan">
      <formula>1</formula>
    </cfRule>
  </conditionalFormatting>
  <conditionalFormatting sqref="E32:I32">
    <cfRule type="cellIs" dxfId="2050" priority="2308" operator="greaterThan">
      <formula>1</formula>
    </cfRule>
  </conditionalFormatting>
  <conditionalFormatting sqref="G32">
    <cfRule type="cellIs" dxfId="2049" priority="2307" operator="greaterThan">
      <formula>1</formula>
    </cfRule>
  </conditionalFormatting>
  <conditionalFormatting sqref="H32">
    <cfRule type="cellIs" dxfId="2048" priority="2306" operator="greaterThan">
      <formula>1</formula>
    </cfRule>
  </conditionalFormatting>
  <conditionalFormatting sqref="I32">
    <cfRule type="cellIs" dxfId="2047" priority="2305" operator="greaterThan">
      <formula>1</formula>
    </cfRule>
  </conditionalFormatting>
  <conditionalFormatting sqref="E34:G34 I34:J34 P34:R34">
    <cfRule type="cellIs" dxfId="2046" priority="2295" operator="greaterThan">
      <formula>1</formula>
    </cfRule>
  </conditionalFormatting>
  <conditionalFormatting sqref="E34:G34 I34:J34 P34:R34">
    <cfRule type="cellIs" dxfId="2045" priority="2294" operator="greaterThan">
      <formula>1</formula>
    </cfRule>
  </conditionalFormatting>
  <conditionalFormatting sqref="G34">
    <cfRule type="cellIs" dxfId="2044" priority="2293" operator="greaterThan">
      <formula>1</formula>
    </cfRule>
  </conditionalFormatting>
  <conditionalFormatting sqref="I34">
    <cfRule type="cellIs" dxfId="2043" priority="2291" operator="greaterThan">
      <formula>1</formula>
    </cfRule>
  </conditionalFormatting>
  <conditionalFormatting sqref="J34">
    <cfRule type="cellIs" dxfId="2042" priority="2290" operator="greaterThan">
      <formula>1</formula>
    </cfRule>
  </conditionalFormatting>
  <conditionalFormatting sqref="P34">
    <cfRule type="cellIs" dxfId="2041" priority="2284" operator="greaterThan">
      <formula>1</formula>
    </cfRule>
  </conditionalFormatting>
  <conditionalFormatting sqref="Q34">
    <cfRule type="cellIs" dxfId="2040" priority="2283" operator="greaterThan">
      <formula>1</formula>
    </cfRule>
  </conditionalFormatting>
  <conditionalFormatting sqref="R34">
    <cfRule type="cellIs" dxfId="2039" priority="2282" operator="greaterThan">
      <formula>1</formula>
    </cfRule>
  </conditionalFormatting>
  <conditionalFormatting sqref="E36:K36">
    <cfRule type="cellIs" dxfId="2038" priority="2281" operator="greaterThan">
      <formula>1</formula>
    </cfRule>
  </conditionalFormatting>
  <conditionalFormatting sqref="E36:K36">
    <cfRule type="cellIs" dxfId="2037" priority="2280" operator="greaterThan">
      <formula>1</formula>
    </cfRule>
  </conditionalFormatting>
  <conditionalFormatting sqref="G36">
    <cfRule type="cellIs" dxfId="2036" priority="2279" operator="greaterThan">
      <formula>1</formula>
    </cfRule>
  </conditionalFormatting>
  <conditionalFormatting sqref="H36">
    <cfRule type="cellIs" dxfId="2035" priority="2278" operator="greaterThan">
      <formula>1</formula>
    </cfRule>
  </conditionalFormatting>
  <conditionalFormatting sqref="I36">
    <cfRule type="cellIs" dxfId="2034" priority="2277" operator="greaterThan">
      <formula>1</formula>
    </cfRule>
  </conditionalFormatting>
  <conditionalFormatting sqref="J36">
    <cfRule type="cellIs" dxfId="2033" priority="2276" operator="greaterThan">
      <formula>1</formula>
    </cfRule>
  </conditionalFormatting>
  <conditionalFormatting sqref="K36">
    <cfRule type="cellIs" dxfId="2032" priority="2275" operator="greaterThan">
      <formula>1</formula>
    </cfRule>
  </conditionalFormatting>
  <conditionalFormatting sqref="E38:L38">
    <cfRule type="cellIs" dxfId="2031" priority="2267" operator="greaterThan">
      <formula>1</formula>
    </cfRule>
  </conditionalFormatting>
  <conditionalFormatting sqref="E38:L38">
    <cfRule type="cellIs" dxfId="2030" priority="2266" operator="greaterThan">
      <formula>1</formula>
    </cfRule>
  </conditionalFormatting>
  <conditionalFormatting sqref="G38">
    <cfRule type="cellIs" dxfId="2029" priority="2265" operator="greaterThan">
      <formula>1</formula>
    </cfRule>
  </conditionalFormatting>
  <conditionalFormatting sqref="H38">
    <cfRule type="cellIs" dxfId="2028" priority="2264" operator="greaterThan">
      <formula>1</formula>
    </cfRule>
  </conditionalFormatting>
  <conditionalFormatting sqref="I38">
    <cfRule type="cellIs" dxfId="2027" priority="2263" operator="greaterThan">
      <formula>1</formula>
    </cfRule>
  </conditionalFormatting>
  <conditionalFormatting sqref="J38">
    <cfRule type="cellIs" dxfId="2026" priority="2262" operator="greaterThan">
      <formula>1</formula>
    </cfRule>
  </conditionalFormatting>
  <conditionalFormatting sqref="K38">
    <cfRule type="cellIs" dxfId="2025" priority="2261" operator="greaterThan">
      <formula>1</formula>
    </cfRule>
  </conditionalFormatting>
  <conditionalFormatting sqref="L38">
    <cfRule type="cellIs" dxfId="2024" priority="2260" operator="greaterThan">
      <formula>1</formula>
    </cfRule>
  </conditionalFormatting>
  <conditionalFormatting sqref="E40:K40 R40 N40:P40">
    <cfRule type="cellIs" dxfId="2023" priority="2253" operator="greaterThan">
      <formula>1</formula>
    </cfRule>
  </conditionalFormatting>
  <conditionalFormatting sqref="E40:K40 R40 N40:P40">
    <cfRule type="cellIs" dxfId="2022" priority="2252" operator="greaterThan">
      <formula>1</formula>
    </cfRule>
  </conditionalFormatting>
  <conditionalFormatting sqref="G40">
    <cfRule type="cellIs" dxfId="2021" priority="2251" operator="greaterThan">
      <formula>1</formula>
    </cfRule>
  </conditionalFormatting>
  <conditionalFormatting sqref="H40">
    <cfRule type="cellIs" dxfId="2020" priority="2250" operator="greaterThan">
      <formula>1</formula>
    </cfRule>
  </conditionalFormatting>
  <conditionalFormatting sqref="I40">
    <cfRule type="cellIs" dxfId="2019" priority="2249" operator="greaterThan">
      <formula>1</formula>
    </cfRule>
  </conditionalFormatting>
  <conditionalFormatting sqref="J40">
    <cfRule type="cellIs" dxfId="2018" priority="2248" operator="greaterThan">
      <formula>1</formula>
    </cfRule>
  </conditionalFormatting>
  <conditionalFormatting sqref="K40">
    <cfRule type="cellIs" dxfId="2017" priority="2247" operator="greaterThan">
      <formula>1</formula>
    </cfRule>
  </conditionalFormatting>
  <conditionalFormatting sqref="N40">
    <cfRule type="cellIs" dxfId="2016" priority="2244" operator="greaterThan">
      <formula>1</formula>
    </cfRule>
  </conditionalFormatting>
  <conditionalFormatting sqref="O40">
    <cfRule type="cellIs" dxfId="2015" priority="2243" operator="greaterThan">
      <formula>1</formula>
    </cfRule>
  </conditionalFormatting>
  <conditionalFormatting sqref="P40">
    <cfRule type="cellIs" dxfId="2014" priority="2242" operator="greaterThan">
      <formula>1</formula>
    </cfRule>
  </conditionalFormatting>
  <conditionalFormatting sqref="R40">
    <cfRule type="cellIs" dxfId="2013" priority="2240" operator="greaterThan">
      <formula>1</formula>
    </cfRule>
  </conditionalFormatting>
  <conditionalFormatting sqref="E43 K43:R43">
    <cfRule type="cellIs" dxfId="2012" priority="2239" operator="greaterThan">
      <formula>1</formula>
    </cfRule>
  </conditionalFormatting>
  <conditionalFormatting sqref="E43 K43:R43">
    <cfRule type="cellIs" dxfId="2011" priority="2238" operator="greaterThan">
      <formula>1</formula>
    </cfRule>
  </conditionalFormatting>
  <conditionalFormatting sqref="K43">
    <cfRule type="cellIs" dxfId="2010" priority="2233" operator="greaterThan">
      <formula>1</formula>
    </cfRule>
  </conditionalFormatting>
  <conditionalFormatting sqref="L43">
    <cfRule type="cellIs" dxfId="2009" priority="2232" operator="greaterThan">
      <formula>1</formula>
    </cfRule>
  </conditionalFormatting>
  <conditionalFormatting sqref="M43">
    <cfRule type="cellIs" dxfId="2008" priority="2231" operator="greaterThan">
      <formula>1</formula>
    </cfRule>
  </conditionalFormatting>
  <conditionalFormatting sqref="N43">
    <cfRule type="cellIs" dxfId="2007" priority="2230" operator="greaterThan">
      <formula>1</formula>
    </cfRule>
  </conditionalFormatting>
  <conditionalFormatting sqref="O43">
    <cfRule type="cellIs" dxfId="2006" priority="2229" operator="greaterThan">
      <formula>1</formula>
    </cfRule>
  </conditionalFormatting>
  <conditionalFormatting sqref="P43">
    <cfRule type="cellIs" dxfId="2005" priority="2228" operator="greaterThan">
      <formula>1</formula>
    </cfRule>
  </conditionalFormatting>
  <conditionalFormatting sqref="Q43">
    <cfRule type="cellIs" dxfId="2004" priority="2227" operator="greaterThan">
      <formula>1</formula>
    </cfRule>
  </conditionalFormatting>
  <conditionalFormatting sqref="R43">
    <cfRule type="cellIs" dxfId="2003" priority="2226" operator="greaterThan">
      <formula>1</formula>
    </cfRule>
  </conditionalFormatting>
  <conditionalFormatting sqref="E45 G45:R45">
    <cfRule type="cellIs" dxfId="2002" priority="2225" operator="greaterThan">
      <formula>1</formula>
    </cfRule>
  </conditionalFormatting>
  <conditionalFormatting sqref="E45 G45:R45">
    <cfRule type="cellIs" dxfId="2001" priority="2224" operator="greaterThan">
      <formula>1</formula>
    </cfRule>
  </conditionalFormatting>
  <conditionalFormatting sqref="G45">
    <cfRule type="cellIs" dxfId="2000" priority="2223" operator="greaterThan">
      <formula>1</formula>
    </cfRule>
  </conditionalFormatting>
  <conditionalFormatting sqref="H45">
    <cfRule type="cellIs" dxfId="1999" priority="2222" operator="greaterThan">
      <formula>1</formula>
    </cfRule>
  </conditionalFormatting>
  <conditionalFormatting sqref="I45">
    <cfRule type="cellIs" dxfId="1998" priority="2221" operator="greaterThan">
      <formula>1</formula>
    </cfRule>
  </conditionalFormatting>
  <conditionalFormatting sqref="J45">
    <cfRule type="cellIs" dxfId="1997" priority="2220" operator="greaterThan">
      <formula>1</formula>
    </cfRule>
  </conditionalFormatting>
  <conditionalFormatting sqref="K45">
    <cfRule type="cellIs" dxfId="1996" priority="2219" operator="greaterThan">
      <formula>1</formula>
    </cfRule>
  </conditionalFormatting>
  <conditionalFormatting sqref="L45">
    <cfRule type="cellIs" dxfId="1995" priority="2218" operator="greaterThan">
      <formula>1</formula>
    </cfRule>
  </conditionalFormatting>
  <conditionalFormatting sqref="M49">
    <cfRule type="cellIs" dxfId="1994" priority="1943" operator="greaterThan">
      <formula>1</formula>
    </cfRule>
  </conditionalFormatting>
  <conditionalFormatting sqref="M51">
    <cfRule type="cellIs" dxfId="1993" priority="1940" operator="greaterThan">
      <formula>1</formula>
    </cfRule>
  </conditionalFormatting>
  <conditionalFormatting sqref="N51">
    <cfRule type="cellIs" dxfId="1992" priority="1939" operator="greaterThan">
      <formula>1</formula>
    </cfRule>
  </conditionalFormatting>
  <conditionalFormatting sqref="M49">
    <cfRule type="cellIs" dxfId="1991" priority="1942" operator="greaterThan">
      <formula>1</formula>
    </cfRule>
  </conditionalFormatting>
  <conditionalFormatting sqref="M51">
    <cfRule type="cellIs" dxfId="1990" priority="1941" operator="greaterThan">
      <formula>1</formula>
    </cfRule>
  </conditionalFormatting>
  <conditionalFormatting sqref="N51">
    <cfRule type="cellIs" dxfId="1989" priority="1938" operator="greaterThan">
      <formula>1</formula>
    </cfRule>
  </conditionalFormatting>
  <conditionalFormatting sqref="E21:R21">
    <cfRule type="cellIs" dxfId="1988" priority="1902" operator="greaterThan">
      <formula>1</formula>
    </cfRule>
  </conditionalFormatting>
  <conditionalFormatting sqref="R19">
    <cfRule type="cellIs" dxfId="1987" priority="2069" operator="greaterThan">
      <formula>1</formula>
    </cfRule>
  </conditionalFormatting>
  <conditionalFormatting sqref="R19">
    <cfRule type="cellIs" dxfId="1986" priority="2068" operator="greaterThan">
      <formula>1</formula>
    </cfRule>
  </conditionalFormatting>
  <conditionalFormatting sqref="O28">
    <cfRule type="cellIs" dxfId="1985" priority="2067" operator="greaterThan">
      <formula>1</formula>
    </cfRule>
  </conditionalFormatting>
  <conditionalFormatting sqref="O28">
    <cfRule type="cellIs" dxfId="1984" priority="2066" operator="greaterThan">
      <formula>1</formula>
    </cfRule>
  </conditionalFormatting>
  <conditionalFormatting sqref="L28">
    <cfRule type="cellIs" dxfId="1983" priority="2065" operator="greaterThan">
      <formula>1</formula>
    </cfRule>
  </conditionalFormatting>
  <conditionalFormatting sqref="L28">
    <cfRule type="cellIs" dxfId="1982" priority="2064" operator="greaterThan">
      <formula>1</formula>
    </cfRule>
  </conditionalFormatting>
  <conditionalFormatting sqref="K28">
    <cfRule type="cellIs" dxfId="1981" priority="2063" operator="greaterThan">
      <formula>1</formula>
    </cfRule>
  </conditionalFormatting>
  <conditionalFormatting sqref="K28">
    <cfRule type="cellIs" dxfId="1980" priority="2062" operator="greaterThan">
      <formula>1</formula>
    </cfRule>
  </conditionalFormatting>
  <conditionalFormatting sqref="J28">
    <cfRule type="cellIs" dxfId="1979" priority="2061" operator="greaterThan">
      <formula>1</formula>
    </cfRule>
  </conditionalFormatting>
  <conditionalFormatting sqref="J28">
    <cfRule type="cellIs" dxfId="1978" priority="2060" operator="greaterThan">
      <formula>1</formula>
    </cfRule>
  </conditionalFormatting>
  <conditionalFormatting sqref="I28">
    <cfRule type="cellIs" dxfId="1977" priority="2059" operator="greaterThan">
      <formula>1</formula>
    </cfRule>
  </conditionalFormatting>
  <conditionalFormatting sqref="I28">
    <cfRule type="cellIs" dxfId="1976" priority="2058" operator="greaterThan">
      <formula>1</formula>
    </cfRule>
  </conditionalFormatting>
  <conditionalFormatting sqref="H28">
    <cfRule type="cellIs" dxfId="1975" priority="2057" operator="greaterThan">
      <formula>1</formula>
    </cfRule>
  </conditionalFormatting>
  <conditionalFormatting sqref="H28">
    <cfRule type="cellIs" dxfId="1974" priority="2056" operator="greaterThan">
      <formula>1</formula>
    </cfRule>
  </conditionalFormatting>
  <conditionalFormatting sqref="G28">
    <cfRule type="cellIs" dxfId="1973" priority="2055" operator="greaterThan">
      <formula>1</formula>
    </cfRule>
  </conditionalFormatting>
  <conditionalFormatting sqref="G28">
    <cfRule type="cellIs" dxfId="1972" priority="2054" operator="greaterThan">
      <formula>1</formula>
    </cfRule>
  </conditionalFormatting>
  <conditionalFormatting sqref="F28">
    <cfRule type="cellIs" dxfId="1971" priority="2053" operator="greaterThan">
      <formula>1</formula>
    </cfRule>
  </conditionalFormatting>
  <conditionalFormatting sqref="F28">
    <cfRule type="cellIs" dxfId="1970" priority="2052" operator="greaterThan">
      <formula>1</formula>
    </cfRule>
  </conditionalFormatting>
  <conditionalFormatting sqref="F26">
    <cfRule type="cellIs" dxfId="1969" priority="2051" operator="greaterThan">
      <formula>1</formula>
    </cfRule>
  </conditionalFormatting>
  <conditionalFormatting sqref="F26">
    <cfRule type="cellIs" dxfId="1968" priority="2050" operator="greaterThan">
      <formula>1</formula>
    </cfRule>
  </conditionalFormatting>
  <conditionalFormatting sqref="E26">
    <cfRule type="cellIs" dxfId="1967" priority="2049" operator="greaterThan">
      <formula>1</formula>
    </cfRule>
  </conditionalFormatting>
  <conditionalFormatting sqref="E26">
    <cfRule type="cellIs" dxfId="1966" priority="2048" operator="greaterThan">
      <formula>1</formula>
    </cfRule>
  </conditionalFormatting>
  <conditionalFormatting sqref="F30">
    <cfRule type="cellIs" dxfId="1965" priority="2047" operator="greaterThan">
      <formula>1</formula>
    </cfRule>
  </conditionalFormatting>
  <conditionalFormatting sqref="F30">
    <cfRule type="cellIs" dxfId="1964" priority="2046" operator="greaterThan">
      <formula>1</formula>
    </cfRule>
  </conditionalFormatting>
  <conditionalFormatting sqref="G30">
    <cfRule type="cellIs" dxfId="1963" priority="2045" operator="greaterThan">
      <formula>1</formula>
    </cfRule>
  </conditionalFormatting>
  <conditionalFormatting sqref="G30">
    <cfRule type="cellIs" dxfId="1962" priority="2044" operator="greaterThan">
      <formula>1</formula>
    </cfRule>
  </conditionalFormatting>
  <conditionalFormatting sqref="H30">
    <cfRule type="cellIs" dxfId="1961" priority="2043" operator="greaterThan">
      <formula>1</formula>
    </cfRule>
  </conditionalFormatting>
  <conditionalFormatting sqref="H30">
    <cfRule type="cellIs" dxfId="1960" priority="2042" operator="greaterThan">
      <formula>1</formula>
    </cfRule>
  </conditionalFormatting>
  <conditionalFormatting sqref="I30">
    <cfRule type="cellIs" dxfId="1959" priority="2041" operator="greaterThan">
      <formula>1</formula>
    </cfRule>
  </conditionalFormatting>
  <conditionalFormatting sqref="I30">
    <cfRule type="cellIs" dxfId="1958" priority="2040" operator="greaterThan">
      <formula>1</formula>
    </cfRule>
  </conditionalFormatting>
  <conditionalFormatting sqref="J30">
    <cfRule type="cellIs" dxfId="1957" priority="2039" operator="greaterThan">
      <formula>1</formula>
    </cfRule>
  </conditionalFormatting>
  <conditionalFormatting sqref="J30">
    <cfRule type="cellIs" dxfId="1956" priority="2038" operator="greaterThan">
      <formula>1</formula>
    </cfRule>
  </conditionalFormatting>
  <conditionalFormatting sqref="K30">
    <cfRule type="cellIs" dxfId="1955" priority="2037" operator="greaterThan">
      <formula>1</formula>
    </cfRule>
  </conditionalFormatting>
  <conditionalFormatting sqref="K30">
    <cfRule type="cellIs" dxfId="1954" priority="2036" operator="greaterThan">
      <formula>1</formula>
    </cfRule>
  </conditionalFormatting>
  <conditionalFormatting sqref="L30">
    <cfRule type="cellIs" dxfId="1953" priority="2035" operator="greaterThan">
      <formula>1</formula>
    </cfRule>
  </conditionalFormatting>
  <conditionalFormatting sqref="L30">
    <cfRule type="cellIs" dxfId="1952" priority="2034" operator="greaterThan">
      <formula>1</formula>
    </cfRule>
  </conditionalFormatting>
  <conditionalFormatting sqref="O30">
    <cfRule type="cellIs" dxfId="1951" priority="2033" operator="greaterThan">
      <formula>1</formula>
    </cfRule>
  </conditionalFormatting>
  <conditionalFormatting sqref="O32">
    <cfRule type="cellIs" dxfId="1950" priority="2024" operator="greaterThan">
      <formula>1</formula>
    </cfRule>
  </conditionalFormatting>
  <conditionalFormatting sqref="N32">
    <cfRule type="cellIs" dxfId="1949" priority="2023" operator="greaterThan">
      <formula>1</formula>
    </cfRule>
  </conditionalFormatting>
  <conditionalFormatting sqref="N32">
    <cfRule type="cellIs" dxfId="1948" priority="2022" operator="greaterThan">
      <formula>1</formula>
    </cfRule>
  </conditionalFormatting>
  <conditionalFormatting sqref="M32">
    <cfRule type="cellIs" dxfId="1947" priority="2021" operator="greaterThan">
      <formula>1</formula>
    </cfRule>
  </conditionalFormatting>
  <conditionalFormatting sqref="M32">
    <cfRule type="cellIs" dxfId="1946" priority="2020" operator="greaterThan">
      <formula>1</formula>
    </cfRule>
  </conditionalFormatting>
  <conditionalFormatting sqref="L32">
    <cfRule type="cellIs" dxfId="1945" priority="2019" operator="greaterThan">
      <formula>1</formula>
    </cfRule>
  </conditionalFormatting>
  <conditionalFormatting sqref="L32">
    <cfRule type="cellIs" dxfId="1944" priority="2018" operator="greaterThan">
      <formula>1</formula>
    </cfRule>
  </conditionalFormatting>
  <conditionalFormatting sqref="K32">
    <cfRule type="cellIs" dxfId="1943" priority="2017" operator="greaterThan">
      <formula>1</formula>
    </cfRule>
  </conditionalFormatting>
  <conditionalFormatting sqref="K32">
    <cfRule type="cellIs" dxfId="1942" priority="2016" operator="greaterThan">
      <formula>1</formula>
    </cfRule>
  </conditionalFormatting>
  <conditionalFormatting sqref="J32">
    <cfRule type="cellIs" dxfId="1941" priority="2015" operator="greaterThan">
      <formula>1</formula>
    </cfRule>
  </conditionalFormatting>
  <conditionalFormatting sqref="J32">
    <cfRule type="cellIs" dxfId="1940" priority="2014" operator="greaterThan">
      <formula>1</formula>
    </cfRule>
  </conditionalFormatting>
  <conditionalFormatting sqref="H34">
    <cfRule type="cellIs" dxfId="1939" priority="2013" operator="greaterThan">
      <formula>1</formula>
    </cfRule>
  </conditionalFormatting>
  <conditionalFormatting sqref="H34">
    <cfRule type="cellIs" dxfId="1938" priority="2012" operator="greaterThan">
      <formula>1</formula>
    </cfRule>
  </conditionalFormatting>
  <conditionalFormatting sqref="K34">
    <cfRule type="cellIs" dxfId="1937" priority="2011" operator="greaterThan">
      <formula>1</formula>
    </cfRule>
  </conditionalFormatting>
  <conditionalFormatting sqref="K34">
    <cfRule type="cellIs" dxfId="1936" priority="2010" operator="greaterThan">
      <formula>1</formula>
    </cfRule>
  </conditionalFormatting>
  <conditionalFormatting sqref="L34">
    <cfRule type="cellIs" dxfId="1935" priority="2009" operator="greaterThan">
      <formula>1</formula>
    </cfRule>
  </conditionalFormatting>
  <conditionalFormatting sqref="L34">
    <cfRule type="cellIs" dxfId="1934" priority="2008" operator="greaterThan">
      <formula>1</formula>
    </cfRule>
  </conditionalFormatting>
  <conditionalFormatting sqref="M34">
    <cfRule type="cellIs" dxfId="1933" priority="2007" operator="greaterThan">
      <formula>1</formula>
    </cfRule>
  </conditionalFormatting>
  <conditionalFormatting sqref="M34">
    <cfRule type="cellIs" dxfId="1932" priority="2006" operator="greaterThan">
      <formula>1</formula>
    </cfRule>
  </conditionalFormatting>
  <conditionalFormatting sqref="N34">
    <cfRule type="cellIs" dxfId="1931" priority="2005" operator="greaterThan">
      <formula>1</formula>
    </cfRule>
  </conditionalFormatting>
  <conditionalFormatting sqref="N34">
    <cfRule type="cellIs" dxfId="1930" priority="2004" operator="greaterThan">
      <formula>1</formula>
    </cfRule>
  </conditionalFormatting>
  <conditionalFormatting sqref="O34">
    <cfRule type="cellIs" dxfId="1929" priority="2003" operator="greaterThan">
      <formula>1</formula>
    </cfRule>
  </conditionalFormatting>
  <conditionalFormatting sqref="O34">
    <cfRule type="cellIs" dxfId="1928" priority="2002" operator="greaterThan">
      <formula>1</formula>
    </cfRule>
  </conditionalFormatting>
  <conditionalFormatting sqref="R36">
    <cfRule type="cellIs" dxfId="1927" priority="2001" operator="greaterThan">
      <formula>1</formula>
    </cfRule>
  </conditionalFormatting>
  <conditionalFormatting sqref="R36">
    <cfRule type="cellIs" dxfId="1926" priority="2000" operator="greaterThan">
      <formula>1</formula>
    </cfRule>
  </conditionalFormatting>
  <conditionalFormatting sqref="Q36">
    <cfRule type="cellIs" dxfId="1925" priority="1999" operator="greaterThan">
      <formula>1</formula>
    </cfRule>
  </conditionalFormatting>
  <conditionalFormatting sqref="Q36">
    <cfRule type="cellIs" dxfId="1924" priority="1998" operator="greaterThan">
      <formula>1</formula>
    </cfRule>
  </conditionalFormatting>
  <conditionalFormatting sqref="P36">
    <cfRule type="cellIs" dxfId="1923" priority="1997" operator="greaterThan">
      <formula>1</formula>
    </cfRule>
  </conditionalFormatting>
  <conditionalFormatting sqref="P36">
    <cfRule type="cellIs" dxfId="1922" priority="1996" operator="greaterThan">
      <formula>1</formula>
    </cfRule>
  </conditionalFormatting>
  <conditionalFormatting sqref="M36">
    <cfRule type="cellIs" dxfId="1921" priority="1990" operator="greaterThan">
      <formula>1</formula>
    </cfRule>
  </conditionalFormatting>
  <conditionalFormatting sqref="L36">
    <cfRule type="cellIs" dxfId="1920" priority="1989" operator="greaterThan">
      <formula>1</formula>
    </cfRule>
  </conditionalFormatting>
  <conditionalFormatting sqref="L36">
    <cfRule type="cellIs" dxfId="1919" priority="1988" operator="greaterThan">
      <formula>1</formula>
    </cfRule>
  </conditionalFormatting>
  <conditionalFormatting sqref="M38">
    <cfRule type="cellIs" dxfId="1918" priority="1987" operator="greaterThan">
      <formula>1</formula>
    </cfRule>
  </conditionalFormatting>
  <conditionalFormatting sqref="M38">
    <cfRule type="cellIs" dxfId="1917" priority="1986" operator="greaterThan">
      <formula>1</formula>
    </cfRule>
  </conditionalFormatting>
  <conditionalFormatting sqref="N38">
    <cfRule type="cellIs" dxfId="1916" priority="1985" operator="greaterThan">
      <formula>1</formula>
    </cfRule>
  </conditionalFormatting>
  <conditionalFormatting sqref="N38">
    <cfRule type="cellIs" dxfId="1915" priority="1984" operator="greaterThan">
      <formula>1</formula>
    </cfRule>
  </conditionalFormatting>
  <conditionalFormatting sqref="O38">
    <cfRule type="cellIs" dxfId="1914" priority="1983" operator="greaterThan">
      <formula>1</formula>
    </cfRule>
  </conditionalFormatting>
  <conditionalFormatting sqref="O38">
    <cfRule type="cellIs" dxfId="1913" priority="1982" operator="greaterThan">
      <formula>1</formula>
    </cfRule>
  </conditionalFormatting>
  <conditionalFormatting sqref="P38">
    <cfRule type="cellIs" dxfId="1912" priority="1981" operator="greaterThan">
      <formula>1</formula>
    </cfRule>
  </conditionalFormatting>
  <conditionalFormatting sqref="P38">
    <cfRule type="cellIs" dxfId="1911" priority="1980" operator="greaterThan">
      <formula>1</formula>
    </cfRule>
  </conditionalFormatting>
  <conditionalFormatting sqref="Q38">
    <cfRule type="cellIs" dxfId="1910" priority="1979" operator="greaterThan">
      <formula>1</formula>
    </cfRule>
  </conditionalFormatting>
  <conditionalFormatting sqref="Q38">
    <cfRule type="cellIs" dxfId="1909" priority="1978" operator="greaterThan">
      <formula>1</formula>
    </cfRule>
  </conditionalFormatting>
  <conditionalFormatting sqref="R38">
    <cfRule type="cellIs" dxfId="1908" priority="1977" operator="greaterThan">
      <formula>1</formula>
    </cfRule>
  </conditionalFormatting>
  <conditionalFormatting sqref="R38">
    <cfRule type="cellIs" dxfId="1907" priority="1976" operator="greaterThan">
      <formula>1</formula>
    </cfRule>
  </conditionalFormatting>
  <conditionalFormatting sqref="Q40">
    <cfRule type="cellIs" dxfId="1906" priority="1975" operator="greaterThan">
      <formula>1</formula>
    </cfRule>
  </conditionalFormatting>
  <conditionalFormatting sqref="Q40">
    <cfRule type="cellIs" dxfId="1905" priority="1974" operator="greaterThan">
      <formula>1</formula>
    </cfRule>
  </conditionalFormatting>
  <conditionalFormatting sqref="M40">
    <cfRule type="cellIs" dxfId="1904" priority="1973" operator="greaterThan">
      <formula>1</formula>
    </cfRule>
  </conditionalFormatting>
  <conditionalFormatting sqref="M40">
    <cfRule type="cellIs" dxfId="1903" priority="1972" operator="greaterThan">
      <formula>1</formula>
    </cfRule>
  </conditionalFormatting>
  <conditionalFormatting sqref="G43">
    <cfRule type="cellIs" dxfId="1902" priority="1967" operator="greaterThan">
      <formula>1</formula>
    </cfRule>
  </conditionalFormatting>
  <conditionalFormatting sqref="G43">
    <cfRule type="cellIs" dxfId="1901" priority="1966" operator="greaterThan">
      <formula>1</formula>
    </cfRule>
  </conditionalFormatting>
  <conditionalFormatting sqref="H43">
    <cfRule type="cellIs" dxfId="1900" priority="1965" operator="greaterThan">
      <formula>1</formula>
    </cfRule>
  </conditionalFormatting>
  <conditionalFormatting sqref="H43">
    <cfRule type="cellIs" dxfId="1899" priority="1964" operator="greaterThan">
      <formula>1</formula>
    </cfRule>
  </conditionalFormatting>
  <conditionalFormatting sqref="I43">
    <cfRule type="cellIs" dxfId="1898" priority="1963" operator="greaterThan">
      <formula>1</formula>
    </cfRule>
  </conditionalFormatting>
  <conditionalFormatting sqref="I43">
    <cfRule type="cellIs" dxfId="1897" priority="1962" operator="greaterThan">
      <formula>1</formula>
    </cfRule>
  </conditionalFormatting>
  <conditionalFormatting sqref="J43">
    <cfRule type="cellIs" dxfId="1896" priority="1961" operator="greaterThan">
      <formula>1</formula>
    </cfRule>
  </conditionalFormatting>
  <conditionalFormatting sqref="J43">
    <cfRule type="cellIs" dxfId="1895" priority="1960" operator="greaterThan">
      <formula>1</formula>
    </cfRule>
  </conditionalFormatting>
  <conditionalFormatting sqref="F45">
    <cfRule type="cellIs" dxfId="1894" priority="1959" operator="greaterThan">
      <formula>1</formula>
    </cfRule>
  </conditionalFormatting>
  <conditionalFormatting sqref="F45">
    <cfRule type="cellIs" dxfId="1893" priority="1958" operator="greaterThan">
      <formula>1</formula>
    </cfRule>
  </conditionalFormatting>
  <conditionalFormatting sqref="F47">
    <cfRule type="cellIs" dxfId="1892" priority="1957" operator="greaterThan">
      <formula>1</formula>
    </cfRule>
  </conditionalFormatting>
  <conditionalFormatting sqref="F47">
    <cfRule type="cellIs" dxfId="1891" priority="1956" operator="greaterThan">
      <formula>1</formula>
    </cfRule>
  </conditionalFormatting>
  <conditionalFormatting sqref="G47">
    <cfRule type="cellIs" dxfId="1890" priority="1955" operator="greaterThan">
      <formula>1</formula>
    </cfRule>
  </conditionalFormatting>
  <conditionalFormatting sqref="G47">
    <cfRule type="cellIs" dxfId="1889" priority="1954" operator="greaterThan">
      <formula>1</formula>
    </cfRule>
  </conditionalFormatting>
  <conditionalFormatting sqref="H47">
    <cfRule type="cellIs" dxfId="1888" priority="1953" operator="greaterThan">
      <formula>1</formula>
    </cfRule>
  </conditionalFormatting>
  <conditionalFormatting sqref="H47">
    <cfRule type="cellIs" dxfId="1887" priority="1952" operator="greaterThan">
      <formula>1</formula>
    </cfRule>
  </conditionalFormatting>
  <conditionalFormatting sqref="I47">
    <cfRule type="cellIs" dxfId="1886" priority="1951" operator="greaterThan">
      <formula>1</formula>
    </cfRule>
  </conditionalFormatting>
  <conditionalFormatting sqref="I47">
    <cfRule type="cellIs" dxfId="1885" priority="1950" operator="greaterThan">
      <formula>1</formula>
    </cfRule>
  </conditionalFormatting>
  <conditionalFormatting sqref="E15:R15">
    <cfRule type="cellIs" dxfId="1884" priority="1905" operator="greaterThan">
      <formula>1</formula>
    </cfRule>
  </conditionalFormatting>
  <conditionalFormatting sqref="E15:R15">
    <cfRule type="cellIs" dxfId="1883" priority="1904" operator="greaterThan">
      <formula>1</formula>
    </cfRule>
  </conditionalFormatting>
  <conditionalFormatting sqref="E21:R21">
    <cfRule type="cellIs" dxfId="1882" priority="1903" operator="greaterThan">
      <formula>1</formula>
    </cfRule>
  </conditionalFormatting>
  <conditionalFormatting sqref="E1:R22 E25:R1048576">
    <cfRule type="cellIs" dxfId="1881" priority="1901" operator="equal">
      <formula>0</formula>
    </cfRule>
  </conditionalFormatting>
  <conditionalFormatting sqref="E19:R19">
    <cfRule type="cellIs" dxfId="1880" priority="1900" operator="greaterThan">
      <formula>1</formula>
    </cfRule>
  </conditionalFormatting>
  <conditionalFormatting sqref="E19:R19">
    <cfRule type="cellIs" dxfId="1879" priority="1899" operator="greaterThan">
      <formula>1</formula>
    </cfRule>
  </conditionalFormatting>
  <conditionalFormatting sqref="G19">
    <cfRule type="cellIs" dxfId="1878" priority="1898" operator="greaterThan">
      <formula>1</formula>
    </cfRule>
  </conditionalFormatting>
  <conditionalFormatting sqref="H19">
    <cfRule type="cellIs" dxfId="1877" priority="1897" operator="greaterThan">
      <formula>1</formula>
    </cfRule>
  </conditionalFormatting>
  <conditionalFormatting sqref="I19">
    <cfRule type="cellIs" dxfId="1876" priority="1896" operator="greaterThan">
      <formula>1</formula>
    </cfRule>
  </conditionalFormatting>
  <conditionalFormatting sqref="J19">
    <cfRule type="cellIs" dxfId="1875" priority="1895" operator="greaterThan">
      <formula>1</formula>
    </cfRule>
  </conditionalFormatting>
  <conditionalFormatting sqref="K19">
    <cfRule type="cellIs" dxfId="1874" priority="1894" operator="greaterThan">
      <formula>1</formula>
    </cfRule>
  </conditionalFormatting>
  <conditionalFormatting sqref="L19">
    <cfRule type="cellIs" dxfId="1873" priority="1893" operator="greaterThan">
      <formula>1</formula>
    </cfRule>
  </conditionalFormatting>
  <conditionalFormatting sqref="M19">
    <cfRule type="cellIs" dxfId="1872" priority="1892" operator="greaterThan">
      <formula>1</formula>
    </cfRule>
  </conditionalFormatting>
  <conditionalFormatting sqref="N19">
    <cfRule type="cellIs" dxfId="1871" priority="1891" operator="greaterThan">
      <formula>1</formula>
    </cfRule>
  </conditionalFormatting>
  <conditionalFormatting sqref="O19">
    <cfRule type="cellIs" dxfId="1870" priority="1890" operator="greaterThan">
      <formula>1</formula>
    </cfRule>
  </conditionalFormatting>
  <conditionalFormatting sqref="P19">
    <cfRule type="cellIs" dxfId="1869" priority="1889" operator="greaterThan">
      <formula>1</formula>
    </cfRule>
  </conditionalFormatting>
  <conditionalFormatting sqref="Q19">
    <cfRule type="cellIs" dxfId="1868" priority="1888" operator="greaterThan">
      <formula>1</formula>
    </cfRule>
  </conditionalFormatting>
  <conditionalFormatting sqref="R19">
    <cfRule type="cellIs" dxfId="1867" priority="1887" operator="greaterThan">
      <formula>1</formula>
    </cfRule>
  </conditionalFormatting>
  <conditionalFormatting sqref="E26:Q26">
    <cfRule type="cellIs" dxfId="1866" priority="1886" operator="greaterThan">
      <formula>1</formula>
    </cfRule>
  </conditionalFormatting>
  <conditionalFormatting sqref="R26">
    <cfRule type="cellIs" dxfId="1865" priority="1885" operator="greaterThan">
      <formula>1</formula>
    </cfRule>
  </conditionalFormatting>
  <conditionalFormatting sqref="R26">
    <cfRule type="cellIs" dxfId="1864" priority="1884" operator="greaterThan">
      <formula>1</formula>
    </cfRule>
  </conditionalFormatting>
  <conditionalFormatting sqref="E26:R26">
    <cfRule type="cellIs" dxfId="1863" priority="1883" operator="greaterThan">
      <formula>1</formula>
    </cfRule>
  </conditionalFormatting>
  <conditionalFormatting sqref="E26:R26">
    <cfRule type="cellIs" dxfId="1862" priority="1882" operator="greaterThan">
      <formula>1</formula>
    </cfRule>
  </conditionalFormatting>
  <conditionalFormatting sqref="G26">
    <cfRule type="cellIs" dxfId="1861" priority="1881" operator="greaterThan">
      <formula>1</formula>
    </cfRule>
  </conditionalFormatting>
  <conditionalFormatting sqref="H26">
    <cfRule type="cellIs" dxfId="1860" priority="1880" operator="greaterThan">
      <formula>1</formula>
    </cfRule>
  </conditionalFormatting>
  <conditionalFormatting sqref="I26">
    <cfRule type="cellIs" dxfId="1859" priority="1879" operator="greaterThan">
      <formula>1</formula>
    </cfRule>
  </conditionalFormatting>
  <conditionalFormatting sqref="J26">
    <cfRule type="cellIs" dxfId="1858" priority="1878" operator="greaterThan">
      <formula>1</formula>
    </cfRule>
  </conditionalFormatting>
  <conditionalFormatting sqref="K26">
    <cfRule type="cellIs" dxfId="1857" priority="1877" operator="greaterThan">
      <formula>1</formula>
    </cfRule>
  </conditionalFormatting>
  <conditionalFormatting sqref="L26">
    <cfRule type="cellIs" dxfId="1856" priority="1876" operator="greaterThan">
      <formula>1</formula>
    </cfRule>
  </conditionalFormatting>
  <conditionalFormatting sqref="M26">
    <cfRule type="cellIs" dxfId="1855" priority="1875" operator="greaterThan">
      <formula>1</formula>
    </cfRule>
  </conditionalFormatting>
  <conditionalFormatting sqref="N26">
    <cfRule type="cellIs" dxfId="1854" priority="1874" operator="greaterThan">
      <formula>1</formula>
    </cfRule>
  </conditionalFormatting>
  <conditionalFormatting sqref="O26">
    <cfRule type="cellIs" dxfId="1853" priority="1873" operator="greaterThan">
      <formula>1</formula>
    </cfRule>
  </conditionalFormatting>
  <conditionalFormatting sqref="P26">
    <cfRule type="cellIs" dxfId="1852" priority="1872" operator="greaterThan">
      <formula>1</formula>
    </cfRule>
  </conditionalFormatting>
  <conditionalFormatting sqref="Q26">
    <cfRule type="cellIs" dxfId="1851" priority="1871" operator="greaterThan">
      <formula>1</formula>
    </cfRule>
  </conditionalFormatting>
  <conditionalFormatting sqref="R26">
    <cfRule type="cellIs" dxfId="1850" priority="1870" operator="greaterThan">
      <formula>1</formula>
    </cfRule>
  </conditionalFormatting>
  <conditionalFormatting sqref="G28:R28">
    <cfRule type="cellIs" dxfId="1849" priority="1869" operator="greaterThan">
      <formula>1</formula>
    </cfRule>
  </conditionalFormatting>
  <conditionalFormatting sqref="G28:R28">
    <cfRule type="cellIs" dxfId="1848" priority="1868" operator="greaterThan">
      <formula>1</formula>
    </cfRule>
  </conditionalFormatting>
  <conditionalFormatting sqref="G28">
    <cfRule type="cellIs" dxfId="1847" priority="1867" operator="greaterThan">
      <formula>1</formula>
    </cfRule>
  </conditionalFormatting>
  <conditionalFormatting sqref="H28">
    <cfRule type="cellIs" dxfId="1846" priority="1866" operator="greaterThan">
      <formula>1</formula>
    </cfRule>
  </conditionalFormatting>
  <conditionalFormatting sqref="I28">
    <cfRule type="cellIs" dxfId="1845" priority="1865" operator="greaterThan">
      <formula>1</formula>
    </cfRule>
  </conditionalFormatting>
  <conditionalFormatting sqref="J28">
    <cfRule type="cellIs" dxfId="1844" priority="1864" operator="greaterThan">
      <formula>1</formula>
    </cfRule>
  </conditionalFormatting>
  <conditionalFormatting sqref="K28">
    <cfRule type="cellIs" dxfId="1843" priority="1863" operator="greaterThan">
      <formula>1</formula>
    </cfRule>
  </conditionalFormatting>
  <conditionalFormatting sqref="L28">
    <cfRule type="cellIs" dxfId="1842" priority="1862" operator="greaterThan">
      <formula>1</formula>
    </cfRule>
  </conditionalFormatting>
  <conditionalFormatting sqref="M28">
    <cfRule type="cellIs" dxfId="1841" priority="1861" operator="greaterThan">
      <formula>1</formula>
    </cfRule>
  </conditionalFormatting>
  <conditionalFormatting sqref="N28">
    <cfRule type="cellIs" dxfId="1840" priority="1860" operator="greaterThan">
      <formula>1</formula>
    </cfRule>
  </conditionalFormatting>
  <conditionalFormatting sqref="O28">
    <cfRule type="cellIs" dxfId="1839" priority="1859" operator="greaterThan">
      <formula>1</formula>
    </cfRule>
  </conditionalFormatting>
  <conditionalFormatting sqref="P28">
    <cfRule type="cellIs" dxfId="1838" priority="1858" operator="greaterThan">
      <formula>1</formula>
    </cfRule>
  </conditionalFormatting>
  <conditionalFormatting sqref="Q28">
    <cfRule type="cellIs" dxfId="1837" priority="1857" operator="greaterThan">
      <formula>1</formula>
    </cfRule>
  </conditionalFormatting>
  <conditionalFormatting sqref="R28">
    <cfRule type="cellIs" dxfId="1836" priority="1856" operator="greaterThan">
      <formula>1</formula>
    </cfRule>
  </conditionalFormatting>
  <conditionalFormatting sqref="F28">
    <cfRule type="cellIs" dxfId="1835" priority="1855" operator="greaterThan">
      <formula>1</formula>
    </cfRule>
  </conditionalFormatting>
  <conditionalFormatting sqref="F28">
    <cfRule type="cellIs" dxfId="1834" priority="1854" operator="greaterThan">
      <formula>1</formula>
    </cfRule>
  </conditionalFormatting>
  <conditionalFormatting sqref="E28">
    <cfRule type="cellIs" dxfId="1833" priority="1853" operator="greaterThan">
      <formula>1</formula>
    </cfRule>
  </conditionalFormatting>
  <conditionalFormatting sqref="E28">
    <cfRule type="cellIs" dxfId="1832" priority="1852" operator="greaterThan">
      <formula>1</formula>
    </cfRule>
  </conditionalFormatting>
  <conditionalFormatting sqref="E28:Q28">
    <cfRule type="cellIs" dxfId="1831" priority="1851" operator="greaterThan">
      <formula>1</formula>
    </cfRule>
  </conditionalFormatting>
  <conditionalFormatting sqref="R28">
    <cfRule type="cellIs" dxfId="1830" priority="1850" operator="greaterThan">
      <formula>1</formula>
    </cfRule>
  </conditionalFormatting>
  <conditionalFormatting sqref="R28">
    <cfRule type="cellIs" dxfId="1829" priority="1849" operator="greaterThan">
      <formula>1</formula>
    </cfRule>
  </conditionalFormatting>
  <conditionalFormatting sqref="E28:R28">
    <cfRule type="cellIs" dxfId="1828" priority="1848" operator="greaterThan">
      <formula>1</formula>
    </cfRule>
  </conditionalFormatting>
  <conditionalFormatting sqref="E28:R28">
    <cfRule type="cellIs" dxfId="1827" priority="1847" operator="greaterThan">
      <formula>1</formula>
    </cfRule>
  </conditionalFormatting>
  <conditionalFormatting sqref="G28">
    <cfRule type="cellIs" dxfId="1826" priority="1846" operator="greaterThan">
      <formula>1</formula>
    </cfRule>
  </conditionalFormatting>
  <conditionalFormatting sqref="H28">
    <cfRule type="cellIs" dxfId="1825" priority="1845" operator="greaterThan">
      <formula>1</formula>
    </cfRule>
  </conditionalFormatting>
  <conditionalFormatting sqref="I28">
    <cfRule type="cellIs" dxfId="1824" priority="1844" operator="greaterThan">
      <formula>1</formula>
    </cfRule>
  </conditionalFormatting>
  <conditionalFormatting sqref="J28">
    <cfRule type="cellIs" dxfId="1823" priority="1843" operator="greaterThan">
      <formula>1</formula>
    </cfRule>
  </conditionalFormatting>
  <conditionalFormatting sqref="K28">
    <cfRule type="cellIs" dxfId="1822" priority="1842" operator="greaterThan">
      <formula>1</formula>
    </cfRule>
  </conditionalFormatting>
  <conditionalFormatting sqref="L28">
    <cfRule type="cellIs" dxfId="1821" priority="1841" operator="greaterThan">
      <formula>1</formula>
    </cfRule>
  </conditionalFormatting>
  <conditionalFormatting sqref="M28">
    <cfRule type="cellIs" dxfId="1820" priority="1840" operator="greaterThan">
      <formula>1</formula>
    </cfRule>
  </conditionalFormatting>
  <conditionalFormatting sqref="N28">
    <cfRule type="cellIs" dxfId="1819" priority="1839" operator="greaterThan">
      <formula>1</formula>
    </cfRule>
  </conditionalFormatting>
  <conditionalFormatting sqref="O28">
    <cfRule type="cellIs" dxfId="1818" priority="1838" operator="greaterThan">
      <formula>1</formula>
    </cfRule>
  </conditionalFormatting>
  <conditionalFormatting sqref="P28">
    <cfRule type="cellIs" dxfId="1817" priority="1837" operator="greaterThan">
      <formula>1</formula>
    </cfRule>
  </conditionalFormatting>
  <conditionalFormatting sqref="Q28">
    <cfRule type="cellIs" dxfId="1816" priority="1836" operator="greaterThan">
      <formula>1</formula>
    </cfRule>
  </conditionalFormatting>
  <conditionalFormatting sqref="R28">
    <cfRule type="cellIs" dxfId="1815" priority="1835" operator="greaterThan">
      <formula>1</formula>
    </cfRule>
  </conditionalFormatting>
  <conditionalFormatting sqref="G30:R30">
    <cfRule type="cellIs" dxfId="1814" priority="1834" operator="greaterThan">
      <formula>1</formula>
    </cfRule>
  </conditionalFormatting>
  <conditionalFormatting sqref="G30:R30">
    <cfRule type="cellIs" dxfId="1813" priority="1833" operator="greaterThan">
      <formula>1</formula>
    </cfRule>
  </conditionalFormatting>
  <conditionalFormatting sqref="G30">
    <cfRule type="cellIs" dxfId="1812" priority="1832" operator="greaterThan">
      <formula>1</formula>
    </cfRule>
  </conditionalFormatting>
  <conditionalFormatting sqref="H30">
    <cfRule type="cellIs" dxfId="1811" priority="1831" operator="greaterThan">
      <formula>1</formula>
    </cfRule>
  </conditionalFormatting>
  <conditionalFormatting sqref="I30">
    <cfRule type="cellIs" dxfId="1810" priority="1830" operator="greaterThan">
      <formula>1</formula>
    </cfRule>
  </conditionalFormatting>
  <conditionalFormatting sqref="J30">
    <cfRule type="cellIs" dxfId="1809" priority="1829" operator="greaterThan">
      <formula>1</formula>
    </cfRule>
  </conditionalFormatting>
  <conditionalFormatting sqref="K30">
    <cfRule type="cellIs" dxfId="1808" priority="1828" operator="greaterThan">
      <formula>1</formula>
    </cfRule>
  </conditionalFormatting>
  <conditionalFormatting sqref="L30">
    <cfRule type="cellIs" dxfId="1807" priority="1827" operator="greaterThan">
      <formula>1</formula>
    </cfRule>
  </conditionalFormatting>
  <conditionalFormatting sqref="M30">
    <cfRule type="cellIs" dxfId="1806" priority="1826" operator="greaterThan">
      <formula>1</formula>
    </cfRule>
  </conditionalFormatting>
  <conditionalFormatting sqref="N30">
    <cfRule type="cellIs" dxfId="1805" priority="1825" operator="greaterThan">
      <formula>1</formula>
    </cfRule>
  </conditionalFormatting>
  <conditionalFormatting sqref="O30">
    <cfRule type="cellIs" dxfId="1804" priority="1824" operator="greaterThan">
      <formula>1</formula>
    </cfRule>
  </conditionalFormatting>
  <conditionalFormatting sqref="P30">
    <cfRule type="cellIs" dxfId="1803" priority="1823" operator="greaterThan">
      <formula>1</formula>
    </cfRule>
  </conditionalFormatting>
  <conditionalFormatting sqref="Q30">
    <cfRule type="cellIs" dxfId="1802" priority="1822" operator="greaterThan">
      <formula>1</formula>
    </cfRule>
  </conditionalFormatting>
  <conditionalFormatting sqref="R30">
    <cfRule type="cellIs" dxfId="1801" priority="1821" operator="greaterThan">
      <formula>1</formula>
    </cfRule>
  </conditionalFormatting>
  <conditionalFormatting sqref="F30">
    <cfRule type="cellIs" dxfId="1800" priority="1820" operator="greaterThan">
      <formula>1</formula>
    </cfRule>
  </conditionalFormatting>
  <conditionalFormatting sqref="F30">
    <cfRule type="cellIs" dxfId="1799" priority="1819" operator="greaterThan">
      <formula>1</formula>
    </cfRule>
  </conditionalFormatting>
  <conditionalFormatting sqref="E30">
    <cfRule type="cellIs" dxfId="1798" priority="1818" operator="greaterThan">
      <formula>1</formula>
    </cfRule>
  </conditionalFormatting>
  <conditionalFormatting sqref="E30">
    <cfRule type="cellIs" dxfId="1797" priority="1817" operator="greaterThan">
      <formula>1</formula>
    </cfRule>
  </conditionalFormatting>
  <conditionalFormatting sqref="E30:Q30">
    <cfRule type="cellIs" dxfId="1796" priority="1816" operator="greaterThan">
      <formula>1</formula>
    </cfRule>
  </conditionalFormatting>
  <conditionalFormatting sqref="R30">
    <cfRule type="cellIs" dxfId="1795" priority="1815" operator="greaterThan">
      <formula>1</formula>
    </cfRule>
  </conditionalFormatting>
  <conditionalFormatting sqref="R30">
    <cfRule type="cellIs" dxfId="1794" priority="1814" operator="greaterThan">
      <formula>1</formula>
    </cfRule>
  </conditionalFormatting>
  <conditionalFormatting sqref="E30:R30">
    <cfRule type="cellIs" dxfId="1793" priority="1813" operator="greaterThan">
      <formula>1</formula>
    </cfRule>
  </conditionalFormatting>
  <conditionalFormatting sqref="E30:R30">
    <cfRule type="cellIs" dxfId="1792" priority="1812" operator="greaterThan">
      <formula>1</formula>
    </cfRule>
  </conditionalFormatting>
  <conditionalFormatting sqref="G30">
    <cfRule type="cellIs" dxfId="1791" priority="1811" operator="greaterThan">
      <formula>1</formula>
    </cfRule>
  </conditionalFormatting>
  <conditionalFormatting sqref="H30">
    <cfRule type="cellIs" dxfId="1790" priority="1810" operator="greaterThan">
      <formula>1</formula>
    </cfRule>
  </conditionalFormatting>
  <conditionalFormatting sqref="I30">
    <cfRule type="cellIs" dxfId="1789" priority="1809" operator="greaterThan">
      <formula>1</formula>
    </cfRule>
  </conditionalFormatting>
  <conditionalFormatting sqref="J30">
    <cfRule type="cellIs" dxfId="1788" priority="1808" operator="greaterThan">
      <formula>1</formula>
    </cfRule>
  </conditionalFormatting>
  <conditionalFormatting sqref="K30">
    <cfRule type="cellIs" dxfId="1787" priority="1807" operator="greaterThan">
      <formula>1</formula>
    </cfRule>
  </conditionalFormatting>
  <conditionalFormatting sqref="L30">
    <cfRule type="cellIs" dxfId="1786" priority="1806" operator="greaterThan">
      <formula>1</formula>
    </cfRule>
  </conditionalFormatting>
  <conditionalFormatting sqref="M30">
    <cfRule type="cellIs" dxfId="1785" priority="1805" operator="greaterThan">
      <formula>1</formula>
    </cfRule>
  </conditionalFormatting>
  <conditionalFormatting sqref="N30">
    <cfRule type="cellIs" dxfId="1784" priority="1804" operator="greaterThan">
      <formula>1</formula>
    </cfRule>
  </conditionalFormatting>
  <conditionalFormatting sqref="O30">
    <cfRule type="cellIs" dxfId="1783" priority="1803" operator="greaterThan">
      <formula>1</formula>
    </cfRule>
  </conditionalFormatting>
  <conditionalFormatting sqref="P30">
    <cfRule type="cellIs" dxfId="1782" priority="1802" operator="greaterThan">
      <formula>1</formula>
    </cfRule>
  </conditionalFormatting>
  <conditionalFormatting sqref="Q30">
    <cfRule type="cellIs" dxfId="1781" priority="1801" operator="greaterThan">
      <formula>1</formula>
    </cfRule>
  </conditionalFormatting>
  <conditionalFormatting sqref="R30">
    <cfRule type="cellIs" dxfId="1780" priority="1800" operator="greaterThan">
      <formula>1</formula>
    </cfRule>
  </conditionalFormatting>
  <conditionalFormatting sqref="O32">
    <cfRule type="cellIs" dxfId="1779" priority="1777" operator="greaterThan">
      <formula>1</formula>
    </cfRule>
  </conditionalFormatting>
  <conditionalFormatting sqref="E32 P32:R32 M32:N32">
    <cfRule type="cellIs" dxfId="1778" priority="1799" operator="greaterThan">
      <formula>1</formula>
    </cfRule>
  </conditionalFormatting>
  <conditionalFormatting sqref="E32 P32:R32 M32:N32">
    <cfRule type="cellIs" dxfId="1777" priority="1798" operator="greaterThan">
      <formula>1</formula>
    </cfRule>
  </conditionalFormatting>
  <conditionalFormatting sqref="M32">
    <cfRule type="cellIs" dxfId="1776" priority="1797" operator="greaterThan">
      <formula>1</formula>
    </cfRule>
  </conditionalFormatting>
  <conditionalFormatting sqref="N32">
    <cfRule type="cellIs" dxfId="1775" priority="1796" operator="greaterThan">
      <formula>1</formula>
    </cfRule>
  </conditionalFormatting>
  <conditionalFormatting sqref="P32">
    <cfRule type="cellIs" dxfId="1774" priority="1795" operator="greaterThan">
      <formula>1</formula>
    </cfRule>
  </conditionalFormatting>
  <conditionalFormatting sqref="Q32">
    <cfRule type="cellIs" dxfId="1773" priority="1794" operator="greaterThan">
      <formula>1</formula>
    </cfRule>
  </conditionalFormatting>
  <conditionalFormatting sqref="R32">
    <cfRule type="cellIs" dxfId="1772" priority="1793" operator="greaterThan">
      <formula>1</formula>
    </cfRule>
  </conditionalFormatting>
  <conditionalFormatting sqref="F32">
    <cfRule type="cellIs" dxfId="1771" priority="1792" operator="greaterThan">
      <formula>1</formula>
    </cfRule>
  </conditionalFormatting>
  <conditionalFormatting sqref="F32">
    <cfRule type="cellIs" dxfId="1770" priority="1791" operator="greaterThan">
      <formula>1</formula>
    </cfRule>
  </conditionalFormatting>
  <conditionalFormatting sqref="G32">
    <cfRule type="cellIs" dxfId="1769" priority="1790" operator="greaterThan">
      <formula>1</formula>
    </cfRule>
  </conditionalFormatting>
  <conditionalFormatting sqref="G32">
    <cfRule type="cellIs" dxfId="1768" priority="1789" operator="greaterThan">
      <formula>1</formula>
    </cfRule>
  </conditionalFormatting>
  <conditionalFormatting sqref="H32">
    <cfRule type="cellIs" dxfId="1767" priority="1788" operator="greaterThan">
      <formula>1</formula>
    </cfRule>
  </conditionalFormatting>
  <conditionalFormatting sqref="H32">
    <cfRule type="cellIs" dxfId="1766" priority="1787" operator="greaterThan">
      <formula>1</formula>
    </cfRule>
  </conditionalFormatting>
  <conditionalFormatting sqref="I32">
    <cfRule type="cellIs" dxfId="1765" priority="1786" operator="greaterThan">
      <formula>1</formula>
    </cfRule>
  </conditionalFormatting>
  <conditionalFormatting sqref="I32">
    <cfRule type="cellIs" dxfId="1764" priority="1785" operator="greaterThan">
      <formula>1</formula>
    </cfRule>
  </conditionalFormatting>
  <conditionalFormatting sqref="J32">
    <cfRule type="cellIs" dxfId="1763" priority="1784" operator="greaterThan">
      <formula>1</formula>
    </cfRule>
  </conditionalFormatting>
  <conditionalFormatting sqref="J32">
    <cfRule type="cellIs" dxfId="1762" priority="1783" operator="greaterThan">
      <formula>1</formula>
    </cfRule>
  </conditionalFormatting>
  <conditionalFormatting sqref="K32">
    <cfRule type="cellIs" dxfId="1761" priority="1782" operator="greaterThan">
      <formula>1</formula>
    </cfRule>
  </conditionalFormatting>
  <conditionalFormatting sqref="K32">
    <cfRule type="cellIs" dxfId="1760" priority="1781" operator="greaterThan">
      <formula>1</formula>
    </cfRule>
  </conditionalFormatting>
  <conditionalFormatting sqref="L32">
    <cfRule type="cellIs" dxfId="1759" priority="1780" operator="greaterThan">
      <formula>1</formula>
    </cfRule>
  </conditionalFormatting>
  <conditionalFormatting sqref="L32">
    <cfRule type="cellIs" dxfId="1758" priority="1779" operator="greaterThan">
      <formula>1</formula>
    </cfRule>
  </conditionalFormatting>
  <conditionalFormatting sqref="O32">
    <cfRule type="cellIs" dxfId="1757" priority="1778" operator="greaterThan">
      <formula>1</formula>
    </cfRule>
  </conditionalFormatting>
  <conditionalFormatting sqref="G32:R32">
    <cfRule type="cellIs" dxfId="1756" priority="1776" operator="greaterThan">
      <formula>1</formula>
    </cfRule>
  </conditionalFormatting>
  <conditionalFormatting sqref="G32:R32">
    <cfRule type="cellIs" dxfId="1755" priority="1775" operator="greaterThan">
      <formula>1</formula>
    </cfRule>
  </conditionalFormatting>
  <conditionalFormatting sqref="G32">
    <cfRule type="cellIs" dxfId="1754" priority="1774" operator="greaterThan">
      <formula>1</formula>
    </cfRule>
  </conditionalFormatting>
  <conditionalFormatting sqref="H32">
    <cfRule type="cellIs" dxfId="1753" priority="1773" operator="greaterThan">
      <formula>1</formula>
    </cfRule>
  </conditionalFormatting>
  <conditionalFormatting sqref="I32">
    <cfRule type="cellIs" dxfId="1752" priority="1772" operator="greaterThan">
      <formula>1</formula>
    </cfRule>
  </conditionalFormatting>
  <conditionalFormatting sqref="J32">
    <cfRule type="cellIs" dxfId="1751" priority="1771" operator="greaterThan">
      <formula>1</formula>
    </cfRule>
  </conditionalFormatting>
  <conditionalFormatting sqref="K32">
    <cfRule type="cellIs" dxfId="1750" priority="1770" operator="greaterThan">
      <formula>1</formula>
    </cfRule>
  </conditionalFormatting>
  <conditionalFormatting sqref="L32">
    <cfRule type="cellIs" dxfId="1749" priority="1769" operator="greaterThan">
      <formula>1</formula>
    </cfRule>
  </conditionalFormatting>
  <conditionalFormatting sqref="M32">
    <cfRule type="cellIs" dxfId="1748" priority="1768" operator="greaterThan">
      <formula>1</formula>
    </cfRule>
  </conditionalFormatting>
  <conditionalFormatting sqref="N32">
    <cfRule type="cellIs" dxfId="1747" priority="1767" operator="greaterThan">
      <formula>1</formula>
    </cfRule>
  </conditionalFormatting>
  <conditionalFormatting sqref="O32">
    <cfRule type="cellIs" dxfId="1746" priority="1766" operator="greaterThan">
      <formula>1</formula>
    </cfRule>
  </conditionalFormatting>
  <conditionalFormatting sqref="P32">
    <cfRule type="cellIs" dxfId="1745" priority="1765" operator="greaterThan">
      <formula>1</formula>
    </cfRule>
  </conditionalFormatting>
  <conditionalFormatting sqref="Q32">
    <cfRule type="cellIs" dxfId="1744" priority="1764" operator="greaterThan">
      <formula>1</formula>
    </cfRule>
  </conditionalFormatting>
  <conditionalFormatting sqref="R32">
    <cfRule type="cellIs" dxfId="1743" priority="1763" operator="greaterThan">
      <formula>1</formula>
    </cfRule>
  </conditionalFormatting>
  <conditionalFormatting sqref="F32">
    <cfRule type="cellIs" dxfId="1742" priority="1762" operator="greaterThan">
      <formula>1</formula>
    </cfRule>
  </conditionalFormatting>
  <conditionalFormatting sqref="F32">
    <cfRule type="cellIs" dxfId="1741" priority="1761" operator="greaterThan">
      <formula>1</formula>
    </cfRule>
  </conditionalFormatting>
  <conditionalFormatting sqref="E32">
    <cfRule type="cellIs" dxfId="1740" priority="1760" operator="greaterThan">
      <formula>1</formula>
    </cfRule>
  </conditionalFormatting>
  <conditionalFormatting sqref="E32">
    <cfRule type="cellIs" dxfId="1739" priority="1759" operator="greaterThan">
      <formula>1</formula>
    </cfRule>
  </conditionalFormatting>
  <conditionalFormatting sqref="E32:Q32">
    <cfRule type="cellIs" dxfId="1738" priority="1758" operator="greaterThan">
      <formula>1</formula>
    </cfRule>
  </conditionalFormatting>
  <conditionalFormatting sqref="R32">
    <cfRule type="cellIs" dxfId="1737" priority="1757" operator="greaterThan">
      <formula>1</formula>
    </cfRule>
  </conditionalFormatting>
  <conditionalFormatting sqref="R32">
    <cfRule type="cellIs" dxfId="1736" priority="1756" operator="greaterThan">
      <formula>1</formula>
    </cfRule>
  </conditionalFormatting>
  <conditionalFormatting sqref="E32:R32">
    <cfRule type="cellIs" dxfId="1735" priority="1755" operator="greaterThan">
      <formula>1</formula>
    </cfRule>
  </conditionalFormatting>
  <conditionalFormatting sqref="E32:R32">
    <cfRule type="cellIs" dxfId="1734" priority="1754" operator="greaterThan">
      <formula>1</formula>
    </cfRule>
  </conditionalFormatting>
  <conditionalFormatting sqref="G32">
    <cfRule type="cellIs" dxfId="1733" priority="1753" operator="greaterThan">
      <formula>1</formula>
    </cfRule>
  </conditionalFormatting>
  <conditionalFormatting sqref="H32">
    <cfRule type="cellIs" dxfId="1732" priority="1752" operator="greaterThan">
      <formula>1</formula>
    </cfRule>
  </conditionalFormatting>
  <conditionalFormatting sqref="I32">
    <cfRule type="cellIs" dxfId="1731" priority="1751" operator="greaterThan">
      <formula>1</formula>
    </cfRule>
  </conditionalFormatting>
  <conditionalFormatting sqref="J32">
    <cfRule type="cellIs" dxfId="1730" priority="1750" operator="greaterThan">
      <formula>1</formula>
    </cfRule>
  </conditionalFormatting>
  <conditionalFormatting sqref="K32">
    <cfRule type="cellIs" dxfId="1729" priority="1749" operator="greaterThan">
      <formula>1</formula>
    </cfRule>
  </conditionalFormatting>
  <conditionalFormatting sqref="L32">
    <cfRule type="cellIs" dxfId="1728" priority="1748" operator="greaterThan">
      <formula>1</formula>
    </cfRule>
  </conditionalFormatting>
  <conditionalFormatting sqref="M32">
    <cfRule type="cellIs" dxfId="1727" priority="1747" operator="greaterThan">
      <formula>1</formula>
    </cfRule>
  </conditionalFormatting>
  <conditionalFormatting sqref="N32">
    <cfRule type="cellIs" dxfId="1726" priority="1746" operator="greaterThan">
      <formula>1</formula>
    </cfRule>
  </conditionalFormatting>
  <conditionalFormatting sqref="O32">
    <cfRule type="cellIs" dxfId="1725" priority="1745" operator="greaterThan">
      <formula>1</formula>
    </cfRule>
  </conditionalFormatting>
  <conditionalFormatting sqref="P32">
    <cfRule type="cellIs" dxfId="1724" priority="1744" operator="greaterThan">
      <formula>1</formula>
    </cfRule>
  </conditionalFormatting>
  <conditionalFormatting sqref="Q32">
    <cfRule type="cellIs" dxfId="1723" priority="1743" operator="greaterThan">
      <formula>1</formula>
    </cfRule>
  </conditionalFormatting>
  <conditionalFormatting sqref="R32">
    <cfRule type="cellIs" dxfId="1722" priority="1742" operator="greaterThan">
      <formula>1</formula>
    </cfRule>
  </conditionalFormatting>
  <conditionalFormatting sqref="R34">
    <cfRule type="cellIs" dxfId="1721" priority="1736" operator="greaterThan">
      <formula>1</formula>
    </cfRule>
  </conditionalFormatting>
  <conditionalFormatting sqref="R34">
    <cfRule type="cellIs" dxfId="1720" priority="1735" operator="greaterThan">
      <formula>1</formula>
    </cfRule>
  </conditionalFormatting>
  <conditionalFormatting sqref="Q34">
    <cfRule type="cellIs" dxfId="1719" priority="1734" operator="greaterThan">
      <formula>1</formula>
    </cfRule>
  </conditionalFormatting>
  <conditionalFormatting sqref="Q34">
    <cfRule type="cellIs" dxfId="1718" priority="1733" operator="greaterThan">
      <formula>1</formula>
    </cfRule>
  </conditionalFormatting>
  <conditionalFormatting sqref="P34">
    <cfRule type="cellIs" dxfId="1717" priority="1732" operator="greaterThan">
      <formula>1</formula>
    </cfRule>
  </conditionalFormatting>
  <conditionalFormatting sqref="P34">
    <cfRule type="cellIs" dxfId="1716" priority="1731" operator="greaterThan">
      <formula>1</formula>
    </cfRule>
  </conditionalFormatting>
  <conditionalFormatting sqref="O34">
    <cfRule type="cellIs" dxfId="1715" priority="1730" operator="greaterThan">
      <formula>1</formula>
    </cfRule>
  </conditionalFormatting>
  <conditionalFormatting sqref="E34:I34">
    <cfRule type="cellIs" dxfId="1714" priority="1741" operator="greaterThan">
      <formula>1</formula>
    </cfRule>
  </conditionalFormatting>
  <conditionalFormatting sqref="E34:I34">
    <cfRule type="cellIs" dxfId="1713" priority="1740" operator="greaterThan">
      <formula>1</formula>
    </cfRule>
  </conditionalFormatting>
  <conditionalFormatting sqref="G34">
    <cfRule type="cellIs" dxfId="1712" priority="1739" operator="greaterThan">
      <formula>1</formula>
    </cfRule>
  </conditionalFormatting>
  <conditionalFormatting sqref="H34">
    <cfRule type="cellIs" dxfId="1711" priority="1738" operator="greaterThan">
      <formula>1</formula>
    </cfRule>
  </conditionalFormatting>
  <conditionalFormatting sqref="I34">
    <cfRule type="cellIs" dxfId="1710" priority="1737" operator="greaterThan">
      <formula>1</formula>
    </cfRule>
  </conditionalFormatting>
  <conditionalFormatting sqref="O34">
    <cfRule type="cellIs" dxfId="1709" priority="1729" operator="greaterThan">
      <formula>1</formula>
    </cfRule>
  </conditionalFormatting>
  <conditionalFormatting sqref="N34">
    <cfRule type="cellIs" dxfId="1708" priority="1728" operator="greaterThan">
      <formula>1</formula>
    </cfRule>
  </conditionalFormatting>
  <conditionalFormatting sqref="N34">
    <cfRule type="cellIs" dxfId="1707" priority="1727" operator="greaterThan">
      <formula>1</formula>
    </cfRule>
  </conditionalFormatting>
  <conditionalFormatting sqref="M34">
    <cfRule type="cellIs" dxfId="1706" priority="1726" operator="greaterThan">
      <formula>1</formula>
    </cfRule>
  </conditionalFormatting>
  <conditionalFormatting sqref="M34">
    <cfRule type="cellIs" dxfId="1705" priority="1725" operator="greaterThan">
      <formula>1</formula>
    </cfRule>
  </conditionalFormatting>
  <conditionalFormatting sqref="L34">
    <cfRule type="cellIs" dxfId="1704" priority="1724" operator="greaterThan">
      <formula>1</formula>
    </cfRule>
  </conditionalFormatting>
  <conditionalFormatting sqref="L34">
    <cfRule type="cellIs" dxfId="1703" priority="1723" operator="greaterThan">
      <formula>1</formula>
    </cfRule>
  </conditionalFormatting>
  <conditionalFormatting sqref="K34">
    <cfRule type="cellIs" dxfId="1702" priority="1722" operator="greaterThan">
      <formula>1</formula>
    </cfRule>
  </conditionalFormatting>
  <conditionalFormatting sqref="K34">
    <cfRule type="cellIs" dxfId="1701" priority="1721" operator="greaterThan">
      <formula>1</formula>
    </cfRule>
  </conditionalFormatting>
  <conditionalFormatting sqref="J34">
    <cfRule type="cellIs" dxfId="1700" priority="1720" operator="greaterThan">
      <formula>1</formula>
    </cfRule>
  </conditionalFormatting>
  <conditionalFormatting sqref="J34">
    <cfRule type="cellIs" dxfId="1699" priority="1719" operator="greaterThan">
      <formula>1</formula>
    </cfRule>
  </conditionalFormatting>
  <conditionalFormatting sqref="O34">
    <cfRule type="cellIs" dxfId="1698" priority="1696" operator="greaterThan">
      <formula>1</formula>
    </cfRule>
  </conditionalFormatting>
  <conditionalFormatting sqref="E34 P34:R34 M34:N34">
    <cfRule type="cellIs" dxfId="1697" priority="1718" operator="greaterThan">
      <formula>1</formula>
    </cfRule>
  </conditionalFormatting>
  <conditionalFormatting sqref="E34 P34:R34 M34:N34">
    <cfRule type="cellIs" dxfId="1696" priority="1717" operator="greaterThan">
      <formula>1</formula>
    </cfRule>
  </conditionalFormatting>
  <conditionalFormatting sqref="M34">
    <cfRule type="cellIs" dxfId="1695" priority="1716" operator="greaterThan">
      <formula>1</formula>
    </cfRule>
  </conditionalFormatting>
  <conditionalFormatting sqref="N34">
    <cfRule type="cellIs" dxfId="1694" priority="1715" operator="greaterThan">
      <formula>1</formula>
    </cfRule>
  </conditionalFormatting>
  <conditionalFormatting sqref="P34">
    <cfRule type="cellIs" dxfId="1693" priority="1714" operator="greaterThan">
      <formula>1</formula>
    </cfRule>
  </conditionalFormatting>
  <conditionalFormatting sqref="Q34">
    <cfRule type="cellIs" dxfId="1692" priority="1713" operator="greaterThan">
      <formula>1</formula>
    </cfRule>
  </conditionalFormatting>
  <conditionalFormatting sqref="R34">
    <cfRule type="cellIs" dxfId="1691" priority="1712" operator="greaterThan">
      <formula>1</formula>
    </cfRule>
  </conditionalFormatting>
  <conditionalFormatting sqref="F34">
    <cfRule type="cellIs" dxfId="1690" priority="1711" operator="greaterThan">
      <formula>1</formula>
    </cfRule>
  </conditionalFormatting>
  <conditionalFormatting sqref="F34">
    <cfRule type="cellIs" dxfId="1689" priority="1710" operator="greaterThan">
      <formula>1</formula>
    </cfRule>
  </conditionalFormatting>
  <conditionalFormatting sqref="G34">
    <cfRule type="cellIs" dxfId="1688" priority="1709" operator="greaterThan">
      <formula>1</formula>
    </cfRule>
  </conditionalFormatting>
  <conditionalFormatting sqref="G34">
    <cfRule type="cellIs" dxfId="1687" priority="1708" operator="greaterThan">
      <formula>1</formula>
    </cfRule>
  </conditionalFormatting>
  <conditionalFormatting sqref="H34">
    <cfRule type="cellIs" dxfId="1686" priority="1707" operator="greaterThan">
      <formula>1</formula>
    </cfRule>
  </conditionalFormatting>
  <conditionalFormatting sqref="H34">
    <cfRule type="cellIs" dxfId="1685" priority="1706" operator="greaterThan">
      <formula>1</formula>
    </cfRule>
  </conditionalFormatting>
  <conditionalFormatting sqref="I34">
    <cfRule type="cellIs" dxfId="1684" priority="1705" operator="greaterThan">
      <formula>1</formula>
    </cfRule>
  </conditionalFormatting>
  <conditionalFormatting sqref="I34">
    <cfRule type="cellIs" dxfId="1683" priority="1704" operator="greaterThan">
      <formula>1</formula>
    </cfRule>
  </conditionalFormatting>
  <conditionalFormatting sqref="J34">
    <cfRule type="cellIs" dxfId="1682" priority="1703" operator="greaterThan">
      <formula>1</formula>
    </cfRule>
  </conditionalFormatting>
  <conditionalFormatting sqref="J34">
    <cfRule type="cellIs" dxfId="1681" priority="1702" operator="greaterThan">
      <formula>1</formula>
    </cfRule>
  </conditionalFormatting>
  <conditionalFormatting sqref="K34">
    <cfRule type="cellIs" dxfId="1680" priority="1701" operator="greaterThan">
      <formula>1</formula>
    </cfRule>
  </conditionalFormatting>
  <conditionalFormatting sqref="K34">
    <cfRule type="cellIs" dxfId="1679" priority="1700" operator="greaterThan">
      <formula>1</formula>
    </cfRule>
  </conditionalFormatting>
  <conditionalFormatting sqref="L34">
    <cfRule type="cellIs" dxfId="1678" priority="1699" operator="greaterThan">
      <formula>1</formula>
    </cfRule>
  </conditionalFormatting>
  <conditionalFormatting sqref="L34">
    <cfRule type="cellIs" dxfId="1677" priority="1698" operator="greaterThan">
      <formula>1</formula>
    </cfRule>
  </conditionalFormatting>
  <conditionalFormatting sqref="O34">
    <cfRule type="cellIs" dxfId="1676" priority="1697" operator="greaterThan">
      <formula>1</formula>
    </cfRule>
  </conditionalFormatting>
  <conditionalFormatting sqref="G34:R34">
    <cfRule type="cellIs" dxfId="1675" priority="1695" operator="greaterThan">
      <formula>1</formula>
    </cfRule>
  </conditionalFormatting>
  <conditionalFormatting sqref="G34:R34">
    <cfRule type="cellIs" dxfId="1674" priority="1694" operator="greaterThan">
      <formula>1</formula>
    </cfRule>
  </conditionalFormatting>
  <conditionalFormatting sqref="G34">
    <cfRule type="cellIs" dxfId="1673" priority="1693" operator="greaterThan">
      <formula>1</formula>
    </cfRule>
  </conditionalFormatting>
  <conditionalFormatting sqref="H34">
    <cfRule type="cellIs" dxfId="1672" priority="1692" operator="greaterThan">
      <formula>1</formula>
    </cfRule>
  </conditionalFormatting>
  <conditionalFormatting sqref="I34">
    <cfRule type="cellIs" dxfId="1671" priority="1691" operator="greaterThan">
      <formula>1</formula>
    </cfRule>
  </conditionalFormatting>
  <conditionalFormatting sqref="J34">
    <cfRule type="cellIs" dxfId="1670" priority="1690" operator="greaterThan">
      <formula>1</formula>
    </cfRule>
  </conditionalFormatting>
  <conditionalFormatting sqref="K34">
    <cfRule type="cellIs" dxfId="1669" priority="1689" operator="greaterThan">
      <formula>1</formula>
    </cfRule>
  </conditionalFormatting>
  <conditionalFormatting sqref="L34">
    <cfRule type="cellIs" dxfId="1668" priority="1688" operator="greaterThan">
      <formula>1</formula>
    </cfRule>
  </conditionalFormatting>
  <conditionalFormatting sqref="M34">
    <cfRule type="cellIs" dxfId="1667" priority="1687" operator="greaterThan">
      <formula>1</formula>
    </cfRule>
  </conditionalFormatting>
  <conditionalFormatting sqref="N34">
    <cfRule type="cellIs" dxfId="1666" priority="1686" operator="greaterThan">
      <formula>1</formula>
    </cfRule>
  </conditionalFormatting>
  <conditionalFormatting sqref="O34">
    <cfRule type="cellIs" dxfId="1665" priority="1685" operator="greaterThan">
      <formula>1</formula>
    </cfRule>
  </conditionalFormatting>
  <conditionalFormatting sqref="P34">
    <cfRule type="cellIs" dxfId="1664" priority="1684" operator="greaterThan">
      <formula>1</formula>
    </cfRule>
  </conditionalFormatting>
  <conditionalFormatting sqref="Q34">
    <cfRule type="cellIs" dxfId="1663" priority="1683" operator="greaterThan">
      <formula>1</formula>
    </cfRule>
  </conditionalFormatting>
  <conditionalFormatting sqref="R34">
    <cfRule type="cellIs" dxfId="1662" priority="1682" operator="greaterThan">
      <formula>1</formula>
    </cfRule>
  </conditionalFormatting>
  <conditionalFormatting sqref="F34">
    <cfRule type="cellIs" dxfId="1661" priority="1681" operator="greaterThan">
      <formula>1</formula>
    </cfRule>
  </conditionalFormatting>
  <conditionalFormatting sqref="F34">
    <cfRule type="cellIs" dxfId="1660" priority="1680" operator="greaterThan">
      <formula>1</formula>
    </cfRule>
  </conditionalFormatting>
  <conditionalFormatting sqref="E34">
    <cfRule type="cellIs" dxfId="1659" priority="1679" operator="greaterThan">
      <formula>1</formula>
    </cfRule>
  </conditionalFormatting>
  <conditionalFormatting sqref="E34">
    <cfRule type="cellIs" dxfId="1658" priority="1678" operator="greaterThan">
      <formula>1</formula>
    </cfRule>
  </conditionalFormatting>
  <conditionalFormatting sqref="E34:Q34">
    <cfRule type="cellIs" dxfId="1657" priority="1677" operator="greaterThan">
      <formula>1</formula>
    </cfRule>
  </conditionalFormatting>
  <conditionalFormatting sqref="R34">
    <cfRule type="cellIs" dxfId="1656" priority="1676" operator="greaterThan">
      <formula>1</formula>
    </cfRule>
  </conditionalFormatting>
  <conditionalFormatting sqref="R34">
    <cfRule type="cellIs" dxfId="1655" priority="1675" operator="greaterThan">
      <formula>1</formula>
    </cfRule>
  </conditionalFormatting>
  <conditionalFormatting sqref="E34:R34">
    <cfRule type="cellIs" dxfId="1654" priority="1674" operator="greaterThan">
      <formula>1</formula>
    </cfRule>
  </conditionalFormatting>
  <conditionalFormatting sqref="E34:R34">
    <cfRule type="cellIs" dxfId="1653" priority="1673" operator="greaterThan">
      <formula>1</formula>
    </cfRule>
  </conditionalFormatting>
  <conditionalFormatting sqref="G34">
    <cfRule type="cellIs" dxfId="1652" priority="1672" operator="greaterThan">
      <formula>1</formula>
    </cfRule>
  </conditionalFormatting>
  <conditionalFormatting sqref="H34">
    <cfRule type="cellIs" dxfId="1651" priority="1671" operator="greaterThan">
      <formula>1</formula>
    </cfRule>
  </conditionalFormatting>
  <conditionalFormatting sqref="I34">
    <cfRule type="cellIs" dxfId="1650" priority="1670" operator="greaterThan">
      <formula>1</formula>
    </cfRule>
  </conditionalFormatting>
  <conditionalFormatting sqref="J34">
    <cfRule type="cellIs" dxfId="1649" priority="1669" operator="greaterThan">
      <formula>1</formula>
    </cfRule>
  </conditionalFormatting>
  <conditionalFormatting sqref="K34">
    <cfRule type="cellIs" dxfId="1648" priority="1668" operator="greaterThan">
      <formula>1</formula>
    </cfRule>
  </conditionalFormatting>
  <conditionalFormatting sqref="L34">
    <cfRule type="cellIs" dxfId="1647" priority="1667" operator="greaterThan">
      <formula>1</formula>
    </cfRule>
  </conditionalFormatting>
  <conditionalFormatting sqref="M34">
    <cfRule type="cellIs" dxfId="1646" priority="1666" operator="greaterThan">
      <formula>1</formula>
    </cfRule>
  </conditionalFormatting>
  <conditionalFormatting sqref="N34">
    <cfRule type="cellIs" dxfId="1645" priority="1665" operator="greaterThan">
      <formula>1</formula>
    </cfRule>
  </conditionalFormatting>
  <conditionalFormatting sqref="O34">
    <cfRule type="cellIs" dxfId="1644" priority="1664" operator="greaterThan">
      <formula>1</formula>
    </cfRule>
  </conditionalFormatting>
  <conditionalFormatting sqref="P34">
    <cfRule type="cellIs" dxfId="1643" priority="1663" operator="greaterThan">
      <formula>1</formula>
    </cfRule>
  </conditionalFormatting>
  <conditionalFormatting sqref="Q34">
    <cfRule type="cellIs" dxfId="1642" priority="1662" operator="greaterThan">
      <formula>1</formula>
    </cfRule>
  </conditionalFormatting>
  <conditionalFormatting sqref="R34">
    <cfRule type="cellIs" dxfId="1641" priority="1661" operator="greaterThan">
      <formula>1</formula>
    </cfRule>
  </conditionalFormatting>
  <conditionalFormatting sqref="E36:G36 I36:J36 P36:R36">
    <cfRule type="cellIs" dxfId="1640" priority="1660" operator="greaterThan">
      <formula>1</formula>
    </cfRule>
  </conditionalFormatting>
  <conditionalFormatting sqref="E36:G36 I36:J36 P36:R36">
    <cfRule type="cellIs" dxfId="1639" priority="1659" operator="greaterThan">
      <formula>1</formula>
    </cfRule>
  </conditionalFormatting>
  <conditionalFormatting sqref="G36">
    <cfRule type="cellIs" dxfId="1638" priority="1658" operator="greaterThan">
      <formula>1</formula>
    </cfRule>
  </conditionalFormatting>
  <conditionalFormatting sqref="I36">
    <cfRule type="cellIs" dxfId="1637" priority="1657" operator="greaterThan">
      <formula>1</formula>
    </cfRule>
  </conditionalFormatting>
  <conditionalFormatting sqref="J36">
    <cfRule type="cellIs" dxfId="1636" priority="1656" operator="greaterThan">
      <formula>1</formula>
    </cfRule>
  </conditionalFormatting>
  <conditionalFormatting sqref="P36">
    <cfRule type="cellIs" dxfId="1635" priority="1655" operator="greaterThan">
      <formula>1</formula>
    </cfRule>
  </conditionalFormatting>
  <conditionalFormatting sqref="Q36">
    <cfRule type="cellIs" dxfId="1634" priority="1654" operator="greaterThan">
      <formula>1</formula>
    </cfRule>
  </conditionalFormatting>
  <conditionalFormatting sqref="R36">
    <cfRule type="cellIs" dxfId="1633" priority="1653" operator="greaterThan">
      <formula>1</formula>
    </cfRule>
  </conditionalFormatting>
  <conditionalFormatting sqref="H36">
    <cfRule type="cellIs" dxfId="1632" priority="1652" operator="greaterThan">
      <formula>1</formula>
    </cfRule>
  </conditionalFormatting>
  <conditionalFormatting sqref="H36">
    <cfRule type="cellIs" dxfId="1631" priority="1651" operator="greaterThan">
      <formula>1</formula>
    </cfRule>
  </conditionalFormatting>
  <conditionalFormatting sqref="K36">
    <cfRule type="cellIs" dxfId="1630" priority="1650" operator="greaterThan">
      <formula>1</formula>
    </cfRule>
  </conditionalFormatting>
  <conditionalFormatting sqref="K36">
    <cfRule type="cellIs" dxfId="1629" priority="1649" operator="greaterThan">
      <formula>1</formula>
    </cfRule>
  </conditionalFormatting>
  <conditionalFormatting sqref="L36">
    <cfRule type="cellIs" dxfId="1628" priority="1648" operator="greaterThan">
      <formula>1</formula>
    </cfRule>
  </conditionalFormatting>
  <conditionalFormatting sqref="L36">
    <cfRule type="cellIs" dxfId="1627" priority="1647" operator="greaterThan">
      <formula>1</formula>
    </cfRule>
  </conditionalFormatting>
  <conditionalFormatting sqref="M36">
    <cfRule type="cellIs" dxfId="1626" priority="1646" operator="greaterThan">
      <formula>1</formula>
    </cfRule>
  </conditionalFormatting>
  <conditionalFormatting sqref="M36">
    <cfRule type="cellIs" dxfId="1625" priority="1645" operator="greaterThan">
      <formula>1</formula>
    </cfRule>
  </conditionalFormatting>
  <conditionalFormatting sqref="N36">
    <cfRule type="cellIs" dxfId="1624" priority="1644" operator="greaterThan">
      <formula>1</formula>
    </cfRule>
  </conditionalFormatting>
  <conditionalFormatting sqref="N36">
    <cfRule type="cellIs" dxfId="1623" priority="1643" operator="greaterThan">
      <formula>1</formula>
    </cfRule>
  </conditionalFormatting>
  <conditionalFormatting sqref="O36">
    <cfRule type="cellIs" dxfId="1622" priority="1642" operator="greaterThan">
      <formula>1</formula>
    </cfRule>
  </conditionalFormatting>
  <conditionalFormatting sqref="O36">
    <cfRule type="cellIs" dxfId="1621" priority="1641" operator="greaterThan">
      <formula>1</formula>
    </cfRule>
  </conditionalFormatting>
  <conditionalFormatting sqref="R36">
    <cfRule type="cellIs" dxfId="1620" priority="1635" operator="greaterThan">
      <formula>1</formula>
    </cfRule>
  </conditionalFormatting>
  <conditionalFormatting sqref="R36">
    <cfRule type="cellIs" dxfId="1619" priority="1634" operator="greaterThan">
      <formula>1</formula>
    </cfRule>
  </conditionalFormatting>
  <conditionalFormatting sqref="Q36">
    <cfRule type="cellIs" dxfId="1618" priority="1633" operator="greaterThan">
      <formula>1</formula>
    </cfRule>
  </conditionalFormatting>
  <conditionalFormatting sqref="Q36">
    <cfRule type="cellIs" dxfId="1617" priority="1632" operator="greaterThan">
      <formula>1</formula>
    </cfRule>
  </conditionalFormatting>
  <conditionalFormatting sqref="P36">
    <cfRule type="cellIs" dxfId="1616" priority="1631" operator="greaterThan">
      <formula>1</formula>
    </cfRule>
  </conditionalFormatting>
  <conditionalFormatting sqref="P36">
    <cfRule type="cellIs" dxfId="1615" priority="1630" operator="greaterThan">
      <formula>1</formula>
    </cfRule>
  </conditionalFormatting>
  <conditionalFormatting sqref="O36">
    <cfRule type="cellIs" dxfId="1614" priority="1629" operator="greaterThan">
      <formula>1</formula>
    </cfRule>
  </conditionalFormatting>
  <conditionalFormatting sqref="E36:I36">
    <cfRule type="cellIs" dxfId="1613" priority="1640" operator="greaterThan">
      <formula>1</formula>
    </cfRule>
  </conditionalFormatting>
  <conditionalFormatting sqref="E36:I36">
    <cfRule type="cellIs" dxfId="1612" priority="1639" operator="greaterThan">
      <formula>1</formula>
    </cfRule>
  </conditionalFormatting>
  <conditionalFormatting sqref="G36">
    <cfRule type="cellIs" dxfId="1611" priority="1638" operator="greaterThan">
      <formula>1</formula>
    </cfRule>
  </conditionalFormatting>
  <conditionalFormatting sqref="H36">
    <cfRule type="cellIs" dxfId="1610" priority="1637" operator="greaterThan">
      <formula>1</formula>
    </cfRule>
  </conditionalFormatting>
  <conditionalFormatting sqref="I36">
    <cfRule type="cellIs" dxfId="1609" priority="1636" operator="greaterThan">
      <formula>1</formula>
    </cfRule>
  </conditionalFormatting>
  <conditionalFormatting sqref="O36">
    <cfRule type="cellIs" dxfId="1608" priority="1628" operator="greaterThan">
      <formula>1</formula>
    </cfRule>
  </conditionalFormatting>
  <conditionalFormatting sqref="N36">
    <cfRule type="cellIs" dxfId="1607" priority="1627" operator="greaterThan">
      <formula>1</formula>
    </cfRule>
  </conditionalFormatting>
  <conditionalFormatting sqref="N36">
    <cfRule type="cellIs" dxfId="1606" priority="1626" operator="greaterThan">
      <formula>1</formula>
    </cfRule>
  </conditionalFormatting>
  <conditionalFormatting sqref="M36">
    <cfRule type="cellIs" dxfId="1605" priority="1625" operator="greaterThan">
      <formula>1</formula>
    </cfRule>
  </conditionalFormatting>
  <conditionalFormatting sqref="M36">
    <cfRule type="cellIs" dxfId="1604" priority="1624" operator="greaterThan">
      <formula>1</formula>
    </cfRule>
  </conditionalFormatting>
  <conditionalFormatting sqref="L36">
    <cfRule type="cellIs" dxfId="1603" priority="1623" operator="greaterThan">
      <formula>1</formula>
    </cfRule>
  </conditionalFormatting>
  <conditionalFormatting sqref="L36">
    <cfRule type="cellIs" dxfId="1602" priority="1622" operator="greaterThan">
      <formula>1</formula>
    </cfRule>
  </conditionalFormatting>
  <conditionalFormatting sqref="K36">
    <cfRule type="cellIs" dxfId="1601" priority="1621" operator="greaterThan">
      <formula>1</formula>
    </cfRule>
  </conditionalFormatting>
  <conditionalFormatting sqref="K36">
    <cfRule type="cellIs" dxfId="1600" priority="1620" operator="greaterThan">
      <formula>1</formula>
    </cfRule>
  </conditionalFormatting>
  <conditionalFormatting sqref="J36">
    <cfRule type="cellIs" dxfId="1599" priority="1619" operator="greaterThan">
      <formula>1</formula>
    </cfRule>
  </conditionalFormatting>
  <conditionalFormatting sqref="J36">
    <cfRule type="cellIs" dxfId="1598" priority="1618" operator="greaterThan">
      <formula>1</formula>
    </cfRule>
  </conditionalFormatting>
  <conditionalFormatting sqref="O36">
    <cfRule type="cellIs" dxfId="1597" priority="1595" operator="greaterThan">
      <formula>1</formula>
    </cfRule>
  </conditionalFormatting>
  <conditionalFormatting sqref="E36 P36:R36 M36:N36">
    <cfRule type="cellIs" dxfId="1596" priority="1617" operator="greaterThan">
      <formula>1</formula>
    </cfRule>
  </conditionalFormatting>
  <conditionalFormatting sqref="E36 P36:R36 M36:N36">
    <cfRule type="cellIs" dxfId="1595" priority="1616" operator="greaterThan">
      <formula>1</formula>
    </cfRule>
  </conditionalFormatting>
  <conditionalFormatting sqref="M36">
    <cfRule type="cellIs" dxfId="1594" priority="1615" operator="greaterThan">
      <formula>1</formula>
    </cfRule>
  </conditionalFormatting>
  <conditionalFormatting sqref="N36">
    <cfRule type="cellIs" dxfId="1593" priority="1614" operator="greaterThan">
      <formula>1</formula>
    </cfRule>
  </conditionalFormatting>
  <conditionalFormatting sqref="P36">
    <cfRule type="cellIs" dxfId="1592" priority="1613" operator="greaterThan">
      <formula>1</formula>
    </cfRule>
  </conditionalFormatting>
  <conditionalFormatting sqref="Q36">
    <cfRule type="cellIs" dxfId="1591" priority="1612" operator="greaterThan">
      <formula>1</formula>
    </cfRule>
  </conditionalFormatting>
  <conditionalFormatting sqref="R36">
    <cfRule type="cellIs" dxfId="1590" priority="1611" operator="greaterThan">
      <formula>1</formula>
    </cfRule>
  </conditionalFormatting>
  <conditionalFormatting sqref="F36">
    <cfRule type="cellIs" dxfId="1589" priority="1610" operator="greaterThan">
      <formula>1</formula>
    </cfRule>
  </conditionalFormatting>
  <conditionalFormatting sqref="F36">
    <cfRule type="cellIs" dxfId="1588" priority="1609" operator="greaterThan">
      <formula>1</formula>
    </cfRule>
  </conditionalFormatting>
  <conditionalFormatting sqref="G36">
    <cfRule type="cellIs" dxfId="1587" priority="1608" operator="greaterThan">
      <formula>1</formula>
    </cfRule>
  </conditionalFormatting>
  <conditionalFormatting sqref="G36">
    <cfRule type="cellIs" dxfId="1586" priority="1607" operator="greaterThan">
      <formula>1</formula>
    </cfRule>
  </conditionalFormatting>
  <conditionalFormatting sqref="H36">
    <cfRule type="cellIs" dxfId="1585" priority="1606" operator="greaterThan">
      <formula>1</formula>
    </cfRule>
  </conditionalFormatting>
  <conditionalFormatting sqref="H36">
    <cfRule type="cellIs" dxfId="1584" priority="1605" operator="greaterThan">
      <formula>1</formula>
    </cfRule>
  </conditionalFormatting>
  <conditionalFormatting sqref="I36">
    <cfRule type="cellIs" dxfId="1583" priority="1604" operator="greaterThan">
      <formula>1</formula>
    </cfRule>
  </conditionalFormatting>
  <conditionalFormatting sqref="I36">
    <cfRule type="cellIs" dxfId="1582" priority="1603" operator="greaterThan">
      <formula>1</formula>
    </cfRule>
  </conditionalFormatting>
  <conditionalFormatting sqref="J36">
    <cfRule type="cellIs" dxfId="1581" priority="1602" operator="greaterThan">
      <formula>1</formula>
    </cfRule>
  </conditionalFormatting>
  <conditionalFormatting sqref="J36">
    <cfRule type="cellIs" dxfId="1580" priority="1601" operator="greaterThan">
      <formula>1</formula>
    </cfRule>
  </conditionalFormatting>
  <conditionalFormatting sqref="K36">
    <cfRule type="cellIs" dxfId="1579" priority="1600" operator="greaterThan">
      <formula>1</formula>
    </cfRule>
  </conditionalFormatting>
  <conditionalFormatting sqref="K36">
    <cfRule type="cellIs" dxfId="1578" priority="1599" operator="greaterThan">
      <formula>1</formula>
    </cfRule>
  </conditionalFormatting>
  <conditionalFormatting sqref="L36">
    <cfRule type="cellIs" dxfId="1577" priority="1598" operator="greaterThan">
      <formula>1</formula>
    </cfRule>
  </conditionalFormatting>
  <conditionalFormatting sqref="L36">
    <cfRule type="cellIs" dxfId="1576" priority="1597" operator="greaterThan">
      <formula>1</formula>
    </cfRule>
  </conditionalFormatting>
  <conditionalFormatting sqref="O36">
    <cfRule type="cellIs" dxfId="1575" priority="1596" operator="greaterThan">
      <formula>1</formula>
    </cfRule>
  </conditionalFormatting>
  <conditionalFormatting sqref="G36:R36">
    <cfRule type="cellIs" dxfId="1574" priority="1594" operator="greaterThan">
      <formula>1</formula>
    </cfRule>
  </conditionalFormatting>
  <conditionalFormatting sqref="G36:R36">
    <cfRule type="cellIs" dxfId="1573" priority="1593" operator="greaterThan">
      <formula>1</formula>
    </cfRule>
  </conditionalFormatting>
  <conditionalFormatting sqref="G36">
    <cfRule type="cellIs" dxfId="1572" priority="1592" operator="greaterThan">
      <formula>1</formula>
    </cfRule>
  </conditionalFormatting>
  <conditionalFormatting sqref="H36">
    <cfRule type="cellIs" dxfId="1571" priority="1591" operator="greaterThan">
      <formula>1</formula>
    </cfRule>
  </conditionalFormatting>
  <conditionalFormatting sqref="I36">
    <cfRule type="cellIs" dxfId="1570" priority="1590" operator="greaterThan">
      <formula>1</formula>
    </cfRule>
  </conditionalFormatting>
  <conditionalFormatting sqref="J36">
    <cfRule type="cellIs" dxfId="1569" priority="1589" operator="greaterThan">
      <formula>1</formula>
    </cfRule>
  </conditionalFormatting>
  <conditionalFormatting sqref="K36">
    <cfRule type="cellIs" dxfId="1568" priority="1588" operator="greaterThan">
      <formula>1</formula>
    </cfRule>
  </conditionalFormatting>
  <conditionalFormatting sqref="L36">
    <cfRule type="cellIs" dxfId="1567" priority="1587" operator="greaterThan">
      <formula>1</formula>
    </cfRule>
  </conditionalFormatting>
  <conditionalFormatting sqref="M36">
    <cfRule type="cellIs" dxfId="1566" priority="1586" operator="greaterThan">
      <formula>1</formula>
    </cfRule>
  </conditionalFormatting>
  <conditionalFormatting sqref="N36">
    <cfRule type="cellIs" dxfId="1565" priority="1585" operator="greaterThan">
      <formula>1</formula>
    </cfRule>
  </conditionalFormatting>
  <conditionalFormatting sqref="O36">
    <cfRule type="cellIs" dxfId="1564" priority="1584" operator="greaterThan">
      <formula>1</formula>
    </cfRule>
  </conditionalFormatting>
  <conditionalFormatting sqref="P36">
    <cfRule type="cellIs" dxfId="1563" priority="1583" operator="greaterThan">
      <formula>1</formula>
    </cfRule>
  </conditionalFormatting>
  <conditionalFormatting sqref="Q36">
    <cfRule type="cellIs" dxfId="1562" priority="1582" operator="greaterThan">
      <formula>1</formula>
    </cfRule>
  </conditionalFormatting>
  <conditionalFormatting sqref="R36">
    <cfRule type="cellIs" dxfId="1561" priority="1581" operator="greaterThan">
      <formula>1</formula>
    </cfRule>
  </conditionalFormatting>
  <conditionalFormatting sqref="F36">
    <cfRule type="cellIs" dxfId="1560" priority="1580" operator="greaterThan">
      <formula>1</formula>
    </cfRule>
  </conditionalFormatting>
  <conditionalFormatting sqref="F36">
    <cfRule type="cellIs" dxfId="1559" priority="1579" operator="greaterThan">
      <formula>1</formula>
    </cfRule>
  </conditionalFormatting>
  <conditionalFormatting sqref="E36">
    <cfRule type="cellIs" dxfId="1558" priority="1578" operator="greaterThan">
      <formula>1</formula>
    </cfRule>
  </conditionalFormatting>
  <conditionalFormatting sqref="E36">
    <cfRule type="cellIs" dxfId="1557" priority="1577" operator="greaterThan">
      <formula>1</formula>
    </cfRule>
  </conditionalFormatting>
  <conditionalFormatting sqref="E36:Q36">
    <cfRule type="cellIs" dxfId="1556" priority="1576" operator="greaterThan">
      <formula>1</formula>
    </cfRule>
  </conditionalFormatting>
  <conditionalFormatting sqref="R36">
    <cfRule type="cellIs" dxfId="1555" priority="1575" operator="greaterThan">
      <formula>1</formula>
    </cfRule>
  </conditionalFormatting>
  <conditionalFormatting sqref="R36">
    <cfRule type="cellIs" dxfId="1554" priority="1574" operator="greaterThan">
      <formula>1</formula>
    </cfRule>
  </conditionalFormatting>
  <conditionalFormatting sqref="E36:R36">
    <cfRule type="cellIs" dxfId="1553" priority="1573" operator="greaterThan">
      <formula>1</formula>
    </cfRule>
  </conditionalFormatting>
  <conditionalFormatting sqref="E36:R36">
    <cfRule type="cellIs" dxfId="1552" priority="1572" operator="greaterThan">
      <formula>1</formula>
    </cfRule>
  </conditionalFormatting>
  <conditionalFormatting sqref="G36">
    <cfRule type="cellIs" dxfId="1551" priority="1571" operator="greaterThan">
      <formula>1</formula>
    </cfRule>
  </conditionalFormatting>
  <conditionalFormatting sqref="H36">
    <cfRule type="cellIs" dxfId="1550" priority="1570" operator="greaterThan">
      <formula>1</formula>
    </cfRule>
  </conditionalFormatting>
  <conditionalFormatting sqref="I36">
    <cfRule type="cellIs" dxfId="1549" priority="1569" operator="greaterThan">
      <formula>1</formula>
    </cfRule>
  </conditionalFormatting>
  <conditionalFormatting sqref="J36">
    <cfRule type="cellIs" dxfId="1548" priority="1568" operator="greaterThan">
      <formula>1</formula>
    </cfRule>
  </conditionalFormatting>
  <conditionalFormatting sqref="K36">
    <cfRule type="cellIs" dxfId="1547" priority="1567" operator="greaterThan">
      <formula>1</formula>
    </cfRule>
  </conditionalFormatting>
  <conditionalFormatting sqref="L36">
    <cfRule type="cellIs" dxfId="1546" priority="1566" operator="greaterThan">
      <formula>1</formula>
    </cfRule>
  </conditionalFormatting>
  <conditionalFormatting sqref="M36">
    <cfRule type="cellIs" dxfId="1545" priority="1565" operator="greaterThan">
      <formula>1</formula>
    </cfRule>
  </conditionalFormatting>
  <conditionalFormatting sqref="N36">
    <cfRule type="cellIs" dxfId="1544" priority="1564" operator="greaterThan">
      <formula>1</formula>
    </cfRule>
  </conditionalFormatting>
  <conditionalFormatting sqref="O36">
    <cfRule type="cellIs" dxfId="1543" priority="1563" operator="greaterThan">
      <formula>1</formula>
    </cfRule>
  </conditionalFormatting>
  <conditionalFormatting sqref="P36">
    <cfRule type="cellIs" dxfId="1542" priority="1562" operator="greaterThan">
      <formula>1</formula>
    </cfRule>
  </conditionalFormatting>
  <conditionalFormatting sqref="Q36">
    <cfRule type="cellIs" dxfId="1541" priority="1561" operator="greaterThan">
      <formula>1</formula>
    </cfRule>
  </conditionalFormatting>
  <conditionalFormatting sqref="R36">
    <cfRule type="cellIs" dxfId="1540" priority="1560" operator="greaterThan">
      <formula>1</formula>
    </cfRule>
  </conditionalFormatting>
  <conditionalFormatting sqref="O38">
    <cfRule type="cellIs" dxfId="1539" priority="1546" operator="greaterThan">
      <formula>1</formula>
    </cfRule>
  </conditionalFormatting>
  <conditionalFormatting sqref="O38">
    <cfRule type="cellIs" dxfId="1538" priority="1545" operator="greaterThan">
      <formula>1</formula>
    </cfRule>
  </conditionalFormatting>
  <conditionalFormatting sqref="N38">
    <cfRule type="cellIs" dxfId="1537" priority="1544" operator="greaterThan">
      <formula>1</formula>
    </cfRule>
  </conditionalFormatting>
  <conditionalFormatting sqref="N38">
    <cfRule type="cellIs" dxfId="1536" priority="1543" operator="greaterThan">
      <formula>1</formula>
    </cfRule>
  </conditionalFormatting>
  <conditionalFormatting sqref="M38">
    <cfRule type="cellIs" dxfId="1535" priority="1542" operator="greaterThan">
      <formula>1</formula>
    </cfRule>
  </conditionalFormatting>
  <conditionalFormatting sqref="E38:K38">
    <cfRule type="cellIs" dxfId="1534" priority="1559" operator="greaterThan">
      <formula>1</formula>
    </cfRule>
  </conditionalFormatting>
  <conditionalFormatting sqref="E38:K38">
    <cfRule type="cellIs" dxfId="1533" priority="1558" operator="greaterThan">
      <formula>1</formula>
    </cfRule>
  </conditionalFormatting>
  <conditionalFormatting sqref="G38">
    <cfRule type="cellIs" dxfId="1532" priority="1557" operator="greaterThan">
      <formula>1</formula>
    </cfRule>
  </conditionalFormatting>
  <conditionalFormatting sqref="H38">
    <cfRule type="cellIs" dxfId="1531" priority="1556" operator="greaterThan">
      <formula>1</formula>
    </cfRule>
  </conditionalFormatting>
  <conditionalFormatting sqref="I38">
    <cfRule type="cellIs" dxfId="1530" priority="1555" operator="greaterThan">
      <formula>1</formula>
    </cfRule>
  </conditionalFormatting>
  <conditionalFormatting sqref="J38">
    <cfRule type="cellIs" dxfId="1529" priority="1554" operator="greaterThan">
      <formula>1</formula>
    </cfRule>
  </conditionalFormatting>
  <conditionalFormatting sqref="K38">
    <cfRule type="cellIs" dxfId="1528" priority="1553" operator="greaterThan">
      <formula>1</formula>
    </cfRule>
  </conditionalFormatting>
  <conditionalFormatting sqref="R38">
    <cfRule type="cellIs" dxfId="1527" priority="1552" operator="greaterThan">
      <formula>1</formula>
    </cfRule>
  </conditionalFormatting>
  <conditionalFormatting sqref="R38">
    <cfRule type="cellIs" dxfId="1526" priority="1551" operator="greaterThan">
      <formula>1</formula>
    </cfRule>
  </conditionalFormatting>
  <conditionalFormatting sqref="Q38">
    <cfRule type="cellIs" dxfId="1525" priority="1550" operator="greaterThan">
      <formula>1</formula>
    </cfRule>
  </conditionalFormatting>
  <conditionalFormatting sqref="Q38">
    <cfRule type="cellIs" dxfId="1524" priority="1549" operator="greaterThan">
      <formula>1</formula>
    </cfRule>
  </conditionalFormatting>
  <conditionalFormatting sqref="P38">
    <cfRule type="cellIs" dxfId="1523" priority="1548" operator="greaterThan">
      <formula>1</formula>
    </cfRule>
  </conditionalFormatting>
  <conditionalFormatting sqref="P38">
    <cfRule type="cellIs" dxfId="1522" priority="1547" operator="greaterThan">
      <formula>1</formula>
    </cfRule>
  </conditionalFormatting>
  <conditionalFormatting sqref="M38">
    <cfRule type="cellIs" dxfId="1521" priority="1541" operator="greaterThan">
      <formula>1</formula>
    </cfRule>
  </conditionalFormatting>
  <conditionalFormatting sqref="L38">
    <cfRule type="cellIs" dxfId="1520" priority="1540" operator="greaterThan">
      <formula>1</formula>
    </cfRule>
  </conditionalFormatting>
  <conditionalFormatting sqref="L38">
    <cfRule type="cellIs" dxfId="1519" priority="1539" operator="greaterThan">
      <formula>1</formula>
    </cfRule>
  </conditionalFormatting>
  <conditionalFormatting sqref="E38:G38 I38:J38 P38:R38">
    <cfRule type="cellIs" dxfId="1518" priority="1538" operator="greaterThan">
      <formula>1</formula>
    </cfRule>
  </conditionalFormatting>
  <conditionalFormatting sqref="E38:G38 I38:J38 P38:R38">
    <cfRule type="cellIs" dxfId="1517" priority="1537" operator="greaterThan">
      <formula>1</formula>
    </cfRule>
  </conditionalFormatting>
  <conditionalFormatting sqref="G38">
    <cfRule type="cellIs" dxfId="1516" priority="1536" operator="greaterThan">
      <formula>1</formula>
    </cfRule>
  </conditionalFormatting>
  <conditionalFormatting sqref="I38">
    <cfRule type="cellIs" dxfId="1515" priority="1535" operator="greaterThan">
      <formula>1</formula>
    </cfRule>
  </conditionalFormatting>
  <conditionalFormatting sqref="J38">
    <cfRule type="cellIs" dxfId="1514" priority="1534" operator="greaterThan">
      <formula>1</formula>
    </cfRule>
  </conditionalFormatting>
  <conditionalFormatting sqref="P38">
    <cfRule type="cellIs" dxfId="1513" priority="1533" operator="greaterThan">
      <formula>1</formula>
    </cfRule>
  </conditionalFormatting>
  <conditionalFormatting sqref="Q38">
    <cfRule type="cellIs" dxfId="1512" priority="1532" operator="greaterThan">
      <formula>1</formula>
    </cfRule>
  </conditionalFormatting>
  <conditionalFormatting sqref="R38">
    <cfRule type="cellIs" dxfId="1511" priority="1531" operator="greaterThan">
      <formula>1</formula>
    </cfRule>
  </conditionalFormatting>
  <conditionalFormatting sqref="H38">
    <cfRule type="cellIs" dxfId="1510" priority="1530" operator="greaterThan">
      <formula>1</formula>
    </cfRule>
  </conditionalFormatting>
  <conditionalFormatting sqref="H38">
    <cfRule type="cellIs" dxfId="1509" priority="1529" operator="greaterThan">
      <formula>1</formula>
    </cfRule>
  </conditionalFormatting>
  <conditionalFormatting sqref="K38">
    <cfRule type="cellIs" dxfId="1508" priority="1528" operator="greaterThan">
      <formula>1</formula>
    </cfRule>
  </conditionalFormatting>
  <conditionalFormatting sqref="K38">
    <cfRule type="cellIs" dxfId="1507" priority="1527" operator="greaterThan">
      <formula>1</formula>
    </cfRule>
  </conditionalFormatting>
  <conditionalFormatting sqref="L38">
    <cfRule type="cellIs" dxfId="1506" priority="1526" operator="greaterThan">
      <formula>1</formula>
    </cfRule>
  </conditionalFormatting>
  <conditionalFormatting sqref="L38">
    <cfRule type="cellIs" dxfId="1505" priority="1525" operator="greaterThan">
      <formula>1</formula>
    </cfRule>
  </conditionalFormatting>
  <conditionalFormatting sqref="M38">
    <cfRule type="cellIs" dxfId="1504" priority="1524" operator="greaterThan">
      <formula>1</formula>
    </cfRule>
  </conditionalFormatting>
  <conditionalFormatting sqref="M38">
    <cfRule type="cellIs" dxfId="1503" priority="1523" operator="greaterThan">
      <formula>1</formula>
    </cfRule>
  </conditionalFormatting>
  <conditionalFormatting sqref="N38">
    <cfRule type="cellIs" dxfId="1502" priority="1522" operator="greaterThan">
      <formula>1</formula>
    </cfRule>
  </conditionalFormatting>
  <conditionalFormatting sqref="N38">
    <cfRule type="cellIs" dxfId="1501" priority="1521" operator="greaterThan">
      <formula>1</formula>
    </cfRule>
  </conditionalFormatting>
  <conditionalFormatting sqref="O38">
    <cfRule type="cellIs" dxfId="1500" priority="1520" operator="greaterThan">
      <formula>1</formula>
    </cfRule>
  </conditionalFormatting>
  <conditionalFormatting sqref="O38">
    <cfRule type="cellIs" dxfId="1499" priority="1519" operator="greaterThan">
      <formula>1</formula>
    </cfRule>
  </conditionalFormatting>
  <conditionalFormatting sqref="R38">
    <cfRule type="cellIs" dxfId="1498" priority="1513" operator="greaterThan">
      <formula>1</formula>
    </cfRule>
  </conditionalFormatting>
  <conditionalFormatting sqref="R38">
    <cfRule type="cellIs" dxfId="1497" priority="1512" operator="greaterThan">
      <formula>1</formula>
    </cfRule>
  </conditionalFormatting>
  <conditionalFormatting sqref="Q38">
    <cfRule type="cellIs" dxfId="1496" priority="1511" operator="greaterThan">
      <formula>1</formula>
    </cfRule>
  </conditionalFormatting>
  <conditionalFormatting sqref="Q38">
    <cfRule type="cellIs" dxfId="1495" priority="1510" operator="greaterThan">
      <formula>1</formula>
    </cfRule>
  </conditionalFormatting>
  <conditionalFormatting sqref="P38">
    <cfRule type="cellIs" dxfId="1494" priority="1509" operator="greaterThan">
      <formula>1</formula>
    </cfRule>
  </conditionalFormatting>
  <conditionalFormatting sqref="P38">
    <cfRule type="cellIs" dxfId="1493" priority="1508" operator="greaterThan">
      <formula>1</formula>
    </cfRule>
  </conditionalFormatting>
  <conditionalFormatting sqref="O38">
    <cfRule type="cellIs" dxfId="1492" priority="1507" operator="greaterThan">
      <formula>1</formula>
    </cfRule>
  </conditionalFormatting>
  <conditionalFormatting sqref="E38:I38">
    <cfRule type="cellIs" dxfId="1491" priority="1518" operator="greaterThan">
      <formula>1</formula>
    </cfRule>
  </conditionalFormatting>
  <conditionalFormatting sqref="E38:I38">
    <cfRule type="cellIs" dxfId="1490" priority="1517" operator="greaterThan">
      <formula>1</formula>
    </cfRule>
  </conditionalFormatting>
  <conditionalFormatting sqref="G38">
    <cfRule type="cellIs" dxfId="1489" priority="1516" operator="greaterThan">
      <formula>1</formula>
    </cfRule>
  </conditionalFormatting>
  <conditionalFormatting sqref="H38">
    <cfRule type="cellIs" dxfId="1488" priority="1515" operator="greaterThan">
      <formula>1</formula>
    </cfRule>
  </conditionalFormatting>
  <conditionalFormatting sqref="I38">
    <cfRule type="cellIs" dxfId="1487" priority="1514" operator="greaterThan">
      <formula>1</formula>
    </cfRule>
  </conditionalFormatting>
  <conditionalFormatting sqref="O38">
    <cfRule type="cellIs" dxfId="1486" priority="1506" operator="greaterThan">
      <formula>1</formula>
    </cfRule>
  </conditionalFormatting>
  <conditionalFormatting sqref="N38">
    <cfRule type="cellIs" dxfId="1485" priority="1505" operator="greaterThan">
      <formula>1</formula>
    </cfRule>
  </conditionalFormatting>
  <conditionalFormatting sqref="N38">
    <cfRule type="cellIs" dxfId="1484" priority="1504" operator="greaterThan">
      <formula>1</formula>
    </cfRule>
  </conditionalFormatting>
  <conditionalFormatting sqref="M38">
    <cfRule type="cellIs" dxfId="1483" priority="1503" operator="greaterThan">
      <formula>1</formula>
    </cfRule>
  </conditionalFormatting>
  <conditionalFormatting sqref="M38">
    <cfRule type="cellIs" dxfId="1482" priority="1502" operator="greaterThan">
      <formula>1</formula>
    </cfRule>
  </conditionalFormatting>
  <conditionalFormatting sqref="L38">
    <cfRule type="cellIs" dxfId="1481" priority="1501" operator="greaterThan">
      <formula>1</formula>
    </cfRule>
  </conditionalFormatting>
  <conditionalFormatting sqref="L38">
    <cfRule type="cellIs" dxfId="1480" priority="1500" operator="greaterThan">
      <formula>1</formula>
    </cfRule>
  </conditionalFormatting>
  <conditionalFormatting sqref="K38">
    <cfRule type="cellIs" dxfId="1479" priority="1499" operator="greaterThan">
      <formula>1</formula>
    </cfRule>
  </conditionalFormatting>
  <conditionalFormatting sqref="K38">
    <cfRule type="cellIs" dxfId="1478" priority="1498" operator="greaterThan">
      <formula>1</formula>
    </cfRule>
  </conditionalFormatting>
  <conditionalFormatting sqref="J38">
    <cfRule type="cellIs" dxfId="1477" priority="1497" operator="greaterThan">
      <formula>1</formula>
    </cfRule>
  </conditionalFormatting>
  <conditionalFormatting sqref="J38">
    <cfRule type="cellIs" dxfId="1476" priority="1496" operator="greaterThan">
      <formula>1</formula>
    </cfRule>
  </conditionalFormatting>
  <conditionalFormatting sqref="O38">
    <cfRule type="cellIs" dxfId="1475" priority="1473" operator="greaterThan">
      <formula>1</formula>
    </cfRule>
  </conditionalFormatting>
  <conditionalFormatting sqref="E38 P38:R38 M38:N38">
    <cfRule type="cellIs" dxfId="1474" priority="1495" operator="greaterThan">
      <formula>1</formula>
    </cfRule>
  </conditionalFormatting>
  <conditionalFormatting sqref="E38 P38:R38 M38:N38">
    <cfRule type="cellIs" dxfId="1473" priority="1494" operator="greaterThan">
      <formula>1</formula>
    </cfRule>
  </conditionalFormatting>
  <conditionalFormatting sqref="M38">
    <cfRule type="cellIs" dxfId="1472" priority="1493" operator="greaterThan">
      <formula>1</formula>
    </cfRule>
  </conditionalFormatting>
  <conditionalFormatting sqref="N38">
    <cfRule type="cellIs" dxfId="1471" priority="1492" operator="greaterThan">
      <formula>1</formula>
    </cfRule>
  </conditionalFormatting>
  <conditionalFormatting sqref="P38">
    <cfRule type="cellIs" dxfId="1470" priority="1491" operator="greaterThan">
      <formula>1</formula>
    </cfRule>
  </conditionalFormatting>
  <conditionalFormatting sqref="Q38">
    <cfRule type="cellIs" dxfId="1469" priority="1490" operator="greaterThan">
      <formula>1</formula>
    </cfRule>
  </conditionalFormatting>
  <conditionalFormatting sqref="R38">
    <cfRule type="cellIs" dxfId="1468" priority="1489" operator="greaterThan">
      <formula>1</formula>
    </cfRule>
  </conditionalFormatting>
  <conditionalFormatting sqref="F38">
    <cfRule type="cellIs" dxfId="1467" priority="1488" operator="greaterThan">
      <formula>1</formula>
    </cfRule>
  </conditionalFormatting>
  <conditionalFormatting sqref="F38">
    <cfRule type="cellIs" dxfId="1466" priority="1487" operator="greaterThan">
      <formula>1</formula>
    </cfRule>
  </conditionalFormatting>
  <conditionalFormatting sqref="G38">
    <cfRule type="cellIs" dxfId="1465" priority="1486" operator="greaterThan">
      <formula>1</formula>
    </cfRule>
  </conditionalFormatting>
  <conditionalFormatting sqref="G38">
    <cfRule type="cellIs" dxfId="1464" priority="1485" operator="greaterThan">
      <formula>1</formula>
    </cfRule>
  </conditionalFormatting>
  <conditionalFormatting sqref="H38">
    <cfRule type="cellIs" dxfId="1463" priority="1484" operator="greaterThan">
      <formula>1</formula>
    </cfRule>
  </conditionalFormatting>
  <conditionalFormatting sqref="H38">
    <cfRule type="cellIs" dxfId="1462" priority="1483" operator="greaterThan">
      <formula>1</formula>
    </cfRule>
  </conditionalFormatting>
  <conditionalFormatting sqref="I38">
    <cfRule type="cellIs" dxfId="1461" priority="1482" operator="greaterThan">
      <formula>1</formula>
    </cfRule>
  </conditionalFormatting>
  <conditionalFormatting sqref="I38">
    <cfRule type="cellIs" dxfId="1460" priority="1481" operator="greaterThan">
      <formula>1</formula>
    </cfRule>
  </conditionalFormatting>
  <conditionalFormatting sqref="J38">
    <cfRule type="cellIs" dxfId="1459" priority="1480" operator="greaterThan">
      <formula>1</formula>
    </cfRule>
  </conditionalFormatting>
  <conditionalFormatting sqref="J38">
    <cfRule type="cellIs" dxfId="1458" priority="1479" operator="greaterThan">
      <formula>1</formula>
    </cfRule>
  </conditionalFormatting>
  <conditionalFormatting sqref="K38">
    <cfRule type="cellIs" dxfId="1457" priority="1478" operator="greaterThan">
      <formula>1</formula>
    </cfRule>
  </conditionalFormatting>
  <conditionalFormatting sqref="K38">
    <cfRule type="cellIs" dxfId="1456" priority="1477" operator="greaterThan">
      <formula>1</formula>
    </cfRule>
  </conditionalFormatting>
  <conditionalFormatting sqref="L38">
    <cfRule type="cellIs" dxfId="1455" priority="1476" operator="greaterThan">
      <formula>1</formula>
    </cfRule>
  </conditionalFormatting>
  <conditionalFormatting sqref="L38">
    <cfRule type="cellIs" dxfId="1454" priority="1475" operator="greaterThan">
      <formula>1</formula>
    </cfRule>
  </conditionalFormatting>
  <conditionalFormatting sqref="O38">
    <cfRule type="cellIs" dxfId="1453" priority="1474" operator="greaterThan">
      <formula>1</formula>
    </cfRule>
  </conditionalFormatting>
  <conditionalFormatting sqref="G38:R38">
    <cfRule type="cellIs" dxfId="1452" priority="1472" operator="greaterThan">
      <formula>1</formula>
    </cfRule>
  </conditionalFormatting>
  <conditionalFormatting sqref="G38:R38">
    <cfRule type="cellIs" dxfId="1451" priority="1471" operator="greaterThan">
      <formula>1</formula>
    </cfRule>
  </conditionalFormatting>
  <conditionalFormatting sqref="G38">
    <cfRule type="cellIs" dxfId="1450" priority="1470" operator="greaterThan">
      <formula>1</formula>
    </cfRule>
  </conditionalFormatting>
  <conditionalFormatting sqref="H38">
    <cfRule type="cellIs" dxfId="1449" priority="1469" operator="greaterThan">
      <formula>1</formula>
    </cfRule>
  </conditionalFormatting>
  <conditionalFormatting sqref="I38">
    <cfRule type="cellIs" dxfId="1448" priority="1468" operator="greaterThan">
      <formula>1</formula>
    </cfRule>
  </conditionalFormatting>
  <conditionalFormatting sqref="J38">
    <cfRule type="cellIs" dxfId="1447" priority="1467" operator="greaterThan">
      <formula>1</formula>
    </cfRule>
  </conditionalFormatting>
  <conditionalFormatting sqref="K38">
    <cfRule type="cellIs" dxfId="1446" priority="1466" operator="greaterThan">
      <formula>1</formula>
    </cfRule>
  </conditionalFormatting>
  <conditionalFormatting sqref="L38">
    <cfRule type="cellIs" dxfId="1445" priority="1465" operator="greaterThan">
      <formula>1</formula>
    </cfRule>
  </conditionalFormatting>
  <conditionalFormatting sqref="M38">
    <cfRule type="cellIs" dxfId="1444" priority="1464" operator="greaterThan">
      <formula>1</formula>
    </cfRule>
  </conditionalFormatting>
  <conditionalFormatting sqref="N38">
    <cfRule type="cellIs" dxfId="1443" priority="1463" operator="greaterThan">
      <formula>1</formula>
    </cfRule>
  </conditionalFormatting>
  <conditionalFormatting sqref="O38">
    <cfRule type="cellIs" dxfId="1442" priority="1462" operator="greaterThan">
      <formula>1</formula>
    </cfRule>
  </conditionalFormatting>
  <conditionalFormatting sqref="P38">
    <cfRule type="cellIs" dxfId="1441" priority="1461" operator="greaterThan">
      <formula>1</formula>
    </cfRule>
  </conditionalFormatting>
  <conditionalFormatting sqref="Q38">
    <cfRule type="cellIs" dxfId="1440" priority="1460" operator="greaterThan">
      <formula>1</formula>
    </cfRule>
  </conditionalFormatting>
  <conditionalFormatting sqref="R38">
    <cfRule type="cellIs" dxfId="1439" priority="1459" operator="greaterThan">
      <formula>1</formula>
    </cfRule>
  </conditionalFormatting>
  <conditionalFormatting sqref="F38">
    <cfRule type="cellIs" dxfId="1438" priority="1458" operator="greaterThan">
      <formula>1</formula>
    </cfRule>
  </conditionalFormatting>
  <conditionalFormatting sqref="F38">
    <cfRule type="cellIs" dxfId="1437" priority="1457" operator="greaterThan">
      <formula>1</formula>
    </cfRule>
  </conditionalFormatting>
  <conditionalFormatting sqref="E38">
    <cfRule type="cellIs" dxfId="1436" priority="1456" operator="greaterThan">
      <formula>1</formula>
    </cfRule>
  </conditionalFormatting>
  <conditionalFormatting sqref="E38">
    <cfRule type="cellIs" dxfId="1435" priority="1455" operator="greaterThan">
      <formula>1</formula>
    </cfRule>
  </conditionalFormatting>
  <conditionalFormatting sqref="E38:Q38">
    <cfRule type="cellIs" dxfId="1434" priority="1454" operator="greaterThan">
      <formula>1</formula>
    </cfRule>
  </conditionalFormatting>
  <conditionalFormatting sqref="R38">
    <cfRule type="cellIs" dxfId="1433" priority="1453" operator="greaterThan">
      <formula>1</formula>
    </cfRule>
  </conditionalFormatting>
  <conditionalFormatting sqref="R38">
    <cfRule type="cellIs" dxfId="1432" priority="1452" operator="greaterThan">
      <formula>1</formula>
    </cfRule>
  </conditionalFormatting>
  <conditionalFormatting sqref="E38:R38">
    <cfRule type="cellIs" dxfId="1431" priority="1451" operator="greaterThan">
      <formula>1</formula>
    </cfRule>
  </conditionalFormatting>
  <conditionalFormatting sqref="E38:R38">
    <cfRule type="cellIs" dxfId="1430" priority="1450" operator="greaterThan">
      <formula>1</formula>
    </cfRule>
  </conditionalFormatting>
  <conditionalFormatting sqref="G38">
    <cfRule type="cellIs" dxfId="1429" priority="1449" operator="greaterThan">
      <formula>1</formula>
    </cfRule>
  </conditionalFormatting>
  <conditionalFormatting sqref="H38">
    <cfRule type="cellIs" dxfId="1428" priority="1448" operator="greaterThan">
      <formula>1</formula>
    </cfRule>
  </conditionalFormatting>
  <conditionalFormatting sqref="I38">
    <cfRule type="cellIs" dxfId="1427" priority="1447" operator="greaterThan">
      <formula>1</formula>
    </cfRule>
  </conditionalFormatting>
  <conditionalFormatting sqref="J38">
    <cfRule type="cellIs" dxfId="1426" priority="1446" operator="greaterThan">
      <formula>1</formula>
    </cfRule>
  </conditionalFormatting>
  <conditionalFormatting sqref="K38">
    <cfRule type="cellIs" dxfId="1425" priority="1445" operator="greaterThan">
      <formula>1</formula>
    </cfRule>
  </conditionalFormatting>
  <conditionalFormatting sqref="L38">
    <cfRule type="cellIs" dxfId="1424" priority="1444" operator="greaterThan">
      <formula>1</formula>
    </cfRule>
  </conditionalFormatting>
  <conditionalFormatting sqref="M38">
    <cfRule type="cellIs" dxfId="1423" priority="1443" operator="greaterThan">
      <formula>1</formula>
    </cfRule>
  </conditionalFormatting>
  <conditionalFormatting sqref="N38">
    <cfRule type="cellIs" dxfId="1422" priority="1442" operator="greaterThan">
      <formula>1</formula>
    </cfRule>
  </conditionalFormatting>
  <conditionalFormatting sqref="O38">
    <cfRule type="cellIs" dxfId="1421" priority="1441" operator="greaterThan">
      <formula>1</formula>
    </cfRule>
  </conditionalFormatting>
  <conditionalFormatting sqref="P38">
    <cfRule type="cellIs" dxfId="1420" priority="1440" operator="greaterThan">
      <formula>1</formula>
    </cfRule>
  </conditionalFormatting>
  <conditionalFormatting sqref="Q38">
    <cfRule type="cellIs" dxfId="1419" priority="1439" operator="greaterThan">
      <formula>1</formula>
    </cfRule>
  </conditionalFormatting>
  <conditionalFormatting sqref="R38">
    <cfRule type="cellIs" dxfId="1418" priority="1438" operator="greaterThan">
      <formula>1</formula>
    </cfRule>
  </conditionalFormatting>
  <conditionalFormatting sqref="E40:L40">
    <cfRule type="cellIs" dxfId="1417" priority="1437" operator="greaterThan">
      <formula>1</formula>
    </cfRule>
  </conditionalFormatting>
  <conditionalFormatting sqref="E40:L40">
    <cfRule type="cellIs" dxfId="1416" priority="1436" operator="greaterThan">
      <formula>1</formula>
    </cfRule>
  </conditionalFormatting>
  <conditionalFormatting sqref="G40">
    <cfRule type="cellIs" dxfId="1415" priority="1435" operator="greaterThan">
      <formula>1</formula>
    </cfRule>
  </conditionalFormatting>
  <conditionalFormatting sqref="H40">
    <cfRule type="cellIs" dxfId="1414" priority="1434" operator="greaterThan">
      <formula>1</formula>
    </cfRule>
  </conditionalFormatting>
  <conditionalFormatting sqref="I40">
    <cfRule type="cellIs" dxfId="1413" priority="1433" operator="greaterThan">
      <formula>1</formula>
    </cfRule>
  </conditionalFormatting>
  <conditionalFormatting sqref="J40">
    <cfRule type="cellIs" dxfId="1412" priority="1432" operator="greaterThan">
      <formula>1</formula>
    </cfRule>
  </conditionalFormatting>
  <conditionalFormatting sqref="K40">
    <cfRule type="cellIs" dxfId="1411" priority="1431" operator="greaterThan">
      <formula>1</formula>
    </cfRule>
  </conditionalFormatting>
  <conditionalFormatting sqref="L40">
    <cfRule type="cellIs" dxfId="1410" priority="1430" operator="greaterThan">
      <formula>1</formula>
    </cfRule>
  </conditionalFormatting>
  <conditionalFormatting sqref="M40">
    <cfRule type="cellIs" dxfId="1409" priority="1429" operator="greaterThan">
      <formula>1</formula>
    </cfRule>
  </conditionalFormatting>
  <conditionalFormatting sqref="M40">
    <cfRule type="cellIs" dxfId="1408" priority="1428" operator="greaterThan">
      <formula>1</formula>
    </cfRule>
  </conditionalFormatting>
  <conditionalFormatting sqref="N40">
    <cfRule type="cellIs" dxfId="1407" priority="1427" operator="greaterThan">
      <formula>1</formula>
    </cfRule>
  </conditionalFormatting>
  <conditionalFormatting sqref="N40">
    <cfRule type="cellIs" dxfId="1406" priority="1426" operator="greaterThan">
      <formula>1</formula>
    </cfRule>
  </conditionalFormatting>
  <conditionalFormatting sqref="O40">
    <cfRule type="cellIs" dxfId="1405" priority="1425" operator="greaterThan">
      <formula>1</formula>
    </cfRule>
  </conditionalFormatting>
  <conditionalFormatting sqref="O40">
    <cfRule type="cellIs" dxfId="1404" priority="1424" operator="greaterThan">
      <formula>1</formula>
    </cfRule>
  </conditionalFormatting>
  <conditionalFormatting sqref="P40">
    <cfRule type="cellIs" dxfId="1403" priority="1423" operator="greaterThan">
      <formula>1</formula>
    </cfRule>
  </conditionalFormatting>
  <conditionalFormatting sqref="P40">
    <cfRule type="cellIs" dxfId="1402" priority="1422" operator="greaterThan">
      <formula>1</formula>
    </cfRule>
  </conditionalFormatting>
  <conditionalFormatting sqref="Q40">
    <cfRule type="cellIs" dxfId="1401" priority="1421" operator="greaterThan">
      <formula>1</formula>
    </cfRule>
  </conditionalFormatting>
  <conditionalFormatting sqref="Q40">
    <cfRule type="cellIs" dxfId="1400" priority="1420" operator="greaterThan">
      <formula>1</formula>
    </cfRule>
  </conditionalFormatting>
  <conditionalFormatting sqref="R40">
    <cfRule type="cellIs" dxfId="1399" priority="1419" operator="greaterThan">
      <formula>1</formula>
    </cfRule>
  </conditionalFormatting>
  <conditionalFormatting sqref="R40">
    <cfRule type="cellIs" dxfId="1398" priority="1418" operator="greaterThan">
      <formula>1</formula>
    </cfRule>
  </conditionalFormatting>
  <conditionalFormatting sqref="O40">
    <cfRule type="cellIs" dxfId="1397" priority="1404" operator="greaterThan">
      <formula>1</formula>
    </cfRule>
  </conditionalFormatting>
  <conditionalFormatting sqref="O40">
    <cfRule type="cellIs" dxfId="1396" priority="1403" operator="greaterThan">
      <formula>1</formula>
    </cfRule>
  </conditionalFormatting>
  <conditionalFormatting sqref="N40">
    <cfRule type="cellIs" dxfId="1395" priority="1402" operator="greaterThan">
      <formula>1</formula>
    </cfRule>
  </conditionalFormatting>
  <conditionalFormatting sqref="N40">
    <cfRule type="cellIs" dxfId="1394" priority="1401" operator="greaterThan">
      <formula>1</formula>
    </cfRule>
  </conditionalFormatting>
  <conditionalFormatting sqref="M40">
    <cfRule type="cellIs" dxfId="1393" priority="1400" operator="greaterThan">
      <formula>1</formula>
    </cfRule>
  </conditionalFormatting>
  <conditionalFormatting sqref="E40:K40">
    <cfRule type="cellIs" dxfId="1392" priority="1417" operator="greaterThan">
      <formula>1</formula>
    </cfRule>
  </conditionalFormatting>
  <conditionalFormatting sqref="E40:K40">
    <cfRule type="cellIs" dxfId="1391" priority="1416" operator="greaterThan">
      <formula>1</formula>
    </cfRule>
  </conditionalFormatting>
  <conditionalFormatting sqref="G40">
    <cfRule type="cellIs" dxfId="1390" priority="1415" operator="greaterThan">
      <formula>1</formula>
    </cfRule>
  </conditionalFormatting>
  <conditionalFormatting sqref="H40">
    <cfRule type="cellIs" dxfId="1389" priority="1414" operator="greaterThan">
      <formula>1</formula>
    </cfRule>
  </conditionalFormatting>
  <conditionalFormatting sqref="I40">
    <cfRule type="cellIs" dxfId="1388" priority="1413" operator="greaterThan">
      <formula>1</formula>
    </cfRule>
  </conditionalFormatting>
  <conditionalFormatting sqref="J40">
    <cfRule type="cellIs" dxfId="1387" priority="1412" operator="greaterThan">
      <formula>1</formula>
    </cfRule>
  </conditionalFormatting>
  <conditionalFormatting sqref="K40">
    <cfRule type="cellIs" dxfId="1386" priority="1411" operator="greaterThan">
      <formula>1</formula>
    </cfRule>
  </conditionalFormatting>
  <conditionalFormatting sqref="R40">
    <cfRule type="cellIs" dxfId="1385" priority="1410" operator="greaterThan">
      <formula>1</formula>
    </cfRule>
  </conditionalFormatting>
  <conditionalFormatting sqref="R40">
    <cfRule type="cellIs" dxfId="1384" priority="1409" operator="greaterThan">
      <formula>1</formula>
    </cfRule>
  </conditionalFormatting>
  <conditionalFormatting sqref="Q40">
    <cfRule type="cellIs" dxfId="1383" priority="1408" operator="greaterThan">
      <formula>1</formula>
    </cfRule>
  </conditionalFormatting>
  <conditionalFormatting sqref="Q40">
    <cfRule type="cellIs" dxfId="1382" priority="1407" operator="greaterThan">
      <formula>1</formula>
    </cfRule>
  </conditionalFormatting>
  <conditionalFormatting sqref="P40">
    <cfRule type="cellIs" dxfId="1381" priority="1406" operator="greaterThan">
      <formula>1</formula>
    </cfRule>
  </conditionalFormatting>
  <conditionalFormatting sqref="P40">
    <cfRule type="cellIs" dxfId="1380" priority="1405" operator="greaterThan">
      <formula>1</formula>
    </cfRule>
  </conditionalFormatting>
  <conditionalFormatting sqref="M40">
    <cfRule type="cellIs" dxfId="1379" priority="1399" operator="greaterThan">
      <formula>1</formula>
    </cfRule>
  </conditionalFormatting>
  <conditionalFormatting sqref="L40">
    <cfRule type="cellIs" dxfId="1378" priority="1398" operator="greaterThan">
      <formula>1</formula>
    </cfRule>
  </conditionalFormatting>
  <conditionalFormatting sqref="L40">
    <cfRule type="cellIs" dxfId="1377" priority="1397" operator="greaterThan">
      <formula>1</formula>
    </cfRule>
  </conditionalFormatting>
  <conditionalFormatting sqref="E40:G40 I40:J40 P40:R40">
    <cfRule type="cellIs" dxfId="1376" priority="1396" operator="greaterThan">
      <formula>1</formula>
    </cfRule>
  </conditionalFormatting>
  <conditionalFormatting sqref="E40:G40 I40:J40 P40:R40">
    <cfRule type="cellIs" dxfId="1375" priority="1395" operator="greaterThan">
      <formula>1</formula>
    </cfRule>
  </conditionalFormatting>
  <conditionalFormatting sqref="G40">
    <cfRule type="cellIs" dxfId="1374" priority="1394" operator="greaterThan">
      <formula>1</formula>
    </cfRule>
  </conditionalFormatting>
  <conditionalFormatting sqref="I40">
    <cfRule type="cellIs" dxfId="1373" priority="1393" operator="greaterThan">
      <formula>1</formula>
    </cfRule>
  </conditionalFormatting>
  <conditionalFormatting sqref="J40">
    <cfRule type="cellIs" dxfId="1372" priority="1392" operator="greaterThan">
      <formula>1</formula>
    </cfRule>
  </conditionalFormatting>
  <conditionalFormatting sqref="P40">
    <cfRule type="cellIs" dxfId="1371" priority="1391" operator="greaterThan">
      <formula>1</formula>
    </cfRule>
  </conditionalFormatting>
  <conditionalFormatting sqref="Q40">
    <cfRule type="cellIs" dxfId="1370" priority="1390" operator="greaterThan">
      <formula>1</formula>
    </cfRule>
  </conditionalFormatting>
  <conditionalFormatting sqref="R40">
    <cfRule type="cellIs" dxfId="1369" priority="1389" operator="greaterThan">
      <formula>1</formula>
    </cfRule>
  </conditionalFormatting>
  <conditionalFormatting sqref="H40">
    <cfRule type="cellIs" dxfId="1368" priority="1388" operator="greaterThan">
      <formula>1</formula>
    </cfRule>
  </conditionalFormatting>
  <conditionalFormatting sqref="H40">
    <cfRule type="cellIs" dxfId="1367" priority="1387" operator="greaterThan">
      <formula>1</formula>
    </cfRule>
  </conditionalFormatting>
  <conditionalFormatting sqref="K40">
    <cfRule type="cellIs" dxfId="1366" priority="1386" operator="greaterThan">
      <formula>1</formula>
    </cfRule>
  </conditionalFormatting>
  <conditionalFormatting sqref="K40">
    <cfRule type="cellIs" dxfId="1365" priority="1385" operator="greaterThan">
      <formula>1</formula>
    </cfRule>
  </conditionalFormatting>
  <conditionalFormatting sqref="L40">
    <cfRule type="cellIs" dxfId="1364" priority="1384" operator="greaterThan">
      <formula>1</formula>
    </cfRule>
  </conditionalFormatting>
  <conditionalFormatting sqref="L40">
    <cfRule type="cellIs" dxfId="1363" priority="1383" operator="greaterThan">
      <formula>1</formula>
    </cfRule>
  </conditionalFormatting>
  <conditionalFormatting sqref="M40">
    <cfRule type="cellIs" dxfId="1362" priority="1382" operator="greaterThan">
      <formula>1</formula>
    </cfRule>
  </conditionalFormatting>
  <conditionalFormatting sqref="M40">
    <cfRule type="cellIs" dxfId="1361" priority="1381" operator="greaterThan">
      <formula>1</formula>
    </cfRule>
  </conditionalFormatting>
  <conditionalFormatting sqref="N40">
    <cfRule type="cellIs" dxfId="1360" priority="1380" operator="greaterThan">
      <formula>1</formula>
    </cfRule>
  </conditionalFormatting>
  <conditionalFormatting sqref="N40">
    <cfRule type="cellIs" dxfId="1359" priority="1379" operator="greaterThan">
      <formula>1</formula>
    </cfRule>
  </conditionalFormatting>
  <conditionalFormatting sqref="O40">
    <cfRule type="cellIs" dxfId="1358" priority="1378" operator="greaterThan">
      <formula>1</formula>
    </cfRule>
  </conditionalFormatting>
  <conditionalFormatting sqref="O40">
    <cfRule type="cellIs" dxfId="1357" priority="1377" operator="greaterThan">
      <formula>1</formula>
    </cfRule>
  </conditionalFormatting>
  <conditionalFormatting sqref="R40">
    <cfRule type="cellIs" dxfId="1356" priority="1371" operator="greaterThan">
      <formula>1</formula>
    </cfRule>
  </conditionalFormatting>
  <conditionalFormatting sqref="R40">
    <cfRule type="cellIs" dxfId="1355" priority="1370" operator="greaterThan">
      <formula>1</formula>
    </cfRule>
  </conditionalFormatting>
  <conditionalFormatting sqref="Q40">
    <cfRule type="cellIs" dxfId="1354" priority="1369" operator="greaterThan">
      <formula>1</formula>
    </cfRule>
  </conditionalFormatting>
  <conditionalFormatting sqref="Q40">
    <cfRule type="cellIs" dxfId="1353" priority="1368" operator="greaterThan">
      <formula>1</formula>
    </cfRule>
  </conditionalFormatting>
  <conditionalFormatting sqref="P40">
    <cfRule type="cellIs" dxfId="1352" priority="1367" operator="greaterThan">
      <formula>1</formula>
    </cfRule>
  </conditionalFormatting>
  <conditionalFormatting sqref="P40">
    <cfRule type="cellIs" dxfId="1351" priority="1366" operator="greaterThan">
      <formula>1</formula>
    </cfRule>
  </conditionalFormatting>
  <conditionalFormatting sqref="O40">
    <cfRule type="cellIs" dxfId="1350" priority="1365" operator="greaterThan">
      <formula>1</formula>
    </cfRule>
  </conditionalFormatting>
  <conditionalFormatting sqref="E40:I40">
    <cfRule type="cellIs" dxfId="1349" priority="1376" operator="greaterThan">
      <formula>1</formula>
    </cfRule>
  </conditionalFormatting>
  <conditionalFormatting sqref="E40:I40">
    <cfRule type="cellIs" dxfId="1348" priority="1375" operator="greaterThan">
      <formula>1</formula>
    </cfRule>
  </conditionalFormatting>
  <conditionalFormatting sqref="G40">
    <cfRule type="cellIs" dxfId="1347" priority="1374" operator="greaterThan">
      <formula>1</formula>
    </cfRule>
  </conditionalFormatting>
  <conditionalFormatting sqref="H40">
    <cfRule type="cellIs" dxfId="1346" priority="1373" operator="greaterThan">
      <formula>1</formula>
    </cfRule>
  </conditionalFormatting>
  <conditionalFormatting sqref="I40">
    <cfRule type="cellIs" dxfId="1345" priority="1372" operator="greaterThan">
      <formula>1</formula>
    </cfRule>
  </conditionalFormatting>
  <conditionalFormatting sqref="O40">
    <cfRule type="cellIs" dxfId="1344" priority="1364" operator="greaterThan">
      <formula>1</formula>
    </cfRule>
  </conditionalFormatting>
  <conditionalFormatting sqref="N40">
    <cfRule type="cellIs" dxfId="1343" priority="1363" operator="greaterThan">
      <formula>1</formula>
    </cfRule>
  </conditionalFormatting>
  <conditionalFormatting sqref="N40">
    <cfRule type="cellIs" dxfId="1342" priority="1362" operator="greaterThan">
      <formula>1</formula>
    </cfRule>
  </conditionalFormatting>
  <conditionalFormatting sqref="M40">
    <cfRule type="cellIs" dxfId="1341" priority="1361" operator="greaterThan">
      <formula>1</formula>
    </cfRule>
  </conditionalFormatting>
  <conditionalFormatting sqref="M40">
    <cfRule type="cellIs" dxfId="1340" priority="1360" operator="greaterThan">
      <formula>1</formula>
    </cfRule>
  </conditionalFormatting>
  <conditionalFormatting sqref="L40">
    <cfRule type="cellIs" dxfId="1339" priority="1359" operator="greaterThan">
      <formula>1</formula>
    </cfRule>
  </conditionalFormatting>
  <conditionalFormatting sqref="L40">
    <cfRule type="cellIs" dxfId="1338" priority="1358" operator="greaterThan">
      <formula>1</formula>
    </cfRule>
  </conditionalFormatting>
  <conditionalFormatting sqref="K40">
    <cfRule type="cellIs" dxfId="1337" priority="1357" operator="greaterThan">
      <formula>1</formula>
    </cfRule>
  </conditionalFormatting>
  <conditionalFormatting sqref="K40">
    <cfRule type="cellIs" dxfId="1336" priority="1356" operator="greaterThan">
      <formula>1</formula>
    </cfRule>
  </conditionalFormatting>
  <conditionalFormatting sqref="J40">
    <cfRule type="cellIs" dxfId="1335" priority="1355" operator="greaterThan">
      <formula>1</formula>
    </cfRule>
  </conditionalFormatting>
  <conditionalFormatting sqref="J40">
    <cfRule type="cellIs" dxfId="1334" priority="1354" operator="greaterThan">
      <formula>1</formula>
    </cfRule>
  </conditionalFormatting>
  <conditionalFormatting sqref="O40">
    <cfRule type="cellIs" dxfId="1333" priority="1331" operator="greaterThan">
      <formula>1</formula>
    </cfRule>
  </conditionalFormatting>
  <conditionalFormatting sqref="E40 P40:R40 M40:N40">
    <cfRule type="cellIs" dxfId="1332" priority="1353" operator="greaterThan">
      <formula>1</formula>
    </cfRule>
  </conditionalFormatting>
  <conditionalFormatting sqref="E40 P40:R40 M40:N40">
    <cfRule type="cellIs" dxfId="1331" priority="1352" operator="greaterThan">
      <formula>1</formula>
    </cfRule>
  </conditionalFormatting>
  <conditionalFormatting sqref="M40">
    <cfRule type="cellIs" dxfId="1330" priority="1351" operator="greaterThan">
      <formula>1</formula>
    </cfRule>
  </conditionalFormatting>
  <conditionalFormatting sqref="N40">
    <cfRule type="cellIs" dxfId="1329" priority="1350" operator="greaterThan">
      <formula>1</formula>
    </cfRule>
  </conditionalFormatting>
  <conditionalFormatting sqref="P40">
    <cfRule type="cellIs" dxfId="1328" priority="1349" operator="greaterThan">
      <formula>1</formula>
    </cfRule>
  </conditionalFormatting>
  <conditionalFormatting sqref="Q40">
    <cfRule type="cellIs" dxfId="1327" priority="1348" operator="greaterThan">
      <formula>1</formula>
    </cfRule>
  </conditionalFormatting>
  <conditionalFormatting sqref="R40">
    <cfRule type="cellIs" dxfId="1326" priority="1347" operator="greaterThan">
      <formula>1</formula>
    </cfRule>
  </conditionalFormatting>
  <conditionalFormatting sqref="F40">
    <cfRule type="cellIs" dxfId="1325" priority="1346" operator="greaterThan">
      <formula>1</formula>
    </cfRule>
  </conditionalFormatting>
  <conditionalFormatting sqref="F40">
    <cfRule type="cellIs" dxfId="1324" priority="1345" operator="greaterThan">
      <formula>1</formula>
    </cfRule>
  </conditionalFormatting>
  <conditionalFormatting sqref="G40">
    <cfRule type="cellIs" dxfId="1323" priority="1344" operator="greaterThan">
      <formula>1</formula>
    </cfRule>
  </conditionalFormatting>
  <conditionalFormatting sqref="G40">
    <cfRule type="cellIs" dxfId="1322" priority="1343" operator="greaterThan">
      <formula>1</formula>
    </cfRule>
  </conditionalFormatting>
  <conditionalFormatting sqref="H40">
    <cfRule type="cellIs" dxfId="1321" priority="1342" operator="greaterThan">
      <formula>1</formula>
    </cfRule>
  </conditionalFormatting>
  <conditionalFormatting sqref="H40">
    <cfRule type="cellIs" dxfId="1320" priority="1341" operator="greaterThan">
      <formula>1</formula>
    </cfRule>
  </conditionalFormatting>
  <conditionalFormatting sqref="I40">
    <cfRule type="cellIs" dxfId="1319" priority="1340" operator="greaterThan">
      <formula>1</formula>
    </cfRule>
  </conditionalFormatting>
  <conditionalFormatting sqref="I40">
    <cfRule type="cellIs" dxfId="1318" priority="1339" operator="greaterThan">
      <formula>1</formula>
    </cfRule>
  </conditionalFormatting>
  <conditionalFormatting sqref="J40">
    <cfRule type="cellIs" dxfId="1317" priority="1338" operator="greaterThan">
      <formula>1</formula>
    </cfRule>
  </conditionalFormatting>
  <conditionalFormatting sqref="J40">
    <cfRule type="cellIs" dxfId="1316" priority="1337" operator="greaterThan">
      <formula>1</formula>
    </cfRule>
  </conditionalFormatting>
  <conditionalFormatting sqref="K40">
    <cfRule type="cellIs" dxfId="1315" priority="1336" operator="greaterThan">
      <formula>1</formula>
    </cfRule>
  </conditionalFormatting>
  <conditionalFormatting sqref="K40">
    <cfRule type="cellIs" dxfId="1314" priority="1335" operator="greaterThan">
      <formula>1</formula>
    </cfRule>
  </conditionalFormatting>
  <conditionalFormatting sqref="L40">
    <cfRule type="cellIs" dxfId="1313" priority="1334" operator="greaterThan">
      <formula>1</formula>
    </cfRule>
  </conditionalFormatting>
  <conditionalFormatting sqref="L40">
    <cfRule type="cellIs" dxfId="1312" priority="1333" operator="greaterThan">
      <formula>1</formula>
    </cfRule>
  </conditionalFormatting>
  <conditionalFormatting sqref="O40">
    <cfRule type="cellIs" dxfId="1311" priority="1332" operator="greaterThan">
      <formula>1</formula>
    </cfRule>
  </conditionalFormatting>
  <conditionalFormatting sqref="G40:R40">
    <cfRule type="cellIs" dxfId="1310" priority="1330" operator="greaterThan">
      <formula>1</formula>
    </cfRule>
  </conditionalFormatting>
  <conditionalFormatting sqref="G40:R40">
    <cfRule type="cellIs" dxfId="1309" priority="1329" operator="greaterThan">
      <formula>1</formula>
    </cfRule>
  </conditionalFormatting>
  <conditionalFormatting sqref="G40">
    <cfRule type="cellIs" dxfId="1308" priority="1328" operator="greaterThan">
      <formula>1</formula>
    </cfRule>
  </conditionalFormatting>
  <conditionalFormatting sqref="H40">
    <cfRule type="cellIs" dxfId="1307" priority="1327" operator="greaterThan">
      <formula>1</formula>
    </cfRule>
  </conditionalFormatting>
  <conditionalFormatting sqref="I40">
    <cfRule type="cellIs" dxfId="1306" priority="1326" operator="greaterThan">
      <formula>1</formula>
    </cfRule>
  </conditionalFormatting>
  <conditionalFormatting sqref="J40">
    <cfRule type="cellIs" dxfId="1305" priority="1325" operator="greaterThan">
      <formula>1</formula>
    </cfRule>
  </conditionalFormatting>
  <conditionalFormatting sqref="K40">
    <cfRule type="cellIs" dxfId="1304" priority="1324" operator="greaterThan">
      <formula>1</formula>
    </cfRule>
  </conditionalFormatting>
  <conditionalFormatting sqref="L40">
    <cfRule type="cellIs" dxfId="1303" priority="1323" operator="greaterThan">
      <formula>1</formula>
    </cfRule>
  </conditionalFormatting>
  <conditionalFormatting sqref="M40">
    <cfRule type="cellIs" dxfId="1302" priority="1322" operator="greaterThan">
      <formula>1</formula>
    </cfRule>
  </conditionalFormatting>
  <conditionalFormatting sqref="N40">
    <cfRule type="cellIs" dxfId="1301" priority="1321" operator="greaterThan">
      <formula>1</formula>
    </cfRule>
  </conditionalFormatting>
  <conditionalFormatting sqref="O40">
    <cfRule type="cellIs" dxfId="1300" priority="1320" operator="greaterThan">
      <formula>1</formula>
    </cfRule>
  </conditionalFormatting>
  <conditionalFormatting sqref="P40">
    <cfRule type="cellIs" dxfId="1299" priority="1319" operator="greaterThan">
      <formula>1</formula>
    </cfRule>
  </conditionalFormatting>
  <conditionalFormatting sqref="Q40">
    <cfRule type="cellIs" dxfId="1298" priority="1318" operator="greaterThan">
      <formula>1</formula>
    </cfRule>
  </conditionalFormatting>
  <conditionalFormatting sqref="R40">
    <cfRule type="cellIs" dxfId="1297" priority="1317" operator="greaterThan">
      <formula>1</formula>
    </cfRule>
  </conditionalFormatting>
  <conditionalFormatting sqref="F40">
    <cfRule type="cellIs" dxfId="1296" priority="1316" operator="greaterThan">
      <formula>1</formula>
    </cfRule>
  </conditionalFormatting>
  <conditionalFormatting sqref="F40">
    <cfRule type="cellIs" dxfId="1295" priority="1315" operator="greaterThan">
      <formula>1</formula>
    </cfRule>
  </conditionalFormatting>
  <conditionalFormatting sqref="E40">
    <cfRule type="cellIs" dxfId="1294" priority="1314" operator="greaterThan">
      <formula>1</formula>
    </cfRule>
  </conditionalFormatting>
  <conditionalFormatting sqref="E40">
    <cfRule type="cellIs" dxfId="1293" priority="1313" operator="greaterThan">
      <formula>1</formula>
    </cfRule>
  </conditionalFormatting>
  <conditionalFormatting sqref="E40:Q40">
    <cfRule type="cellIs" dxfId="1292" priority="1312" operator="greaterThan">
      <formula>1</formula>
    </cfRule>
  </conditionalFormatting>
  <conditionalFormatting sqref="R40">
    <cfRule type="cellIs" dxfId="1291" priority="1311" operator="greaterThan">
      <formula>1</formula>
    </cfRule>
  </conditionalFormatting>
  <conditionalFormatting sqref="R40">
    <cfRule type="cellIs" dxfId="1290" priority="1310" operator="greaterThan">
      <formula>1</formula>
    </cfRule>
  </conditionalFormatting>
  <conditionalFormatting sqref="E40:R40">
    <cfRule type="cellIs" dxfId="1289" priority="1309" operator="greaterThan">
      <formula>1</formula>
    </cfRule>
  </conditionalFormatting>
  <conditionalFormatting sqref="E40:R40">
    <cfRule type="cellIs" dxfId="1288" priority="1308" operator="greaterThan">
      <formula>1</formula>
    </cfRule>
  </conditionalFormatting>
  <conditionalFormatting sqref="G40">
    <cfRule type="cellIs" dxfId="1287" priority="1307" operator="greaterThan">
      <formula>1</formula>
    </cfRule>
  </conditionalFormatting>
  <conditionalFormatting sqref="H40">
    <cfRule type="cellIs" dxfId="1286" priority="1306" operator="greaterThan">
      <formula>1</formula>
    </cfRule>
  </conditionalFormatting>
  <conditionalFormatting sqref="I40">
    <cfRule type="cellIs" dxfId="1285" priority="1305" operator="greaterThan">
      <formula>1</formula>
    </cfRule>
  </conditionalFormatting>
  <conditionalFormatting sqref="J40">
    <cfRule type="cellIs" dxfId="1284" priority="1304" operator="greaterThan">
      <formula>1</formula>
    </cfRule>
  </conditionalFormatting>
  <conditionalFormatting sqref="K40">
    <cfRule type="cellIs" dxfId="1283" priority="1303" operator="greaterThan">
      <formula>1</formula>
    </cfRule>
  </conditionalFormatting>
  <conditionalFormatting sqref="L40">
    <cfRule type="cellIs" dxfId="1282" priority="1302" operator="greaterThan">
      <formula>1</formula>
    </cfRule>
  </conditionalFormatting>
  <conditionalFormatting sqref="M40">
    <cfRule type="cellIs" dxfId="1281" priority="1301" operator="greaterThan">
      <formula>1</formula>
    </cfRule>
  </conditionalFormatting>
  <conditionalFormatting sqref="N40">
    <cfRule type="cellIs" dxfId="1280" priority="1300" operator="greaterThan">
      <formula>1</formula>
    </cfRule>
  </conditionalFormatting>
  <conditionalFormatting sqref="O40">
    <cfRule type="cellIs" dxfId="1279" priority="1299" operator="greaterThan">
      <formula>1</formula>
    </cfRule>
  </conditionalFormatting>
  <conditionalFormatting sqref="P40">
    <cfRule type="cellIs" dxfId="1278" priority="1298" operator="greaterThan">
      <formula>1</formula>
    </cfRule>
  </conditionalFormatting>
  <conditionalFormatting sqref="Q40">
    <cfRule type="cellIs" dxfId="1277" priority="1297" operator="greaterThan">
      <formula>1</formula>
    </cfRule>
  </conditionalFormatting>
  <conditionalFormatting sqref="R40">
    <cfRule type="cellIs" dxfId="1276" priority="1296" operator="greaterThan">
      <formula>1</formula>
    </cfRule>
  </conditionalFormatting>
  <conditionalFormatting sqref="L43">
    <cfRule type="cellIs" dxfId="1275" priority="1280" operator="greaterThan">
      <formula>1</formula>
    </cfRule>
  </conditionalFormatting>
  <conditionalFormatting sqref="L43">
    <cfRule type="cellIs" dxfId="1274" priority="1279" operator="greaterThan">
      <formula>1</formula>
    </cfRule>
  </conditionalFormatting>
  <conditionalFormatting sqref="E43:K43 R43 N43:P43">
    <cfRule type="cellIs" dxfId="1273" priority="1295" operator="greaterThan">
      <formula>1</formula>
    </cfRule>
  </conditionalFormatting>
  <conditionalFormatting sqref="E43:K43 R43 N43:P43">
    <cfRule type="cellIs" dxfId="1272" priority="1294" operator="greaterThan">
      <formula>1</formula>
    </cfRule>
  </conditionalFormatting>
  <conditionalFormatting sqref="G43">
    <cfRule type="cellIs" dxfId="1271" priority="1293" operator="greaterThan">
      <formula>1</formula>
    </cfRule>
  </conditionalFormatting>
  <conditionalFormatting sqref="H43">
    <cfRule type="cellIs" dxfId="1270" priority="1292" operator="greaterThan">
      <formula>1</formula>
    </cfRule>
  </conditionalFormatting>
  <conditionalFormatting sqref="I43">
    <cfRule type="cellIs" dxfId="1269" priority="1291" operator="greaterThan">
      <formula>1</formula>
    </cfRule>
  </conditionalFormatting>
  <conditionalFormatting sqref="J43">
    <cfRule type="cellIs" dxfId="1268" priority="1290" operator="greaterThan">
      <formula>1</formula>
    </cfRule>
  </conditionalFormatting>
  <conditionalFormatting sqref="K43">
    <cfRule type="cellIs" dxfId="1267" priority="1289" operator="greaterThan">
      <formula>1</formula>
    </cfRule>
  </conditionalFormatting>
  <conditionalFormatting sqref="N43">
    <cfRule type="cellIs" dxfId="1266" priority="1288" operator="greaterThan">
      <formula>1</formula>
    </cfRule>
  </conditionalFormatting>
  <conditionalFormatting sqref="O43">
    <cfRule type="cellIs" dxfId="1265" priority="1287" operator="greaterThan">
      <formula>1</formula>
    </cfRule>
  </conditionalFormatting>
  <conditionalFormatting sqref="P43">
    <cfRule type="cellIs" dxfId="1264" priority="1286" operator="greaterThan">
      <formula>1</formula>
    </cfRule>
  </conditionalFormatting>
  <conditionalFormatting sqref="R43">
    <cfRule type="cellIs" dxfId="1263" priority="1285" operator="greaterThan">
      <formula>1</formula>
    </cfRule>
  </conditionalFormatting>
  <conditionalFormatting sqref="Q43">
    <cfRule type="cellIs" dxfId="1262" priority="1284" operator="greaterThan">
      <formula>1</formula>
    </cfRule>
  </conditionalFormatting>
  <conditionalFormatting sqref="Q43">
    <cfRule type="cellIs" dxfId="1261" priority="1283" operator="greaterThan">
      <formula>1</formula>
    </cfRule>
  </conditionalFormatting>
  <conditionalFormatting sqref="M43">
    <cfRule type="cellIs" dxfId="1260" priority="1282" operator="greaterThan">
      <formula>1</formula>
    </cfRule>
  </conditionalFormatting>
  <conditionalFormatting sqref="M43">
    <cfRule type="cellIs" dxfId="1259" priority="1281" operator="greaterThan">
      <formula>1</formula>
    </cfRule>
  </conditionalFormatting>
  <conditionalFormatting sqref="E43:L43">
    <cfRule type="cellIs" dxfId="1258" priority="1278" operator="greaterThan">
      <formula>1</formula>
    </cfRule>
  </conditionalFormatting>
  <conditionalFormatting sqref="E43:L43">
    <cfRule type="cellIs" dxfId="1257" priority="1277" operator="greaterThan">
      <formula>1</formula>
    </cfRule>
  </conditionalFormatting>
  <conditionalFormatting sqref="G43">
    <cfRule type="cellIs" dxfId="1256" priority="1276" operator="greaterThan">
      <formula>1</formula>
    </cfRule>
  </conditionalFormatting>
  <conditionalFormatting sqref="H43">
    <cfRule type="cellIs" dxfId="1255" priority="1275" operator="greaterThan">
      <formula>1</formula>
    </cfRule>
  </conditionalFormatting>
  <conditionalFormatting sqref="I43">
    <cfRule type="cellIs" dxfId="1254" priority="1274" operator="greaterThan">
      <formula>1</formula>
    </cfRule>
  </conditionalFormatting>
  <conditionalFormatting sqref="J43">
    <cfRule type="cellIs" dxfId="1253" priority="1273" operator="greaterThan">
      <formula>1</formula>
    </cfRule>
  </conditionalFormatting>
  <conditionalFormatting sqref="K43">
    <cfRule type="cellIs" dxfId="1252" priority="1272" operator="greaterThan">
      <formula>1</formula>
    </cfRule>
  </conditionalFormatting>
  <conditionalFormatting sqref="L43">
    <cfRule type="cellIs" dxfId="1251" priority="1271" operator="greaterThan">
      <formula>1</formula>
    </cfRule>
  </conditionalFormatting>
  <conditionalFormatting sqref="M43">
    <cfRule type="cellIs" dxfId="1250" priority="1270" operator="greaterThan">
      <formula>1</formula>
    </cfRule>
  </conditionalFormatting>
  <conditionalFormatting sqref="M43">
    <cfRule type="cellIs" dxfId="1249" priority="1269" operator="greaterThan">
      <formula>1</formula>
    </cfRule>
  </conditionalFormatting>
  <conditionalFormatting sqref="N43">
    <cfRule type="cellIs" dxfId="1248" priority="1268" operator="greaterThan">
      <formula>1</formula>
    </cfRule>
  </conditionalFormatting>
  <conditionalFormatting sqref="N43">
    <cfRule type="cellIs" dxfId="1247" priority="1267" operator="greaterThan">
      <formula>1</formula>
    </cfRule>
  </conditionalFormatting>
  <conditionalFormatting sqref="O43">
    <cfRule type="cellIs" dxfId="1246" priority="1266" operator="greaterThan">
      <formula>1</formula>
    </cfRule>
  </conditionalFormatting>
  <conditionalFormatting sqref="O43">
    <cfRule type="cellIs" dxfId="1245" priority="1265" operator="greaterThan">
      <formula>1</formula>
    </cfRule>
  </conditionalFormatting>
  <conditionalFormatting sqref="P43">
    <cfRule type="cellIs" dxfId="1244" priority="1264" operator="greaterThan">
      <formula>1</formula>
    </cfRule>
  </conditionalFormatting>
  <conditionalFormatting sqref="P43">
    <cfRule type="cellIs" dxfId="1243" priority="1263" operator="greaterThan">
      <formula>1</formula>
    </cfRule>
  </conditionalFormatting>
  <conditionalFormatting sqref="Q43">
    <cfRule type="cellIs" dxfId="1242" priority="1262" operator="greaterThan">
      <formula>1</formula>
    </cfRule>
  </conditionalFormatting>
  <conditionalFormatting sqref="Q43">
    <cfRule type="cellIs" dxfId="1241" priority="1261" operator="greaterThan">
      <formula>1</formula>
    </cfRule>
  </conditionalFormatting>
  <conditionalFormatting sqref="R43">
    <cfRule type="cellIs" dxfId="1240" priority="1260" operator="greaterThan">
      <formula>1</formula>
    </cfRule>
  </conditionalFormatting>
  <conditionalFormatting sqref="R43">
    <cfRule type="cellIs" dxfId="1239" priority="1259" operator="greaterThan">
      <formula>1</formula>
    </cfRule>
  </conditionalFormatting>
  <conditionalFormatting sqref="O43">
    <cfRule type="cellIs" dxfId="1238" priority="1245" operator="greaterThan">
      <formula>1</formula>
    </cfRule>
  </conditionalFormatting>
  <conditionalFormatting sqref="O43">
    <cfRule type="cellIs" dxfId="1237" priority="1244" operator="greaterThan">
      <formula>1</formula>
    </cfRule>
  </conditionalFormatting>
  <conditionalFormatting sqref="N43">
    <cfRule type="cellIs" dxfId="1236" priority="1243" operator="greaterThan">
      <formula>1</formula>
    </cfRule>
  </conditionalFormatting>
  <conditionalFormatting sqref="N43">
    <cfRule type="cellIs" dxfId="1235" priority="1242" operator="greaterThan">
      <formula>1</formula>
    </cfRule>
  </conditionalFormatting>
  <conditionalFormatting sqref="M43">
    <cfRule type="cellIs" dxfId="1234" priority="1241" operator="greaterThan">
      <formula>1</formula>
    </cfRule>
  </conditionalFormatting>
  <conditionalFormatting sqref="E43:K43">
    <cfRule type="cellIs" dxfId="1233" priority="1258" operator="greaterThan">
      <formula>1</formula>
    </cfRule>
  </conditionalFormatting>
  <conditionalFormatting sqref="E43:K43">
    <cfRule type="cellIs" dxfId="1232" priority="1257" operator="greaterThan">
      <formula>1</formula>
    </cfRule>
  </conditionalFormatting>
  <conditionalFormatting sqref="G43">
    <cfRule type="cellIs" dxfId="1231" priority="1256" operator="greaterThan">
      <formula>1</formula>
    </cfRule>
  </conditionalFormatting>
  <conditionalFormatting sqref="H43">
    <cfRule type="cellIs" dxfId="1230" priority="1255" operator="greaterThan">
      <formula>1</formula>
    </cfRule>
  </conditionalFormatting>
  <conditionalFormatting sqref="I43">
    <cfRule type="cellIs" dxfId="1229" priority="1254" operator="greaterThan">
      <formula>1</formula>
    </cfRule>
  </conditionalFormatting>
  <conditionalFormatting sqref="J43">
    <cfRule type="cellIs" dxfId="1228" priority="1253" operator="greaterThan">
      <formula>1</formula>
    </cfRule>
  </conditionalFormatting>
  <conditionalFormatting sqref="K43">
    <cfRule type="cellIs" dxfId="1227" priority="1252" operator="greaterThan">
      <formula>1</formula>
    </cfRule>
  </conditionalFormatting>
  <conditionalFormatting sqref="R43">
    <cfRule type="cellIs" dxfId="1226" priority="1251" operator="greaterThan">
      <formula>1</formula>
    </cfRule>
  </conditionalFormatting>
  <conditionalFormatting sqref="R43">
    <cfRule type="cellIs" dxfId="1225" priority="1250" operator="greaterThan">
      <formula>1</formula>
    </cfRule>
  </conditionalFormatting>
  <conditionalFormatting sqref="Q43">
    <cfRule type="cellIs" dxfId="1224" priority="1249" operator="greaterThan">
      <formula>1</formula>
    </cfRule>
  </conditionalFormatting>
  <conditionalFormatting sqref="Q43">
    <cfRule type="cellIs" dxfId="1223" priority="1248" operator="greaterThan">
      <formula>1</formula>
    </cfRule>
  </conditionalFormatting>
  <conditionalFormatting sqref="P43">
    <cfRule type="cellIs" dxfId="1222" priority="1247" operator="greaterThan">
      <formula>1</formula>
    </cfRule>
  </conditionalFormatting>
  <conditionalFormatting sqref="P43">
    <cfRule type="cellIs" dxfId="1221" priority="1246" operator="greaterThan">
      <formula>1</formula>
    </cfRule>
  </conditionalFormatting>
  <conditionalFormatting sqref="M43">
    <cfRule type="cellIs" dxfId="1220" priority="1240" operator="greaterThan">
      <formula>1</formula>
    </cfRule>
  </conditionalFormatting>
  <conditionalFormatting sqref="L43">
    <cfRule type="cellIs" dxfId="1219" priority="1239" operator="greaterThan">
      <formula>1</formula>
    </cfRule>
  </conditionalFormatting>
  <conditionalFormatting sqref="L43">
    <cfRule type="cellIs" dxfId="1218" priority="1238" operator="greaterThan">
      <formula>1</formula>
    </cfRule>
  </conditionalFormatting>
  <conditionalFormatting sqref="E43:G43 I43:J43 P43:R43">
    <cfRule type="cellIs" dxfId="1217" priority="1237" operator="greaterThan">
      <formula>1</formula>
    </cfRule>
  </conditionalFormatting>
  <conditionalFormatting sqref="E43:G43 I43:J43 P43:R43">
    <cfRule type="cellIs" dxfId="1216" priority="1236" operator="greaterThan">
      <formula>1</formula>
    </cfRule>
  </conditionalFormatting>
  <conditionalFormatting sqref="G43">
    <cfRule type="cellIs" dxfId="1215" priority="1235" operator="greaterThan">
      <formula>1</formula>
    </cfRule>
  </conditionalFormatting>
  <conditionalFormatting sqref="I43">
    <cfRule type="cellIs" dxfId="1214" priority="1234" operator="greaterThan">
      <formula>1</formula>
    </cfRule>
  </conditionalFormatting>
  <conditionalFormatting sqref="J43">
    <cfRule type="cellIs" dxfId="1213" priority="1233" operator="greaterThan">
      <formula>1</formula>
    </cfRule>
  </conditionalFormatting>
  <conditionalFormatting sqref="P43">
    <cfRule type="cellIs" dxfId="1212" priority="1232" operator="greaterThan">
      <formula>1</formula>
    </cfRule>
  </conditionalFormatting>
  <conditionalFormatting sqref="Q43">
    <cfRule type="cellIs" dxfId="1211" priority="1231" operator="greaterThan">
      <formula>1</formula>
    </cfRule>
  </conditionalFormatting>
  <conditionalFormatting sqref="R43">
    <cfRule type="cellIs" dxfId="1210" priority="1230" operator="greaterThan">
      <formula>1</formula>
    </cfRule>
  </conditionalFormatting>
  <conditionalFormatting sqref="H43">
    <cfRule type="cellIs" dxfId="1209" priority="1229" operator="greaterThan">
      <formula>1</formula>
    </cfRule>
  </conditionalFormatting>
  <conditionalFormatting sqref="H43">
    <cfRule type="cellIs" dxfId="1208" priority="1228" operator="greaterThan">
      <formula>1</formula>
    </cfRule>
  </conditionalFormatting>
  <conditionalFormatting sqref="K43">
    <cfRule type="cellIs" dxfId="1207" priority="1227" operator="greaterThan">
      <formula>1</formula>
    </cfRule>
  </conditionalFormatting>
  <conditionalFormatting sqref="K43">
    <cfRule type="cellIs" dxfId="1206" priority="1226" operator="greaterThan">
      <formula>1</formula>
    </cfRule>
  </conditionalFormatting>
  <conditionalFormatting sqref="L43">
    <cfRule type="cellIs" dxfId="1205" priority="1225" operator="greaterThan">
      <formula>1</formula>
    </cfRule>
  </conditionalFormatting>
  <conditionalFormatting sqref="L43">
    <cfRule type="cellIs" dxfId="1204" priority="1224" operator="greaterThan">
      <formula>1</formula>
    </cfRule>
  </conditionalFormatting>
  <conditionalFormatting sqref="M43">
    <cfRule type="cellIs" dxfId="1203" priority="1223" operator="greaterThan">
      <formula>1</formula>
    </cfRule>
  </conditionalFormatting>
  <conditionalFormatting sqref="M43">
    <cfRule type="cellIs" dxfId="1202" priority="1222" operator="greaterThan">
      <formula>1</formula>
    </cfRule>
  </conditionalFormatting>
  <conditionalFormatting sqref="N43">
    <cfRule type="cellIs" dxfId="1201" priority="1221" operator="greaterThan">
      <formula>1</formula>
    </cfRule>
  </conditionalFormatting>
  <conditionalFormatting sqref="N43">
    <cfRule type="cellIs" dxfId="1200" priority="1220" operator="greaterThan">
      <formula>1</formula>
    </cfRule>
  </conditionalFormatting>
  <conditionalFormatting sqref="O43">
    <cfRule type="cellIs" dxfId="1199" priority="1219" operator="greaterThan">
      <formula>1</formula>
    </cfRule>
  </conditionalFormatting>
  <conditionalFormatting sqref="O43">
    <cfRule type="cellIs" dxfId="1198" priority="1218" operator="greaterThan">
      <formula>1</formula>
    </cfRule>
  </conditionalFormatting>
  <conditionalFormatting sqref="R43">
    <cfRule type="cellIs" dxfId="1197" priority="1212" operator="greaterThan">
      <formula>1</formula>
    </cfRule>
  </conditionalFormatting>
  <conditionalFormatting sqref="R43">
    <cfRule type="cellIs" dxfId="1196" priority="1211" operator="greaterThan">
      <formula>1</formula>
    </cfRule>
  </conditionalFormatting>
  <conditionalFormatting sqref="Q43">
    <cfRule type="cellIs" dxfId="1195" priority="1210" operator="greaterThan">
      <formula>1</formula>
    </cfRule>
  </conditionalFormatting>
  <conditionalFormatting sqref="Q43">
    <cfRule type="cellIs" dxfId="1194" priority="1209" operator="greaterThan">
      <formula>1</formula>
    </cfRule>
  </conditionalFormatting>
  <conditionalFormatting sqref="P43">
    <cfRule type="cellIs" dxfId="1193" priority="1208" operator="greaterThan">
      <formula>1</formula>
    </cfRule>
  </conditionalFormatting>
  <conditionalFormatting sqref="P43">
    <cfRule type="cellIs" dxfId="1192" priority="1207" operator="greaterThan">
      <formula>1</formula>
    </cfRule>
  </conditionalFormatting>
  <conditionalFormatting sqref="O43">
    <cfRule type="cellIs" dxfId="1191" priority="1206" operator="greaterThan">
      <formula>1</formula>
    </cfRule>
  </conditionalFormatting>
  <conditionalFormatting sqref="E43:I43">
    <cfRule type="cellIs" dxfId="1190" priority="1217" operator="greaterThan">
      <formula>1</formula>
    </cfRule>
  </conditionalFormatting>
  <conditionalFormatting sqref="E43:I43">
    <cfRule type="cellIs" dxfId="1189" priority="1216" operator="greaterThan">
      <formula>1</formula>
    </cfRule>
  </conditionalFormatting>
  <conditionalFormatting sqref="G43">
    <cfRule type="cellIs" dxfId="1188" priority="1215" operator="greaterThan">
      <formula>1</formula>
    </cfRule>
  </conditionalFormatting>
  <conditionalFormatting sqref="H43">
    <cfRule type="cellIs" dxfId="1187" priority="1214" operator="greaterThan">
      <formula>1</formula>
    </cfRule>
  </conditionalFormatting>
  <conditionalFormatting sqref="I43">
    <cfRule type="cellIs" dxfId="1186" priority="1213" operator="greaterThan">
      <formula>1</formula>
    </cfRule>
  </conditionalFormatting>
  <conditionalFormatting sqref="O43">
    <cfRule type="cellIs" dxfId="1185" priority="1205" operator="greaterThan">
      <formula>1</formula>
    </cfRule>
  </conditionalFormatting>
  <conditionalFormatting sqref="N43">
    <cfRule type="cellIs" dxfId="1184" priority="1204" operator="greaterThan">
      <formula>1</formula>
    </cfRule>
  </conditionalFormatting>
  <conditionalFormatting sqref="N43">
    <cfRule type="cellIs" dxfId="1183" priority="1203" operator="greaterThan">
      <formula>1</formula>
    </cfRule>
  </conditionalFormatting>
  <conditionalFormatting sqref="M43">
    <cfRule type="cellIs" dxfId="1182" priority="1202" operator="greaterThan">
      <formula>1</formula>
    </cfRule>
  </conditionalFormatting>
  <conditionalFormatting sqref="M43">
    <cfRule type="cellIs" dxfId="1181" priority="1201" operator="greaterThan">
      <formula>1</formula>
    </cfRule>
  </conditionalFormatting>
  <conditionalFormatting sqref="L43">
    <cfRule type="cellIs" dxfId="1180" priority="1200" operator="greaterThan">
      <formula>1</formula>
    </cfRule>
  </conditionalFormatting>
  <conditionalFormatting sqref="L43">
    <cfRule type="cellIs" dxfId="1179" priority="1199" operator="greaterThan">
      <formula>1</formula>
    </cfRule>
  </conditionalFormatting>
  <conditionalFormatting sqref="K43">
    <cfRule type="cellIs" dxfId="1178" priority="1198" operator="greaterThan">
      <formula>1</formula>
    </cfRule>
  </conditionalFormatting>
  <conditionalFormatting sqref="K43">
    <cfRule type="cellIs" dxfId="1177" priority="1197" operator="greaterThan">
      <formula>1</formula>
    </cfRule>
  </conditionalFormatting>
  <conditionalFormatting sqref="J43">
    <cfRule type="cellIs" dxfId="1176" priority="1196" operator="greaterThan">
      <formula>1</formula>
    </cfRule>
  </conditionalFormatting>
  <conditionalFormatting sqref="J43">
    <cfRule type="cellIs" dxfId="1175" priority="1195" operator="greaterThan">
      <formula>1</formula>
    </cfRule>
  </conditionalFormatting>
  <conditionalFormatting sqref="O43">
    <cfRule type="cellIs" dxfId="1174" priority="1172" operator="greaterThan">
      <formula>1</formula>
    </cfRule>
  </conditionalFormatting>
  <conditionalFormatting sqref="E43 P43:R43 M43:N43">
    <cfRule type="cellIs" dxfId="1173" priority="1194" operator="greaterThan">
      <formula>1</formula>
    </cfRule>
  </conditionalFormatting>
  <conditionalFormatting sqref="E43 P43:R43 M43:N43">
    <cfRule type="cellIs" dxfId="1172" priority="1193" operator="greaterThan">
      <formula>1</formula>
    </cfRule>
  </conditionalFormatting>
  <conditionalFormatting sqref="M43">
    <cfRule type="cellIs" dxfId="1171" priority="1192" operator="greaterThan">
      <formula>1</formula>
    </cfRule>
  </conditionalFormatting>
  <conditionalFormatting sqref="N43">
    <cfRule type="cellIs" dxfId="1170" priority="1191" operator="greaterThan">
      <formula>1</formula>
    </cfRule>
  </conditionalFormatting>
  <conditionalFormatting sqref="P43">
    <cfRule type="cellIs" dxfId="1169" priority="1190" operator="greaterThan">
      <formula>1</formula>
    </cfRule>
  </conditionalFormatting>
  <conditionalFormatting sqref="Q43">
    <cfRule type="cellIs" dxfId="1168" priority="1189" operator="greaterThan">
      <formula>1</formula>
    </cfRule>
  </conditionalFormatting>
  <conditionalFormatting sqref="R43">
    <cfRule type="cellIs" dxfId="1167" priority="1188" operator="greaterThan">
      <formula>1</formula>
    </cfRule>
  </conditionalFormatting>
  <conditionalFormatting sqref="F43">
    <cfRule type="cellIs" dxfId="1166" priority="1187" operator="greaterThan">
      <formula>1</formula>
    </cfRule>
  </conditionalFormatting>
  <conditionalFormatting sqref="F43">
    <cfRule type="cellIs" dxfId="1165" priority="1186" operator="greaterThan">
      <formula>1</formula>
    </cfRule>
  </conditionalFormatting>
  <conditionalFormatting sqref="G43">
    <cfRule type="cellIs" dxfId="1164" priority="1185" operator="greaterThan">
      <formula>1</formula>
    </cfRule>
  </conditionalFormatting>
  <conditionalFormatting sqref="G43">
    <cfRule type="cellIs" dxfId="1163" priority="1184" operator="greaterThan">
      <formula>1</formula>
    </cfRule>
  </conditionalFormatting>
  <conditionalFormatting sqref="H43">
    <cfRule type="cellIs" dxfId="1162" priority="1183" operator="greaterThan">
      <formula>1</formula>
    </cfRule>
  </conditionalFormatting>
  <conditionalFormatting sqref="H43">
    <cfRule type="cellIs" dxfId="1161" priority="1182" operator="greaterThan">
      <formula>1</formula>
    </cfRule>
  </conditionalFormatting>
  <conditionalFormatting sqref="I43">
    <cfRule type="cellIs" dxfId="1160" priority="1181" operator="greaterThan">
      <formula>1</formula>
    </cfRule>
  </conditionalFormatting>
  <conditionalFormatting sqref="I43">
    <cfRule type="cellIs" dxfId="1159" priority="1180" operator="greaterThan">
      <formula>1</formula>
    </cfRule>
  </conditionalFormatting>
  <conditionalFormatting sqref="J43">
    <cfRule type="cellIs" dxfId="1158" priority="1179" operator="greaterThan">
      <formula>1</formula>
    </cfRule>
  </conditionalFormatting>
  <conditionalFormatting sqref="J43">
    <cfRule type="cellIs" dxfId="1157" priority="1178" operator="greaterThan">
      <formula>1</formula>
    </cfRule>
  </conditionalFormatting>
  <conditionalFormatting sqref="K43">
    <cfRule type="cellIs" dxfId="1156" priority="1177" operator="greaterThan">
      <formula>1</formula>
    </cfRule>
  </conditionalFormatting>
  <conditionalFormatting sqref="K43">
    <cfRule type="cellIs" dxfId="1155" priority="1176" operator="greaterThan">
      <formula>1</formula>
    </cfRule>
  </conditionalFormatting>
  <conditionalFormatting sqref="L43">
    <cfRule type="cellIs" dxfId="1154" priority="1175" operator="greaterThan">
      <formula>1</formula>
    </cfRule>
  </conditionalFormatting>
  <conditionalFormatting sqref="L43">
    <cfRule type="cellIs" dxfId="1153" priority="1174" operator="greaterThan">
      <formula>1</formula>
    </cfRule>
  </conditionalFormatting>
  <conditionalFormatting sqref="O43">
    <cfRule type="cellIs" dxfId="1152" priority="1173" operator="greaterThan">
      <formula>1</formula>
    </cfRule>
  </conditionalFormatting>
  <conditionalFormatting sqref="G43:R43">
    <cfRule type="cellIs" dxfId="1151" priority="1171" operator="greaterThan">
      <formula>1</formula>
    </cfRule>
  </conditionalFormatting>
  <conditionalFormatting sqref="G43:R43">
    <cfRule type="cellIs" dxfId="1150" priority="1170" operator="greaterThan">
      <formula>1</formula>
    </cfRule>
  </conditionalFormatting>
  <conditionalFormatting sqref="G43">
    <cfRule type="cellIs" dxfId="1149" priority="1169" operator="greaterThan">
      <formula>1</formula>
    </cfRule>
  </conditionalFormatting>
  <conditionalFormatting sqref="H43">
    <cfRule type="cellIs" dxfId="1148" priority="1168" operator="greaterThan">
      <formula>1</formula>
    </cfRule>
  </conditionalFormatting>
  <conditionalFormatting sqref="I43">
    <cfRule type="cellIs" dxfId="1147" priority="1167" operator="greaterThan">
      <formula>1</formula>
    </cfRule>
  </conditionalFormatting>
  <conditionalFormatting sqref="J43">
    <cfRule type="cellIs" dxfId="1146" priority="1166" operator="greaterThan">
      <formula>1</formula>
    </cfRule>
  </conditionalFormatting>
  <conditionalFormatting sqref="K43">
    <cfRule type="cellIs" dxfId="1145" priority="1165" operator="greaterThan">
      <formula>1</formula>
    </cfRule>
  </conditionalFormatting>
  <conditionalFormatting sqref="L43">
    <cfRule type="cellIs" dxfId="1144" priority="1164" operator="greaterThan">
      <formula>1</formula>
    </cfRule>
  </conditionalFormatting>
  <conditionalFormatting sqref="M43">
    <cfRule type="cellIs" dxfId="1143" priority="1163" operator="greaterThan">
      <formula>1</formula>
    </cfRule>
  </conditionalFormatting>
  <conditionalFormatting sqref="N43">
    <cfRule type="cellIs" dxfId="1142" priority="1162" operator="greaterThan">
      <formula>1</formula>
    </cfRule>
  </conditionalFormatting>
  <conditionalFormatting sqref="O43">
    <cfRule type="cellIs" dxfId="1141" priority="1161" operator="greaterThan">
      <formula>1</formula>
    </cfRule>
  </conditionalFormatting>
  <conditionalFormatting sqref="P43">
    <cfRule type="cellIs" dxfId="1140" priority="1160" operator="greaterThan">
      <formula>1</formula>
    </cfRule>
  </conditionalFormatting>
  <conditionalFormatting sqref="Q43">
    <cfRule type="cellIs" dxfId="1139" priority="1159" operator="greaterThan">
      <formula>1</formula>
    </cfRule>
  </conditionalFormatting>
  <conditionalFormatting sqref="R43">
    <cfRule type="cellIs" dxfId="1138" priority="1158" operator="greaterThan">
      <formula>1</formula>
    </cfRule>
  </conditionalFormatting>
  <conditionalFormatting sqref="F43">
    <cfRule type="cellIs" dxfId="1137" priority="1157" operator="greaterThan">
      <formula>1</formula>
    </cfRule>
  </conditionalFormatting>
  <conditionalFormatting sqref="F43">
    <cfRule type="cellIs" dxfId="1136" priority="1156" operator="greaterThan">
      <formula>1</formula>
    </cfRule>
  </conditionalFormatting>
  <conditionalFormatting sqref="E43">
    <cfRule type="cellIs" dxfId="1135" priority="1155" operator="greaterThan">
      <formula>1</formula>
    </cfRule>
  </conditionalFormatting>
  <conditionalFormatting sqref="E43">
    <cfRule type="cellIs" dxfId="1134" priority="1154" operator="greaterThan">
      <formula>1</formula>
    </cfRule>
  </conditionalFormatting>
  <conditionalFormatting sqref="E43:Q43">
    <cfRule type="cellIs" dxfId="1133" priority="1153" operator="greaterThan">
      <formula>1</formula>
    </cfRule>
  </conditionalFormatting>
  <conditionalFormatting sqref="R43">
    <cfRule type="cellIs" dxfId="1132" priority="1152" operator="greaterThan">
      <formula>1</formula>
    </cfRule>
  </conditionalFormatting>
  <conditionalFormatting sqref="R43">
    <cfRule type="cellIs" dxfId="1131" priority="1151" operator="greaterThan">
      <formula>1</formula>
    </cfRule>
  </conditionalFormatting>
  <conditionalFormatting sqref="E43:R43">
    <cfRule type="cellIs" dxfId="1130" priority="1150" operator="greaterThan">
      <formula>1</formula>
    </cfRule>
  </conditionalFormatting>
  <conditionalFormatting sqref="E43:R43">
    <cfRule type="cellIs" dxfId="1129" priority="1149" operator="greaterThan">
      <formula>1</formula>
    </cfRule>
  </conditionalFormatting>
  <conditionalFormatting sqref="G43">
    <cfRule type="cellIs" dxfId="1128" priority="1148" operator="greaterThan">
      <formula>1</formula>
    </cfRule>
  </conditionalFormatting>
  <conditionalFormatting sqref="H43">
    <cfRule type="cellIs" dxfId="1127" priority="1147" operator="greaterThan">
      <formula>1</formula>
    </cfRule>
  </conditionalFormatting>
  <conditionalFormatting sqref="I43">
    <cfRule type="cellIs" dxfId="1126" priority="1146" operator="greaterThan">
      <formula>1</formula>
    </cfRule>
  </conditionalFormatting>
  <conditionalFormatting sqref="J43">
    <cfRule type="cellIs" dxfId="1125" priority="1145" operator="greaterThan">
      <formula>1</formula>
    </cfRule>
  </conditionalFormatting>
  <conditionalFormatting sqref="K43">
    <cfRule type="cellIs" dxfId="1124" priority="1144" operator="greaterThan">
      <formula>1</formula>
    </cfRule>
  </conditionalFormatting>
  <conditionalFormatting sqref="L43">
    <cfRule type="cellIs" dxfId="1123" priority="1143" operator="greaterThan">
      <formula>1</formula>
    </cfRule>
  </conditionalFormatting>
  <conditionalFormatting sqref="M43">
    <cfRule type="cellIs" dxfId="1122" priority="1142" operator="greaterThan">
      <formula>1</formula>
    </cfRule>
  </conditionalFormatting>
  <conditionalFormatting sqref="N43">
    <cfRule type="cellIs" dxfId="1121" priority="1141" operator="greaterThan">
      <formula>1</formula>
    </cfRule>
  </conditionalFormatting>
  <conditionalFormatting sqref="O43">
    <cfRule type="cellIs" dxfId="1120" priority="1140" operator="greaterThan">
      <formula>1</formula>
    </cfRule>
  </conditionalFormatting>
  <conditionalFormatting sqref="P43">
    <cfRule type="cellIs" dxfId="1119" priority="1139" operator="greaterThan">
      <formula>1</formula>
    </cfRule>
  </conditionalFormatting>
  <conditionalFormatting sqref="Q43">
    <cfRule type="cellIs" dxfId="1118" priority="1138" operator="greaterThan">
      <formula>1</formula>
    </cfRule>
  </conditionalFormatting>
  <conditionalFormatting sqref="R43">
    <cfRule type="cellIs" dxfId="1117" priority="1137" operator="greaterThan">
      <formula>1</formula>
    </cfRule>
  </conditionalFormatting>
  <conditionalFormatting sqref="F45">
    <cfRule type="cellIs" dxfId="1116" priority="1126" operator="greaterThan">
      <formula>1</formula>
    </cfRule>
  </conditionalFormatting>
  <conditionalFormatting sqref="F45">
    <cfRule type="cellIs" dxfId="1115" priority="1125" operator="greaterThan">
      <formula>1</formula>
    </cfRule>
  </conditionalFormatting>
  <conditionalFormatting sqref="E45 K45:R45">
    <cfRule type="cellIs" dxfId="1114" priority="1136" operator="greaterThan">
      <formula>1</formula>
    </cfRule>
  </conditionalFormatting>
  <conditionalFormatting sqref="E45 K45:R45">
    <cfRule type="cellIs" dxfId="1113" priority="1135" operator="greaterThan">
      <formula>1</formula>
    </cfRule>
  </conditionalFormatting>
  <conditionalFormatting sqref="K45">
    <cfRule type="cellIs" dxfId="1112" priority="1134" operator="greaterThan">
      <formula>1</formula>
    </cfRule>
  </conditionalFormatting>
  <conditionalFormatting sqref="L45">
    <cfRule type="cellIs" dxfId="1111" priority="1133" operator="greaterThan">
      <formula>1</formula>
    </cfRule>
  </conditionalFormatting>
  <conditionalFormatting sqref="M45">
    <cfRule type="cellIs" dxfId="1110" priority="1132" operator="greaterThan">
      <formula>1</formula>
    </cfRule>
  </conditionalFormatting>
  <conditionalFormatting sqref="N45">
    <cfRule type="cellIs" dxfId="1109" priority="1131" operator="greaterThan">
      <formula>1</formula>
    </cfRule>
  </conditionalFormatting>
  <conditionalFormatting sqref="O45">
    <cfRule type="cellIs" dxfId="1108" priority="1130" operator="greaterThan">
      <formula>1</formula>
    </cfRule>
  </conditionalFormatting>
  <conditionalFormatting sqref="P45">
    <cfRule type="cellIs" dxfId="1107" priority="1129" operator="greaterThan">
      <formula>1</formula>
    </cfRule>
  </conditionalFormatting>
  <conditionalFormatting sqref="Q45">
    <cfRule type="cellIs" dxfId="1106" priority="1128" operator="greaterThan">
      <formula>1</formula>
    </cfRule>
  </conditionalFormatting>
  <conditionalFormatting sqref="R45">
    <cfRule type="cellIs" dxfId="1105" priority="1127" operator="greaterThan">
      <formula>1</formula>
    </cfRule>
  </conditionalFormatting>
  <conditionalFormatting sqref="G45">
    <cfRule type="cellIs" dxfId="1104" priority="1124" operator="greaterThan">
      <formula>1</formula>
    </cfRule>
  </conditionalFormatting>
  <conditionalFormatting sqref="G45">
    <cfRule type="cellIs" dxfId="1103" priority="1123" operator="greaterThan">
      <formula>1</formula>
    </cfRule>
  </conditionalFormatting>
  <conditionalFormatting sqref="H45">
    <cfRule type="cellIs" dxfId="1102" priority="1122" operator="greaterThan">
      <formula>1</formula>
    </cfRule>
  </conditionalFormatting>
  <conditionalFormatting sqref="H45">
    <cfRule type="cellIs" dxfId="1101" priority="1121" operator="greaterThan">
      <formula>1</formula>
    </cfRule>
  </conditionalFormatting>
  <conditionalFormatting sqref="I45">
    <cfRule type="cellIs" dxfId="1100" priority="1120" operator="greaterThan">
      <formula>1</formula>
    </cfRule>
  </conditionalFormatting>
  <conditionalFormatting sqref="I45">
    <cfRule type="cellIs" dxfId="1099" priority="1119" operator="greaterThan">
      <formula>1</formula>
    </cfRule>
  </conditionalFormatting>
  <conditionalFormatting sqref="J45">
    <cfRule type="cellIs" dxfId="1098" priority="1118" operator="greaterThan">
      <formula>1</formula>
    </cfRule>
  </conditionalFormatting>
  <conditionalFormatting sqref="J45">
    <cfRule type="cellIs" dxfId="1097" priority="1117" operator="greaterThan">
      <formula>1</formula>
    </cfRule>
  </conditionalFormatting>
  <conditionalFormatting sqref="L45">
    <cfRule type="cellIs" dxfId="1096" priority="1101" operator="greaterThan">
      <formula>1</formula>
    </cfRule>
  </conditionalFormatting>
  <conditionalFormatting sqref="L45">
    <cfRule type="cellIs" dxfId="1095" priority="1100" operator="greaterThan">
      <formula>1</formula>
    </cfRule>
  </conditionalFormatting>
  <conditionalFormatting sqref="E45:K45 R45 N45:P45">
    <cfRule type="cellIs" dxfId="1094" priority="1116" operator="greaterThan">
      <formula>1</formula>
    </cfRule>
  </conditionalFormatting>
  <conditionalFormatting sqref="E45:K45 R45 N45:P45">
    <cfRule type="cellIs" dxfId="1093" priority="1115" operator="greaterThan">
      <formula>1</formula>
    </cfRule>
  </conditionalFormatting>
  <conditionalFormatting sqref="G45">
    <cfRule type="cellIs" dxfId="1092" priority="1114" operator="greaterThan">
      <formula>1</formula>
    </cfRule>
  </conditionalFormatting>
  <conditionalFormatting sqref="H45">
    <cfRule type="cellIs" dxfId="1091" priority="1113" operator="greaterThan">
      <formula>1</formula>
    </cfRule>
  </conditionalFormatting>
  <conditionalFormatting sqref="I45">
    <cfRule type="cellIs" dxfId="1090" priority="1112" operator="greaterThan">
      <formula>1</formula>
    </cfRule>
  </conditionalFormatting>
  <conditionalFormatting sqref="J45">
    <cfRule type="cellIs" dxfId="1089" priority="1111" operator="greaterThan">
      <formula>1</formula>
    </cfRule>
  </conditionalFormatting>
  <conditionalFormatting sqref="K45">
    <cfRule type="cellIs" dxfId="1088" priority="1110" operator="greaterThan">
      <formula>1</formula>
    </cfRule>
  </conditionalFormatting>
  <conditionalFormatting sqref="N45">
    <cfRule type="cellIs" dxfId="1087" priority="1109" operator="greaterThan">
      <formula>1</formula>
    </cfRule>
  </conditionalFormatting>
  <conditionalFormatting sqref="O45">
    <cfRule type="cellIs" dxfId="1086" priority="1108" operator="greaterThan">
      <formula>1</formula>
    </cfRule>
  </conditionalFormatting>
  <conditionalFormatting sqref="P45">
    <cfRule type="cellIs" dxfId="1085" priority="1107" operator="greaterThan">
      <formula>1</formula>
    </cfRule>
  </conditionalFormatting>
  <conditionalFormatting sqref="R45">
    <cfRule type="cellIs" dxfId="1084" priority="1106" operator="greaterThan">
      <formula>1</formula>
    </cfRule>
  </conditionalFormatting>
  <conditionalFormatting sqref="Q45">
    <cfRule type="cellIs" dxfId="1083" priority="1105" operator="greaterThan">
      <formula>1</formula>
    </cfRule>
  </conditionalFormatting>
  <conditionalFormatting sqref="Q45">
    <cfRule type="cellIs" dxfId="1082" priority="1104" operator="greaterThan">
      <formula>1</formula>
    </cfRule>
  </conditionalFormatting>
  <conditionalFormatting sqref="M45">
    <cfRule type="cellIs" dxfId="1081" priority="1103" operator="greaterThan">
      <formula>1</formula>
    </cfRule>
  </conditionalFormatting>
  <conditionalFormatting sqref="M45">
    <cfRule type="cellIs" dxfId="1080" priority="1102" operator="greaterThan">
      <formula>1</formula>
    </cfRule>
  </conditionalFormatting>
  <conditionalFormatting sqref="E45:L45">
    <cfRule type="cellIs" dxfId="1079" priority="1099" operator="greaterThan">
      <formula>1</formula>
    </cfRule>
  </conditionalFormatting>
  <conditionalFormatting sqref="E45:L45">
    <cfRule type="cellIs" dxfId="1078" priority="1098" operator="greaterThan">
      <formula>1</formula>
    </cfRule>
  </conditionalFormatting>
  <conditionalFormatting sqref="G45">
    <cfRule type="cellIs" dxfId="1077" priority="1097" operator="greaterThan">
      <formula>1</formula>
    </cfRule>
  </conditionalFormatting>
  <conditionalFormatting sqref="H45">
    <cfRule type="cellIs" dxfId="1076" priority="1096" operator="greaterThan">
      <formula>1</formula>
    </cfRule>
  </conditionalFormatting>
  <conditionalFormatting sqref="I45">
    <cfRule type="cellIs" dxfId="1075" priority="1095" operator="greaterThan">
      <formula>1</formula>
    </cfRule>
  </conditionalFormatting>
  <conditionalFormatting sqref="J45">
    <cfRule type="cellIs" dxfId="1074" priority="1094" operator="greaterThan">
      <formula>1</formula>
    </cfRule>
  </conditionalFormatting>
  <conditionalFormatting sqref="K45">
    <cfRule type="cellIs" dxfId="1073" priority="1093" operator="greaterThan">
      <formula>1</formula>
    </cfRule>
  </conditionalFormatting>
  <conditionalFormatting sqref="L45">
    <cfRule type="cellIs" dxfId="1072" priority="1092" operator="greaterThan">
      <formula>1</formula>
    </cfRule>
  </conditionalFormatting>
  <conditionalFormatting sqref="M45">
    <cfRule type="cellIs" dxfId="1071" priority="1091" operator="greaterThan">
      <formula>1</formula>
    </cfRule>
  </conditionalFormatting>
  <conditionalFormatting sqref="M45">
    <cfRule type="cellIs" dxfId="1070" priority="1090" operator="greaterThan">
      <formula>1</formula>
    </cfRule>
  </conditionalFormatting>
  <conditionalFormatting sqref="N45">
    <cfRule type="cellIs" dxfId="1069" priority="1089" operator="greaterThan">
      <formula>1</formula>
    </cfRule>
  </conditionalFormatting>
  <conditionalFormatting sqref="N45">
    <cfRule type="cellIs" dxfId="1068" priority="1088" operator="greaterThan">
      <formula>1</formula>
    </cfRule>
  </conditionalFormatting>
  <conditionalFormatting sqref="O45">
    <cfRule type="cellIs" dxfId="1067" priority="1087" operator="greaterThan">
      <formula>1</formula>
    </cfRule>
  </conditionalFormatting>
  <conditionalFormatting sqref="O45">
    <cfRule type="cellIs" dxfId="1066" priority="1086" operator="greaterThan">
      <formula>1</formula>
    </cfRule>
  </conditionalFormatting>
  <conditionalFormatting sqref="P45">
    <cfRule type="cellIs" dxfId="1065" priority="1085" operator="greaterThan">
      <formula>1</formula>
    </cfRule>
  </conditionalFormatting>
  <conditionalFormatting sqref="P45">
    <cfRule type="cellIs" dxfId="1064" priority="1084" operator="greaterThan">
      <formula>1</formula>
    </cfRule>
  </conditionalFormatting>
  <conditionalFormatting sqref="Q45">
    <cfRule type="cellIs" dxfId="1063" priority="1083" operator="greaterThan">
      <formula>1</formula>
    </cfRule>
  </conditionalFormatting>
  <conditionalFormatting sqref="Q45">
    <cfRule type="cellIs" dxfId="1062" priority="1082" operator="greaterThan">
      <formula>1</formula>
    </cfRule>
  </conditionalFormatting>
  <conditionalFormatting sqref="R45">
    <cfRule type="cellIs" dxfId="1061" priority="1081" operator="greaterThan">
      <formula>1</formula>
    </cfRule>
  </conditionalFormatting>
  <conditionalFormatting sqref="R45">
    <cfRule type="cellIs" dxfId="1060" priority="1080" operator="greaterThan">
      <formula>1</formula>
    </cfRule>
  </conditionalFormatting>
  <conditionalFormatting sqref="O45">
    <cfRule type="cellIs" dxfId="1059" priority="1066" operator="greaterThan">
      <formula>1</formula>
    </cfRule>
  </conditionalFormatting>
  <conditionalFormatting sqref="O45">
    <cfRule type="cellIs" dxfId="1058" priority="1065" operator="greaterThan">
      <formula>1</formula>
    </cfRule>
  </conditionalFormatting>
  <conditionalFormatting sqref="N45">
    <cfRule type="cellIs" dxfId="1057" priority="1064" operator="greaterThan">
      <formula>1</formula>
    </cfRule>
  </conditionalFormatting>
  <conditionalFormatting sqref="N45">
    <cfRule type="cellIs" dxfId="1056" priority="1063" operator="greaterThan">
      <formula>1</formula>
    </cfRule>
  </conditionalFormatting>
  <conditionalFormatting sqref="M45">
    <cfRule type="cellIs" dxfId="1055" priority="1062" operator="greaterThan">
      <formula>1</formula>
    </cfRule>
  </conditionalFormatting>
  <conditionalFormatting sqref="E45:K45">
    <cfRule type="cellIs" dxfId="1054" priority="1079" operator="greaterThan">
      <formula>1</formula>
    </cfRule>
  </conditionalFormatting>
  <conditionalFormatting sqref="E45:K45">
    <cfRule type="cellIs" dxfId="1053" priority="1078" operator="greaterThan">
      <formula>1</formula>
    </cfRule>
  </conditionalFormatting>
  <conditionalFormatting sqref="G45">
    <cfRule type="cellIs" dxfId="1052" priority="1077" operator="greaterThan">
      <formula>1</formula>
    </cfRule>
  </conditionalFormatting>
  <conditionalFormatting sqref="H45">
    <cfRule type="cellIs" dxfId="1051" priority="1076" operator="greaterThan">
      <formula>1</formula>
    </cfRule>
  </conditionalFormatting>
  <conditionalFormatting sqref="I45">
    <cfRule type="cellIs" dxfId="1050" priority="1075" operator="greaterThan">
      <formula>1</formula>
    </cfRule>
  </conditionalFormatting>
  <conditionalFormatting sqref="J45">
    <cfRule type="cellIs" dxfId="1049" priority="1074" operator="greaterThan">
      <formula>1</formula>
    </cfRule>
  </conditionalFormatting>
  <conditionalFormatting sqref="K45">
    <cfRule type="cellIs" dxfId="1048" priority="1073" operator="greaterThan">
      <formula>1</formula>
    </cfRule>
  </conditionalFormatting>
  <conditionalFormatting sqref="R45">
    <cfRule type="cellIs" dxfId="1047" priority="1072" operator="greaterThan">
      <formula>1</formula>
    </cfRule>
  </conditionalFormatting>
  <conditionalFormatting sqref="R45">
    <cfRule type="cellIs" dxfId="1046" priority="1071" operator="greaterThan">
      <formula>1</formula>
    </cfRule>
  </conditionalFormatting>
  <conditionalFormatting sqref="Q45">
    <cfRule type="cellIs" dxfId="1045" priority="1070" operator="greaterThan">
      <formula>1</formula>
    </cfRule>
  </conditionalFormatting>
  <conditionalFormatting sqref="Q45">
    <cfRule type="cellIs" dxfId="1044" priority="1069" operator="greaterThan">
      <formula>1</formula>
    </cfRule>
  </conditionalFormatting>
  <conditionalFormatting sqref="P45">
    <cfRule type="cellIs" dxfId="1043" priority="1068" operator="greaterThan">
      <formula>1</formula>
    </cfRule>
  </conditionalFormatting>
  <conditionalFormatting sqref="P45">
    <cfRule type="cellIs" dxfId="1042" priority="1067" operator="greaterThan">
      <formula>1</formula>
    </cfRule>
  </conditionalFormatting>
  <conditionalFormatting sqref="M45">
    <cfRule type="cellIs" dxfId="1041" priority="1061" operator="greaterThan">
      <formula>1</formula>
    </cfRule>
  </conditionalFormatting>
  <conditionalFormatting sqref="L45">
    <cfRule type="cellIs" dxfId="1040" priority="1060" operator="greaterThan">
      <formula>1</formula>
    </cfRule>
  </conditionalFormatting>
  <conditionalFormatting sqref="L45">
    <cfRule type="cellIs" dxfId="1039" priority="1059" operator="greaterThan">
      <formula>1</formula>
    </cfRule>
  </conditionalFormatting>
  <conditionalFormatting sqref="E45:G45 I45:J45 P45:R45">
    <cfRule type="cellIs" dxfId="1038" priority="1058" operator="greaterThan">
      <formula>1</formula>
    </cfRule>
  </conditionalFormatting>
  <conditionalFormatting sqref="E45:G45 I45:J45 P45:R45">
    <cfRule type="cellIs" dxfId="1037" priority="1057" operator="greaterThan">
      <formula>1</formula>
    </cfRule>
  </conditionalFormatting>
  <conditionalFormatting sqref="G45">
    <cfRule type="cellIs" dxfId="1036" priority="1056" operator="greaterThan">
      <formula>1</formula>
    </cfRule>
  </conditionalFormatting>
  <conditionalFormatting sqref="I45">
    <cfRule type="cellIs" dxfId="1035" priority="1055" operator="greaterThan">
      <formula>1</formula>
    </cfRule>
  </conditionalFormatting>
  <conditionalFormatting sqref="J45">
    <cfRule type="cellIs" dxfId="1034" priority="1054" operator="greaterThan">
      <formula>1</formula>
    </cfRule>
  </conditionalFormatting>
  <conditionalFormatting sqref="P45">
    <cfRule type="cellIs" dxfId="1033" priority="1053" operator="greaterThan">
      <formula>1</formula>
    </cfRule>
  </conditionalFormatting>
  <conditionalFormatting sqref="Q45">
    <cfRule type="cellIs" dxfId="1032" priority="1052" operator="greaterThan">
      <formula>1</formula>
    </cfRule>
  </conditionalFormatting>
  <conditionalFormatting sqref="R45">
    <cfRule type="cellIs" dxfId="1031" priority="1051" operator="greaterThan">
      <formula>1</formula>
    </cfRule>
  </conditionalFormatting>
  <conditionalFormatting sqref="H45">
    <cfRule type="cellIs" dxfId="1030" priority="1050" operator="greaterThan">
      <formula>1</formula>
    </cfRule>
  </conditionalFormatting>
  <conditionalFormatting sqref="H45">
    <cfRule type="cellIs" dxfId="1029" priority="1049" operator="greaterThan">
      <formula>1</formula>
    </cfRule>
  </conditionalFormatting>
  <conditionalFormatting sqref="K45">
    <cfRule type="cellIs" dxfId="1028" priority="1048" operator="greaterThan">
      <formula>1</formula>
    </cfRule>
  </conditionalFormatting>
  <conditionalFormatting sqref="K45">
    <cfRule type="cellIs" dxfId="1027" priority="1047" operator="greaterThan">
      <formula>1</formula>
    </cfRule>
  </conditionalFormatting>
  <conditionalFormatting sqref="L45">
    <cfRule type="cellIs" dxfId="1026" priority="1046" operator="greaterThan">
      <formula>1</formula>
    </cfRule>
  </conditionalFormatting>
  <conditionalFormatting sqref="L45">
    <cfRule type="cellIs" dxfId="1025" priority="1045" operator="greaterThan">
      <formula>1</formula>
    </cfRule>
  </conditionalFormatting>
  <conditionalFormatting sqref="M45">
    <cfRule type="cellIs" dxfId="1024" priority="1044" operator="greaterThan">
      <formula>1</formula>
    </cfRule>
  </conditionalFormatting>
  <conditionalFormatting sqref="M45">
    <cfRule type="cellIs" dxfId="1023" priority="1043" operator="greaterThan">
      <formula>1</formula>
    </cfRule>
  </conditionalFormatting>
  <conditionalFormatting sqref="N45">
    <cfRule type="cellIs" dxfId="1022" priority="1042" operator="greaterThan">
      <formula>1</formula>
    </cfRule>
  </conditionalFormatting>
  <conditionalFormatting sqref="N45">
    <cfRule type="cellIs" dxfId="1021" priority="1041" operator="greaterThan">
      <formula>1</formula>
    </cfRule>
  </conditionalFormatting>
  <conditionalFormatting sqref="O45">
    <cfRule type="cellIs" dxfId="1020" priority="1040" operator="greaterThan">
      <formula>1</formula>
    </cfRule>
  </conditionalFormatting>
  <conditionalFormatting sqref="O45">
    <cfRule type="cellIs" dxfId="1019" priority="1039" operator="greaterThan">
      <formula>1</formula>
    </cfRule>
  </conditionalFormatting>
  <conditionalFormatting sqref="R45">
    <cfRule type="cellIs" dxfId="1018" priority="1033" operator="greaterThan">
      <formula>1</formula>
    </cfRule>
  </conditionalFormatting>
  <conditionalFormatting sqref="R45">
    <cfRule type="cellIs" dxfId="1017" priority="1032" operator="greaterThan">
      <formula>1</formula>
    </cfRule>
  </conditionalFormatting>
  <conditionalFormatting sqref="Q45">
    <cfRule type="cellIs" dxfId="1016" priority="1031" operator="greaterThan">
      <formula>1</formula>
    </cfRule>
  </conditionalFormatting>
  <conditionalFormatting sqref="Q45">
    <cfRule type="cellIs" dxfId="1015" priority="1030" operator="greaterThan">
      <formula>1</formula>
    </cfRule>
  </conditionalFormatting>
  <conditionalFormatting sqref="P45">
    <cfRule type="cellIs" dxfId="1014" priority="1029" operator="greaterThan">
      <formula>1</formula>
    </cfRule>
  </conditionalFormatting>
  <conditionalFormatting sqref="P45">
    <cfRule type="cellIs" dxfId="1013" priority="1028" operator="greaterThan">
      <formula>1</formula>
    </cfRule>
  </conditionalFormatting>
  <conditionalFormatting sqref="O45">
    <cfRule type="cellIs" dxfId="1012" priority="1027" operator="greaterThan">
      <formula>1</formula>
    </cfRule>
  </conditionalFormatting>
  <conditionalFormatting sqref="E45:I45">
    <cfRule type="cellIs" dxfId="1011" priority="1038" operator="greaterThan">
      <formula>1</formula>
    </cfRule>
  </conditionalFormatting>
  <conditionalFormatting sqref="E45:I45">
    <cfRule type="cellIs" dxfId="1010" priority="1037" operator="greaterThan">
      <formula>1</formula>
    </cfRule>
  </conditionalFormatting>
  <conditionalFormatting sqref="G45">
    <cfRule type="cellIs" dxfId="1009" priority="1036" operator="greaterThan">
      <formula>1</formula>
    </cfRule>
  </conditionalFormatting>
  <conditionalFormatting sqref="H45">
    <cfRule type="cellIs" dxfId="1008" priority="1035" operator="greaterThan">
      <formula>1</formula>
    </cfRule>
  </conditionalFormatting>
  <conditionalFormatting sqref="I45">
    <cfRule type="cellIs" dxfId="1007" priority="1034" operator="greaterThan">
      <formula>1</formula>
    </cfRule>
  </conditionalFormatting>
  <conditionalFormatting sqref="O45">
    <cfRule type="cellIs" dxfId="1006" priority="1026" operator="greaterThan">
      <formula>1</formula>
    </cfRule>
  </conditionalFormatting>
  <conditionalFormatting sqref="N45">
    <cfRule type="cellIs" dxfId="1005" priority="1025" operator="greaterThan">
      <formula>1</formula>
    </cfRule>
  </conditionalFormatting>
  <conditionalFormatting sqref="N45">
    <cfRule type="cellIs" dxfId="1004" priority="1024" operator="greaterThan">
      <formula>1</formula>
    </cfRule>
  </conditionalFormatting>
  <conditionalFormatting sqref="M45">
    <cfRule type="cellIs" dxfId="1003" priority="1023" operator="greaterThan">
      <formula>1</formula>
    </cfRule>
  </conditionalFormatting>
  <conditionalFormatting sqref="M45">
    <cfRule type="cellIs" dxfId="1002" priority="1022" operator="greaterThan">
      <formula>1</formula>
    </cfRule>
  </conditionalFormatting>
  <conditionalFormatting sqref="L45">
    <cfRule type="cellIs" dxfId="1001" priority="1021" operator="greaterThan">
      <formula>1</formula>
    </cfRule>
  </conditionalFormatting>
  <conditionalFormatting sqref="L45">
    <cfRule type="cellIs" dxfId="1000" priority="1020" operator="greaterThan">
      <formula>1</formula>
    </cfRule>
  </conditionalFormatting>
  <conditionalFormatting sqref="K45">
    <cfRule type="cellIs" dxfId="999" priority="1019" operator="greaterThan">
      <formula>1</formula>
    </cfRule>
  </conditionalFormatting>
  <conditionalFormatting sqref="K45">
    <cfRule type="cellIs" dxfId="998" priority="1018" operator="greaterThan">
      <formula>1</formula>
    </cfRule>
  </conditionalFormatting>
  <conditionalFormatting sqref="J45">
    <cfRule type="cellIs" dxfId="997" priority="1017" operator="greaterThan">
      <formula>1</formula>
    </cfRule>
  </conditionalFormatting>
  <conditionalFormatting sqref="J45">
    <cfRule type="cellIs" dxfId="996" priority="1016" operator="greaterThan">
      <formula>1</formula>
    </cfRule>
  </conditionalFormatting>
  <conditionalFormatting sqref="O45">
    <cfRule type="cellIs" dxfId="995" priority="993" operator="greaterThan">
      <formula>1</formula>
    </cfRule>
  </conditionalFormatting>
  <conditionalFormatting sqref="E45 P45:R45 M45:N45">
    <cfRule type="cellIs" dxfId="994" priority="1015" operator="greaterThan">
      <formula>1</formula>
    </cfRule>
  </conditionalFormatting>
  <conditionalFormatting sqref="E45 P45:R45 M45:N45">
    <cfRule type="cellIs" dxfId="993" priority="1014" operator="greaterThan">
      <formula>1</formula>
    </cfRule>
  </conditionalFormatting>
  <conditionalFormatting sqref="M45">
    <cfRule type="cellIs" dxfId="992" priority="1013" operator="greaterThan">
      <formula>1</formula>
    </cfRule>
  </conditionalFormatting>
  <conditionalFormatting sqref="N45">
    <cfRule type="cellIs" dxfId="991" priority="1012" operator="greaterThan">
      <formula>1</formula>
    </cfRule>
  </conditionalFormatting>
  <conditionalFormatting sqref="P45">
    <cfRule type="cellIs" dxfId="990" priority="1011" operator="greaterThan">
      <formula>1</formula>
    </cfRule>
  </conditionalFormatting>
  <conditionalFormatting sqref="Q45">
    <cfRule type="cellIs" dxfId="989" priority="1010" operator="greaterThan">
      <formula>1</formula>
    </cfRule>
  </conditionalFormatting>
  <conditionalFormatting sqref="R45">
    <cfRule type="cellIs" dxfId="988" priority="1009" operator="greaterThan">
      <formula>1</formula>
    </cfRule>
  </conditionalFormatting>
  <conditionalFormatting sqref="F45">
    <cfRule type="cellIs" dxfId="987" priority="1008" operator="greaterThan">
      <formula>1</formula>
    </cfRule>
  </conditionalFormatting>
  <conditionalFormatting sqref="F45">
    <cfRule type="cellIs" dxfId="986" priority="1007" operator="greaterThan">
      <formula>1</formula>
    </cfRule>
  </conditionalFormatting>
  <conditionalFormatting sqref="G45">
    <cfRule type="cellIs" dxfId="985" priority="1006" operator="greaterThan">
      <formula>1</formula>
    </cfRule>
  </conditionalFormatting>
  <conditionalFormatting sqref="G45">
    <cfRule type="cellIs" dxfId="984" priority="1005" operator="greaterThan">
      <formula>1</formula>
    </cfRule>
  </conditionalFormatting>
  <conditionalFormatting sqref="H45">
    <cfRule type="cellIs" dxfId="983" priority="1004" operator="greaterThan">
      <formula>1</formula>
    </cfRule>
  </conditionalFormatting>
  <conditionalFormatting sqref="H45">
    <cfRule type="cellIs" dxfId="982" priority="1003" operator="greaterThan">
      <formula>1</formula>
    </cfRule>
  </conditionalFormatting>
  <conditionalFormatting sqref="I45">
    <cfRule type="cellIs" dxfId="981" priority="1002" operator="greaterThan">
      <formula>1</formula>
    </cfRule>
  </conditionalFormatting>
  <conditionalFormatting sqref="I45">
    <cfRule type="cellIs" dxfId="980" priority="1001" operator="greaterThan">
      <formula>1</formula>
    </cfRule>
  </conditionalFormatting>
  <conditionalFormatting sqref="J45">
    <cfRule type="cellIs" dxfId="979" priority="1000" operator="greaterThan">
      <formula>1</formula>
    </cfRule>
  </conditionalFormatting>
  <conditionalFormatting sqref="J45">
    <cfRule type="cellIs" dxfId="978" priority="999" operator="greaterThan">
      <formula>1</formula>
    </cfRule>
  </conditionalFormatting>
  <conditionalFormatting sqref="K45">
    <cfRule type="cellIs" dxfId="977" priority="998" operator="greaterThan">
      <formula>1</formula>
    </cfRule>
  </conditionalFormatting>
  <conditionalFormatting sqref="K45">
    <cfRule type="cellIs" dxfId="976" priority="997" operator="greaterThan">
      <formula>1</formula>
    </cfRule>
  </conditionalFormatting>
  <conditionalFormatting sqref="L45">
    <cfRule type="cellIs" dxfId="975" priority="996" operator="greaterThan">
      <formula>1</formula>
    </cfRule>
  </conditionalFormatting>
  <conditionalFormatting sqref="L45">
    <cfRule type="cellIs" dxfId="974" priority="995" operator="greaterThan">
      <formula>1</formula>
    </cfRule>
  </conditionalFormatting>
  <conditionalFormatting sqref="O45">
    <cfRule type="cellIs" dxfId="973" priority="994" operator="greaterThan">
      <formula>1</formula>
    </cfRule>
  </conditionalFormatting>
  <conditionalFormatting sqref="G45:R45">
    <cfRule type="cellIs" dxfId="972" priority="992" operator="greaterThan">
      <formula>1</formula>
    </cfRule>
  </conditionalFormatting>
  <conditionalFormatting sqref="G45:R45">
    <cfRule type="cellIs" dxfId="971" priority="991" operator="greaterThan">
      <formula>1</formula>
    </cfRule>
  </conditionalFormatting>
  <conditionalFormatting sqref="G45">
    <cfRule type="cellIs" dxfId="970" priority="990" operator="greaterThan">
      <formula>1</formula>
    </cfRule>
  </conditionalFormatting>
  <conditionalFormatting sqref="H45">
    <cfRule type="cellIs" dxfId="969" priority="989" operator="greaterThan">
      <formula>1</formula>
    </cfRule>
  </conditionalFormatting>
  <conditionalFormatting sqref="I45">
    <cfRule type="cellIs" dxfId="968" priority="988" operator="greaterThan">
      <formula>1</formula>
    </cfRule>
  </conditionalFormatting>
  <conditionalFormatting sqref="J45">
    <cfRule type="cellIs" dxfId="967" priority="987" operator="greaterThan">
      <formula>1</formula>
    </cfRule>
  </conditionalFormatting>
  <conditionalFormatting sqref="K45">
    <cfRule type="cellIs" dxfId="966" priority="986" operator="greaterThan">
      <formula>1</formula>
    </cfRule>
  </conditionalFormatting>
  <conditionalFormatting sqref="L45">
    <cfRule type="cellIs" dxfId="965" priority="985" operator="greaterThan">
      <formula>1</formula>
    </cfRule>
  </conditionalFormatting>
  <conditionalFormatting sqref="M45">
    <cfRule type="cellIs" dxfId="964" priority="984" operator="greaterThan">
      <formula>1</formula>
    </cfRule>
  </conditionalFormatting>
  <conditionalFormatting sqref="N45">
    <cfRule type="cellIs" dxfId="963" priority="983" operator="greaterThan">
      <formula>1</formula>
    </cfRule>
  </conditionalFormatting>
  <conditionalFormatting sqref="O45">
    <cfRule type="cellIs" dxfId="962" priority="982" operator="greaterThan">
      <formula>1</formula>
    </cfRule>
  </conditionalFormatting>
  <conditionalFormatting sqref="P45">
    <cfRule type="cellIs" dxfId="961" priority="981" operator="greaterThan">
      <formula>1</formula>
    </cfRule>
  </conditionalFormatting>
  <conditionalFormatting sqref="Q45">
    <cfRule type="cellIs" dxfId="960" priority="980" operator="greaterThan">
      <formula>1</formula>
    </cfRule>
  </conditionalFormatting>
  <conditionalFormatting sqref="R45">
    <cfRule type="cellIs" dxfId="959" priority="979" operator="greaterThan">
      <formula>1</formula>
    </cfRule>
  </conditionalFormatting>
  <conditionalFormatting sqref="F45">
    <cfRule type="cellIs" dxfId="958" priority="978" operator="greaterThan">
      <formula>1</formula>
    </cfRule>
  </conditionalFormatting>
  <conditionalFormatting sqref="F45">
    <cfRule type="cellIs" dxfId="957" priority="977" operator="greaterThan">
      <formula>1</formula>
    </cfRule>
  </conditionalFormatting>
  <conditionalFormatting sqref="E45">
    <cfRule type="cellIs" dxfId="956" priority="976" operator="greaterThan">
      <formula>1</formula>
    </cfRule>
  </conditionalFormatting>
  <conditionalFormatting sqref="E45">
    <cfRule type="cellIs" dxfId="955" priority="975" operator="greaterThan">
      <formula>1</formula>
    </cfRule>
  </conditionalFormatting>
  <conditionalFormatting sqref="E45:Q45">
    <cfRule type="cellIs" dxfId="954" priority="974" operator="greaterThan">
      <formula>1</formula>
    </cfRule>
  </conditionalFormatting>
  <conditionalFormatting sqref="R45">
    <cfRule type="cellIs" dxfId="953" priority="973" operator="greaterThan">
      <formula>1</formula>
    </cfRule>
  </conditionalFormatting>
  <conditionalFormatting sqref="R45">
    <cfRule type="cellIs" dxfId="952" priority="972" operator="greaterThan">
      <formula>1</formula>
    </cfRule>
  </conditionalFormatting>
  <conditionalFormatting sqref="E45:R45">
    <cfRule type="cellIs" dxfId="951" priority="971" operator="greaterThan">
      <formula>1</formula>
    </cfRule>
  </conditionalFormatting>
  <conditionalFormatting sqref="E45:R45">
    <cfRule type="cellIs" dxfId="950" priority="970" operator="greaterThan">
      <formula>1</formula>
    </cfRule>
  </conditionalFormatting>
  <conditionalFormatting sqref="G45">
    <cfRule type="cellIs" dxfId="949" priority="969" operator="greaterThan">
      <formula>1</formula>
    </cfRule>
  </conditionalFormatting>
  <conditionalFormatting sqref="H45">
    <cfRule type="cellIs" dxfId="948" priority="968" operator="greaterThan">
      <formula>1</formula>
    </cfRule>
  </conditionalFormatting>
  <conditionalFormatting sqref="I45">
    <cfRule type="cellIs" dxfId="947" priority="967" operator="greaterThan">
      <formula>1</formula>
    </cfRule>
  </conditionalFormatting>
  <conditionalFormatting sqref="J45">
    <cfRule type="cellIs" dxfId="946" priority="966" operator="greaterThan">
      <formula>1</formula>
    </cfRule>
  </conditionalFormatting>
  <conditionalFormatting sqref="K45">
    <cfRule type="cellIs" dxfId="945" priority="965" operator="greaterThan">
      <formula>1</formula>
    </cfRule>
  </conditionalFormatting>
  <conditionalFormatting sqref="L45">
    <cfRule type="cellIs" dxfId="944" priority="964" operator="greaterThan">
      <formula>1</formula>
    </cfRule>
  </conditionalFormatting>
  <conditionalFormatting sqref="M45">
    <cfRule type="cellIs" dxfId="943" priority="963" operator="greaterThan">
      <formula>1</formula>
    </cfRule>
  </conditionalFormatting>
  <conditionalFormatting sqref="N45">
    <cfRule type="cellIs" dxfId="942" priority="962" operator="greaterThan">
      <formula>1</formula>
    </cfRule>
  </conditionalFormatting>
  <conditionalFormatting sqref="O45">
    <cfRule type="cellIs" dxfId="941" priority="961" operator="greaterThan">
      <formula>1</formula>
    </cfRule>
  </conditionalFormatting>
  <conditionalFormatting sqref="P45">
    <cfRule type="cellIs" dxfId="940" priority="960" operator="greaterThan">
      <formula>1</formula>
    </cfRule>
  </conditionalFormatting>
  <conditionalFormatting sqref="Q45">
    <cfRule type="cellIs" dxfId="939" priority="959" operator="greaterThan">
      <formula>1</formula>
    </cfRule>
  </conditionalFormatting>
  <conditionalFormatting sqref="R45">
    <cfRule type="cellIs" dxfId="938" priority="958" operator="greaterThan">
      <formula>1</formula>
    </cfRule>
  </conditionalFormatting>
  <conditionalFormatting sqref="M47">
    <cfRule type="cellIs" dxfId="937" priority="949" operator="greaterThan">
      <formula>1</formula>
    </cfRule>
  </conditionalFormatting>
  <conditionalFormatting sqref="N47">
    <cfRule type="cellIs" dxfId="936" priority="948" operator="greaterThan">
      <formula>1</formula>
    </cfRule>
  </conditionalFormatting>
  <conditionalFormatting sqref="O47">
    <cfRule type="cellIs" dxfId="935" priority="947" operator="greaterThan">
      <formula>1</formula>
    </cfRule>
  </conditionalFormatting>
  <conditionalFormatting sqref="P47">
    <cfRule type="cellIs" dxfId="934" priority="946" operator="greaterThan">
      <formula>1</formula>
    </cfRule>
  </conditionalFormatting>
  <conditionalFormatting sqref="Q47">
    <cfRule type="cellIs" dxfId="933" priority="945" operator="greaterThan">
      <formula>1</formula>
    </cfRule>
  </conditionalFormatting>
  <conditionalFormatting sqref="R47">
    <cfRule type="cellIs" dxfId="932" priority="944" operator="greaterThan">
      <formula>1</formula>
    </cfRule>
  </conditionalFormatting>
  <conditionalFormatting sqref="E47 G47:R47">
    <cfRule type="cellIs" dxfId="931" priority="957" operator="greaterThan">
      <formula>1</formula>
    </cfRule>
  </conditionalFormatting>
  <conditionalFormatting sqref="E47 G47:R47">
    <cfRule type="cellIs" dxfId="930" priority="956" operator="greaterThan">
      <formula>1</formula>
    </cfRule>
  </conditionalFormatting>
  <conditionalFormatting sqref="G47">
    <cfRule type="cellIs" dxfId="929" priority="955" operator="greaterThan">
      <formula>1</formula>
    </cfRule>
  </conditionalFormatting>
  <conditionalFormatting sqref="H47">
    <cfRule type="cellIs" dxfId="928" priority="954" operator="greaterThan">
      <formula>1</formula>
    </cfRule>
  </conditionalFormatting>
  <conditionalFormatting sqref="I47">
    <cfRule type="cellIs" dxfId="927" priority="953" operator="greaterThan">
      <formula>1</formula>
    </cfRule>
  </conditionalFormatting>
  <conditionalFormatting sqref="J47">
    <cfRule type="cellIs" dxfId="926" priority="952" operator="greaterThan">
      <formula>1</formula>
    </cfRule>
  </conditionalFormatting>
  <conditionalFormatting sqref="K47">
    <cfRule type="cellIs" dxfId="925" priority="951" operator="greaterThan">
      <formula>1</formula>
    </cfRule>
  </conditionalFormatting>
  <conditionalFormatting sqref="L47">
    <cfRule type="cellIs" dxfId="924" priority="950" operator="greaterThan">
      <formula>1</formula>
    </cfRule>
  </conditionalFormatting>
  <conditionalFormatting sqref="F47">
    <cfRule type="cellIs" dxfId="923" priority="943" operator="greaterThan">
      <formula>1</formula>
    </cfRule>
  </conditionalFormatting>
  <conditionalFormatting sqref="F47">
    <cfRule type="cellIs" dxfId="922" priority="942" operator="greaterThan">
      <formula>1</formula>
    </cfRule>
  </conditionalFormatting>
  <conditionalFormatting sqref="F47">
    <cfRule type="cellIs" dxfId="921" priority="931" operator="greaterThan">
      <formula>1</formula>
    </cfRule>
  </conditionalFormatting>
  <conditionalFormatting sqref="F47">
    <cfRule type="cellIs" dxfId="920" priority="930" operator="greaterThan">
      <formula>1</formula>
    </cfRule>
  </conditionalFormatting>
  <conditionalFormatting sqref="E47 K47:R47">
    <cfRule type="cellIs" dxfId="919" priority="941" operator="greaterThan">
      <formula>1</formula>
    </cfRule>
  </conditionalFormatting>
  <conditionalFormatting sqref="E47 K47:R47">
    <cfRule type="cellIs" dxfId="918" priority="940" operator="greaterThan">
      <formula>1</formula>
    </cfRule>
  </conditionalFormatting>
  <conditionalFormatting sqref="K47">
    <cfRule type="cellIs" dxfId="917" priority="939" operator="greaterThan">
      <formula>1</formula>
    </cfRule>
  </conditionalFormatting>
  <conditionalFormatting sqref="L47">
    <cfRule type="cellIs" dxfId="916" priority="938" operator="greaterThan">
      <formula>1</formula>
    </cfRule>
  </conditionalFormatting>
  <conditionalFormatting sqref="M47">
    <cfRule type="cellIs" dxfId="915" priority="937" operator="greaterThan">
      <formula>1</formula>
    </cfRule>
  </conditionalFormatting>
  <conditionalFormatting sqref="N47">
    <cfRule type="cellIs" dxfId="914" priority="936" operator="greaterThan">
      <formula>1</formula>
    </cfRule>
  </conditionalFormatting>
  <conditionalFormatting sqref="O47">
    <cfRule type="cellIs" dxfId="913" priority="935" operator="greaterThan">
      <formula>1</formula>
    </cfRule>
  </conditionalFormatting>
  <conditionalFormatting sqref="P47">
    <cfRule type="cellIs" dxfId="912" priority="934" operator="greaterThan">
      <formula>1</formula>
    </cfRule>
  </conditionalFormatting>
  <conditionalFormatting sqref="Q47">
    <cfRule type="cellIs" dxfId="911" priority="933" operator="greaterThan">
      <formula>1</formula>
    </cfRule>
  </conditionalFormatting>
  <conditionalFormatting sqref="R47">
    <cfRule type="cellIs" dxfId="910" priority="932" operator="greaterThan">
      <formula>1</formula>
    </cfRule>
  </conditionalFormatting>
  <conditionalFormatting sqref="G47">
    <cfRule type="cellIs" dxfId="909" priority="929" operator="greaterThan">
      <formula>1</formula>
    </cfRule>
  </conditionalFormatting>
  <conditionalFormatting sqref="G47">
    <cfRule type="cellIs" dxfId="908" priority="928" operator="greaterThan">
      <formula>1</formula>
    </cfRule>
  </conditionalFormatting>
  <conditionalFormatting sqref="H47">
    <cfRule type="cellIs" dxfId="907" priority="927" operator="greaterThan">
      <formula>1</formula>
    </cfRule>
  </conditionalFormatting>
  <conditionalFormatting sqref="H47">
    <cfRule type="cellIs" dxfId="906" priority="926" operator="greaterThan">
      <formula>1</formula>
    </cfRule>
  </conditionalFormatting>
  <conditionalFormatting sqref="I47">
    <cfRule type="cellIs" dxfId="905" priority="925" operator="greaterThan">
      <formula>1</formula>
    </cfRule>
  </conditionalFormatting>
  <conditionalFormatting sqref="I47">
    <cfRule type="cellIs" dxfId="904" priority="924" operator="greaterThan">
      <formula>1</formula>
    </cfRule>
  </conditionalFormatting>
  <conditionalFormatting sqref="J47">
    <cfRule type="cellIs" dxfId="903" priority="923" operator="greaterThan">
      <formula>1</formula>
    </cfRule>
  </conditionalFormatting>
  <conditionalFormatting sqref="J47">
    <cfRule type="cellIs" dxfId="902" priority="922" operator="greaterThan">
      <formula>1</formula>
    </cfRule>
  </conditionalFormatting>
  <conditionalFormatting sqref="L47">
    <cfRule type="cellIs" dxfId="901" priority="906" operator="greaterThan">
      <formula>1</formula>
    </cfRule>
  </conditionalFormatting>
  <conditionalFormatting sqref="L47">
    <cfRule type="cellIs" dxfId="900" priority="905" operator="greaterThan">
      <formula>1</formula>
    </cfRule>
  </conditionalFormatting>
  <conditionalFormatting sqref="E47:K47 R47 N47:P47">
    <cfRule type="cellIs" dxfId="899" priority="921" operator="greaterThan">
      <formula>1</formula>
    </cfRule>
  </conditionalFormatting>
  <conditionalFormatting sqref="E47:K47 R47 N47:P47">
    <cfRule type="cellIs" dxfId="898" priority="920" operator="greaterThan">
      <formula>1</formula>
    </cfRule>
  </conditionalFormatting>
  <conditionalFormatting sqref="G47">
    <cfRule type="cellIs" dxfId="897" priority="919" operator="greaterThan">
      <formula>1</formula>
    </cfRule>
  </conditionalFormatting>
  <conditionalFormatting sqref="H47">
    <cfRule type="cellIs" dxfId="896" priority="918" operator="greaterThan">
      <formula>1</formula>
    </cfRule>
  </conditionalFormatting>
  <conditionalFormatting sqref="I47">
    <cfRule type="cellIs" dxfId="895" priority="917" operator="greaterThan">
      <formula>1</formula>
    </cfRule>
  </conditionalFormatting>
  <conditionalFormatting sqref="J47">
    <cfRule type="cellIs" dxfId="894" priority="916" operator="greaterThan">
      <formula>1</formula>
    </cfRule>
  </conditionalFormatting>
  <conditionalFormatting sqref="K47">
    <cfRule type="cellIs" dxfId="893" priority="915" operator="greaterThan">
      <formula>1</formula>
    </cfRule>
  </conditionalFormatting>
  <conditionalFormatting sqref="N47">
    <cfRule type="cellIs" dxfId="892" priority="914" operator="greaterThan">
      <formula>1</formula>
    </cfRule>
  </conditionalFormatting>
  <conditionalFormatting sqref="O47">
    <cfRule type="cellIs" dxfId="891" priority="913" operator="greaterThan">
      <formula>1</formula>
    </cfRule>
  </conditionalFormatting>
  <conditionalFormatting sqref="P47">
    <cfRule type="cellIs" dxfId="890" priority="912" operator="greaterThan">
      <formula>1</formula>
    </cfRule>
  </conditionalFormatting>
  <conditionalFormatting sqref="R47">
    <cfRule type="cellIs" dxfId="889" priority="911" operator="greaterThan">
      <formula>1</formula>
    </cfRule>
  </conditionalFormatting>
  <conditionalFormatting sqref="Q47">
    <cfRule type="cellIs" dxfId="888" priority="910" operator="greaterThan">
      <formula>1</formula>
    </cfRule>
  </conditionalFormatting>
  <conditionalFormatting sqref="Q47">
    <cfRule type="cellIs" dxfId="887" priority="909" operator="greaterThan">
      <formula>1</formula>
    </cfRule>
  </conditionalFormatting>
  <conditionalFormatting sqref="M47">
    <cfRule type="cellIs" dxfId="886" priority="908" operator="greaterThan">
      <formula>1</formula>
    </cfRule>
  </conditionalFormatting>
  <conditionalFormatting sqref="M47">
    <cfRule type="cellIs" dxfId="885" priority="907" operator="greaterThan">
      <formula>1</formula>
    </cfRule>
  </conditionalFormatting>
  <conditionalFormatting sqref="E47:L47">
    <cfRule type="cellIs" dxfId="884" priority="904" operator="greaterThan">
      <formula>1</formula>
    </cfRule>
  </conditionalFormatting>
  <conditionalFormatting sqref="E47:L47">
    <cfRule type="cellIs" dxfId="883" priority="903" operator="greaterThan">
      <formula>1</formula>
    </cfRule>
  </conditionalFormatting>
  <conditionalFormatting sqref="G47">
    <cfRule type="cellIs" dxfId="882" priority="902" operator="greaterThan">
      <formula>1</formula>
    </cfRule>
  </conditionalFormatting>
  <conditionalFormatting sqref="H47">
    <cfRule type="cellIs" dxfId="881" priority="901" operator="greaterThan">
      <formula>1</formula>
    </cfRule>
  </conditionalFormatting>
  <conditionalFormatting sqref="I47">
    <cfRule type="cellIs" dxfId="880" priority="900" operator="greaterThan">
      <formula>1</formula>
    </cfRule>
  </conditionalFormatting>
  <conditionalFormatting sqref="J47">
    <cfRule type="cellIs" dxfId="879" priority="899" operator="greaterThan">
      <formula>1</formula>
    </cfRule>
  </conditionalFormatting>
  <conditionalFormatting sqref="K47">
    <cfRule type="cellIs" dxfId="878" priority="898" operator="greaterThan">
      <formula>1</formula>
    </cfRule>
  </conditionalFormatting>
  <conditionalFormatting sqref="L47">
    <cfRule type="cellIs" dxfId="877" priority="897" operator="greaterThan">
      <formula>1</formula>
    </cfRule>
  </conditionalFormatting>
  <conditionalFormatting sqref="M47">
    <cfRule type="cellIs" dxfId="876" priority="896" operator="greaterThan">
      <formula>1</formula>
    </cfRule>
  </conditionalFormatting>
  <conditionalFormatting sqref="M47">
    <cfRule type="cellIs" dxfId="875" priority="895" operator="greaterThan">
      <formula>1</formula>
    </cfRule>
  </conditionalFormatting>
  <conditionalFormatting sqref="N47">
    <cfRule type="cellIs" dxfId="874" priority="894" operator="greaterThan">
      <formula>1</formula>
    </cfRule>
  </conditionalFormatting>
  <conditionalFormatting sqref="N47">
    <cfRule type="cellIs" dxfId="873" priority="893" operator="greaterThan">
      <formula>1</formula>
    </cfRule>
  </conditionalFormatting>
  <conditionalFormatting sqref="O47">
    <cfRule type="cellIs" dxfId="872" priority="892" operator="greaterThan">
      <formula>1</formula>
    </cfRule>
  </conditionalFormatting>
  <conditionalFormatting sqref="O47">
    <cfRule type="cellIs" dxfId="871" priority="891" operator="greaterThan">
      <formula>1</formula>
    </cfRule>
  </conditionalFormatting>
  <conditionalFormatting sqref="P47">
    <cfRule type="cellIs" dxfId="870" priority="890" operator="greaterThan">
      <formula>1</formula>
    </cfRule>
  </conditionalFormatting>
  <conditionalFormatting sqref="P47">
    <cfRule type="cellIs" dxfId="869" priority="889" operator="greaterThan">
      <formula>1</formula>
    </cfRule>
  </conditionalFormatting>
  <conditionalFormatting sqref="Q47">
    <cfRule type="cellIs" dxfId="868" priority="888" operator="greaterThan">
      <formula>1</formula>
    </cfRule>
  </conditionalFormatting>
  <conditionalFormatting sqref="Q47">
    <cfRule type="cellIs" dxfId="867" priority="887" operator="greaterThan">
      <formula>1</formula>
    </cfRule>
  </conditionalFormatting>
  <conditionalFormatting sqref="R47">
    <cfRule type="cellIs" dxfId="866" priority="886" operator="greaterThan">
      <formula>1</formula>
    </cfRule>
  </conditionalFormatting>
  <conditionalFormatting sqref="R47">
    <cfRule type="cellIs" dxfId="865" priority="885" operator="greaterThan">
      <formula>1</formula>
    </cfRule>
  </conditionalFormatting>
  <conditionalFormatting sqref="O47">
    <cfRule type="cellIs" dxfId="864" priority="871" operator="greaterThan">
      <formula>1</formula>
    </cfRule>
  </conditionalFormatting>
  <conditionalFormatting sqref="O47">
    <cfRule type="cellIs" dxfId="863" priority="870" operator="greaterThan">
      <formula>1</formula>
    </cfRule>
  </conditionalFormatting>
  <conditionalFormatting sqref="N47">
    <cfRule type="cellIs" dxfId="862" priority="869" operator="greaterThan">
      <formula>1</formula>
    </cfRule>
  </conditionalFormatting>
  <conditionalFormatting sqref="N47">
    <cfRule type="cellIs" dxfId="861" priority="868" operator="greaterThan">
      <formula>1</formula>
    </cfRule>
  </conditionalFormatting>
  <conditionalFormatting sqref="M47">
    <cfRule type="cellIs" dxfId="860" priority="867" operator="greaterThan">
      <formula>1</formula>
    </cfRule>
  </conditionalFormatting>
  <conditionalFormatting sqref="E47:K47">
    <cfRule type="cellIs" dxfId="859" priority="884" operator="greaterThan">
      <formula>1</formula>
    </cfRule>
  </conditionalFormatting>
  <conditionalFormatting sqref="E47:K47">
    <cfRule type="cellIs" dxfId="858" priority="883" operator="greaterThan">
      <formula>1</formula>
    </cfRule>
  </conditionalFormatting>
  <conditionalFormatting sqref="G47">
    <cfRule type="cellIs" dxfId="857" priority="882" operator="greaterThan">
      <formula>1</formula>
    </cfRule>
  </conditionalFormatting>
  <conditionalFormatting sqref="H47">
    <cfRule type="cellIs" dxfId="856" priority="881" operator="greaterThan">
      <formula>1</formula>
    </cfRule>
  </conditionalFormatting>
  <conditionalFormatting sqref="I47">
    <cfRule type="cellIs" dxfId="855" priority="880" operator="greaterThan">
      <formula>1</formula>
    </cfRule>
  </conditionalFormatting>
  <conditionalFormatting sqref="J47">
    <cfRule type="cellIs" dxfId="854" priority="879" operator="greaterThan">
      <formula>1</formula>
    </cfRule>
  </conditionalFormatting>
  <conditionalFormatting sqref="K47">
    <cfRule type="cellIs" dxfId="853" priority="878" operator="greaterThan">
      <formula>1</formula>
    </cfRule>
  </conditionalFormatting>
  <conditionalFormatting sqref="R47">
    <cfRule type="cellIs" dxfId="852" priority="877" operator="greaterThan">
      <formula>1</formula>
    </cfRule>
  </conditionalFormatting>
  <conditionalFormatting sqref="R47">
    <cfRule type="cellIs" dxfId="851" priority="876" operator="greaterThan">
      <formula>1</formula>
    </cfRule>
  </conditionalFormatting>
  <conditionalFormatting sqref="Q47">
    <cfRule type="cellIs" dxfId="850" priority="875" operator="greaterThan">
      <formula>1</formula>
    </cfRule>
  </conditionalFormatting>
  <conditionalFormatting sqref="Q47">
    <cfRule type="cellIs" dxfId="849" priority="874" operator="greaterThan">
      <formula>1</formula>
    </cfRule>
  </conditionalFormatting>
  <conditionalFormatting sqref="P47">
    <cfRule type="cellIs" dxfId="848" priority="873" operator="greaterThan">
      <formula>1</formula>
    </cfRule>
  </conditionalFormatting>
  <conditionalFormatting sqref="P47">
    <cfRule type="cellIs" dxfId="847" priority="872" operator="greaterThan">
      <formula>1</formula>
    </cfRule>
  </conditionalFormatting>
  <conditionalFormatting sqref="M47">
    <cfRule type="cellIs" dxfId="846" priority="866" operator="greaterThan">
      <formula>1</formula>
    </cfRule>
  </conditionalFormatting>
  <conditionalFormatting sqref="L47">
    <cfRule type="cellIs" dxfId="845" priority="865" operator="greaterThan">
      <formula>1</formula>
    </cfRule>
  </conditionalFormatting>
  <conditionalFormatting sqref="L47">
    <cfRule type="cellIs" dxfId="844" priority="864" operator="greaterThan">
      <formula>1</formula>
    </cfRule>
  </conditionalFormatting>
  <conditionalFormatting sqref="E47:G47 I47:J47 P47:R47">
    <cfRule type="cellIs" dxfId="843" priority="863" operator="greaterThan">
      <formula>1</formula>
    </cfRule>
  </conditionalFormatting>
  <conditionalFormatting sqref="E47:G47 I47:J47 P47:R47">
    <cfRule type="cellIs" dxfId="842" priority="862" operator="greaterThan">
      <formula>1</formula>
    </cfRule>
  </conditionalFormatting>
  <conditionalFormatting sqref="G47">
    <cfRule type="cellIs" dxfId="841" priority="861" operator="greaterThan">
      <formula>1</formula>
    </cfRule>
  </conditionalFormatting>
  <conditionalFormatting sqref="I47">
    <cfRule type="cellIs" dxfId="840" priority="860" operator="greaterThan">
      <formula>1</formula>
    </cfRule>
  </conditionalFormatting>
  <conditionalFormatting sqref="J47">
    <cfRule type="cellIs" dxfId="839" priority="859" operator="greaterThan">
      <formula>1</formula>
    </cfRule>
  </conditionalFormatting>
  <conditionalFormatting sqref="P47">
    <cfRule type="cellIs" dxfId="838" priority="858" operator="greaterThan">
      <formula>1</formula>
    </cfRule>
  </conditionalFormatting>
  <conditionalFormatting sqref="Q47">
    <cfRule type="cellIs" dxfId="837" priority="857" operator="greaterThan">
      <formula>1</formula>
    </cfRule>
  </conditionalFormatting>
  <conditionalFormatting sqref="R47">
    <cfRule type="cellIs" dxfId="836" priority="856" operator="greaterThan">
      <formula>1</formula>
    </cfRule>
  </conditionalFormatting>
  <conditionalFormatting sqref="H47">
    <cfRule type="cellIs" dxfId="835" priority="855" operator="greaterThan">
      <formula>1</formula>
    </cfRule>
  </conditionalFormatting>
  <conditionalFormatting sqref="H47">
    <cfRule type="cellIs" dxfId="834" priority="854" operator="greaterThan">
      <formula>1</formula>
    </cfRule>
  </conditionalFormatting>
  <conditionalFormatting sqref="K47">
    <cfRule type="cellIs" dxfId="833" priority="853" operator="greaterThan">
      <formula>1</formula>
    </cfRule>
  </conditionalFormatting>
  <conditionalFormatting sqref="K47">
    <cfRule type="cellIs" dxfId="832" priority="852" operator="greaterThan">
      <formula>1</formula>
    </cfRule>
  </conditionalFormatting>
  <conditionalFormatting sqref="L47">
    <cfRule type="cellIs" dxfId="831" priority="851" operator="greaterThan">
      <formula>1</formula>
    </cfRule>
  </conditionalFormatting>
  <conditionalFormatting sqref="L47">
    <cfRule type="cellIs" dxfId="830" priority="850" operator="greaterThan">
      <formula>1</formula>
    </cfRule>
  </conditionalFormatting>
  <conditionalFormatting sqref="M47">
    <cfRule type="cellIs" dxfId="829" priority="849" operator="greaterThan">
      <formula>1</formula>
    </cfRule>
  </conditionalFormatting>
  <conditionalFormatting sqref="M47">
    <cfRule type="cellIs" dxfId="828" priority="848" operator="greaterThan">
      <formula>1</formula>
    </cfRule>
  </conditionalFormatting>
  <conditionalFormatting sqref="N47">
    <cfRule type="cellIs" dxfId="827" priority="847" operator="greaterThan">
      <formula>1</formula>
    </cfRule>
  </conditionalFormatting>
  <conditionalFormatting sqref="N47">
    <cfRule type="cellIs" dxfId="826" priority="846" operator="greaterThan">
      <formula>1</formula>
    </cfRule>
  </conditionalFormatting>
  <conditionalFormatting sqref="O47">
    <cfRule type="cellIs" dxfId="825" priority="845" operator="greaterThan">
      <formula>1</formula>
    </cfRule>
  </conditionalFormatting>
  <conditionalFormatting sqref="O47">
    <cfRule type="cellIs" dxfId="824" priority="844" operator="greaterThan">
      <formula>1</formula>
    </cfRule>
  </conditionalFormatting>
  <conditionalFormatting sqref="R47">
    <cfRule type="cellIs" dxfId="823" priority="838" operator="greaterThan">
      <formula>1</formula>
    </cfRule>
  </conditionalFormatting>
  <conditionalFormatting sqref="R47">
    <cfRule type="cellIs" dxfId="822" priority="837" operator="greaterThan">
      <formula>1</formula>
    </cfRule>
  </conditionalFormatting>
  <conditionalFormatting sqref="Q47">
    <cfRule type="cellIs" dxfId="821" priority="836" operator="greaterThan">
      <formula>1</formula>
    </cfRule>
  </conditionalFormatting>
  <conditionalFormatting sqref="Q47">
    <cfRule type="cellIs" dxfId="820" priority="835" operator="greaterThan">
      <formula>1</formula>
    </cfRule>
  </conditionalFormatting>
  <conditionalFormatting sqref="P47">
    <cfRule type="cellIs" dxfId="819" priority="834" operator="greaterThan">
      <formula>1</formula>
    </cfRule>
  </conditionalFormatting>
  <conditionalFormatting sqref="P47">
    <cfRule type="cellIs" dxfId="818" priority="833" operator="greaterThan">
      <formula>1</formula>
    </cfRule>
  </conditionalFormatting>
  <conditionalFormatting sqref="O47">
    <cfRule type="cellIs" dxfId="817" priority="832" operator="greaterThan">
      <formula>1</formula>
    </cfRule>
  </conditionalFormatting>
  <conditionalFormatting sqref="E47:I47">
    <cfRule type="cellIs" dxfId="816" priority="843" operator="greaterThan">
      <formula>1</formula>
    </cfRule>
  </conditionalFormatting>
  <conditionalFormatting sqref="E47:I47">
    <cfRule type="cellIs" dxfId="815" priority="842" operator="greaterThan">
      <formula>1</formula>
    </cfRule>
  </conditionalFormatting>
  <conditionalFormatting sqref="G47">
    <cfRule type="cellIs" dxfId="814" priority="841" operator="greaterThan">
      <formula>1</formula>
    </cfRule>
  </conditionalFormatting>
  <conditionalFormatting sqref="H47">
    <cfRule type="cellIs" dxfId="813" priority="840" operator="greaterThan">
      <formula>1</formula>
    </cfRule>
  </conditionalFormatting>
  <conditionalFormatting sqref="I47">
    <cfRule type="cellIs" dxfId="812" priority="839" operator="greaterThan">
      <formula>1</formula>
    </cfRule>
  </conditionalFormatting>
  <conditionalFormatting sqref="O47">
    <cfRule type="cellIs" dxfId="811" priority="831" operator="greaterThan">
      <formula>1</formula>
    </cfRule>
  </conditionalFormatting>
  <conditionalFormatting sqref="N47">
    <cfRule type="cellIs" dxfId="810" priority="830" operator="greaterThan">
      <formula>1</formula>
    </cfRule>
  </conditionalFormatting>
  <conditionalFormatting sqref="N47">
    <cfRule type="cellIs" dxfId="809" priority="829" operator="greaterThan">
      <formula>1</formula>
    </cfRule>
  </conditionalFormatting>
  <conditionalFormatting sqref="M47">
    <cfRule type="cellIs" dxfId="808" priority="828" operator="greaterThan">
      <formula>1</formula>
    </cfRule>
  </conditionalFormatting>
  <conditionalFormatting sqref="M47">
    <cfRule type="cellIs" dxfId="807" priority="827" operator="greaterThan">
      <formula>1</formula>
    </cfRule>
  </conditionalFormatting>
  <conditionalFormatting sqref="L47">
    <cfRule type="cellIs" dxfId="806" priority="826" operator="greaterThan">
      <formula>1</formula>
    </cfRule>
  </conditionalFormatting>
  <conditionalFormatting sqref="L47">
    <cfRule type="cellIs" dxfId="805" priority="825" operator="greaterThan">
      <formula>1</formula>
    </cfRule>
  </conditionalFormatting>
  <conditionalFormatting sqref="K47">
    <cfRule type="cellIs" dxfId="804" priority="824" operator="greaterThan">
      <formula>1</formula>
    </cfRule>
  </conditionalFormatting>
  <conditionalFormatting sqref="K47">
    <cfRule type="cellIs" dxfId="803" priority="823" operator="greaterThan">
      <formula>1</formula>
    </cfRule>
  </conditionalFormatting>
  <conditionalFormatting sqref="J47">
    <cfRule type="cellIs" dxfId="802" priority="822" operator="greaterThan">
      <formula>1</formula>
    </cfRule>
  </conditionalFormatting>
  <conditionalFormatting sqref="J47">
    <cfRule type="cellIs" dxfId="801" priority="821" operator="greaterThan">
      <formula>1</formula>
    </cfRule>
  </conditionalFormatting>
  <conditionalFormatting sqref="O47">
    <cfRule type="cellIs" dxfId="800" priority="798" operator="greaterThan">
      <formula>1</formula>
    </cfRule>
  </conditionalFormatting>
  <conditionalFormatting sqref="E47 P47:R47 M47:N47">
    <cfRule type="cellIs" dxfId="799" priority="820" operator="greaterThan">
      <formula>1</formula>
    </cfRule>
  </conditionalFormatting>
  <conditionalFormatting sqref="E47 P47:R47 M47:N47">
    <cfRule type="cellIs" dxfId="798" priority="819" operator="greaterThan">
      <formula>1</formula>
    </cfRule>
  </conditionalFormatting>
  <conditionalFormatting sqref="M47">
    <cfRule type="cellIs" dxfId="797" priority="818" operator="greaterThan">
      <formula>1</formula>
    </cfRule>
  </conditionalFormatting>
  <conditionalFormatting sqref="N47">
    <cfRule type="cellIs" dxfId="796" priority="817" operator="greaterThan">
      <formula>1</formula>
    </cfRule>
  </conditionalFormatting>
  <conditionalFormatting sqref="P47">
    <cfRule type="cellIs" dxfId="795" priority="816" operator="greaterThan">
      <formula>1</formula>
    </cfRule>
  </conditionalFormatting>
  <conditionalFormatting sqref="Q47">
    <cfRule type="cellIs" dxfId="794" priority="815" operator="greaterThan">
      <formula>1</formula>
    </cfRule>
  </conditionalFormatting>
  <conditionalFormatting sqref="R47">
    <cfRule type="cellIs" dxfId="793" priority="814" operator="greaterThan">
      <formula>1</formula>
    </cfRule>
  </conditionalFormatting>
  <conditionalFormatting sqref="F47">
    <cfRule type="cellIs" dxfId="792" priority="813" operator="greaterThan">
      <formula>1</formula>
    </cfRule>
  </conditionalFormatting>
  <conditionalFormatting sqref="F47">
    <cfRule type="cellIs" dxfId="791" priority="812" operator="greaterThan">
      <formula>1</formula>
    </cfRule>
  </conditionalFormatting>
  <conditionalFormatting sqref="G47">
    <cfRule type="cellIs" dxfId="790" priority="811" operator="greaterThan">
      <formula>1</formula>
    </cfRule>
  </conditionalFormatting>
  <conditionalFormatting sqref="G47">
    <cfRule type="cellIs" dxfId="789" priority="810" operator="greaterThan">
      <formula>1</formula>
    </cfRule>
  </conditionalFormatting>
  <conditionalFormatting sqref="H47">
    <cfRule type="cellIs" dxfId="788" priority="809" operator="greaterThan">
      <formula>1</formula>
    </cfRule>
  </conditionalFormatting>
  <conditionalFormatting sqref="H47">
    <cfRule type="cellIs" dxfId="787" priority="808" operator="greaterThan">
      <formula>1</formula>
    </cfRule>
  </conditionalFormatting>
  <conditionalFormatting sqref="I47">
    <cfRule type="cellIs" dxfId="786" priority="807" operator="greaterThan">
      <formula>1</formula>
    </cfRule>
  </conditionalFormatting>
  <conditionalFormatting sqref="I47">
    <cfRule type="cellIs" dxfId="785" priority="806" operator="greaterThan">
      <formula>1</formula>
    </cfRule>
  </conditionalFormatting>
  <conditionalFormatting sqref="J47">
    <cfRule type="cellIs" dxfId="784" priority="805" operator="greaterThan">
      <formula>1</formula>
    </cfRule>
  </conditionalFormatting>
  <conditionalFormatting sqref="J47">
    <cfRule type="cellIs" dxfId="783" priority="804" operator="greaterThan">
      <formula>1</formula>
    </cfRule>
  </conditionalFormatting>
  <conditionalFormatting sqref="K47">
    <cfRule type="cellIs" dxfId="782" priority="803" operator="greaterThan">
      <formula>1</formula>
    </cfRule>
  </conditionalFormatting>
  <conditionalFormatting sqref="K47">
    <cfRule type="cellIs" dxfId="781" priority="802" operator="greaterThan">
      <formula>1</formula>
    </cfRule>
  </conditionalFormatting>
  <conditionalFormatting sqref="L47">
    <cfRule type="cellIs" dxfId="780" priority="801" operator="greaterThan">
      <formula>1</formula>
    </cfRule>
  </conditionalFormatting>
  <conditionalFormatting sqref="L47">
    <cfRule type="cellIs" dxfId="779" priority="800" operator="greaterThan">
      <formula>1</formula>
    </cfRule>
  </conditionalFormatting>
  <conditionalFormatting sqref="O47">
    <cfRule type="cellIs" dxfId="778" priority="799" operator="greaterThan">
      <formula>1</formula>
    </cfRule>
  </conditionalFormatting>
  <conditionalFormatting sqref="G47:R47">
    <cfRule type="cellIs" dxfId="777" priority="797" operator="greaterThan">
      <formula>1</formula>
    </cfRule>
  </conditionalFormatting>
  <conditionalFormatting sqref="G47:R47">
    <cfRule type="cellIs" dxfId="776" priority="796" operator="greaterThan">
      <formula>1</formula>
    </cfRule>
  </conditionalFormatting>
  <conditionalFormatting sqref="G47">
    <cfRule type="cellIs" dxfId="775" priority="795" operator="greaterThan">
      <formula>1</formula>
    </cfRule>
  </conditionalFormatting>
  <conditionalFormatting sqref="H47">
    <cfRule type="cellIs" dxfId="774" priority="794" operator="greaterThan">
      <formula>1</formula>
    </cfRule>
  </conditionalFormatting>
  <conditionalFormatting sqref="I47">
    <cfRule type="cellIs" dxfId="773" priority="793" operator="greaterThan">
      <formula>1</formula>
    </cfRule>
  </conditionalFormatting>
  <conditionalFormatting sqref="J47">
    <cfRule type="cellIs" dxfId="772" priority="792" operator="greaterThan">
      <formula>1</formula>
    </cfRule>
  </conditionalFormatting>
  <conditionalFormatting sqref="K47">
    <cfRule type="cellIs" dxfId="771" priority="791" operator="greaterThan">
      <formula>1</formula>
    </cfRule>
  </conditionalFormatting>
  <conditionalFormatting sqref="L47">
    <cfRule type="cellIs" dxfId="770" priority="790" operator="greaterThan">
      <formula>1</formula>
    </cfRule>
  </conditionalFormatting>
  <conditionalFormatting sqref="M47">
    <cfRule type="cellIs" dxfId="769" priority="789" operator="greaterThan">
      <formula>1</formula>
    </cfRule>
  </conditionalFormatting>
  <conditionalFormatting sqref="N47">
    <cfRule type="cellIs" dxfId="768" priority="788" operator="greaterThan">
      <formula>1</formula>
    </cfRule>
  </conditionalFormatting>
  <conditionalFormatting sqref="O47">
    <cfRule type="cellIs" dxfId="767" priority="787" operator="greaterThan">
      <formula>1</formula>
    </cfRule>
  </conditionalFormatting>
  <conditionalFormatting sqref="P47">
    <cfRule type="cellIs" dxfId="766" priority="786" operator="greaterThan">
      <formula>1</formula>
    </cfRule>
  </conditionalFormatting>
  <conditionalFormatting sqref="Q47">
    <cfRule type="cellIs" dxfId="765" priority="785" operator="greaterThan">
      <formula>1</formula>
    </cfRule>
  </conditionalFormatting>
  <conditionalFormatting sqref="R47">
    <cfRule type="cellIs" dxfId="764" priority="784" operator="greaterThan">
      <formula>1</formula>
    </cfRule>
  </conditionalFormatting>
  <conditionalFormatting sqref="F47">
    <cfRule type="cellIs" dxfId="763" priority="783" operator="greaterThan">
      <formula>1</formula>
    </cfRule>
  </conditionalFormatting>
  <conditionalFormatting sqref="F47">
    <cfRule type="cellIs" dxfId="762" priority="782" operator="greaterThan">
      <formula>1</formula>
    </cfRule>
  </conditionalFormatting>
  <conditionalFormatting sqref="E47">
    <cfRule type="cellIs" dxfId="761" priority="781" operator="greaterThan">
      <formula>1</formula>
    </cfRule>
  </conditionalFormatting>
  <conditionalFormatting sqref="E47">
    <cfRule type="cellIs" dxfId="760" priority="780" operator="greaterThan">
      <formula>1</formula>
    </cfRule>
  </conditionalFormatting>
  <conditionalFormatting sqref="E47:Q47">
    <cfRule type="cellIs" dxfId="759" priority="779" operator="greaterThan">
      <formula>1</formula>
    </cfRule>
  </conditionalFormatting>
  <conditionalFormatting sqref="R47">
    <cfRule type="cellIs" dxfId="758" priority="778" operator="greaterThan">
      <formula>1</formula>
    </cfRule>
  </conditionalFormatting>
  <conditionalFormatting sqref="R47">
    <cfRule type="cellIs" dxfId="757" priority="777" operator="greaterThan">
      <formula>1</formula>
    </cfRule>
  </conditionalFormatting>
  <conditionalFormatting sqref="E47:R47">
    <cfRule type="cellIs" dxfId="756" priority="776" operator="greaterThan">
      <formula>1</formula>
    </cfRule>
  </conditionalFormatting>
  <conditionalFormatting sqref="E47:R47">
    <cfRule type="cellIs" dxfId="755" priority="775" operator="greaterThan">
      <formula>1</formula>
    </cfRule>
  </conditionalFormatting>
  <conditionalFormatting sqref="G47">
    <cfRule type="cellIs" dxfId="754" priority="774" operator="greaterThan">
      <formula>1</formula>
    </cfRule>
  </conditionalFormatting>
  <conditionalFormatting sqref="H47">
    <cfRule type="cellIs" dxfId="753" priority="773" operator="greaterThan">
      <formula>1</formula>
    </cfRule>
  </conditionalFormatting>
  <conditionalFormatting sqref="I47">
    <cfRule type="cellIs" dxfId="752" priority="772" operator="greaterThan">
      <formula>1</formula>
    </cfRule>
  </conditionalFormatting>
  <conditionalFormatting sqref="J47">
    <cfRule type="cellIs" dxfId="751" priority="771" operator="greaterThan">
      <formula>1</formula>
    </cfRule>
  </conditionalFormatting>
  <conditionalFormatting sqref="K47">
    <cfRule type="cellIs" dxfId="750" priority="770" operator="greaterThan">
      <formula>1</formula>
    </cfRule>
  </conditionalFormatting>
  <conditionalFormatting sqref="L47">
    <cfRule type="cellIs" dxfId="749" priority="769" operator="greaterThan">
      <formula>1</formula>
    </cfRule>
  </conditionalFormatting>
  <conditionalFormatting sqref="M47">
    <cfRule type="cellIs" dxfId="748" priority="768" operator="greaterThan">
      <formula>1</formula>
    </cfRule>
  </conditionalFormatting>
  <conditionalFormatting sqref="N47">
    <cfRule type="cellIs" dxfId="747" priority="767" operator="greaterThan">
      <formula>1</formula>
    </cfRule>
  </conditionalFormatting>
  <conditionalFormatting sqref="O47">
    <cfRule type="cellIs" dxfId="746" priority="766" operator="greaterThan">
      <formula>1</formula>
    </cfRule>
  </conditionalFormatting>
  <conditionalFormatting sqref="P47">
    <cfRule type="cellIs" dxfId="745" priority="765" operator="greaterThan">
      <formula>1</formula>
    </cfRule>
  </conditionalFormatting>
  <conditionalFormatting sqref="Q47">
    <cfRule type="cellIs" dxfId="744" priority="764" operator="greaterThan">
      <formula>1</formula>
    </cfRule>
  </conditionalFormatting>
  <conditionalFormatting sqref="R47">
    <cfRule type="cellIs" dxfId="743" priority="763" operator="greaterThan">
      <formula>1</formula>
    </cfRule>
  </conditionalFormatting>
  <conditionalFormatting sqref="P49">
    <cfRule type="cellIs" dxfId="742" priority="755" operator="greaterThan">
      <formula>1</formula>
    </cfRule>
  </conditionalFormatting>
  <conditionalFormatting sqref="Q49">
    <cfRule type="cellIs" dxfId="741" priority="754" operator="greaterThan">
      <formula>1</formula>
    </cfRule>
  </conditionalFormatting>
  <conditionalFormatting sqref="R49">
    <cfRule type="cellIs" dxfId="740" priority="753" operator="greaterThan">
      <formula>1</formula>
    </cfRule>
  </conditionalFormatting>
  <conditionalFormatting sqref="L49">
    <cfRule type="cellIs" dxfId="739" priority="759" operator="greaterThan">
      <formula>1</formula>
    </cfRule>
  </conditionalFormatting>
  <conditionalFormatting sqref="M49">
    <cfRule type="cellIs" dxfId="738" priority="758" operator="greaterThan">
      <formula>1</formula>
    </cfRule>
  </conditionalFormatting>
  <conditionalFormatting sqref="N49">
    <cfRule type="cellIs" dxfId="737" priority="757" operator="greaterThan">
      <formula>1</formula>
    </cfRule>
  </conditionalFormatting>
  <conditionalFormatting sqref="O49">
    <cfRule type="cellIs" dxfId="736" priority="756" operator="greaterThan">
      <formula>1</formula>
    </cfRule>
  </conditionalFormatting>
  <conditionalFormatting sqref="K49">
    <cfRule type="cellIs" dxfId="735" priority="760" operator="greaterThan">
      <formula>1</formula>
    </cfRule>
  </conditionalFormatting>
  <conditionalFormatting sqref="E49 K49:R49">
    <cfRule type="cellIs" dxfId="734" priority="762" operator="greaterThan">
      <formula>1</formula>
    </cfRule>
  </conditionalFormatting>
  <conditionalFormatting sqref="E49 K49:R49">
    <cfRule type="cellIs" dxfId="733" priority="761" operator="greaterThan">
      <formula>1</formula>
    </cfRule>
  </conditionalFormatting>
  <conditionalFormatting sqref="J49">
    <cfRule type="cellIs" dxfId="732" priority="744" operator="greaterThan">
      <formula>1</formula>
    </cfRule>
  </conditionalFormatting>
  <conditionalFormatting sqref="J49">
    <cfRule type="cellIs" dxfId="731" priority="743" operator="greaterThan">
      <formula>1</formula>
    </cfRule>
  </conditionalFormatting>
  <conditionalFormatting sqref="F49">
    <cfRule type="cellIs" dxfId="730" priority="752" operator="greaterThan">
      <formula>1</formula>
    </cfRule>
  </conditionalFormatting>
  <conditionalFormatting sqref="F49">
    <cfRule type="cellIs" dxfId="729" priority="751" operator="greaterThan">
      <formula>1</formula>
    </cfRule>
  </conditionalFormatting>
  <conditionalFormatting sqref="G49">
    <cfRule type="cellIs" dxfId="728" priority="750" operator="greaterThan">
      <formula>1</formula>
    </cfRule>
  </conditionalFormatting>
  <conditionalFormatting sqref="G49">
    <cfRule type="cellIs" dxfId="727" priority="749" operator="greaterThan">
      <formula>1</formula>
    </cfRule>
  </conditionalFormatting>
  <conditionalFormatting sqref="H49">
    <cfRule type="cellIs" dxfId="726" priority="748" operator="greaterThan">
      <formula>1</formula>
    </cfRule>
  </conditionalFormatting>
  <conditionalFormatting sqref="H49">
    <cfRule type="cellIs" dxfId="725" priority="747" operator="greaterThan">
      <formula>1</formula>
    </cfRule>
  </conditionalFormatting>
  <conditionalFormatting sqref="I49">
    <cfRule type="cellIs" dxfId="724" priority="746" operator="greaterThan">
      <formula>1</formula>
    </cfRule>
  </conditionalFormatting>
  <conditionalFormatting sqref="I49">
    <cfRule type="cellIs" dxfId="723" priority="745" operator="greaterThan">
      <formula>1</formula>
    </cfRule>
  </conditionalFormatting>
  <conditionalFormatting sqref="M49">
    <cfRule type="cellIs" dxfId="722" priority="734" operator="greaterThan">
      <formula>1</formula>
    </cfRule>
  </conditionalFormatting>
  <conditionalFormatting sqref="N49">
    <cfRule type="cellIs" dxfId="721" priority="733" operator="greaterThan">
      <formula>1</formula>
    </cfRule>
  </conditionalFormatting>
  <conditionalFormatting sqref="O49">
    <cfRule type="cellIs" dxfId="720" priority="732" operator="greaterThan">
      <formula>1</formula>
    </cfRule>
  </conditionalFormatting>
  <conditionalFormatting sqref="P49">
    <cfRule type="cellIs" dxfId="719" priority="731" operator="greaterThan">
      <formula>1</formula>
    </cfRule>
  </conditionalFormatting>
  <conditionalFormatting sqref="Q49">
    <cfRule type="cellIs" dxfId="718" priority="730" operator="greaterThan">
      <formula>1</formula>
    </cfRule>
  </conditionalFormatting>
  <conditionalFormatting sqref="R49">
    <cfRule type="cellIs" dxfId="717" priority="729" operator="greaterThan">
      <formula>1</formula>
    </cfRule>
  </conditionalFormatting>
  <conditionalFormatting sqref="E49 G49:R49">
    <cfRule type="cellIs" dxfId="716" priority="742" operator="greaterThan">
      <formula>1</formula>
    </cfRule>
  </conditionalFormatting>
  <conditionalFormatting sqref="E49 G49:R49">
    <cfRule type="cellIs" dxfId="715" priority="741" operator="greaterThan">
      <formula>1</formula>
    </cfRule>
  </conditionalFormatting>
  <conditionalFormatting sqref="G49">
    <cfRule type="cellIs" dxfId="714" priority="740" operator="greaterThan">
      <formula>1</formula>
    </cfRule>
  </conditionalFormatting>
  <conditionalFormatting sqref="H49">
    <cfRule type="cellIs" dxfId="713" priority="739" operator="greaterThan">
      <formula>1</formula>
    </cfRule>
  </conditionalFormatting>
  <conditionalFormatting sqref="I49">
    <cfRule type="cellIs" dxfId="712" priority="738" operator="greaterThan">
      <formula>1</formula>
    </cfRule>
  </conditionalFormatting>
  <conditionalFormatting sqref="J49">
    <cfRule type="cellIs" dxfId="711" priority="737" operator="greaterThan">
      <formula>1</formula>
    </cfRule>
  </conditionalFormatting>
  <conditionalFormatting sqref="K49">
    <cfRule type="cellIs" dxfId="710" priority="736" operator="greaterThan">
      <formula>1</formula>
    </cfRule>
  </conditionalFormatting>
  <conditionalFormatting sqref="L49">
    <cfRule type="cellIs" dxfId="709" priority="735" operator="greaterThan">
      <formula>1</formula>
    </cfRule>
  </conditionalFormatting>
  <conditionalFormatting sqref="F49">
    <cfRule type="cellIs" dxfId="708" priority="728" operator="greaterThan">
      <formula>1</formula>
    </cfRule>
  </conditionalFormatting>
  <conditionalFormatting sqref="F49">
    <cfRule type="cellIs" dxfId="707" priority="727" operator="greaterThan">
      <formula>1</formula>
    </cfRule>
  </conditionalFormatting>
  <conditionalFormatting sqref="F49">
    <cfRule type="cellIs" dxfId="706" priority="716" operator="greaterThan">
      <formula>1</formula>
    </cfRule>
  </conditionalFormatting>
  <conditionalFormatting sqref="F49">
    <cfRule type="cellIs" dxfId="705" priority="715" operator="greaterThan">
      <formula>1</formula>
    </cfRule>
  </conditionalFormatting>
  <conditionalFormatting sqref="E49 K49:R49">
    <cfRule type="cellIs" dxfId="704" priority="726" operator="greaterThan">
      <formula>1</formula>
    </cfRule>
  </conditionalFormatting>
  <conditionalFormatting sqref="E49 K49:R49">
    <cfRule type="cellIs" dxfId="703" priority="725" operator="greaterThan">
      <formula>1</formula>
    </cfRule>
  </conditionalFormatting>
  <conditionalFormatting sqref="K49">
    <cfRule type="cellIs" dxfId="702" priority="724" operator="greaterThan">
      <formula>1</formula>
    </cfRule>
  </conditionalFormatting>
  <conditionalFormatting sqref="L49">
    <cfRule type="cellIs" dxfId="701" priority="723" operator="greaterThan">
      <formula>1</formula>
    </cfRule>
  </conditionalFormatting>
  <conditionalFormatting sqref="M49">
    <cfRule type="cellIs" dxfId="700" priority="722" operator="greaterThan">
      <formula>1</formula>
    </cfRule>
  </conditionalFormatting>
  <conditionalFormatting sqref="N49">
    <cfRule type="cellIs" dxfId="699" priority="721" operator="greaterThan">
      <formula>1</formula>
    </cfRule>
  </conditionalFormatting>
  <conditionalFormatting sqref="O49">
    <cfRule type="cellIs" dxfId="698" priority="720" operator="greaterThan">
      <formula>1</formula>
    </cfRule>
  </conditionalFormatting>
  <conditionalFormatting sqref="P49">
    <cfRule type="cellIs" dxfId="697" priority="719" operator="greaterThan">
      <formula>1</formula>
    </cfRule>
  </conditionalFormatting>
  <conditionalFormatting sqref="Q49">
    <cfRule type="cellIs" dxfId="696" priority="718" operator="greaterThan">
      <formula>1</formula>
    </cfRule>
  </conditionalFormatting>
  <conditionalFormatting sqref="R49">
    <cfRule type="cellIs" dxfId="695" priority="717" operator="greaterThan">
      <formula>1</formula>
    </cfRule>
  </conditionalFormatting>
  <conditionalFormatting sqref="G49">
    <cfRule type="cellIs" dxfId="694" priority="714" operator="greaterThan">
      <formula>1</formula>
    </cfRule>
  </conditionalFormatting>
  <conditionalFormatting sqref="G49">
    <cfRule type="cellIs" dxfId="693" priority="713" operator="greaterThan">
      <formula>1</formula>
    </cfRule>
  </conditionalFormatting>
  <conditionalFormatting sqref="H49">
    <cfRule type="cellIs" dxfId="692" priority="712" operator="greaterThan">
      <formula>1</formula>
    </cfRule>
  </conditionalFormatting>
  <conditionalFormatting sqref="H49">
    <cfRule type="cellIs" dxfId="691" priority="711" operator="greaterThan">
      <formula>1</formula>
    </cfRule>
  </conditionalFormatting>
  <conditionalFormatting sqref="I49">
    <cfRule type="cellIs" dxfId="690" priority="710" operator="greaterThan">
      <formula>1</formula>
    </cfRule>
  </conditionalFormatting>
  <conditionalFormatting sqref="I49">
    <cfRule type="cellIs" dxfId="689" priority="709" operator="greaterThan">
      <formula>1</formula>
    </cfRule>
  </conditionalFormatting>
  <conditionalFormatting sqref="J49">
    <cfRule type="cellIs" dxfId="688" priority="708" operator="greaterThan">
      <formula>1</formula>
    </cfRule>
  </conditionalFormatting>
  <conditionalFormatting sqref="J49">
    <cfRule type="cellIs" dxfId="687" priority="707" operator="greaterThan">
      <formula>1</formula>
    </cfRule>
  </conditionalFormatting>
  <conditionalFormatting sqref="L49">
    <cfRule type="cellIs" dxfId="686" priority="691" operator="greaterThan">
      <formula>1</formula>
    </cfRule>
  </conditionalFormatting>
  <conditionalFormatting sqref="L49">
    <cfRule type="cellIs" dxfId="685" priority="690" operator="greaterThan">
      <formula>1</formula>
    </cfRule>
  </conditionalFormatting>
  <conditionalFormatting sqref="E49:K49 R49 N49:P49">
    <cfRule type="cellIs" dxfId="684" priority="706" operator="greaterThan">
      <formula>1</formula>
    </cfRule>
  </conditionalFormatting>
  <conditionalFormatting sqref="E49:K49 R49 N49:P49">
    <cfRule type="cellIs" dxfId="683" priority="705" operator="greaterThan">
      <formula>1</formula>
    </cfRule>
  </conditionalFormatting>
  <conditionalFormatting sqref="G49">
    <cfRule type="cellIs" dxfId="682" priority="704" operator="greaterThan">
      <formula>1</formula>
    </cfRule>
  </conditionalFormatting>
  <conditionalFormatting sqref="H49">
    <cfRule type="cellIs" dxfId="681" priority="703" operator="greaterThan">
      <formula>1</formula>
    </cfRule>
  </conditionalFormatting>
  <conditionalFormatting sqref="I49">
    <cfRule type="cellIs" dxfId="680" priority="702" operator="greaterThan">
      <formula>1</formula>
    </cfRule>
  </conditionalFormatting>
  <conditionalFormatting sqref="J49">
    <cfRule type="cellIs" dxfId="679" priority="701" operator="greaterThan">
      <formula>1</formula>
    </cfRule>
  </conditionalFormatting>
  <conditionalFormatting sqref="K49">
    <cfRule type="cellIs" dxfId="678" priority="700" operator="greaterThan">
      <formula>1</formula>
    </cfRule>
  </conditionalFormatting>
  <conditionalFormatting sqref="N49">
    <cfRule type="cellIs" dxfId="677" priority="699" operator="greaterThan">
      <formula>1</formula>
    </cfRule>
  </conditionalFormatting>
  <conditionalFormatting sqref="O49">
    <cfRule type="cellIs" dxfId="676" priority="698" operator="greaterThan">
      <formula>1</formula>
    </cfRule>
  </conditionalFormatting>
  <conditionalFormatting sqref="P49">
    <cfRule type="cellIs" dxfId="675" priority="697" operator="greaterThan">
      <formula>1</formula>
    </cfRule>
  </conditionalFormatting>
  <conditionalFormatting sqref="R49">
    <cfRule type="cellIs" dxfId="674" priority="696" operator="greaterThan">
      <formula>1</formula>
    </cfRule>
  </conditionalFormatting>
  <conditionalFormatting sqref="Q49">
    <cfRule type="cellIs" dxfId="673" priority="695" operator="greaterThan">
      <formula>1</formula>
    </cfRule>
  </conditionalFormatting>
  <conditionalFormatting sqref="Q49">
    <cfRule type="cellIs" dxfId="672" priority="694" operator="greaterThan">
      <formula>1</formula>
    </cfRule>
  </conditionalFormatting>
  <conditionalFormatting sqref="M49">
    <cfRule type="cellIs" dxfId="671" priority="693" operator="greaterThan">
      <formula>1</formula>
    </cfRule>
  </conditionalFormatting>
  <conditionalFormatting sqref="M49">
    <cfRule type="cellIs" dxfId="670" priority="692" operator="greaterThan">
      <formula>1</formula>
    </cfRule>
  </conditionalFormatting>
  <conditionalFormatting sqref="E49:L49">
    <cfRule type="cellIs" dxfId="669" priority="689" operator="greaterThan">
      <formula>1</formula>
    </cfRule>
  </conditionalFormatting>
  <conditionalFormatting sqref="E49:L49">
    <cfRule type="cellIs" dxfId="668" priority="688" operator="greaterThan">
      <formula>1</formula>
    </cfRule>
  </conditionalFormatting>
  <conditionalFormatting sqref="G49">
    <cfRule type="cellIs" dxfId="667" priority="687" operator="greaterThan">
      <formula>1</formula>
    </cfRule>
  </conditionalFormatting>
  <conditionalFormatting sqref="H49">
    <cfRule type="cellIs" dxfId="666" priority="686" operator="greaterThan">
      <formula>1</formula>
    </cfRule>
  </conditionalFormatting>
  <conditionalFormatting sqref="I49">
    <cfRule type="cellIs" dxfId="665" priority="685" operator="greaterThan">
      <formula>1</formula>
    </cfRule>
  </conditionalFormatting>
  <conditionalFormatting sqref="J49">
    <cfRule type="cellIs" dxfId="664" priority="684" operator="greaterThan">
      <formula>1</formula>
    </cfRule>
  </conditionalFormatting>
  <conditionalFormatting sqref="K49">
    <cfRule type="cellIs" dxfId="663" priority="683" operator="greaterThan">
      <formula>1</formula>
    </cfRule>
  </conditionalFormatting>
  <conditionalFormatting sqref="L49">
    <cfRule type="cellIs" dxfId="662" priority="682" operator="greaterThan">
      <formula>1</formula>
    </cfRule>
  </conditionalFormatting>
  <conditionalFormatting sqref="M49">
    <cfRule type="cellIs" dxfId="661" priority="681" operator="greaterThan">
      <formula>1</formula>
    </cfRule>
  </conditionalFormatting>
  <conditionalFormatting sqref="M49">
    <cfRule type="cellIs" dxfId="660" priority="680" operator="greaterThan">
      <formula>1</formula>
    </cfRule>
  </conditionalFormatting>
  <conditionalFormatting sqref="N49">
    <cfRule type="cellIs" dxfId="659" priority="679" operator="greaterThan">
      <formula>1</formula>
    </cfRule>
  </conditionalFormatting>
  <conditionalFormatting sqref="N49">
    <cfRule type="cellIs" dxfId="658" priority="678" operator="greaterThan">
      <formula>1</formula>
    </cfRule>
  </conditionalFormatting>
  <conditionalFormatting sqref="O49">
    <cfRule type="cellIs" dxfId="657" priority="677" operator="greaterThan">
      <formula>1</formula>
    </cfRule>
  </conditionalFormatting>
  <conditionalFormatting sqref="O49">
    <cfRule type="cellIs" dxfId="656" priority="676" operator="greaterThan">
      <formula>1</formula>
    </cfRule>
  </conditionalFormatting>
  <conditionalFormatting sqref="P49">
    <cfRule type="cellIs" dxfId="655" priority="675" operator="greaterThan">
      <formula>1</formula>
    </cfRule>
  </conditionalFormatting>
  <conditionalFormatting sqref="P49">
    <cfRule type="cellIs" dxfId="654" priority="674" operator="greaterThan">
      <formula>1</formula>
    </cfRule>
  </conditionalFormatting>
  <conditionalFormatting sqref="Q49">
    <cfRule type="cellIs" dxfId="653" priority="673" operator="greaterThan">
      <formula>1</formula>
    </cfRule>
  </conditionalFormatting>
  <conditionalFormatting sqref="Q49">
    <cfRule type="cellIs" dxfId="652" priority="672" operator="greaterThan">
      <formula>1</formula>
    </cfRule>
  </conditionalFormatting>
  <conditionalFormatting sqref="R49">
    <cfRule type="cellIs" dxfId="651" priority="671" operator="greaterThan">
      <formula>1</formula>
    </cfRule>
  </conditionalFormatting>
  <conditionalFormatting sqref="R49">
    <cfRule type="cellIs" dxfId="650" priority="670" operator="greaterThan">
      <formula>1</formula>
    </cfRule>
  </conditionalFormatting>
  <conditionalFormatting sqref="O49">
    <cfRule type="cellIs" dxfId="649" priority="656" operator="greaterThan">
      <formula>1</formula>
    </cfRule>
  </conditionalFormatting>
  <conditionalFormatting sqref="O49">
    <cfRule type="cellIs" dxfId="648" priority="655" operator="greaterThan">
      <formula>1</formula>
    </cfRule>
  </conditionalFormatting>
  <conditionalFormatting sqref="N49">
    <cfRule type="cellIs" dxfId="647" priority="654" operator="greaterThan">
      <formula>1</formula>
    </cfRule>
  </conditionalFormatting>
  <conditionalFormatting sqref="N49">
    <cfRule type="cellIs" dxfId="646" priority="653" operator="greaterThan">
      <formula>1</formula>
    </cfRule>
  </conditionalFormatting>
  <conditionalFormatting sqref="M49">
    <cfRule type="cellIs" dxfId="645" priority="652" operator="greaterThan">
      <formula>1</formula>
    </cfRule>
  </conditionalFormatting>
  <conditionalFormatting sqref="E49:K49">
    <cfRule type="cellIs" dxfId="644" priority="669" operator="greaterThan">
      <formula>1</formula>
    </cfRule>
  </conditionalFormatting>
  <conditionalFormatting sqref="E49:K49">
    <cfRule type="cellIs" dxfId="643" priority="668" operator="greaterThan">
      <formula>1</formula>
    </cfRule>
  </conditionalFormatting>
  <conditionalFormatting sqref="G49">
    <cfRule type="cellIs" dxfId="642" priority="667" operator="greaterThan">
      <formula>1</formula>
    </cfRule>
  </conditionalFormatting>
  <conditionalFormatting sqref="H49">
    <cfRule type="cellIs" dxfId="641" priority="666" operator="greaterThan">
      <formula>1</formula>
    </cfRule>
  </conditionalFormatting>
  <conditionalFormatting sqref="I49">
    <cfRule type="cellIs" dxfId="640" priority="665" operator="greaterThan">
      <formula>1</formula>
    </cfRule>
  </conditionalFormatting>
  <conditionalFormatting sqref="J49">
    <cfRule type="cellIs" dxfId="639" priority="664" operator="greaterThan">
      <formula>1</formula>
    </cfRule>
  </conditionalFormatting>
  <conditionalFormatting sqref="K49">
    <cfRule type="cellIs" dxfId="638" priority="663" operator="greaterThan">
      <formula>1</formula>
    </cfRule>
  </conditionalFormatting>
  <conditionalFormatting sqref="R49">
    <cfRule type="cellIs" dxfId="637" priority="662" operator="greaterThan">
      <formula>1</formula>
    </cfRule>
  </conditionalFormatting>
  <conditionalFormatting sqref="R49">
    <cfRule type="cellIs" dxfId="636" priority="661" operator="greaterThan">
      <formula>1</formula>
    </cfRule>
  </conditionalFormatting>
  <conditionalFormatting sqref="Q49">
    <cfRule type="cellIs" dxfId="635" priority="660" operator="greaterThan">
      <formula>1</formula>
    </cfRule>
  </conditionalFormatting>
  <conditionalFormatting sqref="Q49">
    <cfRule type="cellIs" dxfId="634" priority="659" operator="greaterThan">
      <formula>1</formula>
    </cfRule>
  </conditionalFormatting>
  <conditionalFormatting sqref="P49">
    <cfRule type="cellIs" dxfId="633" priority="658" operator="greaterThan">
      <formula>1</formula>
    </cfRule>
  </conditionalFormatting>
  <conditionalFormatting sqref="P49">
    <cfRule type="cellIs" dxfId="632" priority="657" operator="greaterThan">
      <formula>1</formula>
    </cfRule>
  </conditionalFormatting>
  <conditionalFormatting sqref="M49">
    <cfRule type="cellIs" dxfId="631" priority="651" operator="greaterThan">
      <formula>1</formula>
    </cfRule>
  </conditionalFormatting>
  <conditionalFormatting sqref="L49">
    <cfRule type="cellIs" dxfId="630" priority="650" operator="greaterThan">
      <formula>1</formula>
    </cfRule>
  </conditionalFormatting>
  <conditionalFormatting sqref="L49">
    <cfRule type="cellIs" dxfId="629" priority="649" operator="greaterThan">
      <formula>1</formula>
    </cfRule>
  </conditionalFormatting>
  <conditionalFormatting sqref="E49:G49 I49:J49 P49:R49">
    <cfRule type="cellIs" dxfId="628" priority="648" operator="greaterThan">
      <formula>1</formula>
    </cfRule>
  </conditionalFormatting>
  <conditionalFormatting sqref="E49:G49 I49:J49 P49:R49">
    <cfRule type="cellIs" dxfId="627" priority="647" operator="greaterThan">
      <formula>1</formula>
    </cfRule>
  </conditionalFormatting>
  <conditionalFormatting sqref="G49">
    <cfRule type="cellIs" dxfId="626" priority="646" operator="greaterThan">
      <formula>1</formula>
    </cfRule>
  </conditionalFormatting>
  <conditionalFormatting sqref="I49">
    <cfRule type="cellIs" dxfId="625" priority="645" operator="greaterThan">
      <formula>1</formula>
    </cfRule>
  </conditionalFormatting>
  <conditionalFormatting sqref="J49">
    <cfRule type="cellIs" dxfId="624" priority="644" operator="greaterThan">
      <formula>1</formula>
    </cfRule>
  </conditionalFormatting>
  <conditionalFormatting sqref="P49">
    <cfRule type="cellIs" dxfId="623" priority="643" operator="greaterThan">
      <formula>1</formula>
    </cfRule>
  </conditionalFormatting>
  <conditionalFormatting sqref="Q49">
    <cfRule type="cellIs" dxfId="622" priority="642" operator="greaterThan">
      <formula>1</formula>
    </cfRule>
  </conditionalFormatting>
  <conditionalFormatting sqref="R49">
    <cfRule type="cellIs" dxfId="621" priority="641" operator="greaterThan">
      <formula>1</formula>
    </cfRule>
  </conditionalFormatting>
  <conditionalFormatting sqref="H49">
    <cfRule type="cellIs" dxfId="620" priority="640" operator="greaterThan">
      <formula>1</formula>
    </cfRule>
  </conditionalFormatting>
  <conditionalFormatting sqref="H49">
    <cfRule type="cellIs" dxfId="619" priority="639" operator="greaterThan">
      <formula>1</formula>
    </cfRule>
  </conditionalFormatting>
  <conditionalFormatting sqref="K49">
    <cfRule type="cellIs" dxfId="618" priority="638" operator="greaterThan">
      <formula>1</formula>
    </cfRule>
  </conditionalFormatting>
  <conditionalFormatting sqref="K49">
    <cfRule type="cellIs" dxfId="617" priority="637" operator="greaterThan">
      <formula>1</formula>
    </cfRule>
  </conditionalFormatting>
  <conditionalFormatting sqref="L49">
    <cfRule type="cellIs" dxfId="616" priority="636" operator="greaterThan">
      <formula>1</formula>
    </cfRule>
  </conditionalFormatting>
  <conditionalFormatting sqref="L49">
    <cfRule type="cellIs" dxfId="615" priority="635" operator="greaterThan">
      <formula>1</formula>
    </cfRule>
  </conditionalFormatting>
  <conditionalFormatting sqref="M49">
    <cfRule type="cellIs" dxfId="614" priority="634" operator="greaterThan">
      <formula>1</formula>
    </cfRule>
  </conditionalFormatting>
  <conditionalFormatting sqref="M49">
    <cfRule type="cellIs" dxfId="613" priority="633" operator="greaterThan">
      <formula>1</formula>
    </cfRule>
  </conditionalFormatting>
  <conditionalFormatting sqref="N49">
    <cfRule type="cellIs" dxfId="612" priority="632" operator="greaterThan">
      <formula>1</formula>
    </cfRule>
  </conditionalFormatting>
  <conditionalFormatting sqref="N49">
    <cfRule type="cellIs" dxfId="611" priority="631" operator="greaterThan">
      <formula>1</formula>
    </cfRule>
  </conditionalFormatting>
  <conditionalFormatting sqref="O49">
    <cfRule type="cellIs" dxfId="610" priority="630" operator="greaterThan">
      <formula>1</formula>
    </cfRule>
  </conditionalFormatting>
  <conditionalFormatting sqref="O49">
    <cfRule type="cellIs" dxfId="609" priority="629" operator="greaterThan">
      <formula>1</formula>
    </cfRule>
  </conditionalFormatting>
  <conditionalFormatting sqref="R49">
    <cfRule type="cellIs" dxfId="608" priority="623" operator="greaterThan">
      <formula>1</formula>
    </cfRule>
  </conditionalFormatting>
  <conditionalFormatting sqref="R49">
    <cfRule type="cellIs" dxfId="607" priority="622" operator="greaterThan">
      <formula>1</formula>
    </cfRule>
  </conditionalFormatting>
  <conditionalFormatting sqref="Q49">
    <cfRule type="cellIs" dxfId="606" priority="621" operator="greaterThan">
      <formula>1</formula>
    </cfRule>
  </conditionalFormatting>
  <conditionalFormatting sqref="Q49">
    <cfRule type="cellIs" dxfId="605" priority="620" operator="greaterThan">
      <formula>1</formula>
    </cfRule>
  </conditionalFormatting>
  <conditionalFormatting sqref="P49">
    <cfRule type="cellIs" dxfId="604" priority="619" operator="greaterThan">
      <formula>1</formula>
    </cfRule>
  </conditionalFormatting>
  <conditionalFormatting sqref="P49">
    <cfRule type="cellIs" dxfId="603" priority="618" operator="greaterThan">
      <formula>1</formula>
    </cfRule>
  </conditionalFormatting>
  <conditionalFormatting sqref="O49">
    <cfRule type="cellIs" dxfId="602" priority="617" operator="greaterThan">
      <formula>1</formula>
    </cfRule>
  </conditionalFormatting>
  <conditionalFormatting sqref="E49:I49">
    <cfRule type="cellIs" dxfId="601" priority="628" operator="greaterThan">
      <formula>1</formula>
    </cfRule>
  </conditionalFormatting>
  <conditionalFormatting sqref="E49:I49">
    <cfRule type="cellIs" dxfId="600" priority="627" operator="greaterThan">
      <formula>1</formula>
    </cfRule>
  </conditionalFormatting>
  <conditionalFormatting sqref="G49">
    <cfRule type="cellIs" dxfId="599" priority="626" operator="greaterThan">
      <formula>1</formula>
    </cfRule>
  </conditionalFormatting>
  <conditionalFormatting sqref="H49">
    <cfRule type="cellIs" dxfId="598" priority="625" operator="greaterThan">
      <formula>1</formula>
    </cfRule>
  </conditionalFormatting>
  <conditionalFormatting sqref="I49">
    <cfRule type="cellIs" dxfId="597" priority="624" operator="greaterThan">
      <formula>1</formula>
    </cfRule>
  </conditionalFormatting>
  <conditionalFormatting sqref="O49">
    <cfRule type="cellIs" dxfId="596" priority="616" operator="greaterThan">
      <formula>1</formula>
    </cfRule>
  </conditionalFormatting>
  <conditionalFormatting sqref="N49">
    <cfRule type="cellIs" dxfId="595" priority="615" operator="greaterThan">
      <formula>1</formula>
    </cfRule>
  </conditionalFormatting>
  <conditionalFormatting sqref="N49">
    <cfRule type="cellIs" dxfId="594" priority="614" operator="greaterThan">
      <formula>1</formula>
    </cfRule>
  </conditionalFormatting>
  <conditionalFormatting sqref="M49">
    <cfRule type="cellIs" dxfId="593" priority="613" operator="greaterThan">
      <formula>1</formula>
    </cfRule>
  </conditionalFormatting>
  <conditionalFormatting sqref="M49">
    <cfRule type="cellIs" dxfId="592" priority="612" operator="greaterThan">
      <formula>1</formula>
    </cfRule>
  </conditionalFormatting>
  <conditionalFormatting sqref="L49">
    <cfRule type="cellIs" dxfId="591" priority="611" operator="greaterThan">
      <formula>1</formula>
    </cfRule>
  </conditionalFormatting>
  <conditionalFormatting sqref="L49">
    <cfRule type="cellIs" dxfId="590" priority="610" operator="greaterThan">
      <formula>1</formula>
    </cfRule>
  </conditionalFormatting>
  <conditionalFormatting sqref="K49">
    <cfRule type="cellIs" dxfId="589" priority="609" operator="greaterThan">
      <formula>1</formula>
    </cfRule>
  </conditionalFormatting>
  <conditionalFormatting sqref="K49">
    <cfRule type="cellIs" dxfId="588" priority="608" operator="greaterThan">
      <formula>1</formula>
    </cfRule>
  </conditionalFormatting>
  <conditionalFormatting sqref="J49">
    <cfRule type="cellIs" dxfId="587" priority="607" operator="greaterThan">
      <formula>1</formula>
    </cfRule>
  </conditionalFormatting>
  <conditionalFormatting sqref="J49">
    <cfRule type="cellIs" dxfId="586" priority="606" operator="greaterThan">
      <formula>1</formula>
    </cfRule>
  </conditionalFormatting>
  <conditionalFormatting sqref="O49">
    <cfRule type="cellIs" dxfId="585" priority="583" operator="greaterThan">
      <formula>1</formula>
    </cfRule>
  </conditionalFormatting>
  <conditionalFormatting sqref="E49 P49:R49 M49:N49">
    <cfRule type="cellIs" dxfId="584" priority="605" operator="greaterThan">
      <formula>1</formula>
    </cfRule>
  </conditionalFormatting>
  <conditionalFormatting sqref="E49 P49:R49 M49:N49">
    <cfRule type="cellIs" dxfId="583" priority="604" operator="greaterThan">
      <formula>1</formula>
    </cfRule>
  </conditionalFormatting>
  <conditionalFormatting sqref="M49">
    <cfRule type="cellIs" dxfId="582" priority="603" operator="greaterThan">
      <formula>1</formula>
    </cfRule>
  </conditionalFormatting>
  <conditionalFormatting sqref="N49">
    <cfRule type="cellIs" dxfId="581" priority="602" operator="greaterThan">
      <formula>1</formula>
    </cfRule>
  </conditionalFormatting>
  <conditionalFormatting sqref="P49">
    <cfRule type="cellIs" dxfId="580" priority="601" operator="greaterThan">
      <formula>1</formula>
    </cfRule>
  </conditionalFormatting>
  <conditionalFormatting sqref="Q49">
    <cfRule type="cellIs" dxfId="579" priority="600" operator="greaterThan">
      <formula>1</formula>
    </cfRule>
  </conditionalFormatting>
  <conditionalFormatting sqref="R49">
    <cfRule type="cellIs" dxfId="578" priority="599" operator="greaterThan">
      <formula>1</formula>
    </cfRule>
  </conditionalFormatting>
  <conditionalFormatting sqref="F49">
    <cfRule type="cellIs" dxfId="577" priority="598" operator="greaterThan">
      <formula>1</formula>
    </cfRule>
  </conditionalFormatting>
  <conditionalFormatting sqref="F49">
    <cfRule type="cellIs" dxfId="576" priority="597" operator="greaterThan">
      <formula>1</formula>
    </cfRule>
  </conditionalFormatting>
  <conditionalFormatting sqref="G49">
    <cfRule type="cellIs" dxfId="575" priority="596" operator="greaterThan">
      <formula>1</formula>
    </cfRule>
  </conditionalFormatting>
  <conditionalFormatting sqref="G49">
    <cfRule type="cellIs" dxfId="574" priority="595" operator="greaterThan">
      <formula>1</formula>
    </cfRule>
  </conditionalFormatting>
  <conditionalFormatting sqref="H49">
    <cfRule type="cellIs" dxfId="573" priority="594" operator="greaterThan">
      <formula>1</formula>
    </cfRule>
  </conditionalFormatting>
  <conditionalFormatting sqref="H49">
    <cfRule type="cellIs" dxfId="572" priority="593" operator="greaterThan">
      <formula>1</formula>
    </cfRule>
  </conditionalFormatting>
  <conditionalFormatting sqref="I49">
    <cfRule type="cellIs" dxfId="571" priority="592" operator="greaterThan">
      <formula>1</formula>
    </cfRule>
  </conditionalFormatting>
  <conditionalFormatting sqref="I49">
    <cfRule type="cellIs" dxfId="570" priority="591" operator="greaterThan">
      <formula>1</formula>
    </cfRule>
  </conditionalFormatting>
  <conditionalFormatting sqref="J49">
    <cfRule type="cellIs" dxfId="569" priority="590" operator="greaterThan">
      <formula>1</formula>
    </cfRule>
  </conditionalFormatting>
  <conditionalFormatting sqref="J49">
    <cfRule type="cellIs" dxfId="568" priority="589" operator="greaterThan">
      <formula>1</formula>
    </cfRule>
  </conditionalFormatting>
  <conditionalFormatting sqref="K49">
    <cfRule type="cellIs" dxfId="567" priority="588" operator="greaterThan">
      <formula>1</formula>
    </cfRule>
  </conditionalFormatting>
  <conditionalFormatting sqref="K49">
    <cfRule type="cellIs" dxfId="566" priority="587" operator="greaterThan">
      <formula>1</formula>
    </cfRule>
  </conditionalFormatting>
  <conditionalFormatting sqref="L49">
    <cfRule type="cellIs" dxfId="565" priority="586" operator="greaterThan">
      <formula>1</formula>
    </cfRule>
  </conditionalFormatting>
  <conditionalFormatting sqref="L49">
    <cfRule type="cellIs" dxfId="564" priority="585" operator="greaterThan">
      <formula>1</formula>
    </cfRule>
  </conditionalFormatting>
  <conditionalFormatting sqref="O49">
    <cfRule type="cellIs" dxfId="563" priority="584" operator="greaterThan">
      <formula>1</formula>
    </cfRule>
  </conditionalFormatting>
  <conditionalFormatting sqref="G49:R49">
    <cfRule type="cellIs" dxfId="562" priority="582" operator="greaterThan">
      <formula>1</formula>
    </cfRule>
  </conditionalFormatting>
  <conditionalFormatting sqref="G49:R49">
    <cfRule type="cellIs" dxfId="561" priority="581" operator="greaterThan">
      <formula>1</formula>
    </cfRule>
  </conditionalFormatting>
  <conditionalFormatting sqref="G49">
    <cfRule type="cellIs" dxfId="560" priority="580" operator="greaterThan">
      <formula>1</formula>
    </cfRule>
  </conditionalFormatting>
  <conditionalFormatting sqref="H49">
    <cfRule type="cellIs" dxfId="559" priority="579" operator="greaterThan">
      <formula>1</formula>
    </cfRule>
  </conditionalFormatting>
  <conditionalFormatting sqref="I49">
    <cfRule type="cellIs" dxfId="558" priority="578" operator="greaterThan">
      <formula>1</formula>
    </cfRule>
  </conditionalFormatting>
  <conditionalFormatting sqref="J49">
    <cfRule type="cellIs" dxfId="557" priority="577" operator="greaterThan">
      <formula>1</formula>
    </cfRule>
  </conditionalFormatting>
  <conditionalFormatting sqref="K49">
    <cfRule type="cellIs" dxfId="556" priority="576" operator="greaterThan">
      <formula>1</formula>
    </cfRule>
  </conditionalFormatting>
  <conditionalFormatting sqref="L49">
    <cfRule type="cellIs" dxfId="555" priority="575" operator="greaterThan">
      <formula>1</formula>
    </cfRule>
  </conditionalFormatting>
  <conditionalFormatting sqref="M49">
    <cfRule type="cellIs" dxfId="554" priority="574" operator="greaterThan">
      <formula>1</formula>
    </cfRule>
  </conditionalFormatting>
  <conditionalFormatting sqref="N49">
    <cfRule type="cellIs" dxfId="553" priority="573" operator="greaterThan">
      <formula>1</formula>
    </cfRule>
  </conditionalFormatting>
  <conditionalFormatting sqref="O49">
    <cfRule type="cellIs" dxfId="552" priority="572" operator="greaterThan">
      <formula>1</formula>
    </cfRule>
  </conditionalFormatting>
  <conditionalFormatting sqref="P49">
    <cfRule type="cellIs" dxfId="551" priority="571" operator="greaterThan">
      <formula>1</formula>
    </cfRule>
  </conditionalFormatting>
  <conditionalFormatting sqref="Q49">
    <cfRule type="cellIs" dxfId="550" priority="570" operator="greaterThan">
      <formula>1</formula>
    </cfRule>
  </conditionalFormatting>
  <conditionalFormatting sqref="R49">
    <cfRule type="cellIs" dxfId="549" priority="569" operator="greaterThan">
      <formula>1</formula>
    </cfRule>
  </conditionalFormatting>
  <conditionalFormatting sqref="F49">
    <cfRule type="cellIs" dxfId="548" priority="568" operator="greaterThan">
      <formula>1</formula>
    </cfRule>
  </conditionalFormatting>
  <conditionalFormatting sqref="F49">
    <cfRule type="cellIs" dxfId="547" priority="567" operator="greaterThan">
      <formula>1</formula>
    </cfRule>
  </conditionalFormatting>
  <conditionalFormatting sqref="E49">
    <cfRule type="cellIs" dxfId="546" priority="566" operator="greaterThan">
      <formula>1</formula>
    </cfRule>
  </conditionalFormatting>
  <conditionalFormatting sqref="E49">
    <cfRule type="cellIs" dxfId="545" priority="565" operator="greaterThan">
      <formula>1</formula>
    </cfRule>
  </conditionalFormatting>
  <conditionalFormatting sqref="E49:Q49">
    <cfRule type="cellIs" dxfId="544" priority="564" operator="greaterThan">
      <formula>1</formula>
    </cfRule>
  </conditionalFormatting>
  <conditionalFormatting sqref="R49">
    <cfRule type="cellIs" dxfId="543" priority="563" operator="greaterThan">
      <formula>1</formula>
    </cfRule>
  </conditionalFormatting>
  <conditionalFormatting sqref="R49">
    <cfRule type="cellIs" dxfId="542" priority="562" operator="greaterThan">
      <formula>1</formula>
    </cfRule>
  </conditionalFormatting>
  <conditionalFormatting sqref="E49:R49">
    <cfRule type="cellIs" dxfId="541" priority="561" operator="greaterThan">
      <formula>1</formula>
    </cfRule>
  </conditionalFormatting>
  <conditionalFormatting sqref="E49:R49">
    <cfRule type="cellIs" dxfId="540" priority="560" operator="greaterThan">
      <formula>1</formula>
    </cfRule>
  </conditionalFormatting>
  <conditionalFormatting sqref="G49">
    <cfRule type="cellIs" dxfId="539" priority="559" operator="greaterThan">
      <formula>1</formula>
    </cfRule>
  </conditionalFormatting>
  <conditionalFormatting sqref="H49">
    <cfRule type="cellIs" dxfId="538" priority="558" operator="greaterThan">
      <formula>1</formula>
    </cfRule>
  </conditionalFormatting>
  <conditionalFormatting sqref="I49">
    <cfRule type="cellIs" dxfId="537" priority="557" operator="greaterThan">
      <formula>1</formula>
    </cfRule>
  </conditionalFormatting>
  <conditionalFormatting sqref="J49">
    <cfRule type="cellIs" dxfId="536" priority="556" operator="greaterThan">
      <formula>1</formula>
    </cfRule>
  </conditionalFormatting>
  <conditionalFormatting sqref="K49">
    <cfRule type="cellIs" dxfId="535" priority="555" operator="greaterThan">
      <formula>1</formula>
    </cfRule>
  </conditionalFormatting>
  <conditionalFormatting sqref="L49">
    <cfRule type="cellIs" dxfId="534" priority="554" operator="greaterThan">
      <formula>1</formula>
    </cfRule>
  </conditionalFormatting>
  <conditionalFormatting sqref="M49">
    <cfRule type="cellIs" dxfId="533" priority="553" operator="greaterThan">
      <formula>1</formula>
    </cfRule>
  </conditionalFormatting>
  <conditionalFormatting sqref="N49">
    <cfRule type="cellIs" dxfId="532" priority="552" operator="greaterThan">
      <formula>1</formula>
    </cfRule>
  </conditionalFormatting>
  <conditionalFormatting sqref="O49">
    <cfRule type="cellIs" dxfId="531" priority="551" operator="greaterThan">
      <formula>1</formula>
    </cfRule>
  </conditionalFormatting>
  <conditionalFormatting sqref="P49">
    <cfRule type="cellIs" dxfId="530" priority="550" operator="greaterThan">
      <formula>1</formula>
    </cfRule>
  </conditionalFormatting>
  <conditionalFormatting sqref="Q49">
    <cfRule type="cellIs" dxfId="529" priority="549" operator="greaterThan">
      <formula>1</formula>
    </cfRule>
  </conditionalFormatting>
  <conditionalFormatting sqref="R49">
    <cfRule type="cellIs" dxfId="528" priority="548" operator="greaterThan">
      <formula>1</formula>
    </cfRule>
  </conditionalFormatting>
  <conditionalFormatting sqref="E51:J51 N51:R51">
    <cfRule type="cellIs" dxfId="527" priority="547" operator="greaterThan">
      <formula>1</formula>
    </cfRule>
  </conditionalFormatting>
  <conditionalFormatting sqref="E51:J51 N51:R51">
    <cfRule type="cellIs" dxfId="526" priority="546" operator="greaterThan">
      <formula>1</formula>
    </cfRule>
  </conditionalFormatting>
  <conditionalFormatting sqref="G51">
    <cfRule type="cellIs" dxfId="525" priority="545" operator="greaterThan">
      <formula>1</formula>
    </cfRule>
  </conditionalFormatting>
  <conditionalFormatting sqref="H51">
    <cfRule type="cellIs" dxfId="524" priority="544" operator="greaterThan">
      <formula>1</formula>
    </cfRule>
  </conditionalFormatting>
  <conditionalFormatting sqref="I51">
    <cfRule type="cellIs" dxfId="523" priority="543" operator="greaterThan">
      <formula>1</formula>
    </cfRule>
  </conditionalFormatting>
  <conditionalFormatting sqref="J51">
    <cfRule type="cellIs" dxfId="522" priority="542" operator="greaterThan">
      <formula>1</formula>
    </cfRule>
  </conditionalFormatting>
  <conditionalFormatting sqref="P51">
    <cfRule type="cellIs" dxfId="521" priority="539" operator="greaterThan">
      <formula>1</formula>
    </cfRule>
  </conditionalFormatting>
  <conditionalFormatting sqref="Q51">
    <cfRule type="cellIs" dxfId="520" priority="538" operator="greaterThan">
      <formula>1</formula>
    </cfRule>
  </conditionalFormatting>
  <conditionalFormatting sqref="R51">
    <cfRule type="cellIs" dxfId="519" priority="537" operator="greaterThan">
      <formula>1</formula>
    </cfRule>
  </conditionalFormatting>
  <conditionalFormatting sqref="N51">
    <cfRule type="cellIs" dxfId="518" priority="541" operator="greaterThan">
      <formula>1</formula>
    </cfRule>
  </conditionalFormatting>
  <conditionalFormatting sqref="O51">
    <cfRule type="cellIs" dxfId="517" priority="540" operator="greaterThan">
      <formula>1</formula>
    </cfRule>
  </conditionalFormatting>
  <conditionalFormatting sqref="K51">
    <cfRule type="cellIs" dxfId="516" priority="536" operator="greaterThan">
      <formula>1</formula>
    </cfRule>
  </conditionalFormatting>
  <conditionalFormatting sqref="K51">
    <cfRule type="cellIs" dxfId="515" priority="535" operator="greaterThan">
      <formula>1</formula>
    </cfRule>
  </conditionalFormatting>
  <conditionalFormatting sqref="L51">
    <cfRule type="cellIs" dxfId="514" priority="534" operator="greaterThan">
      <formula>1</formula>
    </cfRule>
  </conditionalFormatting>
  <conditionalFormatting sqref="L51">
    <cfRule type="cellIs" dxfId="513" priority="533" operator="greaterThan">
      <formula>1</formula>
    </cfRule>
  </conditionalFormatting>
  <conditionalFormatting sqref="M51">
    <cfRule type="cellIs" dxfId="512" priority="532" operator="greaterThan">
      <formula>1</formula>
    </cfRule>
  </conditionalFormatting>
  <conditionalFormatting sqref="M51">
    <cfRule type="cellIs" dxfId="511" priority="531" operator="greaterThan">
      <formula>1</formula>
    </cfRule>
  </conditionalFormatting>
  <conditionalFormatting sqref="P51">
    <cfRule type="cellIs" dxfId="510" priority="523" operator="greaterThan">
      <formula>1</formula>
    </cfRule>
  </conditionalFormatting>
  <conditionalFormatting sqref="Q51">
    <cfRule type="cellIs" dxfId="509" priority="522" operator="greaterThan">
      <formula>1</formula>
    </cfRule>
  </conditionalFormatting>
  <conditionalFormatting sqref="R51">
    <cfRule type="cellIs" dxfId="508" priority="521" operator="greaterThan">
      <formula>1</formula>
    </cfRule>
  </conditionalFormatting>
  <conditionalFormatting sqref="L51">
    <cfRule type="cellIs" dxfId="507" priority="527" operator="greaterThan">
      <formula>1</formula>
    </cfRule>
  </conditionalFormatting>
  <conditionalFormatting sqref="M51">
    <cfRule type="cellIs" dxfId="506" priority="526" operator="greaterThan">
      <formula>1</formula>
    </cfRule>
  </conditionalFormatting>
  <conditionalFormatting sqref="N51">
    <cfRule type="cellIs" dxfId="505" priority="525" operator="greaterThan">
      <formula>1</formula>
    </cfRule>
  </conditionalFormatting>
  <conditionalFormatting sqref="O51">
    <cfRule type="cellIs" dxfId="504" priority="524" operator="greaterThan">
      <formula>1</formula>
    </cfRule>
  </conditionalFormatting>
  <conditionalFormatting sqref="K51">
    <cfRule type="cellIs" dxfId="503" priority="528" operator="greaterThan">
      <formula>1</formula>
    </cfRule>
  </conditionalFormatting>
  <conditionalFormatting sqref="E51 K51:R51">
    <cfRule type="cellIs" dxfId="502" priority="530" operator="greaterThan">
      <formula>1</formula>
    </cfRule>
  </conditionalFormatting>
  <conditionalFormatting sqref="E51 K51:R51">
    <cfRule type="cellIs" dxfId="501" priority="529" operator="greaterThan">
      <formula>1</formula>
    </cfRule>
  </conditionalFormatting>
  <conditionalFormatting sqref="J51">
    <cfRule type="cellIs" dxfId="500" priority="512" operator="greaterThan">
      <formula>1</formula>
    </cfRule>
  </conditionalFormatting>
  <conditionalFormatting sqref="J51">
    <cfRule type="cellIs" dxfId="499" priority="511" operator="greaterThan">
      <formula>1</formula>
    </cfRule>
  </conditionalFormatting>
  <conditionalFormatting sqref="F51">
    <cfRule type="cellIs" dxfId="498" priority="520" operator="greaterThan">
      <formula>1</formula>
    </cfRule>
  </conditionalFormatting>
  <conditionalFormatting sqref="F51">
    <cfRule type="cellIs" dxfId="497" priority="519" operator="greaterThan">
      <formula>1</formula>
    </cfRule>
  </conditionalFormatting>
  <conditionalFormatting sqref="G51">
    <cfRule type="cellIs" dxfId="496" priority="518" operator="greaterThan">
      <formula>1</formula>
    </cfRule>
  </conditionalFormatting>
  <conditionalFormatting sqref="G51">
    <cfRule type="cellIs" dxfId="495" priority="517" operator="greaterThan">
      <formula>1</formula>
    </cfRule>
  </conditionalFormatting>
  <conditionalFormatting sqref="H51">
    <cfRule type="cellIs" dxfId="494" priority="516" operator="greaterThan">
      <formula>1</formula>
    </cfRule>
  </conditionalFormatting>
  <conditionalFormatting sqref="H51">
    <cfRule type="cellIs" dxfId="493" priority="515" operator="greaterThan">
      <formula>1</formula>
    </cfRule>
  </conditionalFormatting>
  <conditionalFormatting sqref="I51">
    <cfRule type="cellIs" dxfId="492" priority="514" operator="greaterThan">
      <formula>1</formula>
    </cfRule>
  </conditionalFormatting>
  <conditionalFormatting sqref="I51">
    <cfRule type="cellIs" dxfId="491" priority="513" operator="greaterThan">
      <formula>1</formula>
    </cfRule>
  </conditionalFormatting>
  <conditionalFormatting sqref="M51">
    <cfRule type="cellIs" dxfId="490" priority="502" operator="greaterThan">
      <formula>1</formula>
    </cfRule>
  </conditionalFormatting>
  <conditionalFormatting sqref="N51">
    <cfRule type="cellIs" dxfId="489" priority="501" operator="greaterThan">
      <formula>1</formula>
    </cfRule>
  </conditionalFormatting>
  <conditionalFormatting sqref="O51">
    <cfRule type="cellIs" dxfId="488" priority="500" operator="greaterThan">
      <formula>1</formula>
    </cfRule>
  </conditionalFormatting>
  <conditionalFormatting sqref="P51">
    <cfRule type="cellIs" dxfId="487" priority="499" operator="greaterThan">
      <formula>1</formula>
    </cfRule>
  </conditionalFormatting>
  <conditionalFormatting sqref="Q51">
    <cfRule type="cellIs" dxfId="486" priority="498" operator="greaterThan">
      <formula>1</formula>
    </cfRule>
  </conditionalFormatting>
  <conditionalFormatting sqref="R51">
    <cfRule type="cellIs" dxfId="485" priority="497" operator="greaterThan">
      <formula>1</formula>
    </cfRule>
  </conditionalFormatting>
  <conditionalFormatting sqref="E51 G51:R51">
    <cfRule type="cellIs" dxfId="484" priority="510" operator="greaterThan">
      <formula>1</formula>
    </cfRule>
  </conditionalFormatting>
  <conditionalFormatting sqref="E51 G51:R51">
    <cfRule type="cellIs" dxfId="483" priority="509" operator="greaterThan">
      <formula>1</formula>
    </cfRule>
  </conditionalFormatting>
  <conditionalFormatting sqref="G51">
    <cfRule type="cellIs" dxfId="482" priority="508" operator="greaterThan">
      <formula>1</formula>
    </cfRule>
  </conditionalFormatting>
  <conditionalFormatting sqref="H51">
    <cfRule type="cellIs" dxfId="481" priority="507" operator="greaterThan">
      <formula>1</formula>
    </cfRule>
  </conditionalFormatting>
  <conditionalFormatting sqref="I51">
    <cfRule type="cellIs" dxfId="480" priority="506" operator="greaterThan">
      <formula>1</formula>
    </cfRule>
  </conditionalFormatting>
  <conditionalFormatting sqref="J51">
    <cfRule type="cellIs" dxfId="479" priority="505" operator="greaterThan">
      <formula>1</formula>
    </cfRule>
  </conditionalFormatting>
  <conditionalFormatting sqref="K51">
    <cfRule type="cellIs" dxfId="478" priority="504" operator="greaterThan">
      <formula>1</formula>
    </cfRule>
  </conditionalFormatting>
  <conditionalFormatting sqref="L51">
    <cfRule type="cellIs" dxfId="477" priority="503" operator="greaterThan">
      <formula>1</formula>
    </cfRule>
  </conditionalFormatting>
  <conditionalFormatting sqref="F51">
    <cfRule type="cellIs" dxfId="476" priority="496" operator="greaterThan">
      <formula>1</formula>
    </cfRule>
  </conditionalFormatting>
  <conditionalFormatting sqref="F51">
    <cfRule type="cellIs" dxfId="475" priority="495" operator="greaterThan">
      <formula>1</formula>
    </cfRule>
  </conditionalFormatting>
  <conditionalFormatting sqref="F51">
    <cfRule type="cellIs" dxfId="474" priority="484" operator="greaterThan">
      <formula>1</formula>
    </cfRule>
  </conditionalFormatting>
  <conditionalFormatting sqref="F51">
    <cfRule type="cellIs" dxfId="473" priority="483" operator="greaterThan">
      <formula>1</formula>
    </cfRule>
  </conditionalFormatting>
  <conditionalFormatting sqref="E51 K51:R51">
    <cfRule type="cellIs" dxfId="472" priority="494" operator="greaterThan">
      <formula>1</formula>
    </cfRule>
  </conditionalFormatting>
  <conditionalFormatting sqref="E51 K51:R51">
    <cfRule type="cellIs" dxfId="471" priority="493" operator="greaterThan">
      <formula>1</formula>
    </cfRule>
  </conditionalFormatting>
  <conditionalFormatting sqref="K51">
    <cfRule type="cellIs" dxfId="470" priority="492" operator="greaterThan">
      <formula>1</formula>
    </cfRule>
  </conditionalFormatting>
  <conditionalFormatting sqref="L51">
    <cfRule type="cellIs" dxfId="469" priority="491" operator="greaterThan">
      <formula>1</formula>
    </cfRule>
  </conditionalFormatting>
  <conditionalFormatting sqref="M51">
    <cfRule type="cellIs" dxfId="468" priority="490" operator="greaterThan">
      <formula>1</formula>
    </cfRule>
  </conditionalFormatting>
  <conditionalFormatting sqref="N51">
    <cfRule type="cellIs" dxfId="467" priority="489" operator="greaterThan">
      <formula>1</formula>
    </cfRule>
  </conditionalFormatting>
  <conditionalFormatting sqref="O51">
    <cfRule type="cellIs" dxfId="466" priority="488" operator="greaterThan">
      <formula>1</formula>
    </cfRule>
  </conditionalFormatting>
  <conditionalFormatting sqref="P51">
    <cfRule type="cellIs" dxfId="465" priority="487" operator="greaterThan">
      <formula>1</formula>
    </cfRule>
  </conditionalFormatting>
  <conditionalFormatting sqref="Q51">
    <cfRule type="cellIs" dxfId="464" priority="486" operator="greaterThan">
      <formula>1</formula>
    </cfRule>
  </conditionalFormatting>
  <conditionalFormatting sqref="R51">
    <cfRule type="cellIs" dxfId="463" priority="485" operator="greaterThan">
      <formula>1</formula>
    </cfRule>
  </conditionalFormatting>
  <conditionalFormatting sqref="G51">
    <cfRule type="cellIs" dxfId="462" priority="482" operator="greaterThan">
      <formula>1</formula>
    </cfRule>
  </conditionalFormatting>
  <conditionalFormatting sqref="G51">
    <cfRule type="cellIs" dxfId="461" priority="481" operator="greaterThan">
      <formula>1</formula>
    </cfRule>
  </conditionalFormatting>
  <conditionalFormatting sqref="H51">
    <cfRule type="cellIs" dxfId="460" priority="480" operator="greaterThan">
      <formula>1</formula>
    </cfRule>
  </conditionalFormatting>
  <conditionalFormatting sqref="H51">
    <cfRule type="cellIs" dxfId="459" priority="479" operator="greaterThan">
      <formula>1</formula>
    </cfRule>
  </conditionalFormatting>
  <conditionalFormatting sqref="I51">
    <cfRule type="cellIs" dxfId="458" priority="478" operator="greaterThan">
      <formula>1</formula>
    </cfRule>
  </conditionalFormatting>
  <conditionalFormatting sqref="I51">
    <cfRule type="cellIs" dxfId="457" priority="477" operator="greaterThan">
      <formula>1</formula>
    </cfRule>
  </conditionalFormatting>
  <conditionalFormatting sqref="J51">
    <cfRule type="cellIs" dxfId="456" priority="476" operator="greaterThan">
      <formula>1</formula>
    </cfRule>
  </conditionalFormatting>
  <conditionalFormatting sqref="J51">
    <cfRule type="cellIs" dxfId="455" priority="475" operator="greaterThan">
      <formula>1</formula>
    </cfRule>
  </conditionalFormatting>
  <conditionalFormatting sqref="L51">
    <cfRule type="cellIs" dxfId="454" priority="459" operator="greaterThan">
      <formula>1</formula>
    </cfRule>
  </conditionalFormatting>
  <conditionalFormatting sqref="L51">
    <cfRule type="cellIs" dxfId="453" priority="458" operator="greaterThan">
      <formula>1</formula>
    </cfRule>
  </conditionalFormatting>
  <conditionalFormatting sqref="E51:K51 R51 N51:P51">
    <cfRule type="cellIs" dxfId="452" priority="474" operator="greaterThan">
      <formula>1</formula>
    </cfRule>
  </conditionalFormatting>
  <conditionalFormatting sqref="E51:K51 R51 N51:P51">
    <cfRule type="cellIs" dxfId="451" priority="473" operator="greaterThan">
      <formula>1</formula>
    </cfRule>
  </conditionalFormatting>
  <conditionalFormatting sqref="G51">
    <cfRule type="cellIs" dxfId="450" priority="472" operator="greaterThan">
      <formula>1</formula>
    </cfRule>
  </conditionalFormatting>
  <conditionalFormatting sqref="H51">
    <cfRule type="cellIs" dxfId="449" priority="471" operator="greaterThan">
      <formula>1</formula>
    </cfRule>
  </conditionalFormatting>
  <conditionalFormatting sqref="I51">
    <cfRule type="cellIs" dxfId="448" priority="470" operator="greaterThan">
      <formula>1</formula>
    </cfRule>
  </conditionalFormatting>
  <conditionalFormatting sqref="J51">
    <cfRule type="cellIs" dxfId="447" priority="469" operator="greaterThan">
      <formula>1</formula>
    </cfRule>
  </conditionalFormatting>
  <conditionalFormatting sqref="K51">
    <cfRule type="cellIs" dxfId="446" priority="468" operator="greaterThan">
      <formula>1</formula>
    </cfRule>
  </conditionalFormatting>
  <conditionalFormatting sqref="N51">
    <cfRule type="cellIs" dxfId="445" priority="467" operator="greaterThan">
      <formula>1</formula>
    </cfRule>
  </conditionalFormatting>
  <conditionalFormatting sqref="O51">
    <cfRule type="cellIs" dxfId="444" priority="466" operator="greaterThan">
      <formula>1</formula>
    </cfRule>
  </conditionalFormatting>
  <conditionalFormatting sqref="P51">
    <cfRule type="cellIs" dxfId="443" priority="465" operator="greaterThan">
      <formula>1</formula>
    </cfRule>
  </conditionalFormatting>
  <conditionalFormatting sqref="R51">
    <cfRule type="cellIs" dxfId="442" priority="464" operator="greaterThan">
      <formula>1</formula>
    </cfRule>
  </conditionalFormatting>
  <conditionalFormatting sqref="Q51">
    <cfRule type="cellIs" dxfId="441" priority="463" operator="greaterThan">
      <formula>1</formula>
    </cfRule>
  </conditionalFormatting>
  <conditionalFormatting sqref="Q51">
    <cfRule type="cellIs" dxfId="440" priority="462" operator="greaterThan">
      <formula>1</formula>
    </cfRule>
  </conditionalFormatting>
  <conditionalFormatting sqref="M51">
    <cfRule type="cellIs" dxfId="439" priority="461" operator="greaterThan">
      <formula>1</formula>
    </cfRule>
  </conditionalFormatting>
  <conditionalFormatting sqref="M51">
    <cfRule type="cellIs" dxfId="438" priority="460" operator="greaterThan">
      <formula>1</formula>
    </cfRule>
  </conditionalFormatting>
  <conditionalFormatting sqref="E51:L51">
    <cfRule type="cellIs" dxfId="437" priority="457" operator="greaterThan">
      <formula>1</formula>
    </cfRule>
  </conditionalFormatting>
  <conditionalFormatting sqref="E51:L51">
    <cfRule type="cellIs" dxfId="436" priority="456" operator="greaterThan">
      <formula>1</formula>
    </cfRule>
  </conditionalFormatting>
  <conditionalFormatting sqref="G51">
    <cfRule type="cellIs" dxfId="435" priority="455" operator="greaterThan">
      <formula>1</formula>
    </cfRule>
  </conditionalFormatting>
  <conditionalFormatting sqref="H51">
    <cfRule type="cellIs" dxfId="434" priority="454" operator="greaterThan">
      <formula>1</formula>
    </cfRule>
  </conditionalFormatting>
  <conditionalFormatting sqref="I51">
    <cfRule type="cellIs" dxfId="433" priority="453" operator="greaterThan">
      <formula>1</formula>
    </cfRule>
  </conditionalFormatting>
  <conditionalFormatting sqref="J51">
    <cfRule type="cellIs" dxfId="432" priority="452" operator="greaterThan">
      <formula>1</formula>
    </cfRule>
  </conditionalFormatting>
  <conditionalFormatting sqref="K51">
    <cfRule type="cellIs" dxfId="431" priority="451" operator="greaterThan">
      <formula>1</formula>
    </cfRule>
  </conditionalFormatting>
  <conditionalFormatting sqref="L51">
    <cfRule type="cellIs" dxfId="430" priority="450" operator="greaterThan">
      <formula>1</formula>
    </cfRule>
  </conditionalFormatting>
  <conditionalFormatting sqref="M51">
    <cfRule type="cellIs" dxfId="429" priority="449" operator="greaterThan">
      <formula>1</formula>
    </cfRule>
  </conditionalFormatting>
  <conditionalFormatting sqref="M51">
    <cfRule type="cellIs" dxfId="428" priority="448" operator="greaterThan">
      <formula>1</formula>
    </cfRule>
  </conditionalFormatting>
  <conditionalFormatting sqref="N51">
    <cfRule type="cellIs" dxfId="427" priority="447" operator="greaterThan">
      <formula>1</formula>
    </cfRule>
  </conditionalFormatting>
  <conditionalFormatting sqref="N51">
    <cfRule type="cellIs" dxfId="426" priority="446" operator="greaterThan">
      <formula>1</formula>
    </cfRule>
  </conditionalFormatting>
  <conditionalFormatting sqref="O51">
    <cfRule type="cellIs" dxfId="425" priority="445" operator="greaterThan">
      <formula>1</formula>
    </cfRule>
  </conditionalFormatting>
  <conditionalFormatting sqref="O51">
    <cfRule type="cellIs" dxfId="424" priority="444" operator="greaterThan">
      <formula>1</formula>
    </cfRule>
  </conditionalFormatting>
  <conditionalFormatting sqref="P51">
    <cfRule type="cellIs" dxfId="423" priority="443" operator="greaterThan">
      <formula>1</formula>
    </cfRule>
  </conditionalFormatting>
  <conditionalFormatting sqref="P51">
    <cfRule type="cellIs" dxfId="422" priority="442" operator="greaterThan">
      <formula>1</formula>
    </cfRule>
  </conditionalFormatting>
  <conditionalFormatting sqref="Q51">
    <cfRule type="cellIs" dxfId="421" priority="441" operator="greaterThan">
      <formula>1</formula>
    </cfRule>
  </conditionalFormatting>
  <conditionalFormatting sqref="Q51">
    <cfRule type="cellIs" dxfId="420" priority="440" operator="greaterThan">
      <formula>1</formula>
    </cfRule>
  </conditionalFormatting>
  <conditionalFormatting sqref="R51">
    <cfRule type="cellIs" dxfId="419" priority="439" operator="greaterThan">
      <formula>1</formula>
    </cfRule>
  </conditionalFormatting>
  <conditionalFormatting sqref="R51">
    <cfRule type="cellIs" dxfId="418" priority="438" operator="greaterThan">
      <formula>1</formula>
    </cfRule>
  </conditionalFormatting>
  <conditionalFormatting sqref="O51">
    <cfRule type="cellIs" dxfId="417" priority="424" operator="greaterThan">
      <formula>1</formula>
    </cfRule>
  </conditionalFormatting>
  <conditionalFormatting sqref="O51">
    <cfRule type="cellIs" dxfId="416" priority="423" operator="greaterThan">
      <formula>1</formula>
    </cfRule>
  </conditionalFormatting>
  <conditionalFormatting sqref="N51">
    <cfRule type="cellIs" dxfId="415" priority="422" operator="greaterThan">
      <formula>1</formula>
    </cfRule>
  </conditionalFormatting>
  <conditionalFormatting sqref="N51">
    <cfRule type="cellIs" dxfId="414" priority="421" operator="greaterThan">
      <formula>1</formula>
    </cfRule>
  </conditionalFormatting>
  <conditionalFormatting sqref="M51">
    <cfRule type="cellIs" dxfId="413" priority="420" operator="greaterThan">
      <formula>1</formula>
    </cfRule>
  </conditionalFormatting>
  <conditionalFormatting sqref="E51:K51">
    <cfRule type="cellIs" dxfId="412" priority="437" operator="greaterThan">
      <formula>1</formula>
    </cfRule>
  </conditionalFormatting>
  <conditionalFormatting sqref="E51:K51">
    <cfRule type="cellIs" dxfId="411" priority="436" operator="greaterThan">
      <formula>1</formula>
    </cfRule>
  </conditionalFormatting>
  <conditionalFormatting sqref="G51">
    <cfRule type="cellIs" dxfId="410" priority="435" operator="greaterThan">
      <formula>1</formula>
    </cfRule>
  </conditionalFormatting>
  <conditionalFormatting sqref="H51">
    <cfRule type="cellIs" dxfId="409" priority="434" operator="greaterThan">
      <formula>1</formula>
    </cfRule>
  </conditionalFormatting>
  <conditionalFormatting sqref="I51">
    <cfRule type="cellIs" dxfId="408" priority="433" operator="greaterThan">
      <formula>1</formula>
    </cfRule>
  </conditionalFormatting>
  <conditionalFormatting sqref="J51">
    <cfRule type="cellIs" dxfId="407" priority="432" operator="greaterThan">
      <formula>1</formula>
    </cfRule>
  </conditionalFormatting>
  <conditionalFormatting sqref="K51">
    <cfRule type="cellIs" dxfId="406" priority="431" operator="greaterThan">
      <formula>1</formula>
    </cfRule>
  </conditionalFormatting>
  <conditionalFormatting sqref="R51">
    <cfRule type="cellIs" dxfId="405" priority="430" operator="greaterThan">
      <formula>1</formula>
    </cfRule>
  </conditionalFormatting>
  <conditionalFormatting sqref="R51">
    <cfRule type="cellIs" dxfId="404" priority="429" operator="greaterThan">
      <formula>1</formula>
    </cfRule>
  </conditionalFormatting>
  <conditionalFormatting sqref="Q51">
    <cfRule type="cellIs" dxfId="403" priority="428" operator="greaterThan">
      <formula>1</formula>
    </cfRule>
  </conditionalFormatting>
  <conditionalFormatting sqref="Q51">
    <cfRule type="cellIs" dxfId="402" priority="427" operator="greaterThan">
      <formula>1</formula>
    </cfRule>
  </conditionalFormatting>
  <conditionalFormatting sqref="P51">
    <cfRule type="cellIs" dxfId="401" priority="426" operator="greaterThan">
      <formula>1</formula>
    </cfRule>
  </conditionalFormatting>
  <conditionalFormatting sqref="P51">
    <cfRule type="cellIs" dxfId="400" priority="425" operator="greaterThan">
      <formula>1</formula>
    </cfRule>
  </conditionalFormatting>
  <conditionalFormatting sqref="M51">
    <cfRule type="cellIs" dxfId="399" priority="419" operator="greaterThan">
      <formula>1</formula>
    </cfRule>
  </conditionalFormatting>
  <conditionalFormatting sqref="L51">
    <cfRule type="cellIs" dxfId="398" priority="418" operator="greaterThan">
      <formula>1</formula>
    </cfRule>
  </conditionalFormatting>
  <conditionalFormatting sqref="L51">
    <cfRule type="cellIs" dxfId="397" priority="417" operator="greaterThan">
      <formula>1</formula>
    </cfRule>
  </conditionalFormatting>
  <conditionalFormatting sqref="E51:G51 I51:J51 P51:R51">
    <cfRule type="cellIs" dxfId="396" priority="416" operator="greaterThan">
      <formula>1</formula>
    </cfRule>
  </conditionalFormatting>
  <conditionalFormatting sqref="E51:G51 I51:J51 P51:R51">
    <cfRule type="cellIs" dxfId="395" priority="415" operator="greaterThan">
      <formula>1</formula>
    </cfRule>
  </conditionalFormatting>
  <conditionalFormatting sqref="G51">
    <cfRule type="cellIs" dxfId="394" priority="414" operator="greaterThan">
      <formula>1</formula>
    </cfRule>
  </conditionalFormatting>
  <conditionalFormatting sqref="I51">
    <cfRule type="cellIs" dxfId="393" priority="413" operator="greaterThan">
      <formula>1</formula>
    </cfRule>
  </conditionalFormatting>
  <conditionalFormatting sqref="J51">
    <cfRule type="cellIs" dxfId="392" priority="412" operator="greaterThan">
      <formula>1</formula>
    </cfRule>
  </conditionalFormatting>
  <conditionalFormatting sqref="P51">
    <cfRule type="cellIs" dxfId="391" priority="411" operator="greaterThan">
      <formula>1</formula>
    </cfRule>
  </conditionalFormatting>
  <conditionalFormatting sqref="Q51">
    <cfRule type="cellIs" dxfId="390" priority="410" operator="greaterThan">
      <formula>1</formula>
    </cfRule>
  </conditionalFormatting>
  <conditionalFormatting sqref="R51">
    <cfRule type="cellIs" dxfId="389" priority="409" operator="greaterThan">
      <formula>1</formula>
    </cfRule>
  </conditionalFormatting>
  <conditionalFormatting sqref="H51">
    <cfRule type="cellIs" dxfId="388" priority="408" operator="greaterThan">
      <formula>1</formula>
    </cfRule>
  </conditionalFormatting>
  <conditionalFormatting sqref="H51">
    <cfRule type="cellIs" dxfId="387" priority="407" operator="greaterThan">
      <formula>1</formula>
    </cfRule>
  </conditionalFormatting>
  <conditionalFormatting sqref="K51">
    <cfRule type="cellIs" dxfId="386" priority="406" operator="greaterThan">
      <formula>1</formula>
    </cfRule>
  </conditionalFormatting>
  <conditionalFormatting sqref="K51">
    <cfRule type="cellIs" dxfId="385" priority="405" operator="greaterThan">
      <formula>1</formula>
    </cfRule>
  </conditionalFormatting>
  <conditionalFormatting sqref="L51">
    <cfRule type="cellIs" dxfId="384" priority="404" operator="greaterThan">
      <formula>1</formula>
    </cfRule>
  </conditionalFormatting>
  <conditionalFormatting sqref="L51">
    <cfRule type="cellIs" dxfId="383" priority="403" operator="greaterThan">
      <formula>1</formula>
    </cfRule>
  </conditionalFormatting>
  <conditionalFormatting sqref="M51">
    <cfRule type="cellIs" dxfId="382" priority="402" operator="greaterThan">
      <formula>1</formula>
    </cfRule>
  </conditionalFormatting>
  <conditionalFormatting sqref="M51">
    <cfRule type="cellIs" dxfId="381" priority="401" operator="greaterThan">
      <formula>1</formula>
    </cfRule>
  </conditionalFormatting>
  <conditionalFormatting sqref="N51">
    <cfRule type="cellIs" dxfId="380" priority="400" operator="greaterThan">
      <formula>1</formula>
    </cfRule>
  </conditionalFormatting>
  <conditionalFormatting sqref="N51">
    <cfRule type="cellIs" dxfId="379" priority="399" operator="greaterThan">
      <formula>1</formula>
    </cfRule>
  </conditionalFormatting>
  <conditionalFormatting sqref="O51">
    <cfRule type="cellIs" dxfId="378" priority="398" operator="greaterThan">
      <formula>1</formula>
    </cfRule>
  </conditionalFormatting>
  <conditionalFormatting sqref="O51">
    <cfRule type="cellIs" dxfId="377" priority="397" operator="greaterThan">
      <formula>1</formula>
    </cfRule>
  </conditionalFormatting>
  <conditionalFormatting sqref="R51">
    <cfRule type="cellIs" dxfId="376" priority="391" operator="greaterThan">
      <formula>1</formula>
    </cfRule>
  </conditionalFormatting>
  <conditionalFormatting sqref="R51">
    <cfRule type="cellIs" dxfId="375" priority="390" operator="greaterThan">
      <formula>1</formula>
    </cfRule>
  </conditionalFormatting>
  <conditionalFormatting sqref="Q51">
    <cfRule type="cellIs" dxfId="374" priority="389" operator="greaterThan">
      <formula>1</formula>
    </cfRule>
  </conditionalFormatting>
  <conditionalFormatting sqref="Q51">
    <cfRule type="cellIs" dxfId="373" priority="388" operator="greaterThan">
      <formula>1</formula>
    </cfRule>
  </conditionalFormatting>
  <conditionalFormatting sqref="P51">
    <cfRule type="cellIs" dxfId="372" priority="387" operator="greaterThan">
      <formula>1</formula>
    </cfRule>
  </conditionalFormatting>
  <conditionalFormatting sqref="P51">
    <cfRule type="cellIs" dxfId="371" priority="386" operator="greaterThan">
      <formula>1</formula>
    </cfRule>
  </conditionalFormatting>
  <conditionalFormatting sqref="O51">
    <cfRule type="cellIs" dxfId="370" priority="385" operator="greaterThan">
      <formula>1</formula>
    </cfRule>
  </conditionalFormatting>
  <conditionalFormatting sqref="E51:I51">
    <cfRule type="cellIs" dxfId="369" priority="396" operator="greaterThan">
      <formula>1</formula>
    </cfRule>
  </conditionalFormatting>
  <conditionalFormatting sqref="E51:I51">
    <cfRule type="cellIs" dxfId="368" priority="395" operator="greaterThan">
      <formula>1</formula>
    </cfRule>
  </conditionalFormatting>
  <conditionalFormatting sqref="G51">
    <cfRule type="cellIs" dxfId="367" priority="394" operator="greaterThan">
      <formula>1</formula>
    </cfRule>
  </conditionalFormatting>
  <conditionalFormatting sqref="H51">
    <cfRule type="cellIs" dxfId="366" priority="393" operator="greaterThan">
      <formula>1</formula>
    </cfRule>
  </conditionalFormatting>
  <conditionalFormatting sqref="I51">
    <cfRule type="cellIs" dxfId="365" priority="392" operator="greaterThan">
      <formula>1</formula>
    </cfRule>
  </conditionalFormatting>
  <conditionalFormatting sqref="O51">
    <cfRule type="cellIs" dxfId="364" priority="384" operator="greaterThan">
      <formula>1</formula>
    </cfRule>
  </conditionalFormatting>
  <conditionalFormatting sqref="N51">
    <cfRule type="cellIs" dxfId="363" priority="383" operator="greaterThan">
      <formula>1</formula>
    </cfRule>
  </conditionalFormatting>
  <conditionalFormatting sqref="N51">
    <cfRule type="cellIs" dxfId="362" priority="382" operator="greaterThan">
      <formula>1</formula>
    </cfRule>
  </conditionalFormatting>
  <conditionalFormatting sqref="M51">
    <cfRule type="cellIs" dxfId="361" priority="381" operator="greaterThan">
      <formula>1</formula>
    </cfRule>
  </conditionalFormatting>
  <conditionalFormatting sqref="M51">
    <cfRule type="cellIs" dxfId="360" priority="380" operator="greaterThan">
      <formula>1</formula>
    </cfRule>
  </conditionalFormatting>
  <conditionalFormatting sqref="L51">
    <cfRule type="cellIs" dxfId="359" priority="379" operator="greaterThan">
      <formula>1</formula>
    </cfRule>
  </conditionalFormatting>
  <conditionalFormatting sqref="L51">
    <cfRule type="cellIs" dxfId="358" priority="378" operator="greaterThan">
      <formula>1</formula>
    </cfRule>
  </conditionalFormatting>
  <conditionalFormatting sqref="K51">
    <cfRule type="cellIs" dxfId="357" priority="377" operator="greaterThan">
      <formula>1</formula>
    </cfRule>
  </conditionalFormatting>
  <conditionalFormatting sqref="K51">
    <cfRule type="cellIs" dxfId="356" priority="376" operator="greaterThan">
      <formula>1</formula>
    </cfRule>
  </conditionalFormatting>
  <conditionalFormatting sqref="J51">
    <cfRule type="cellIs" dxfId="355" priority="375" operator="greaterThan">
      <formula>1</formula>
    </cfRule>
  </conditionalFormatting>
  <conditionalFormatting sqref="J51">
    <cfRule type="cellIs" dxfId="354" priority="374" operator="greaterThan">
      <formula>1</formula>
    </cfRule>
  </conditionalFormatting>
  <conditionalFormatting sqref="O51">
    <cfRule type="cellIs" dxfId="353" priority="351" operator="greaterThan">
      <formula>1</formula>
    </cfRule>
  </conditionalFormatting>
  <conditionalFormatting sqref="E51 P51:R51 M51:N51">
    <cfRule type="cellIs" dxfId="352" priority="373" operator="greaterThan">
      <formula>1</formula>
    </cfRule>
  </conditionalFormatting>
  <conditionalFormatting sqref="E51 P51:R51 M51:N51">
    <cfRule type="cellIs" dxfId="351" priority="372" operator="greaterThan">
      <formula>1</formula>
    </cfRule>
  </conditionalFormatting>
  <conditionalFormatting sqref="M51">
    <cfRule type="cellIs" dxfId="350" priority="371" operator="greaterThan">
      <formula>1</formula>
    </cfRule>
  </conditionalFormatting>
  <conditionalFormatting sqref="N51">
    <cfRule type="cellIs" dxfId="349" priority="370" operator="greaterThan">
      <formula>1</formula>
    </cfRule>
  </conditionalFormatting>
  <conditionalFormatting sqref="P51">
    <cfRule type="cellIs" dxfId="348" priority="369" operator="greaterThan">
      <formula>1</formula>
    </cfRule>
  </conditionalFormatting>
  <conditionalFormatting sqref="Q51">
    <cfRule type="cellIs" dxfId="347" priority="368" operator="greaterThan">
      <formula>1</formula>
    </cfRule>
  </conditionalFormatting>
  <conditionalFormatting sqref="R51">
    <cfRule type="cellIs" dxfId="346" priority="367" operator="greaterThan">
      <formula>1</formula>
    </cfRule>
  </conditionalFormatting>
  <conditionalFormatting sqref="F51">
    <cfRule type="cellIs" dxfId="345" priority="366" operator="greaterThan">
      <formula>1</formula>
    </cfRule>
  </conditionalFormatting>
  <conditionalFormatting sqref="F51">
    <cfRule type="cellIs" dxfId="344" priority="365" operator="greaterThan">
      <formula>1</formula>
    </cfRule>
  </conditionalFormatting>
  <conditionalFormatting sqref="G51">
    <cfRule type="cellIs" dxfId="343" priority="364" operator="greaterThan">
      <formula>1</formula>
    </cfRule>
  </conditionalFormatting>
  <conditionalFormatting sqref="G51">
    <cfRule type="cellIs" dxfId="342" priority="363" operator="greaterThan">
      <formula>1</formula>
    </cfRule>
  </conditionalFormatting>
  <conditionalFormatting sqref="H51">
    <cfRule type="cellIs" dxfId="341" priority="362" operator="greaterThan">
      <formula>1</formula>
    </cfRule>
  </conditionalFormatting>
  <conditionalFormatting sqref="H51">
    <cfRule type="cellIs" dxfId="340" priority="361" operator="greaterThan">
      <formula>1</formula>
    </cfRule>
  </conditionalFormatting>
  <conditionalFormatting sqref="I51">
    <cfRule type="cellIs" dxfId="339" priority="360" operator="greaterThan">
      <formula>1</formula>
    </cfRule>
  </conditionalFormatting>
  <conditionalFormatting sqref="I51">
    <cfRule type="cellIs" dxfId="338" priority="359" operator="greaterThan">
      <formula>1</formula>
    </cfRule>
  </conditionalFormatting>
  <conditionalFormatting sqref="J51">
    <cfRule type="cellIs" dxfId="337" priority="358" operator="greaterThan">
      <formula>1</formula>
    </cfRule>
  </conditionalFormatting>
  <conditionalFormatting sqref="J51">
    <cfRule type="cellIs" dxfId="336" priority="357" operator="greaterThan">
      <formula>1</formula>
    </cfRule>
  </conditionalFormatting>
  <conditionalFormatting sqref="K51">
    <cfRule type="cellIs" dxfId="335" priority="356" operator="greaterThan">
      <formula>1</formula>
    </cfRule>
  </conditionalFormatting>
  <conditionalFormatting sqref="K51">
    <cfRule type="cellIs" dxfId="334" priority="355" operator="greaterThan">
      <formula>1</formula>
    </cfRule>
  </conditionalFormatting>
  <conditionalFormatting sqref="L51">
    <cfRule type="cellIs" dxfId="333" priority="354" operator="greaterThan">
      <formula>1</formula>
    </cfRule>
  </conditionalFormatting>
  <conditionalFormatting sqref="L51">
    <cfRule type="cellIs" dxfId="332" priority="353" operator="greaterThan">
      <formula>1</formula>
    </cfRule>
  </conditionalFormatting>
  <conditionalFormatting sqref="O51">
    <cfRule type="cellIs" dxfId="331" priority="352" operator="greaterThan">
      <formula>1</formula>
    </cfRule>
  </conditionalFormatting>
  <conditionalFormatting sqref="G51:R51">
    <cfRule type="cellIs" dxfId="330" priority="350" operator="greaterThan">
      <formula>1</formula>
    </cfRule>
  </conditionalFormatting>
  <conditionalFormatting sqref="G51:R51">
    <cfRule type="cellIs" dxfId="329" priority="349" operator="greaterThan">
      <formula>1</formula>
    </cfRule>
  </conditionalFormatting>
  <conditionalFormatting sqref="G51">
    <cfRule type="cellIs" dxfId="328" priority="348" operator="greaterThan">
      <formula>1</formula>
    </cfRule>
  </conditionalFormatting>
  <conditionalFormatting sqref="H51">
    <cfRule type="cellIs" dxfId="327" priority="347" operator="greaterThan">
      <formula>1</formula>
    </cfRule>
  </conditionalFormatting>
  <conditionalFormatting sqref="I51">
    <cfRule type="cellIs" dxfId="326" priority="346" operator="greaterThan">
      <formula>1</formula>
    </cfRule>
  </conditionalFormatting>
  <conditionalFormatting sqref="J51">
    <cfRule type="cellIs" dxfId="325" priority="345" operator="greaterThan">
      <formula>1</formula>
    </cfRule>
  </conditionalFormatting>
  <conditionalFormatting sqref="K51">
    <cfRule type="cellIs" dxfId="324" priority="344" operator="greaterThan">
      <formula>1</formula>
    </cfRule>
  </conditionalFormatting>
  <conditionalFormatting sqref="L51">
    <cfRule type="cellIs" dxfId="323" priority="343" operator="greaterThan">
      <formula>1</formula>
    </cfRule>
  </conditionalFormatting>
  <conditionalFormatting sqref="M51">
    <cfRule type="cellIs" dxfId="322" priority="342" operator="greaterThan">
      <formula>1</formula>
    </cfRule>
  </conditionalFormatting>
  <conditionalFormatting sqref="N51">
    <cfRule type="cellIs" dxfId="321" priority="341" operator="greaterThan">
      <formula>1</formula>
    </cfRule>
  </conditionalFormatting>
  <conditionalFormatting sqref="O51">
    <cfRule type="cellIs" dxfId="320" priority="340" operator="greaterThan">
      <formula>1</formula>
    </cfRule>
  </conditionalFormatting>
  <conditionalFormatting sqref="P51">
    <cfRule type="cellIs" dxfId="319" priority="339" operator="greaterThan">
      <formula>1</formula>
    </cfRule>
  </conditionalFormatting>
  <conditionalFormatting sqref="Q51">
    <cfRule type="cellIs" dxfId="318" priority="338" operator="greaterThan">
      <formula>1</formula>
    </cfRule>
  </conditionalFormatting>
  <conditionalFormatting sqref="R51">
    <cfRule type="cellIs" dxfId="317" priority="337" operator="greaterThan">
      <formula>1</formula>
    </cfRule>
  </conditionalFormatting>
  <conditionalFormatting sqref="F51">
    <cfRule type="cellIs" dxfId="316" priority="336" operator="greaterThan">
      <formula>1</formula>
    </cfRule>
  </conditionalFormatting>
  <conditionalFormatting sqref="F51">
    <cfRule type="cellIs" dxfId="315" priority="335" operator="greaterThan">
      <formula>1</formula>
    </cfRule>
  </conditionalFormatting>
  <conditionalFormatting sqref="E51">
    <cfRule type="cellIs" dxfId="314" priority="334" operator="greaterThan">
      <formula>1</formula>
    </cfRule>
  </conditionalFormatting>
  <conditionalFormatting sqref="E51">
    <cfRule type="cellIs" dxfId="313" priority="333" operator="greaterThan">
      <formula>1</formula>
    </cfRule>
  </conditionalFormatting>
  <conditionalFormatting sqref="E51:Q51">
    <cfRule type="cellIs" dxfId="312" priority="332" operator="greaterThan">
      <formula>1</formula>
    </cfRule>
  </conditionalFormatting>
  <conditionalFormatting sqref="R51">
    <cfRule type="cellIs" dxfId="311" priority="331" operator="greaterThan">
      <formula>1</formula>
    </cfRule>
  </conditionalFormatting>
  <conditionalFormatting sqref="R51">
    <cfRule type="cellIs" dxfId="310" priority="330" operator="greaterThan">
      <formula>1</formula>
    </cfRule>
  </conditionalFormatting>
  <conditionalFormatting sqref="E51:R51">
    <cfRule type="cellIs" dxfId="309" priority="329" operator="greaterThan">
      <formula>1</formula>
    </cfRule>
  </conditionalFormatting>
  <conditionalFormatting sqref="E51:R51">
    <cfRule type="cellIs" dxfId="308" priority="328" operator="greaterThan">
      <formula>1</formula>
    </cfRule>
  </conditionalFormatting>
  <conditionalFormatting sqref="G51">
    <cfRule type="cellIs" dxfId="307" priority="327" operator="greaterThan">
      <formula>1</formula>
    </cfRule>
  </conditionalFormatting>
  <conditionalFormatting sqref="H51">
    <cfRule type="cellIs" dxfId="306" priority="326" operator="greaterThan">
      <formula>1</formula>
    </cfRule>
  </conditionalFormatting>
  <conditionalFormatting sqref="I51">
    <cfRule type="cellIs" dxfId="305" priority="325" operator="greaterThan">
      <formula>1</formula>
    </cfRule>
  </conditionalFormatting>
  <conditionalFormatting sqref="J51">
    <cfRule type="cellIs" dxfId="304" priority="324" operator="greaterThan">
      <formula>1</formula>
    </cfRule>
  </conditionalFormatting>
  <conditionalFormatting sqref="K51">
    <cfRule type="cellIs" dxfId="303" priority="323" operator="greaterThan">
      <formula>1</formula>
    </cfRule>
  </conditionalFormatting>
  <conditionalFormatting sqref="L51">
    <cfRule type="cellIs" dxfId="302" priority="322" operator="greaterThan">
      <formula>1</formula>
    </cfRule>
  </conditionalFormatting>
  <conditionalFormatting sqref="M51">
    <cfRule type="cellIs" dxfId="301" priority="321" operator="greaterThan">
      <formula>1</formula>
    </cfRule>
  </conditionalFormatting>
  <conditionalFormatting sqref="N51">
    <cfRule type="cellIs" dxfId="300" priority="320" operator="greaterThan">
      <formula>1</formula>
    </cfRule>
  </conditionalFormatting>
  <conditionalFormatting sqref="O51">
    <cfRule type="cellIs" dxfId="299" priority="319" operator="greaterThan">
      <formula>1</formula>
    </cfRule>
  </conditionalFormatting>
  <conditionalFormatting sqref="P51">
    <cfRule type="cellIs" dxfId="298" priority="318" operator="greaterThan">
      <formula>1</formula>
    </cfRule>
  </conditionalFormatting>
  <conditionalFormatting sqref="Q51">
    <cfRule type="cellIs" dxfId="297" priority="317" operator="greaterThan">
      <formula>1</formula>
    </cfRule>
  </conditionalFormatting>
  <conditionalFormatting sqref="R51">
    <cfRule type="cellIs" dxfId="296" priority="316" operator="greaterThan">
      <formula>1</formula>
    </cfRule>
  </conditionalFormatting>
  <conditionalFormatting sqref="E16:R16">
    <cfRule type="cellIs" dxfId="295" priority="315" operator="greaterThan">
      <formula>1</formula>
    </cfRule>
  </conditionalFormatting>
  <conditionalFormatting sqref="E16:R16">
    <cfRule type="cellIs" dxfId="294" priority="314" operator="greaterThan">
      <formula>1</formula>
    </cfRule>
  </conditionalFormatting>
  <conditionalFormatting sqref="E15:R15">
    <cfRule type="cellIs" dxfId="293" priority="313" operator="greaterThan">
      <formula>1</formula>
    </cfRule>
  </conditionalFormatting>
  <conditionalFormatting sqref="E15:R15">
    <cfRule type="cellIs" dxfId="292" priority="312" operator="greaterThan">
      <formula>1</formula>
    </cfRule>
  </conditionalFormatting>
  <conditionalFormatting sqref="G15">
    <cfRule type="cellIs" dxfId="291" priority="311" operator="greaterThan">
      <formula>1</formula>
    </cfRule>
  </conditionalFormatting>
  <conditionalFormatting sqref="H15">
    <cfRule type="cellIs" dxfId="290" priority="310" operator="greaterThan">
      <formula>1</formula>
    </cfRule>
  </conditionalFormatting>
  <conditionalFormatting sqref="I15">
    <cfRule type="cellIs" dxfId="289" priority="309" operator="greaterThan">
      <formula>1</formula>
    </cfRule>
  </conditionalFormatting>
  <conditionalFormatting sqref="J15">
    <cfRule type="cellIs" dxfId="288" priority="308" operator="greaterThan">
      <formula>1</formula>
    </cfRule>
  </conditionalFormatting>
  <conditionalFormatting sqref="K15">
    <cfRule type="cellIs" dxfId="287" priority="307" operator="greaterThan">
      <formula>1</formula>
    </cfRule>
  </conditionalFormatting>
  <conditionalFormatting sqref="L15">
    <cfRule type="cellIs" dxfId="286" priority="306" operator="greaterThan">
      <formula>1</formula>
    </cfRule>
  </conditionalFormatting>
  <conditionalFormatting sqref="M15">
    <cfRule type="cellIs" dxfId="285" priority="305" operator="greaterThan">
      <formula>1</formula>
    </cfRule>
  </conditionalFormatting>
  <conditionalFormatting sqref="N15">
    <cfRule type="cellIs" dxfId="284" priority="304" operator="greaterThan">
      <formula>1</formula>
    </cfRule>
  </conditionalFormatting>
  <conditionalFormatting sqref="O15">
    <cfRule type="cellIs" dxfId="283" priority="303" operator="greaterThan">
      <formula>1</formula>
    </cfRule>
  </conditionalFormatting>
  <conditionalFormatting sqref="P15">
    <cfRule type="cellIs" dxfId="282" priority="302" operator="greaterThan">
      <formula>1</formula>
    </cfRule>
  </conditionalFormatting>
  <conditionalFormatting sqref="Q15">
    <cfRule type="cellIs" dxfId="281" priority="301" operator="greaterThan">
      <formula>1</formula>
    </cfRule>
  </conditionalFormatting>
  <conditionalFormatting sqref="R15">
    <cfRule type="cellIs" dxfId="280" priority="300" operator="greaterThan">
      <formula>1</formula>
    </cfRule>
  </conditionalFormatting>
  <conditionalFormatting sqref="E21:Q21">
    <cfRule type="cellIs" dxfId="279" priority="299" operator="greaterThan">
      <formula>1</formula>
    </cfRule>
  </conditionalFormatting>
  <conditionalFormatting sqref="R21">
    <cfRule type="cellIs" dxfId="278" priority="298" operator="greaterThan">
      <formula>1</formula>
    </cfRule>
  </conditionalFormatting>
  <conditionalFormatting sqref="R21">
    <cfRule type="cellIs" dxfId="277" priority="297" operator="greaterThan">
      <formula>1</formula>
    </cfRule>
  </conditionalFormatting>
  <conditionalFormatting sqref="E21:R21">
    <cfRule type="cellIs" dxfId="276" priority="296" operator="greaterThan">
      <formula>1</formula>
    </cfRule>
  </conditionalFormatting>
  <conditionalFormatting sqref="E21:R21">
    <cfRule type="cellIs" dxfId="275" priority="295" operator="greaterThan">
      <formula>1</formula>
    </cfRule>
  </conditionalFormatting>
  <conditionalFormatting sqref="G21">
    <cfRule type="cellIs" dxfId="274" priority="294" operator="greaterThan">
      <formula>1</formula>
    </cfRule>
  </conditionalFormatting>
  <conditionalFormatting sqref="H21">
    <cfRule type="cellIs" dxfId="273" priority="293" operator="greaterThan">
      <formula>1</formula>
    </cfRule>
  </conditionalFormatting>
  <conditionalFormatting sqref="I21">
    <cfRule type="cellIs" dxfId="272" priority="292" operator="greaterThan">
      <formula>1</formula>
    </cfRule>
  </conditionalFormatting>
  <conditionalFormatting sqref="J21">
    <cfRule type="cellIs" dxfId="271" priority="291" operator="greaterThan">
      <formula>1</formula>
    </cfRule>
  </conditionalFormatting>
  <conditionalFormatting sqref="K21">
    <cfRule type="cellIs" dxfId="270" priority="290" operator="greaterThan">
      <formula>1</formula>
    </cfRule>
  </conditionalFormatting>
  <conditionalFormatting sqref="L21">
    <cfRule type="cellIs" dxfId="269" priority="289" operator="greaterThan">
      <formula>1</formula>
    </cfRule>
  </conditionalFormatting>
  <conditionalFormatting sqref="M21">
    <cfRule type="cellIs" dxfId="268" priority="288" operator="greaterThan">
      <formula>1</formula>
    </cfRule>
  </conditionalFormatting>
  <conditionalFormatting sqref="N21">
    <cfRule type="cellIs" dxfId="267" priority="287" operator="greaterThan">
      <formula>1</formula>
    </cfRule>
  </conditionalFormatting>
  <conditionalFormatting sqref="O21">
    <cfRule type="cellIs" dxfId="266" priority="286" operator="greaterThan">
      <formula>1</formula>
    </cfRule>
  </conditionalFormatting>
  <conditionalFormatting sqref="P21">
    <cfRule type="cellIs" dxfId="265" priority="285" operator="greaterThan">
      <formula>1</formula>
    </cfRule>
  </conditionalFormatting>
  <conditionalFormatting sqref="Q21">
    <cfRule type="cellIs" dxfId="264" priority="284" operator="greaterThan">
      <formula>1</formula>
    </cfRule>
  </conditionalFormatting>
  <conditionalFormatting sqref="R21">
    <cfRule type="cellIs" dxfId="263" priority="283" operator="greaterThan">
      <formula>1</formula>
    </cfRule>
  </conditionalFormatting>
  <conditionalFormatting sqref="E16:R16">
    <cfRule type="cellIs" dxfId="262" priority="282" operator="greaterThan">
      <formula>1</formula>
    </cfRule>
  </conditionalFormatting>
  <conditionalFormatting sqref="E16:R16">
    <cfRule type="cellIs" dxfId="261" priority="281" operator="greaterThan">
      <formula>1</formula>
    </cfRule>
  </conditionalFormatting>
  <conditionalFormatting sqref="E24:R24">
    <cfRule type="cellIs" dxfId="260" priority="280" operator="greaterThan">
      <formula>1</formula>
    </cfRule>
  </conditionalFormatting>
  <conditionalFormatting sqref="E24:R24">
    <cfRule type="cellIs" dxfId="259" priority="279" operator="greaterThan">
      <formula>1</formula>
    </cfRule>
  </conditionalFormatting>
  <conditionalFormatting sqref="E24:R24">
    <cfRule type="cellIs" dxfId="258" priority="278" operator="greaterThan">
      <formula>1</formula>
    </cfRule>
  </conditionalFormatting>
  <conditionalFormatting sqref="P45">
    <cfRule type="cellIs" dxfId="257" priority="51" operator="greaterThan">
      <formula>1</formula>
    </cfRule>
  </conditionalFormatting>
  <conditionalFormatting sqref="O45">
    <cfRule type="cellIs" dxfId="256" priority="52" operator="greaterThan">
      <formula>1</formula>
    </cfRule>
  </conditionalFormatting>
  <conditionalFormatting sqref="E24:R24">
    <cfRule type="cellIs" dxfId="255" priority="275" operator="equal">
      <formula>0</formula>
    </cfRule>
  </conditionalFormatting>
  <conditionalFormatting sqref="R45">
    <cfRule type="cellIs" dxfId="254" priority="49" operator="greaterThan">
      <formula>1</formula>
    </cfRule>
  </conditionalFormatting>
  <conditionalFormatting sqref="E47:R47">
    <cfRule type="cellIs" dxfId="253" priority="48" operator="greaterThan">
      <formula>1</formula>
    </cfRule>
  </conditionalFormatting>
  <conditionalFormatting sqref="E47:R47">
    <cfRule type="cellIs" dxfId="252" priority="47" operator="greaterThan">
      <formula>1</formula>
    </cfRule>
  </conditionalFormatting>
  <conditionalFormatting sqref="E47:R47">
    <cfRule type="cellIs" dxfId="251" priority="46" operator="greaterThan">
      <formula>1</formula>
    </cfRule>
  </conditionalFormatting>
  <conditionalFormatting sqref="E47:R47">
    <cfRule type="cellIs" dxfId="250" priority="45" operator="greaterThan">
      <formula>1</formula>
    </cfRule>
  </conditionalFormatting>
  <conditionalFormatting sqref="G47">
    <cfRule type="cellIs" dxfId="249" priority="44" operator="greaterThan">
      <formula>1</formula>
    </cfRule>
  </conditionalFormatting>
  <conditionalFormatting sqref="H47">
    <cfRule type="cellIs" dxfId="248" priority="43" operator="greaterThan">
      <formula>1</formula>
    </cfRule>
  </conditionalFormatting>
  <conditionalFormatting sqref="I47">
    <cfRule type="cellIs" dxfId="247" priority="42" operator="greaterThan">
      <formula>1</formula>
    </cfRule>
  </conditionalFormatting>
  <conditionalFormatting sqref="J47">
    <cfRule type="cellIs" dxfId="246" priority="41" operator="greaterThan">
      <formula>1</formula>
    </cfRule>
  </conditionalFormatting>
  <conditionalFormatting sqref="K47">
    <cfRule type="cellIs" dxfId="245" priority="40" operator="greaterThan">
      <formula>1</formula>
    </cfRule>
  </conditionalFormatting>
  <conditionalFormatting sqref="L47">
    <cfRule type="cellIs" dxfId="244" priority="39" operator="greaterThan">
      <formula>1</formula>
    </cfRule>
  </conditionalFormatting>
  <conditionalFormatting sqref="M47">
    <cfRule type="cellIs" dxfId="243" priority="38" operator="greaterThan">
      <formula>1</formula>
    </cfRule>
  </conditionalFormatting>
  <conditionalFormatting sqref="N47">
    <cfRule type="cellIs" dxfId="242" priority="37" operator="greaterThan">
      <formula>1</formula>
    </cfRule>
  </conditionalFormatting>
  <conditionalFormatting sqref="O47">
    <cfRule type="cellIs" dxfId="241" priority="36" operator="greaterThan">
      <formula>1</formula>
    </cfRule>
  </conditionalFormatting>
  <conditionalFormatting sqref="P47">
    <cfRule type="cellIs" dxfId="240" priority="35" operator="greaterThan">
      <formula>1</formula>
    </cfRule>
  </conditionalFormatting>
  <conditionalFormatting sqref="Q47">
    <cfRule type="cellIs" dxfId="239" priority="34" operator="greaterThan">
      <formula>1</formula>
    </cfRule>
  </conditionalFormatting>
  <conditionalFormatting sqref="R47">
    <cfRule type="cellIs" dxfId="238" priority="33" operator="greaterThan">
      <formula>1</formula>
    </cfRule>
  </conditionalFormatting>
  <conditionalFormatting sqref="E17:R17">
    <cfRule type="cellIs" dxfId="237" priority="257" operator="greaterThan">
      <formula>1</formula>
    </cfRule>
  </conditionalFormatting>
  <conditionalFormatting sqref="E17:R17">
    <cfRule type="cellIs" dxfId="236" priority="256" operator="greaterThan">
      <formula>1</formula>
    </cfRule>
  </conditionalFormatting>
  <conditionalFormatting sqref="E17:R17">
    <cfRule type="cellIs" dxfId="235" priority="255" operator="greaterThan">
      <formula>1</formula>
    </cfRule>
  </conditionalFormatting>
  <conditionalFormatting sqref="E17:R17">
    <cfRule type="cellIs" dxfId="234" priority="254" operator="greaterThan">
      <formula>1</formula>
    </cfRule>
  </conditionalFormatting>
  <conditionalFormatting sqref="G17">
    <cfRule type="cellIs" dxfId="233" priority="253" operator="greaterThan">
      <formula>1</formula>
    </cfRule>
  </conditionalFormatting>
  <conditionalFormatting sqref="H17">
    <cfRule type="cellIs" dxfId="232" priority="252" operator="greaterThan">
      <formula>1</formula>
    </cfRule>
  </conditionalFormatting>
  <conditionalFormatting sqref="I17">
    <cfRule type="cellIs" dxfId="231" priority="251" operator="greaterThan">
      <formula>1</formula>
    </cfRule>
  </conditionalFormatting>
  <conditionalFormatting sqref="J17">
    <cfRule type="cellIs" dxfId="230" priority="250" operator="greaterThan">
      <formula>1</formula>
    </cfRule>
  </conditionalFormatting>
  <conditionalFormatting sqref="K17">
    <cfRule type="cellIs" dxfId="229" priority="249" operator="greaterThan">
      <formula>1</formula>
    </cfRule>
  </conditionalFormatting>
  <conditionalFormatting sqref="L17">
    <cfRule type="cellIs" dxfId="228" priority="248" operator="greaterThan">
      <formula>1</formula>
    </cfRule>
  </conditionalFormatting>
  <conditionalFormatting sqref="M17">
    <cfRule type="cellIs" dxfId="227" priority="247" operator="greaterThan">
      <formula>1</formula>
    </cfRule>
  </conditionalFormatting>
  <conditionalFormatting sqref="N17">
    <cfRule type="cellIs" dxfId="226" priority="246" operator="greaterThan">
      <formula>1</formula>
    </cfRule>
  </conditionalFormatting>
  <conditionalFormatting sqref="O17">
    <cfRule type="cellIs" dxfId="225" priority="245" operator="greaterThan">
      <formula>1</formula>
    </cfRule>
  </conditionalFormatting>
  <conditionalFormatting sqref="P17">
    <cfRule type="cellIs" dxfId="224" priority="244" operator="greaterThan">
      <formula>1</formula>
    </cfRule>
  </conditionalFormatting>
  <conditionalFormatting sqref="Q17">
    <cfRule type="cellIs" dxfId="223" priority="243" operator="greaterThan">
      <formula>1</formula>
    </cfRule>
  </conditionalFormatting>
  <conditionalFormatting sqref="R17">
    <cfRule type="cellIs" dxfId="222" priority="242" operator="greaterThan">
      <formula>1</formula>
    </cfRule>
  </conditionalFormatting>
  <conditionalFormatting sqref="E21:R21">
    <cfRule type="cellIs" dxfId="221" priority="241" operator="greaterThan">
      <formula>1</formula>
    </cfRule>
  </conditionalFormatting>
  <conditionalFormatting sqref="E21:R21">
    <cfRule type="cellIs" dxfId="220" priority="240" operator="greaterThan">
      <formula>1</formula>
    </cfRule>
  </conditionalFormatting>
  <conditionalFormatting sqref="E21:R21">
    <cfRule type="cellIs" dxfId="219" priority="239" operator="greaterThan">
      <formula>1</formula>
    </cfRule>
  </conditionalFormatting>
  <conditionalFormatting sqref="E21:R21">
    <cfRule type="cellIs" dxfId="218" priority="238" operator="greaterThan">
      <formula>1</formula>
    </cfRule>
  </conditionalFormatting>
  <conditionalFormatting sqref="G21">
    <cfRule type="cellIs" dxfId="217" priority="237" operator="greaterThan">
      <formula>1</formula>
    </cfRule>
  </conditionalFormatting>
  <conditionalFormatting sqref="H21">
    <cfRule type="cellIs" dxfId="216" priority="236" operator="greaterThan">
      <formula>1</formula>
    </cfRule>
  </conditionalFormatting>
  <conditionalFormatting sqref="I21">
    <cfRule type="cellIs" dxfId="215" priority="235" operator="greaterThan">
      <formula>1</formula>
    </cfRule>
  </conditionalFormatting>
  <conditionalFormatting sqref="J21">
    <cfRule type="cellIs" dxfId="214" priority="234" operator="greaterThan">
      <formula>1</formula>
    </cfRule>
  </conditionalFormatting>
  <conditionalFormatting sqref="K21">
    <cfRule type="cellIs" dxfId="213" priority="233" operator="greaterThan">
      <formula>1</formula>
    </cfRule>
  </conditionalFormatting>
  <conditionalFormatting sqref="L21">
    <cfRule type="cellIs" dxfId="212" priority="232" operator="greaterThan">
      <formula>1</formula>
    </cfRule>
  </conditionalFormatting>
  <conditionalFormatting sqref="M21">
    <cfRule type="cellIs" dxfId="211" priority="231" operator="greaterThan">
      <formula>1</formula>
    </cfRule>
  </conditionalFormatting>
  <conditionalFormatting sqref="N21">
    <cfRule type="cellIs" dxfId="210" priority="230" operator="greaterThan">
      <formula>1</formula>
    </cfRule>
  </conditionalFormatting>
  <conditionalFormatting sqref="O21">
    <cfRule type="cellIs" dxfId="209" priority="229" operator="greaterThan">
      <formula>1</formula>
    </cfRule>
  </conditionalFormatting>
  <conditionalFormatting sqref="P21">
    <cfRule type="cellIs" dxfId="208" priority="228" operator="greaterThan">
      <formula>1</formula>
    </cfRule>
  </conditionalFormatting>
  <conditionalFormatting sqref="Q21">
    <cfRule type="cellIs" dxfId="207" priority="227" operator="greaterThan">
      <formula>1</formula>
    </cfRule>
  </conditionalFormatting>
  <conditionalFormatting sqref="R21">
    <cfRule type="cellIs" dxfId="206" priority="226" operator="greaterThan">
      <formula>1</formula>
    </cfRule>
  </conditionalFormatting>
  <conditionalFormatting sqref="E23:R23">
    <cfRule type="cellIs" dxfId="205" priority="225" operator="greaterThan">
      <formula>1</formula>
    </cfRule>
  </conditionalFormatting>
  <conditionalFormatting sqref="E23:R23">
    <cfRule type="cellIs" dxfId="204" priority="224" operator="greaterThan">
      <formula>1</formula>
    </cfRule>
  </conditionalFormatting>
  <conditionalFormatting sqref="E23:R23">
    <cfRule type="cellIs" dxfId="203" priority="223" operator="equal">
      <formula>0</formula>
    </cfRule>
  </conditionalFormatting>
  <conditionalFormatting sqref="E23:R23">
    <cfRule type="cellIs" dxfId="202" priority="222" operator="greaterThan">
      <formula>1</formula>
    </cfRule>
  </conditionalFormatting>
  <conditionalFormatting sqref="E23:R23">
    <cfRule type="cellIs" dxfId="201" priority="221" operator="greaterThan">
      <formula>1</formula>
    </cfRule>
  </conditionalFormatting>
  <conditionalFormatting sqref="G23">
    <cfRule type="cellIs" dxfId="200" priority="220" operator="greaterThan">
      <formula>1</formula>
    </cfRule>
  </conditionalFormatting>
  <conditionalFormatting sqref="H23">
    <cfRule type="cellIs" dxfId="199" priority="219" operator="greaterThan">
      <formula>1</formula>
    </cfRule>
  </conditionalFormatting>
  <conditionalFormatting sqref="I23">
    <cfRule type="cellIs" dxfId="198" priority="218" operator="greaterThan">
      <formula>1</formula>
    </cfRule>
  </conditionalFormatting>
  <conditionalFormatting sqref="J23">
    <cfRule type="cellIs" dxfId="197" priority="217" operator="greaterThan">
      <formula>1</formula>
    </cfRule>
  </conditionalFormatting>
  <conditionalFormatting sqref="K23">
    <cfRule type="cellIs" dxfId="196" priority="216" operator="greaterThan">
      <formula>1</formula>
    </cfRule>
  </conditionalFormatting>
  <conditionalFormatting sqref="L23">
    <cfRule type="cellIs" dxfId="195" priority="215" operator="greaterThan">
      <formula>1</formula>
    </cfRule>
  </conditionalFormatting>
  <conditionalFormatting sqref="M23">
    <cfRule type="cellIs" dxfId="194" priority="214" operator="greaterThan">
      <formula>1</formula>
    </cfRule>
  </conditionalFormatting>
  <conditionalFormatting sqref="N23">
    <cfRule type="cellIs" dxfId="193" priority="213" operator="greaterThan">
      <formula>1</formula>
    </cfRule>
  </conditionalFormatting>
  <conditionalFormatting sqref="O23">
    <cfRule type="cellIs" dxfId="192" priority="212" operator="greaterThan">
      <formula>1</formula>
    </cfRule>
  </conditionalFormatting>
  <conditionalFormatting sqref="P23">
    <cfRule type="cellIs" dxfId="191" priority="211" operator="greaterThan">
      <formula>1</formula>
    </cfRule>
  </conditionalFormatting>
  <conditionalFormatting sqref="Q23">
    <cfRule type="cellIs" dxfId="190" priority="210" operator="greaterThan">
      <formula>1</formula>
    </cfRule>
  </conditionalFormatting>
  <conditionalFormatting sqref="R23">
    <cfRule type="cellIs" dxfId="189" priority="209" operator="greaterThan">
      <formula>1</formula>
    </cfRule>
  </conditionalFormatting>
  <conditionalFormatting sqref="E26:R26">
    <cfRule type="cellIs" dxfId="188" priority="208" operator="greaterThan">
      <formula>1</formula>
    </cfRule>
  </conditionalFormatting>
  <conditionalFormatting sqref="E26:R26">
    <cfRule type="cellIs" dxfId="187" priority="207" operator="greaterThan">
      <formula>1</formula>
    </cfRule>
  </conditionalFormatting>
  <conditionalFormatting sqref="E26:R26">
    <cfRule type="cellIs" dxfId="186" priority="206" operator="greaterThan">
      <formula>1</formula>
    </cfRule>
  </conditionalFormatting>
  <conditionalFormatting sqref="E26:R26">
    <cfRule type="cellIs" dxfId="185" priority="205" operator="greaterThan">
      <formula>1</formula>
    </cfRule>
  </conditionalFormatting>
  <conditionalFormatting sqref="G26">
    <cfRule type="cellIs" dxfId="184" priority="204" operator="greaterThan">
      <formula>1</formula>
    </cfRule>
  </conditionalFormatting>
  <conditionalFormatting sqref="H26">
    <cfRule type="cellIs" dxfId="183" priority="203" operator="greaterThan">
      <formula>1</formula>
    </cfRule>
  </conditionalFormatting>
  <conditionalFormatting sqref="I26">
    <cfRule type="cellIs" dxfId="182" priority="202" operator="greaterThan">
      <formula>1</formula>
    </cfRule>
  </conditionalFormatting>
  <conditionalFormatting sqref="J26">
    <cfRule type="cellIs" dxfId="181" priority="201" operator="greaterThan">
      <formula>1</formula>
    </cfRule>
  </conditionalFormatting>
  <conditionalFormatting sqref="K26">
    <cfRule type="cellIs" dxfId="180" priority="200" operator="greaterThan">
      <formula>1</formula>
    </cfRule>
  </conditionalFormatting>
  <conditionalFormatting sqref="L26">
    <cfRule type="cellIs" dxfId="179" priority="199" operator="greaterThan">
      <formula>1</formula>
    </cfRule>
  </conditionalFormatting>
  <conditionalFormatting sqref="M26">
    <cfRule type="cellIs" dxfId="178" priority="198" operator="greaterThan">
      <formula>1</formula>
    </cfRule>
  </conditionalFormatting>
  <conditionalFormatting sqref="N26">
    <cfRule type="cellIs" dxfId="177" priority="197" operator="greaterThan">
      <formula>1</formula>
    </cfRule>
  </conditionalFormatting>
  <conditionalFormatting sqref="O26">
    <cfRule type="cellIs" dxfId="176" priority="196" operator="greaterThan">
      <formula>1</formula>
    </cfRule>
  </conditionalFormatting>
  <conditionalFormatting sqref="P26">
    <cfRule type="cellIs" dxfId="175" priority="195" operator="greaterThan">
      <formula>1</formula>
    </cfRule>
  </conditionalFormatting>
  <conditionalFormatting sqref="Q26">
    <cfRule type="cellIs" dxfId="174" priority="194" operator="greaterThan">
      <formula>1</formula>
    </cfRule>
  </conditionalFormatting>
  <conditionalFormatting sqref="R26">
    <cfRule type="cellIs" dxfId="173" priority="193" operator="greaterThan">
      <formula>1</formula>
    </cfRule>
  </conditionalFormatting>
  <conditionalFormatting sqref="E28:R28">
    <cfRule type="cellIs" dxfId="172" priority="192" operator="greaterThan">
      <formula>1</formula>
    </cfRule>
  </conditionalFormatting>
  <conditionalFormatting sqref="E28:R28">
    <cfRule type="cellIs" dxfId="171" priority="191" operator="greaterThan">
      <formula>1</formula>
    </cfRule>
  </conditionalFormatting>
  <conditionalFormatting sqref="E28:R28">
    <cfRule type="cellIs" dxfId="170" priority="190" operator="greaterThan">
      <formula>1</formula>
    </cfRule>
  </conditionalFormatting>
  <conditionalFormatting sqref="E28:R28">
    <cfRule type="cellIs" dxfId="169" priority="189" operator="greaterThan">
      <formula>1</formula>
    </cfRule>
  </conditionalFormatting>
  <conditionalFormatting sqref="G28">
    <cfRule type="cellIs" dxfId="168" priority="188" operator="greaterThan">
      <formula>1</formula>
    </cfRule>
  </conditionalFormatting>
  <conditionalFormatting sqref="H28">
    <cfRule type="cellIs" dxfId="167" priority="187" operator="greaterThan">
      <formula>1</formula>
    </cfRule>
  </conditionalFormatting>
  <conditionalFormatting sqref="I28">
    <cfRule type="cellIs" dxfId="166" priority="186" operator="greaterThan">
      <formula>1</formula>
    </cfRule>
  </conditionalFormatting>
  <conditionalFormatting sqref="J28">
    <cfRule type="cellIs" dxfId="165" priority="185" operator="greaterThan">
      <formula>1</formula>
    </cfRule>
  </conditionalFormatting>
  <conditionalFormatting sqref="K28">
    <cfRule type="cellIs" dxfId="164" priority="184" operator="greaterThan">
      <formula>1</formula>
    </cfRule>
  </conditionalFormatting>
  <conditionalFormatting sqref="L28">
    <cfRule type="cellIs" dxfId="163" priority="183" operator="greaterThan">
      <formula>1</formula>
    </cfRule>
  </conditionalFormatting>
  <conditionalFormatting sqref="M28">
    <cfRule type="cellIs" dxfId="162" priority="182" operator="greaterThan">
      <formula>1</formula>
    </cfRule>
  </conditionalFormatting>
  <conditionalFormatting sqref="N28">
    <cfRule type="cellIs" dxfId="161" priority="181" operator="greaterThan">
      <formula>1</formula>
    </cfRule>
  </conditionalFormatting>
  <conditionalFormatting sqref="O28">
    <cfRule type="cellIs" dxfId="160" priority="180" operator="greaterThan">
      <formula>1</formula>
    </cfRule>
  </conditionalFormatting>
  <conditionalFormatting sqref="P28">
    <cfRule type="cellIs" dxfId="159" priority="179" operator="greaterThan">
      <formula>1</formula>
    </cfRule>
  </conditionalFormatting>
  <conditionalFormatting sqref="Q28">
    <cfRule type="cellIs" dxfId="158" priority="178" operator="greaterThan">
      <formula>1</formula>
    </cfRule>
  </conditionalFormatting>
  <conditionalFormatting sqref="R28">
    <cfRule type="cellIs" dxfId="157" priority="177" operator="greaterThan">
      <formula>1</formula>
    </cfRule>
  </conditionalFormatting>
  <conditionalFormatting sqref="E30:R30">
    <cfRule type="cellIs" dxfId="156" priority="176" operator="greaterThan">
      <formula>1</formula>
    </cfRule>
  </conditionalFormatting>
  <conditionalFormatting sqref="E30:R30">
    <cfRule type="cellIs" dxfId="155" priority="175" operator="greaterThan">
      <formula>1</formula>
    </cfRule>
  </conditionalFormatting>
  <conditionalFormatting sqref="E30:R30">
    <cfRule type="cellIs" dxfId="154" priority="174" operator="greaterThan">
      <formula>1</formula>
    </cfRule>
  </conditionalFormatting>
  <conditionalFormatting sqref="E30:R30">
    <cfRule type="cellIs" dxfId="153" priority="173" operator="greaterThan">
      <formula>1</formula>
    </cfRule>
  </conditionalFormatting>
  <conditionalFormatting sqref="G30">
    <cfRule type="cellIs" dxfId="152" priority="172" operator="greaterThan">
      <formula>1</formula>
    </cfRule>
  </conditionalFormatting>
  <conditionalFormatting sqref="H30">
    <cfRule type="cellIs" dxfId="151" priority="171" operator="greaterThan">
      <formula>1</formula>
    </cfRule>
  </conditionalFormatting>
  <conditionalFormatting sqref="I30">
    <cfRule type="cellIs" dxfId="150" priority="170" operator="greaterThan">
      <formula>1</formula>
    </cfRule>
  </conditionalFormatting>
  <conditionalFormatting sqref="J30">
    <cfRule type="cellIs" dxfId="149" priority="169" operator="greaterThan">
      <formula>1</formula>
    </cfRule>
  </conditionalFormatting>
  <conditionalFormatting sqref="K30">
    <cfRule type="cellIs" dxfId="148" priority="168" operator="greaterThan">
      <formula>1</formula>
    </cfRule>
  </conditionalFormatting>
  <conditionalFormatting sqref="L30">
    <cfRule type="cellIs" dxfId="147" priority="167" operator="greaterThan">
      <formula>1</formula>
    </cfRule>
  </conditionalFormatting>
  <conditionalFormatting sqref="M30">
    <cfRule type="cellIs" dxfId="146" priority="166" operator="greaterThan">
      <formula>1</formula>
    </cfRule>
  </conditionalFormatting>
  <conditionalFormatting sqref="N30">
    <cfRule type="cellIs" dxfId="145" priority="165" operator="greaterThan">
      <formula>1</formula>
    </cfRule>
  </conditionalFormatting>
  <conditionalFormatting sqref="O30">
    <cfRule type="cellIs" dxfId="144" priority="164" operator="greaterThan">
      <formula>1</formula>
    </cfRule>
  </conditionalFormatting>
  <conditionalFormatting sqref="P30">
    <cfRule type="cellIs" dxfId="143" priority="163" operator="greaterThan">
      <formula>1</formula>
    </cfRule>
  </conditionalFormatting>
  <conditionalFormatting sqref="Q30">
    <cfRule type="cellIs" dxfId="142" priority="162" operator="greaterThan">
      <formula>1</formula>
    </cfRule>
  </conditionalFormatting>
  <conditionalFormatting sqref="R30">
    <cfRule type="cellIs" dxfId="141" priority="161" operator="greaterThan">
      <formula>1</formula>
    </cfRule>
  </conditionalFormatting>
  <conditionalFormatting sqref="E32:R32">
    <cfRule type="cellIs" dxfId="140" priority="160" operator="greaterThan">
      <formula>1</formula>
    </cfRule>
  </conditionalFormatting>
  <conditionalFormatting sqref="E32:R32">
    <cfRule type="cellIs" dxfId="139" priority="159" operator="greaterThan">
      <formula>1</formula>
    </cfRule>
  </conditionalFormatting>
  <conditionalFormatting sqref="E32:R32">
    <cfRule type="cellIs" dxfId="138" priority="158" operator="greaterThan">
      <formula>1</formula>
    </cfRule>
  </conditionalFormatting>
  <conditionalFormatting sqref="E32:R32">
    <cfRule type="cellIs" dxfId="137" priority="157" operator="greaterThan">
      <formula>1</formula>
    </cfRule>
  </conditionalFormatting>
  <conditionalFormatting sqref="G32">
    <cfRule type="cellIs" dxfId="136" priority="156" operator="greaterThan">
      <formula>1</formula>
    </cfRule>
  </conditionalFormatting>
  <conditionalFormatting sqref="H32">
    <cfRule type="cellIs" dxfId="135" priority="155" operator="greaterThan">
      <formula>1</formula>
    </cfRule>
  </conditionalFormatting>
  <conditionalFormatting sqref="I32">
    <cfRule type="cellIs" dxfId="134" priority="154" operator="greaterThan">
      <formula>1</formula>
    </cfRule>
  </conditionalFormatting>
  <conditionalFormatting sqref="J32">
    <cfRule type="cellIs" dxfId="133" priority="153" operator="greaterThan">
      <formula>1</formula>
    </cfRule>
  </conditionalFormatting>
  <conditionalFormatting sqref="K32">
    <cfRule type="cellIs" dxfId="132" priority="152" operator="greaterThan">
      <formula>1</formula>
    </cfRule>
  </conditionalFormatting>
  <conditionalFormatting sqref="L32">
    <cfRule type="cellIs" dxfId="131" priority="151" operator="greaterThan">
      <formula>1</formula>
    </cfRule>
  </conditionalFormatting>
  <conditionalFormatting sqref="M32">
    <cfRule type="cellIs" dxfId="130" priority="150" operator="greaterThan">
      <formula>1</formula>
    </cfRule>
  </conditionalFormatting>
  <conditionalFormatting sqref="N32">
    <cfRule type="cellIs" dxfId="129" priority="149" operator="greaterThan">
      <formula>1</formula>
    </cfRule>
  </conditionalFormatting>
  <conditionalFormatting sqref="O32">
    <cfRule type="cellIs" dxfId="128" priority="148" operator="greaterThan">
      <formula>1</formula>
    </cfRule>
  </conditionalFormatting>
  <conditionalFormatting sqref="P32">
    <cfRule type="cellIs" dxfId="127" priority="147" operator="greaterThan">
      <formula>1</formula>
    </cfRule>
  </conditionalFormatting>
  <conditionalFormatting sqref="Q32">
    <cfRule type="cellIs" dxfId="126" priority="146" operator="greaterThan">
      <formula>1</formula>
    </cfRule>
  </conditionalFormatting>
  <conditionalFormatting sqref="R32">
    <cfRule type="cellIs" dxfId="125" priority="145" operator="greaterThan">
      <formula>1</formula>
    </cfRule>
  </conditionalFormatting>
  <conditionalFormatting sqref="E34:R34">
    <cfRule type="cellIs" dxfId="124" priority="144" operator="greaterThan">
      <formula>1</formula>
    </cfRule>
  </conditionalFormatting>
  <conditionalFormatting sqref="E34:R34">
    <cfRule type="cellIs" dxfId="123" priority="143" operator="greaterThan">
      <formula>1</formula>
    </cfRule>
  </conditionalFormatting>
  <conditionalFormatting sqref="E34:R34">
    <cfRule type="cellIs" dxfId="122" priority="142" operator="greaterThan">
      <formula>1</formula>
    </cfRule>
  </conditionalFormatting>
  <conditionalFormatting sqref="E34:R34">
    <cfRule type="cellIs" dxfId="121" priority="141" operator="greaterThan">
      <formula>1</formula>
    </cfRule>
  </conditionalFormatting>
  <conditionalFormatting sqref="G34">
    <cfRule type="cellIs" dxfId="120" priority="140" operator="greaterThan">
      <formula>1</formula>
    </cfRule>
  </conditionalFormatting>
  <conditionalFormatting sqref="H34">
    <cfRule type="cellIs" dxfId="119" priority="139" operator="greaterThan">
      <formula>1</formula>
    </cfRule>
  </conditionalFormatting>
  <conditionalFormatting sqref="I34">
    <cfRule type="cellIs" dxfId="118" priority="138" operator="greaterThan">
      <formula>1</formula>
    </cfRule>
  </conditionalFormatting>
  <conditionalFormatting sqref="J34">
    <cfRule type="cellIs" dxfId="117" priority="137" operator="greaterThan">
      <formula>1</formula>
    </cfRule>
  </conditionalFormatting>
  <conditionalFormatting sqref="K34">
    <cfRule type="cellIs" dxfId="116" priority="136" operator="greaterThan">
      <formula>1</formula>
    </cfRule>
  </conditionalFormatting>
  <conditionalFormatting sqref="L34">
    <cfRule type="cellIs" dxfId="115" priority="135" operator="greaterThan">
      <formula>1</formula>
    </cfRule>
  </conditionalFormatting>
  <conditionalFormatting sqref="M34">
    <cfRule type="cellIs" dxfId="114" priority="134" operator="greaterThan">
      <formula>1</formula>
    </cfRule>
  </conditionalFormatting>
  <conditionalFormatting sqref="N34">
    <cfRule type="cellIs" dxfId="113" priority="133" operator="greaterThan">
      <formula>1</formula>
    </cfRule>
  </conditionalFormatting>
  <conditionalFormatting sqref="O34">
    <cfRule type="cellIs" dxfId="112" priority="132" operator="greaterThan">
      <formula>1</formula>
    </cfRule>
  </conditionalFormatting>
  <conditionalFormatting sqref="P34">
    <cfRule type="cellIs" dxfId="111" priority="131" operator="greaterThan">
      <formula>1</formula>
    </cfRule>
  </conditionalFormatting>
  <conditionalFormatting sqref="Q34">
    <cfRule type="cellIs" dxfId="110" priority="130" operator="greaterThan">
      <formula>1</formula>
    </cfRule>
  </conditionalFormatting>
  <conditionalFormatting sqref="R34">
    <cfRule type="cellIs" dxfId="109" priority="129" operator="greaterThan">
      <formula>1</formula>
    </cfRule>
  </conditionalFormatting>
  <conditionalFormatting sqref="E36:R36">
    <cfRule type="cellIs" dxfId="108" priority="128" operator="greaterThan">
      <formula>1</formula>
    </cfRule>
  </conditionalFormatting>
  <conditionalFormatting sqref="E36:R36">
    <cfRule type="cellIs" dxfId="107" priority="127" operator="greaterThan">
      <formula>1</formula>
    </cfRule>
  </conditionalFormatting>
  <conditionalFormatting sqref="E36:R36">
    <cfRule type="cellIs" dxfId="106" priority="126" operator="greaterThan">
      <formula>1</formula>
    </cfRule>
  </conditionalFormatting>
  <conditionalFormatting sqref="E36:R36">
    <cfRule type="cellIs" dxfId="105" priority="125" operator="greaterThan">
      <formula>1</formula>
    </cfRule>
  </conditionalFormatting>
  <conditionalFormatting sqref="G36">
    <cfRule type="cellIs" dxfId="104" priority="124" operator="greaterThan">
      <formula>1</formula>
    </cfRule>
  </conditionalFormatting>
  <conditionalFormatting sqref="H36">
    <cfRule type="cellIs" dxfId="103" priority="123" operator="greaterThan">
      <formula>1</formula>
    </cfRule>
  </conditionalFormatting>
  <conditionalFormatting sqref="I36">
    <cfRule type="cellIs" dxfId="102" priority="122" operator="greaterThan">
      <formula>1</formula>
    </cfRule>
  </conditionalFormatting>
  <conditionalFormatting sqref="J36">
    <cfRule type="cellIs" dxfId="101" priority="121" operator="greaterThan">
      <formula>1</formula>
    </cfRule>
  </conditionalFormatting>
  <conditionalFormatting sqref="K36">
    <cfRule type="cellIs" dxfId="100" priority="120" operator="greaterThan">
      <formula>1</formula>
    </cfRule>
  </conditionalFormatting>
  <conditionalFormatting sqref="L36">
    <cfRule type="cellIs" dxfId="99" priority="119" operator="greaterThan">
      <formula>1</formula>
    </cfRule>
  </conditionalFormatting>
  <conditionalFormatting sqref="M36">
    <cfRule type="cellIs" dxfId="98" priority="118" operator="greaterThan">
      <formula>1</formula>
    </cfRule>
  </conditionalFormatting>
  <conditionalFormatting sqref="N36">
    <cfRule type="cellIs" dxfId="97" priority="117" operator="greaterThan">
      <formula>1</formula>
    </cfRule>
  </conditionalFormatting>
  <conditionalFormatting sqref="O36">
    <cfRule type="cellIs" dxfId="96" priority="116" operator="greaterThan">
      <formula>1</formula>
    </cfRule>
  </conditionalFormatting>
  <conditionalFormatting sqref="P36">
    <cfRule type="cellIs" dxfId="95" priority="115" operator="greaterThan">
      <formula>1</formula>
    </cfRule>
  </conditionalFormatting>
  <conditionalFormatting sqref="Q36">
    <cfRule type="cellIs" dxfId="94" priority="114" operator="greaterThan">
      <formula>1</formula>
    </cfRule>
  </conditionalFormatting>
  <conditionalFormatting sqref="R36">
    <cfRule type="cellIs" dxfId="93" priority="113" operator="greaterThan">
      <formula>1</formula>
    </cfRule>
  </conditionalFormatting>
  <conditionalFormatting sqref="R51">
    <cfRule type="cellIs" dxfId="92" priority="1" operator="greaterThan">
      <formula>1</formula>
    </cfRule>
  </conditionalFormatting>
  <conditionalFormatting sqref="E38:R38">
    <cfRule type="cellIs" dxfId="91" priority="112" operator="greaterThan">
      <formula>1</formula>
    </cfRule>
  </conditionalFormatting>
  <conditionalFormatting sqref="E38:R38">
    <cfRule type="cellIs" dxfId="90" priority="111" operator="greaterThan">
      <formula>1</formula>
    </cfRule>
  </conditionalFormatting>
  <conditionalFormatting sqref="E38:R38">
    <cfRule type="cellIs" dxfId="89" priority="110" operator="greaterThan">
      <formula>1</formula>
    </cfRule>
  </conditionalFormatting>
  <conditionalFormatting sqref="E38:R38">
    <cfRule type="cellIs" dxfId="88" priority="109" operator="greaterThan">
      <formula>1</formula>
    </cfRule>
  </conditionalFormatting>
  <conditionalFormatting sqref="G38">
    <cfRule type="cellIs" dxfId="87" priority="108" operator="greaterThan">
      <formula>1</formula>
    </cfRule>
  </conditionalFormatting>
  <conditionalFormatting sqref="H38">
    <cfRule type="cellIs" dxfId="86" priority="107" operator="greaterThan">
      <formula>1</formula>
    </cfRule>
  </conditionalFormatting>
  <conditionalFormatting sqref="I38">
    <cfRule type="cellIs" dxfId="85" priority="106" operator="greaterThan">
      <formula>1</formula>
    </cfRule>
  </conditionalFormatting>
  <conditionalFormatting sqref="J38">
    <cfRule type="cellIs" dxfId="84" priority="105" operator="greaterThan">
      <formula>1</formula>
    </cfRule>
  </conditionalFormatting>
  <conditionalFormatting sqref="K38">
    <cfRule type="cellIs" dxfId="83" priority="104" operator="greaterThan">
      <formula>1</formula>
    </cfRule>
  </conditionalFormatting>
  <conditionalFormatting sqref="L38">
    <cfRule type="cellIs" dxfId="82" priority="103" operator="greaterThan">
      <formula>1</formula>
    </cfRule>
  </conditionalFormatting>
  <conditionalFormatting sqref="M38">
    <cfRule type="cellIs" dxfId="81" priority="102" operator="greaterThan">
      <formula>1</formula>
    </cfRule>
  </conditionalFormatting>
  <conditionalFormatting sqref="N38">
    <cfRule type="cellIs" dxfId="80" priority="101" operator="greaterThan">
      <formula>1</formula>
    </cfRule>
  </conditionalFormatting>
  <conditionalFormatting sqref="O38">
    <cfRule type="cellIs" dxfId="79" priority="100" operator="greaterThan">
      <formula>1</formula>
    </cfRule>
  </conditionalFormatting>
  <conditionalFormatting sqref="P38">
    <cfRule type="cellIs" dxfId="78" priority="99" operator="greaterThan">
      <formula>1</formula>
    </cfRule>
  </conditionalFormatting>
  <conditionalFormatting sqref="Q38">
    <cfRule type="cellIs" dxfId="77" priority="98" operator="greaterThan">
      <formula>1</formula>
    </cfRule>
  </conditionalFormatting>
  <conditionalFormatting sqref="R38">
    <cfRule type="cellIs" dxfId="76" priority="97" operator="greaterThan">
      <formula>1</formula>
    </cfRule>
  </conditionalFormatting>
  <conditionalFormatting sqref="E40:R40">
    <cfRule type="cellIs" dxfId="75" priority="96" operator="greaterThan">
      <formula>1</formula>
    </cfRule>
  </conditionalFormatting>
  <conditionalFormatting sqref="E40:R40">
    <cfRule type="cellIs" dxfId="74" priority="95" operator="greaterThan">
      <formula>1</formula>
    </cfRule>
  </conditionalFormatting>
  <conditionalFormatting sqref="E40:R40">
    <cfRule type="cellIs" dxfId="73" priority="94" operator="greaterThan">
      <formula>1</formula>
    </cfRule>
  </conditionalFormatting>
  <conditionalFormatting sqref="E40:R40">
    <cfRule type="cellIs" dxfId="72" priority="93" operator="greaterThan">
      <formula>1</formula>
    </cfRule>
  </conditionalFormatting>
  <conditionalFormatting sqref="G40">
    <cfRule type="cellIs" dxfId="71" priority="92" operator="greaterThan">
      <formula>1</formula>
    </cfRule>
  </conditionalFormatting>
  <conditionalFormatting sqref="H40">
    <cfRule type="cellIs" dxfId="70" priority="91" operator="greaterThan">
      <formula>1</formula>
    </cfRule>
  </conditionalFormatting>
  <conditionalFormatting sqref="I40">
    <cfRule type="cellIs" dxfId="69" priority="90" operator="greaterThan">
      <formula>1</formula>
    </cfRule>
  </conditionalFormatting>
  <conditionalFormatting sqref="J40">
    <cfRule type="cellIs" dxfId="68" priority="89" operator="greaterThan">
      <formula>1</formula>
    </cfRule>
  </conditionalFormatting>
  <conditionalFormatting sqref="K40">
    <cfRule type="cellIs" dxfId="67" priority="88" operator="greaterThan">
      <formula>1</formula>
    </cfRule>
  </conditionalFormatting>
  <conditionalFormatting sqref="L40">
    <cfRule type="cellIs" dxfId="66" priority="87" operator="greaterThan">
      <formula>1</formula>
    </cfRule>
  </conditionalFormatting>
  <conditionalFormatting sqref="M40">
    <cfRule type="cellIs" dxfId="65" priority="86" operator="greaterThan">
      <formula>1</formula>
    </cfRule>
  </conditionalFormatting>
  <conditionalFormatting sqref="N40">
    <cfRule type="cellIs" dxfId="64" priority="85" operator="greaterThan">
      <formula>1</formula>
    </cfRule>
  </conditionalFormatting>
  <conditionalFormatting sqref="O40">
    <cfRule type="cellIs" dxfId="63" priority="84" operator="greaterThan">
      <formula>1</formula>
    </cfRule>
  </conditionalFormatting>
  <conditionalFormatting sqref="P40">
    <cfRule type="cellIs" dxfId="62" priority="83" operator="greaterThan">
      <formula>1</formula>
    </cfRule>
  </conditionalFormatting>
  <conditionalFormatting sqref="Q40">
    <cfRule type="cellIs" dxfId="61" priority="82" operator="greaterThan">
      <formula>1</formula>
    </cfRule>
  </conditionalFormatting>
  <conditionalFormatting sqref="R40">
    <cfRule type="cellIs" dxfId="60" priority="81" operator="greaterThan">
      <formula>1</formula>
    </cfRule>
  </conditionalFormatting>
  <conditionalFormatting sqref="E43:R43">
    <cfRule type="cellIs" dxfId="59" priority="80" operator="greaterThan">
      <formula>1</formula>
    </cfRule>
  </conditionalFormatting>
  <conditionalFormatting sqref="E43:R43">
    <cfRule type="cellIs" dxfId="58" priority="79" operator="greaterThan">
      <formula>1</formula>
    </cfRule>
  </conditionalFormatting>
  <conditionalFormatting sqref="E43:R43">
    <cfRule type="cellIs" dxfId="57" priority="78" operator="greaterThan">
      <formula>1</formula>
    </cfRule>
  </conditionalFormatting>
  <conditionalFormatting sqref="E43:R43">
    <cfRule type="cellIs" dxfId="56" priority="77" operator="greaterThan">
      <formula>1</formula>
    </cfRule>
  </conditionalFormatting>
  <conditionalFormatting sqref="G43">
    <cfRule type="cellIs" dxfId="55" priority="76" operator="greaterThan">
      <formula>1</formula>
    </cfRule>
  </conditionalFormatting>
  <conditionalFormatting sqref="H43">
    <cfRule type="cellIs" dxfId="54" priority="75" operator="greaterThan">
      <formula>1</formula>
    </cfRule>
  </conditionalFormatting>
  <conditionalFormatting sqref="I43">
    <cfRule type="cellIs" dxfId="53" priority="74" operator="greaterThan">
      <formula>1</formula>
    </cfRule>
  </conditionalFormatting>
  <conditionalFormatting sqref="J43">
    <cfRule type="cellIs" dxfId="52" priority="73" operator="greaterThan">
      <formula>1</formula>
    </cfRule>
  </conditionalFormatting>
  <conditionalFormatting sqref="K43">
    <cfRule type="cellIs" dxfId="51" priority="72" operator="greaterThan">
      <formula>1</formula>
    </cfRule>
  </conditionalFormatting>
  <conditionalFormatting sqref="L43">
    <cfRule type="cellIs" dxfId="50" priority="71" operator="greaterThan">
      <formula>1</formula>
    </cfRule>
  </conditionalFormatting>
  <conditionalFormatting sqref="M43">
    <cfRule type="cellIs" dxfId="49" priority="70" operator="greaterThan">
      <formula>1</formula>
    </cfRule>
  </conditionalFormatting>
  <conditionalFormatting sqref="N43">
    <cfRule type="cellIs" dxfId="48" priority="69" operator="greaterThan">
      <formula>1</formula>
    </cfRule>
  </conditionalFormatting>
  <conditionalFormatting sqref="O43">
    <cfRule type="cellIs" dxfId="47" priority="68" operator="greaterThan">
      <formula>1</formula>
    </cfRule>
  </conditionalFormatting>
  <conditionalFormatting sqref="P43">
    <cfRule type="cellIs" dxfId="46" priority="67" operator="greaterThan">
      <formula>1</formula>
    </cfRule>
  </conditionalFormatting>
  <conditionalFormatting sqref="Q43">
    <cfRule type="cellIs" dxfId="45" priority="66" operator="greaterThan">
      <formula>1</formula>
    </cfRule>
  </conditionalFormatting>
  <conditionalFormatting sqref="R43">
    <cfRule type="cellIs" dxfId="44" priority="65" operator="greaterThan">
      <formula>1</formula>
    </cfRule>
  </conditionalFormatting>
  <conditionalFormatting sqref="E45:R45">
    <cfRule type="cellIs" dxfId="43" priority="64" operator="greaterThan">
      <formula>1</formula>
    </cfRule>
  </conditionalFormatting>
  <conditionalFormatting sqref="E45:R45">
    <cfRule type="cellIs" dxfId="42" priority="63" operator="greaterThan">
      <formula>1</formula>
    </cfRule>
  </conditionalFormatting>
  <conditionalFormatting sqref="E45:R45">
    <cfRule type="cellIs" dxfId="41" priority="62" operator="greaterThan">
      <formula>1</formula>
    </cfRule>
  </conditionalFormatting>
  <conditionalFormatting sqref="E45:R45">
    <cfRule type="cellIs" dxfId="40" priority="61" operator="greaterThan">
      <formula>1</formula>
    </cfRule>
  </conditionalFormatting>
  <conditionalFormatting sqref="G45">
    <cfRule type="cellIs" dxfId="39" priority="60" operator="greaterThan">
      <formula>1</formula>
    </cfRule>
  </conditionalFormatting>
  <conditionalFormatting sqref="H45">
    <cfRule type="cellIs" dxfId="38" priority="59" operator="greaterThan">
      <formula>1</formula>
    </cfRule>
  </conditionalFormatting>
  <conditionalFormatting sqref="I45">
    <cfRule type="cellIs" dxfId="37" priority="58" operator="greaterThan">
      <formula>1</formula>
    </cfRule>
  </conditionalFormatting>
  <conditionalFormatting sqref="J45">
    <cfRule type="cellIs" dxfId="36" priority="57" operator="greaterThan">
      <formula>1</formula>
    </cfRule>
  </conditionalFormatting>
  <conditionalFormatting sqref="K45">
    <cfRule type="cellIs" dxfId="35" priority="56" operator="greaterThan">
      <formula>1</formula>
    </cfRule>
  </conditionalFormatting>
  <conditionalFormatting sqref="L45">
    <cfRule type="cellIs" dxfId="34" priority="55" operator="greaterThan">
      <formula>1</formula>
    </cfRule>
  </conditionalFormatting>
  <conditionalFormatting sqref="M45">
    <cfRule type="cellIs" dxfId="33" priority="54" operator="greaterThan">
      <formula>1</formula>
    </cfRule>
  </conditionalFormatting>
  <conditionalFormatting sqref="N45">
    <cfRule type="cellIs" dxfId="32" priority="53" operator="greaterThan">
      <formula>1</formula>
    </cfRule>
  </conditionalFormatting>
  <conditionalFormatting sqref="Q45">
    <cfRule type="cellIs" dxfId="31" priority="50" operator="greaterThan">
      <formula>1</formula>
    </cfRule>
  </conditionalFormatting>
  <conditionalFormatting sqref="E49:R49">
    <cfRule type="cellIs" dxfId="30" priority="32" operator="greaterThan">
      <formula>1</formula>
    </cfRule>
  </conditionalFormatting>
  <conditionalFormatting sqref="E49:R49">
    <cfRule type="cellIs" dxfId="29" priority="31" operator="greaterThan">
      <formula>1</formula>
    </cfRule>
  </conditionalFormatting>
  <conditionalFormatting sqref="E49:R49">
    <cfRule type="cellIs" dxfId="28" priority="30" operator="greaterThan">
      <formula>1</formula>
    </cfRule>
  </conditionalFormatting>
  <conditionalFormatting sqref="E49:R49">
    <cfRule type="cellIs" dxfId="27" priority="29" operator="greaterThan">
      <formula>1</formula>
    </cfRule>
  </conditionalFormatting>
  <conditionalFormatting sqref="G49">
    <cfRule type="cellIs" dxfId="26" priority="28" operator="greaterThan">
      <formula>1</formula>
    </cfRule>
  </conditionalFormatting>
  <conditionalFormatting sqref="H49">
    <cfRule type="cellIs" dxfId="25" priority="27" operator="greaterThan">
      <formula>1</formula>
    </cfRule>
  </conditionalFormatting>
  <conditionalFormatting sqref="I49">
    <cfRule type="cellIs" dxfId="24" priority="26" operator="greaterThan">
      <formula>1</formula>
    </cfRule>
  </conditionalFormatting>
  <conditionalFormatting sqref="J49">
    <cfRule type="cellIs" dxfId="23" priority="25" operator="greaterThan">
      <formula>1</formula>
    </cfRule>
  </conditionalFormatting>
  <conditionalFormatting sqref="K49">
    <cfRule type="cellIs" dxfId="22" priority="24" operator="greaterThan">
      <formula>1</formula>
    </cfRule>
  </conditionalFormatting>
  <conditionalFormatting sqref="L49">
    <cfRule type="cellIs" dxfId="21" priority="23" operator="greaterThan">
      <formula>1</formula>
    </cfRule>
  </conditionalFormatting>
  <conditionalFormatting sqref="M49">
    <cfRule type="cellIs" dxfId="20" priority="22" operator="greaterThan">
      <formula>1</formula>
    </cfRule>
  </conditionalFormatting>
  <conditionalFormatting sqref="N49">
    <cfRule type="cellIs" dxfId="19" priority="21" operator="greaterThan">
      <formula>1</formula>
    </cfRule>
  </conditionalFormatting>
  <conditionalFormatting sqref="O49">
    <cfRule type="cellIs" dxfId="18" priority="20" operator="greaterThan">
      <formula>1</formula>
    </cfRule>
  </conditionalFormatting>
  <conditionalFormatting sqref="P49">
    <cfRule type="cellIs" dxfId="17" priority="19" operator="greaterThan">
      <formula>1</formula>
    </cfRule>
  </conditionalFormatting>
  <conditionalFormatting sqref="Q49">
    <cfRule type="cellIs" dxfId="16" priority="18" operator="greaterThan">
      <formula>1</formula>
    </cfRule>
  </conditionalFormatting>
  <conditionalFormatting sqref="R49">
    <cfRule type="cellIs" dxfId="15" priority="17" operator="greaterThan">
      <formula>1</formula>
    </cfRule>
  </conditionalFormatting>
  <conditionalFormatting sqref="E51:R51">
    <cfRule type="cellIs" dxfId="14" priority="16" operator="greaterThan">
      <formula>1</formula>
    </cfRule>
  </conditionalFormatting>
  <conditionalFormatting sqref="E51:R51">
    <cfRule type="cellIs" dxfId="13" priority="15" operator="greaterThan">
      <formula>1</formula>
    </cfRule>
  </conditionalFormatting>
  <conditionalFormatting sqref="E51:R51">
    <cfRule type="cellIs" dxfId="12" priority="14" operator="greaterThan">
      <formula>1</formula>
    </cfRule>
  </conditionalFormatting>
  <conditionalFormatting sqref="E51:R51">
    <cfRule type="cellIs" dxfId="11" priority="13" operator="greaterThan">
      <formula>1</formula>
    </cfRule>
  </conditionalFormatting>
  <conditionalFormatting sqref="G51">
    <cfRule type="cellIs" dxfId="10" priority="12" operator="greaterThan">
      <formula>1</formula>
    </cfRule>
  </conditionalFormatting>
  <conditionalFormatting sqref="H51">
    <cfRule type="cellIs" dxfId="9" priority="11" operator="greaterThan">
      <formula>1</formula>
    </cfRule>
  </conditionalFormatting>
  <conditionalFormatting sqref="I51">
    <cfRule type="cellIs" dxfId="8" priority="10" operator="greaterThan">
      <formula>1</formula>
    </cfRule>
  </conditionalFormatting>
  <conditionalFormatting sqref="J51">
    <cfRule type="cellIs" dxfId="7" priority="9" operator="greaterThan">
      <formula>1</formula>
    </cfRule>
  </conditionalFormatting>
  <conditionalFormatting sqref="K51">
    <cfRule type="cellIs" dxfId="6" priority="8" operator="greaterThan">
      <formula>1</formula>
    </cfRule>
  </conditionalFormatting>
  <conditionalFormatting sqref="L51">
    <cfRule type="cellIs" dxfId="5" priority="7" operator="greaterThan">
      <formula>1</formula>
    </cfRule>
  </conditionalFormatting>
  <conditionalFormatting sqref="M51">
    <cfRule type="cellIs" dxfId="4" priority="6" operator="greaterThan">
      <formula>1</formula>
    </cfRule>
  </conditionalFormatting>
  <conditionalFormatting sqref="N51">
    <cfRule type="cellIs" dxfId="3" priority="5" operator="greaterThan">
      <formula>1</formula>
    </cfRule>
  </conditionalFormatting>
  <conditionalFormatting sqref="O51">
    <cfRule type="cellIs" dxfId="2" priority="4" operator="greaterThan">
      <formula>1</formula>
    </cfRule>
  </conditionalFormatting>
  <conditionalFormatting sqref="P51">
    <cfRule type="cellIs" dxfId="1" priority="3" operator="greaterThan">
      <formula>1</formula>
    </cfRule>
  </conditionalFormatting>
  <conditionalFormatting sqref="Q51">
    <cfRule type="cellIs" dxfId="0" priority="2" operator="greaterThan">
      <formula>1</formula>
    </cfRule>
  </conditionalFormatting>
  <printOptions horizontalCentered="1" verticalCentered="1"/>
  <pageMargins left="0.39370078740157483" right="0.39370078740157483" top="0.39370078740157483" bottom="0.98425196850393704" header="0" footer="0.39370078740157483"/>
  <pageSetup paperSize="8" scale="43" firstPageNumber="156" fitToWidth="0" fitToHeight="0" orientation="landscape" useFirstPageNumber="1" r:id="rId1"/>
  <headerFooter>
    <oddFooter>&amp;RPágina &amp;P de 249</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A1CDB-3C9E-4FA0-816A-E9F9527CD676}">
  <sheetPr codeName="Plan18">
    <tabColor theme="9"/>
    <pageSetUpPr fitToPage="1"/>
  </sheetPr>
  <dimension ref="A1:U804"/>
  <sheetViews>
    <sheetView view="pageBreakPreview" zoomScale="110" zoomScaleNormal="100" zoomScaleSheetLayoutView="110" zoomScalePageLayoutView="90" workbookViewId="0">
      <selection activeCell="D9" sqref="D9"/>
    </sheetView>
  </sheetViews>
  <sheetFormatPr defaultRowHeight="12.75" x14ac:dyDescent="0.2"/>
  <cols>
    <col min="1" max="1" width="11" style="11" bestFit="1" customWidth="1"/>
    <col min="2" max="2" width="13" style="11" customWidth="1"/>
    <col min="3" max="3" width="69.7109375" style="12" customWidth="1"/>
    <col min="4" max="4" width="15.28515625" style="4" bestFit="1" customWidth="1"/>
    <col min="5" max="5" width="7.140625" style="1991" bestFit="1" customWidth="1"/>
    <col min="6" max="6" width="13.7109375" style="1991" bestFit="1" customWidth="1"/>
    <col min="7" max="16384" width="9.140625" style="1751"/>
  </cols>
  <sheetData>
    <row r="1" spans="1:21" s="1819" customFormat="1" ht="15" x14ac:dyDescent="0.2">
      <c r="A1" s="184"/>
      <c r="B1" s="184"/>
      <c r="C1" s="62"/>
      <c r="D1" s="1748"/>
      <c r="E1" s="1748"/>
      <c r="F1" s="1747"/>
      <c r="G1" s="1751"/>
      <c r="H1" s="1751"/>
      <c r="I1" s="1751"/>
      <c r="J1" s="1751"/>
      <c r="K1" s="1751"/>
      <c r="L1" s="1751"/>
      <c r="M1" s="1751"/>
      <c r="N1" s="1751"/>
      <c r="O1" s="1751"/>
      <c r="P1" s="1751"/>
      <c r="Q1" s="1751"/>
      <c r="R1" s="1751"/>
      <c r="S1" s="1751"/>
      <c r="T1" s="1751"/>
      <c r="U1" s="1751"/>
    </row>
    <row r="2" spans="1:21" s="1819" customFormat="1" ht="15" x14ac:dyDescent="0.2">
      <c r="A2" s="2123" t="s">
        <v>34</v>
      </c>
      <c r="B2" s="2123"/>
      <c r="C2" s="2123"/>
      <c r="D2" s="2123"/>
      <c r="E2" s="2123"/>
      <c r="F2" s="2123"/>
      <c r="G2" s="1751"/>
      <c r="H2" s="1751"/>
      <c r="I2" s="1751"/>
      <c r="J2" s="1751"/>
      <c r="K2" s="1751"/>
      <c r="L2" s="1751"/>
      <c r="M2" s="1751"/>
      <c r="N2" s="1751"/>
      <c r="O2" s="1751"/>
      <c r="P2" s="1751"/>
      <c r="Q2" s="1751"/>
      <c r="R2" s="1751"/>
      <c r="S2" s="1751"/>
      <c r="T2" s="1751"/>
      <c r="U2" s="1751"/>
    </row>
    <row r="3" spans="1:21" s="1819" customFormat="1" ht="15" x14ac:dyDescent="0.2">
      <c r="A3" s="2123" t="s">
        <v>35</v>
      </c>
      <c r="B3" s="2123"/>
      <c r="C3" s="2123"/>
      <c r="D3" s="2123"/>
      <c r="E3" s="2123"/>
      <c r="F3" s="2123"/>
      <c r="G3" s="1751"/>
      <c r="H3" s="1751"/>
      <c r="I3" s="1751"/>
      <c r="J3" s="1751"/>
      <c r="K3" s="1751"/>
      <c r="L3" s="1751"/>
      <c r="M3" s="1751"/>
      <c r="N3" s="1751"/>
      <c r="O3" s="1751"/>
      <c r="P3" s="1751"/>
      <c r="Q3" s="1751"/>
      <c r="R3" s="1751"/>
      <c r="S3" s="1751"/>
      <c r="T3" s="1751"/>
      <c r="U3" s="1751"/>
    </row>
    <row r="4" spans="1:21" s="1819" customFormat="1" ht="15" x14ac:dyDescent="0.2">
      <c r="A4" s="2123" t="s">
        <v>4980</v>
      </c>
      <c r="B4" s="2123"/>
      <c r="C4" s="2123"/>
      <c r="D4" s="2123"/>
      <c r="E4" s="2123"/>
      <c r="F4" s="2123"/>
      <c r="G4" s="1751"/>
      <c r="H4" s="1751"/>
      <c r="I4" s="1751"/>
      <c r="J4" s="1751"/>
      <c r="K4" s="1751"/>
      <c r="L4" s="1751"/>
      <c r="M4" s="1751"/>
      <c r="N4" s="1751"/>
      <c r="O4" s="1751"/>
      <c r="P4" s="1751"/>
      <c r="Q4" s="1751"/>
      <c r="R4" s="1751"/>
      <c r="S4" s="1751"/>
      <c r="T4" s="1751"/>
      <c r="U4" s="1751"/>
    </row>
    <row r="5" spans="1:21" s="1819" customFormat="1" ht="15" x14ac:dyDescent="0.2">
      <c r="A5" s="1739"/>
      <c r="B5" s="1739"/>
      <c r="C5" s="1740" t="s">
        <v>29</v>
      </c>
      <c r="D5" s="1744"/>
      <c r="E5" s="1744"/>
      <c r="F5" s="1743"/>
      <c r="G5" s="1751"/>
      <c r="H5" s="1751"/>
      <c r="I5" s="1751"/>
      <c r="J5" s="1751"/>
      <c r="K5" s="1751"/>
      <c r="L5" s="1751"/>
      <c r="M5" s="1751"/>
      <c r="N5" s="1751"/>
      <c r="O5" s="1751"/>
      <c r="P5" s="1751"/>
      <c r="Q5" s="1751"/>
      <c r="R5" s="1751"/>
      <c r="S5" s="1751"/>
      <c r="T5" s="1751"/>
      <c r="U5" s="1751"/>
    </row>
    <row r="6" spans="1:21" s="1819" customFormat="1" ht="15" x14ac:dyDescent="0.2">
      <c r="A6" s="1739"/>
      <c r="B6" s="1739"/>
      <c r="C6" s="1740"/>
      <c r="D6" s="1748"/>
      <c r="E6" s="1748"/>
      <c r="F6" s="1747"/>
      <c r="G6" s="1751"/>
      <c r="H6" s="1751"/>
      <c r="I6" s="1751"/>
      <c r="J6" s="1751"/>
      <c r="K6" s="1751"/>
      <c r="L6" s="1751"/>
      <c r="M6" s="1751"/>
      <c r="N6" s="1751"/>
      <c r="O6" s="1751"/>
      <c r="P6" s="1751"/>
      <c r="Q6" s="1751"/>
      <c r="R6" s="1751"/>
      <c r="S6" s="1751"/>
      <c r="T6" s="1751"/>
      <c r="U6" s="1751"/>
    </row>
    <row r="7" spans="1:21" s="1819" customFormat="1" ht="21" x14ac:dyDescent="0.2">
      <c r="A7" s="2128" t="s">
        <v>15138</v>
      </c>
      <c r="B7" s="2128"/>
      <c r="C7" s="2128"/>
      <c r="D7" s="2128"/>
      <c r="E7" s="2128"/>
      <c r="F7" s="2128"/>
      <c r="G7" s="1751"/>
      <c r="H7" s="1751"/>
      <c r="I7" s="1751"/>
      <c r="J7" s="1751"/>
      <c r="K7" s="1751"/>
      <c r="L7" s="1751"/>
      <c r="M7" s="1751"/>
      <c r="N7" s="1751"/>
      <c r="O7" s="1751"/>
      <c r="P7" s="1751"/>
      <c r="Q7" s="1751"/>
      <c r="R7" s="1751"/>
      <c r="S7" s="1751"/>
      <c r="T7" s="1751"/>
      <c r="U7" s="1751"/>
    </row>
    <row r="8" spans="1:21" s="1819" customFormat="1" ht="15" x14ac:dyDescent="0.2">
      <c r="A8" s="1739"/>
      <c r="B8" s="1739"/>
      <c r="C8" s="1740"/>
      <c r="D8" s="1744"/>
      <c r="E8" s="1744"/>
      <c r="F8" s="1743"/>
      <c r="G8" s="1751"/>
      <c r="H8" s="1751"/>
      <c r="I8" s="1751"/>
      <c r="J8" s="1751"/>
      <c r="K8" s="1751"/>
      <c r="L8" s="1751"/>
      <c r="M8" s="1751"/>
      <c r="N8" s="1751"/>
      <c r="O8" s="1751"/>
      <c r="P8" s="1751"/>
      <c r="Q8" s="1751"/>
      <c r="R8" s="1751"/>
      <c r="S8" s="1751"/>
      <c r="T8" s="1751"/>
      <c r="U8" s="1751"/>
    </row>
    <row r="9" spans="1:21" s="1819" customFormat="1" ht="15" x14ac:dyDescent="0.2">
      <c r="A9" s="1750" t="s">
        <v>4443</v>
      </c>
      <c r="B9" s="1781" t="s">
        <v>15152</v>
      </c>
      <c r="C9" s="94"/>
      <c r="D9" s="1978"/>
      <c r="E9" s="1978"/>
      <c r="F9" s="1978"/>
      <c r="G9" s="1751"/>
      <c r="H9" s="1751"/>
      <c r="I9" s="1751"/>
      <c r="J9" s="1751"/>
      <c r="K9" s="1751"/>
      <c r="L9" s="1751"/>
      <c r="M9" s="1751"/>
      <c r="N9" s="1751"/>
      <c r="O9" s="1751"/>
      <c r="P9" s="1751"/>
      <c r="Q9" s="1751"/>
      <c r="R9" s="1751"/>
      <c r="S9" s="1751"/>
      <c r="T9" s="1751"/>
      <c r="U9" s="1751"/>
    </row>
    <row r="10" spans="1:21" s="1819" customFormat="1" ht="15" x14ac:dyDescent="0.2">
      <c r="A10" s="1750" t="s">
        <v>128</v>
      </c>
      <c r="B10" s="1781" t="s">
        <v>8381</v>
      </c>
      <c r="C10" s="94"/>
      <c r="D10" s="1978"/>
      <c r="E10" s="1978"/>
      <c r="F10" s="1978"/>
      <c r="G10" s="1751"/>
      <c r="H10" s="1751"/>
      <c r="I10" s="1751"/>
      <c r="J10" s="1751"/>
      <c r="K10" s="1751"/>
      <c r="L10" s="1751"/>
      <c r="M10" s="1751"/>
      <c r="N10" s="1751"/>
      <c r="O10" s="1751"/>
      <c r="P10" s="1751"/>
      <c r="Q10" s="1751"/>
      <c r="R10" s="1751"/>
      <c r="S10" s="1751"/>
      <c r="T10" s="1751"/>
      <c r="U10" s="1751"/>
    </row>
    <row r="11" spans="1:21" s="1819" customFormat="1" ht="15" x14ac:dyDescent="0.2">
      <c r="A11" s="1750" t="s">
        <v>4444</v>
      </c>
      <c r="B11" s="2046" t="s">
        <v>14964</v>
      </c>
      <c r="C11" s="1814"/>
      <c r="D11" s="1856"/>
      <c r="E11" s="1856"/>
      <c r="F11" s="1856"/>
      <c r="G11" s="1751"/>
      <c r="H11" s="1751"/>
      <c r="I11" s="1751"/>
      <c r="J11" s="1751"/>
      <c r="K11" s="1751"/>
      <c r="L11" s="1751"/>
      <c r="M11" s="1751"/>
      <c r="N11" s="1751"/>
      <c r="O11" s="1751"/>
      <c r="P11" s="1751"/>
      <c r="Q11" s="1751"/>
      <c r="R11" s="1751"/>
      <c r="S11" s="1751"/>
      <c r="T11" s="1751"/>
      <c r="U11" s="1751"/>
    </row>
    <row r="12" spans="1:21" ht="15" x14ac:dyDescent="0.2">
      <c r="A12" s="2139" t="s">
        <v>4854</v>
      </c>
      <c r="B12" s="2139"/>
      <c r="C12" s="2139"/>
      <c r="D12" s="2139"/>
      <c r="E12" s="2139"/>
      <c r="F12" s="2139"/>
    </row>
    <row r="13" spans="1:21" s="2006" customFormat="1" ht="30" x14ac:dyDescent="0.2">
      <c r="A13" s="2004" t="s">
        <v>15149</v>
      </c>
      <c r="B13" s="2004" t="s">
        <v>0</v>
      </c>
      <c r="C13" s="2004" t="s">
        <v>1</v>
      </c>
      <c r="D13" s="1990" t="s">
        <v>130</v>
      </c>
      <c r="E13" s="1989" t="s">
        <v>15139</v>
      </c>
      <c r="F13" s="1990" t="s">
        <v>15140</v>
      </c>
    </row>
    <row r="14" spans="1:21" s="2060" customFormat="1" ht="45" x14ac:dyDescent="0.2">
      <c r="A14" s="1992" t="s">
        <v>21</v>
      </c>
      <c r="B14" s="1992" t="s">
        <v>7761</v>
      </c>
      <c r="C14" s="1993" t="s">
        <v>8380</v>
      </c>
      <c r="D14" s="1998">
        <v>701355.33</v>
      </c>
      <c r="E14" s="1994">
        <f t="shared" ref="E14:E41" si="0">D14/SUM(D:D)</f>
        <v>7.7425011846124506E-2</v>
      </c>
      <c r="F14" s="1994">
        <f>E14</f>
        <v>7.7425011846124506E-2</v>
      </c>
    </row>
    <row r="15" spans="1:21" s="2060" customFormat="1" ht="15" x14ac:dyDescent="0.2">
      <c r="A15" s="1992" t="s">
        <v>21</v>
      </c>
      <c r="B15" s="1992" t="s">
        <v>5701</v>
      </c>
      <c r="C15" s="1993" t="s">
        <v>7889</v>
      </c>
      <c r="D15" s="1998">
        <v>660993.53</v>
      </c>
      <c r="E15" s="1994">
        <f t="shared" si="0"/>
        <v>7.2969334802747782E-2</v>
      </c>
      <c r="F15" s="1994">
        <f>E15+F14</f>
        <v>0.1503943466488723</v>
      </c>
    </row>
    <row r="16" spans="1:21" s="2060" customFormat="1" ht="30" x14ac:dyDescent="0.2">
      <c r="A16" s="1992" t="s">
        <v>21</v>
      </c>
      <c r="B16" s="1992" t="s">
        <v>5702</v>
      </c>
      <c r="C16" s="1993" t="s">
        <v>7891</v>
      </c>
      <c r="D16" s="1998">
        <v>561609.57999999996</v>
      </c>
      <c r="E16" s="1994">
        <f t="shared" si="0"/>
        <v>6.1998000905471133E-2</v>
      </c>
      <c r="F16" s="1994">
        <f t="shared" ref="F16:F41" si="1">E16+F15</f>
        <v>0.21239234755434344</v>
      </c>
    </row>
    <row r="17" spans="1:6" s="2060" customFormat="1" ht="15" x14ac:dyDescent="0.2">
      <c r="A17" s="1992" t="s">
        <v>21</v>
      </c>
      <c r="B17" s="1992" t="s">
        <v>7751</v>
      </c>
      <c r="C17" s="1993" t="s">
        <v>15168</v>
      </c>
      <c r="D17" s="1998">
        <v>270896.36</v>
      </c>
      <c r="E17" s="1994">
        <f t="shared" si="0"/>
        <v>2.9905175001766947E-2</v>
      </c>
      <c r="F17" s="1994">
        <f t="shared" si="1"/>
        <v>0.2422975225561104</v>
      </c>
    </row>
    <row r="18" spans="1:6" s="2060" customFormat="1" ht="30" x14ac:dyDescent="0.2">
      <c r="A18" s="1992" t="s">
        <v>21</v>
      </c>
      <c r="B18" s="1992" t="s">
        <v>5776</v>
      </c>
      <c r="C18" s="1993" t="s">
        <v>9473</v>
      </c>
      <c r="D18" s="1998">
        <v>226025.74</v>
      </c>
      <c r="E18" s="1994">
        <f t="shared" si="0"/>
        <v>2.4951753909147674E-2</v>
      </c>
      <c r="F18" s="1994">
        <f t="shared" si="1"/>
        <v>0.26724927646525809</v>
      </c>
    </row>
    <row r="19" spans="1:6" s="2060" customFormat="1" ht="45" x14ac:dyDescent="0.2">
      <c r="A19" s="1992" t="s">
        <v>21</v>
      </c>
      <c r="B19" s="1992" t="s">
        <v>7746</v>
      </c>
      <c r="C19" s="1993" t="s">
        <v>15143</v>
      </c>
      <c r="D19" s="1998">
        <v>188503.44</v>
      </c>
      <c r="E19" s="1994">
        <f t="shared" si="0"/>
        <v>2.0809538975108694E-2</v>
      </c>
      <c r="F19" s="1994">
        <f t="shared" si="1"/>
        <v>0.28805881544036677</v>
      </c>
    </row>
    <row r="20" spans="1:6" s="2060" customFormat="1" ht="15" x14ac:dyDescent="0.2">
      <c r="A20" s="1992" t="s">
        <v>21</v>
      </c>
      <c r="B20" s="1992" t="s">
        <v>7754</v>
      </c>
      <c r="C20" s="1993" t="s">
        <v>7757</v>
      </c>
      <c r="D20" s="1998">
        <v>157444.56</v>
      </c>
      <c r="E20" s="1994">
        <f t="shared" si="0"/>
        <v>1.7380843064396276E-2</v>
      </c>
      <c r="F20" s="1994">
        <f t="shared" si="1"/>
        <v>0.30543965850476307</v>
      </c>
    </row>
    <row r="21" spans="1:6" s="2060" customFormat="1" ht="15" x14ac:dyDescent="0.2">
      <c r="A21" s="1992" t="s">
        <v>21</v>
      </c>
      <c r="B21" s="1992" t="s">
        <v>6786</v>
      </c>
      <c r="C21" s="1993" t="s">
        <v>5904</v>
      </c>
      <c r="D21" s="1998">
        <v>156860.98000000001</v>
      </c>
      <c r="E21" s="1994">
        <f t="shared" si="0"/>
        <v>1.7316419673740414E-2</v>
      </c>
      <c r="F21" s="1994">
        <f t="shared" si="1"/>
        <v>0.32275607817850349</v>
      </c>
    </row>
    <row r="22" spans="1:6" s="2060" customFormat="1" ht="30" x14ac:dyDescent="0.2">
      <c r="A22" s="1992" t="s">
        <v>21</v>
      </c>
      <c r="B22" s="1992" t="s">
        <v>6773</v>
      </c>
      <c r="C22" s="1993" t="s">
        <v>6676</v>
      </c>
      <c r="D22" s="1998">
        <v>151920.13</v>
      </c>
      <c r="E22" s="1994">
        <f t="shared" si="0"/>
        <v>1.6770982356282622E-2</v>
      </c>
      <c r="F22" s="1994">
        <f t="shared" si="1"/>
        <v>0.3395270605347861</v>
      </c>
    </row>
    <row r="23" spans="1:6" s="2060" customFormat="1" ht="15" x14ac:dyDescent="0.2">
      <c r="A23" s="1992" t="s">
        <v>21</v>
      </c>
      <c r="B23" s="1992" t="s">
        <v>5785</v>
      </c>
      <c r="C23" s="1993" t="s">
        <v>5783</v>
      </c>
      <c r="D23" s="1998">
        <v>134870.45000000001</v>
      </c>
      <c r="E23" s="1994">
        <f t="shared" si="0"/>
        <v>1.4888809911720702E-2</v>
      </c>
      <c r="F23" s="1994">
        <f t="shared" si="1"/>
        <v>0.3544158704465068</v>
      </c>
    </row>
    <row r="24" spans="1:6" s="2060" customFormat="1" ht="30" x14ac:dyDescent="0.2">
      <c r="A24" s="1992" t="s">
        <v>21</v>
      </c>
      <c r="B24" s="1992" t="s">
        <v>6722</v>
      </c>
      <c r="C24" s="1993" t="s">
        <v>5708</v>
      </c>
      <c r="D24" s="1998">
        <v>129369.9</v>
      </c>
      <c r="E24" s="1994">
        <f t="shared" si="0"/>
        <v>1.4281585398419861E-2</v>
      </c>
      <c r="F24" s="1994">
        <f t="shared" si="1"/>
        <v>0.36869745584492664</v>
      </c>
    </row>
    <row r="25" spans="1:6" s="2060" customFormat="1" ht="30" x14ac:dyDescent="0.2">
      <c r="A25" s="1992" t="s">
        <v>21</v>
      </c>
      <c r="B25" s="1992" t="s">
        <v>7777</v>
      </c>
      <c r="C25" s="1993" t="s">
        <v>7779</v>
      </c>
      <c r="D25" s="1998">
        <v>124557.9</v>
      </c>
      <c r="E25" s="1994">
        <f t="shared" si="0"/>
        <v>1.3750372272822668E-2</v>
      </c>
      <c r="F25" s="1994">
        <f t="shared" si="1"/>
        <v>0.3824478281177493</v>
      </c>
    </row>
    <row r="26" spans="1:6" s="2060" customFormat="1" ht="30" x14ac:dyDescent="0.2">
      <c r="A26" s="1992" t="s">
        <v>21</v>
      </c>
      <c r="B26" s="1992" t="s">
        <v>15090</v>
      </c>
      <c r="C26" s="1993" t="s">
        <v>9048</v>
      </c>
      <c r="D26" s="1998">
        <v>114951.2</v>
      </c>
      <c r="E26" s="1994">
        <f t="shared" si="0"/>
        <v>1.2689855827753142E-2</v>
      </c>
      <c r="F26" s="1994">
        <f t="shared" si="1"/>
        <v>0.39513768394550242</v>
      </c>
    </row>
    <row r="27" spans="1:6" s="2060" customFormat="1" ht="30" x14ac:dyDescent="0.2">
      <c r="A27" s="1992" t="s">
        <v>21</v>
      </c>
      <c r="B27" s="1992" t="s">
        <v>6752</v>
      </c>
      <c r="C27" s="1993" t="s">
        <v>5755</v>
      </c>
      <c r="D27" s="1998">
        <v>106265.17</v>
      </c>
      <c r="E27" s="1994">
        <f t="shared" si="0"/>
        <v>1.1730975290485687E-2</v>
      </c>
      <c r="F27" s="1994">
        <f t="shared" si="1"/>
        <v>0.40686865923598808</v>
      </c>
    </row>
    <row r="28" spans="1:6" s="2060" customFormat="1" ht="15" x14ac:dyDescent="0.2">
      <c r="A28" s="1992" t="s">
        <v>21</v>
      </c>
      <c r="B28" s="1992" t="s">
        <v>15169</v>
      </c>
      <c r="C28" s="1993" t="s">
        <v>15170</v>
      </c>
      <c r="D28" s="1998">
        <v>106155.28</v>
      </c>
      <c r="E28" s="1994">
        <f t="shared" si="0"/>
        <v>1.1718844157823202E-2</v>
      </c>
      <c r="F28" s="1994">
        <f t="shared" si="1"/>
        <v>0.41858750339381129</v>
      </c>
    </row>
    <row r="29" spans="1:6" s="2060" customFormat="1" ht="30" x14ac:dyDescent="0.2">
      <c r="A29" s="1992" t="s">
        <v>21</v>
      </c>
      <c r="B29" s="1992" t="s">
        <v>5765</v>
      </c>
      <c r="C29" s="1993" t="s">
        <v>8278</v>
      </c>
      <c r="D29" s="1998">
        <v>102892.71</v>
      </c>
      <c r="E29" s="1994">
        <f t="shared" si="0"/>
        <v>1.1358677905292106E-2</v>
      </c>
      <c r="F29" s="1994">
        <f t="shared" si="1"/>
        <v>0.42994618129910339</v>
      </c>
    </row>
    <row r="30" spans="1:6" s="2060" customFormat="1" ht="15" x14ac:dyDescent="0.2">
      <c r="A30" s="1992" t="s">
        <v>21</v>
      </c>
      <c r="B30" s="1992" t="s">
        <v>5700</v>
      </c>
      <c r="C30" s="1993" t="s">
        <v>7890</v>
      </c>
      <c r="D30" s="1998">
        <v>97846.53</v>
      </c>
      <c r="E30" s="1994">
        <f t="shared" si="0"/>
        <v>1.0801612849156187E-2</v>
      </c>
      <c r="F30" s="1994">
        <f t="shared" si="1"/>
        <v>0.4407477941482596</v>
      </c>
    </row>
    <row r="31" spans="1:6" s="2060" customFormat="1" ht="30" x14ac:dyDescent="0.2">
      <c r="A31" s="1992" t="s">
        <v>21</v>
      </c>
      <c r="B31" s="1992" t="s">
        <v>7315</v>
      </c>
      <c r="C31" s="1993" t="s">
        <v>7314</v>
      </c>
      <c r="D31" s="1998">
        <v>93871.77</v>
      </c>
      <c r="E31" s="1994">
        <f t="shared" si="0"/>
        <v>1.0362825508528859E-2</v>
      </c>
      <c r="F31" s="1994">
        <f t="shared" si="1"/>
        <v>0.45111061965678845</v>
      </c>
    </row>
    <row r="32" spans="1:6" s="2060" customFormat="1" ht="30" x14ac:dyDescent="0.2">
      <c r="A32" s="1992" t="s">
        <v>21</v>
      </c>
      <c r="B32" s="1992" t="s">
        <v>6743</v>
      </c>
      <c r="C32" s="1993" t="s">
        <v>5738</v>
      </c>
      <c r="D32" s="1998">
        <v>91855.2</v>
      </c>
      <c r="E32" s="1994">
        <f t="shared" si="0"/>
        <v>1.0140209454354808E-2</v>
      </c>
      <c r="F32" s="1994">
        <f t="shared" si="1"/>
        <v>0.46125082911114323</v>
      </c>
    </row>
    <row r="33" spans="1:21" s="2060" customFormat="1" ht="30" x14ac:dyDescent="0.2">
      <c r="A33" s="1992" t="s">
        <v>21</v>
      </c>
      <c r="B33" s="1992" t="s">
        <v>6744</v>
      </c>
      <c r="C33" s="1993" t="s">
        <v>5739</v>
      </c>
      <c r="D33" s="1998">
        <v>90192.16</v>
      </c>
      <c r="E33" s="1994">
        <f t="shared" si="0"/>
        <v>9.9566207851126722E-3</v>
      </c>
      <c r="F33" s="1994">
        <f t="shared" si="1"/>
        <v>0.4712074498962559</v>
      </c>
    </row>
    <row r="34" spans="1:21" s="2060" customFormat="1" ht="30" x14ac:dyDescent="0.2">
      <c r="A34" s="1992" t="s">
        <v>21</v>
      </c>
      <c r="B34" s="1992" t="s">
        <v>15145</v>
      </c>
      <c r="C34" s="1993" t="s">
        <v>15146</v>
      </c>
      <c r="D34" s="1998">
        <v>87069.6</v>
      </c>
      <c r="E34" s="1994">
        <f t="shared" si="0"/>
        <v>9.6119107149828364E-3</v>
      </c>
      <c r="F34" s="1994">
        <f t="shared" si="1"/>
        <v>0.48081936061123876</v>
      </c>
    </row>
    <row r="35" spans="1:21" s="2060" customFormat="1" ht="30" x14ac:dyDescent="0.2">
      <c r="A35" s="1992" t="s">
        <v>21</v>
      </c>
      <c r="B35" s="1992" t="s">
        <v>7675</v>
      </c>
      <c r="C35" s="1993" t="s">
        <v>9556</v>
      </c>
      <c r="D35" s="1998">
        <v>87039.24</v>
      </c>
      <c r="E35" s="1994">
        <f t="shared" si="0"/>
        <v>9.6085591708238317E-3</v>
      </c>
      <c r="F35" s="1994">
        <f t="shared" si="1"/>
        <v>0.49042791978206257</v>
      </c>
    </row>
    <row r="36" spans="1:21" s="2060" customFormat="1" ht="30" x14ac:dyDescent="0.2">
      <c r="A36" s="1992" t="s">
        <v>21</v>
      </c>
      <c r="B36" s="1992" t="s">
        <v>6754</v>
      </c>
      <c r="C36" s="1993" t="s">
        <v>5757</v>
      </c>
      <c r="D36" s="1998">
        <v>85076</v>
      </c>
      <c r="E36" s="1994">
        <f t="shared" si="0"/>
        <v>9.391830397611562E-3</v>
      </c>
      <c r="F36" s="1994">
        <f t="shared" si="1"/>
        <v>0.49981975017967412</v>
      </c>
    </row>
    <row r="37" spans="1:21" s="2060" customFormat="1" ht="30" x14ac:dyDescent="0.2">
      <c r="A37" s="1992" t="s">
        <v>21</v>
      </c>
      <c r="B37" s="1992" t="s">
        <v>6721</v>
      </c>
      <c r="C37" s="1993" t="s">
        <v>5707</v>
      </c>
      <c r="D37" s="1998">
        <v>84441.21</v>
      </c>
      <c r="E37" s="1994">
        <f t="shared" si="0"/>
        <v>9.3217537600392766E-3</v>
      </c>
      <c r="F37" s="1994">
        <f t="shared" si="1"/>
        <v>0.50914150393971336</v>
      </c>
    </row>
    <row r="38" spans="1:21" s="2061" customFormat="1" ht="15" x14ac:dyDescent="0.2">
      <c r="A38" s="1992" t="s">
        <v>21</v>
      </c>
      <c r="B38" s="1992" t="s">
        <v>5797</v>
      </c>
      <c r="C38" s="1993" t="s">
        <v>5794</v>
      </c>
      <c r="D38" s="1998">
        <v>83520.509999999995</v>
      </c>
      <c r="E38" s="1994">
        <f t="shared" si="0"/>
        <v>9.2201145404346759E-3</v>
      </c>
      <c r="F38" s="1994">
        <f t="shared" si="1"/>
        <v>0.51836161848014806</v>
      </c>
      <c r="G38" s="2060"/>
      <c r="H38" s="2060"/>
      <c r="I38" s="2060"/>
      <c r="J38" s="2060"/>
      <c r="K38" s="2060"/>
      <c r="L38" s="2060"/>
      <c r="M38" s="2060"/>
      <c r="N38" s="2060"/>
      <c r="O38" s="2060"/>
      <c r="P38" s="2060"/>
      <c r="Q38" s="2060"/>
      <c r="R38" s="2060"/>
      <c r="S38" s="2060"/>
      <c r="T38" s="2060"/>
      <c r="U38" s="2060"/>
    </row>
    <row r="39" spans="1:21" s="2061" customFormat="1" ht="45" x14ac:dyDescent="0.2">
      <c r="A39" s="1992" t="s">
        <v>21</v>
      </c>
      <c r="B39" s="1992" t="s">
        <v>6739</v>
      </c>
      <c r="C39" s="1993" t="s">
        <v>5731</v>
      </c>
      <c r="D39" s="1998">
        <v>77269.62</v>
      </c>
      <c r="E39" s="1994">
        <f t="shared" si="0"/>
        <v>8.5300574301553234E-3</v>
      </c>
      <c r="F39" s="1994">
        <f t="shared" si="1"/>
        <v>0.52689167591030339</v>
      </c>
      <c r="G39" s="2060"/>
      <c r="H39" s="2060"/>
      <c r="I39" s="2060"/>
      <c r="J39" s="2060"/>
      <c r="K39" s="2060"/>
      <c r="L39" s="2060"/>
      <c r="M39" s="2060"/>
      <c r="N39" s="2060"/>
      <c r="O39" s="2060"/>
      <c r="P39" s="2060"/>
      <c r="Q39" s="2060"/>
      <c r="R39" s="2060"/>
      <c r="S39" s="2060"/>
      <c r="T39" s="2060"/>
      <c r="U39" s="2060"/>
    </row>
    <row r="40" spans="1:21" s="2060" customFormat="1" ht="30" x14ac:dyDescent="0.2">
      <c r="A40" s="1992" t="s">
        <v>21</v>
      </c>
      <c r="B40" s="1992" t="s">
        <v>7752</v>
      </c>
      <c r="C40" s="1993" t="s">
        <v>7843</v>
      </c>
      <c r="D40" s="1998">
        <v>76258.559999999998</v>
      </c>
      <c r="E40" s="1994">
        <f t="shared" si="0"/>
        <v>8.418443061334397E-3</v>
      </c>
      <c r="F40" s="1994">
        <f t="shared" si="1"/>
        <v>0.53531011897163783</v>
      </c>
    </row>
    <row r="41" spans="1:21" s="2060" customFormat="1" ht="60" x14ac:dyDescent="0.2">
      <c r="A41" s="1992" t="s">
        <v>21</v>
      </c>
      <c r="B41" s="1992" t="s">
        <v>5012</v>
      </c>
      <c r="C41" s="1993" t="s">
        <v>7615</v>
      </c>
      <c r="D41" s="1998">
        <v>76064.97</v>
      </c>
      <c r="E41" s="1994">
        <f t="shared" si="0"/>
        <v>8.397071999616949E-3</v>
      </c>
      <c r="F41" s="1994">
        <f t="shared" si="1"/>
        <v>0.54370719097125475</v>
      </c>
    </row>
    <row r="42" spans="1:21" s="2006" customFormat="1" ht="30" x14ac:dyDescent="0.2">
      <c r="A42" s="2004" t="s">
        <v>15149</v>
      </c>
      <c r="B42" s="2004" t="s">
        <v>0</v>
      </c>
      <c r="C42" s="2004" t="s">
        <v>1</v>
      </c>
      <c r="D42" s="1990" t="s">
        <v>130</v>
      </c>
      <c r="E42" s="1989" t="s">
        <v>15139</v>
      </c>
      <c r="F42" s="1990" t="s">
        <v>15140</v>
      </c>
    </row>
    <row r="43" spans="1:21" s="2060" customFormat="1" ht="30" x14ac:dyDescent="0.2">
      <c r="A43" s="1992" t="s">
        <v>21</v>
      </c>
      <c r="B43" s="1992" t="s">
        <v>7044</v>
      </c>
      <c r="C43" s="1993" t="s">
        <v>6138</v>
      </c>
      <c r="D43" s="1998">
        <v>74521.679999999993</v>
      </c>
      <c r="E43" s="1994">
        <f t="shared" ref="E43:E71" si="2">D43/SUM(D:D)</f>
        <v>8.2267029421350512E-3</v>
      </c>
      <c r="F43" s="1994">
        <f>E43+F41</f>
        <v>0.55193389391338976</v>
      </c>
    </row>
    <row r="44" spans="1:21" s="2060" customFormat="1" ht="15" x14ac:dyDescent="0.2">
      <c r="A44" s="1992" t="s">
        <v>21</v>
      </c>
      <c r="B44" s="1992" t="s">
        <v>7755</v>
      </c>
      <c r="C44" s="1993" t="s">
        <v>7756</v>
      </c>
      <c r="D44" s="1998">
        <v>73602.2</v>
      </c>
      <c r="E44" s="1994">
        <f t="shared" si="2"/>
        <v>8.1251984024999502E-3</v>
      </c>
      <c r="F44" s="1994">
        <f>E44+F43</f>
        <v>0.56005909231588968</v>
      </c>
    </row>
    <row r="45" spans="1:21" s="2060" customFormat="1" ht="75" x14ac:dyDescent="0.2">
      <c r="A45" s="1992" t="s">
        <v>21</v>
      </c>
      <c r="B45" s="1992" t="s">
        <v>7126</v>
      </c>
      <c r="C45" s="1993" t="s">
        <v>6167</v>
      </c>
      <c r="D45" s="1998">
        <v>72839.97</v>
      </c>
      <c r="E45" s="1994">
        <f t="shared" si="2"/>
        <v>8.0410532277859128E-3</v>
      </c>
      <c r="F45" s="1994">
        <f>E45+F44</f>
        <v>0.56810014554367561</v>
      </c>
    </row>
    <row r="46" spans="1:21" s="2060" customFormat="1" ht="15" x14ac:dyDescent="0.2">
      <c r="A46" s="1992" t="s">
        <v>21</v>
      </c>
      <c r="B46" s="1992" t="s">
        <v>6774</v>
      </c>
      <c r="C46" s="1993" t="s">
        <v>5789</v>
      </c>
      <c r="D46" s="1998">
        <v>70443.78</v>
      </c>
      <c r="E46" s="1994">
        <f t="shared" si="2"/>
        <v>7.7765296244141878E-3</v>
      </c>
      <c r="F46" s="1994">
        <f t="shared" ref="F46:F71" si="3">E46+F45</f>
        <v>0.57587667516808982</v>
      </c>
    </row>
    <row r="47" spans="1:21" s="2060" customFormat="1" ht="30" x14ac:dyDescent="0.2">
      <c r="A47" s="1992" t="s">
        <v>21</v>
      </c>
      <c r="B47" s="1992" t="s">
        <v>6745</v>
      </c>
      <c r="C47" s="1993" t="s">
        <v>5740</v>
      </c>
      <c r="D47" s="1998">
        <v>70381.62</v>
      </c>
      <c r="E47" s="1994">
        <f t="shared" si="2"/>
        <v>7.7696675695748023E-3</v>
      </c>
      <c r="F47" s="1994">
        <f t="shared" si="3"/>
        <v>0.58364634273766458</v>
      </c>
    </row>
    <row r="48" spans="1:21" s="2060" customFormat="1" ht="15" x14ac:dyDescent="0.2">
      <c r="A48" s="1992" t="s">
        <v>21</v>
      </c>
      <c r="B48" s="1992" t="s">
        <v>6799</v>
      </c>
      <c r="C48" s="1993" t="s">
        <v>7621</v>
      </c>
      <c r="D48" s="1998">
        <v>66250.080000000002</v>
      </c>
      <c r="E48" s="1994">
        <f t="shared" si="2"/>
        <v>7.3135727489326936E-3</v>
      </c>
      <c r="F48" s="1994">
        <f t="shared" si="3"/>
        <v>0.59095991548659732</v>
      </c>
    </row>
    <row r="49" spans="1:6" s="2060" customFormat="1" ht="30" x14ac:dyDescent="0.2">
      <c r="A49" s="1992" t="s">
        <v>21</v>
      </c>
      <c r="B49" s="1992" t="s">
        <v>6780</v>
      </c>
      <c r="C49" s="1993" t="s">
        <v>5800</v>
      </c>
      <c r="D49" s="1998">
        <v>60570.9</v>
      </c>
      <c r="E49" s="1994">
        <f t="shared" si="2"/>
        <v>6.6866286594420305E-3</v>
      </c>
      <c r="F49" s="1994">
        <f t="shared" si="3"/>
        <v>0.59764654414603935</v>
      </c>
    </row>
    <row r="50" spans="1:6" s="2060" customFormat="1" ht="75" x14ac:dyDescent="0.2">
      <c r="A50" s="1992" t="s">
        <v>21</v>
      </c>
      <c r="B50" s="1992" t="s">
        <v>7674</v>
      </c>
      <c r="C50" s="1993" t="s">
        <v>8933</v>
      </c>
      <c r="D50" s="1998">
        <v>56654.78</v>
      </c>
      <c r="E50" s="1994">
        <f t="shared" si="2"/>
        <v>6.2543147888240586E-3</v>
      </c>
      <c r="F50" s="1994">
        <f t="shared" si="3"/>
        <v>0.60390085893486345</v>
      </c>
    </row>
    <row r="51" spans="1:6" s="2060" customFormat="1" ht="30" x14ac:dyDescent="0.2">
      <c r="A51" s="1992" t="s">
        <v>21</v>
      </c>
      <c r="B51" s="1992" t="s">
        <v>7290</v>
      </c>
      <c r="C51" s="1993" t="s">
        <v>15156</v>
      </c>
      <c r="D51" s="1998">
        <v>55444.480000000003</v>
      </c>
      <c r="E51" s="1994">
        <f t="shared" si="2"/>
        <v>6.1207056354761194E-3</v>
      </c>
      <c r="F51" s="1994">
        <f t="shared" si="3"/>
        <v>0.61002156457033951</v>
      </c>
    </row>
    <row r="52" spans="1:6" s="2060" customFormat="1" ht="30" x14ac:dyDescent="0.2">
      <c r="A52" s="1992" t="s">
        <v>21</v>
      </c>
      <c r="B52" s="1992" t="s">
        <v>7328</v>
      </c>
      <c r="C52" s="1993" t="s">
        <v>7327</v>
      </c>
      <c r="D52" s="1998">
        <v>54594.09</v>
      </c>
      <c r="E52" s="1994">
        <f t="shared" si="2"/>
        <v>6.0268281770645233E-3</v>
      </c>
      <c r="F52" s="1994">
        <f t="shared" si="3"/>
        <v>0.61604839274740408</v>
      </c>
    </row>
    <row r="53" spans="1:6" s="2060" customFormat="1" ht="30" x14ac:dyDescent="0.2">
      <c r="A53" s="1992" t="s">
        <v>21</v>
      </c>
      <c r="B53" s="1992" t="s">
        <v>6781</v>
      </c>
      <c r="C53" s="1993" t="s">
        <v>5801</v>
      </c>
      <c r="D53" s="1998">
        <v>53735.07</v>
      </c>
      <c r="E53" s="1994">
        <f t="shared" si="2"/>
        <v>5.9319980234588503E-3</v>
      </c>
      <c r="F53" s="1994">
        <f t="shared" si="3"/>
        <v>0.62198039077086298</v>
      </c>
    </row>
    <row r="54" spans="1:6" s="2060" customFormat="1" ht="30" x14ac:dyDescent="0.2">
      <c r="A54" s="1992" t="s">
        <v>21</v>
      </c>
      <c r="B54" s="1992" t="s">
        <v>5903</v>
      </c>
      <c r="C54" s="1993" t="s">
        <v>7901</v>
      </c>
      <c r="D54" s="1998">
        <v>53196.83</v>
      </c>
      <c r="E54" s="1994">
        <f t="shared" si="2"/>
        <v>5.8725798703579708E-3</v>
      </c>
      <c r="F54" s="1994">
        <f t="shared" si="3"/>
        <v>0.62785297064122092</v>
      </c>
    </row>
    <row r="55" spans="1:6" s="2060" customFormat="1" ht="30" x14ac:dyDescent="0.2">
      <c r="A55" s="1992" t="s">
        <v>21</v>
      </c>
      <c r="B55" s="1992" t="s">
        <v>5285</v>
      </c>
      <c r="C55" s="1995" t="s">
        <v>8587</v>
      </c>
      <c r="D55" s="1998">
        <v>51221.42</v>
      </c>
      <c r="E55" s="1994">
        <f t="shared" si="2"/>
        <v>5.6545076092532421E-3</v>
      </c>
      <c r="F55" s="1994">
        <f t="shared" si="3"/>
        <v>0.63350747825047415</v>
      </c>
    </row>
    <row r="56" spans="1:6" s="2060" customFormat="1" ht="30" x14ac:dyDescent="0.2">
      <c r="A56" s="1992" t="s">
        <v>21</v>
      </c>
      <c r="B56" s="1992" t="s">
        <v>7781</v>
      </c>
      <c r="C56" s="1993" t="s">
        <v>7783</v>
      </c>
      <c r="D56" s="1998">
        <v>49581.3</v>
      </c>
      <c r="E56" s="1994">
        <f t="shared" si="2"/>
        <v>5.4734491571430035E-3</v>
      </c>
      <c r="F56" s="1994">
        <f t="shared" si="3"/>
        <v>0.63898092740761714</v>
      </c>
    </row>
    <row r="57" spans="1:6" s="2060" customFormat="1" ht="45" x14ac:dyDescent="0.2">
      <c r="A57" s="1992" t="s">
        <v>21</v>
      </c>
      <c r="B57" s="1992" t="s">
        <v>9012</v>
      </c>
      <c r="C57" s="1993" t="s">
        <v>9010</v>
      </c>
      <c r="D57" s="1998">
        <v>48823.81</v>
      </c>
      <c r="E57" s="1994">
        <f t="shared" si="2"/>
        <v>5.3898272472284944E-3</v>
      </c>
      <c r="F57" s="1994">
        <f t="shared" si="3"/>
        <v>0.64437075465484561</v>
      </c>
    </row>
    <row r="58" spans="1:6" s="2060" customFormat="1" ht="30" x14ac:dyDescent="0.2">
      <c r="A58" s="1992" t="s">
        <v>21</v>
      </c>
      <c r="B58" s="1992" t="s">
        <v>7045</v>
      </c>
      <c r="C58" s="1993" t="s">
        <v>6139</v>
      </c>
      <c r="D58" s="1998">
        <v>48671.25</v>
      </c>
      <c r="E58" s="1994">
        <f t="shared" si="2"/>
        <v>5.3729856274360782E-3</v>
      </c>
      <c r="F58" s="1994">
        <f t="shared" si="3"/>
        <v>0.64974374028228166</v>
      </c>
    </row>
    <row r="59" spans="1:6" s="2060" customFormat="1" ht="30" x14ac:dyDescent="0.2">
      <c r="A59" s="1992" t="s">
        <v>21</v>
      </c>
      <c r="B59" s="1992" t="s">
        <v>6758</v>
      </c>
      <c r="C59" s="1993" t="s">
        <v>7560</v>
      </c>
      <c r="D59" s="1998">
        <v>47382.84</v>
      </c>
      <c r="E59" s="1994">
        <f t="shared" si="2"/>
        <v>5.2307536442376817E-3</v>
      </c>
      <c r="F59" s="1994">
        <f t="shared" si="3"/>
        <v>0.6549744939265193</v>
      </c>
    </row>
    <row r="60" spans="1:6" s="2060" customFormat="1" ht="15" x14ac:dyDescent="0.2">
      <c r="A60" s="1992" t="s">
        <v>21</v>
      </c>
      <c r="B60" s="1992" t="s">
        <v>8273</v>
      </c>
      <c r="C60" s="1993" t="s">
        <v>8326</v>
      </c>
      <c r="D60" s="1998">
        <v>47198.61</v>
      </c>
      <c r="E60" s="1994">
        <f t="shared" si="2"/>
        <v>5.2104158649091759E-3</v>
      </c>
      <c r="F60" s="1994">
        <f t="shared" si="3"/>
        <v>0.66018490979142852</v>
      </c>
    </row>
    <row r="61" spans="1:6" s="2060" customFormat="1" ht="15" x14ac:dyDescent="0.2">
      <c r="A61" s="1992" t="s">
        <v>21</v>
      </c>
      <c r="B61" s="1992" t="s">
        <v>7322</v>
      </c>
      <c r="C61" s="1993" t="s">
        <v>7316</v>
      </c>
      <c r="D61" s="1998">
        <v>44190.1</v>
      </c>
      <c r="E61" s="1994">
        <f t="shared" si="2"/>
        <v>4.8782961640591316E-3</v>
      </c>
      <c r="F61" s="1994">
        <f t="shared" si="3"/>
        <v>0.66506320595548762</v>
      </c>
    </row>
    <row r="62" spans="1:6" s="2060" customFormat="1" ht="30" x14ac:dyDescent="0.2">
      <c r="A62" s="1992" t="s">
        <v>21</v>
      </c>
      <c r="B62" s="1992" t="s">
        <v>7453</v>
      </c>
      <c r="C62" s="1993" t="s">
        <v>7452</v>
      </c>
      <c r="D62" s="1998">
        <v>43190.239999999998</v>
      </c>
      <c r="E62" s="1994">
        <f t="shared" si="2"/>
        <v>4.7679182015155719E-3</v>
      </c>
      <c r="F62" s="1994">
        <f t="shared" si="3"/>
        <v>0.66983112415700319</v>
      </c>
    </row>
    <row r="63" spans="1:6" s="2060" customFormat="1" ht="45" x14ac:dyDescent="0.2">
      <c r="A63" s="1992" t="s">
        <v>21</v>
      </c>
      <c r="B63" s="1992" t="s">
        <v>6738</v>
      </c>
      <c r="C63" s="1993" t="s">
        <v>5730</v>
      </c>
      <c r="D63" s="1998">
        <v>40279.26</v>
      </c>
      <c r="E63" s="1994">
        <f t="shared" si="2"/>
        <v>4.4465651706862043E-3</v>
      </c>
      <c r="F63" s="1994">
        <f t="shared" si="3"/>
        <v>0.67427768932768939</v>
      </c>
    </row>
    <row r="64" spans="1:6" s="2060" customFormat="1" ht="30" x14ac:dyDescent="0.2">
      <c r="A64" s="1992" t="s">
        <v>21</v>
      </c>
      <c r="B64" s="1992" t="s">
        <v>7056</v>
      </c>
      <c r="C64" s="1993" t="s">
        <v>8361</v>
      </c>
      <c r="D64" s="1998">
        <v>38505.379999999997</v>
      </c>
      <c r="E64" s="1994">
        <f t="shared" si="2"/>
        <v>4.2507404950348432E-3</v>
      </c>
      <c r="F64" s="1994">
        <f t="shared" si="3"/>
        <v>0.67852842982272421</v>
      </c>
    </row>
    <row r="65" spans="1:6" s="2060" customFormat="1" ht="30" x14ac:dyDescent="0.2">
      <c r="A65" s="1992" t="s">
        <v>21</v>
      </c>
      <c r="B65" s="1992" t="s">
        <v>8953</v>
      </c>
      <c r="C65" s="1993" t="s">
        <v>9048</v>
      </c>
      <c r="D65" s="1998">
        <v>38336.480000000003</v>
      </c>
      <c r="E65" s="1994">
        <f t="shared" si="2"/>
        <v>4.2320950467984834E-3</v>
      </c>
      <c r="F65" s="1994">
        <f t="shared" si="3"/>
        <v>0.68276052486952266</v>
      </c>
    </row>
    <row r="66" spans="1:6" s="2060" customFormat="1" ht="30" x14ac:dyDescent="0.2">
      <c r="A66" s="1992" t="s">
        <v>21</v>
      </c>
      <c r="B66" s="1992" t="s">
        <v>7739</v>
      </c>
      <c r="C66" s="1993" t="s">
        <v>7737</v>
      </c>
      <c r="D66" s="1998">
        <v>38129.81</v>
      </c>
      <c r="E66" s="1994">
        <f t="shared" si="2"/>
        <v>4.2092800391785382E-3</v>
      </c>
      <c r="F66" s="1994">
        <f t="shared" si="3"/>
        <v>0.68696980490870119</v>
      </c>
    </row>
    <row r="67" spans="1:6" s="2060" customFormat="1" ht="30" x14ac:dyDescent="0.2">
      <c r="A67" s="1992" t="s">
        <v>21</v>
      </c>
      <c r="B67" s="1992" t="s">
        <v>5280</v>
      </c>
      <c r="C67" s="1995" t="s">
        <v>7568</v>
      </c>
      <c r="D67" s="1998">
        <v>36806.449999999997</v>
      </c>
      <c r="E67" s="1994">
        <f t="shared" si="2"/>
        <v>4.0631898060342524E-3</v>
      </c>
      <c r="F67" s="1994">
        <f t="shared" si="3"/>
        <v>0.69103299471473545</v>
      </c>
    </row>
    <row r="68" spans="1:6" s="2060" customFormat="1" ht="30" x14ac:dyDescent="0.2">
      <c r="A68" s="1992" t="s">
        <v>21</v>
      </c>
      <c r="B68" s="1992" t="s">
        <v>6731</v>
      </c>
      <c r="C68" s="1993" t="s">
        <v>5717</v>
      </c>
      <c r="D68" s="1998">
        <v>35939.160000000003</v>
      </c>
      <c r="E68" s="1994">
        <f t="shared" si="2"/>
        <v>3.9674466988648457E-3</v>
      </c>
      <c r="F68" s="1994">
        <f t="shared" si="3"/>
        <v>0.69500044141360029</v>
      </c>
    </row>
    <row r="69" spans="1:6" s="2060" customFormat="1" ht="15" x14ac:dyDescent="0.2">
      <c r="A69" s="1992" t="s">
        <v>21</v>
      </c>
      <c r="B69" s="1992" t="s">
        <v>7040</v>
      </c>
      <c r="C69" s="1993" t="s">
        <v>6134</v>
      </c>
      <c r="D69" s="1998">
        <v>35376.22</v>
      </c>
      <c r="E69" s="1994">
        <f t="shared" si="2"/>
        <v>3.9053018283487016E-3</v>
      </c>
      <c r="F69" s="1994">
        <f t="shared" si="3"/>
        <v>0.69890574324194898</v>
      </c>
    </row>
    <row r="70" spans="1:6" s="2061" customFormat="1" ht="15" x14ac:dyDescent="0.2">
      <c r="A70" s="1992" t="s">
        <v>21</v>
      </c>
      <c r="B70" s="1992" t="s">
        <v>6800</v>
      </c>
      <c r="C70" s="1993" t="s">
        <v>7622</v>
      </c>
      <c r="D70" s="1998">
        <v>34741.199999999997</v>
      </c>
      <c r="E70" s="1994">
        <f t="shared" si="2"/>
        <v>3.8351998002903614E-3</v>
      </c>
      <c r="F70" s="1994">
        <f t="shared" si="3"/>
        <v>0.70274094304223933</v>
      </c>
    </row>
    <row r="71" spans="1:6" s="2060" customFormat="1" ht="15" x14ac:dyDescent="0.2">
      <c r="A71" s="1992" t="s">
        <v>21</v>
      </c>
      <c r="B71" s="1992" t="s">
        <v>7081</v>
      </c>
      <c r="C71" s="1993" t="s">
        <v>7189</v>
      </c>
      <c r="D71" s="1998">
        <v>30614.11</v>
      </c>
      <c r="E71" s="1994">
        <f t="shared" si="2"/>
        <v>3.3795962303566707E-3</v>
      </c>
      <c r="F71" s="1994">
        <f t="shared" si="3"/>
        <v>0.70612053927259599</v>
      </c>
    </row>
    <row r="72" spans="1:6" s="2006" customFormat="1" ht="30" x14ac:dyDescent="0.2">
      <c r="A72" s="2004" t="s">
        <v>15149</v>
      </c>
      <c r="B72" s="2004" t="s">
        <v>0</v>
      </c>
      <c r="C72" s="2004" t="s">
        <v>1</v>
      </c>
      <c r="D72" s="1990" t="s">
        <v>130</v>
      </c>
      <c r="E72" s="1989" t="s">
        <v>15139</v>
      </c>
      <c r="F72" s="1990" t="s">
        <v>15140</v>
      </c>
    </row>
    <row r="73" spans="1:6" s="2061" customFormat="1" ht="90" x14ac:dyDescent="0.2">
      <c r="A73" s="1992" t="s">
        <v>21</v>
      </c>
      <c r="B73" s="1992" t="s">
        <v>7127</v>
      </c>
      <c r="C73" s="1993" t="s">
        <v>6168</v>
      </c>
      <c r="D73" s="1998">
        <v>30303.3</v>
      </c>
      <c r="E73" s="1994">
        <f t="shared" ref="E73:E101" si="4">D73/SUM(D:D)</f>
        <v>3.3452848522255683E-3</v>
      </c>
      <c r="F73" s="1994">
        <f>E73+F71</f>
        <v>0.70946582412482151</v>
      </c>
    </row>
    <row r="74" spans="1:6" s="2060" customFormat="1" ht="30" x14ac:dyDescent="0.2">
      <c r="A74" s="1992" t="s">
        <v>21</v>
      </c>
      <c r="B74" s="1992" t="s">
        <v>7753</v>
      </c>
      <c r="C74" s="1993" t="s">
        <v>7844</v>
      </c>
      <c r="D74" s="1998">
        <v>28596.959999999999</v>
      </c>
      <c r="E74" s="1994">
        <f t="shared" si="4"/>
        <v>3.1569161480003989E-3</v>
      </c>
      <c r="F74" s="1994">
        <f>E74+F73</f>
        <v>0.71262274027282191</v>
      </c>
    </row>
    <row r="75" spans="1:6" s="2060" customFormat="1" ht="45" x14ac:dyDescent="0.2">
      <c r="A75" s="1992" t="s">
        <v>21</v>
      </c>
      <c r="B75" s="1992" t="s">
        <v>6782</v>
      </c>
      <c r="C75" s="1993" t="s">
        <v>5802</v>
      </c>
      <c r="D75" s="1998">
        <v>28537.3</v>
      </c>
      <c r="E75" s="1994">
        <f t="shared" si="4"/>
        <v>3.1503300767050687E-3</v>
      </c>
      <c r="F75" s="1994">
        <f t="shared" ref="F75:F101" si="5">E75+F74</f>
        <v>0.71577307034952697</v>
      </c>
    </row>
    <row r="76" spans="1:6" s="2060" customFormat="1" ht="60" x14ac:dyDescent="0.2">
      <c r="A76" s="1992" t="s">
        <v>21</v>
      </c>
      <c r="B76" s="1992" t="s">
        <v>6785</v>
      </c>
      <c r="C76" s="1993" t="s">
        <v>8932</v>
      </c>
      <c r="D76" s="1998">
        <v>28435.49</v>
      </c>
      <c r="E76" s="1994">
        <f t="shared" si="4"/>
        <v>3.1390909228569707E-3</v>
      </c>
      <c r="F76" s="1994">
        <f t="shared" si="5"/>
        <v>0.718912161272384</v>
      </c>
    </row>
    <row r="77" spans="1:6" s="2060" customFormat="1" ht="30" x14ac:dyDescent="0.2">
      <c r="A77" s="1992" t="s">
        <v>21</v>
      </c>
      <c r="B77" s="1992" t="s">
        <v>8597</v>
      </c>
      <c r="C77" s="1993" t="s">
        <v>8600</v>
      </c>
      <c r="D77" s="1998">
        <v>27827.94</v>
      </c>
      <c r="E77" s="1994">
        <f t="shared" si="4"/>
        <v>3.0720214019807077E-3</v>
      </c>
      <c r="F77" s="1994">
        <f t="shared" si="5"/>
        <v>0.72198418267436471</v>
      </c>
    </row>
    <row r="78" spans="1:6" s="2060" customFormat="1" ht="30" x14ac:dyDescent="0.2">
      <c r="A78" s="1992" t="s">
        <v>21</v>
      </c>
      <c r="B78" s="1992" t="s">
        <v>9515</v>
      </c>
      <c r="C78" s="1993" t="s">
        <v>9517</v>
      </c>
      <c r="D78" s="1998">
        <v>27512.46</v>
      </c>
      <c r="E78" s="1994">
        <f t="shared" si="4"/>
        <v>3.0371944865893109E-3</v>
      </c>
      <c r="F78" s="1994">
        <f t="shared" si="5"/>
        <v>0.72502137716095405</v>
      </c>
    </row>
    <row r="79" spans="1:6" s="2060" customFormat="1" ht="30" x14ac:dyDescent="0.2">
      <c r="A79" s="1992" t="s">
        <v>21</v>
      </c>
      <c r="B79" s="1992" t="s">
        <v>7300</v>
      </c>
      <c r="C79" s="1993" t="s">
        <v>7310</v>
      </c>
      <c r="D79" s="1998">
        <v>27027.599999999999</v>
      </c>
      <c r="E79" s="1994">
        <f t="shared" si="4"/>
        <v>2.9836691341210949E-3</v>
      </c>
      <c r="F79" s="1994">
        <f t="shared" si="5"/>
        <v>0.72800504629507512</v>
      </c>
    </row>
    <row r="80" spans="1:6" s="2060" customFormat="1" ht="15" x14ac:dyDescent="0.2">
      <c r="A80" s="1992" t="s">
        <v>21</v>
      </c>
      <c r="B80" s="1992" t="s">
        <v>6801</v>
      </c>
      <c r="C80" s="1993" t="s">
        <v>7623</v>
      </c>
      <c r="D80" s="1998">
        <v>26787.84</v>
      </c>
      <c r="E80" s="1994">
        <f t="shared" si="4"/>
        <v>2.9572012083120378E-3</v>
      </c>
      <c r="F80" s="1994">
        <f t="shared" si="5"/>
        <v>0.73096224750338712</v>
      </c>
    </row>
    <row r="81" spans="1:6" s="2060" customFormat="1" ht="15" x14ac:dyDescent="0.2">
      <c r="A81" s="1992" t="s">
        <v>21</v>
      </c>
      <c r="B81" s="1996" t="s">
        <v>6920</v>
      </c>
      <c r="C81" s="1993" t="s">
        <v>5889</v>
      </c>
      <c r="D81" s="1998">
        <v>26440.11</v>
      </c>
      <c r="E81" s="1994">
        <f t="shared" si="4"/>
        <v>2.9188141052023304E-3</v>
      </c>
      <c r="F81" s="1994">
        <f t="shared" si="5"/>
        <v>0.73388106160858946</v>
      </c>
    </row>
    <row r="82" spans="1:6" s="2060" customFormat="1" ht="30" x14ac:dyDescent="0.2">
      <c r="A82" s="1992" t="s">
        <v>21</v>
      </c>
      <c r="B82" s="1992" t="s">
        <v>6265</v>
      </c>
      <c r="C82" s="1993" t="s">
        <v>6264</v>
      </c>
      <c r="D82" s="1998">
        <v>25309.89</v>
      </c>
      <c r="E82" s="1994">
        <f t="shared" si="4"/>
        <v>2.7940452567375628E-3</v>
      </c>
      <c r="F82" s="1994">
        <f t="shared" si="5"/>
        <v>0.736675106865327</v>
      </c>
    </row>
    <row r="83" spans="1:6" s="2060" customFormat="1" ht="15" x14ac:dyDescent="0.2">
      <c r="A83" s="1992" t="s">
        <v>21</v>
      </c>
      <c r="B83" s="1992" t="s">
        <v>6726</v>
      </c>
      <c r="C83" s="1993" t="s">
        <v>6664</v>
      </c>
      <c r="D83" s="1998">
        <v>25045.55</v>
      </c>
      <c r="E83" s="1994">
        <f t="shared" si="4"/>
        <v>2.7648638607233565E-3</v>
      </c>
      <c r="F83" s="1994">
        <f t="shared" si="5"/>
        <v>0.73943997072605039</v>
      </c>
    </row>
    <row r="84" spans="1:6" s="2060" customFormat="1" ht="30" x14ac:dyDescent="0.2">
      <c r="A84" s="1992" t="s">
        <v>21</v>
      </c>
      <c r="B84" s="1992" t="s">
        <v>7566</v>
      </c>
      <c r="C84" s="1993" t="s">
        <v>7567</v>
      </c>
      <c r="D84" s="1998">
        <v>24915.98</v>
      </c>
      <c r="E84" s="1994">
        <f t="shared" si="4"/>
        <v>2.7505601856020706E-3</v>
      </c>
      <c r="F84" s="1994">
        <f t="shared" si="5"/>
        <v>0.74219053091165244</v>
      </c>
    </row>
    <row r="85" spans="1:6" s="2060" customFormat="1" ht="30" x14ac:dyDescent="0.2">
      <c r="A85" s="1992" t="s">
        <v>21</v>
      </c>
      <c r="B85" s="1992" t="s">
        <v>9051</v>
      </c>
      <c r="C85" s="1993" t="s">
        <v>9052</v>
      </c>
      <c r="D85" s="1998">
        <v>24600.82</v>
      </c>
      <c r="E85" s="1994">
        <f t="shared" si="4"/>
        <v>2.7157685961043125E-3</v>
      </c>
      <c r="F85" s="1994">
        <f t="shared" si="5"/>
        <v>0.74490629950775678</v>
      </c>
    </row>
    <row r="86" spans="1:6" s="2060" customFormat="1" ht="30" x14ac:dyDescent="0.2">
      <c r="A86" s="1992" t="s">
        <v>21</v>
      </c>
      <c r="B86" s="1992" t="s">
        <v>7292</v>
      </c>
      <c r="C86" s="1993" t="s">
        <v>7291</v>
      </c>
      <c r="D86" s="1998">
        <v>24232.95</v>
      </c>
      <c r="E86" s="1994">
        <f t="shared" si="4"/>
        <v>2.6751581695636972E-3</v>
      </c>
      <c r="F86" s="1994">
        <f t="shared" si="5"/>
        <v>0.74758145767732043</v>
      </c>
    </row>
    <row r="87" spans="1:6" s="2060" customFormat="1" ht="30" x14ac:dyDescent="0.2">
      <c r="A87" s="1992" t="s">
        <v>21</v>
      </c>
      <c r="B87" s="1992" t="s">
        <v>9046</v>
      </c>
      <c r="C87" s="1993" t="s">
        <v>8332</v>
      </c>
      <c r="D87" s="1998">
        <v>23919.22</v>
      </c>
      <c r="E87" s="1994">
        <f t="shared" si="4"/>
        <v>2.640524442653139E-3</v>
      </c>
      <c r="F87" s="1994">
        <f t="shared" si="5"/>
        <v>0.7502219821199736</v>
      </c>
    </row>
    <row r="88" spans="1:6" s="2060" customFormat="1" ht="15" x14ac:dyDescent="0.2">
      <c r="A88" s="1992" t="s">
        <v>21</v>
      </c>
      <c r="B88" s="1992" t="s">
        <v>7684</v>
      </c>
      <c r="C88" s="1993" t="s">
        <v>8531</v>
      </c>
      <c r="D88" s="1998">
        <v>23854.62</v>
      </c>
      <c r="E88" s="1994">
        <f t="shared" si="4"/>
        <v>2.6333930278747558E-3</v>
      </c>
      <c r="F88" s="1994">
        <f t="shared" si="5"/>
        <v>0.75285537514784839</v>
      </c>
    </row>
    <row r="89" spans="1:6" s="2060" customFormat="1" ht="30" x14ac:dyDescent="0.2">
      <c r="A89" s="1992" t="s">
        <v>21</v>
      </c>
      <c r="B89" s="1992" t="s">
        <v>6775</v>
      </c>
      <c r="C89" s="1993" t="s">
        <v>6790</v>
      </c>
      <c r="D89" s="1998">
        <v>23783.49</v>
      </c>
      <c r="E89" s="1994">
        <f t="shared" si="4"/>
        <v>2.6255407440793012E-3</v>
      </c>
      <c r="F89" s="1994">
        <f t="shared" si="5"/>
        <v>0.75548091589192767</v>
      </c>
    </row>
    <row r="90" spans="1:6" s="2060" customFormat="1" ht="30" x14ac:dyDescent="0.2">
      <c r="A90" s="1992" t="s">
        <v>21</v>
      </c>
      <c r="B90" s="1992" t="s">
        <v>7053</v>
      </c>
      <c r="C90" s="1993" t="s">
        <v>8349</v>
      </c>
      <c r="D90" s="1998">
        <v>23070.5</v>
      </c>
      <c r="E90" s="1994">
        <f t="shared" si="4"/>
        <v>2.5468313412489721E-3</v>
      </c>
      <c r="F90" s="1994">
        <f t="shared" si="5"/>
        <v>0.75802774723317667</v>
      </c>
    </row>
    <row r="91" spans="1:6" s="2060" customFormat="1" ht="30" x14ac:dyDescent="0.2">
      <c r="A91" s="1992" t="s">
        <v>21</v>
      </c>
      <c r="B91" s="1992" t="s">
        <v>5786</v>
      </c>
      <c r="C91" s="1993" t="s">
        <v>5784</v>
      </c>
      <c r="D91" s="1998">
        <v>22629.34</v>
      </c>
      <c r="E91" s="1994">
        <f t="shared" si="4"/>
        <v>2.4981301811308389E-3</v>
      </c>
      <c r="F91" s="1994">
        <f t="shared" si="5"/>
        <v>0.76052587741430755</v>
      </c>
    </row>
    <row r="92" spans="1:6" s="2061" customFormat="1" ht="15" x14ac:dyDescent="0.2">
      <c r="A92" s="1992" t="s">
        <v>21</v>
      </c>
      <c r="B92" s="1992" t="s">
        <v>7764</v>
      </c>
      <c r="C92" s="1993" t="s">
        <v>7768</v>
      </c>
      <c r="D92" s="1998">
        <v>22557.599999999999</v>
      </c>
      <c r="E92" s="1994">
        <f t="shared" si="4"/>
        <v>2.4902105573506345E-3</v>
      </c>
      <c r="F92" s="1994">
        <f t="shared" si="5"/>
        <v>0.76301608797165821</v>
      </c>
    </row>
    <row r="93" spans="1:6" s="2060" customFormat="1" ht="45" x14ac:dyDescent="0.2">
      <c r="A93" s="1992" t="s">
        <v>21</v>
      </c>
      <c r="B93" s="1992" t="s">
        <v>15013</v>
      </c>
      <c r="C93" s="1993" t="s">
        <v>5883</v>
      </c>
      <c r="D93" s="1998">
        <v>22411.25</v>
      </c>
      <c r="E93" s="1994">
        <f t="shared" si="4"/>
        <v>2.474054480681651E-3</v>
      </c>
      <c r="F93" s="1994">
        <f t="shared" si="5"/>
        <v>0.76549014245233982</v>
      </c>
    </row>
    <row r="94" spans="1:6" s="2061" customFormat="1" ht="30" x14ac:dyDescent="0.2">
      <c r="A94" s="1992" t="s">
        <v>21</v>
      </c>
      <c r="B94" s="1992" t="s">
        <v>6755</v>
      </c>
      <c r="C94" s="1993" t="s">
        <v>5758</v>
      </c>
      <c r="D94" s="1998">
        <v>22250.400000000001</v>
      </c>
      <c r="E94" s="1994">
        <f t="shared" si="4"/>
        <v>2.4562976994571481E-3</v>
      </c>
      <c r="F94" s="1994">
        <f t="shared" si="5"/>
        <v>0.76794644015179692</v>
      </c>
    </row>
    <row r="95" spans="1:6" s="2060" customFormat="1" ht="30" x14ac:dyDescent="0.2">
      <c r="A95" s="1992" t="s">
        <v>21</v>
      </c>
      <c r="B95" s="1995" t="s">
        <v>7822</v>
      </c>
      <c r="C95" s="1995" t="s">
        <v>7823</v>
      </c>
      <c r="D95" s="1998">
        <v>22203.52</v>
      </c>
      <c r="E95" s="1994">
        <f t="shared" si="4"/>
        <v>2.4511224560390273E-3</v>
      </c>
      <c r="F95" s="1994">
        <f t="shared" si="5"/>
        <v>0.77039756260783598</v>
      </c>
    </row>
    <row r="96" spans="1:6" s="2060" customFormat="1" ht="30" x14ac:dyDescent="0.2">
      <c r="A96" s="1992" t="s">
        <v>21</v>
      </c>
      <c r="B96" s="1995" t="s">
        <v>5279</v>
      </c>
      <c r="C96" s="1995" t="s">
        <v>7565</v>
      </c>
      <c r="D96" s="1998">
        <v>22040.1</v>
      </c>
      <c r="E96" s="1994">
        <f t="shared" si="4"/>
        <v>2.4330819637312356E-3</v>
      </c>
      <c r="F96" s="1994">
        <f t="shared" si="5"/>
        <v>0.77283064457156725</v>
      </c>
    </row>
    <row r="97" spans="1:6" s="2060" customFormat="1" ht="30" x14ac:dyDescent="0.2">
      <c r="A97" s="1992" t="s">
        <v>21</v>
      </c>
      <c r="B97" s="1992" t="s">
        <v>7047</v>
      </c>
      <c r="C97" s="1993" t="s">
        <v>8949</v>
      </c>
      <c r="D97" s="1998">
        <v>21781.01</v>
      </c>
      <c r="E97" s="1994">
        <f t="shared" si="4"/>
        <v>2.4044801331595447E-3</v>
      </c>
      <c r="F97" s="1994">
        <f t="shared" si="5"/>
        <v>0.77523512470472677</v>
      </c>
    </row>
    <row r="98" spans="1:6" s="2060" customFormat="1" ht="15" x14ac:dyDescent="0.2">
      <c r="A98" s="1992" t="s">
        <v>21</v>
      </c>
      <c r="B98" s="1992" t="s">
        <v>7321</v>
      </c>
      <c r="C98" s="1993" t="s">
        <v>7319</v>
      </c>
      <c r="D98" s="1998">
        <v>21131.34</v>
      </c>
      <c r="E98" s="1994">
        <f t="shared" si="4"/>
        <v>2.3327608415330426E-3</v>
      </c>
      <c r="F98" s="1994">
        <f t="shared" si="5"/>
        <v>0.77756788554625977</v>
      </c>
    </row>
    <row r="99" spans="1:6" s="2060" customFormat="1" ht="45" x14ac:dyDescent="0.2">
      <c r="A99" s="1992" t="s">
        <v>21</v>
      </c>
      <c r="B99" s="1992" t="s">
        <v>6733</v>
      </c>
      <c r="C99" s="1993" t="s">
        <v>5721</v>
      </c>
      <c r="D99" s="1998">
        <v>21083.040000000001</v>
      </c>
      <c r="E99" s="1994">
        <f t="shared" si="4"/>
        <v>2.3274288394618987E-3</v>
      </c>
      <c r="F99" s="1994">
        <f t="shared" si="5"/>
        <v>0.77989531438572168</v>
      </c>
    </row>
    <row r="100" spans="1:6" s="2060" customFormat="1" ht="45" x14ac:dyDescent="0.2">
      <c r="A100" s="1992" t="s">
        <v>21</v>
      </c>
      <c r="B100" s="1992" t="s">
        <v>7020</v>
      </c>
      <c r="C100" s="1993" t="s">
        <v>5992</v>
      </c>
      <c r="D100" s="1998">
        <v>21081.48</v>
      </c>
      <c r="E100" s="1994">
        <f t="shared" si="4"/>
        <v>2.3272566257304082E-3</v>
      </c>
      <c r="F100" s="1994">
        <f t="shared" si="5"/>
        <v>0.78222257101145209</v>
      </c>
    </row>
    <row r="101" spans="1:6" s="2060" customFormat="1" ht="15" x14ac:dyDescent="0.2">
      <c r="A101" s="1992" t="s">
        <v>21</v>
      </c>
      <c r="B101" s="1992" t="s">
        <v>7825</v>
      </c>
      <c r="C101" s="1993" t="s">
        <v>7318</v>
      </c>
      <c r="D101" s="1998">
        <v>20371.72</v>
      </c>
      <c r="E101" s="1994">
        <f t="shared" si="4"/>
        <v>2.2489037936389983E-3</v>
      </c>
      <c r="F101" s="1994">
        <f t="shared" si="5"/>
        <v>0.78447147480509105</v>
      </c>
    </row>
    <row r="102" spans="1:6" s="2006" customFormat="1" ht="30" x14ac:dyDescent="0.2">
      <c r="A102" s="2004" t="s">
        <v>15149</v>
      </c>
      <c r="B102" s="2004" t="s">
        <v>0</v>
      </c>
      <c r="C102" s="2004" t="s">
        <v>1</v>
      </c>
      <c r="D102" s="1990" t="s">
        <v>130</v>
      </c>
      <c r="E102" s="1989" t="s">
        <v>15139</v>
      </c>
      <c r="F102" s="1990" t="s">
        <v>15140</v>
      </c>
    </row>
    <row r="103" spans="1:6" s="2060" customFormat="1" ht="30" x14ac:dyDescent="0.2">
      <c r="A103" s="1992" t="s">
        <v>21</v>
      </c>
      <c r="B103" s="1992" t="s">
        <v>8896</v>
      </c>
      <c r="C103" s="1993" t="s">
        <v>6043</v>
      </c>
      <c r="D103" s="1998">
        <v>19864.689999999999</v>
      </c>
      <c r="E103" s="1994">
        <f t="shared" ref="E103:E130" si="6">D103/SUM(D:D)</f>
        <v>2.1929310191021018E-3</v>
      </c>
      <c r="F103" s="1994">
        <f>E103+F101</f>
        <v>0.78666440582419317</v>
      </c>
    </row>
    <row r="104" spans="1:6" s="2060" customFormat="1" ht="30" x14ac:dyDescent="0.2">
      <c r="A104" s="1992" t="s">
        <v>21</v>
      </c>
      <c r="B104" s="1992" t="s">
        <v>6779</v>
      </c>
      <c r="C104" s="1993" t="s">
        <v>6680</v>
      </c>
      <c r="D104" s="1998">
        <v>19728.849999999999</v>
      </c>
      <c r="E104" s="1994">
        <f t="shared" si="6"/>
        <v>2.1779351772523259E-3</v>
      </c>
      <c r="F104" s="1994">
        <f>E104+F103</f>
        <v>0.78884234100144546</v>
      </c>
    </row>
    <row r="105" spans="1:6" s="2060" customFormat="1" ht="60" x14ac:dyDescent="0.2">
      <c r="A105" s="1992" t="s">
        <v>21</v>
      </c>
      <c r="B105" s="1997" t="s">
        <v>6750</v>
      </c>
      <c r="C105" s="1993" t="s">
        <v>5744</v>
      </c>
      <c r="D105" s="1998">
        <v>19720.43</v>
      </c>
      <c r="E105" s="1994">
        <f t="shared" si="6"/>
        <v>2.1770056646759485E-3</v>
      </c>
      <c r="F105" s="1994">
        <f t="shared" ref="F105:F110" si="7">E105+F104</f>
        <v>0.79101934666612139</v>
      </c>
    </row>
    <row r="106" spans="1:6" s="2060" customFormat="1" ht="30" x14ac:dyDescent="0.2">
      <c r="A106" s="1992" t="s">
        <v>21</v>
      </c>
      <c r="B106" s="1992" t="s">
        <v>7478</v>
      </c>
      <c r="C106" s="1993" t="s">
        <v>6007</v>
      </c>
      <c r="D106" s="1998">
        <v>19557</v>
      </c>
      <c r="E106" s="1994">
        <f t="shared" si="6"/>
        <v>2.1589640684339805E-3</v>
      </c>
      <c r="F106" s="1994">
        <f t="shared" si="7"/>
        <v>0.79317831073455536</v>
      </c>
    </row>
    <row r="107" spans="1:6" s="2060" customFormat="1" ht="30" x14ac:dyDescent="0.2">
      <c r="A107" s="1992" t="s">
        <v>21</v>
      </c>
      <c r="B107" s="1992" t="s">
        <v>6724</v>
      </c>
      <c r="C107" s="1993" t="s">
        <v>5710</v>
      </c>
      <c r="D107" s="1998">
        <v>19246.61</v>
      </c>
      <c r="E107" s="1994">
        <f t="shared" si="6"/>
        <v>2.1246990555382796E-3</v>
      </c>
      <c r="F107" s="1994">
        <f t="shared" si="7"/>
        <v>0.79530300979009361</v>
      </c>
    </row>
    <row r="108" spans="1:6" s="2060" customFormat="1" ht="30" x14ac:dyDescent="0.2">
      <c r="A108" s="1992" t="s">
        <v>21</v>
      </c>
      <c r="B108" s="1992" t="s">
        <v>6746</v>
      </c>
      <c r="C108" s="1993" t="s">
        <v>9529</v>
      </c>
      <c r="D108" s="1998">
        <v>19182.22</v>
      </c>
      <c r="E108" s="1994">
        <f t="shared" si="6"/>
        <v>2.1175908233775974E-3</v>
      </c>
      <c r="F108" s="1994">
        <f t="shared" si="7"/>
        <v>0.7974206006134712</v>
      </c>
    </row>
    <row r="109" spans="1:6" s="2060" customFormat="1" ht="15" x14ac:dyDescent="0.2">
      <c r="A109" s="1992" t="s">
        <v>21</v>
      </c>
      <c r="B109" s="1992" t="s">
        <v>7162</v>
      </c>
      <c r="C109" s="1993" t="s">
        <v>7154</v>
      </c>
      <c r="D109" s="1998">
        <v>19126.8</v>
      </c>
      <c r="E109" s="1994">
        <f t="shared" si="6"/>
        <v>2.1114728201729843E-3</v>
      </c>
      <c r="F109" s="1994">
        <f t="shared" si="7"/>
        <v>0.79953207343364419</v>
      </c>
    </row>
    <row r="110" spans="1:6" s="2060" customFormat="1" ht="45" x14ac:dyDescent="0.2">
      <c r="A110" s="1992" t="s">
        <v>21</v>
      </c>
      <c r="B110" s="1992" t="s">
        <v>7299</v>
      </c>
      <c r="C110" s="1993" t="s">
        <v>7303</v>
      </c>
      <c r="D110" s="1998">
        <v>18695.04</v>
      </c>
      <c r="E110" s="1994">
        <f t="shared" si="6"/>
        <v>2.0638093581804985E-3</v>
      </c>
      <c r="F110" s="1994">
        <f t="shared" si="7"/>
        <v>0.8015958827918247</v>
      </c>
    </row>
    <row r="111" spans="1:6" s="2062" customFormat="1" ht="15" x14ac:dyDescent="0.2">
      <c r="A111" s="2051" t="s">
        <v>22</v>
      </c>
      <c r="B111" s="2051" t="s">
        <v>7305</v>
      </c>
      <c r="C111" s="2048" t="s">
        <v>7308</v>
      </c>
      <c r="D111" s="2049">
        <v>18636.599999999999</v>
      </c>
      <c r="E111" s="2050">
        <f t="shared" si="6"/>
        <v>2.0573579668546668E-3</v>
      </c>
      <c r="F111" s="2050">
        <f>E111+F110</f>
        <v>0.80365324075867939</v>
      </c>
    </row>
    <row r="112" spans="1:6" s="2062" customFormat="1" ht="60" x14ac:dyDescent="0.2">
      <c r="A112" s="2047" t="s">
        <v>22</v>
      </c>
      <c r="B112" s="2047" t="s">
        <v>6749</v>
      </c>
      <c r="C112" s="2048" t="s">
        <v>5743</v>
      </c>
      <c r="D112" s="2049">
        <v>18599.400000000001</v>
      </c>
      <c r="E112" s="2050">
        <f t="shared" si="6"/>
        <v>2.0532513317191277E-3</v>
      </c>
      <c r="F112" s="2050">
        <f t="shared" ref="F112:F130" si="8">E112+F111</f>
        <v>0.80570649209039846</v>
      </c>
    </row>
    <row r="113" spans="1:6" s="2062" customFormat="1" ht="30" x14ac:dyDescent="0.2">
      <c r="A113" s="2051" t="s">
        <v>22</v>
      </c>
      <c r="B113" s="2051" t="s">
        <v>7262</v>
      </c>
      <c r="C113" s="2048" t="s">
        <v>6796</v>
      </c>
      <c r="D113" s="2049">
        <v>18126.169999999998</v>
      </c>
      <c r="E113" s="2050">
        <f t="shared" si="6"/>
        <v>2.0010098546978557E-3</v>
      </c>
      <c r="F113" s="2050">
        <f t="shared" si="8"/>
        <v>0.80770750194509633</v>
      </c>
    </row>
    <row r="114" spans="1:6" s="2062" customFormat="1" ht="30" x14ac:dyDescent="0.2">
      <c r="A114" s="2047" t="s">
        <v>22</v>
      </c>
      <c r="B114" s="2051" t="s">
        <v>7502</v>
      </c>
      <c r="C114" s="2048" t="s">
        <v>6068</v>
      </c>
      <c r="D114" s="2049">
        <v>17676.39</v>
      </c>
      <c r="E114" s="2050">
        <f t="shared" si="6"/>
        <v>1.9513571033198205E-3</v>
      </c>
      <c r="F114" s="2050">
        <f t="shared" si="8"/>
        <v>0.80965885904841617</v>
      </c>
    </row>
    <row r="115" spans="1:6" s="2062" customFormat="1" ht="75" x14ac:dyDescent="0.2">
      <c r="A115" s="2051" t="s">
        <v>22</v>
      </c>
      <c r="B115" s="2051" t="s">
        <v>7137</v>
      </c>
      <c r="C115" s="2048" t="s">
        <v>6177</v>
      </c>
      <c r="D115" s="2049">
        <v>17399.099999999999</v>
      </c>
      <c r="E115" s="2050">
        <f t="shared" si="6"/>
        <v>1.9207461125474085E-3</v>
      </c>
      <c r="F115" s="2050">
        <f t="shared" si="8"/>
        <v>0.81157960516096361</v>
      </c>
    </row>
    <row r="116" spans="1:6" s="2062" customFormat="1" ht="30" x14ac:dyDescent="0.2">
      <c r="A116" s="2047" t="s">
        <v>22</v>
      </c>
      <c r="B116" s="2051" t="s">
        <v>6759</v>
      </c>
      <c r="C116" s="2048" t="s">
        <v>7562</v>
      </c>
      <c r="D116" s="2049">
        <v>17133.599999999999</v>
      </c>
      <c r="E116" s="2050">
        <f t="shared" si="6"/>
        <v>1.8914366601687604E-3</v>
      </c>
      <c r="F116" s="2050">
        <f t="shared" si="8"/>
        <v>0.81347104182113239</v>
      </c>
    </row>
    <row r="117" spans="1:6" s="2062" customFormat="1" ht="45" x14ac:dyDescent="0.2">
      <c r="A117" s="2051" t="s">
        <v>22</v>
      </c>
      <c r="B117" s="2051" t="s">
        <v>7441</v>
      </c>
      <c r="C117" s="2048" t="s">
        <v>7440</v>
      </c>
      <c r="D117" s="2049">
        <v>17027.62</v>
      </c>
      <c r="E117" s="2050">
        <f t="shared" si="6"/>
        <v>1.8797371657691779E-3</v>
      </c>
      <c r="F117" s="2050">
        <f t="shared" si="8"/>
        <v>0.81535077898690156</v>
      </c>
    </row>
    <row r="118" spans="1:6" s="2062" customFormat="1" ht="30" x14ac:dyDescent="0.2">
      <c r="A118" s="2047" t="s">
        <v>22</v>
      </c>
      <c r="B118" s="2051" t="s">
        <v>9056</v>
      </c>
      <c r="C118" s="2048" t="s">
        <v>9057</v>
      </c>
      <c r="D118" s="2049">
        <v>16784.73</v>
      </c>
      <c r="E118" s="2050">
        <f t="shared" si="6"/>
        <v>1.852923708562964E-3</v>
      </c>
      <c r="F118" s="2050">
        <f t="shared" si="8"/>
        <v>0.8172037026954645</v>
      </c>
    </row>
    <row r="119" spans="1:6" s="2062" customFormat="1" ht="15" x14ac:dyDescent="0.2">
      <c r="A119" s="2051" t="s">
        <v>22</v>
      </c>
      <c r="B119" s="2051" t="s">
        <v>6777</v>
      </c>
      <c r="C119" s="2048" t="s">
        <v>5791</v>
      </c>
      <c r="D119" s="2049">
        <v>16003.93</v>
      </c>
      <c r="E119" s="2050">
        <f t="shared" si="6"/>
        <v>1.7667285280836855E-3</v>
      </c>
      <c r="F119" s="2050">
        <f t="shared" si="8"/>
        <v>0.81897043122354818</v>
      </c>
    </row>
    <row r="120" spans="1:6" s="2062" customFormat="1" ht="30" x14ac:dyDescent="0.2">
      <c r="A120" s="2047" t="s">
        <v>22</v>
      </c>
      <c r="B120" s="2051" t="s">
        <v>7263</v>
      </c>
      <c r="C120" s="2048" t="s">
        <v>6797</v>
      </c>
      <c r="D120" s="2049">
        <v>15801.9</v>
      </c>
      <c r="E120" s="2050">
        <f t="shared" si="6"/>
        <v>1.7444257459215073E-3</v>
      </c>
      <c r="F120" s="2050">
        <f t="shared" si="8"/>
        <v>0.82071485696946966</v>
      </c>
    </row>
    <row r="121" spans="1:6" s="2062" customFormat="1" ht="30" x14ac:dyDescent="0.2">
      <c r="A121" s="2051" t="s">
        <v>22</v>
      </c>
      <c r="B121" s="2051" t="s">
        <v>6833</v>
      </c>
      <c r="C121" s="2048" t="s">
        <v>6918</v>
      </c>
      <c r="D121" s="2049">
        <v>15432.12</v>
      </c>
      <c r="E121" s="2050">
        <f t="shared" si="6"/>
        <v>1.7036044679532342E-3</v>
      </c>
      <c r="F121" s="2050">
        <f t="shared" si="8"/>
        <v>0.82241846143742292</v>
      </c>
    </row>
    <row r="122" spans="1:6" s="2062" customFormat="1" ht="30" x14ac:dyDescent="0.2">
      <c r="A122" s="2047" t="s">
        <v>22</v>
      </c>
      <c r="B122" s="2051" t="s">
        <v>7145</v>
      </c>
      <c r="C122" s="2048" t="s">
        <v>8994</v>
      </c>
      <c r="D122" s="2049">
        <v>15123.92</v>
      </c>
      <c r="E122" s="2050">
        <f t="shared" si="6"/>
        <v>1.6695812166421255E-3</v>
      </c>
      <c r="F122" s="2050">
        <f t="shared" si="8"/>
        <v>0.8240880426540651</v>
      </c>
    </row>
    <row r="123" spans="1:6" s="2062" customFormat="1" ht="30" x14ac:dyDescent="0.2">
      <c r="A123" s="2051" t="s">
        <v>22</v>
      </c>
      <c r="B123" s="2051" t="s">
        <v>15095</v>
      </c>
      <c r="C123" s="2048" t="s">
        <v>8290</v>
      </c>
      <c r="D123" s="2049">
        <v>14914.28</v>
      </c>
      <c r="E123" s="2050">
        <f t="shared" si="6"/>
        <v>1.6464383405718438E-3</v>
      </c>
      <c r="F123" s="2050">
        <f t="shared" si="8"/>
        <v>0.82573448099463698</v>
      </c>
    </row>
    <row r="124" spans="1:6" s="2062" customFormat="1" ht="30" x14ac:dyDescent="0.2">
      <c r="A124" s="2047" t="s">
        <v>22</v>
      </c>
      <c r="B124" s="2051" t="s">
        <v>7055</v>
      </c>
      <c r="C124" s="2048" t="s">
        <v>8359</v>
      </c>
      <c r="D124" s="2049">
        <v>14885.69</v>
      </c>
      <c r="E124" s="2050">
        <f t="shared" si="6"/>
        <v>1.6432821927620301E-3</v>
      </c>
      <c r="F124" s="2050">
        <f t="shared" si="8"/>
        <v>0.82737776318739897</v>
      </c>
    </row>
    <row r="125" spans="1:6" s="2062" customFormat="1" ht="45" x14ac:dyDescent="0.2">
      <c r="A125" s="2051" t="s">
        <v>22</v>
      </c>
      <c r="B125" s="2051" t="s">
        <v>6780</v>
      </c>
      <c r="C125" s="2048" t="s">
        <v>7563</v>
      </c>
      <c r="D125" s="2049">
        <v>14857.74</v>
      </c>
      <c r="E125" s="2050">
        <f t="shared" si="6"/>
        <v>1.6401966967394942E-3</v>
      </c>
      <c r="F125" s="2050">
        <f t="shared" si="8"/>
        <v>0.82901795988413851</v>
      </c>
    </row>
    <row r="126" spans="1:6" s="2062" customFormat="1" ht="15" x14ac:dyDescent="0.2">
      <c r="A126" s="2047" t="s">
        <v>22</v>
      </c>
      <c r="B126" s="2051" t="s">
        <v>7326</v>
      </c>
      <c r="C126" s="2048" t="s">
        <v>7309</v>
      </c>
      <c r="D126" s="2049">
        <v>14280.47</v>
      </c>
      <c r="E126" s="2050">
        <f t="shared" si="6"/>
        <v>1.5764698885488268E-3</v>
      </c>
      <c r="F126" s="2050">
        <f t="shared" si="8"/>
        <v>0.83059442977268738</v>
      </c>
    </row>
    <row r="127" spans="1:6" s="2062" customFormat="1" ht="30" x14ac:dyDescent="0.2">
      <c r="A127" s="2051" t="s">
        <v>22</v>
      </c>
      <c r="B127" s="2051" t="s">
        <v>8904</v>
      </c>
      <c r="C127" s="2048" t="s">
        <v>9475</v>
      </c>
      <c r="D127" s="2049">
        <v>14097.96</v>
      </c>
      <c r="E127" s="2050">
        <f t="shared" si="6"/>
        <v>1.5563219858986306E-3</v>
      </c>
      <c r="F127" s="2050">
        <f t="shared" si="8"/>
        <v>0.83215075175858599</v>
      </c>
    </row>
    <row r="128" spans="1:6" s="2062" customFormat="1" ht="30" x14ac:dyDescent="0.2">
      <c r="A128" s="2047" t="s">
        <v>22</v>
      </c>
      <c r="B128" s="2051" t="s">
        <v>7503</v>
      </c>
      <c r="C128" s="2048" t="s">
        <v>6069</v>
      </c>
      <c r="D128" s="2049">
        <v>14061.94</v>
      </c>
      <c r="E128" s="2050">
        <f t="shared" si="6"/>
        <v>1.5523456149958853E-3</v>
      </c>
      <c r="F128" s="2050">
        <f t="shared" si="8"/>
        <v>0.83370309737358184</v>
      </c>
    </row>
    <row r="129" spans="1:6" s="2062" customFormat="1" ht="30" x14ac:dyDescent="0.2">
      <c r="A129" s="2051" t="s">
        <v>22</v>
      </c>
      <c r="B129" s="2051" t="s">
        <v>8915</v>
      </c>
      <c r="C129" s="2048" t="s">
        <v>8300</v>
      </c>
      <c r="D129" s="2049">
        <v>13762.35</v>
      </c>
      <c r="E129" s="2050">
        <f t="shared" si="6"/>
        <v>1.5192728510105022E-3</v>
      </c>
      <c r="F129" s="2050">
        <f t="shared" si="8"/>
        <v>0.83522237022459234</v>
      </c>
    </row>
    <row r="130" spans="1:6" s="2062" customFormat="1" ht="15" x14ac:dyDescent="0.2">
      <c r="A130" s="2047" t="s">
        <v>22</v>
      </c>
      <c r="B130" s="2051" t="s">
        <v>7206</v>
      </c>
      <c r="C130" s="2048" t="s">
        <v>6269</v>
      </c>
      <c r="D130" s="2049">
        <v>13674</v>
      </c>
      <c r="E130" s="2050">
        <f t="shared" si="6"/>
        <v>1.5095195925635962E-3</v>
      </c>
      <c r="F130" s="2050">
        <f t="shared" si="8"/>
        <v>0.83673188981715596</v>
      </c>
    </row>
    <row r="131" spans="1:6" s="2006" customFormat="1" ht="30" x14ac:dyDescent="0.2">
      <c r="A131" s="2004" t="s">
        <v>15149</v>
      </c>
      <c r="B131" s="2004" t="s">
        <v>0</v>
      </c>
      <c r="C131" s="2004" t="s">
        <v>1</v>
      </c>
      <c r="D131" s="1990" t="s">
        <v>130</v>
      </c>
      <c r="E131" s="1989" t="s">
        <v>15139</v>
      </c>
      <c r="F131" s="1990" t="s">
        <v>15140</v>
      </c>
    </row>
    <row r="132" spans="1:6" s="2062" customFormat="1" ht="15" x14ac:dyDescent="0.2">
      <c r="A132" s="2051" t="s">
        <v>22</v>
      </c>
      <c r="B132" s="2051" t="s">
        <v>7604</v>
      </c>
      <c r="C132" s="2048" t="s">
        <v>6231</v>
      </c>
      <c r="D132" s="2049">
        <v>12695.62</v>
      </c>
      <c r="E132" s="2050">
        <f t="shared" ref="E132:E159" si="9">D132/SUM(D:D)</f>
        <v>1.4015128806305576E-3</v>
      </c>
      <c r="F132" s="2050">
        <f>E132+F130</f>
        <v>0.83813340269778647</v>
      </c>
    </row>
    <row r="133" spans="1:6" s="2062" customFormat="1" ht="45" x14ac:dyDescent="0.2">
      <c r="A133" s="2047" t="s">
        <v>22</v>
      </c>
      <c r="B133" s="2051" t="s">
        <v>6834</v>
      </c>
      <c r="C133" s="2048" t="s">
        <v>6909</v>
      </c>
      <c r="D133" s="2049">
        <v>12261.6</v>
      </c>
      <c r="E133" s="2050">
        <f t="shared" si="9"/>
        <v>1.3535999295142453E-3</v>
      </c>
      <c r="F133" s="2050">
        <f>E133+F132</f>
        <v>0.83948700262730069</v>
      </c>
    </row>
    <row r="134" spans="1:6" s="2062" customFormat="1" ht="30" x14ac:dyDescent="0.2">
      <c r="A134" s="2051" t="s">
        <v>22</v>
      </c>
      <c r="B134" s="2051" t="s">
        <v>6858</v>
      </c>
      <c r="C134" s="2048" t="s">
        <v>6856</v>
      </c>
      <c r="D134" s="2049">
        <v>12253.95</v>
      </c>
      <c r="E134" s="2050">
        <f t="shared" si="9"/>
        <v>1.3527554198694369E-3</v>
      </c>
      <c r="F134" s="2050">
        <f t="shared" ref="F134:F159" si="10">E134+F133</f>
        <v>0.84083975804717015</v>
      </c>
    </row>
    <row r="135" spans="1:6" s="2062" customFormat="1" ht="15" x14ac:dyDescent="0.2">
      <c r="A135" s="2047" t="s">
        <v>22</v>
      </c>
      <c r="B135" s="2052" t="s">
        <v>6919</v>
      </c>
      <c r="C135" s="2048" t="s">
        <v>5887</v>
      </c>
      <c r="D135" s="2049">
        <v>12210.53</v>
      </c>
      <c r="E135" s="2050">
        <f t="shared" si="9"/>
        <v>1.3479621376762884E-3</v>
      </c>
      <c r="F135" s="2050">
        <f t="shared" si="10"/>
        <v>0.84218772018484644</v>
      </c>
    </row>
    <row r="136" spans="1:6" s="2062" customFormat="1" ht="30" x14ac:dyDescent="0.2">
      <c r="A136" s="2051" t="s">
        <v>22</v>
      </c>
      <c r="B136" s="2051" t="s">
        <v>8588</v>
      </c>
      <c r="C136" s="2048" t="s">
        <v>8589</v>
      </c>
      <c r="D136" s="2049">
        <v>12142.08</v>
      </c>
      <c r="E136" s="2050">
        <f t="shared" si="9"/>
        <v>1.3404057082400606E-3</v>
      </c>
      <c r="F136" s="2050">
        <f t="shared" si="10"/>
        <v>0.84352812589308646</v>
      </c>
    </row>
    <row r="137" spans="1:6" s="2062" customFormat="1" ht="30" x14ac:dyDescent="0.2">
      <c r="A137" s="2047" t="s">
        <v>22</v>
      </c>
      <c r="B137" s="2051" t="s">
        <v>6725</v>
      </c>
      <c r="C137" s="2048" t="s">
        <v>5711</v>
      </c>
      <c r="D137" s="2049">
        <v>12056.39</v>
      </c>
      <c r="E137" s="2050">
        <f t="shared" si="9"/>
        <v>1.3309460962840291E-3</v>
      </c>
      <c r="F137" s="2050">
        <f t="shared" si="10"/>
        <v>0.84485907198937049</v>
      </c>
    </row>
    <row r="138" spans="1:6" s="2062" customFormat="1" ht="30" x14ac:dyDescent="0.2">
      <c r="A138" s="2051" t="s">
        <v>22</v>
      </c>
      <c r="B138" s="2051" t="s">
        <v>7054</v>
      </c>
      <c r="C138" s="2048" t="s">
        <v>8355</v>
      </c>
      <c r="D138" s="2049">
        <v>11957.79</v>
      </c>
      <c r="E138" s="2050">
        <f t="shared" si="9"/>
        <v>1.3200613053064975E-3</v>
      </c>
      <c r="F138" s="2050">
        <f t="shared" si="10"/>
        <v>0.84617913329467698</v>
      </c>
    </row>
    <row r="139" spans="1:6" s="2062" customFormat="1" ht="45" x14ac:dyDescent="0.2">
      <c r="A139" s="2047" t="s">
        <v>22</v>
      </c>
      <c r="B139" s="2051" t="s">
        <v>7022</v>
      </c>
      <c r="C139" s="2048" t="s">
        <v>5994</v>
      </c>
      <c r="D139" s="2049">
        <v>11735.76</v>
      </c>
      <c r="E139" s="2050">
        <f t="shared" si="9"/>
        <v>1.2955506547918788E-3</v>
      </c>
      <c r="F139" s="2050">
        <f t="shared" si="10"/>
        <v>0.8474746839494689</v>
      </c>
    </row>
    <row r="140" spans="1:6" s="2062" customFormat="1" ht="30" x14ac:dyDescent="0.2">
      <c r="A140" s="2051" t="s">
        <v>22</v>
      </c>
      <c r="B140" s="2051" t="s">
        <v>6859</v>
      </c>
      <c r="C140" s="2048" t="s">
        <v>6857</v>
      </c>
      <c r="D140" s="2049">
        <v>11689.11</v>
      </c>
      <c r="E140" s="2050">
        <f t="shared" si="9"/>
        <v>1.2904008018598111E-3</v>
      </c>
      <c r="F140" s="2050">
        <f t="shared" si="10"/>
        <v>0.84876508475132872</v>
      </c>
    </row>
    <row r="141" spans="1:6" s="2062" customFormat="1" ht="15" x14ac:dyDescent="0.2">
      <c r="A141" s="2047" t="s">
        <v>22</v>
      </c>
      <c r="B141" s="2051" t="s">
        <v>7306</v>
      </c>
      <c r="C141" s="2048" t="s">
        <v>7309</v>
      </c>
      <c r="D141" s="2049">
        <v>11571.96</v>
      </c>
      <c r="E141" s="2050">
        <f t="shared" si="9"/>
        <v>1.2774682129853905E-3</v>
      </c>
      <c r="F141" s="2050">
        <f t="shared" si="10"/>
        <v>0.85004255296431408</v>
      </c>
    </row>
    <row r="142" spans="1:6" s="2062" customFormat="1" ht="45" x14ac:dyDescent="0.2">
      <c r="A142" s="2051" t="s">
        <v>22</v>
      </c>
      <c r="B142" s="2051" t="s">
        <v>7464</v>
      </c>
      <c r="C142" s="2048" t="s">
        <v>7474</v>
      </c>
      <c r="D142" s="2049">
        <v>11549.4</v>
      </c>
      <c r="E142" s="2050">
        <f t="shared" si="9"/>
        <v>1.2749777374838377E-3</v>
      </c>
      <c r="F142" s="2050">
        <f t="shared" si="10"/>
        <v>0.85131753070179794</v>
      </c>
    </row>
    <row r="143" spans="1:6" s="2062" customFormat="1" ht="30" x14ac:dyDescent="0.2">
      <c r="A143" s="2047" t="s">
        <v>22</v>
      </c>
      <c r="B143" s="2051" t="s">
        <v>6761</v>
      </c>
      <c r="C143" s="2048" t="s">
        <v>5782</v>
      </c>
      <c r="D143" s="2049">
        <v>11540.54</v>
      </c>
      <c r="E143" s="2050">
        <f t="shared" si="9"/>
        <v>1.2739996518037068E-3</v>
      </c>
      <c r="F143" s="2050">
        <f t="shared" si="10"/>
        <v>0.85259153035360169</v>
      </c>
    </row>
    <row r="144" spans="1:6" s="2062" customFormat="1" ht="15" x14ac:dyDescent="0.2">
      <c r="A144" s="2051" t="s">
        <v>22</v>
      </c>
      <c r="B144" s="2051" t="s">
        <v>6291</v>
      </c>
      <c r="C144" s="2048" t="s">
        <v>6283</v>
      </c>
      <c r="D144" s="2049">
        <v>11526.95</v>
      </c>
      <c r="E144" s="2050">
        <f t="shared" si="9"/>
        <v>1.2724994052582233E-3</v>
      </c>
      <c r="F144" s="2050">
        <f t="shared" si="10"/>
        <v>0.85386402975885989</v>
      </c>
    </row>
    <row r="145" spans="1:6" s="2062" customFormat="1" ht="30" x14ac:dyDescent="0.2">
      <c r="A145" s="2047" t="s">
        <v>22</v>
      </c>
      <c r="B145" s="2051" t="s">
        <v>7290</v>
      </c>
      <c r="C145" s="2048" t="s">
        <v>15159</v>
      </c>
      <c r="D145" s="2049">
        <v>11339.1</v>
      </c>
      <c r="E145" s="2050">
        <f t="shared" si="9"/>
        <v>1.2517620017579256E-3</v>
      </c>
      <c r="F145" s="2050">
        <f t="shared" si="10"/>
        <v>0.8551157917606178</v>
      </c>
    </row>
    <row r="146" spans="1:6" s="2062" customFormat="1" ht="15" x14ac:dyDescent="0.2">
      <c r="A146" s="2051" t="s">
        <v>22</v>
      </c>
      <c r="B146" s="2051" t="s">
        <v>5775</v>
      </c>
      <c r="C146" s="2048" t="s">
        <v>5772</v>
      </c>
      <c r="D146" s="2049">
        <v>11201.14</v>
      </c>
      <c r="E146" s="2050">
        <f t="shared" si="9"/>
        <v>1.2365321258627907E-3</v>
      </c>
      <c r="F146" s="2050">
        <f t="shared" si="10"/>
        <v>0.85635232388648064</v>
      </c>
    </row>
    <row r="147" spans="1:6" s="2062" customFormat="1" ht="30" x14ac:dyDescent="0.2">
      <c r="A147" s="2047" t="s">
        <v>22</v>
      </c>
      <c r="B147" s="2051" t="s">
        <v>6832</v>
      </c>
      <c r="C147" s="2048" t="s">
        <v>6917</v>
      </c>
      <c r="D147" s="2049">
        <v>11145.42</v>
      </c>
      <c r="E147" s="2050">
        <f t="shared" si="9"/>
        <v>1.2303810046328913E-3</v>
      </c>
      <c r="F147" s="2050">
        <f t="shared" si="10"/>
        <v>0.85758270489111355</v>
      </c>
    </row>
    <row r="148" spans="1:6" s="2062" customFormat="1" ht="15" x14ac:dyDescent="0.2">
      <c r="A148" s="2051" t="s">
        <v>22</v>
      </c>
      <c r="B148" s="2051" t="s">
        <v>8907</v>
      </c>
      <c r="C148" s="2048" t="s">
        <v>6129</v>
      </c>
      <c r="D148" s="2049">
        <v>11126.85</v>
      </c>
      <c r="E148" s="2050">
        <f t="shared" si="9"/>
        <v>1.2283309988676504E-3</v>
      </c>
      <c r="F148" s="2050">
        <f t="shared" si="10"/>
        <v>0.8588110358899812</v>
      </c>
    </row>
    <row r="149" spans="1:6" s="2047" customFormat="1" ht="45" x14ac:dyDescent="0.2">
      <c r="A149" s="2047" t="s">
        <v>22</v>
      </c>
      <c r="B149" s="2051" t="s">
        <v>8307</v>
      </c>
      <c r="C149" s="2048" t="s">
        <v>9018</v>
      </c>
      <c r="D149" s="2049">
        <v>11054.24</v>
      </c>
      <c r="E149" s="2050">
        <f t="shared" si="9"/>
        <v>1.2203153328141148E-3</v>
      </c>
      <c r="F149" s="2050">
        <f t="shared" si="10"/>
        <v>0.86003135122279528</v>
      </c>
    </row>
    <row r="150" spans="1:6" s="2062" customFormat="1" ht="90" x14ac:dyDescent="0.2">
      <c r="A150" s="2051" t="s">
        <v>22</v>
      </c>
      <c r="B150" s="2051" t="s">
        <v>7129</v>
      </c>
      <c r="C150" s="2048" t="s">
        <v>6170</v>
      </c>
      <c r="D150" s="2049">
        <v>10844.4</v>
      </c>
      <c r="E150" s="2050">
        <f t="shared" si="9"/>
        <v>1.1971503780603087E-3</v>
      </c>
      <c r="F150" s="2050">
        <f t="shared" si="10"/>
        <v>0.86122850160085562</v>
      </c>
    </row>
    <row r="151" spans="1:6" s="2062" customFormat="1" ht="30" x14ac:dyDescent="0.2">
      <c r="A151" s="2047" t="s">
        <v>22</v>
      </c>
      <c r="B151" s="2051" t="s">
        <v>7325</v>
      </c>
      <c r="C151" s="2048" t="s">
        <v>7317</v>
      </c>
      <c r="D151" s="2049">
        <v>10777.52</v>
      </c>
      <c r="E151" s="2050">
        <f t="shared" si="9"/>
        <v>1.1897672662897476E-3</v>
      </c>
      <c r="F151" s="2050">
        <f t="shared" si="10"/>
        <v>0.86241826886714534</v>
      </c>
    </row>
    <row r="152" spans="1:6" s="2062" customFormat="1" ht="45" x14ac:dyDescent="0.2">
      <c r="A152" s="2051" t="s">
        <v>22</v>
      </c>
      <c r="B152" s="2051" t="s">
        <v>6734</v>
      </c>
      <c r="C152" s="2048" t="s">
        <v>5722</v>
      </c>
      <c r="D152" s="2049">
        <v>10717.86</v>
      </c>
      <c r="E152" s="2050">
        <f t="shared" si="9"/>
        <v>1.1831811949944175E-3</v>
      </c>
      <c r="F152" s="2050">
        <f t="shared" si="10"/>
        <v>0.86360145006213973</v>
      </c>
    </row>
    <row r="153" spans="1:6" s="2062" customFormat="1" ht="30" x14ac:dyDescent="0.2">
      <c r="A153" s="2051" t="s">
        <v>22</v>
      </c>
      <c r="B153" s="2051" t="s">
        <v>7038</v>
      </c>
      <c r="C153" s="2048" t="s">
        <v>8942</v>
      </c>
      <c r="D153" s="2049">
        <v>10629.15</v>
      </c>
      <c r="E153" s="2050">
        <f t="shared" si="9"/>
        <v>1.1733881949171675E-3</v>
      </c>
      <c r="F153" s="2050">
        <f t="shared" si="10"/>
        <v>0.86477483825705692</v>
      </c>
    </row>
    <row r="154" spans="1:6" s="2062" customFormat="1" ht="30" x14ac:dyDescent="0.2">
      <c r="A154" s="2047" t="s">
        <v>22</v>
      </c>
      <c r="B154" s="2051" t="s">
        <v>6803</v>
      </c>
      <c r="C154" s="2048" t="s">
        <v>6802</v>
      </c>
      <c r="D154" s="2049">
        <v>10266.299999999999</v>
      </c>
      <c r="E154" s="2050">
        <f t="shared" si="9"/>
        <v>1.133331943333015E-3</v>
      </c>
      <c r="F154" s="2050">
        <f t="shared" si="10"/>
        <v>0.8659081702003899</v>
      </c>
    </row>
    <row r="155" spans="1:6" s="2062" customFormat="1" ht="15" x14ac:dyDescent="0.2">
      <c r="A155" s="2051" t="s">
        <v>22</v>
      </c>
      <c r="B155" s="2051" t="s">
        <v>7083</v>
      </c>
      <c r="C155" s="2048" t="s">
        <v>6147</v>
      </c>
      <c r="D155" s="2049">
        <v>10128.24</v>
      </c>
      <c r="E155" s="2050">
        <f t="shared" si="9"/>
        <v>1.118091028096118E-3</v>
      </c>
      <c r="F155" s="2050">
        <f t="shared" si="10"/>
        <v>0.86702626122848603</v>
      </c>
    </row>
    <row r="156" spans="1:6" s="2062" customFormat="1" ht="30" x14ac:dyDescent="0.2">
      <c r="A156" s="2047" t="s">
        <v>22</v>
      </c>
      <c r="B156" s="2051" t="s">
        <v>7293</v>
      </c>
      <c r="C156" s="2048" t="s">
        <v>7407</v>
      </c>
      <c r="D156" s="2049">
        <v>9960.9599999999991</v>
      </c>
      <c r="E156" s="2050">
        <f t="shared" si="9"/>
        <v>1.0996244171963053E-3</v>
      </c>
      <c r="F156" s="2050">
        <f t="shared" si="10"/>
        <v>0.86812588564568238</v>
      </c>
    </row>
    <row r="157" spans="1:6" s="2063" customFormat="1" ht="45" x14ac:dyDescent="0.2">
      <c r="A157" s="2051" t="s">
        <v>22</v>
      </c>
      <c r="B157" s="2051" t="s">
        <v>6836</v>
      </c>
      <c r="C157" s="2048" t="s">
        <v>6911</v>
      </c>
      <c r="D157" s="2049">
        <v>9909.6</v>
      </c>
      <c r="E157" s="2050">
        <f t="shared" si="9"/>
        <v>1.0939546112672381E-3</v>
      </c>
      <c r="F157" s="2050">
        <f t="shared" si="10"/>
        <v>0.86921984025694965</v>
      </c>
    </row>
    <row r="158" spans="1:6" s="2062" customFormat="1" ht="30" x14ac:dyDescent="0.2">
      <c r="A158" s="2047" t="s">
        <v>22</v>
      </c>
      <c r="B158" s="2051" t="s">
        <v>6831</v>
      </c>
      <c r="C158" s="2048" t="s">
        <v>6916</v>
      </c>
      <c r="D158" s="2049">
        <v>9857.4</v>
      </c>
      <c r="E158" s="2050">
        <f t="shared" si="9"/>
        <v>1.0881920748673681E-3</v>
      </c>
      <c r="F158" s="2050">
        <f t="shared" si="10"/>
        <v>0.87030803233181697</v>
      </c>
    </row>
    <row r="159" spans="1:6" s="2063" customFormat="1" ht="30" x14ac:dyDescent="0.2">
      <c r="A159" s="2051" t="s">
        <v>22</v>
      </c>
      <c r="B159" s="2051" t="s">
        <v>4983</v>
      </c>
      <c r="C159" s="2048" t="s">
        <v>7592</v>
      </c>
      <c r="D159" s="2049">
        <v>9751.39</v>
      </c>
      <c r="E159" s="2050">
        <f t="shared" si="9"/>
        <v>1.0764892686652571E-3</v>
      </c>
      <c r="F159" s="2050">
        <f t="shared" si="10"/>
        <v>0.87138452160048219</v>
      </c>
    </row>
    <row r="160" spans="1:6" s="2006" customFormat="1" ht="30" x14ac:dyDescent="0.2">
      <c r="A160" s="2004" t="s">
        <v>15149</v>
      </c>
      <c r="B160" s="2004" t="s">
        <v>0</v>
      </c>
      <c r="C160" s="2004" t="s">
        <v>1</v>
      </c>
      <c r="D160" s="1990" t="s">
        <v>130</v>
      </c>
      <c r="E160" s="1989" t="s">
        <v>15139</v>
      </c>
      <c r="F160" s="1990" t="s">
        <v>15140</v>
      </c>
    </row>
    <row r="161" spans="1:6" s="2062" customFormat="1" ht="30" x14ac:dyDescent="0.2">
      <c r="A161" s="2047" t="s">
        <v>22</v>
      </c>
      <c r="B161" s="2051" t="s">
        <v>15015</v>
      </c>
      <c r="C161" s="2048" t="s">
        <v>5884</v>
      </c>
      <c r="D161" s="2049">
        <v>9701.82</v>
      </c>
      <c r="E161" s="2050">
        <f t="shared" ref="E161:E191" si="11">D161/SUM(D:D)</f>
        <v>1.0710170669537332E-3</v>
      </c>
      <c r="F161" s="2050">
        <f>E161+F159</f>
        <v>0.87245553866743597</v>
      </c>
    </row>
    <row r="162" spans="1:6" s="2062" customFormat="1" ht="15" x14ac:dyDescent="0.2">
      <c r="A162" s="2051" t="s">
        <v>22</v>
      </c>
      <c r="B162" s="2051" t="s">
        <v>7142</v>
      </c>
      <c r="C162" s="2048" t="s">
        <v>7147</v>
      </c>
      <c r="D162" s="2049">
        <v>9519.6</v>
      </c>
      <c r="E162" s="2050">
        <f t="shared" si="11"/>
        <v>1.0509011783946475E-3</v>
      </c>
      <c r="F162" s="2050">
        <f>E162+F161</f>
        <v>0.87350643984583065</v>
      </c>
    </row>
    <row r="163" spans="1:6" s="2062" customFormat="1" ht="15" x14ac:dyDescent="0.2">
      <c r="A163" s="2047" t="s">
        <v>22</v>
      </c>
      <c r="B163" s="2051" t="s">
        <v>6732</v>
      </c>
      <c r="C163" s="2048" t="s">
        <v>5718</v>
      </c>
      <c r="D163" s="2049">
        <v>9500.58</v>
      </c>
      <c r="E163" s="2050">
        <f t="shared" si="11"/>
        <v>1.0488014955914765E-3</v>
      </c>
      <c r="F163" s="2050">
        <f t="shared" ref="F163:F191" si="12">E163+F162</f>
        <v>0.87455524134142215</v>
      </c>
    </row>
    <row r="164" spans="1:6" s="2062" customFormat="1" ht="30" x14ac:dyDescent="0.2">
      <c r="A164" s="2051" t="s">
        <v>22</v>
      </c>
      <c r="B164" s="2051" t="s">
        <v>5287</v>
      </c>
      <c r="C164" s="2048" t="s">
        <v>7788</v>
      </c>
      <c r="D164" s="2049">
        <v>9383</v>
      </c>
      <c r="E164" s="2050">
        <f t="shared" si="11"/>
        <v>1.0358214375474786E-3</v>
      </c>
      <c r="F164" s="2050">
        <f t="shared" si="12"/>
        <v>0.87559106277896959</v>
      </c>
    </row>
    <row r="165" spans="1:6" s="2062" customFormat="1" ht="15" x14ac:dyDescent="0.2">
      <c r="A165" s="2047" t="s">
        <v>22</v>
      </c>
      <c r="B165" s="2051" t="s">
        <v>6787</v>
      </c>
      <c r="C165" s="2048" t="s">
        <v>5905</v>
      </c>
      <c r="D165" s="2049">
        <v>9304.74</v>
      </c>
      <c r="E165" s="2050">
        <f t="shared" si="11"/>
        <v>1.0271820486843788E-3</v>
      </c>
      <c r="F165" s="2050">
        <f t="shared" si="12"/>
        <v>0.87661824482765394</v>
      </c>
    </row>
    <row r="166" spans="1:6" s="2062" customFormat="1" ht="30" x14ac:dyDescent="0.2">
      <c r="A166" s="2051" t="s">
        <v>22</v>
      </c>
      <c r="B166" s="2051" t="s">
        <v>7050</v>
      </c>
      <c r="C166" s="2048" t="s">
        <v>8336</v>
      </c>
      <c r="D166" s="2049">
        <v>9269.24</v>
      </c>
      <c r="E166" s="2050">
        <f t="shared" si="11"/>
        <v>1.0232630823587968E-3</v>
      </c>
      <c r="F166" s="2050">
        <f t="shared" si="12"/>
        <v>0.87764150791001272</v>
      </c>
    </row>
    <row r="167" spans="1:6" s="2062" customFormat="1" ht="30" x14ac:dyDescent="0.2">
      <c r="A167" s="2047" t="s">
        <v>22</v>
      </c>
      <c r="B167" s="2051" t="s">
        <v>7504</v>
      </c>
      <c r="C167" s="2048" t="s">
        <v>6070</v>
      </c>
      <c r="D167" s="2049">
        <v>9090.8799999999992</v>
      </c>
      <c r="E167" s="2050">
        <f t="shared" si="11"/>
        <v>1.0035733123917321E-3</v>
      </c>
      <c r="F167" s="2050">
        <f t="shared" si="12"/>
        <v>0.87864508122240448</v>
      </c>
    </row>
    <row r="168" spans="1:6" s="2062" customFormat="1" ht="30" x14ac:dyDescent="0.2">
      <c r="A168" s="2051" t="s">
        <v>22</v>
      </c>
      <c r="B168" s="2051" t="s">
        <v>7871</v>
      </c>
      <c r="C168" s="2048" t="s">
        <v>7879</v>
      </c>
      <c r="D168" s="2049">
        <v>9029.44</v>
      </c>
      <c r="E168" s="2050">
        <f t="shared" si="11"/>
        <v>9.9679074081303483E-4</v>
      </c>
      <c r="F168" s="2050">
        <f t="shared" si="12"/>
        <v>0.87964187196321753</v>
      </c>
    </row>
    <row r="169" spans="1:6" s="2062" customFormat="1" ht="15" x14ac:dyDescent="0.2">
      <c r="A169" s="2047" t="s">
        <v>22</v>
      </c>
      <c r="B169" s="2051" t="s">
        <v>9465</v>
      </c>
      <c r="C169" s="2048" t="s">
        <v>9467</v>
      </c>
      <c r="D169" s="2049">
        <v>8602.41</v>
      </c>
      <c r="E169" s="2050">
        <f t="shared" si="11"/>
        <v>9.4964943968590065E-4</v>
      </c>
      <c r="F169" s="2050">
        <f t="shared" si="12"/>
        <v>0.88059152140290342</v>
      </c>
    </row>
    <row r="170" spans="1:6" s="2062" customFormat="1" ht="15" x14ac:dyDescent="0.2">
      <c r="A170" s="2051" t="s">
        <v>22</v>
      </c>
      <c r="B170" s="2051" t="s">
        <v>7795</v>
      </c>
      <c r="C170" s="2048" t="s">
        <v>8905</v>
      </c>
      <c r="D170" s="2049">
        <v>8471.31</v>
      </c>
      <c r="E170" s="2050">
        <f t="shared" si="11"/>
        <v>9.3517686263565282E-4</v>
      </c>
      <c r="F170" s="2050">
        <f t="shared" si="12"/>
        <v>0.88152669826553909</v>
      </c>
    </row>
    <row r="171" spans="1:6" s="2062" customFormat="1" ht="30" x14ac:dyDescent="0.2">
      <c r="A171" s="2047" t="s">
        <v>22</v>
      </c>
      <c r="B171" s="2051" t="s">
        <v>7447</v>
      </c>
      <c r="C171" s="2048" t="s">
        <v>7446</v>
      </c>
      <c r="D171" s="2049">
        <v>8422.32</v>
      </c>
      <c r="E171" s="2050">
        <f t="shared" si="11"/>
        <v>9.2976868910634976E-4</v>
      </c>
      <c r="F171" s="2050">
        <f t="shared" si="12"/>
        <v>0.88245646695464541</v>
      </c>
    </row>
    <row r="172" spans="1:6" s="2062" customFormat="1" ht="30" x14ac:dyDescent="0.2">
      <c r="A172" s="2051" t="s">
        <v>22</v>
      </c>
      <c r="B172" s="2051" t="s">
        <v>7141</v>
      </c>
      <c r="C172" s="2048" t="s">
        <v>7143</v>
      </c>
      <c r="D172" s="2049">
        <v>8405.84</v>
      </c>
      <c r="E172" s="2050">
        <f t="shared" si="11"/>
        <v>9.2794940558393879E-4</v>
      </c>
      <c r="F172" s="2050">
        <f t="shared" si="12"/>
        <v>0.88338441636022935</v>
      </c>
    </row>
    <row r="173" spans="1:6" s="2062" customFormat="1" ht="45" x14ac:dyDescent="0.2">
      <c r="A173" s="2047" t="s">
        <v>22</v>
      </c>
      <c r="B173" s="2047" t="s">
        <v>6751</v>
      </c>
      <c r="C173" s="2048" t="s">
        <v>5745</v>
      </c>
      <c r="D173" s="2049">
        <v>8380.26</v>
      </c>
      <c r="E173" s="2050">
        <f t="shared" si="11"/>
        <v>9.2512554196116741E-4</v>
      </c>
      <c r="F173" s="2050">
        <f t="shared" si="12"/>
        <v>0.88430954190219047</v>
      </c>
    </row>
    <row r="174" spans="1:6" s="2062" customFormat="1" ht="30" x14ac:dyDescent="0.2">
      <c r="A174" s="2051" t="s">
        <v>22</v>
      </c>
      <c r="B174" s="2051" t="s">
        <v>7046</v>
      </c>
      <c r="C174" s="2048" t="s">
        <v>6140</v>
      </c>
      <c r="D174" s="2049">
        <v>8337.5300000000007</v>
      </c>
      <c r="E174" s="2050">
        <f t="shared" si="11"/>
        <v>9.2040843122617819E-4</v>
      </c>
      <c r="F174" s="2050">
        <f t="shared" si="12"/>
        <v>0.88522995033341667</v>
      </c>
    </row>
    <row r="175" spans="1:6" s="2062" customFormat="1" ht="30" x14ac:dyDescent="0.2">
      <c r="A175" s="2047" t="s">
        <v>22</v>
      </c>
      <c r="B175" s="2051" t="s">
        <v>5886</v>
      </c>
      <c r="C175" s="2048" t="s">
        <v>7286</v>
      </c>
      <c r="D175" s="2049">
        <v>8334.48</v>
      </c>
      <c r="E175" s="2050">
        <f t="shared" si="11"/>
        <v>9.2007173130243089E-4</v>
      </c>
      <c r="F175" s="2050">
        <f t="shared" si="12"/>
        <v>0.88615002206471916</v>
      </c>
    </row>
    <row r="176" spans="1:6" s="2062" customFormat="1" ht="30" x14ac:dyDescent="0.2">
      <c r="A176" s="2051" t="s">
        <v>22</v>
      </c>
      <c r="B176" s="2051" t="s">
        <v>6830</v>
      </c>
      <c r="C176" s="2048" t="s">
        <v>6915</v>
      </c>
      <c r="D176" s="2049">
        <v>8241.6</v>
      </c>
      <c r="E176" s="2050">
        <f t="shared" si="11"/>
        <v>9.0981839067369712E-4</v>
      </c>
      <c r="F176" s="2050">
        <f t="shared" si="12"/>
        <v>0.88705984045539288</v>
      </c>
    </row>
    <row r="177" spans="1:6" s="2062" customFormat="1" ht="30" x14ac:dyDescent="0.2">
      <c r="A177" s="2047" t="s">
        <v>22</v>
      </c>
      <c r="B177" s="2051" t="s">
        <v>9053</v>
      </c>
      <c r="C177" s="2048" t="s">
        <v>9052</v>
      </c>
      <c r="D177" s="2049">
        <v>8204.43</v>
      </c>
      <c r="E177" s="2050">
        <f t="shared" si="11"/>
        <v>9.0571506734068638E-4</v>
      </c>
      <c r="F177" s="2050">
        <f t="shared" si="12"/>
        <v>0.8879655555227336</v>
      </c>
    </row>
    <row r="178" spans="1:6" s="2062" customFormat="1" ht="15" x14ac:dyDescent="0.2">
      <c r="A178" s="2051" t="s">
        <v>22</v>
      </c>
      <c r="B178" s="2051" t="s">
        <v>6960</v>
      </c>
      <c r="C178" s="2048" t="s">
        <v>5922</v>
      </c>
      <c r="D178" s="2049">
        <v>8164.5</v>
      </c>
      <c r="E178" s="2050">
        <f t="shared" si="11"/>
        <v>9.0130705817503885E-4</v>
      </c>
      <c r="F178" s="2050">
        <f t="shared" si="12"/>
        <v>0.88886686258090863</v>
      </c>
    </row>
    <row r="179" spans="1:6" s="2062" customFormat="1" ht="30" x14ac:dyDescent="0.2">
      <c r="A179" s="2047" t="s">
        <v>22</v>
      </c>
      <c r="B179" s="2051" t="s">
        <v>6828</v>
      </c>
      <c r="C179" s="2048" t="s">
        <v>6913</v>
      </c>
      <c r="D179" s="2049">
        <v>8147.88</v>
      </c>
      <c r="E179" s="2050">
        <f t="shared" si="11"/>
        <v>8.9947231957416076E-4</v>
      </c>
      <c r="F179" s="2050">
        <f t="shared" si="12"/>
        <v>0.88976633490048285</v>
      </c>
    </row>
    <row r="180" spans="1:6" s="2062" customFormat="1" ht="15" x14ac:dyDescent="0.2">
      <c r="A180" s="2051" t="s">
        <v>22</v>
      </c>
      <c r="B180" s="2051" t="s">
        <v>6861</v>
      </c>
      <c r="C180" s="2048" t="s">
        <v>6860</v>
      </c>
      <c r="D180" s="2049">
        <v>8025.91</v>
      </c>
      <c r="E180" s="2050">
        <f t="shared" si="11"/>
        <v>8.8600763442680207E-4</v>
      </c>
      <c r="F180" s="2050">
        <f t="shared" si="12"/>
        <v>0.89065234253490966</v>
      </c>
    </row>
    <row r="181" spans="1:6" s="2062" customFormat="1" ht="30" x14ac:dyDescent="0.2">
      <c r="A181" s="2047" t="s">
        <v>22</v>
      </c>
      <c r="B181" s="2051" t="s">
        <v>6757</v>
      </c>
      <c r="C181" s="2048" t="s">
        <v>5764</v>
      </c>
      <c r="D181" s="2049">
        <v>8004.27</v>
      </c>
      <c r="E181" s="2050">
        <f t="shared" si="11"/>
        <v>8.8361872086946153E-4</v>
      </c>
      <c r="F181" s="2050">
        <f t="shared" si="12"/>
        <v>0.89153596125577916</v>
      </c>
    </row>
    <row r="182" spans="1:6" s="2062" customFormat="1" ht="45" x14ac:dyDescent="0.2">
      <c r="A182" s="2051" t="s">
        <v>22</v>
      </c>
      <c r="B182" s="2051" t="s">
        <v>6781</v>
      </c>
      <c r="C182" s="2048" t="s">
        <v>5802</v>
      </c>
      <c r="D182" s="2049">
        <v>7890.56</v>
      </c>
      <c r="E182" s="2050">
        <f t="shared" si="11"/>
        <v>8.7106588535166077E-4</v>
      </c>
      <c r="F182" s="2050">
        <f t="shared" si="12"/>
        <v>0.89240702714113085</v>
      </c>
    </row>
    <row r="183" spans="1:6" s="2062" customFormat="1" ht="30" x14ac:dyDescent="0.2">
      <c r="A183" s="2047" t="s">
        <v>22</v>
      </c>
      <c r="B183" s="2051" t="s">
        <v>7868</v>
      </c>
      <c r="C183" s="2048" t="s">
        <v>15017</v>
      </c>
      <c r="D183" s="2049">
        <v>7834.4</v>
      </c>
      <c r="E183" s="2050">
        <f t="shared" si="11"/>
        <v>8.6486619101800767E-4</v>
      </c>
      <c r="F183" s="2050">
        <f t="shared" si="12"/>
        <v>0.89327189333214885</v>
      </c>
    </row>
    <row r="184" spans="1:6" s="2062" customFormat="1" ht="30" x14ac:dyDescent="0.2">
      <c r="A184" s="2051" t="s">
        <v>22</v>
      </c>
      <c r="B184" s="2051" t="s">
        <v>6668</v>
      </c>
      <c r="C184" s="2048" t="s">
        <v>6669</v>
      </c>
      <c r="D184" s="2049">
        <v>7790.04</v>
      </c>
      <c r="E184" s="2050">
        <f t="shared" si="11"/>
        <v>8.5996913901229466E-4</v>
      </c>
      <c r="F184" s="2050">
        <f t="shared" si="12"/>
        <v>0.89413186247116117</v>
      </c>
    </row>
    <row r="185" spans="1:6" s="2062" customFormat="1" ht="60" x14ac:dyDescent="0.2">
      <c r="A185" s="2047" t="s">
        <v>22</v>
      </c>
      <c r="B185" s="2047" t="s">
        <v>6748</v>
      </c>
      <c r="C185" s="2048" t="s">
        <v>5742</v>
      </c>
      <c r="D185" s="2049">
        <v>7711.24</v>
      </c>
      <c r="E185" s="2050">
        <f t="shared" si="11"/>
        <v>8.5127013770367886E-4</v>
      </c>
      <c r="F185" s="2050">
        <f t="shared" si="12"/>
        <v>0.89498313260886486</v>
      </c>
    </row>
    <row r="186" spans="1:6" s="2062" customFormat="1" ht="30" x14ac:dyDescent="0.2">
      <c r="A186" s="2051" t="s">
        <v>22</v>
      </c>
      <c r="B186" s="2051" t="s">
        <v>6760</v>
      </c>
      <c r="C186" s="2048" t="s">
        <v>6665</v>
      </c>
      <c r="D186" s="2049">
        <v>7694.93</v>
      </c>
      <c r="E186" s="2050">
        <f t="shared" si="11"/>
        <v>8.4946962106226373E-4</v>
      </c>
      <c r="F186" s="2050">
        <f t="shared" si="12"/>
        <v>0.89583260222992711</v>
      </c>
    </row>
    <row r="187" spans="1:6" s="2062" customFormat="1" ht="30" x14ac:dyDescent="0.2">
      <c r="A187" s="2047" t="s">
        <v>22</v>
      </c>
      <c r="B187" s="2051" t="s">
        <v>6772</v>
      </c>
      <c r="C187" s="2048" t="s">
        <v>6675</v>
      </c>
      <c r="D187" s="2049">
        <v>7559.27</v>
      </c>
      <c r="E187" s="2050">
        <f t="shared" si="11"/>
        <v>8.3449365002765947E-4</v>
      </c>
      <c r="F187" s="2050">
        <f t="shared" si="12"/>
        <v>0.89666709587995475</v>
      </c>
    </row>
    <row r="188" spans="1:6" s="2062" customFormat="1" ht="45" x14ac:dyDescent="0.2">
      <c r="A188" s="2051" t="s">
        <v>22</v>
      </c>
      <c r="B188" s="2051" t="s">
        <v>6737</v>
      </c>
      <c r="C188" s="2048" t="s">
        <v>15029</v>
      </c>
      <c r="D188" s="2049">
        <v>7513.61</v>
      </c>
      <c r="E188" s="2050">
        <f t="shared" si="11"/>
        <v>8.2945308657903774E-4</v>
      </c>
      <c r="F188" s="2050">
        <f t="shared" si="12"/>
        <v>0.89749654896653375</v>
      </c>
    </row>
    <row r="189" spans="1:6" s="2062" customFormat="1" ht="30" x14ac:dyDescent="0.2">
      <c r="A189" s="2047" t="s">
        <v>22</v>
      </c>
      <c r="B189" s="2051" t="s">
        <v>7785</v>
      </c>
      <c r="C189" s="2048" t="s">
        <v>8290</v>
      </c>
      <c r="D189" s="2049">
        <v>7457.14</v>
      </c>
      <c r="E189" s="2050">
        <f t="shared" si="11"/>
        <v>8.232191702859219E-4</v>
      </c>
      <c r="F189" s="2050">
        <f t="shared" si="12"/>
        <v>0.89831976813681969</v>
      </c>
    </row>
    <row r="190" spans="1:6" s="2062" customFormat="1" ht="30" x14ac:dyDescent="0.2">
      <c r="A190" s="2051" t="s">
        <v>22</v>
      </c>
      <c r="B190" s="2051" t="s">
        <v>6829</v>
      </c>
      <c r="C190" s="2048" t="s">
        <v>6914</v>
      </c>
      <c r="D190" s="2049">
        <v>7417.44</v>
      </c>
      <c r="E190" s="2050">
        <f t="shared" si="11"/>
        <v>8.1883655160632732E-4</v>
      </c>
      <c r="F190" s="2050">
        <f t="shared" si="12"/>
        <v>0.89913860468842599</v>
      </c>
    </row>
    <row r="191" spans="1:6" s="2062" customFormat="1" ht="45" x14ac:dyDescent="0.2">
      <c r="A191" s="2047" t="s">
        <v>22</v>
      </c>
      <c r="B191" s="2051" t="s">
        <v>7687</v>
      </c>
      <c r="C191" s="2048" t="s">
        <v>14967</v>
      </c>
      <c r="D191" s="2049">
        <v>7392.32</v>
      </c>
      <c r="E191" s="2050">
        <f t="shared" si="11"/>
        <v>8.1606346895566207E-4</v>
      </c>
      <c r="F191" s="2050">
        <f t="shared" si="12"/>
        <v>0.89995466815738168</v>
      </c>
    </row>
    <row r="192" spans="1:6" s="2006" customFormat="1" ht="30" x14ac:dyDescent="0.2">
      <c r="A192" s="2004" t="s">
        <v>15149</v>
      </c>
      <c r="B192" s="2004" t="s">
        <v>0</v>
      </c>
      <c r="C192" s="2004" t="s">
        <v>1</v>
      </c>
      <c r="D192" s="1990" t="s">
        <v>130</v>
      </c>
      <c r="E192" s="1989" t="s">
        <v>15139</v>
      </c>
      <c r="F192" s="1990" t="s">
        <v>15140</v>
      </c>
    </row>
    <row r="193" spans="1:6" s="2062" customFormat="1" ht="15" x14ac:dyDescent="0.2">
      <c r="A193" s="2051" t="s">
        <v>22</v>
      </c>
      <c r="B193" s="2051" t="s">
        <v>7763</v>
      </c>
      <c r="C193" s="2048" t="s">
        <v>7767</v>
      </c>
      <c r="D193" s="2049">
        <v>7331.22</v>
      </c>
      <c r="E193" s="2050">
        <f t="shared" ref="E193:E221" si="13">D193/SUM(D:D)</f>
        <v>8.093184311389563E-4</v>
      </c>
      <c r="F193" s="2050">
        <f>E193+F191</f>
        <v>0.90076398658852064</v>
      </c>
    </row>
    <row r="194" spans="1:6" s="2062" customFormat="1" ht="30" x14ac:dyDescent="0.2">
      <c r="A194" s="2047" t="s">
        <v>22</v>
      </c>
      <c r="B194" s="2053" t="s">
        <v>8596</v>
      </c>
      <c r="C194" s="2053" t="s">
        <v>8598</v>
      </c>
      <c r="D194" s="2049">
        <v>7246.82</v>
      </c>
      <c r="E194" s="2050">
        <f t="shared" si="13"/>
        <v>8.0000122669165714E-4</v>
      </c>
      <c r="F194" s="2050">
        <f>E194+F193</f>
        <v>0.9015639878152123</v>
      </c>
    </row>
    <row r="195" spans="1:6" s="2062" customFormat="1" ht="15" x14ac:dyDescent="0.2">
      <c r="A195" s="2051" t="s">
        <v>22</v>
      </c>
      <c r="B195" s="2051" t="s">
        <v>7207</v>
      </c>
      <c r="C195" s="2048" t="s">
        <v>6284</v>
      </c>
      <c r="D195" s="2049">
        <v>7105.5</v>
      </c>
      <c r="E195" s="2050">
        <f t="shared" si="13"/>
        <v>7.8440042891331229E-4</v>
      </c>
      <c r="F195" s="2050">
        <f t="shared" ref="F195:F221" si="14">E195+F194</f>
        <v>0.90234838824412567</v>
      </c>
    </row>
    <row r="196" spans="1:6" s="2062" customFormat="1" ht="30" x14ac:dyDescent="0.2">
      <c r="A196" s="2047" t="s">
        <v>22</v>
      </c>
      <c r="B196" s="2051" t="s">
        <v>6719</v>
      </c>
      <c r="C196" s="2048" t="s">
        <v>5691</v>
      </c>
      <c r="D196" s="2049">
        <v>7104.93</v>
      </c>
      <c r="E196" s="2050">
        <f t="shared" si="13"/>
        <v>7.8433750466526777E-4</v>
      </c>
      <c r="F196" s="2050">
        <f t="shared" si="14"/>
        <v>0.90313272574879089</v>
      </c>
    </row>
    <row r="197" spans="1:6" s="2062" customFormat="1" ht="30" x14ac:dyDescent="0.2">
      <c r="A197" s="2051" t="s">
        <v>22</v>
      </c>
      <c r="B197" s="2051" t="s">
        <v>9490</v>
      </c>
      <c r="C197" s="2048" t="s">
        <v>9496</v>
      </c>
      <c r="D197" s="2049">
        <v>7037.91</v>
      </c>
      <c r="E197" s="2050">
        <f t="shared" si="13"/>
        <v>7.7693893781623951E-4</v>
      </c>
      <c r="F197" s="2050">
        <f t="shared" si="14"/>
        <v>0.90390966468660716</v>
      </c>
    </row>
    <row r="198" spans="1:6" s="2062" customFormat="1" ht="15" x14ac:dyDescent="0.2">
      <c r="A198" s="2047" t="s">
        <v>22</v>
      </c>
      <c r="B198" s="2051" t="s">
        <v>7158</v>
      </c>
      <c r="C198" s="2048" t="s">
        <v>7151</v>
      </c>
      <c r="D198" s="2049">
        <v>7001.3</v>
      </c>
      <c r="E198" s="2050">
        <f t="shared" si="13"/>
        <v>7.7289743479709713E-4</v>
      </c>
      <c r="F198" s="2050">
        <f t="shared" si="14"/>
        <v>0.9046825621214043</v>
      </c>
    </row>
    <row r="199" spans="1:6" s="2062" customFormat="1" ht="45" x14ac:dyDescent="0.2">
      <c r="A199" s="2051" t="s">
        <v>22</v>
      </c>
      <c r="B199" s="2051" t="s">
        <v>6835</v>
      </c>
      <c r="C199" s="2048" t="s">
        <v>6910</v>
      </c>
      <c r="D199" s="2049">
        <v>6972.75</v>
      </c>
      <c r="E199" s="2050">
        <f t="shared" si="13"/>
        <v>7.6974570272398822E-4</v>
      </c>
      <c r="F199" s="2050">
        <f t="shared" si="14"/>
        <v>0.90545230782412833</v>
      </c>
    </row>
    <row r="200" spans="1:6" s="2062" customFormat="1" ht="45" x14ac:dyDescent="0.2">
      <c r="A200" s="2047" t="s">
        <v>22</v>
      </c>
      <c r="B200" s="2051" t="s">
        <v>6736</v>
      </c>
      <c r="C200" s="2048" t="s">
        <v>15028</v>
      </c>
      <c r="D200" s="2049">
        <v>6968.57</v>
      </c>
      <c r="E200" s="2050">
        <f t="shared" si="13"/>
        <v>7.6928425823832814E-4</v>
      </c>
      <c r="F200" s="2050">
        <f t="shared" si="14"/>
        <v>0.90622159208236663</v>
      </c>
    </row>
    <row r="201" spans="1:6" s="2062" customFormat="1" ht="60" x14ac:dyDescent="0.2">
      <c r="A201" s="2051" t="s">
        <v>22</v>
      </c>
      <c r="B201" s="2047" t="s">
        <v>6747</v>
      </c>
      <c r="C201" s="2048" t="s">
        <v>5741</v>
      </c>
      <c r="D201" s="2049">
        <v>6922.14</v>
      </c>
      <c r="E201" s="2050">
        <f t="shared" si="13"/>
        <v>7.6415869185813754E-4</v>
      </c>
      <c r="F201" s="2050">
        <f t="shared" si="14"/>
        <v>0.90698575077422472</v>
      </c>
    </row>
    <row r="202" spans="1:6" s="2062" customFormat="1" ht="105" x14ac:dyDescent="0.2">
      <c r="A202" s="2047" t="s">
        <v>22</v>
      </c>
      <c r="B202" s="2051" t="s">
        <v>7204</v>
      </c>
      <c r="C202" s="2048" t="s">
        <v>6282</v>
      </c>
      <c r="D202" s="2049">
        <v>6848.26</v>
      </c>
      <c r="E202" s="2050">
        <f t="shared" si="13"/>
        <v>7.5600282616422219E-4</v>
      </c>
      <c r="F202" s="2050">
        <f t="shared" si="14"/>
        <v>0.90774175360038889</v>
      </c>
    </row>
    <row r="203" spans="1:6" s="2062" customFormat="1" ht="30" x14ac:dyDescent="0.2">
      <c r="A203" s="2051" t="s">
        <v>22</v>
      </c>
      <c r="B203" s="2051" t="s">
        <v>7265</v>
      </c>
      <c r="C203" s="2048" t="s">
        <v>7493</v>
      </c>
      <c r="D203" s="2049">
        <v>6810.87</v>
      </c>
      <c r="E203" s="2050">
        <f t="shared" si="13"/>
        <v>7.5187521627933455E-4</v>
      </c>
      <c r="F203" s="2050">
        <f t="shared" si="14"/>
        <v>0.90849362881666818</v>
      </c>
    </row>
    <row r="204" spans="1:6" s="2062" customFormat="1" ht="30" x14ac:dyDescent="0.2">
      <c r="A204" s="2047" t="s">
        <v>22</v>
      </c>
      <c r="B204" s="2051" t="s">
        <v>7217</v>
      </c>
      <c r="C204" s="2048" t="s">
        <v>7218</v>
      </c>
      <c r="D204" s="2049">
        <v>6807.06</v>
      </c>
      <c r="E204" s="2050">
        <f t="shared" si="13"/>
        <v>7.5145461735819465E-4</v>
      </c>
      <c r="F204" s="2050">
        <f t="shared" si="14"/>
        <v>0.90924508343402632</v>
      </c>
    </row>
    <row r="205" spans="1:6" s="2062" customFormat="1" ht="30" x14ac:dyDescent="0.2">
      <c r="A205" s="2051" t="s">
        <v>22</v>
      </c>
      <c r="B205" s="2051" t="s">
        <v>15031</v>
      </c>
      <c r="C205" s="2048" t="s">
        <v>5724</v>
      </c>
      <c r="D205" s="2049">
        <v>6779.45</v>
      </c>
      <c r="E205" s="2050">
        <f t="shared" si="13"/>
        <v>7.4840665509765046E-4</v>
      </c>
      <c r="F205" s="2050">
        <f t="shared" si="14"/>
        <v>0.909993490089124</v>
      </c>
    </row>
    <row r="206" spans="1:6" s="2062" customFormat="1" ht="15" x14ac:dyDescent="0.2">
      <c r="A206" s="2047" t="s">
        <v>22</v>
      </c>
      <c r="B206" s="2051" t="s">
        <v>7080</v>
      </c>
      <c r="C206" s="2048" t="s">
        <v>7188</v>
      </c>
      <c r="D206" s="2049">
        <v>6671.45</v>
      </c>
      <c r="E206" s="2050">
        <f t="shared" si="13"/>
        <v>7.3648416599447156E-4</v>
      </c>
      <c r="F206" s="2050">
        <f t="shared" si="14"/>
        <v>0.91072997425511848</v>
      </c>
    </row>
    <row r="207" spans="1:6" s="2062" customFormat="1" ht="30" x14ac:dyDescent="0.2">
      <c r="A207" s="2051" t="s">
        <v>22</v>
      </c>
      <c r="B207" s="2051" t="s">
        <v>6778</v>
      </c>
      <c r="C207" s="2048" t="s">
        <v>5795</v>
      </c>
      <c r="D207" s="2049">
        <v>6653.29</v>
      </c>
      <c r="E207" s="2050">
        <f t="shared" si="13"/>
        <v>7.3447942153045552E-4</v>
      </c>
      <c r="F207" s="2050">
        <f t="shared" si="14"/>
        <v>0.91146445367664897</v>
      </c>
    </row>
    <row r="208" spans="1:6" s="2062" customFormat="1" ht="30" x14ac:dyDescent="0.2">
      <c r="A208" s="2047" t="s">
        <v>22</v>
      </c>
      <c r="B208" s="2051" t="s">
        <v>5885</v>
      </c>
      <c r="C208" s="2048" t="s">
        <v>5803</v>
      </c>
      <c r="D208" s="2049">
        <v>6638.56</v>
      </c>
      <c r="E208" s="2050">
        <f t="shared" si="13"/>
        <v>7.3285332648888313E-4</v>
      </c>
      <c r="F208" s="2050">
        <f t="shared" si="14"/>
        <v>0.91219730700313784</v>
      </c>
    </row>
    <row r="209" spans="1:6" s="2062" customFormat="1" ht="30" x14ac:dyDescent="0.2">
      <c r="A209" s="2051" t="s">
        <v>22</v>
      </c>
      <c r="B209" s="2051" t="s">
        <v>8897</v>
      </c>
      <c r="C209" s="2048" t="s">
        <v>8898</v>
      </c>
      <c r="D209" s="2049">
        <v>6613.26</v>
      </c>
      <c r="E209" s="2050">
        <f t="shared" si="13"/>
        <v>7.3006037302304576E-4</v>
      </c>
      <c r="F209" s="2050">
        <f t="shared" si="14"/>
        <v>0.91292736737616087</v>
      </c>
    </row>
    <row r="210" spans="1:6" s="2062" customFormat="1" ht="15" x14ac:dyDescent="0.2">
      <c r="A210" s="2047" t="s">
        <v>22</v>
      </c>
      <c r="B210" s="2051" t="s">
        <v>9532</v>
      </c>
      <c r="C210" s="2048" t="s">
        <v>9533</v>
      </c>
      <c r="D210" s="2049">
        <v>6530.34</v>
      </c>
      <c r="E210" s="2050">
        <f t="shared" si="13"/>
        <v>7.2090655083382733E-4</v>
      </c>
      <c r="F210" s="2050">
        <f t="shared" si="14"/>
        <v>0.91364827392699466</v>
      </c>
    </row>
    <row r="211" spans="1:6" s="2062" customFormat="1" ht="30" x14ac:dyDescent="0.2">
      <c r="A211" s="2051" t="s">
        <v>22</v>
      </c>
      <c r="B211" s="2051" t="s">
        <v>7598</v>
      </c>
      <c r="C211" s="2048" t="s">
        <v>8369</v>
      </c>
      <c r="D211" s="2049">
        <v>6402.13</v>
      </c>
      <c r="E211" s="2050">
        <f t="shared" si="13"/>
        <v>7.0675301076050725E-4</v>
      </c>
      <c r="F211" s="2050">
        <f t="shared" si="14"/>
        <v>0.91435502693775517</v>
      </c>
    </row>
    <row r="212" spans="1:6" s="2062" customFormat="1" ht="30" x14ac:dyDescent="0.2">
      <c r="A212" s="2047" t="s">
        <v>22</v>
      </c>
      <c r="B212" s="2051" t="s">
        <v>8372</v>
      </c>
      <c r="C212" s="2048" t="s">
        <v>8365</v>
      </c>
      <c r="D212" s="2049">
        <v>6401.38</v>
      </c>
      <c r="E212" s="2050">
        <f t="shared" si="13"/>
        <v>7.0667021569729071E-4</v>
      </c>
      <c r="F212" s="2050">
        <f t="shared" si="14"/>
        <v>0.91506169715345242</v>
      </c>
    </row>
    <row r="213" spans="1:6" s="2062" customFormat="1" ht="30" x14ac:dyDescent="0.2">
      <c r="A213" s="2051" t="s">
        <v>22</v>
      </c>
      <c r="B213" s="2051" t="s">
        <v>5715</v>
      </c>
      <c r="C213" s="2048" t="s">
        <v>5716</v>
      </c>
      <c r="D213" s="2049">
        <v>6276.55</v>
      </c>
      <c r="E213" s="2050">
        <f t="shared" si="13"/>
        <v>6.9288980537553311E-4</v>
      </c>
      <c r="F213" s="2050">
        <f t="shared" si="14"/>
        <v>0.91575458695882794</v>
      </c>
    </row>
    <row r="214" spans="1:6" s="2062" customFormat="1" ht="15" x14ac:dyDescent="0.2">
      <c r="A214" s="2047" t="s">
        <v>22</v>
      </c>
      <c r="B214" s="2051" t="s">
        <v>7264</v>
      </c>
      <c r="C214" s="2048" t="s">
        <v>6214</v>
      </c>
      <c r="D214" s="2049">
        <v>6276</v>
      </c>
      <c r="E214" s="2050">
        <f t="shared" si="13"/>
        <v>6.9282908899584103E-4</v>
      </c>
      <c r="F214" s="2050">
        <f t="shared" si="14"/>
        <v>0.91644741604782376</v>
      </c>
    </row>
    <row r="215" spans="1:6" s="2062" customFormat="1" ht="30" x14ac:dyDescent="0.2">
      <c r="A215" s="2051" t="s">
        <v>22</v>
      </c>
      <c r="B215" s="2051" t="s">
        <v>9028</v>
      </c>
      <c r="C215" s="2048" t="s">
        <v>9025</v>
      </c>
      <c r="D215" s="2049">
        <v>6128.4</v>
      </c>
      <c r="E215" s="2050">
        <f t="shared" si="13"/>
        <v>6.7653502055482978E-4</v>
      </c>
      <c r="F215" s="2050">
        <f t="shared" si="14"/>
        <v>0.91712395106837863</v>
      </c>
    </row>
    <row r="216" spans="1:6" s="2062" customFormat="1" ht="15" x14ac:dyDescent="0.2">
      <c r="A216" s="2047" t="s">
        <v>22</v>
      </c>
      <c r="B216" s="2051" t="s">
        <v>5893</v>
      </c>
      <c r="C216" s="2048" t="s">
        <v>5892</v>
      </c>
      <c r="D216" s="2049">
        <v>6109.8</v>
      </c>
      <c r="E216" s="2050">
        <f t="shared" si="13"/>
        <v>6.7448170298706016E-4</v>
      </c>
      <c r="F216" s="2050">
        <f t="shared" si="14"/>
        <v>0.91779843277136564</v>
      </c>
    </row>
    <row r="217" spans="1:6" s="2062" customFormat="1" ht="15" x14ac:dyDescent="0.2">
      <c r="A217" s="2051" t="s">
        <v>22</v>
      </c>
      <c r="B217" s="2051" t="s">
        <v>7242</v>
      </c>
      <c r="C217" s="2048" t="s">
        <v>7228</v>
      </c>
      <c r="D217" s="2049">
        <v>6039</v>
      </c>
      <c r="E217" s="2050">
        <f t="shared" si="13"/>
        <v>6.6666584901942062E-4</v>
      </c>
      <c r="F217" s="2050">
        <f t="shared" si="14"/>
        <v>0.91846509862038506</v>
      </c>
    </row>
    <row r="218" spans="1:6" s="2062" customFormat="1" ht="45" x14ac:dyDescent="0.2">
      <c r="A218" s="2047" t="s">
        <v>22</v>
      </c>
      <c r="B218" s="2051" t="s">
        <v>7021</v>
      </c>
      <c r="C218" s="2048" t="s">
        <v>5993</v>
      </c>
      <c r="D218" s="2049">
        <v>6033.1</v>
      </c>
      <c r="E218" s="2050">
        <f t="shared" si="13"/>
        <v>6.6601452785545068E-4</v>
      </c>
      <c r="F218" s="2050">
        <f t="shared" si="14"/>
        <v>0.91913111314824048</v>
      </c>
    </row>
    <row r="219" spans="1:6" s="2062" customFormat="1" ht="45" x14ac:dyDescent="0.2">
      <c r="A219" s="2051" t="s">
        <v>22</v>
      </c>
      <c r="B219" s="2051" t="s">
        <v>6735</v>
      </c>
      <c r="C219" s="2048" t="s">
        <v>15026</v>
      </c>
      <c r="D219" s="2049">
        <v>5934.12</v>
      </c>
      <c r="E219" s="2050">
        <f t="shared" si="13"/>
        <v>6.5508778737922242E-4</v>
      </c>
      <c r="F219" s="2050">
        <f t="shared" si="14"/>
        <v>0.91978620093561969</v>
      </c>
    </row>
    <row r="220" spans="1:6" s="2062" customFormat="1" ht="30" x14ac:dyDescent="0.2">
      <c r="A220" s="2047" t="s">
        <v>22</v>
      </c>
      <c r="B220" s="2051" t="s">
        <v>6727</v>
      </c>
      <c r="C220" s="2048" t="s">
        <v>5712</v>
      </c>
      <c r="D220" s="2049">
        <v>5880.2</v>
      </c>
      <c r="E220" s="2050">
        <f t="shared" si="13"/>
        <v>6.4913537430104275E-4</v>
      </c>
      <c r="F220" s="2050">
        <f t="shared" si="14"/>
        <v>0.92043533630992069</v>
      </c>
    </row>
    <row r="221" spans="1:6" s="2062" customFormat="1" ht="30" x14ac:dyDescent="0.2">
      <c r="A221" s="2051" t="s">
        <v>22</v>
      </c>
      <c r="B221" s="2051" t="s">
        <v>8594</v>
      </c>
      <c r="C221" s="2053" t="s">
        <v>8595</v>
      </c>
      <c r="D221" s="2049">
        <v>5871.79</v>
      </c>
      <c r="E221" s="2050">
        <f t="shared" si="13"/>
        <v>6.4820696565884143E-4</v>
      </c>
      <c r="F221" s="2050">
        <f t="shared" si="14"/>
        <v>0.92108354327557951</v>
      </c>
    </row>
    <row r="222" spans="1:6" s="2006" customFormat="1" ht="30" x14ac:dyDescent="0.2">
      <c r="A222" s="2004" t="s">
        <v>15149</v>
      </c>
      <c r="B222" s="2004" t="s">
        <v>0</v>
      </c>
      <c r="C222" s="2004" t="s">
        <v>1</v>
      </c>
      <c r="D222" s="1990" t="s">
        <v>130</v>
      </c>
      <c r="E222" s="1989" t="s">
        <v>15139</v>
      </c>
      <c r="F222" s="1990" t="s">
        <v>15140</v>
      </c>
    </row>
    <row r="223" spans="1:6" s="2062" customFormat="1" ht="15" x14ac:dyDescent="0.2">
      <c r="A223" s="2047" t="s">
        <v>22</v>
      </c>
      <c r="B223" s="2051" t="s">
        <v>6292</v>
      </c>
      <c r="C223" s="2048" t="s">
        <v>6270</v>
      </c>
      <c r="D223" s="2049">
        <v>5813.37</v>
      </c>
      <c r="E223" s="2050">
        <f t="shared" ref="E223:E256" si="15">D223/SUM(D:D)</f>
        <v>6.4175778220136267E-4</v>
      </c>
      <c r="F223" s="2050">
        <f>E223+F221</f>
        <v>0.92172530105778083</v>
      </c>
    </row>
    <row r="224" spans="1:6" s="2062" customFormat="1" ht="15" x14ac:dyDescent="0.2">
      <c r="A224" s="2051" t="s">
        <v>22</v>
      </c>
      <c r="B224" s="2051" t="s">
        <v>7215</v>
      </c>
      <c r="C224" s="2048" t="s">
        <v>6134</v>
      </c>
      <c r="D224" s="2049">
        <v>5772</v>
      </c>
      <c r="E224" s="2050">
        <f t="shared" si="15"/>
        <v>6.3719080651433941E-4</v>
      </c>
      <c r="F224" s="2050">
        <f>E224+F223</f>
        <v>0.9223624918642952</v>
      </c>
    </row>
    <row r="225" spans="1:6" s="2062" customFormat="1" ht="30" x14ac:dyDescent="0.2">
      <c r="A225" s="2047" t="s">
        <v>22</v>
      </c>
      <c r="B225" s="2051" t="s">
        <v>7867</v>
      </c>
      <c r="C225" s="2048" t="s">
        <v>7872</v>
      </c>
      <c r="D225" s="2049">
        <v>5725.55</v>
      </c>
      <c r="E225" s="2050">
        <f t="shared" si="15"/>
        <v>6.3206303226579625E-4</v>
      </c>
      <c r="F225" s="2050">
        <f t="shared" ref="F225:F256" si="16">E225+F224</f>
        <v>0.92299455489656101</v>
      </c>
    </row>
    <row r="226" spans="1:6" s="2062" customFormat="1" ht="60" x14ac:dyDescent="0.2">
      <c r="A226" s="2051" t="s">
        <v>22</v>
      </c>
      <c r="B226" s="2051" t="s">
        <v>7128</v>
      </c>
      <c r="C226" s="2048" t="s">
        <v>6169</v>
      </c>
      <c r="D226" s="2049">
        <v>5659.72</v>
      </c>
      <c r="E226" s="2050">
        <f t="shared" si="15"/>
        <v>6.2479583358373821E-4</v>
      </c>
      <c r="F226" s="2050">
        <f t="shared" si="16"/>
        <v>0.92361935073014478</v>
      </c>
    </row>
    <row r="227" spans="1:6" s="2062" customFormat="1" ht="15" x14ac:dyDescent="0.2">
      <c r="A227" s="2047" t="s">
        <v>22</v>
      </c>
      <c r="B227" s="2051" t="s">
        <v>6293</v>
      </c>
      <c r="C227" s="2048" t="s">
        <v>7226</v>
      </c>
      <c r="D227" s="2049">
        <v>5632.2</v>
      </c>
      <c r="E227" s="2050">
        <f t="shared" si="15"/>
        <v>6.2175780673078007E-4</v>
      </c>
      <c r="F227" s="2050">
        <f t="shared" si="16"/>
        <v>0.92424110853687558</v>
      </c>
    </row>
    <row r="228" spans="1:6" s="2062" customFormat="1" ht="30" x14ac:dyDescent="0.2">
      <c r="A228" s="2051" t="s">
        <v>22</v>
      </c>
      <c r="B228" s="2051" t="s">
        <v>7119</v>
      </c>
      <c r="C228" s="2048" t="s">
        <v>9057</v>
      </c>
      <c r="D228" s="2049">
        <v>5594.91</v>
      </c>
      <c r="E228" s="2050">
        <f t="shared" si="15"/>
        <v>6.1764123618765466E-4</v>
      </c>
      <c r="F228" s="2050">
        <f t="shared" si="16"/>
        <v>0.92485874977306326</v>
      </c>
    </row>
    <row r="229" spans="1:6" s="2062" customFormat="1" ht="45" x14ac:dyDescent="0.2">
      <c r="A229" s="2047" t="s">
        <v>22</v>
      </c>
      <c r="B229" s="2051" t="s">
        <v>9021</v>
      </c>
      <c r="C229" s="2048" t="s">
        <v>9018</v>
      </c>
      <c r="D229" s="2049">
        <v>5527.12</v>
      </c>
      <c r="E229" s="2050">
        <f t="shared" si="15"/>
        <v>6.1015766640705742E-4</v>
      </c>
      <c r="F229" s="2050">
        <f t="shared" si="16"/>
        <v>0.9254689074394703</v>
      </c>
    </row>
    <row r="230" spans="1:6" s="2062" customFormat="1" ht="30" x14ac:dyDescent="0.2">
      <c r="A230" s="2051" t="s">
        <v>22</v>
      </c>
      <c r="B230" s="2051" t="s">
        <v>15014</v>
      </c>
      <c r="C230" s="2048" t="s">
        <v>8274</v>
      </c>
      <c r="D230" s="2049">
        <v>5495.38</v>
      </c>
      <c r="E230" s="2050">
        <f t="shared" si="15"/>
        <v>6.0665377933173431E-4</v>
      </c>
      <c r="F230" s="2050">
        <f t="shared" si="16"/>
        <v>0.92607556121880208</v>
      </c>
    </row>
    <row r="231" spans="1:6" s="2062" customFormat="1" ht="30" x14ac:dyDescent="0.2">
      <c r="A231" s="2047" t="s">
        <v>22</v>
      </c>
      <c r="B231" s="2051" t="s">
        <v>7011</v>
      </c>
      <c r="C231" s="2048" t="s">
        <v>6152</v>
      </c>
      <c r="D231" s="2049">
        <v>5409.12</v>
      </c>
      <c r="E231" s="2050">
        <f t="shared" si="15"/>
        <v>5.9713124312765829E-4</v>
      </c>
      <c r="F231" s="2050">
        <f t="shared" si="16"/>
        <v>0.92667269246192974</v>
      </c>
    </row>
    <row r="232" spans="1:6" s="2062" customFormat="1" ht="30" x14ac:dyDescent="0.2">
      <c r="A232" s="2051" t="s">
        <v>22</v>
      </c>
      <c r="B232" s="2051" t="s">
        <v>7866</v>
      </c>
      <c r="C232" s="2048" t="s">
        <v>7865</v>
      </c>
      <c r="D232" s="2049">
        <v>5346.82</v>
      </c>
      <c r="E232" s="2050">
        <f t="shared" si="15"/>
        <v>5.9025373320980602E-4</v>
      </c>
      <c r="F232" s="2050">
        <f t="shared" si="16"/>
        <v>0.92726294619513949</v>
      </c>
    </row>
    <row r="233" spans="1:6" s="2062" customFormat="1" ht="15" x14ac:dyDescent="0.2">
      <c r="A233" s="2047" t="s">
        <v>22</v>
      </c>
      <c r="B233" s="2051" t="s">
        <v>7061</v>
      </c>
      <c r="C233" s="2048" t="s">
        <v>8999</v>
      </c>
      <c r="D233" s="2049">
        <v>5260.14</v>
      </c>
      <c r="E233" s="2050">
        <f t="shared" si="15"/>
        <v>5.8068483177032876E-4</v>
      </c>
      <c r="F233" s="2050">
        <f t="shared" si="16"/>
        <v>0.92784363102690981</v>
      </c>
    </row>
    <row r="234" spans="1:6" s="2062" customFormat="1" ht="30" x14ac:dyDescent="0.2">
      <c r="A234" s="2051" t="s">
        <v>22</v>
      </c>
      <c r="B234" s="2051" t="s">
        <v>7501</v>
      </c>
      <c r="C234" s="2048" t="s">
        <v>6067</v>
      </c>
      <c r="D234" s="2049">
        <v>5255.77</v>
      </c>
      <c r="E234" s="2050">
        <f t="shared" si="15"/>
        <v>5.8020241253532051E-4</v>
      </c>
      <c r="F234" s="2050">
        <f t="shared" si="16"/>
        <v>0.92842383343944512</v>
      </c>
    </row>
    <row r="235" spans="1:6" s="2062" customFormat="1" ht="15" x14ac:dyDescent="0.2">
      <c r="A235" s="2047" t="s">
        <v>22</v>
      </c>
      <c r="B235" s="2051" t="s">
        <v>15097</v>
      </c>
      <c r="C235" s="2048" t="s">
        <v>7198</v>
      </c>
      <c r="D235" s="2049">
        <v>5254.2</v>
      </c>
      <c r="E235" s="2050">
        <f t="shared" si="15"/>
        <v>5.8002909486965383E-4</v>
      </c>
      <c r="F235" s="2050">
        <f t="shared" si="16"/>
        <v>0.92900386253431477</v>
      </c>
    </row>
    <row r="236" spans="1:6" s="2062" customFormat="1" ht="30" x14ac:dyDescent="0.2">
      <c r="A236" s="2051" t="s">
        <v>22</v>
      </c>
      <c r="B236" s="2051" t="s">
        <v>6666</v>
      </c>
      <c r="C236" s="2048" t="s">
        <v>15032</v>
      </c>
      <c r="D236" s="2049">
        <v>5247.91</v>
      </c>
      <c r="E236" s="2050">
        <f t="shared" si="15"/>
        <v>5.7933472027281126E-4</v>
      </c>
      <c r="F236" s="2050">
        <f t="shared" si="16"/>
        <v>0.9295831972545876</v>
      </c>
    </row>
    <row r="237" spans="1:6" s="2062" customFormat="1" ht="15" x14ac:dyDescent="0.2">
      <c r="A237" s="2047" t="s">
        <v>22</v>
      </c>
      <c r="B237" s="2051" t="s">
        <v>6742</v>
      </c>
      <c r="C237" s="2048" t="s">
        <v>7831</v>
      </c>
      <c r="D237" s="2049">
        <v>5245.82</v>
      </c>
      <c r="E237" s="2050">
        <f t="shared" si="15"/>
        <v>5.7910399802998122E-4</v>
      </c>
      <c r="F237" s="2050">
        <f t="shared" si="16"/>
        <v>0.93016230125261756</v>
      </c>
    </row>
    <row r="238" spans="1:6" s="2062" customFormat="1" ht="30" x14ac:dyDescent="0.2">
      <c r="A238" s="2051" t="s">
        <v>22</v>
      </c>
      <c r="B238" s="2051" t="s">
        <v>7444</v>
      </c>
      <c r="C238" s="2048" t="s">
        <v>7442</v>
      </c>
      <c r="D238" s="2049">
        <v>5242.1099999999997</v>
      </c>
      <c r="E238" s="2050">
        <f t="shared" si="15"/>
        <v>5.7869443845060355E-4</v>
      </c>
      <c r="F238" s="2050">
        <f t="shared" si="16"/>
        <v>0.93074099569106816</v>
      </c>
    </row>
    <row r="239" spans="1:6" s="2062" customFormat="1" ht="30" x14ac:dyDescent="0.2">
      <c r="A239" s="2047" t="s">
        <v>22</v>
      </c>
      <c r="B239" s="2051" t="s">
        <v>7051</v>
      </c>
      <c r="C239" s="2048" t="s">
        <v>8339</v>
      </c>
      <c r="D239" s="2049">
        <v>5184.43</v>
      </c>
      <c r="E239" s="2050">
        <f t="shared" si="15"/>
        <v>5.7232694612216505E-4</v>
      </c>
      <c r="F239" s="2050">
        <f t="shared" si="16"/>
        <v>0.93131332263719036</v>
      </c>
    </row>
    <row r="240" spans="1:6" s="2062" customFormat="1" ht="30" x14ac:dyDescent="0.2">
      <c r="A240" s="2051" t="s">
        <v>22</v>
      </c>
      <c r="B240" s="2051" t="s">
        <v>7024</v>
      </c>
      <c r="C240" s="2048" t="s">
        <v>5997</v>
      </c>
      <c r="D240" s="2049">
        <v>5103</v>
      </c>
      <c r="E240" s="2050">
        <f t="shared" si="15"/>
        <v>5.6333761012520342E-4</v>
      </c>
      <c r="F240" s="2050">
        <f t="shared" si="16"/>
        <v>0.93187666024731552</v>
      </c>
    </row>
    <row r="241" spans="1:6" s="2062" customFormat="1" ht="45" x14ac:dyDescent="0.2">
      <c r="A241" s="2047" t="s">
        <v>22</v>
      </c>
      <c r="B241" s="2051" t="s">
        <v>5694</v>
      </c>
      <c r="C241" s="2048" t="s">
        <v>5690</v>
      </c>
      <c r="D241" s="2049">
        <v>5073.51</v>
      </c>
      <c r="E241" s="2050">
        <f t="shared" si="15"/>
        <v>5.600821082395298E-4</v>
      </c>
      <c r="F241" s="2050">
        <f t="shared" si="16"/>
        <v>0.93243674235555507</v>
      </c>
    </row>
    <row r="242" spans="1:6" s="2062" customFormat="1" ht="15" x14ac:dyDescent="0.2">
      <c r="A242" s="2051" t="s">
        <v>22</v>
      </c>
      <c r="B242" s="2051" t="s">
        <v>6961</v>
      </c>
      <c r="C242" s="2048" t="s">
        <v>5923</v>
      </c>
      <c r="D242" s="2049">
        <v>5053.72</v>
      </c>
      <c r="E242" s="2050">
        <f t="shared" si="15"/>
        <v>5.5789742250478996E-4</v>
      </c>
      <c r="F242" s="2050">
        <f t="shared" si="16"/>
        <v>0.93299463977805985</v>
      </c>
    </row>
    <row r="243" spans="1:6" s="2062" customFormat="1" ht="30" x14ac:dyDescent="0.2">
      <c r="A243" s="2047" t="s">
        <v>22</v>
      </c>
      <c r="B243" s="2051" t="s">
        <v>5773</v>
      </c>
      <c r="C243" s="2048" t="s">
        <v>5779</v>
      </c>
      <c r="D243" s="2049">
        <v>5052.3999999999996</v>
      </c>
      <c r="E243" s="2050">
        <f t="shared" si="15"/>
        <v>5.5775170319352879E-4</v>
      </c>
      <c r="F243" s="2050">
        <f t="shared" si="16"/>
        <v>0.93355239148125335</v>
      </c>
    </row>
    <row r="244" spans="1:6" s="2062" customFormat="1" ht="45" x14ac:dyDescent="0.2">
      <c r="A244" s="2051" t="s">
        <v>22</v>
      </c>
      <c r="B244" s="2051" t="s">
        <v>7738</v>
      </c>
      <c r="C244" s="2048" t="s">
        <v>7789</v>
      </c>
      <c r="D244" s="2049">
        <v>5049.8500000000004</v>
      </c>
      <c r="E244" s="2050">
        <f t="shared" si="15"/>
        <v>5.5747019997859273E-4</v>
      </c>
      <c r="F244" s="2050">
        <f t="shared" si="16"/>
        <v>0.93410986168123189</v>
      </c>
    </row>
    <row r="245" spans="1:6" s="2062" customFormat="1" ht="15" x14ac:dyDescent="0.2">
      <c r="A245" s="2047" t="s">
        <v>22</v>
      </c>
      <c r="B245" s="2051" t="s">
        <v>7882</v>
      </c>
      <c r="C245" s="2048" t="s">
        <v>15018</v>
      </c>
      <c r="D245" s="2049">
        <v>5043.84</v>
      </c>
      <c r="E245" s="2050">
        <f t="shared" si="15"/>
        <v>5.5680673553868429E-4</v>
      </c>
      <c r="F245" s="2050">
        <f t="shared" si="16"/>
        <v>0.9346666684167706</v>
      </c>
    </row>
    <row r="246" spans="1:6" s="2062" customFormat="1" ht="15" x14ac:dyDescent="0.2">
      <c r="A246" s="2051" t="s">
        <v>22</v>
      </c>
      <c r="B246" s="2051" t="s">
        <v>7202</v>
      </c>
      <c r="C246" s="2048" t="s">
        <v>6280</v>
      </c>
      <c r="D246" s="2049">
        <v>4976.0200000000004</v>
      </c>
      <c r="E246" s="2050">
        <f t="shared" si="15"/>
        <v>5.4931985395555844E-4</v>
      </c>
      <c r="F246" s="2050">
        <f t="shared" si="16"/>
        <v>0.93521598827072616</v>
      </c>
    </row>
    <row r="247" spans="1:6" s="2062" customFormat="1" ht="45" x14ac:dyDescent="0.2">
      <c r="A247" s="2047" t="s">
        <v>22</v>
      </c>
      <c r="B247" s="2051" t="s">
        <v>15142</v>
      </c>
      <c r="C247" s="2048" t="s">
        <v>15144</v>
      </c>
      <c r="D247" s="2049">
        <v>4852.08</v>
      </c>
      <c r="E247" s="2050">
        <f t="shared" si="15"/>
        <v>5.3563769377548438E-4</v>
      </c>
      <c r="F247" s="2050">
        <f t="shared" si="16"/>
        <v>0.93575162596450168</v>
      </c>
    </row>
    <row r="248" spans="1:6" s="2062" customFormat="1" ht="30" x14ac:dyDescent="0.2">
      <c r="A248" s="2051" t="s">
        <v>22</v>
      </c>
      <c r="B248" s="2051" t="s">
        <v>7340</v>
      </c>
      <c r="C248" s="2053" t="s">
        <v>7686</v>
      </c>
      <c r="D248" s="2049">
        <v>4807.6099999999997</v>
      </c>
      <c r="E248" s="2050">
        <f t="shared" si="15"/>
        <v>5.3072849849383286E-4</v>
      </c>
      <c r="F248" s="2050">
        <f t="shared" si="16"/>
        <v>0.93628235446299546</v>
      </c>
    </row>
    <row r="249" spans="1:6" s="2062" customFormat="1" ht="15" x14ac:dyDescent="0.2">
      <c r="A249" s="2047" t="s">
        <v>22</v>
      </c>
      <c r="B249" s="2051" t="s">
        <v>7304</v>
      </c>
      <c r="C249" s="2048" t="s">
        <v>7307</v>
      </c>
      <c r="D249" s="2049">
        <v>4785.66</v>
      </c>
      <c r="E249" s="2050">
        <f t="shared" si="15"/>
        <v>5.2830536297702937E-4</v>
      </c>
      <c r="F249" s="2050">
        <f t="shared" si="16"/>
        <v>0.93681065982597245</v>
      </c>
    </row>
    <row r="250" spans="1:6" s="2062" customFormat="1" ht="15" x14ac:dyDescent="0.2">
      <c r="A250" s="2051" t="s">
        <v>22</v>
      </c>
      <c r="B250" s="2051" t="s">
        <v>9022</v>
      </c>
      <c r="C250" s="2048" t="s">
        <v>9019</v>
      </c>
      <c r="D250" s="2049">
        <v>4759.6400000000003</v>
      </c>
      <c r="E250" s="2050">
        <f t="shared" si="15"/>
        <v>5.254329262505043E-4</v>
      </c>
      <c r="F250" s="2050">
        <f t="shared" si="16"/>
        <v>0.93733609275222296</v>
      </c>
    </row>
    <row r="251" spans="1:6" s="2062" customFormat="1" ht="30" x14ac:dyDescent="0.2">
      <c r="A251" s="2047" t="s">
        <v>22</v>
      </c>
      <c r="B251" s="2051" t="s">
        <v>6246</v>
      </c>
      <c r="C251" s="2048" t="s">
        <v>6243</v>
      </c>
      <c r="D251" s="2049">
        <v>4706.13</v>
      </c>
      <c r="E251" s="2050">
        <f t="shared" si="15"/>
        <v>5.1952577447354959E-4</v>
      </c>
      <c r="F251" s="2050">
        <f t="shared" si="16"/>
        <v>0.93785561852669652</v>
      </c>
    </row>
    <row r="252" spans="1:6" s="2062" customFormat="1" ht="30" x14ac:dyDescent="0.2">
      <c r="A252" s="2051" t="s">
        <v>22</v>
      </c>
      <c r="B252" s="2051" t="s">
        <v>6017</v>
      </c>
      <c r="C252" s="2048" t="s">
        <v>6008</v>
      </c>
      <c r="D252" s="2049">
        <v>4690.26</v>
      </c>
      <c r="E252" s="2050">
        <f t="shared" si="15"/>
        <v>5.1777383093588804E-4</v>
      </c>
      <c r="F252" s="2050">
        <f t="shared" si="16"/>
        <v>0.9383733923576324</v>
      </c>
    </row>
    <row r="253" spans="1:6" s="2062" customFormat="1" ht="15" x14ac:dyDescent="0.2">
      <c r="A253" s="2047" t="s">
        <v>22</v>
      </c>
      <c r="B253" s="2051" t="s">
        <v>6872</v>
      </c>
      <c r="C253" s="2048" t="s">
        <v>6865</v>
      </c>
      <c r="D253" s="2049">
        <v>4668.72</v>
      </c>
      <c r="E253" s="2050">
        <f t="shared" si="15"/>
        <v>5.1539595672030962E-4</v>
      </c>
      <c r="F253" s="2050">
        <f t="shared" si="16"/>
        <v>0.93888878831435274</v>
      </c>
    </row>
    <row r="254" spans="1:6" s="2062" customFormat="1" ht="45" x14ac:dyDescent="0.2">
      <c r="A254" s="2051" t="s">
        <v>22</v>
      </c>
      <c r="B254" s="2051" t="s">
        <v>7421</v>
      </c>
      <c r="C254" s="2048" t="s">
        <v>7412</v>
      </c>
      <c r="D254" s="2049">
        <v>4590.88</v>
      </c>
      <c r="E254" s="2050">
        <f t="shared" si="15"/>
        <v>5.0680293309261098E-4</v>
      </c>
      <c r="F254" s="2050">
        <f t="shared" si="16"/>
        <v>0.93939559124744532</v>
      </c>
    </row>
    <row r="255" spans="1:6" s="2062" customFormat="1" ht="15" x14ac:dyDescent="0.2">
      <c r="A255" s="2047" t="s">
        <v>22</v>
      </c>
      <c r="B255" s="2051" t="s">
        <v>6294</v>
      </c>
      <c r="C255" s="2048" t="s">
        <v>6277</v>
      </c>
      <c r="D255" s="2049">
        <v>4478.9399999999996</v>
      </c>
      <c r="E255" s="2050">
        <f t="shared" si="15"/>
        <v>4.9444549392400124E-4</v>
      </c>
      <c r="F255" s="2050">
        <f t="shared" si="16"/>
        <v>0.93989003674136928</v>
      </c>
    </row>
    <row r="256" spans="1:6" s="2062" customFormat="1" ht="15" x14ac:dyDescent="0.2">
      <c r="A256" s="2051" t="s">
        <v>22</v>
      </c>
      <c r="B256" s="2051" t="s">
        <v>9486</v>
      </c>
      <c r="C256" s="2048" t="s">
        <v>9485</v>
      </c>
      <c r="D256" s="2049">
        <v>4442.5600000000004</v>
      </c>
      <c r="E256" s="2050">
        <f t="shared" si="15"/>
        <v>4.9042938139091203E-4</v>
      </c>
      <c r="F256" s="2050">
        <f t="shared" si="16"/>
        <v>0.94038046612276016</v>
      </c>
    </row>
    <row r="257" spans="1:6" s="2006" customFormat="1" ht="30" x14ac:dyDescent="0.2">
      <c r="A257" s="2004" t="s">
        <v>15149</v>
      </c>
      <c r="B257" s="2004" t="s">
        <v>0</v>
      </c>
      <c r="C257" s="2004" t="s">
        <v>1</v>
      </c>
      <c r="D257" s="1990" t="s">
        <v>130</v>
      </c>
      <c r="E257" s="1989" t="s">
        <v>15139</v>
      </c>
      <c r="F257" s="1990" t="s">
        <v>15140</v>
      </c>
    </row>
    <row r="258" spans="1:6" s="2062" customFormat="1" ht="30" x14ac:dyDescent="0.2">
      <c r="A258" s="2047" t="s">
        <v>22</v>
      </c>
      <c r="B258" s="2051" t="s">
        <v>5759</v>
      </c>
      <c r="C258" s="2048" t="s">
        <v>5760</v>
      </c>
      <c r="D258" s="2049">
        <v>4437.12</v>
      </c>
      <c r="E258" s="2050">
        <f t="shared" ref="E258:E293" si="17">D258/SUM(D:D)</f>
        <v>4.8982884119904812E-4</v>
      </c>
      <c r="F258" s="2050">
        <f>E258+F256</f>
        <v>0.94087029496395924</v>
      </c>
    </row>
    <row r="259" spans="1:6" s="2062" customFormat="1" ht="30" x14ac:dyDescent="0.2">
      <c r="A259" s="2051" t="s">
        <v>22</v>
      </c>
      <c r="B259" s="2051" t="s">
        <v>7828</v>
      </c>
      <c r="C259" s="2048" t="s">
        <v>7832</v>
      </c>
      <c r="D259" s="2049">
        <v>4287.12</v>
      </c>
      <c r="E259" s="2050">
        <f t="shared" si="17"/>
        <v>4.7326982855574405E-4</v>
      </c>
      <c r="F259" s="2050">
        <f>E259+F258</f>
        <v>0.94134356479251502</v>
      </c>
    </row>
    <row r="260" spans="1:6" s="2062" customFormat="1" ht="30" x14ac:dyDescent="0.2">
      <c r="A260" s="2047" t="s">
        <v>22</v>
      </c>
      <c r="B260" s="2051" t="s">
        <v>7049</v>
      </c>
      <c r="C260" s="2048" t="s">
        <v>8951</v>
      </c>
      <c r="D260" s="2049">
        <v>4212.13</v>
      </c>
      <c r="E260" s="2050">
        <f t="shared" si="17"/>
        <v>4.6499142616826826E-4</v>
      </c>
      <c r="F260" s="2050">
        <f t="shared" ref="F260:F280" si="18">E260+F259</f>
        <v>0.94180855621868331</v>
      </c>
    </row>
    <row r="261" spans="1:6" s="2062" customFormat="1" ht="30" x14ac:dyDescent="0.2">
      <c r="A261" s="2051" t="s">
        <v>22</v>
      </c>
      <c r="B261" s="2051" t="s">
        <v>7037</v>
      </c>
      <c r="C261" s="2048" t="s">
        <v>8941</v>
      </c>
      <c r="D261" s="2049">
        <v>4172.63</v>
      </c>
      <c r="E261" s="2050">
        <f t="shared" si="17"/>
        <v>4.6063088617219824E-4</v>
      </c>
      <c r="F261" s="2050">
        <f t="shared" si="18"/>
        <v>0.94226918710485552</v>
      </c>
    </row>
    <row r="262" spans="1:6" s="2062" customFormat="1" ht="30" x14ac:dyDescent="0.2">
      <c r="A262" s="2047" t="s">
        <v>22</v>
      </c>
      <c r="B262" s="2051" t="s">
        <v>5774</v>
      </c>
      <c r="C262" s="2048" t="s">
        <v>5771</v>
      </c>
      <c r="D262" s="2049">
        <v>4142.74</v>
      </c>
      <c r="E262" s="2050">
        <f t="shared" si="17"/>
        <v>4.5733122691947578E-4</v>
      </c>
      <c r="F262" s="2050">
        <f t="shared" si="18"/>
        <v>0.94272651833177501</v>
      </c>
    </row>
    <row r="263" spans="1:6" s="2062" customFormat="1" ht="30" x14ac:dyDescent="0.2">
      <c r="A263" s="2051" t="s">
        <v>22</v>
      </c>
      <c r="B263" s="2051" t="s">
        <v>15098</v>
      </c>
      <c r="C263" s="2048" t="s">
        <v>7390</v>
      </c>
      <c r="D263" s="2049">
        <v>4042.62</v>
      </c>
      <c r="E263" s="2050">
        <f t="shared" si="17"/>
        <v>4.4627863794715846E-4</v>
      </c>
      <c r="F263" s="2050">
        <f t="shared" si="18"/>
        <v>0.94317279696972212</v>
      </c>
    </row>
    <row r="264" spans="1:6" s="2062" customFormat="1" ht="15" x14ac:dyDescent="0.2">
      <c r="A264" s="2047" t="s">
        <v>22</v>
      </c>
      <c r="B264" s="2051" t="s">
        <v>7266</v>
      </c>
      <c r="C264" s="2048" t="s">
        <v>6215</v>
      </c>
      <c r="D264" s="2049">
        <v>4041.92</v>
      </c>
      <c r="E264" s="2050">
        <f t="shared" si="17"/>
        <v>4.462013625548231E-4</v>
      </c>
      <c r="F264" s="2050">
        <f t="shared" si="18"/>
        <v>0.94361899833227691</v>
      </c>
    </row>
    <row r="265" spans="1:6" s="2062" customFormat="1" ht="15" x14ac:dyDescent="0.2">
      <c r="A265" s="2051" t="s">
        <v>22</v>
      </c>
      <c r="B265" s="2051" t="s">
        <v>6741</v>
      </c>
      <c r="C265" s="2048" t="s">
        <v>7830</v>
      </c>
      <c r="D265" s="2049">
        <v>3986.79</v>
      </c>
      <c r="E265" s="2050">
        <f t="shared" si="17"/>
        <v>4.4011537344132071E-4</v>
      </c>
      <c r="F265" s="2050">
        <f t="shared" si="18"/>
        <v>0.94405911370571827</v>
      </c>
    </row>
    <row r="266" spans="1:6" s="2062" customFormat="1" ht="30" x14ac:dyDescent="0.2">
      <c r="A266" s="2047" t="s">
        <v>22</v>
      </c>
      <c r="B266" s="2051" t="s">
        <v>7118</v>
      </c>
      <c r="C266" s="2048" t="s">
        <v>7109</v>
      </c>
      <c r="D266" s="2049">
        <v>3984.66</v>
      </c>
      <c r="E266" s="2050">
        <f t="shared" si="17"/>
        <v>4.3988023546178578E-4</v>
      </c>
      <c r="F266" s="2050">
        <f t="shared" si="18"/>
        <v>0.94449899394118009</v>
      </c>
    </row>
    <row r="267" spans="1:6" s="2062" customFormat="1" ht="45" x14ac:dyDescent="0.2">
      <c r="A267" s="2051" t="s">
        <v>22</v>
      </c>
      <c r="B267" s="2051" t="s">
        <v>6256</v>
      </c>
      <c r="C267" s="2048" t="s">
        <v>6252</v>
      </c>
      <c r="D267" s="2049">
        <v>3959.58</v>
      </c>
      <c r="E267" s="2050">
        <f t="shared" si="17"/>
        <v>4.3711156854782537E-4</v>
      </c>
      <c r="F267" s="2050">
        <f t="shared" si="18"/>
        <v>0.94493610550972795</v>
      </c>
    </row>
    <row r="268" spans="1:6" s="2062" customFormat="1" ht="15" x14ac:dyDescent="0.2">
      <c r="A268" s="2047" t="s">
        <v>22</v>
      </c>
      <c r="B268" s="2051" t="s">
        <v>7023</v>
      </c>
      <c r="C268" s="2048" t="s">
        <v>5996</v>
      </c>
      <c r="D268" s="2049">
        <v>3902.4</v>
      </c>
      <c r="E268" s="2050">
        <f t="shared" si="17"/>
        <v>4.3079927292819788E-4</v>
      </c>
      <c r="F268" s="2050">
        <f t="shared" si="18"/>
        <v>0.94536690478265617</v>
      </c>
    </row>
    <row r="269" spans="1:6" s="2062" customFormat="1" ht="15" x14ac:dyDescent="0.2">
      <c r="A269" s="2051" t="s">
        <v>22</v>
      </c>
      <c r="B269" s="2051" t="s">
        <v>7762</v>
      </c>
      <c r="C269" s="2048" t="s">
        <v>7624</v>
      </c>
      <c r="D269" s="2049">
        <v>3867</v>
      </c>
      <c r="E269" s="2050">
        <f t="shared" si="17"/>
        <v>4.2689134594437811E-4</v>
      </c>
      <c r="F269" s="2050">
        <f t="shared" si="18"/>
        <v>0.94579379612860059</v>
      </c>
    </row>
    <row r="270" spans="1:6" s="2062" customFormat="1" ht="15" x14ac:dyDescent="0.2">
      <c r="A270" s="2047" t="s">
        <v>22</v>
      </c>
      <c r="B270" s="2051" t="s">
        <v>7241</v>
      </c>
      <c r="C270" s="2048" t="s">
        <v>6276</v>
      </c>
      <c r="D270" s="2049">
        <v>3831.94</v>
      </c>
      <c r="E270" s="2050">
        <f t="shared" si="17"/>
        <v>4.2302095272254986E-4</v>
      </c>
      <c r="F270" s="2050">
        <f t="shared" si="18"/>
        <v>0.9462168170813231</v>
      </c>
    </row>
    <row r="271" spans="1:6" s="2062" customFormat="1" ht="30" x14ac:dyDescent="0.2">
      <c r="A271" s="2051" t="s">
        <v>22</v>
      </c>
      <c r="B271" s="2051" t="s">
        <v>6930</v>
      </c>
      <c r="C271" s="2048" t="s">
        <v>8585</v>
      </c>
      <c r="D271" s="2049">
        <v>3810.41</v>
      </c>
      <c r="E271" s="2050">
        <f t="shared" si="17"/>
        <v>4.206441824411476E-4</v>
      </c>
      <c r="F271" s="2050">
        <f t="shared" si="18"/>
        <v>0.94663746126376425</v>
      </c>
    </row>
    <row r="272" spans="1:6" s="2062" customFormat="1" ht="15" x14ac:dyDescent="0.2">
      <c r="A272" s="2047" t="s">
        <v>22</v>
      </c>
      <c r="B272" s="2051" t="s">
        <v>7261</v>
      </c>
      <c r="C272" s="2048" t="s">
        <v>6213</v>
      </c>
      <c r="D272" s="2049">
        <v>3750.25</v>
      </c>
      <c r="E272" s="2050">
        <f t="shared" si="17"/>
        <v>4.1400291443700649E-4</v>
      </c>
      <c r="F272" s="2050">
        <f t="shared" si="18"/>
        <v>0.9470514641782013</v>
      </c>
    </row>
    <row r="273" spans="1:6" s="2062" customFormat="1" ht="30" x14ac:dyDescent="0.2">
      <c r="A273" s="2051" t="s">
        <v>22</v>
      </c>
      <c r="B273" s="2051" t="s">
        <v>7233</v>
      </c>
      <c r="C273" s="2048" t="s">
        <v>7210</v>
      </c>
      <c r="D273" s="2049">
        <v>3739.32</v>
      </c>
      <c r="E273" s="2050">
        <f t="shared" si="17"/>
        <v>4.1279631438239772E-4</v>
      </c>
      <c r="F273" s="2050">
        <f t="shared" si="18"/>
        <v>0.9474642604925837</v>
      </c>
    </row>
    <row r="274" spans="1:6" s="2062" customFormat="1" ht="30" x14ac:dyDescent="0.2">
      <c r="A274" s="2047" t="s">
        <v>22</v>
      </c>
      <c r="B274" s="2051" t="s">
        <v>8908</v>
      </c>
      <c r="C274" s="2048" t="s">
        <v>8906</v>
      </c>
      <c r="D274" s="2049">
        <v>3689.22</v>
      </c>
      <c r="E274" s="2050">
        <f t="shared" si="17"/>
        <v>4.0726560415953417E-4</v>
      </c>
      <c r="F274" s="2050">
        <f t="shared" si="18"/>
        <v>0.94787152609674319</v>
      </c>
    </row>
    <row r="275" spans="1:6" s="2062" customFormat="1" ht="30" x14ac:dyDescent="0.2">
      <c r="A275" s="2051" t="s">
        <v>22</v>
      </c>
      <c r="B275" s="2051" t="s">
        <v>7331</v>
      </c>
      <c r="C275" s="2048" t="s">
        <v>7329</v>
      </c>
      <c r="D275" s="2049">
        <v>3679.56</v>
      </c>
      <c r="E275" s="2050">
        <f t="shared" si="17"/>
        <v>4.061992037453054E-4</v>
      </c>
      <c r="F275" s="2050">
        <f t="shared" si="18"/>
        <v>0.94827772530048848</v>
      </c>
    </row>
    <row r="276" spans="1:6" s="2062" customFormat="1" ht="15" x14ac:dyDescent="0.2">
      <c r="A276" s="2047" t="s">
        <v>22</v>
      </c>
      <c r="B276" s="2051" t="s">
        <v>7323</v>
      </c>
      <c r="C276" s="2048" t="s">
        <v>7307</v>
      </c>
      <c r="D276" s="2049">
        <v>3667.56</v>
      </c>
      <c r="E276" s="2050">
        <f t="shared" si="17"/>
        <v>4.0487448273384107E-4</v>
      </c>
      <c r="F276" s="2050">
        <f t="shared" si="18"/>
        <v>0.94868259978322234</v>
      </c>
    </row>
    <row r="277" spans="1:6" s="2062" customFormat="1" ht="30" x14ac:dyDescent="0.2">
      <c r="A277" s="2051" t="s">
        <v>22</v>
      </c>
      <c r="B277" s="2053" t="s">
        <v>7341</v>
      </c>
      <c r="C277" s="2053" t="s">
        <v>7339</v>
      </c>
      <c r="D277" s="2049">
        <v>3604.17</v>
      </c>
      <c r="E277" s="2050">
        <f t="shared" si="17"/>
        <v>3.9787664399078081E-4</v>
      </c>
      <c r="F277" s="2050">
        <f t="shared" si="18"/>
        <v>0.94908047642721316</v>
      </c>
    </row>
    <row r="278" spans="1:6" s="2062" customFormat="1" ht="15" x14ac:dyDescent="0.2">
      <c r="A278" s="2047" t="s">
        <v>22</v>
      </c>
      <c r="B278" s="2051" t="s">
        <v>15094</v>
      </c>
      <c r="C278" s="2048" t="s">
        <v>8990</v>
      </c>
      <c r="D278" s="2049">
        <v>3552.83</v>
      </c>
      <c r="E278" s="2050">
        <f t="shared" si="17"/>
        <v>3.9220904593006593E-4</v>
      </c>
      <c r="F278" s="2050">
        <f t="shared" si="18"/>
        <v>0.94947268547314323</v>
      </c>
    </row>
    <row r="279" spans="1:6" s="2062" customFormat="1" ht="30" x14ac:dyDescent="0.2">
      <c r="A279" s="2051" t="s">
        <v>22</v>
      </c>
      <c r="B279" s="2051" t="s">
        <v>6009</v>
      </c>
      <c r="C279" s="2048" t="s">
        <v>9471</v>
      </c>
      <c r="D279" s="2049">
        <v>3519.18</v>
      </c>
      <c r="E279" s="2050">
        <f t="shared" si="17"/>
        <v>3.8849430742708468E-4</v>
      </c>
      <c r="F279" s="2050">
        <f t="shared" si="18"/>
        <v>0.94986117978057027</v>
      </c>
    </row>
    <row r="280" spans="1:6" s="2062" customFormat="1" ht="15" x14ac:dyDescent="0.2">
      <c r="A280" s="2047" t="s">
        <v>22</v>
      </c>
      <c r="B280" s="2051" t="s">
        <v>7381</v>
      </c>
      <c r="C280" s="2048" t="s">
        <v>7367</v>
      </c>
      <c r="D280" s="2049">
        <v>3481.39</v>
      </c>
      <c r="E280" s="2050">
        <f t="shared" si="17"/>
        <v>3.843225401751483E-4</v>
      </c>
      <c r="F280" s="2050">
        <f t="shared" si="18"/>
        <v>0.95024550232074545</v>
      </c>
    </row>
    <row r="281" spans="1:6" s="2036" customFormat="1" ht="45" x14ac:dyDescent="0.2">
      <c r="A281" s="2054" t="s">
        <v>5184</v>
      </c>
      <c r="B281" s="2054" t="s">
        <v>7299</v>
      </c>
      <c r="C281" s="2055" t="s">
        <v>7303</v>
      </c>
      <c r="D281" s="2056">
        <v>3477.5</v>
      </c>
      <c r="E281" s="2057">
        <f t="shared" si="17"/>
        <v>3.8389310978059863E-4</v>
      </c>
      <c r="F281" s="2057">
        <f>E281+F280</f>
        <v>0.95062939543052605</v>
      </c>
    </row>
    <row r="282" spans="1:6" s="2036" customFormat="1" ht="15" x14ac:dyDescent="0.2">
      <c r="A282" s="2054" t="s">
        <v>5184</v>
      </c>
      <c r="B282" s="2054" t="s">
        <v>7034</v>
      </c>
      <c r="C282" s="2055" t="s">
        <v>7035</v>
      </c>
      <c r="D282" s="2056">
        <v>3459.2</v>
      </c>
      <c r="E282" s="2057">
        <f t="shared" si="17"/>
        <v>3.8187291023811552E-4</v>
      </c>
      <c r="F282" s="2057">
        <f t="shared" ref="F282:F293" si="19">E282+F281</f>
        <v>0.95101126834076422</v>
      </c>
    </row>
    <row r="283" spans="1:6" s="2036" customFormat="1" ht="30" x14ac:dyDescent="0.2">
      <c r="A283" s="2054" t="s">
        <v>5184</v>
      </c>
      <c r="B283" s="2054" t="s">
        <v>7292</v>
      </c>
      <c r="C283" s="2055" t="s">
        <v>7291</v>
      </c>
      <c r="D283" s="2056">
        <v>3445.09</v>
      </c>
      <c r="E283" s="2057">
        <f t="shared" si="17"/>
        <v>3.8031525911546877E-4</v>
      </c>
      <c r="F283" s="2057">
        <f t="shared" si="19"/>
        <v>0.95139158359987963</v>
      </c>
    </row>
    <row r="284" spans="1:6" s="2036" customFormat="1" ht="15" x14ac:dyDescent="0.2">
      <c r="A284" s="2054" t="s">
        <v>5184</v>
      </c>
      <c r="B284" s="2054" t="s">
        <v>7059</v>
      </c>
      <c r="C284" s="2055" t="s">
        <v>14977</v>
      </c>
      <c r="D284" s="2056">
        <v>3427.6</v>
      </c>
      <c r="E284" s="2057">
        <f t="shared" si="17"/>
        <v>3.7838447824125947E-4</v>
      </c>
      <c r="F284" s="2057">
        <f t="shared" si="19"/>
        <v>0.95176996807812086</v>
      </c>
    </row>
    <row r="285" spans="1:6" s="2036" customFormat="1" ht="15" x14ac:dyDescent="0.2">
      <c r="A285" s="2054" t="s">
        <v>5184</v>
      </c>
      <c r="B285" s="2054" t="s">
        <v>7839</v>
      </c>
      <c r="C285" s="2055" t="s">
        <v>7727</v>
      </c>
      <c r="D285" s="2056">
        <v>3400.32</v>
      </c>
      <c r="E285" s="2057">
        <f t="shared" si="17"/>
        <v>3.7537294580853063E-4</v>
      </c>
      <c r="F285" s="2057">
        <f t="shared" si="19"/>
        <v>0.95214534102392945</v>
      </c>
    </row>
    <row r="286" spans="1:6" s="2036" customFormat="1" ht="30" x14ac:dyDescent="0.2">
      <c r="A286" s="2054" t="s">
        <v>5184</v>
      </c>
      <c r="B286" s="2054" t="s">
        <v>6062</v>
      </c>
      <c r="C286" s="2055" t="s">
        <v>8900</v>
      </c>
      <c r="D286" s="2056">
        <v>3335.64</v>
      </c>
      <c r="E286" s="2057">
        <f t="shared" si="17"/>
        <v>3.6823269955673786E-4</v>
      </c>
      <c r="F286" s="2057">
        <f t="shared" si="19"/>
        <v>0.95251357372348622</v>
      </c>
    </row>
    <row r="287" spans="1:6" s="2036" customFormat="1" ht="30" x14ac:dyDescent="0.2">
      <c r="A287" s="2054" t="s">
        <v>5184</v>
      </c>
      <c r="B287" s="2054" t="s">
        <v>7500</v>
      </c>
      <c r="C287" s="2055" t="s">
        <v>6066</v>
      </c>
      <c r="D287" s="2056">
        <v>3305.67</v>
      </c>
      <c r="E287" s="2057">
        <f t="shared" si="17"/>
        <v>3.6492420883060578E-4</v>
      </c>
      <c r="F287" s="2057">
        <f t="shared" si="19"/>
        <v>0.95287849793231683</v>
      </c>
    </row>
    <row r="288" spans="1:6" s="2036" customFormat="1" ht="15" x14ac:dyDescent="0.2">
      <c r="A288" s="2054" t="s">
        <v>5184</v>
      </c>
      <c r="B288" s="2054" t="s">
        <v>7864</v>
      </c>
      <c r="C288" s="2055" t="s">
        <v>7863</v>
      </c>
      <c r="D288" s="2056">
        <v>3287</v>
      </c>
      <c r="E288" s="2057">
        <f t="shared" si="17"/>
        <v>3.6286316372360249E-4</v>
      </c>
      <c r="F288" s="2057">
        <f t="shared" si="19"/>
        <v>0.95324136109604041</v>
      </c>
    </row>
    <row r="289" spans="1:6" s="2036" customFormat="1" ht="30" x14ac:dyDescent="0.2">
      <c r="A289" s="2054" t="s">
        <v>5184</v>
      </c>
      <c r="B289" s="2054" t="s">
        <v>6877</v>
      </c>
      <c r="C289" s="2055" t="s">
        <v>7553</v>
      </c>
      <c r="D289" s="2056">
        <v>3270.53</v>
      </c>
      <c r="E289" s="2057">
        <f t="shared" si="17"/>
        <v>3.6104498413536774E-4</v>
      </c>
      <c r="F289" s="2057">
        <f t="shared" si="19"/>
        <v>0.95360240608017577</v>
      </c>
    </row>
    <row r="290" spans="1:6" s="2036" customFormat="1" ht="15" x14ac:dyDescent="0.2">
      <c r="A290" s="2054" t="s">
        <v>5184</v>
      </c>
      <c r="B290" s="2054" t="s">
        <v>6059</v>
      </c>
      <c r="C290" s="2055" t="s">
        <v>6055</v>
      </c>
      <c r="D290" s="2056">
        <v>3269.12</v>
      </c>
      <c r="E290" s="2057">
        <f t="shared" si="17"/>
        <v>3.6088932941652063E-4</v>
      </c>
      <c r="F290" s="2057">
        <f t="shared" si="19"/>
        <v>0.95396329540959224</v>
      </c>
    </row>
    <row r="291" spans="1:6" s="2036" customFormat="1" ht="30" x14ac:dyDescent="0.2">
      <c r="A291" s="2054" t="s">
        <v>5184</v>
      </c>
      <c r="B291" s="2054" t="s">
        <v>8952</v>
      </c>
      <c r="C291" s="2055" t="s">
        <v>8328</v>
      </c>
      <c r="D291" s="2056">
        <v>3266.85</v>
      </c>
      <c r="E291" s="2057">
        <f t="shared" si="17"/>
        <v>3.6063873635851863E-4</v>
      </c>
      <c r="F291" s="2057">
        <f t="shared" si="19"/>
        <v>0.95432393414595074</v>
      </c>
    </row>
    <row r="292" spans="1:6" s="2036" customFormat="1" ht="30" x14ac:dyDescent="0.2">
      <c r="A292" s="2054" t="s">
        <v>5184</v>
      </c>
      <c r="B292" s="2054" t="s">
        <v>7240</v>
      </c>
      <c r="C292" s="2055" t="s">
        <v>7491</v>
      </c>
      <c r="D292" s="2056">
        <v>3239.88</v>
      </c>
      <c r="E292" s="2057">
        <f t="shared" si="17"/>
        <v>3.5766142588525263E-4</v>
      </c>
      <c r="F292" s="2057">
        <f t="shared" si="19"/>
        <v>0.95468159557183596</v>
      </c>
    </row>
    <row r="293" spans="1:6" s="2036" customFormat="1" ht="30" x14ac:dyDescent="0.2">
      <c r="A293" s="2054" t="s">
        <v>5184</v>
      </c>
      <c r="B293" s="2054" t="s">
        <v>6788</v>
      </c>
      <c r="C293" s="2055" t="s">
        <v>5895</v>
      </c>
      <c r="D293" s="2056">
        <v>3213.77</v>
      </c>
      <c r="E293" s="2057">
        <f t="shared" si="17"/>
        <v>3.5477905375114145E-4</v>
      </c>
      <c r="F293" s="2057">
        <f t="shared" si="19"/>
        <v>0.9550363746255871</v>
      </c>
    </row>
    <row r="294" spans="1:6" s="2006" customFormat="1" ht="30" x14ac:dyDescent="0.2">
      <c r="A294" s="2004" t="s">
        <v>15149</v>
      </c>
      <c r="B294" s="2004" t="s">
        <v>0</v>
      </c>
      <c r="C294" s="2004" t="s">
        <v>1</v>
      </c>
      <c r="D294" s="1990" t="s">
        <v>130</v>
      </c>
      <c r="E294" s="1989" t="s">
        <v>15139</v>
      </c>
      <c r="F294" s="1990" t="s">
        <v>15140</v>
      </c>
    </row>
    <row r="295" spans="1:6" s="2036" customFormat="1" ht="30" x14ac:dyDescent="0.2">
      <c r="A295" s="2054" t="s">
        <v>5184</v>
      </c>
      <c r="B295" s="2054" t="s">
        <v>7014</v>
      </c>
      <c r="C295" s="2055" t="s">
        <v>7010</v>
      </c>
      <c r="D295" s="2056">
        <v>3187.92</v>
      </c>
      <c r="E295" s="2057">
        <f t="shared" ref="E295:E333" si="20">D295/SUM(D:D)</f>
        <v>3.5192538390561211E-4</v>
      </c>
      <c r="F295" s="2057">
        <f>E295+F293</f>
        <v>0.95538830000949271</v>
      </c>
    </row>
    <row r="296" spans="1:6" s="2064" customFormat="1" ht="30" x14ac:dyDescent="0.2">
      <c r="A296" s="2054" t="s">
        <v>5184</v>
      </c>
      <c r="B296" s="2054" t="s">
        <v>7300</v>
      </c>
      <c r="C296" s="2055" t="s">
        <v>7310</v>
      </c>
      <c r="D296" s="2056">
        <v>3112.68</v>
      </c>
      <c r="E296" s="2057">
        <f t="shared" si="20"/>
        <v>3.4361938316373076E-4</v>
      </c>
      <c r="F296" s="2057">
        <f>E296+F295</f>
        <v>0.95573191939265645</v>
      </c>
    </row>
    <row r="297" spans="1:6" s="2036" customFormat="1" ht="15" x14ac:dyDescent="0.2">
      <c r="A297" s="2054" t="s">
        <v>5184</v>
      </c>
      <c r="B297" s="2054" t="s">
        <v>7816</v>
      </c>
      <c r="C297" s="2055" t="s">
        <v>5914</v>
      </c>
      <c r="D297" s="2056">
        <v>3047.36</v>
      </c>
      <c r="E297" s="2057">
        <f t="shared" si="20"/>
        <v>3.3640848512465996E-4</v>
      </c>
      <c r="F297" s="2057">
        <f>E297+F296</f>
        <v>0.95606832787778107</v>
      </c>
    </row>
    <row r="298" spans="1:6" s="2064" customFormat="1" ht="30" x14ac:dyDescent="0.2">
      <c r="A298" s="2054" t="s">
        <v>5184</v>
      </c>
      <c r="B298" s="2054" t="s">
        <v>7380</v>
      </c>
      <c r="C298" s="2055" t="s">
        <v>7365</v>
      </c>
      <c r="D298" s="2056">
        <v>3046.3</v>
      </c>
      <c r="E298" s="2057">
        <f t="shared" si="20"/>
        <v>3.3629146810198064E-4</v>
      </c>
      <c r="F298" s="2057">
        <f t="shared" ref="F298:F333" si="21">E298+F297</f>
        <v>0.95640461934588306</v>
      </c>
    </row>
    <row r="299" spans="1:6" s="2036" customFormat="1" ht="15" x14ac:dyDescent="0.2">
      <c r="A299" s="2054" t="s">
        <v>5184</v>
      </c>
      <c r="B299" s="2054" t="s">
        <v>6242</v>
      </c>
      <c r="C299" s="2055" t="s">
        <v>7377</v>
      </c>
      <c r="D299" s="2056">
        <v>3018.92</v>
      </c>
      <c r="E299" s="2057">
        <f t="shared" si="20"/>
        <v>3.3326889632748951E-4</v>
      </c>
      <c r="F299" s="2057">
        <f t="shared" si="21"/>
        <v>0.95673788824221051</v>
      </c>
    </row>
    <row r="300" spans="1:6" s="2036" customFormat="1" ht="15" x14ac:dyDescent="0.2">
      <c r="A300" s="2054" t="s">
        <v>5184</v>
      </c>
      <c r="B300" s="2054" t="s">
        <v>7324</v>
      </c>
      <c r="C300" s="2055" t="s">
        <v>7308</v>
      </c>
      <c r="D300" s="2056">
        <v>2973.6</v>
      </c>
      <c r="E300" s="2057">
        <f t="shared" si="20"/>
        <v>3.2826586664085923E-4</v>
      </c>
      <c r="F300" s="2057">
        <f t="shared" si="21"/>
        <v>0.95706615410885132</v>
      </c>
    </row>
    <row r="301" spans="1:6" s="2036" customFormat="1" ht="15" x14ac:dyDescent="0.2">
      <c r="A301" s="2054" t="s">
        <v>5184</v>
      </c>
      <c r="B301" s="2054" t="s">
        <v>7479</v>
      </c>
      <c r="C301" s="2055" t="s">
        <v>6025</v>
      </c>
      <c r="D301" s="2056">
        <v>2948.78</v>
      </c>
      <c r="E301" s="2057">
        <f t="shared" si="20"/>
        <v>3.255259020154806E-4</v>
      </c>
      <c r="F301" s="2057">
        <f t="shared" si="21"/>
        <v>0.95739168001086683</v>
      </c>
    </row>
    <row r="302" spans="1:6" s="2036" customFormat="1" ht="30" x14ac:dyDescent="0.2">
      <c r="A302" s="2054" t="s">
        <v>5184</v>
      </c>
      <c r="B302" s="2054" t="s">
        <v>7013</v>
      </c>
      <c r="C302" s="2055" t="s">
        <v>7009</v>
      </c>
      <c r="D302" s="2056">
        <v>2939.58</v>
      </c>
      <c r="E302" s="2057">
        <f t="shared" si="20"/>
        <v>3.2451028257335791E-4</v>
      </c>
      <c r="F302" s="2057">
        <f t="shared" si="21"/>
        <v>0.95771619029344024</v>
      </c>
    </row>
    <row r="303" spans="1:6" s="2036" customFormat="1" ht="30" x14ac:dyDescent="0.2">
      <c r="A303" s="2054" t="s">
        <v>5184</v>
      </c>
      <c r="B303" s="2054" t="s">
        <v>7111</v>
      </c>
      <c r="C303" s="2055" t="s">
        <v>7104</v>
      </c>
      <c r="D303" s="2056">
        <v>2938.32</v>
      </c>
      <c r="E303" s="2057">
        <f t="shared" si="20"/>
        <v>3.2437118686715418E-4</v>
      </c>
      <c r="F303" s="2057">
        <f t="shared" si="21"/>
        <v>0.95804056148030736</v>
      </c>
    </row>
    <row r="304" spans="1:6" s="2036" customFormat="1" ht="30" x14ac:dyDescent="0.2">
      <c r="A304" s="2054" t="s">
        <v>5184</v>
      </c>
      <c r="B304" s="2054" t="s">
        <v>7065</v>
      </c>
      <c r="C304" s="2055" t="s">
        <v>6142</v>
      </c>
      <c r="D304" s="2056">
        <v>2930.46</v>
      </c>
      <c r="E304" s="2057">
        <f t="shared" si="20"/>
        <v>3.2350349460464505E-4</v>
      </c>
      <c r="F304" s="2057">
        <f t="shared" si="21"/>
        <v>0.958364064974912</v>
      </c>
    </row>
    <row r="305" spans="1:6" s="2036" customFormat="1" ht="15" x14ac:dyDescent="0.2">
      <c r="A305" s="2054" t="s">
        <v>5184</v>
      </c>
      <c r="B305" s="2054" t="s">
        <v>6776</v>
      </c>
      <c r="C305" s="2055" t="s">
        <v>5790</v>
      </c>
      <c r="D305" s="2056">
        <v>2877.38</v>
      </c>
      <c r="E305" s="2057">
        <f t="shared" si="20"/>
        <v>3.1764381199726787E-4</v>
      </c>
      <c r="F305" s="2057">
        <f t="shared" si="21"/>
        <v>0.95868170878690928</v>
      </c>
    </row>
    <row r="306" spans="1:6" s="2036" customFormat="1" ht="15" x14ac:dyDescent="0.2">
      <c r="A306" s="2054" t="s">
        <v>5184</v>
      </c>
      <c r="B306" s="2054" t="s">
        <v>7391</v>
      </c>
      <c r="C306" s="2055" t="s">
        <v>7372</v>
      </c>
      <c r="D306" s="2056">
        <v>2857.56</v>
      </c>
      <c r="E306" s="2057">
        <f t="shared" si="20"/>
        <v>3.1545581445999925E-4</v>
      </c>
      <c r="F306" s="2057">
        <f t="shared" si="21"/>
        <v>0.9589971646013693</v>
      </c>
    </row>
    <row r="307" spans="1:6" s="2036" customFormat="1" ht="15" x14ac:dyDescent="0.2">
      <c r="A307" s="2054" t="s">
        <v>5184</v>
      </c>
      <c r="B307" s="2054" t="s">
        <v>6852</v>
      </c>
      <c r="C307" s="2055" t="s">
        <v>6847</v>
      </c>
      <c r="D307" s="2056">
        <v>2822.82</v>
      </c>
      <c r="E307" s="2057">
        <f t="shared" si="20"/>
        <v>3.1162074713181006E-4</v>
      </c>
      <c r="F307" s="2057">
        <f t="shared" si="21"/>
        <v>0.95930878534850106</v>
      </c>
    </row>
    <row r="308" spans="1:6" s="2036" customFormat="1" ht="15" x14ac:dyDescent="0.2">
      <c r="A308" s="2054" t="s">
        <v>5184</v>
      </c>
      <c r="B308" s="2054" t="s">
        <v>7480</v>
      </c>
      <c r="C308" s="2055" t="s">
        <v>6026</v>
      </c>
      <c r="D308" s="2056">
        <v>2758.43</v>
      </c>
      <c r="E308" s="2057">
        <f t="shared" si="20"/>
        <v>3.045125149711277E-4</v>
      </c>
      <c r="F308" s="2057">
        <f t="shared" si="21"/>
        <v>0.95961329786347216</v>
      </c>
    </row>
    <row r="309" spans="1:6" s="2036" customFormat="1" ht="15" x14ac:dyDescent="0.2">
      <c r="A309" s="2054" t="s">
        <v>5184</v>
      </c>
      <c r="B309" s="2054" t="s">
        <v>7552</v>
      </c>
      <c r="C309" s="2055" t="s">
        <v>6127</v>
      </c>
      <c r="D309" s="2056">
        <v>2748.72</v>
      </c>
      <c r="E309" s="2057">
        <f t="shared" si="20"/>
        <v>3.0344059488601781E-4</v>
      </c>
      <c r="F309" s="2057">
        <f t="shared" si="21"/>
        <v>0.95991673845835823</v>
      </c>
    </row>
    <row r="310" spans="1:6" s="2036" customFormat="1" ht="15" x14ac:dyDescent="0.2">
      <c r="A310" s="2054" t="s">
        <v>5184</v>
      </c>
      <c r="B310" s="2054" t="s">
        <v>7386</v>
      </c>
      <c r="C310" s="2055" t="s">
        <v>7370</v>
      </c>
      <c r="D310" s="2056">
        <v>2746.8</v>
      </c>
      <c r="E310" s="2057">
        <f t="shared" si="20"/>
        <v>3.0322863952418356E-4</v>
      </c>
      <c r="F310" s="2057">
        <f t="shared" si="21"/>
        <v>0.96021996709788238</v>
      </c>
    </row>
    <row r="311" spans="1:6" s="2036" customFormat="1" ht="15" x14ac:dyDescent="0.2">
      <c r="A311" s="2054" t="s">
        <v>5184</v>
      </c>
      <c r="B311" s="2054" t="s">
        <v>7379</v>
      </c>
      <c r="C311" s="2055" t="s">
        <v>7378</v>
      </c>
      <c r="D311" s="2056">
        <v>2719.28</v>
      </c>
      <c r="E311" s="2057">
        <f t="shared" si="20"/>
        <v>3.0019061267122542E-4</v>
      </c>
      <c r="F311" s="2057">
        <f t="shared" si="21"/>
        <v>0.96052015771055366</v>
      </c>
    </row>
    <row r="312" spans="1:6" s="2036" customFormat="1" ht="30" x14ac:dyDescent="0.2">
      <c r="A312" s="2054" t="s">
        <v>5184</v>
      </c>
      <c r="B312" s="2054" t="s">
        <v>7029</v>
      </c>
      <c r="C312" s="2055" t="s">
        <v>6002</v>
      </c>
      <c r="D312" s="2056">
        <v>2675.16</v>
      </c>
      <c r="E312" s="2057">
        <f t="shared" si="20"/>
        <v>2.9532005508574154E-4</v>
      </c>
      <c r="F312" s="2057">
        <f t="shared" si="21"/>
        <v>0.96081547776563936</v>
      </c>
    </row>
    <row r="313" spans="1:6" s="2036" customFormat="1" ht="45" x14ac:dyDescent="0.2">
      <c r="A313" s="2054" t="s">
        <v>5184</v>
      </c>
      <c r="B313" s="2054" t="s">
        <v>7132</v>
      </c>
      <c r="C313" s="2055" t="s">
        <v>6173</v>
      </c>
      <c r="D313" s="2056">
        <v>2617.1999999999998</v>
      </c>
      <c r="E313" s="2057">
        <f t="shared" si="20"/>
        <v>2.8892165260036885E-4</v>
      </c>
      <c r="F313" s="2057">
        <f t="shared" si="21"/>
        <v>0.96110439941823977</v>
      </c>
    </row>
    <row r="314" spans="1:6" s="2036" customFormat="1" ht="15" x14ac:dyDescent="0.2">
      <c r="A314" s="2054" t="s">
        <v>5184</v>
      </c>
      <c r="B314" s="2054" t="s">
        <v>7225</v>
      </c>
      <c r="C314" s="2055" t="s">
        <v>7154</v>
      </c>
      <c r="D314" s="2056">
        <v>2608.1999999999998</v>
      </c>
      <c r="E314" s="2057">
        <f t="shared" si="20"/>
        <v>2.8792811184177061E-4</v>
      </c>
      <c r="F314" s="2057">
        <f t="shared" si="21"/>
        <v>0.96139232753008153</v>
      </c>
    </row>
    <row r="315" spans="1:6" s="2036" customFormat="1" ht="30" x14ac:dyDescent="0.2">
      <c r="A315" s="2054" t="s">
        <v>5184</v>
      </c>
      <c r="B315" s="2054" t="s">
        <v>9386</v>
      </c>
      <c r="C315" s="2055" t="s">
        <v>9383</v>
      </c>
      <c r="D315" s="2056">
        <v>2582.9899999999998</v>
      </c>
      <c r="E315" s="2057">
        <f t="shared" si="20"/>
        <v>2.851450937835193E-4</v>
      </c>
      <c r="F315" s="2057">
        <f t="shared" si="21"/>
        <v>0.96167747262386505</v>
      </c>
    </row>
    <row r="316" spans="1:6" s="2036" customFormat="1" ht="15" x14ac:dyDescent="0.2">
      <c r="A316" s="2054" t="s">
        <v>5184</v>
      </c>
      <c r="B316" s="2054" t="s">
        <v>6854</v>
      </c>
      <c r="C316" s="2055" t="s">
        <v>6849</v>
      </c>
      <c r="D316" s="2056">
        <v>2581.65</v>
      </c>
      <c r="E316" s="2057">
        <f t="shared" si="20"/>
        <v>2.849971666039058E-4</v>
      </c>
      <c r="F316" s="2057">
        <f t="shared" si="21"/>
        <v>0.96196246979046895</v>
      </c>
    </row>
    <row r="317" spans="1:6" s="2036" customFormat="1" ht="60" x14ac:dyDescent="0.2">
      <c r="A317" s="2054" t="s">
        <v>5184</v>
      </c>
      <c r="B317" s="2054" t="s">
        <v>7012</v>
      </c>
      <c r="C317" s="2055" t="s">
        <v>8561</v>
      </c>
      <c r="D317" s="2056">
        <v>2580.48</v>
      </c>
      <c r="E317" s="2057">
        <f t="shared" si="20"/>
        <v>2.8486800630528802E-4</v>
      </c>
      <c r="F317" s="2057">
        <f t="shared" si="21"/>
        <v>0.96224733779677429</v>
      </c>
    </row>
    <row r="318" spans="1:6" s="2036" customFormat="1" ht="15" x14ac:dyDescent="0.2">
      <c r="A318" s="2054" t="s">
        <v>5184</v>
      </c>
      <c r="B318" s="2054" t="s">
        <v>7835</v>
      </c>
      <c r="C318" s="2055" t="s">
        <v>7836</v>
      </c>
      <c r="D318" s="2056">
        <v>2570.8000000000002</v>
      </c>
      <c r="E318" s="2057">
        <f t="shared" si="20"/>
        <v>2.8379939802270686E-4</v>
      </c>
      <c r="F318" s="2057">
        <f t="shared" si="21"/>
        <v>0.96253113719479699</v>
      </c>
    </row>
    <row r="319" spans="1:6" s="2036" customFormat="1" ht="15" x14ac:dyDescent="0.2">
      <c r="A319" s="2054" t="s">
        <v>5184</v>
      </c>
      <c r="B319" s="2054" t="s">
        <v>6871</v>
      </c>
      <c r="C319" s="2055" t="s">
        <v>6864</v>
      </c>
      <c r="D319" s="2056">
        <v>2556.1999999999998</v>
      </c>
      <c r="E319" s="2057">
        <f t="shared" si="20"/>
        <v>2.821876541254252E-4</v>
      </c>
      <c r="F319" s="2057">
        <f t="shared" si="21"/>
        <v>0.96281332484892246</v>
      </c>
    </row>
    <row r="320" spans="1:6" s="2036" customFormat="1" ht="30" x14ac:dyDescent="0.2">
      <c r="A320" s="2054" t="s">
        <v>5184</v>
      </c>
      <c r="B320" s="2054" t="s">
        <v>7509</v>
      </c>
      <c r="C320" s="2055" t="s">
        <v>6075</v>
      </c>
      <c r="D320" s="2056">
        <v>2502.5</v>
      </c>
      <c r="E320" s="2057">
        <f t="shared" si="20"/>
        <v>2.7625952759912238E-4</v>
      </c>
      <c r="F320" s="2057">
        <f t="shared" si="21"/>
        <v>0.96308958437652159</v>
      </c>
    </row>
    <row r="321" spans="1:6" s="2036" customFormat="1" ht="30" x14ac:dyDescent="0.2">
      <c r="A321" s="2054" t="s">
        <v>5184</v>
      </c>
      <c r="B321" s="2054" t="s">
        <v>7511</v>
      </c>
      <c r="C321" s="2055" t="s">
        <v>6077</v>
      </c>
      <c r="D321" s="2056">
        <v>2488.62</v>
      </c>
      <c r="E321" s="2057">
        <f t="shared" si="20"/>
        <v>2.7472726696252864E-4</v>
      </c>
      <c r="F321" s="2057">
        <f t="shared" si="21"/>
        <v>0.96336431164348413</v>
      </c>
    </row>
    <row r="322" spans="1:6" s="2036" customFormat="1" ht="30" x14ac:dyDescent="0.2">
      <c r="A322" s="2054" t="s">
        <v>5184</v>
      </c>
      <c r="B322" s="2054" t="s">
        <v>7445</v>
      </c>
      <c r="C322" s="2055" t="s">
        <v>7443</v>
      </c>
      <c r="D322" s="2056">
        <v>2483.67</v>
      </c>
      <c r="E322" s="2057">
        <f t="shared" si="20"/>
        <v>2.7418081954529963E-4</v>
      </c>
      <c r="F322" s="2057">
        <f t="shared" si="21"/>
        <v>0.96363849246302946</v>
      </c>
    </row>
    <row r="323" spans="1:6" s="2036" customFormat="1" ht="30" x14ac:dyDescent="0.2">
      <c r="A323" s="2054" t="s">
        <v>5184</v>
      </c>
      <c r="B323" s="2054" t="s">
        <v>7110</v>
      </c>
      <c r="C323" s="2055" t="s">
        <v>7103</v>
      </c>
      <c r="D323" s="2056">
        <v>2448.6</v>
      </c>
      <c r="E323" s="2057">
        <f t="shared" si="20"/>
        <v>2.703093223892951E-4</v>
      </c>
      <c r="F323" s="2057">
        <f t="shared" si="21"/>
        <v>0.96390880178541871</v>
      </c>
    </row>
    <row r="324" spans="1:6" s="2036" customFormat="1" ht="15" x14ac:dyDescent="0.2">
      <c r="A324" s="2054" t="s">
        <v>5184</v>
      </c>
      <c r="B324" s="2054" t="s">
        <v>6740</v>
      </c>
      <c r="C324" s="2055" t="s">
        <v>7829</v>
      </c>
      <c r="D324" s="2056">
        <v>2448.04</v>
      </c>
      <c r="E324" s="2057">
        <f t="shared" si="20"/>
        <v>2.702475020754268E-4</v>
      </c>
      <c r="F324" s="2057">
        <f t="shared" si="21"/>
        <v>0.96417904928749409</v>
      </c>
    </row>
    <row r="325" spans="1:6" s="2036" customFormat="1" ht="15" x14ac:dyDescent="0.2">
      <c r="A325" s="2054" t="s">
        <v>5184</v>
      </c>
      <c r="B325" s="2054" t="s">
        <v>6838</v>
      </c>
      <c r="C325" s="2055" t="s">
        <v>6814</v>
      </c>
      <c r="D325" s="2056">
        <v>2418.8000000000002</v>
      </c>
      <c r="E325" s="2057">
        <f t="shared" si="20"/>
        <v>2.6701959854415875E-4</v>
      </c>
      <c r="F325" s="2057">
        <f t="shared" si="21"/>
        <v>0.96444606888603823</v>
      </c>
    </row>
    <row r="326" spans="1:6" s="2036" customFormat="1" ht="15" x14ac:dyDescent="0.2">
      <c r="A326" s="2054" t="s">
        <v>5184</v>
      </c>
      <c r="B326" s="2054" t="s">
        <v>7387</v>
      </c>
      <c r="C326" s="2055" t="s">
        <v>7371</v>
      </c>
      <c r="D326" s="2056">
        <v>2406.48</v>
      </c>
      <c r="E326" s="2057">
        <f t="shared" si="20"/>
        <v>2.6565955163905536E-4</v>
      </c>
      <c r="F326" s="2057">
        <f t="shared" si="21"/>
        <v>0.96471172843767727</v>
      </c>
    </row>
    <row r="327" spans="1:6" s="2036" customFormat="1" ht="30" x14ac:dyDescent="0.2">
      <c r="A327" s="2054" t="s">
        <v>5184</v>
      </c>
      <c r="B327" s="2054" t="s">
        <v>9497</v>
      </c>
      <c r="C327" s="2055" t="s">
        <v>9509</v>
      </c>
      <c r="D327" s="2056">
        <v>2403.81</v>
      </c>
      <c r="E327" s="2057">
        <f t="shared" si="20"/>
        <v>2.6536480121400451E-4</v>
      </c>
      <c r="F327" s="2057">
        <f t="shared" si="21"/>
        <v>0.96497709323889125</v>
      </c>
    </row>
    <row r="328" spans="1:6" s="2036" customFormat="1" ht="15" x14ac:dyDescent="0.2">
      <c r="A328" s="2054" t="s">
        <v>5184</v>
      </c>
      <c r="B328" s="2054" t="s">
        <v>6821</v>
      </c>
      <c r="C328" s="2055" t="s">
        <v>6898</v>
      </c>
      <c r="D328" s="2056">
        <v>2400</v>
      </c>
      <c r="E328" s="2057">
        <f t="shared" si="20"/>
        <v>2.6494420229286462E-4</v>
      </c>
      <c r="F328" s="2057">
        <f t="shared" si="21"/>
        <v>0.96524203744118409</v>
      </c>
    </row>
    <row r="329" spans="1:6" s="2036" customFormat="1" ht="15" x14ac:dyDescent="0.2">
      <c r="A329" s="2054" t="s">
        <v>5184</v>
      </c>
      <c r="B329" s="2054" t="s">
        <v>15091</v>
      </c>
      <c r="C329" s="2055" t="s">
        <v>7187</v>
      </c>
      <c r="D329" s="2056">
        <v>2379.81</v>
      </c>
      <c r="E329" s="2057">
        <f t="shared" si="20"/>
        <v>2.6271535919107587E-4</v>
      </c>
      <c r="F329" s="2057">
        <f t="shared" si="21"/>
        <v>0.96550475280037518</v>
      </c>
    </row>
    <row r="330" spans="1:6" s="2036" customFormat="1" ht="15" x14ac:dyDescent="0.2">
      <c r="A330" s="2054" t="s">
        <v>5184</v>
      </c>
      <c r="B330" s="2054" t="s">
        <v>7229</v>
      </c>
      <c r="C330" s="2055" t="s">
        <v>7246</v>
      </c>
      <c r="D330" s="2056">
        <v>2368.4499999999998</v>
      </c>
      <c r="E330" s="2057">
        <f t="shared" si="20"/>
        <v>2.6146128996688963E-4</v>
      </c>
      <c r="F330" s="2057">
        <f t="shared" si="21"/>
        <v>0.96576621409034202</v>
      </c>
    </row>
    <row r="331" spans="1:6" s="2036" customFormat="1" ht="30" x14ac:dyDescent="0.2">
      <c r="A331" s="2054" t="s">
        <v>5184</v>
      </c>
      <c r="B331" s="2054" t="s">
        <v>15148</v>
      </c>
      <c r="C331" s="2055" t="s">
        <v>15146</v>
      </c>
      <c r="D331" s="2056">
        <v>2348.2399999999998</v>
      </c>
      <c r="E331" s="2057">
        <f t="shared" si="20"/>
        <v>2.5923023899674849E-4</v>
      </c>
      <c r="F331" s="2057">
        <f t="shared" si="21"/>
        <v>0.96602544432933879</v>
      </c>
    </row>
    <row r="332" spans="1:6" s="2036" customFormat="1" ht="15" x14ac:dyDescent="0.2">
      <c r="A332" s="2054" t="s">
        <v>5184</v>
      </c>
      <c r="B332" s="2054" t="s">
        <v>6963</v>
      </c>
      <c r="C332" s="2055" t="s">
        <v>5925</v>
      </c>
      <c r="D332" s="2056">
        <v>2323.64</v>
      </c>
      <c r="E332" s="2057">
        <f t="shared" si="20"/>
        <v>2.5651456092324666E-4</v>
      </c>
      <c r="F332" s="2057">
        <f t="shared" si="21"/>
        <v>0.96628195889026203</v>
      </c>
    </row>
    <row r="333" spans="1:6" s="2036" customFormat="1" ht="45" x14ac:dyDescent="0.2">
      <c r="A333" s="2054" t="s">
        <v>5184</v>
      </c>
      <c r="B333" s="2054" t="s">
        <v>6929</v>
      </c>
      <c r="C333" s="2055" t="s">
        <v>7731</v>
      </c>
      <c r="D333" s="2056">
        <v>2288.8000000000002</v>
      </c>
      <c r="E333" s="2057">
        <f t="shared" si="20"/>
        <v>2.5266845425329524E-4</v>
      </c>
      <c r="F333" s="2057">
        <f t="shared" si="21"/>
        <v>0.96653462734451534</v>
      </c>
    </row>
    <row r="334" spans="1:6" s="2006" customFormat="1" ht="30" x14ac:dyDescent="0.2">
      <c r="A334" s="2004" t="s">
        <v>15149</v>
      </c>
      <c r="B334" s="2004" t="s">
        <v>0</v>
      </c>
      <c r="C334" s="2004" t="s">
        <v>1</v>
      </c>
      <c r="D334" s="1990" t="s">
        <v>130</v>
      </c>
      <c r="E334" s="1989" t="s">
        <v>15139</v>
      </c>
      <c r="F334" s="1990" t="s">
        <v>15140</v>
      </c>
    </row>
    <row r="335" spans="1:6" s="2036" customFormat="1" ht="30" x14ac:dyDescent="0.2">
      <c r="A335" s="2054" t="s">
        <v>5184</v>
      </c>
      <c r="B335" s="2054" t="s">
        <v>7052</v>
      </c>
      <c r="C335" s="2055" t="s">
        <v>8347</v>
      </c>
      <c r="D335" s="2056">
        <v>2269.08</v>
      </c>
      <c r="E335" s="2057">
        <f t="shared" ref="E335:E374" si="22">D335/SUM(D:D)</f>
        <v>2.5049149605778885E-4</v>
      </c>
      <c r="F335" s="2057">
        <f>E335+F333</f>
        <v>0.96678511884057317</v>
      </c>
    </row>
    <row r="336" spans="1:6" s="2036" customFormat="1" ht="30" x14ac:dyDescent="0.2">
      <c r="A336" s="2054" t="s">
        <v>5184</v>
      </c>
      <c r="B336" s="2054" t="s">
        <v>9033</v>
      </c>
      <c r="C336" s="2055" t="s">
        <v>9031</v>
      </c>
      <c r="D336" s="2056">
        <v>2242.2399999999998</v>
      </c>
      <c r="E336" s="2057">
        <f t="shared" si="22"/>
        <v>2.4752853672881363E-4</v>
      </c>
      <c r="F336" s="2057">
        <f>E336+F335</f>
        <v>0.96703264737730199</v>
      </c>
    </row>
    <row r="337" spans="1:6" s="2036" customFormat="1" ht="15" x14ac:dyDescent="0.2">
      <c r="A337" s="2054" t="s">
        <v>5184</v>
      </c>
      <c r="B337" s="2054" t="s">
        <v>6965</v>
      </c>
      <c r="C337" s="2055" t="s">
        <v>5927</v>
      </c>
      <c r="D337" s="2056">
        <v>2209.65</v>
      </c>
      <c r="E337" s="2057">
        <f t="shared" si="22"/>
        <v>2.439308152485118E-4</v>
      </c>
      <c r="F337" s="2057">
        <f>E337+F336</f>
        <v>0.96727657819255053</v>
      </c>
    </row>
    <row r="338" spans="1:6" s="2036" customFormat="1" ht="15" x14ac:dyDescent="0.2">
      <c r="A338" s="2054" t="s">
        <v>5184</v>
      </c>
      <c r="B338" s="2054" t="s">
        <v>6255</v>
      </c>
      <c r="C338" s="2055" t="s">
        <v>6251</v>
      </c>
      <c r="D338" s="2056">
        <v>2186.3200000000002</v>
      </c>
      <c r="E338" s="2057">
        <f t="shared" si="22"/>
        <v>2.4135533681538993E-4</v>
      </c>
      <c r="F338" s="2057">
        <f t="shared" ref="F338:F377" si="23">E338+F337</f>
        <v>0.96751793352936588</v>
      </c>
    </row>
    <row r="339" spans="1:6" s="2036" customFormat="1" ht="15" x14ac:dyDescent="0.2">
      <c r="A339" s="2054" t="s">
        <v>5184</v>
      </c>
      <c r="B339" s="2054" t="s">
        <v>6288</v>
      </c>
      <c r="C339" s="2055" t="s">
        <v>6251</v>
      </c>
      <c r="D339" s="2056">
        <v>2186.3200000000002</v>
      </c>
      <c r="E339" s="2057">
        <f t="shared" si="22"/>
        <v>2.4135533681538993E-4</v>
      </c>
      <c r="F339" s="2057">
        <f t="shared" si="23"/>
        <v>0.96775928886618123</v>
      </c>
    </row>
    <row r="340" spans="1:6" s="2036" customFormat="1" ht="15" x14ac:dyDescent="0.2">
      <c r="A340" s="2054" t="s">
        <v>5184</v>
      </c>
      <c r="B340" s="2054" t="s">
        <v>7603</v>
      </c>
      <c r="C340" s="2055" t="s">
        <v>6230</v>
      </c>
      <c r="D340" s="2056">
        <v>2155.86</v>
      </c>
      <c r="E340" s="2057">
        <f t="shared" si="22"/>
        <v>2.3799275331462297E-4</v>
      </c>
      <c r="F340" s="2057">
        <f t="shared" si="23"/>
        <v>0.96799728161949583</v>
      </c>
    </row>
    <row r="341" spans="1:6" s="2036" customFormat="1" ht="30" x14ac:dyDescent="0.2">
      <c r="A341" s="2054" t="s">
        <v>5184</v>
      </c>
      <c r="B341" s="2054" t="s">
        <v>9038</v>
      </c>
      <c r="C341" s="2055" t="s">
        <v>9037</v>
      </c>
      <c r="D341" s="2056">
        <v>2126.25</v>
      </c>
      <c r="E341" s="2057">
        <f t="shared" si="22"/>
        <v>2.3472400421883474E-4</v>
      </c>
      <c r="F341" s="2057">
        <f t="shared" si="23"/>
        <v>0.9682320056237147</v>
      </c>
    </row>
    <row r="342" spans="1:6" s="2036" customFormat="1" ht="30" x14ac:dyDescent="0.2">
      <c r="A342" s="2054" t="s">
        <v>5184</v>
      </c>
      <c r="B342" s="2054" t="s">
        <v>7330</v>
      </c>
      <c r="C342" s="2055" t="s">
        <v>7302</v>
      </c>
      <c r="D342" s="2056">
        <v>2106</v>
      </c>
      <c r="E342" s="2057">
        <f t="shared" si="22"/>
        <v>2.3248853751198871E-4</v>
      </c>
      <c r="F342" s="2057">
        <f t="shared" si="23"/>
        <v>0.96846449416122671</v>
      </c>
    </row>
    <row r="343" spans="1:6" s="2036" customFormat="1" ht="15" x14ac:dyDescent="0.2">
      <c r="A343" s="2054" t="s">
        <v>5184</v>
      </c>
      <c r="B343" s="2054" t="s">
        <v>7041</v>
      </c>
      <c r="C343" s="2055" t="s">
        <v>6135</v>
      </c>
      <c r="D343" s="2056">
        <v>2101.5</v>
      </c>
      <c r="E343" s="2057">
        <f t="shared" si="22"/>
        <v>2.3199176713268959E-4</v>
      </c>
      <c r="F343" s="2057">
        <f t="shared" si="23"/>
        <v>0.96869648592835944</v>
      </c>
    </row>
    <row r="344" spans="1:6" s="2036" customFormat="1" ht="15" x14ac:dyDescent="0.2">
      <c r="A344" s="2054" t="s">
        <v>5184</v>
      </c>
      <c r="B344" s="2054" t="s">
        <v>7689</v>
      </c>
      <c r="C344" s="2055" t="s">
        <v>8317</v>
      </c>
      <c r="D344" s="2056">
        <v>2094.4</v>
      </c>
      <c r="E344" s="2057">
        <f t="shared" si="22"/>
        <v>2.3120797386757321E-4</v>
      </c>
      <c r="F344" s="2057">
        <f t="shared" si="23"/>
        <v>0.96892769390222699</v>
      </c>
    </row>
    <row r="345" spans="1:6" s="2036" customFormat="1" ht="15" x14ac:dyDescent="0.2">
      <c r="A345" s="2054" t="s">
        <v>5184</v>
      </c>
      <c r="B345" s="2054" t="s">
        <v>7698</v>
      </c>
      <c r="C345" s="2055" t="s">
        <v>8321</v>
      </c>
      <c r="D345" s="2056">
        <v>2094.4</v>
      </c>
      <c r="E345" s="2057">
        <f t="shared" si="22"/>
        <v>2.3120797386757321E-4</v>
      </c>
      <c r="F345" s="2057">
        <f t="shared" si="23"/>
        <v>0.96915890187609455</v>
      </c>
    </row>
    <row r="346" spans="1:6" s="2036" customFormat="1" ht="15" x14ac:dyDescent="0.2">
      <c r="A346" s="2054" t="s">
        <v>5184</v>
      </c>
      <c r="B346" s="2054" t="s">
        <v>7701</v>
      </c>
      <c r="C346" s="2055" t="s">
        <v>8324</v>
      </c>
      <c r="D346" s="2056">
        <v>2094.4</v>
      </c>
      <c r="E346" s="2057">
        <f t="shared" si="22"/>
        <v>2.3120797386757321E-4</v>
      </c>
      <c r="F346" s="2057">
        <f t="shared" si="23"/>
        <v>0.9693901098499621</v>
      </c>
    </row>
    <row r="347" spans="1:6" s="2036" customFormat="1" ht="15" x14ac:dyDescent="0.2">
      <c r="A347" s="2054" t="s">
        <v>5184</v>
      </c>
      <c r="B347" s="2054" t="s">
        <v>7699</v>
      </c>
      <c r="C347" s="2055" t="s">
        <v>8322</v>
      </c>
      <c r="D347" s="2056">
        <v>2094.4</v>
      </c>
      <c r="E347" s="2057">
        <f t="shared" si="22"/>
        <v>2.3120797386757321E-4</v>
      </c>
      <c r="F347" s="2057">
        <f t="shared" si="23"/>
        <v>0.96962131782382965</v>
      </c>
    </row>
    <row r="348" spans="1:6" s="2036" customFormat="1" ht="15" x14ac:dyDescent="0.2">
      <c r="A348" s="2054" t="s">
        <v>5184</v>
      </c>
      <c r="B348" s="2054" t="s">
        <v>7702</v>
      </c>
      <c r="C348" s="2055" t="s">
        <v>8325</v>
      </c>
      <c r="D348" s="2056">
        <v>2094.4</v>
      </c>
      <c r="E348" s="2057">
        <f t="shared" si="22"/>
        <v>2.3120797386757321E-4</v>
      </c>
      <c r="F348" s="2057">
        <f t="shared" si="23"/>
        <v>0.96985252579769721</v>
      </c>
    </row>
    <row r="349" spans="1:6" s="2036" customFormat="1" ht="15" x14ac:dyDescent="0.2">
      <c r="A349" s="2054" t="s">
        <v>5184</v>
      </c>
      <c r="B349" s="2054" t="s">
        <v>7697</v>
      </c>
      <c r="C349" s="2055" t="s">
        <v>8320</v>
      </c>
      <c r="D349" s="2056">
        <v>2094.4</v>
      </c>
      <c r="E349" s="2057">
        <f t="shared" si="22"/>
        <v>2.3120797386757321E-4</v>
      </c>
      <c r="F349" s="2057">
        <f t="shared" si="23"/>
        <v>0.97008373377156476</v>
      </c>
    </row>
    <row r="350" spans="1:6" s="2036" customFormat="1" ht="15" x14ac:dyDescent="0.2">
      <c r="A350" s="2054" t="s">
        <v>5184</v>
      </c>
      <c r="B350" s="2054" t="s">
        <v>7696</v>
      </c>
      <c r="C350" s="2055" t="s">
        <v>8319</v>
      </c>
      <c r="D350" s="2056">
        <v>2094.4</v>
      </c>
      <c r="E350" s="2057">
        <f t="shared" si="22"/>
        <v>2.3120797386757321E-4</v>
      </c>
      <c r="F350" s="2057">
        <f t="shared" si="23"/>
        <v>0.97031494174543231</v>
      </c>
    </row>
    <row r="351" spans="1:6" s="2036" customFormat="1" ht="15" x14ac:dyDescent="0.2">
      <c r="A351" s="2054" t="s">
        <v>5184</v>
      </c>
      <c r="B351" s="2054" t="s">
        <v>7695</v>
      </c>
      <c r="C351" s="2055" t="s">
        <v>8318</v>
      </c>
      <c r="D351" s="2056">
        <v>2094.4</v>
      </c>
      <c r="E351" s="2057">
        <f t="shared" si="22"/>
        <v>2.3120797386757321E-4</v>
      </c>
      <c r="F351" s="2057">
        <f t="shared" si="23"/>
        <v>0.97054614971929987</v>
      </c>
    </row>
    <row r="352" spans="1:6" s="2036" customFormat="1" ht="15" x14ac:dyDescent="0.2">
      <c r="A352" s="2054" t="s">
        <v>5184</v>
      </c>
      <c r="B352" s="2054" t="s">
        <v>7700</v>
      </c>
      <c r="C352" s="2055" t="s">
        <v>8323</v>
      </c>
      <c r="D352" s="2056">
        <v>2094.4</v>
      </c>
      <c r="E352" s="2057">
        <f t="shared" si="22"/>
        <v>2.3120797386757321E-4</v>
      </c>
      <c r="F352" s="2057">
        <f t="shared" si="23"/>
        <v>0.97077735769316742</v>
      </c>
    </row>
    <row r="353" spans="1:6" s="2036" customFormat="1" ht="30" x14ac:dyDescent="0.2">
      <c r="A353" s="2054" t="s">
        <v>5184</v>
      </c>
      <c r="B353" s="2054" t="s">
        <v>7293</v>
      </c>
      <c r="C353" s="2055" t="s">
        <v>7407</v>
      </c>
      <c r="D353" s="2056">
        <v>2083.37</v>
      </c>
      <c r="E353" s="2057">
        <f t="shared" si="22"/>
        <v>2.2999033447120221E-4</v>
      </c>
      <c r="F353" s="2057">
        <f t="shared" si="23"/>
        <v>0.97100734802763866</v>
      </c>
    </row>
    <row r="354" spans="1:6" s="2036" customFormat="1" ht="45" x14ac:dyDescent="0.2">
      <c r="A354" s="2054" t="s">
        <v>5184</v>
      </c>
      <c r="B354" s="2054" t="s">
        <v>7358</v>
      </c>
      <c r="C354" s="2055" t="s">
        <v>7352</v>
      </c>
      <c r="D354" s="2056">
        <v>2082.3000000000002</v>
      </c>
      <c r="E354" s="2057">
        <f t="shared" si="22"/>
        <v>2.2987221351434669E-4</v>
      </c>
      <c r="F354" s="2057">
        <f t="shared" si="23"/>
        <v>0.971237220241153</v>
      </c>
    </row>
    <row r="355" spans="1:6" s="2036" customFormat="1" ht="45" x14ac:dyDescent="0.2">
      <c r="A355" s="2054" t="s">
        <v>5184</v>
      </c>
      <c r="B355" s="2054" t="s">
        <v>7136</v>
      </c>
      <c r="C355" s="2055" t="s">
        <v>6176</v>
      </c>
      <c r="D355" s="2056">
        <v>2072.75</v>
      </c>
      <c r="E355" s="2057">
        <f t="shared" si="22"/>
        <v>2.2881795637605631E-4</v>
      </c>
      <c r="F355" s="2057">
        <f t="shared" si="23"/>
        <v>0.97146603819752908</v>
      </c>
    </row>
    <row r="356" spans="1:6" s="2036" customFormat="1" ht="30" x14ac:dyDescent="0.2">
      <c r="A356" s="2054" t="s">
        <v>5184</v>
      </c>
      <c r="B356" s="2054" t="s">
        <v>6759</v>
      </c>
      <c r="C356" s="2055" t="s">
        <v>7459</v>
      </c>
      <c r="D356" s="2056">
        <v>2063.34</v>
      </c>
      <c r="E356" s="2057">
        <f t="shared" si="22"/>
        <v>2.2777915431623305E-4</v>
      </c>
      <c r="F356" s="2057">
        <f t="shared" si="23"/>
        <v>0.97169381735184535</v>
      </c>
    </row>
    <row r="357" spans="1:6" s="2036" customFormat="1" ht="30" x14ac:dyDescent="0.2">
      <c r="A357" s="2054" t="s">
        <v>5184</v>
      </c>
      <c r="B357" s="2054" t="s">
        <v>6720</v>
      </c>
      <c r="C357" s="2055" t="s">
        <v>5692</v>
      </c>
      <c r="D357" s="2056">
        <v>2053.2199999999998</v>
      </c>
      <c r="E357" s="2057">
        <f t="shared" si="22"/>
        <v>2.266619729298981E-4</v>
      </c>
      <c r="F357" s="2057">
        <f t="shared" si="23"/>
        <v>0.97192047932477521</v>
      </c>
    </row>
    <row r="358" spans="1:6" s="2036" customFormat="1" ht="15" x14ac:dyDescent="0.2">
      <c r="A358" s="2054" t="s">
        <v>5184</v>
      </c>
      <c r="B358" s="2054" t="s">
        <v>7815</v>
      </c>
      <c r="C358" s="2055" t="s">
        <v>5913</v>
      </c>
      <c r="D358" s="2056">
        <v>2003.52</v>
      </c>
      <c r="E358" s="2057">
        <f t="shared" si="22"/>
        <v>2.2117542007408337E-4</v>
      </c>
      <c r="F358" s="2057">
        <f t="shared" si="23"/>
        <v>0.97214165474484926</v>
      </c>
    </row>
    <row r="359" spans="1:6" s="2036" customFormat="1" ht="30" x14ac:dyDescent="0.2">
      <c r="A359" s="2054" t="s">
        <v>5184</v>
      </c>
      <c r="B359" s="2054" t="s">
        <v>6753</v>
      </c>
      <c r="C359" s="2055" t="s">
        <v>5756</v>
      </c>
      <c r="D359" s="2056">
        <v>1974.46</v>
      </c>
      <c r="E359" s="2057">
        <f t="shared" si="22"/>
        <v>2.1796738735798727E-4</v>
      </c>
      <c r="F359" s="2057">
        <f t="shared" si="23"/>
        <v>0.97235962213220728</v>
      </c>
    </row>
    <row r="360" spans="1:6" s="2036" customFormat="1" ht="30" x14ac:dyDescent="0.2">
      <c r="A360" s="2054" t="s">
        <v>5184</v>
      </c>
      <c r="B360" s="2054" t="s">
        <v>4983</v>
      </c>
      <c r="C360" s="2058" t="s">
        <v>7592</v>
      </c>
      <c r="D360" s="2056">
        <v>1959.47</v>
      </c>
      <c r="E360" s="2057">
        <f t="shared" si="22"/>
        <v>2.163125900278331E-4</v>
      </c>
      <c r="F360" s="2057">
        <f t="shared" si="23"/>
        <v>0.97257593472223514</v>
      </c>
    </row>
    <row r="361" spans="1:6" s="2036" customFormat="1" ht="30" x14ac:dyDescent="0.2">
      <c r="A361" s="2054" t="s">
        <v>5184</v>
      </c>
      <c r="B361" s="2054" t="s">
        <v>7423</v>
      </c>
      <c r="C361" s="2055" t="s">
        <v>7413</v>
      </c>
      <c r="D361" s="2056">
        <v>1947.98</v>
      </c>
      <c r="E361" s="2057">
        <f t="shared" si="22"/>
        <v>2.1504416965935602E-4</v>
      </c>
      <c r="F361" s="2057">
        <f t="shared" si="23"/>
        <v>0.97279097889189448</v>
      </c>
    </row>
    <row r="362" spans="1:6" s="2036" customFormat="1" ht="15" x14ac:dyDescent="0.2">
      <c r="A362" s="2054" t="s">
        <v>5184</v>
      </c>
      <c r="B362" s="2054" t="s">
        <v>8974</v>
      </c>
      <c r="C362" s="2055" t="s">
        <v>7199</v>
      </c>
      <c r="D362" s="2056">
        <v>1944.38</v>
      </c>
      <c r="E362" s="2057">
        <f t="shared" si="22"/>
        <v>2.1464675335591672E-4</v>
      </c>
      <c r="F362" s="2057">
        <f t="shared" si="23"/>
        <v>0.97300562564525039</v>
      </c>
    </row>
    <row r="363" spans="1:6" s="2036" customFormat="1" ht="30" x14ac:dyDescent="0.2">
      <c r="A363" s="2054" t="s">
        <v>5184</v>
      </c>
      <c r="B363" s="2054" t="s">
        <v>9396</v>
      </c>
      <c r="C363" s="2055" t="s">
        <v>9401</v>
      </c>
      <c r="D363" s="2056">
        <v>1915.2</v>
      </c>
      <c r="E363" s="2057">
        <f t="shared" si="22"/>
        <v>2.1142547342970598E-4</v>
      </c>
      <c r="F363" s="2057">
        <f t="shared" si="23"/>
        <v>0.97321705111868007</v>
      </c>
    </row>
    <row r="364" spans="1:6" s="2036" customFormat="1" ht="15" x14ac:dyDescent="0.2">
      <c r="A364" s="2054" t="s">
        <v>5184</v>
      </c>
      <c r="B364" s="2054" t="s">
        <v>9054</v>
      </c>
      <c r="C364" s="2055" t="s">
        <v>9055</v>
      </c>
      <c r="D364" s="2056">
        <v>1911.12</v>
      </c>
      <c r="E364" s="2057">
        <f t="shared" si="22"/>
        <v>2.109750682858081E-4</v>
      </c>
      <c r="F364" s="2057">
        <f t="shared" si="23"/>
        <v>0.97342802618696589</v>
      </c>
    </row>
    <row r="365" spans="1:6" s="2036" customFormat="1" ht="15" x14ac:dyDescent="0.2">
      <c r="A365" s="2054" t="s">
        <v>5184</v>
      </c>
      <c r="B365" s="2054" t="s">
        <v>7382</v>
      </c>
      <c r="C365" s="2055" t="s">
        <v>7383</v>
      </c>
      <c r="D365" s="2056">
        <v>1898.94</v>
      </c>
      <c r="E365" s="2057">
        <f t="shared" si="22"/>
        <v>2.0963047645917182E-4</v>
      </c>
      <c r="F365" s="2057">
        <f t="shared" si="23"/>
        <v>0.97363765666342506</v>
      </c>
    </row>
    <row r="366" spans="1:6" s="2036" customFormat="1" ht="15" x14ac:dyDescent="0.2">
      <c r="A366" s="2054" t="s">
        <v>5184</v>
      </c>
      <c r="B366" s="2054" t="s">
        <v>7448</v>
      </c>
      <c r="C366" s="2055" t="s">
        <v>7449</v>
      </c>
      <c r="D366" s="2056">
        <v>1894.4</v>
      </c>
      <c r="E366" s="2057">
        <f t="shared" si="22"/>
        <v>2.0912929034316781E-4</v>
      </c>
      <c r="F366" s="2057">
        <f t="shared" si="23"/>
        <v>0.97384678595376817</v>
      </c>
    </row>
    <row r="367" spans="1:6" s="2036" customFormat="1" ht="30" x14ac:dyDescent="0.2">
      <c r="A367" s="2054" t="s">
        <v>5184</v>
      </c>
      <c r="B367" s="2054" t="s">
        <v>7533</v>
      </c>
      <c r="C367" s="2055" t="s">
        <v>6099</v>
      </c>
      <c r="D367" s="2056">
        <v>1889.17</v>
      </c>
      <c r="E367" s="2057">
        <f t="shared" si="22"/>
        <v>2.085519327690046E-4</v>
      </c>
      <c r="F367" s="2057">
        <f t="shared" si="23"/>
        <v>0.9740553378865372</v>
      </c>
    </row>
    <row r="368" spans="1:6" s="2036" customFormat="1" ht="30" x14ac:dyDescent="0.2">
      <c r="A368" s="2054" t="s">
        <v>5184</v>
      </c>
      <c r="B368" s="2054" t="s">
        <v>9404</v>
      </c>
      <c r="C368" s="2055" t="s">
        <v>9400</v>
      </c>
      <c r="D368" s="2056">
        <v>1878.53</v>
      </c>
      <c r="E368" s="2057">
        <f t="shared" si="22"/>
        <v>2.0737734680550623E-4</v>
      </c>
      <c r="F368" s="2057">
        <f t="shared" si="23"/>
        <v>0.97426271523334274</v>
      </c>
    </row>
    <row r="369" spans="1:6" s="2036" customFormat="1" ht="30" x14ac:dyDescent="0.2">
      <c r="A369" s="2054" t="s">
        <v>5184</v>
      </c>
      <c r="B369" s="2054" t="s">
        <v>5777</v>
      </c>
      <c r="C369" s="2055" t="s">
        <v>7594</v>
      </c>
      <c r="D369" s="2056">
        <v>1872.46</v>
      </c>
      <c r="E369" s="2057">
        <f t="shared" si="22"/>
        <v>2.0670725876054054E-4</v>
      </c>
      <c r="F369" s="2057">
        <f t="shared" si="23"/>
        <v>0.97446942249210322</v>
      </c>
    </row>
    <row r="370" spans="1:6" s="2036" customFormat="1" ht="30" x14ac:dyDescent="0.2">
      <c r="A370" s="2054" t="s">
        <v>5184</v>
      </c>
      <c r="B370" s="2054" t="s">
        <v>7087</v>
      </c>
      <c r="C370" s="2055" t="s">
        <v>8965</v>
      </c>
      <c r="D370" s="2056">
        <v>1869.93</v>
      </c>
      <c r="E370" s="2057">
        <f t="shared" si="22"/>
        <v>2.0642796341395681E-4</v>
      </c>
      <c r="F370" s="2057">
        <f t="shared" si="23"/>
        <v>0.97467585045551719</v>
      </c>
    </row>
    <row r="371" spans="1:6" s="2036" customFormat="1" ht="30" x14ac:dyDescent="0.2">
      <c r="A371" s="2054" t="s">
        <v>5184</v>
      </c>
      <c r="B371" s="2054" t="s">
        <v>7362</v>
      </c>
      <c r="C371" s="2055" t="s">
        <v>7356</v>
      </c>
      <c r="D371" s="2056">
        <v>1869.72</v>
      </c>
      <c r="E371" s="2057">
        <f t="shared" si="22"/>
        <v>2.0640478079625619E-4</v>
      </c>
      <c r="F371" s="2057">
        <f t="shared" si="23"/>
        <v>0.97488225523631344</v>
      </c>
    </row>
    <row r="372" spans="1:6" s="2036" customFormat="1" ht="15" x14ac:dyDescent="0.2">
      <c r="A372" s="2054" t="s">
        <v>5184</v>
      </c>
      <c r="B372" s="2054" t="s">
        <v>7536</v>
      </c>
      <c r="C372" s="2055" t="s">
        <v>6102</v>
      </c>
      <c r="D372" s="2056">
        <v>1861.86</v>
      </c>
      <c r="E372" s="2057">
        <f t="shared" si="22"/>
        <v>2.0553708853374703E-4</v>
      </c>
      <c r="F372" s="2057">
        <f t="shared" si="23"/>
        <v>0.97508779232484721</v>
      </c>
    </row>
    <row r="373" spans="1:6" s="2036" customFormat="1" ht="15" x14ac:dyDescent="0.2">
      <c r="A373" s="2054" t="s">
        <v>5184</v>
      </c>
      <c r="B373" s="2054" t="s">
        <v>7551</v>
      </c>
      <c r="C373" s="2055" t="s">
        <v>6126</v>
      </c>
      <c r="D373" s="2056">
        <v>1856.64</v>
      </c>
      <c r="E373" s="2057">
        <f t="shared" si="22"/>
        <v>2.0496083489376007E-4</v>
      </c>
      <c r="F373" s="2057">
        <f t="shared" si="23"/>
        <v>0.97529275315974095</v>
      </c>
    </row>
    <row r="374" spans="1:6" s="2036" customFormat="1" ht="15" x14ac:dyDescent="0.2">
      <c r="A374" s="2054" t="s">
        <v>5184</v>
      </c>
      <c r="B374" s="2054" t="s">
        <v>7817</v>
      </c>
      <c r="C374" s="2055" t="s">
        <v>5915</v>
      </c>
      <c r="D374" s="2056">
        <v>1839.76</v>
      </c>
      <c r="E374" s="2057">
        <f t="shared" si="22"/>
        <v>2.0309739400430025E-4</v>
      </c>
      <c r="F374" s="2057">
        <f t="shared" si="23"/>
        <v>0.97549585055374521</v>
      </c>
    </row>
    <row r="375" spans="1:6" s="2006" customFormat="1" ht="30" x14ac:dyDescent="0.2">
      <c r="A375" s="2004" t="s">
        <v>15149</v>
      </c>
      <c r="B375" s="2004" t="s">
        <v>0</v>
      </c>
      <c r="C375" s="2004" t="s">
        <v>1</v>
      </c>
      <c r="D375" s="1990" t="s">
        <v>130</v>
      </c>
      <c r="E375" s="1989" t="s">
        <v>15139</v>
      </c>
      <c r="F375" s="1990" t="s">
        <v>15140</v>
      </c>
    </row>
    <row r="376" spans="1:6" s="2036" customFormat="1" ht="30" x14ac:dyDescent="0.2">
      <c r="A376" s="2054" t="s">
        <v>5184</v>
      </c>
      <c r="B376" s="2054" t="s">
        <v>7512</v>
      </c>
      <c r="C376" s="2055" t="s">
        <v>6078</v>
      </c>
      <c r="D376" s="2056">
        <v>1827.7</v>
      </c>
      <c r="E376" s="2057">
        <f t="shared" ref="E376:E414" si="24">D376/SUM(D:D)</f>
        <v>2.0176604938777862E-4</v>
      </c>
      <c r="F376" s="2057">
        <f>E376+F374</f>
        <v>0.97569761660313303</v>
      </c>
    </row>
    <row r="377" spans="1:6" s="2036" customFormat="1" ht="15" x14ac:dyDescent="0.2">
      <c r="A377" s="2054" t="s">
        <v>5184</v>
      </c>
      <c r="B377" s="2054" t="s">
        <v>7305</v>
      </c>
      <c r="C377" s="2055" t="s">
        <v>7307</v>
      </c>
      <c r="D377" s="2056">
        <v>1814.4</v>
      </c>
      <c r="E377" s="2057">
        <f t="shared" si="24"/>
        <v>2.0029781693340566E-4</v>
      </c>
      <c r="F377" s="2057">
        <f t="shared" si="23"/>
        <v>0.97589791442006646</v>
      </c>
    </row>
    <row r="378" spans="1:6" s="2036" customFormat="1" ht="45" x14ac:dyDescent="0.2">
      <c r="A378" s="2054" t="s">
        <v>5184</v>
      </c>
      <c r="B378" s="2054" t="s">
        <v>6837</v>
      </c>
      <c r="C378" s="2055" t="s">
        <v>6912</v>
      </c>
      <c r="D378" s="2056">
        <v>1803</v>
      </c>
      <c r="E378" s="2057">
        <f t="shared" si="24"/>
        <v>1.9903933197251456E-4</v>
      </c>
      <c r="F378" s="2057">
        <f>E378+F377</f>
        <v>0.97609695375203898</v>
      </c>
    </row>
    <row r="379" spans="1:6" s="2036" customFormat="1" ht="15" x14ac:dyDescent="0.2">
      <c r="A379" s="2054" t="s">
        <v>5184</v>
      </c>
      <c r="B379" s="2054" t="s">
        <v>9584</v>
      </c>
      <c r="C379" s="2055" t="s">
        <v>8298</v>
      </c>
      <c r="D379" s="2056">
        <v>1788</v>
      </c>
      <c r="E379" s="2057">
        <f t="shared" si="24"/>
        <v>1.9738343070818416E-4</v>
      </c>
      <c r="F379" s="2057">
        <f>E379+F378</f>
        <v>0.97629433718274716</v>
      </c>
    </row>
    <row r="380" spans="1:6" s="2036" customFormat="1" ht="15" x14ac:dyDescent="0.2">
      <c r="A380" s="2054" t="s">
        <v>5184</v>
      </c>
      <c r="B380" s="2054" t="s">
        <v>6873</v>
      </c>
      <c r="C380" s="2055" t="s">
        <v>6866</v>
      </c>
      <c r="D380" s="2056">
        <v>1784.25</v>
      </c>
      <c r="E380" s="2057">
        <f t="shared" si="24"/>
        <v>1.9696945539210154E-4</v>
      </c>
      <c r="F380" s="2057">
        <f t="shared" ref="F380:F417" si="25">E380+F379</f>
        <v>0.97649130663813921</v>
      </c>
    </row>
    <row r="381" spans="1:6" s="2036" customFormat="1" ht="45" x14ac:dyDescent="0.2">
      <c r="A381" s="2054" t="s">
        <v>5184</v>
      </c>
      <c r="B381" s="2054" t="s">
        <v>7425</v>
      </c>
      <c r="C381" s="2055" t="s">
        <v>7416</v>
      </c>
      <c r="D381" s="2056">
        <v>1745.22</v>
      </c>
      <c r="E381" s="2057">
        <f t="shared" si="24"/>
        <v>1.9266080030231383E-4</v>
      </c>
      <c r="F381" s="2057">
        <f t="shared" si="25"/>
        <v>0.97668396743844155</v>
      </c>
    </row>
    <row r="382" spans="1:6" s="2036" customFormat="1" ht="30" x14ac:dyDescent="0.2">
      <c r="A382" s="2054" t="s">
        <v>5184</v>
      </c>
      <c r="B382" s="2054" t="s">
        <v>7435</v>
      </c>
      <c r="C382" s="2055" t="s">
        <v>7431</v>
      </c>
      <c r="D382" s="2056">
        <v>1742.26</v>
      </c>
      <c r="E382" s="2057">
        <f t="shared" si="24"/>
        <v>1.9233403578615264E-4</v>
      </c>
      <c r="F382" s="2057">
        <f t="shared" si="25"/>
        <v>0.97687630147422766</v>
      </c>
    </row>
    <row r="383" spans="1:6" s="2036" customFormat="1" ht="15" x14ac:dyDescent="0.2">
      <c r="A383" s="2054" t="s">
        <v>5184</v>
      </c>
      <c r="B383" s="2054" t="s">
        <v>6874</v>
      </c>
      <c r="C383" s="2055" t="s">
        <v>6867</v>
      </c>
      <c r="D383" s="2056">
        <v>1729.35</v>
      </c>
      <c r="E383" s="2057">
        <f t="shared" si="24"/>
        <v>1.9090885676465225E-4</v>
      </c>
      <c r="F383" s="2057">
        <f t="shared" si="25"/>
        <v>0.97706721033099231</v>
      </c>
    </row>
    <row r="384" spans="1:6" s="2036" customFormat="1" ht="15" x14ac:dyDescent="0.2">
      <c r="A384" s="2054" t="s">
        <v>5184</v>
      </c>
      <c r="B384" s="2054" t="s">
        <v>7389</v>
      </c>
      <c r="C384" s="2055" t="s">
        <v>7366</v>
      </c>
      <c r="D384" s="2056">
        <v>1723.6</v>
      </c>
      <c r="E384" s="2057">
        <f t="shared" si="24"/>
        <v>1.902740946133256E-4</v>
      </c>
      <c r="F384" s="2057">
        <f t="shared" si="25"/>
        <v>0.97725748442560567</v>
      </c>
    </row>
    <row r="385" spans="1:6" s="2036" customFormat="1" ht="30" x14ac:dyDescent="0.2">
      <c r="A385" s="2054" t="s">
        <v>5184</v>
      </c>
      <c r="B385" s="2054" t="s">
        <v>7298</v>
      </c>
      <c r="C385" s="2055" t="s">
        <v>7301</v>
      </c>
      <c r="D385" s="2056">
        <v>1719.6</v>
      </c>
      <c r="E385" s="2057">
        <f t="shared" si="24"/>
        <v>1.898325209428375E-4</v>
      </c>
      <c r="F385" s="2057">
        <f t="shared" si="25"/>
        <v>0.97744731694654852</v>
      </c>
    </row>
    <row r="386" spans="1:6" s="2036" customFormat="1" ht="30" x14ac:dyDescent="0.2">
      <c r="A386" s="2054" t="s">
        <v>5184</v>
      </c>
      <c r="B386" s="2054" t="s">
        <v>7453</v>
      </c>
      <c r="C386" s="2055" t="s">
        <v>7454</v>
      </c>
      <c r="D386" s="2056">
        <v>1714.78</v>
      </c>
      <c r="E386" s="2057">
        <f t="shared" si="24"/>
        <v>1.8930042466989934E-4</v>
      </c>
      <c r="F386" s="2057">
        <f t="shared" si="25"/>
        <v>0.97763661737121843</v>
      </c>
    </row>
    <row r="387" spans="1:6" s="2036" customFormat="1" ht="30" x14ac:dyDescent="0.2">
      <c r="A387" s="2054" t="s">
        <v>5184</v>
      </c>
      <c r="B387" s="2054" t="s">
        <v>7066</v>
      </c>
      <c r="C387" s="2055" t="s">
        <v>6143</v>
      </c>
      <c r="D387" s="2056">
        <v>1706.46</v>
      </c>
      <c r="E387" s="2057">
        <f t="shared" si="24"/>
        <v>1.8838195143528407E-4</v>
      </c>
      <c r="F387" s="2057">
        <f t="shared" si="25"/>
        <v>0.97782499932265377</v>
      </c>
    </row>
    <row r="388" spans="1:6" s="2036" customFormat="1" ht="15" x14ac:dyDescent="0.2">
      <c r="A388" s="2054" t="s">
        <v>5184</v>
      </c>
      <c r="B388" s="2054" t="s">
        <v>7016</v>
      </c>
      <c r="C388" s="2055" t="s">
        <v>7015</v>
      </c>
      <c r="D388" s="2056">
        <v>1699.92</v>
      </c>
      <c r="E388" s="2057">
        <f t="shared" si="24"/>
        <v>1.8765997848403602E-4</v>
      </c>
      <c r="F388" s="2057">
        <f t="shared" si="25"/>
        <v>0.97801265930113779</v>
      </c>
    </row>
    <row r="389" spans="1:6" s="2036" customFormat="1" ht="30" x14ac:dyDescent="0.2">
      <c r="A389" s="2054" t="s">
        <v>5184</v>
      </c>
      <c r="B389" s="2054" t="s">
        <v>7072</v>
      </c>
      <c r="C389" s="2055" t="s">
        <v>7093</v>
      </c>
      <c r="D389" s="2056">
        <v>1682.45</v>
      </c>
      <c r="E389" s="2057">
        <f t="shared" si="24"/>
        <v>1.8573140547817921E-4</v>
      </c>
      <c r="F389" s="2057">
        <f t="shared" si="25"/>
        <v>0.97819839070661596</v>
      </c>
    </row>
    <row r="390" spans="1:6" s="2036" customFormat="1" ht="30" x14ac:dyDescent="0.2">
      <c r="A390" s="2054" t="s">
        <v>5184</v>
      </c>
      <c r="B390" s="2054" t="s">
        <v>6756</v>
      </c>
      <c r="C390" s="2055" t="s">
        <v>5763</v>
      </c>
      <c r="D390" s="2056">
        <v>1649.54</v>
      </c>
      <c r="E390" s="2057">
        <f t="shared" si="24"/>
        <v>1.820983581042383E-4</v>
      </c>
      <c r="F390" s="2057">
        <f t="shared" si="25"/>
        <v>0.97838048906472019</v>
      </c>
    </row>
    <row r="391" spans="1:6" s="2036" customFormat="1" ht="15" x14ac:dyDescent="0.2">
      <c r="A391" s="2054" t="s">
        <v>5184</v>
      </c>
      <c r="B391" s="2054" t="s">
        <v>6868</v>
      </c>
      <c r="C391" s="2055" t="s">
        <v>6863</v>
      </c>
      <c r="D391" s="2056">
        <v>1642.74</v>
      </c>
      <c r="E391" s="2057">
        <f t="shared" si="24"/>
        <v>1.8134768286440852E-4</v>
      </c>
      <c r="F391" s="2057">
        <f t="shared" si="25"/>
        <v>0.97856183674758457</v>
      </c>
    </row>
    <row r="392" spans="1:6" s="2036" customFormat="1" ht="15" x14ac:dyDescent="0.2">
      <c r="A392" s="2054" t="s">
        <v>5184</v>
      </c>
      <c r="B392" s="2054" t="s">
        <v>7543</v>
      </c>
      <c r="C392" s="2055" t="s">
        <v>6109</v>
      </c>
      <c r="D392" s="2056">
        <v>1613.12</v>
      </c>
      <c r="E392" s="2057">
        <f t="shared" si="24"/>
        <v>1.7807782983444406E-4</v>
      </c>
      <c r="F392" s="2057">
        <f t="shared" si="25"/>
        <v>0.97873991457741905</v>
      </c>
    </row>
    <row r="393" spans="1:6" s="2036" customFormat="1" ht="30" x14ac:dyDescent="0.2">
      <c r="A393" s="2054" t="s">
        <v>5184</v>
      </c>
      <c r="B393" s="2054" t="s">
        <v>6723</v>
      </c>
      <c r="C393" s="2055" t="s">
        <v>5709</v>
      </c>
      <c r="D393" s="2056">
        <v>1608</v>
      </c>
      <c r="E393" s="2057">
        <f t="shared" si="24"/>
        <v>1.775126155362193E-4</v>
      </c>
      <c r="F393" s="2057">
        <f t="shared" si="25"/>
        <v>0.97891742719295527</v>
      </c>
    </row>
    <row r="394" spans="1:6" s="2036" customFormat="1" ht="15" x14ac:dyDescent="0.2">
      <c r="A394" s="2054" t="s">
        <v>5184</v>
      </c>
      <c r="B394" s="2054" t="s">
        <v>6839</v>
      </c>
      <c r="C394" s="2055" t="s">
        <v>6815</v>
      </c>
      <c r="D394" s="2056">
        <v>1600.8</v>
      </c>
      <c r="E394" s="2057">
        <f t="shared" si="24"/>
        <v>1.767177829293407E-4</v>
      </c>
      <c r="F394" s="2057">
        <f t="shared" si="25"/>
        <v>0.97909414497588465</v>
      </c>
    </row>
    <row r="395" spans="1:6" s="2036" customFormat="1" ht="30" x14ac:dyDescent="0.2">
      <c r="A395" s="2054" t="s">
        <v>5184</v>
      </c>
      <c r="B395" s="2054" t="s">
        <v>7531</v>
      </c>
      <c r="C395" s="2055" t="s">
        <v>6097</v>
      </c>
      <c r="D395" s="2056">
        <v>1599.26</v>
      </c>
      <c r="E395" s="2057">
        <f t="shared" si="24"/>
        <v>1.7654777706620277E-4</v>
      </c>
      <c r="F395" s="2057">
        <f t="shared" si="25"/>
        <v>0.97927069275295087</v>
      </c>
    </row>
    <row r="396" spans="1:6" s="2036" customFormat="1" ht="15" x14ac:dyDescent="0.2">
      <c r="A396" s="2054" t="s">
        <v>5184</v>
      </c>
      <c r="B396" s="2054" t="s">
        <v>9558</v>
      </c>
      <c r="C396" s="2055" t="s">
        <v>6004</v>
      </c>
      <c r="D396" s="2056">
        <v>1582.45</v>
      </c>
      <c r="E396" s="2057">
        <f t="shared" si="24"/>
        <v>1.7469206371597651E-4</v>
      </c>
      <c r="F396" s="2057">
        <f t="shared" si="25"/>
        <v>0.97944538481666688</v>
      </c>
    </row>
    <row r="397" spans="1:6" s="2036" customFormat="1" ht="30" x14ac:dyDescent="0.2">
      <c r="A397" s="2054" t="s">
        <v>5184</v>
      </c>
      <c r="B397" s="2054" t="s">
        <v>7089</v>
      </c>
      <c r="C397" s="2055" t="s">
        <v>8967</v>
      </c>
      <c r="D397" s="2056">
        <v>1579.28</v>
      </c>
      <c r="E397" s="2057">
        <f t="shared" si="24"/>
        <v>1.7434211658211467E-4</v>
      </c>
      <c r="F397" s="2057">
        <f t="shared" si="25"/>
        <v>0.97961972693324895</v>
      </c>
    </row>
    <row r="398" spans="1:6" s="2036" customFormat="1" ht="30" x14ac:dyDescent="0.2">
      <c r="A398" s="2054" t="s">
        <v>5184</v>
      </c>
      <c r="B398" s="2054" t="s">
        <v>7361</v>
      </c>
      <c r="C398" s="2055" t="s">
        <v>7355</v>
      </c>
      <c r="D398" s="2056">
        <v>1559.04</v>
      </c>
      <c r="E398" s="2057">
        <f t="shared" si="24"/>
        <v>1.7210775380944486E-4</v>
      </c>
      <c r="F398" s="2057">
        <f t="shared" si="25"/>
        <v>0.97979183468705844</v>
      </c>
    </row>
    <row r="399" spans="1:6" s="2036" customFormat="1" ht="15" x14ac:dyDescent="0.2">
      <c r="A399" s="2054" t="s">
        <v>5184</v>
      </c>
      <c r="B399" s="2054" t="s">
        <v>7203</v>
      </c>
      <c r="C399" s="2055" t="s">
        <v>6281</v>
      </c>
      <c r="D399" s="2056">
        <v>1535.64</v>
      </c>
      <c r="E399" s="2057">
        <f t="shared" si="24"/>
        <v>1.6952454783708944E-4</v>
      </c>
      <c r="F399" s="2057">
        <f t="shared" si="25"/>
        <v>0.97996135923489558</v>
      </c>
    </row>
    <row r="400" spans="1:6" s="2036" customFormat="1" ht="15" x14ac:dyDescent="0.2">
      <c r="A400" s="2054" t="s">
        <v>5184</v>
      </c>
      <c r="B400" s="2054" t="s">
        <v>6962</v>
      </c>
      <c r="C400" s="2055" t="s">
        <v>5924</v>
      </c>
      <c r="D400" s="2056">
        <v>1523.5</v>
      </c>
      <c r="E400" s="2057">
        <f t="shared" si="24"/>
        <v>1.6818437174715803E-4</v>
      </c>
      <c r="F400" s="2057">
        <f t="shared" si="25"/>
        <v>0.98012954360664273</v>
      </c>
    </row>
    <row r="401" spans="1:6" s="2036" customFormat="1" ht="15" x14ac:dyDescent="0.2">
      <c r="A401" s="2054" t="s">
        <v>5184</v>
      </c>
      <c r="B401" s="2054" t="s">
        <v>7448</v>
      </c>
      <c r="C401" s="2055" t="s">
        <v>8581</v>
      </c>
      <c r="D401" s="2056">
        <v>1510.72</v>
      </c>
      <c r="E401" s="2057">
        <f t="shared" si="24"/>
        <v>1.6677354386994853E-4</v>
      </c>
      <c r="F401" s="2057">
        <f t="shared" si="25"/>
        <v>0.98029631715051269</v>
      </c>
    </row>
    <row r="402" spans="1:6" s="2036" customFormat="1" ht="15" x14ac:dyDescent="0.2">
      <c r="A402" s="2054" t="s">
        <v>5184</v>
      </c>
      <c r="B402" s="2054" t="s">
        <v>9524</v>
      </c>
      <c r="C402" s="2055" t="s">
        <v>9525</v>
      </c>
      <c r="D402" s="2056">
        <v>1484.8</v>
      </c>
      <c r="E402" s="2057">
        <f t="shared" si="24"/>
        <v>1.6391214648518558E-4</v>
      </c>
      <c r="F402" s="2057">
        <f t="shared" si="25"/>
        <v>0.98046022929699783</v>
      </c>
    </row>
    <row r="403" spans="1:6" s="2036" customFormat="1" ht="15" x14ac:dyDescent="0.2">
      <c r="A403" s="2054" t="s">
        <v>5184</v>
      </c>
      <c r="B403" s="2054" t="s">
        <v>6217</v>
      </c>
      <c r="C403" s="2055" t="s">
        <v>8566</v>
      </c>
      <c r="D403" s="2056">
        <v>1445</v>
      </c>
      <c r="E403" s="2057">
        <f t="shared" si="24"/>
        <v>1.5951848846382891E-4</v>
      </c>
      <c r="F403" s="2057">
        <f t="shared" si="25"/>
        <v>0.98061974778546168</v>
      </c>
    </row>
    <row r="404" spans="1:6" s="2036" customFormat="1" ht="45" x14ac:dyDescent="0.2">
      <c r="A404" s="2054" t="s">
        <v>5184</v>
      </c>
      <c r="B404" s="2054" t="s">
        <v>9013</v>
      </c>
      <c r="C404" s="2055" t="s">
        <v>9011</v>
      </c>
      <c r="D404" s="2056">
        <v>1443.37</v>
      </c>
      <c r="E404" s="2057">
        <f t="shared" si="24"/>
        <v>1.5933854719310498E-4</v>
      </c>
      <c r="F404" s="2057">
        <f t="shared" si="25"/>
        <v>0.98077908633265476</v>
      </c>
    </row>
    <row r="405" spans="1:6" s="2036" customFormat="1" ht="15" x14ac:dyDescent="0.2">
      <c r="A405" s="2054" t="s">
        <v>5184</v>
      </c>
      <c r="B405" s="2054" t="s">
        <v>9420</v>
      </c>
      <c r="C405" s="2055" t="s">
        <v>9124</v>
      </c>
      <c r="D405" s="2056">
        <v>1436.21</v>
      </c>
      <c r="E405" s="2057">
        <f t="shared" si="24"/>
        <v>1.5854813032293129E-4</v>
      </c>
      <c r="F405" s="2057">
        <f t="shared" si="25"/>
        <v>0.98093763446297766</v>
      </c>
    </row>
    <row r="406" spans="1:6" s="2036" customFormat="1" ht="15" x14ac:dyDescent="0.2">
      <c r="A406" s="2054" t="s">
        <v>5184</v>
      </c>
      <c r="B406" s="2054" t="s">
        <v>7678</v>
      </c>
      <c r="C406" s="2055" t="s">
        <v>7679</v>
      </c>
      <c r="D406" s="2056">
        <v>1432.85</v>
      </c>
      <c r="E406" s="2057">
        <f t="shared" si="24"/>
        <v>1.5817720843972128E-4</v>
      </c>
      <c r="F406" s="2057">
        <f t="shared" si="25"/>
        <v>0.98109581167141735</v>
      </c>
    </row>
    <row r="407" spans="1:6" s="2036" customFormat="1" ht="15" x14ac:dyDescent="0.2">
      <c r="A407" s="2054" t="s">
        <v>5184</v>
      </c>
      <c r="B407" s="2054" t="s">
        <v>5796</v>
      </c>
      <c r="C407" s="2055" t="s">
        <v>5793</v>
      </c>
      <c r="D407" s="2056">
        <v>1384.78</v>
      </c>
      <c r="E407" s="2057">
        <f t="shared" si="24"/>
        <v>1.5287059685463044E-4</v>
      </c>
      <c r="F407" s="2057">
        <f t="shared" si="25"/>
        <v>0.981248682268272</v>
      </c>
    </row>
    <row r="408" spans="1:6" s="2036" customFormat="1" ht="15" x14ac:dyDescent="0.2">
      <c r="A408" s="2054" t="s">
        <v>5184</v>
      </c>
      <c r="B408" s="2054" t="s">
        <v>7223</v>
      </c>
      <c r="C408" s="2055" t="s">
        <v>15064</v>
      </c>
      <c r="D408" s="2056">
        <v>1378.58</v>
      </c>
      <c r="E408" s="2057">
        <f t="shared" si="24"/>
        <v>1.5218615766537388E-4</v>
      </c>
      <c r="F408" s="2057">
        <f t="shared" si="25"/>
        <v>0.98140086842593732</v>
      </c>
    </row>
    <row r="409" spans="1:6" s="2036" customFormat="1" ht="30" x14ac:dyDescent="0.2">
      <c r="A409" s="2054" t="s">
        <v>5184</v>
      </c>
      <c r="B409" s="2054" t="s">
        <v>7422</v>
      </c>
      <c r="C409" s="2055" t="s">
        <v>7415</v>
      </c>
      <c r="D409" s="2056">
        <v>1374.9</v>
      </c>
      <c r="E409" s="2057">
        <f t="shared" si="24"/>
        <v>1.5177990988852482E-4</v>
      </c>
      <c r="F409" s="2057">
        <f t="shared" si="25"/>
        <v>0.98155264833582589</v>
      </c>
    </row>
    <row r="410" spans="1:6" s="2036" customFormat="1" ht="30" x14ac:dyDescent="0.2">
      <c r="A410" s="2054" t="s">
        <v>5184</v>
      </c>
      <c r="B410" s="2054" t="s">
        <v>7295</v>
      </c>
      <c r="C410" s="2055" t="s">
        <v>14960</v>
      </c>
      <c r="D410" s="2056">
        <v>1365.44</v>
      </c>
      <c r="E410" s="2057">
        <f t="shared" si="24"/>
        <v>1.5073558815782045E-4</v>
      </c>
      <c r="F410" s="2057">
        <f t="shared" si="25"/>
        <v>0.98170338392398371</v>
      </c>
    </row>
    <row r="411" spans="1:6" s="2036" customFormat="1" ht="15" x14ac:dyDescent="0.2">
      <c r="A411" s="2054" t="s">
        <v>5184</v>
      </c>
      <c r="B411" s="2054" t="s">
        <v>7159</v>
      </c>
      <c r="C411" s="2055" t="s">
        <v>7152</v>
      </c>
      <c r="D411" s="2056">
        <v>1364.55</v>
      </c>
      <c r="E411" s="2057">
        <f t="shared" si="24"/>
        <v>1.5063733801613682E-4</v>
      </c>
      <c r="F411" s="2057">
        <f t="shared" si="25"/>
        <v>0.98185402126199983</v>
      </c>
    </row>
    <row r="412" spans="1:6" s="2036" customFormat="1" ht="15" x14ac:dyDescent="0.2">
      <c r="A412" s="2054" t="s">
        <v>5184</v>
      </c>
      <c r="B412" s="2054" t="s">
        <v>6998</v>
      </c>
      <c r="C412" s="2055" t="s">
        <v>5975</v>
      </c>
      <c r="D412" s="2056">
        <v>1312.02</v>
      </c>
      <c r="E412" s="2057">
        <f t="shared" si="24"/>
        <v>1.4483837178845178E-4</v>
      </c>
      <c r="F412" s="2057">
        <f t="shared" si="25"/>
        <v>0.9819988596337883</v>
      </c>
    </row>
    <row r="413" spans="1:6" s="2036" customFormat="1" ht="45" x14ac:dyDescent="0.2">
      <c r="A413" s="2054" t="s">
        <v>5184</v>
      </c>
      <c r="B413" s="2054" t="s">
        <v>9385</v>
      </c>
      <c r="C413" s="2055" t="s">
        <v>9382</v>
      </c>
      <c r="D413" s="2056">
        <v>1309.8399999999999</v>
      </c>
      <c r="E413" s="2057">
        <f t="shared" si="24"/>
        <v>1.4459771413803573E-4</v>
      </c>
      <c r="F413" s="2057">
        <f t="shared" si="25"/>
        <v>0.9821434573479263</v>
      </c>
    </row>
    <row r="414" spans="1:6" s="2036" customFormat="1" ht="30" x14ac:dyDescent="0.2">
      <c r="A414" s="2054" t="s">
        <v>5184</v>
      </c>
      <c r="B414" s="2054" t="s">
        <v>7048</v>
      </c>
      <c r="C414" s="2055" t="s">
        <v>8950</v>
      </c>
      <c r="D414" s="2056">
        <v>1282.95</v>
      </c>
      <c r="E414" s="2057">
        <f t="shared" si="24"/>
        <v>1.4162923513817946E-4</v>
      </c>
      <c r="F414" s="2057">
        <f t="shared" si="25"/>
        <v>0.98228508658306446</v>
      </c>
    </row>
    <row r="415" spans="1:6" s="2006" customFormat="1" ht="30" x14ac:dyDescent="0.2">
      <c r="A415" s="2004" t="s">
        <v>15149</v>
      </c>
      <c r="B415" s="2004" t="s">
        <v>0</v>
      </c>
      <c r="C415" s="2004" t="s">
        <v>1</v>
      </c>
      <c r="D415" s="1990" t="s">
        <v>130</v>
      </c>
      <c r="E415" s="1989" t="s">
        <v>15139</v>
      </c>
      <c r="F415" s="1990" t="s">
        <v>15140</v>
      </c>
    </row>
    <row r="416" spans="1:6" s="2036" customFormat="1" ht="15" x14ac:dyDescent="0.2">
      <c r="A416" s="2054" t="s">
        <v>5184</v>
      </c>
      <c r="B416" s="2054" t="s">
        <v>7537</v>
      </c>
      <c r="C416" s="2055" t="s">
        <v>6103</v>
      </c>
      <c r="D416" s="2056">
        <v>1270.17</v>
      </c>
      <c r="E416" s="2057">
        <f t="shared" ref="E416:E455" si="26">D416/SUM(D:D)</f>
        <v>1.4021840726096993E-4</v>
      </c>
      <c r="F416" s="2057">
        <f>E416+F414</f>
        <v>0.98242530499032543</v>
      </c>
    </row>
    <row r="417" spans="1:6" s="2036" customFormat="1" ht="30" x14ac:dyDescent="0.2">
      <c r="A417" s="2087" t="s">
        <v>22</v>
      </c>
      <c r="B417" s="2054" t="s">
        <v>7725</v>
      </c>
      <c r="C417" s="2055" t="s">
        <v>15167</v>
      </c>
      <c r="D417" s="2056">
        <v>1269.3</v>
      </c>
      <c r="E417" s="2057">
        <f t="shared" si="26"/>
        <v>1.4012236498763878E-4</v>
      </c>
      <c r="F417" s="2057">
        <f t="shared" si="25"/>
        <v>0.98256542735531305</v>
      </c>
    </row>
    <row r="418" spans="1:6" s="2036" customFormat="1" ht="15" x14ac:dyDescent="0.2">
      <c r="A418" s="2054" t="s">
        <v>5184</v>
      </c>
      <c r="B418" s="2054" t="s">
        <v>6271</v>
      </c>
      <c r="C418" s="2055" t="s">
        <v>6269</v>
      </c>
      <c r="D418" s="2056">
        <v>1264.2</v>
      </c>
      <c r="E418" s="2057">
        <f t="shared" si="26"/>
        <v>1.3955935855776644E-4</v>
      </c>
      <c r="F418" s="2057">
        <f>E418+F417</f>
        <v>0.98270498671387085</v>
      </c>
    </row>
    <row r="419" spans="1:6" s="2036" customFormat="1" ht="15" x14ac:dyDescent="0.2">
      <c r="A419" s="2054" t="s">
        <v>5184</v>
      </c>
      <c r="B419" s="2054" t="s">
        <v>9582</v>
      </c>
      <c r="C419" s="2055" t="s">
        <v>6901</v>
      </c>
      <c r="D419" s="2056">
        <v>1264</v>
      </c>
      <c r="E419" s="2057">
        <f t="shared" si="26"/>
        <v>1.3953727987424204E-4</v>
      </c>
      <c r="F419" s="2057">
        <f>E419+F418</f>
        <v>0.98284452399374511</v>
      </c>
    </row>
    <row r="420" spans="1:6" s="2036" customFormat="1" ht="15" x14ac:dyDescent="0.2">
      <c r="A420" s="2054" t="s">
        <v>5184</v>
      </c>
      <c r="B420" s="2054" t="s">
        <v>9583</v>
      </c>
      <c r="C420" s="2055" t="s">
        <v>6903</v>
      </c>
      <c r="D420" s="2056">
        <v>1259.5999999999999</v>
      </c>
      <c r="E420" s="2057">
        <f t="shared" si="26"/>
        <v>1.3905154883670509E-4</v>
      </c>
      <c r="F420" s="2057">
        <f t="shared" ref="F420:F459" si="27">E420+F419</f>
        <v>0.98298357554258187</v>
      </c>
    </row>
    <row r="421" spans="1:6" s="2036" customFormat="1" ht="15" x14ac:dyDescent="0.2">
      <c r="A421" s="2054" t="s">
        <v>5184</v>
      </c>
      <c r="B421" s="2054" t="s">
        <v>6851</v>
      </c>
      <c r="C421" s="2055" t="s">
        <v>6846</v>
      </c>
      <c r="D421" s="2056">
        <v>1257.9000000000001</v>
      </c>
      <c r="E421" s="2057">
        <f t="shared" si="26"/>
        <v>1.3886388002674768E-4</v>
      </c>
      <c r="F421" s="2057">
        <f t="shared" si="27"/>
        <v>0.98312243942260857</v>
      </c>
    </row>
    <row r="422" spans="1:6" s="2036" customFormat="1" ht="30" x14ac:dyDescent="0.2">
      <c r="A422" s="2054" t="s">
        <v>5184</v>
      </c>
      <c r="B422" s="2054" t="s">
        <v>7117</v>
      </c>
      <c r="C422" s="2055" t="s">
        <v>8961</v>
      </c>
      <c r="D422" s="2056">
        <v>1256.52</v>
      </c>
      <c r="E422" s="2057">
        <f t="shared" si="26"/>
        <v>1.3871153711042926E-4</v>
      </c>
      <c r="F422" s="2057">
        <f t="shared" si="27"/>
        <v>0.983261150959719</v>
      </c>
    </row>
    <row r="423" spans="1:6" s="2036" customFormat="1" ht="15" x14ac:dyDescent="0.2">
      <c r="A423" s="2054" t="s">
        <v>5184</v>
      </c>
      <c r="B423" s="2054" t="s">
        <v>6234</v>
      </c>
      <c r="C423" s="2055" t="s">
        <v>6229</v>
      </c>
      <c r="D423" s="2056">
        <v>1250.8800000000001</v>
      </c>
      <c r="E423" s="2057">
        <f t="shared" si="26"/>
        <v>1.3808891823504106E-4</v>
      </c>
      <c r="F423" s="2057">
        <f t="shared" si="27"/>
        <v>0.98339923987795408</v>
      </c>
    </row>
    <row r="424" spans="1:6" s="2036" customFormat="1" ht="30" x14ac:dyDescent="0.2">
      <c r="A424" s="2054" t="s">
        <v>5184</v>
      </c>
      <c r="B424" s="2054" t="s">
        <v>8969</v>
      </c>
      <c r="C424" s="2055" t="s">
        <v>8968</v>
      </c>
      <c r="D424" s="2056">
        <v>1230.3599999999999</v>
      </c>
      <c r="E424" s="2057">
        <f t="shared" si="26"/>
        <v>1.3582364530543705E-4</v>
      </c>
      <c r="F424" s="2057">
        <f t="shared" si="27"/>
        <v>0.98353506352325948</v>
      </c>
    </row>
    <row r="425" spans="1:6" s="2036" customFormat="1" ht="15" x14ac:dyDescent="0.2">
      <c r="A425" s="2054" t="s">
        <v>5184</v>
      </c>
      <c r="B425" s="2054" t="s">
        <v>7180</v>
      </c>
      <c r="C425" s="2055" t="s">
        <v>7172</v>
      </c>
      <c r="D425" s="2056">
        <v>1228.26</v>
      </c>
      <c r="E425" s="2057">
        <f t="shared" si="26"/>
        <v>1.3559181912843078E-4</v>
      </c>
      <c r="F425" s="2057">
        <f t="shared" si="27"/>
        <v>0.98367065534238796</v>
      </c>
    </row>
    <row r="426" spans="1:6" s="2036" customFormat="1" ht="15" x14ac:dyDescent="0.2">
      <c r="A426" s="2054" t="s">
        <v>5184</v>
      </c>
      <c r="B426" s="2054" t="s">
        <v>7043</v>
      </c>
      <c r="C426" s="2055" t="s">
        <v>6136</v>
      </c>
      <c r="D426" s="2056">
        <v>1210.67</v>
      </c>
      <c r="E426" s="2057">
        <f t="shared" si="26"/>
        <v>1.3364999891245935E-4</v>
      </c>
      <c r="F426" s="2057">
        <f t="shared" si="27"/>
        <v>0.98380430534130037</v>
      </c>
    </row>
    <row r="427" spans="1:6" s="2036" customFormat="1" ht="15" x14ac:dyDescent="0.2">
      <c r="A427" s="2054" t="s">
        <v>5184</v>
      </c>
      <c r="B427" s="2054" t="s">
        <v>6843</v>
      </c>
      <c r="C427" s="2055" t="s">
        <v>6819</v>
      </c>
      <c r="D427" s="2056">
        <v>1206.4000000000001</v>
      </c>
      <c r="E427" s="2057">
        <f t="shared" si="26"/>
        <v>1.3317861901921329E-4</v>
      </c>
      <c r="F427" s="2057">
        <f t="shared" si="27"/>
        <v>0.98393748396031955</v>
      </c>
    </row>
    <row r="428" spans="1:6" s="2036" customFormat="1" ht="30" x14ac:dyDescent="0.2">
      <c r="A428" s="2054" t="s">
        <v>5184</v>
      </c>
      <c r="B428" s="2054" t="s">
        <v>7268</v>
      </c>
      <c r="C428" s="2055" t="s">
        <v>7210</v>
      </c>
      <c r="D428" s="2056">
        <v>1193.4000000000001</v>
      </c>
      <c r="E428" s="2057">
        <f t="shared" si="26"/>
        <v>1.3174350459012695E-4</v>
      </c>
      <c r="F428" s="2057">
        <f t="shared" si="27"/>
        <v>0.98406922746490966</v>
      </c>
    </row>
    <row r="429" spans="1:6" s="2036" customFormat="1" ht="30" x14ac:dyDescent="0.2">
      <c r="A429" s="2054" t="s">
        <v>5184</v>
      </c>
      <c r="B429" s="2054" t="s">
        <v>8282</v>
      </c>
      <c r="C429" s="2055" t="s">
        <v>5962</v>
      </c>
      <c r="D429" s="2056">
        <v>1168.5</v>
      </c>
      <c r="E429" s="2057">
        <f t="shared" si="26"/>
        <v>1.2899470849133846E-4</v>
      </c>
      <c r="F429" s="2057">
        <f t="shared" si="27"/>
        <v>0.98419822217340103</v>
      </c>
    </row>
    <row r="430" spans="1:6" s="2036" customFormat="1" ht="30" x14ac:dyDescent="0.2">
      <c r="A430" s="2054" t="s">
        <v>5184</v>
      </c>
      <c r="B430" s="2054" t="s">
        <v>6968</v>
      </c>
      <c r="C430" s="2055" t="s">
        <v>5929</v>
      </c>
      <c r="D430" s="2056">
        <v>1161.0999999999999</v>
      </c>
      <c r="E430" s="2057">
        <f t="shared" si="26"/>
        <v>1.2817779720093546E-4</v>
      </c>
      <c r="F430" s="2057">
        <f t="shared" si="27"/>
        <v>0.98432639997060201</v>
      </c>
    </row>
    <row r="431" spans="1:6" s="2036" customFormat="1" ht="15" x14ac:dyDescent="0.2">
      <c r="A431" s="2054" t="s">
        <v>5184</v>
      </c>
      <c r="B431" s="2054" t="s">
        <v>7025</v>
      </c>
      <c r="C431" s="2055" t="s">
        <v>5998</v>
      </c>
      <c r="D431" s="2056">
        <v>1159.22</v>
      </c>
      <c r="E431" s="2057">
        <f t="shared" si="26"/>
        <v>1.2797025757580604E-4</v>
      </c>
      <c r="F431" s="2057">
        <f t="shared" si="27"/>
        <v>0.98445437022817783</v>
      </c>
    </row>
    <row r="432" spans="1:6" s="2036" customFormat="1" ht="30" x14ac:dyDescent="0.2">
      <c r="A432" s="2054" t="s">
        <v>5184</v>
      </c>
      <c r="B432" s="2054" t="s">
        <v>7513</v>
      </c>
      <c r="C432" s="2055" t="s">
        <v>6079</v>
      </c>
      <c r="D432" s="2056">
        <v>1146.96</v>
      </c>
      <c r="E432" s="2057">
        <f t="shared" si="26"/>
        <v>1.2661683427576002E-4</v>
      </c>
      <c r="F432" s="2057">
        <f t="shared" si="27"/>
        <v>0.98458098706245356</v>
      </c>
    </row>
    <row r="433" spans="1:6" s="2036" customFormat="1" ht="30" x14ac:dyDescent="0.2">
      <c r="A433" s="2054" t="s">
        <v>5184</v>
      </c>
      <c r="B433" s="2054" t="s">
        <v>7113</v>
      </c>
      <c r="C433" s="2055" t="s">
        <v>8955</v>
      </c>
      <c r="D433" s="2056">
        <v>1144.46</v>
      </c>
      <c r="E433" s="2057">
        <f t="shared" si="26"/>
        <v>1.2634085073170493E-4</v>
      </c>
      <c r="F433" s="2057">
        <f t="shared" si="27"/>
        <v>0.98470732791318527</v>
      </c>
    </row>
    <row r="434" spans="1:6" s="2036" customFormat="1" ht="45" x14ac:dyDescent="0.2">
      <c r="A434" s="2054" t="s">
        <v>5184</v>
      </c>
      <c r="B434" s="2054" t="s">
        <v>5283</v>
      </c>
      <c r="C434" s="2055" t="s">
        <v>8913</v>
      </c>
      <c r="D434" s="2056">
        <v>1138.6300000000001</v>
      </c>
      <c r="E434" s="2057">
        <f t="shared" si="26"/>
        <v>1.2569725710696853E-4</v>
      </c>
      <c r="F434" s="2057">
        <f t="shared" si="27"/>
        <v>0.98483302517029225</v>
      </c>
    </row>
    <row r="435" spans="1:6" s="2036" customFormat="1" ht="15" x14ac:dyDescent="0.2">
      <c r="A435" s="2054" t="s">
        <v>5184</v>
      </c>
      <c r="B435" s="2054" t="s">
        <v>7395</v>
      </c>
      <c r="C435" s="2055" t="s">
        <v>7374</v>
      </c>
      <c r="D435" s="2056">
        <v>1135.54</v>
      </c>
      <c r="E435" s="2057">
        <f t="shared" si="26"/>
        <v>1.2535614144651644E-4</v>
      </c>
      <c r="F435" s="2057">
        <f t="shared" si="27"/>
        <v>0.98495838131173874</v>
      </c>
    </row>
    <row r="436" spans="1:6" s="2036" customFormat="1" ht="15" x14ac:dyDescent="0.2">
      <c r="A436" s="2054" t="s">
        <v>5184</v>
      </c>
      <c r="B436" s="2054" t="s">
        <v>7160</v>
      </c>
      <c r="C436" s="2055" t="s">
        <v>7164</v>
      </c>
      <c r="D436" s="2056">
        <v>1133.48</v>
      </c>
      <c r="E436" s="2057">
        <f t="shared" si="26"/>
        <v>1.2512873100621507E-4</v>
      </c>
      <c r="F436" s="2057">
        <f t="shared" si="27"/>
        <v>0.98508351004274497</v>
      </c>
    </row>
    <row r="437" spans="1:6" s="2036" customFormat="1" ht="45" x14ac:dyDescent="0.2">
      <c r="A437" s="2054" t="s">
        <v>5184</v>
      </c>
      <c r="B437" s="2054" t="s">
        <v>6783</v>
      </c>
      <c r="C437" s="2055" t="s">
        <v>7271</v>
      </c>
      <c r="D437" s="2056">
        <v>1132.3499999999999</v>
      </c>
      <c r="E437" s="2057">
        <f t="shared" si="26"/>
        <v>1.2500398644430219E-4</v>
      </c>
      <c r="F437" s="2057">
        <f t="shared" si="27"/>
        <v>0.9852085140291893</v>
      </c>
    </row>
    <row r="438" spans="1:6" s="2036" customFormat="1" ht="15" x14ac:dyDescent="0.2">
      <c r="A438" s="2054" t="s">
        <v>5184</v>
      </c>
      <c r="B438" s="2054" t="s">
        <v>6823</v>
      </c>
      <c r="C438" s="2055" t="s">
        <v>6806</v>
      </c>
      <c r="D438" s="2056">
        <v>1124.2</v>
      </c>
      <c r="E438" s="2057">
        <f t="shared" si="26"/>
        <v>1.2410428009068268E-4</v>
      </c>
      <c r="F438" s="2057">
        <f t="shared" si="27"/>
        <v>0.98533261830927998</v>
      </c>
    </row>
    <row r="439" spans="1:6" s="2036" customFormat="1" ht="30" x14ac:dyDescent="0.2">
      <c r="A439" s="2054" t="s">
        <v>5184</v>
      </c>
      <c r="B439" s="2054" t="s">
        <v>6678</v>
      </c>
      <c r="C439" s="2055" t="s">
        <v>6677</v>
      </c>
      <c r="D439" s="2056">
        <v>1109.3399999999999</v>
      </c>
      <c r="E439" s="2057">
        <f t="shared" si="26"/>
        <v>1.2246383390481934E-4</v>
      </c>
      <c r="F439" s="2057">
        <f t="shared" si="27"/>
        <v>0.98545508214318478</v>
      </c>
    </row>
    <row r="440" spans="1:6" s="2036" customFormat="1" ht="30" x14ac:dyDescent="0.2">
      <c r="A440" s="2054" t="s">
        <v>5184</v>
      </c>
      <c r="B440" s="2054" t="s">
        <v>7534</v>
      </c>
      <c r="C440" s="2055" t="s">
        <v>6100</v>
      </c>
      <c r="D440" s="2056">
        <v>1100.52</v>
      </c>
      <c r="E440" s="2057">
        <f t="shared" si="26"/>
        <v>1.2149016396139306E-4</v>
      </c>
      <c r="F440" s="2057">
        <f t="shared" si="27"/>
        <v>0.98557657230714613</v>
      </c>
    </row>
    <row r="441" spans="1:6" s="2036" customFormat="1" ht="15" x14ac:dyDescent="0.2">
      <c r="A441" s="2054" t="s">
        <v>5184</v>
      </c>
      <c r="B441" s="2054" t="s">
        <v>6982</v>
      </c>
      <c r="C441" s="2055" t="s">
        <v>5952</v>
      </c>
      <c r="D441" s="2056">
        <v>1093.95</v>
      </c>
      <c r="E441" s="2057">
        <f t="shared" si="26"/>
        <v>1.2076487920761636E-4</v>
      </c>
      <c r="F441" s="2057">
        <f t="shared" si="27"/>
        <v>0.98569733718635377</v>
      </c>
    </row>
    <row r="442" spans="1:6" s="2036" customFormat="1" ht="30" x14ac:dyDescent="0.2">
      <c r="A442" s="2054" t="s">
        <v>5184</v>
      </c>
      <c r="B442" s="2054" t="s">
        <v>7116</v>
      </c>
      <c r="C442" s="2055" t="s">
        <v>8959</v>
      </c>
      <c r="D442" s="2056">
        <v>1080.72</v>
      </c>
      <c r="E442" s="2057">
        <f t="shared" si="26"/>
        <v>1.1930437429247694E-4</v>
      </c>
      <c r="F442" s="2057">
        <f t="shared" si="27"/>
        <v>0.9858166415606463</v>
      </c>
    </row>
    <row r="443" spans="1:6" s="2036" customFormat="1" ht="15" x14ac:dyDescent="0.2">
      <c r="A443" s="2054" t="s">
        <v>5184</v>
      </c>
      <c r="B443" s="2054" t="s">
        <v>9373</v>
      </c>
      <c r="C443" s="2055" t="s">
        <v>9094</v>
      </c>
      <c r="D443" s="2056">
        <v>1078.8</v>
      </c>
      <c r="E443" s="2057">
        <f t="shared" si="26"/>
        <v>1.1909241893064264E-4</v>
      </c>
      <c r="F443" s="2057">
        <f t="shared" si="27"/>
        <v>0.9859357339795769</v>
      </c>
    </row>
    <row r="444" spans="1:6" s="2036" customFormat="1" ht="15" x14ac:dyDescent="0.2">
      <c r="A444" s="2054" t="s">
        <v>5184</v>
      </c>
      <c r="B444" s="2054" t="s">
        <v>6985</v>
      </c>
      <c r="C444" s="2055" t="s">
        <v>5955</v>
      </c>
      <c r="D444" s="2056">
        <v>1076.04</v>
      </c>
      <c r="E444" s="2057">
        <f t="shared" si="26"/>
        <v>1.1878773309800584E-4</v>
      </c>
      <c r="F444" s="2057">
        <f t="shared" si="27"/>
        <v>0.98605452171267494</v>
      </c>
    </row>
    <row r="445" spans="1:6" s="2036" customFormat="1" ht="30" x14ac:dyDescent="0.2">
      <c r="A445" s="2054" t="s">
        <v>5184</v>
      </c>
      <c r="B445" s="2054" t="s">
        <v>7559</v>
      </c>
      <c r="C445" s="2055" t="s">
        <v>6672</v>
      </c>
      <c r="D445" s="2056">
        <v>1069.98</v>
      </c>
      <c r="E445" s="2057">
        <f t="shared" si="26"/>
        <v>1.1811874898721637E-4</v>
      </c>
      <c r="F445" s="2057">
        <f t="shared" si="27"/>
        <v>0.9861726404616622</v>
      </c>
    </row>
    <row r="446" spans="1:6" s="2036" customFormat="1" ht="15" x14ac:dyDescent="0.2">
      <c r="A446" s="2054" t="s">
        <v>5184</v>
      </c>
      <c r="B446" s="2054" t="s">
        <v>9506</v>
      </c>
      <c r="C446" s="2055" t="s">
        <v>9507</v>
      </c>
      <c r="D446" s="2056">
        <v>1067.75</v>
      </c>
      <c r="E446" s="2057">
        <f t="shared" si="26"/>
        <v>1.1787257166591925E-4</v>
      </c>
      <c r="F446" s="2057">
        <f t="shared" si="27"/>
        <v>0.98629051303332815</v>
      </c>
    </row>
    <row r="447" spans="1:6" s="2036" customFormat="1" ht="30" x14ac:dyDescent="0.2">
      <c r="A447" s="2054" t="s">
        <v>5184</v>
      </c>
      <c r="B447" s="2054" t="s">
        <v>9041</v>
      </c>
      <c r="C447" s="2055" t="s">
        <v>14981</v>
      </c>
      <c r="D447" s="2056">
        <v>1067.72</v>
      </c>
      <c r="E447" s="2057">
        <f t="shared" si="26"/>
        <v>1.1786925986339059E-4</v>
      </c>
      <c r="F447" s="2057">
        <f t="shared" si="27"/>
        <v>0.9864083822931915</v>
      </c>
    </row>
    <row r="448" spans="1:6" s="2036" customFormat="1" ht="45" x14ac:dyDescent="0.2">
      <c r="A448" s="2054" t="s">
        <v>5184</v>
      </c>
      <c r="B448" s="2054" t="s">
        <v>7436</v>
      </c>
      <c r="C448" s="2055" t="s">
        <v>7432</v>
      </c>
      <c r="D448" s="2056">
        <v>1061.92</v>
      </c>
      <c r="E448" s="2057">
        <f t="shared" si="26"/>
        <v>1.1722897804118284E-4</v>
      </c>
      <c r="F448" s="2057">
        <f t="shared" si="27"/>
        <v>0.98652561127123273</v>
      </c>
    </row>
    <row r="449" spans="1:6" s="2036" customFormat="1" ht="15" x14ac:dyDescent="0.2">
      <c r="A449" s="2054" t="s">
        <v>5184</v>
      </c>
      <c r="B449" s="2054" t="s">
        <v>7805</v>
      </c>
      <c r="C449" s="2055" t="s">
        <v>8302</v>
      </c>
      <c r="D449" s="2056">
        <v>1059.6600000000001</v>
      </c>
      <c r="E449" s="2057">
        <f t="shared" si="26"/>
        <v>1.1697948891735706E-4</v>
      </c>
      <c r="F449" s="2057">
        <f t="shared" si="27"/>
        <v>0.98664259076015004</v>
      </c>
    </row>
    <row r="450" spans="1:6" s="2036" customFormat="1" ht="15" x14ac:dyDescent="0.2">
      <c r="A450" s="2054" t="s">
        <v>5184</v>
      </c>
      <c r="B450" s="2054" t="s">
        <v>7175</v>
      </c>
      <c r="C450" s="2055" t="s">
        <v>7167</v>
      </c>
      <c r="D450" s="2056">
        <v>1053.8399999999999</v>
      </c>
      <c r="E450" s="2057">
        <f t="shared" si="26"/>
        <v>1.1633699922679685E-4</v>
      </c>
      <c r="F450" s="2057">
        <f t="shared" si="27"/>
        <v>0.98675892775937679</v>
      </c>
    </row>
    <row r="451" spans="1:6" s="2036" customFormat="1" ht="15" x14ac:dyDescent="0.2">
      <c r="A451" s="2054" t="s">
        <v>5184</v>
      </c>
      <c r="B451" s="2054" t="s">
        <v>8899</v>
      </c>
      <c r="C451" s="2055" t="s">
        <v>6058</v>
      </c>
      <c r="D451" s="2056">
        <v>1052.1600000000001</v>
      </c>
      <c r="E451" s="2057">
        <f t="shared" si="26"/>
        <v>1.1615153828519186E-4</v>
      </c>
      <c r="F451" s="2057">
        <f t="shared" si="27"/>
        <v>0.98687507929766194</v>
      </c>
    </row>
    <row r="452" spans="1:6" s="2036" customFormat="1" ht="30" x14ac:dyDescent="0.2">
      <c r="A452" s="2054" t="s">
        <v>5184</v>
      </c>
      <c r="B452" s="2054" t="s">
        <v>5890</v>
      </c>
      <c r="C452" s="2055" t="s">
        <v>5891</v>
      </c>
      <c r="D452" s="2056">
        <v>1050.6600000000001</v>
      </c>
      <c r="E452" s="2057">
        <f t="shared" si="26"/>
        <v>1.1598594815875882E-4</v>
      </c>
      <c r="F452" s="2057">
        <f t="shared" si="27"/>
        <v>0.9869910652458207</v>
      </c>
    </row>
    <row r="453" spans="1:6" s="2036" customFormat="1" ht="30" x14ac:dyDescent="0.2">
      <c r="A453" s="2054" t="s">
        <v>5184</v>
      </c>
      <c r="B453" s="2054" t="s">
        <v>7401</v>
      </c>
      <c r="C453" s="2055" t="s">
        <v>7398</v>
      </c>
      <c r="D453" s="2056">
        <v>1047.0899999999999</v>
      </c>
      <c r="E453" s="2057">
        <f t="shared" si="26"/>
        <v>1.1559184365784817E-4</v>
      </c>
      <c r="F453" s="2057">
        <f t="shared" si="27"/>
        <v>0.98710665708947853</v>
      </c>
    </row>
    <row r="454" spans="1:6" s="2036" customFormat="1" ht="15" x14ac:dyDescent="0.2">
      <c r="A454" s="2054" t="s">
        <v>5184</v>
      </c>
      <c r="B454" s="2054" t="s">
        <v>7526</v>
      </c>
      <c r="C454" s="2055" t="s">
        <v>6092</v>
      </c>
      <c r="D454" s="2056">
        <v>1044.8699999999999</v>
      </c>
      <c r="E454" s="2057">
        <f t="shared" si="26"/>
        <v>1.1534677027072726E-4</v>
      </c>
      <c r="F454" s="2057">
        <f t="shared" si="27"/>
        <v>0.98722200385974923</v>
      </c>
    </row>
    <row r="455" spans="1:6" s="2036" customFormat="1" ht="15" x14ac:dyDescent="0.2">
      <c r="A455" s="2054" t="s">
        <v>5184</v>
      </c>
      <c r="B455" s="2054" t="s">
        <v>9332</v>
      </c>
      <c r="C455" s="2055" t="s">
        <v>9078</v>
      </c>
      <c r="D455" s="2056">
        <v>1039.05</v>
      </c>
      <c r="E455" s="2057">
        <f t="shared" si="26"/>
        <v>1.1470428058016707E-4</v>
      </c>
      <c r="F455" s="2057">
        <f t="shared" si="27"/>
        <v>0.98733670814032937</v>
      </c>
    </row>
    <row r="456" spans="1:6" s="2006" customFormat="1" ht="30" x14ac:dyDescent="0.2">
      <c r="A456" s="2004" t="s">
        <v>15149</v>
      </c>
      <c r="B456" s="2004" t="s">
        <v>0</v>
      </c>
      <c r="C456" s="2004" t="s">
        <v>1</v>
      </c>
      <c r="D456" s="1990" t="s">
        <v>130</v>
      </c>
      <c r="E456" s="1989" t="s">
        <v>15139</v>
      </c>
      <c r="F456" s="1990" t="s">
        <v>15140</v>
      </c>
    </row>
    <row r="457" spans="1:6" s="2036" customFormat="1" ht="15" x14ac:dyDescent="0.2">
      <c r="A457" s="2054" t="s">
        <v>5184</v>
      </c>
      <c r="B457" s="2054" t="s">
        <v>7057</v>
      </c>
      <c r="C457" s="2055" t="s">
        <v>6141</v>
      </c>
      <c r="D457" s="2056">
        <v>1038.8699999999999</v>
      </c>
      <c r="E457" s="2057">
        <f t="shared" ref="E457:E495" si="28">D457/SUM(D:D)</f>
        <v>1.146844097649951E-4</v>
      </c>
      <c r="F457" s="2057">
        <f>E457+F455</f>
        <v>0.9874513925500944</v>
      </c>
    </row>
    <row r="458" spans="1:6" s="2036" customFormat="1" ht="15" x14ac:dyDescent="0.2">
      <c r="A458" s="2054" t="s">
        <v>5184</v>
      </c>
      <c r="B458" s="2054" t="s">
        <v>9430</v>
      </c>
      <c r="C458" s="2055" t="s">
        <v>9126</v>
      </c>
      <c r="D458" s="2056">
        <v>1028.75</v>
      </c>
      <c r="E458" s="2057">
        <f t="shared" si="28"/>
        <v>1.135672283786602E-4</v>
      </c>
      <c r="F458" s="2057">
        <f>E458+F457</f>
        <v>0.98756495977847303</v>
      </c>
    </row>
    <row r="459" spans="1:6" s="2036" customFormat="1" ht="15" x14ac:dyDescent="0.2">
      <c r="A459" s="2054" t="s">
        <v>5184</v>
      </c>
      <c r="B459" s="2054" t="s">
        <v>6218</v>
      </c>
      <c r="C459" s="2055" t="s">
        <v>6216</v>
      </c>
      <c r="D459" s="2056">
        <v>1028.6500000000001</v>
      </c>
      <c r="E459" s="2057">
        <f t="shared" si="28"/>
        <v>1.13556189036898E-4</v>
      </c>
      <c r="F459" s="2057">
        <f t="shared" si="27"/>
        <v>0.98767851596750988</v>
      </c>
    </row>
    <row r="460" spans="1:6" s="2036" customFormat="1" ht="15" x14ac:dyDescent="0.2">
      <c r="A460" s="2054" t="s">
        <v>5184</v>
      </c>
      <c r="B460" s="2054" t="s">
        <v>7813</v>
      </c>
      <c r="C460" s="2055" t="s">
        <v>5911</v>
      </c>
      <c r="D460" s="2056">
        <v>1015.2</v>
      </c>
      <c r="E460" s="2057">
        <f t="shared" si="28"/>
        <v>1.1207139756988174E-4</v>
      </c>
      <c r="F460" s="2057">
        <f>E460+F459</f>
        <v>0.98779058736507974</v>
      </c>
    </row>
    <row r="461" spans="1:6" s="2036" customFormat="1" ht="30" x14ac:dyDescent="0.2">
      <c r="A461" s="2054" t="s">
        <v>5184</v>
      </c>
      <c r="B461" s="2054" t="s">
        <v>7112</v>
      </c>
      <c r="C461" s="2055" t="s">
        <v>8954</v>
      </c>
      <c r="D461" s="2056">
        <v>1005.72</v>
      </c>
      <c r="E461" s="2057">
        <f t="shared" si="28"/>
        <v>1.1102486797082492E-4</v>
      </c>
      <c r="F461" s="2057">
        <f>E461+F460</f>
        <v>0.98790161223305062</v>
      </c>
    </row>
    <row r="462" spans="1:6" s="2036" customFormat="1" ht="30" x14ac:dyDescent="0.2">
      <c r="A462" s="2054" t="s">
        <v>5184</v>
      </c>
      <c r="B462" s="2054" t="s">
        <v>7510</v>
      </c>
      <c r="C462" s="2055" t="s">
        <v>6076</v>
      </c>
      <c r="D462" s="2056">
        <v>1002.24</v>
      </c>
      <c r="E462" s="2057">
        <f t="shared" si="28"/>
        <v>1.1064069887750026E-4</v>
      </c>
      <c r="F462" s="2057">
        <f t="shared" ref="F462:F498" si="29">E462+F461</f>
        <v>0.98801225293192807</v>
      </c>
    </row>
    <row r="463" spans="1:6" s="2036" customFormat="1" ht="30" x14ac:dyDescent="0.2">
      <c r="A463" s="2054" t="s">
        <v>5184</v>
      </c>
      <c r="B463" s="2054" t="s">
        <v>7030</v>
      </c>
      <c r="C463" s="2055" t="s">
        <v>6003</v>
      </c>
      <c r="D463" s="2056">
        <v>1001.11</v>
      </c>
      <c r="E463" s="2057">
        <f t="shared" si="28"/>
        <v>1.1051595431558738E-4</v>
      </c>
      <c r="F463" s="2057">
        <f t="shared" si="29"/>
        <v>0.98812276888624362</v>
      </c>
    </row>
    <row r="464" spans="1:6" s="2036" customFormat="1" ht="15" x14ac:dyDescent="0.2">
      <c r="A464" s="2054" t="s">
        <v>5184</v>
      </c>
      <c r="B464" s="2054" t="s">
        <v>6820</v>
      </c>
      <c r="C464" s="2055" t="s">
        <v>6805</v>
      </c>
      <c r="D464" s="2056">
        <v>1000</v>
      </c>
      <c r="E464" s="2057">
        <f t="shared" si="28"/>
        <v>1.1039341762202692E-4</v>
      </c>
      <c r="F464" s="2057">
        <f t="shared" si="29"/>
        <v>0.9882331623038656</v>
      </c>
    </row>
    <row r="465" spans="1:6" s="2036" customFormat="1" ht="15" x14ac:dyDescent="0.2">
      <c r="A465" s="2054" t="s">
        <v>5184</v>
      </c>
      <c r="B465" s="2054" t="s">
        <v>7524</v>
      </c>
      <c r="C465" s="2055" t="s">
        <v>6090</v>
      </c>
      <c r="D465" s="2056">
        <v>983.33</v>
      </c>
      <c r="E465" s="2057">
        <f t="shared" si="28"/>
        <v>1.0855315935026774E-4</v>
      </c>
      <c r="F465" s="2057">
        <f t="shared" si="29"/>
        <v>0.98834171546321592</v>
      </c>
    </row>
    <row r="466" spans="1:6" s="2036" customFormat="1" ht="45" x14ac:dyDescent="0.2">
      <c r="A466" s="2054" t="s">
        <v>5184</v>
      </c>
      <c r="B466" s="2054" t="s">
        <v>9395</v>
      </c>
      <c r="C466" s="2055" t="s">
        <v>9393</v>
      </c>
      <c r="D466" s="2056">
        <v>980.56</v>
      </c>
      <c r="E466" s="2057">
        <f t="shared" si="28"/>
        <v>1.0824736958345471E-4</v>
      </c>
      <c r="F466" s="2057">
        <f t="shared" si="29"/>
        <v>0.9884499628327994</v>
      </c>
    </row>
    <row r="467" spans="1:6" s="2036" customFormat="1" ht="15" x14ac:dyDescent="0.2">
      <c r="A467" s="2054" t="s">
        <v>5184</v>
      </c>
      <c r="B467" s="2054" t="s">
        <v>9029</v>
      </c>
      <c r="C467" s="2055" t="s">
        <v>9034</v>
      </c>
      <c r="D467" s="2056">
        <v>978.51</v>
      </c>
      <c r="E467" s="2057">
        <f t="shared" si="28"/>
        <v>1.0802106307732956E-4</v>
      </c>
      <c r="F467" s="2057">
        <f t="shared" si="29"/>
        <v>0.98855798389587668</v>
      </c>
    </row>
    <row r="468" spans="1:6" s="2036" customFormat="1" ht="30" x14ac:dyDescent="0.2">
      <c r="A468" s="2054" t="s">
        <v>5184</v>
      </c>
      <c r="B468" s="2054" t="s">
        <v>8887</v>
      </c>
      <c r="C468" s="2055" t="s">
        <v>8886</v>
      </c>
      <c r="D468" s="2056">
        <v>977.26</v>
      </c>
      <c r="E468" s="2057">
        <f t="shared" si="28"/>
        <v>1.0788307130530203E-4</v>
      </c>
      <c r="F468" s="2057">
        <f t="shared" si="29"/>
        <v>0.98866586696718195</v>
      </c>
    </row>
    <row r="469" spans="1:6" s="2036" customFormat="1" ht="15" x14ac:dyDescent="0.2">
      <c r="A469" s="2054" t="s">
        <v>5184</v>
      </c>
      <c r="B469" s="2054" t="s">
        <v>6824</v>
      </c>
      <c r="C469" s="2055" t="s">
        <v>6905</v>
      </c>
      <c r="D469" s="2056">
        <v>976.14</v>
      </c>
      <c r="E469" s="2057">
        <f t="shared" si="28"/>
        <v>1.0775943067756536E-4</v>
      </c>
      <c r="F469" s="2057">
        <f t="shared" si="29"/>
        <v>0.98877362639785948</v>
      </c>
    </row>
    <row r="470" spans="1:6" s="2036" customFormat="1" ht="15" x14ac:dyDescent="0.2">
      <c r="A470" s="2054" t="s">
        <v>5184</v>
      </c>
      <c r="B470" s="2054" t="s">
        <v>6987</v>
      </c>
      <c r="C470" s="2055" t="s">
        <v>5957</v>
      </c>
      <c r="D470" s="2056">
        <v>958.5</v>
      </c>
      <c r="E470" s="2057">
        <f t="shared" si="28"/>
        <v>1.0581209079071281E-4</v>
      </c>
      <c r="F470" s="2057">
        <f t="shared" si="29"/>
        <v>0.98887943848865023</v>
      </c>
    </row>
    <row r="471" spans="1:6" s="2036" customFormat="1" ht="15" x14ac:dyDescent="0.2">
      <c r="A471" s="2054" t="s">
        <v>5184</v>
      </c>
      <c r="B471" s="2054" t="s">
        <v>7062</v>
      </c>
      <c r="C471" s="2055" t="s">
        <v>14979</v>
      </c>
      <c r="D471" s="2056">
        <v>949.1</v>
      </c>
      <c r="E471" s="2057">
        <f t="shared" si="28"/>
        <v>1.0477439266506576E-4</v>
      </c>
      <c r="F471" s="2057">
        <f t="shared" si="29"/>
        <v>0.98898421288131533</v>
      </c>
    </row>
    <row r="472" spans="1:6" s="2036" customFormat="1" ht="30" x14ac:dyDescent="0.2">
      <c r="A472" s="2054" t="s">
        <v>5184</v>
      </c>
      <c r="B472" s="2058" t="s">
        <v>4985</v>
      </c>
      <c r="C472" s="2058" t="s">
        <v>9480</v>
      </c>
      <c r="D472" s="2056">
        <v>919.64</v>
      </c>
      <c r="E472" s="2057">
        <f t="shared" si="28"/>
        <v>1.0152220258192084E-4</v>
      </c>
      <c r="F472" s="2057">
        <f t="shared" si="29"/>
        <v>0.9890857350838973</v>
      </c>
    </row>
    <row r="473" spans="1:6" s="2036" customFormat="1" ht="15" x14ac:dyDescent="0.2">
      <c r="A473" s="2054" t="s">
        <v>5184</v>
      </c>
      <c r="B473" s="2054" t="s">
        <v>6840</v>
      </c>
      <c r="C473" s="2055" t="s">
        <v>6816</v>
      </c>
      <c r="D473" s="2056">
        <v>912.9</v>
      </c>
      <c r="E473" s="2057">
        <f t="shared" si="28"/>
        <v>1.0077815094714838E-4</v>
      </c>
      <c r="F473" s="2057">
        <f t="shared" si="29"/>
        <v>0.98918651323484441</v>
      </c>
    </row>
    <row r="474" spans="1:6" s="2036" customFormat="1" ht="15" x14ac:dyDescent="0.2">
      <c r="A474" s="2054" t="s">
        <v>5184</v>
      </c>
      <c r="B474" s="2054" t="s">
        <v>7320</v>
      </c>
      <c r="C474" s="2055" t="s">
        <v>7826</v>
      </c>
      <c r="D474" s="2056">
        <v>906.78</v>
      </c>
      <c r="E474" s="2057">
        <f t="shared" si="28"/>
        <v>1.0010254323130157E-4</v>
      </c>
      <c r="F474" s="2057">
        <f t="shared" si="29"/>
        <v>0.98928661577807575</v>
      </c>
    </row>
    <row r="475" spans="1:6" s="2064" customFormat="1" ht="30" x14ac:dyDescent="0.2">
      <c r="A475" s="2054" t="s">
        <v>5184</v>
      </c>
      <c r="B475" s="2054" t="s">
        <v>7811</v>
      </c>
      <c r="C475" s="2055" t="s">
        <v>5909</v>
      </c>
      <c r="D475" s="2056">
        <v>905.22</v>
      </c>
      <c r="E475" s="2057">
        <f t="shared" si="28"/>
        <v>9.9930329499811212E-5</v>
      </c>
      <c r="F475" s="2057">
        <f t="shared" si="29"/>
        <v>0.98938654610757559</v>
      </c>
    </row>
    <row r="476" spans="1:6" s="2036" customFormat="1" ht="30" x14ac:dyDescent="0.2">
      <c r="A476" s="2054" t="s">
        <v>5184</v>
      </c>
      <c r="B476" s="2054" t="s">
        <v>7139</v>
      </c>
      <c r="C476" s="2055" t="s">
        <v>7211</v>
      </c>
      <c r="D476" s="2056">
        <v>902.72</v>
      </c>
      <c r="E476" s="2057">
        <f t="shared" si="28"/>
        <v>9.9654345955756154E-5</v>
      </c>
      <c r="F476" s="2057">
        <f t="shared" si="29"/>
        <v>0.98948620045353131</v>
      </c>
    </row>
    <row r="477" spans="1:6" s="2064" customFormat="1" ht="30" x14ac:dyDescent="0.2">
      <c r="A477" s="2054" t="s">
        <v>5184</v>
      </c>
      <c r="B477" s="2054" t="s">
        <v>7088</v>
      </c>
      <c r="C477" s="2055" t="s">
        <v>8966</v>
      </c>
      <c r="D477" s="2056">
        <v>896.32</v>
      </c>
      <c r="E477" s="2057">
        <f t="shared" si="28"/>
        <v>9.8947828082975183E-5</v>
      </c>
      <c r="F477" s="2057">
        <f t="shared" si="29"/>
        <v>0.98958514828161426</v>
      </c>
    </row>
    <row r="478" spans="1:6" s="2036" customFormat="1" ht="30" x14ac:dyDescent="0.2">
      <c r="A478" s="2054" t="s">
        <v>5184</v>
      </c>
      <c r="B478" s="2054" t="s">
        <v>5898</v>
      </c>
      <c r="C478" s="2055" t="s">
        <v>5897</v>
      </c>
      <c r="D478" s="2056">
        <v>877.2</v>
      </c>
      <c r="E478" s="2057">
        <f t="shared" si="28"/>
        <v>9.6837105938042025E-5</v>
      </c>
      <c r="F478" s="2057">
        <f t="shared" si="29"/>
        <v>0.98968198538755225</v>
      </c>
    </row>
    <row r="479" spans="1:6" s="2036" customFormat="1" ht="30" x14ac:dyDescent="0.2">
      <c r="A479" s="2054" t="s">
        <v>5184</v>
      </c>
      <c r="B479" s="2058" t="s">
        <v>7341</v>
      </c>
      <c r="C479" s="2058" t="s">
        <v>7339</v>
      </c>
      <c r="D479" s="2056">
        <v>876.69</v>
      </c>
      <c r="E479" s="2057">
        <f t="shared" si="28"/>
        <v>9.6780805295054793E-5</v>
      </c>
      <c r="F479" s="2057">
        <f t="shared" si="29"/>
        <v>0.98977876619284733</v>
      </c>
    </row>
    <row r="480" spans="1:6" s="2036" customFormat="1" ht="30" x14ac:dyDescent="0.2">
      <c r="A480" s="2054" t="s">
        <v>5184</v>
      </c>
      <c r="B480" s="2054" t="s">
        <v>7138</v>
      </c>
      <c r="C480" s="2055" t="s">
        <v>6178</v>
      </c>
      <c r="D480" s="2056">
        <v>872.85</v>
      </c>
      <c r="E480" s="2057">
        <f t="shared" si="28"/>
        <v>9.6356894571386203E-5</v>
      </c>
      <c r="F480" s="2057">
        <f t="shared" si="29"/>
        <v>0.98987512308741876</v>
      </c>
    </row>
    <row r="481" spans="1:6" s="2036" customFormat="1" ht="15" x14ac:dyDescent="0.2">
      <c r="A481" s="2054" t="s">
        <v>5184</v>
      </c>
      <c r="B481" s="2054" t="s">
        <v>5785</v>
      </c>
      <c r="C481" s="2055" t="s">
        <v>5783</v>
      </c>
      <c r="D481" s="2056">
        <v>872.62</v>
      </c>
      <c r="E481" s="2057">
        <f t="shared" si="28"/>
        <v>9.6331504085333137E-5</v>
      </c>
      <c r="F481" s="2057">
        <f t="shared" si="29"/>
        <v>0.98997145459150404</v>
      </c>
    </row>
    <row r="482" spans="1:6" s="2036" customFormat="1" ht="30" x14ac:dyDescent="0.2">
      <c r="A482" s="2054" t="s">
        <v>5184</v>
      </c>
      <c r="B482" s="2054" t="s">
        <v>5894</v>
      </c>
      <c r="C482" s="2055" t="s">
        <v>7278</v>
      </c>
      <c r="D482" s="2056">
        <v>870.98</v>
      </c>
      <c r="E482" s="2057">
        <f t="shared" si="28"/>
        <v>9.6150458880433007E-5</v>
      </c>
      <c r="F482" s="2057">
        <f t="shared" si="29"/>
        <v>0.99006760505038449</v>
      </c>
    </row>
    <row r="483" spans="1:6" s="2036" customFormat="1" ht="15" x14ac:dyDescent="0.2">
      <c r="A483" s="2054" t="s">
        <v>5184</v>
      </c>
      <c r="B483" s="2054" t="s">
        <v>7183</v>
      </c>
      <c r="C483" s="2055" t="s">
        <v>7174</v>
      </c>
      <c r="D483" s="2056">
        <v>870.48</v>
      </c>
      <c r="E483" s="2057">
        <f t="shared" si="28"/>
        <v>9.6095262171621998E-5</v>
      </c>
      <c r="F483" s="2057">
        <f t="shared" si="29"/>
        <v>0.99016370031255607</v>
      </c>
    </row>
    <row r="484" spans="1:6" s="2036" customFormat="1" ht="15" x14ac:dyDescent="0.2">
      <c r="A484" s="2054" t="s">
        <v>5184</v>
      </c>
      <c r="B484" s="2054" t="s">
        <v>7269</v>
      </c>
      <c r="C484" s="2055" t="s">
        <v>7226</v>
      </c>
      <c r="D484" s="2056">
        <v>869.4</v>
      </c>
      <c r="E484" s="2057">
        <f t="shared" si="28"/>
        <v>9.5976037280590213E-5</v>
      </c>
      <c r="F484" s="2057">
        <f t="shared" si="29"/>
        <v>0.99025967634983669</v>
      </c>
    </row>
    <row r="485" spans="1:6" s="2036" customFormat="1" ht="15" x14ac:dyDescent="0.2">
      <c r="A485" s="2054" t="s">
        <v>5184</v>
      </c>
      <c r="B485" s="2054" t="s">
        <v>7222</v>
      </c>
      <c r="C485" s="2055" t="s">
        <v>7151</v>
      </c>
      <c r="D485" s="2056">
        <v>858.65</v>
      </c>
      <c r="E485" s="2057">
        <f t="shared" si="28"/>
        <v>9.478930804115342E-5</v>
      </c>
      <c r="F485" s="2057">
        <f t="shared" si="29"/>
        <v>0.99035446565787788</v>
      </c>
    </row>
    <row r="486" spans="1:6" s="2036" customFormat="1" ht="15" x14ac:dyDescent="0.2">
      <c r="A486" s="2054" t="s">
        <v>5184</v>
      </c>
      <c r="B486" s="2054" t="s">
        <v>7267</v>
      </c>
      <c r="C486" s="2055" t="s">
        <v>6134</v>
      </c>
      <c r="D486" s="2056">
        <v>832</v>
      </c>
      <c r="E486" s="2057">
        <f t="shared" si="28"/>
        <v>9.1847323461526407E-5</v>
      </c>
      <c r="F486" s="2057">
        <f t="shared" si="29"/>
        <v>0.99044631298133945</v>
      </c>
    </row>
    <row r="487" spans="1:6" s="2036" customFormat="1" ht="30" x14ac:dyDescent="0.2">
      <c r="A487" s="2054" t="s">
        <v>5184</v>
      </c>
      <c r="B487" s="2054" t="s">
        <v>7730</v>
      </c>
      <c r="C487" s="2055" t="s">
        <v>9314</v>
      </c>
      <c r="D487" s="2056">
        <v>831.35</v>
      </c>
      <c r="E487" s="2057">
        <f t="shared" si="28"/>
        <v>9.1775567740072085E-5</v>
      </c>
      <c r="F487" s="2057">
        <f t="shared" si="29"/>
        <v>0.99053808854907954</v>
      </c>
    </row>
    <row r="488" spans="1:6" s="2036" customFormat="1" ht="45" x14ac:dyDescent="0.2">
      <c r="A488" s="2054" t="s">
        <v>5184</v>
      </c>
      <c r="B488" s="2054" t="s">
        <v>9403</v>
      </c>
      <c r="C488" s="2055" t="s">
        <v>9399</v>
      </c>
      <c r="D488" s="2056">
        <v>827.76</v>
      </c>
      <c r="E488" s="2057">
        <f t="shared" si="28"/>
        <v>9.1379255370809006E-5</v>
      </c>
      <c r="F488" s="2057">
        <f t="shared" si="29"/>
        <v>0.99062946780445038</v>
      </c>
    </row>
    <row r="489" spans="1:6" s="2036" customFormat="1" ht="30" x14ac:dyDescent="0.2">
      <c r="A489" s="2054" t="s">
        <v>5184</v>
      </c>
      <c r="B489" s="2054" t="s">
        <v>6232</v>
      </c>
      <c r="C489" s="2055" t="s">
        <v>6227</v>
      </c>
      <c r="D489" s="2056">
        <v>826.08</v>
      </c>
      <c r="E489" s="2057">
        <f t="shared" si="28"/>
        <v>9.1193794429204013E-5</v>
      </c>
      <c r="F489" s="2057">
        <f t="shared" si="29"/>
        <v>0.99072066159887962</v>
      </c>
    </row>
    <row r="490" spans="1:6" s="2036" customFormat="1" ht="30" x14ac:dyDescent="0.2">
      <c r="A490" s="2054" t="s">
        <v>5184</v>
      </c>
      <c r="B490" s="2054" t="s">
        <v>7039</v>
      </c>
      <c r="C490" s="2055" t="s">
        <v>8943</v>
      </c>
      <c r="D490" s="2056">
        <v>822.79</v>
      </c>
      <c r="E490" s="2057">
        <f t="shared" si="28"/>
        <v>9.0830600085227531E-5</v>
      </c>
      <c r="F490" s="2057">
        <f t="shared" si="29"/>
        <v>0.9908114921989648</v>
      </c>
    </row>
    <row r="491" spans="1:6" s="2036" customFormat="1" ht="15" x14ac:dyDescent="0.2">
      <c r="A491" s="2054" t="s">
        <v>5184</v>
      </c>
      <c r="B491" s="2054" t="s">
        <v>6272</v>
      </c>
      <c r="C491" s="2055" t="s">
        <v>6270</v>
      </c>
      <c r="D491" s="2056">
        <v>815.5</v>
      </c>
      <c r="E491" s="2057">
        <f t="shared" si="28"/>
        <v>9.0025832070762964E-5</v>
      </c>
      <c r="F491" s="2057">
        <f t="shared" si="29"/>
        <v>0.99090151803103554</v>
      </c>
    </row>
    <row r="492" spans="1:6" s="2036" customFormat="1" ht="45" x14ac:dyDescent="0.2">
      <c r="A492" s="2054" t="s">
        <v>5184</v>
      </c>
      <c r="B492" s="2054" t="s">
        <v>7315</v>
      </c>
      <c r="C492" s="2055" t="s">
        <v>7439</v>
      </c>
      <c r="D492" s="2056">
        <v>811.37</v>
      </c>
      <c r="E492" s="2057">
        <f t="shared" si="28"/>
        <v>8.9569907255983985E-5</v>
      </c>
      <c r="F492" s="2057">
        <f t="shared" si="29"/>
        <v>0.99099108793829149</v>
      </c>
    </row>
    <row r="493" spans="1:6" s="2036" customFormat="1" ht="15" x14ac:dyDescent="0.2">
      <c r="A493" s="2054" t="s">
        <v>5184</v>
      </c>
      <c r="B493" s="2054" t="s">
        <v>7810</v>
      </c>
      <c r="C493" s="2055" t="s">
        <v>5908</v>
      </c>
      <c r="D493" s="2056">
        <v>805.76</v>
      </c>
      <c r="E493" s="2057">
        <f t="shared" si="28"/>
        <v>8.8950600183124412E-5</v>
      </c>
      <c r="F493" s="2057">
        <f t="shared" si="29"/>
        <v>0.99108003853847459</v>
      </c>
    </row>
    <row r="494" spans="1:6" s="2036" customFormat="1" ht="15" x14ac:dyDescent="0.2">
      <c r="A494" s="2054" t="s">
        <v>5184</v>
      </c>
      <c r="B494" s="2054" t="s">
        <v>15092</v>
      </c>
      <c r="C494" s="2055" t="s">
        <v>7166</v>
      </c>
      <c r="D494" s="2056">
        <v>796.51</v>
      </c>
      <c r="E494" s="2057">
        <f t="shared" si="28"/>
        <v>8.7929461070120659E-5</v>
      </c>
      <c r="F494" s="2057">
        <f t="shared" si="29"/>
        <v>0.99116796799954476</v>
      </c>
    </row>
    <row r="495" spans="1:6" s="2036" customFormat="1" ht="15" x14ac:dyDescent="0.2">
      <c r="A495" s="2054" t="s">
        <v>5184</v>
      </c>
      <c r="B495" s="2054" t="s">
        <v>6964</v>
      </c>
      <c r="C495" s="2055" t="s">
        <v>5926</v>
      </c>
      <c r="D495" s="2056">
        <v>786.29</v>
      </c>
      <c r="E495" s="2057">
        <f t="shared" si="28"/>
        <v>8.6801240342023543E-5</v>
      </c>
      <c r="F495" s="2057">
        <f t="shared" si="29"/>
        <v>0.99125476923988676</v>
      </c>
    </row>
    <row r="496" spans="1:6" s="2006" customFormat="1" ht="30" x14ac:dyDescent="0.2">
      <c r="A496" s="2004" t="s">
        <v>15149</v>
      </c>
      <c r="B496" s="2004" t="s">
        <v>0</v>
      </c>
      <c r="C496" s="2004" t="s">
        <v>1</v>
      </c>
      <c r="D496" s="1990" t="s">
        <v>130</v>
      </c>
      <c r="E496" s="1989" t="s">
        <v>15139</v>
      </c>
      <c r="F496" s="1990" t="s">
        <v>15140</v>
      </c>
    </row>
    <row r="497" spans="1:6" s="2036" customFormat="1" ht="45" x14ac:dyDescent="0.2">
      <c r="A497" s="2054" t="s">
        <v>5184</v>
      </c>
      <c r="B497" s="2054" t="s">
        <v>15063</v>
      </c>
      <c r="C497" s="2055" t="s">
        <v>7369</v>
      </c>
      <c r="D497" s="2056">
        <v>784.25</v>
      </c>
      <c r="E497" s="2057">
        <f t="shared" ref="E497:E535" si="30">D497/SUM(D:D)</f>
        <v>8.6576037770074617E-5</v>
      </c>
      <c r="F497" s="2057">
        <f>E497+F495</f>
        <v>0.99134134527765683</v>
      </c>
    </row>
    <row r="498" spans="1:6" s="2036" customFormat="1" ht="15" x14ac:dyDescent="0.2">
      <c r="A498" s="2054" t="s">
        <v>5184</v>
      </c>
      <c r="B498" s="2054" t="s">
        <v>6013</v>
      </c>
      <c r="C498" s="2055" t="s">
        <v>5995</v>
      </c>
      <c r="D498" s="2056">
        <v>776.14</v>
      </c>
      <c r="E498" s="2057">
        <f t="shared" si="30"/>
        <v>8.5680747153159972E-5</v>
      </c>
      <c r="F498" s="2057">
        <f t="shared" si="29"/>
        <v>0.99142702602481003</v>
      </c>
    </row>
    <row r="499" spans="1:6" s="2036" customFormat="1" ht="30" x14ac:dyDescent="0.2">
      <c r="A499" s="2054" t="s">
        <v>5184</v>
      </c>
      <c r="B499" s="2054" t="s">
        <v>7078</v>
      </c>
      <c r="C499" s="2055" t="s">
        <v>7091</v>
      </c>
      <c r="D499" s="2056">
        <v>772.45</v>
      </c>
      <c r="E499" s="2057">
        <f t="shared" si="30"/>
        <v>8.5273395442134707E-5</v>
      </c>
      <c r="F499" s="2057">
        <f>E499+F498</f>
        <v>0.99151229942025221</v>
      </c>
    </row>
    <row r="500" spans="1:6" s="2036" customFormat="1" ht="30" x14ac:dyDescent="0.2">
      <c r="A500" s="2054" t="s">
        <v>5184</v>
      </c>
      <c r="B500" s="2054" t="s">
        <v>7546</v>
      </c>
      <c r="C500" s="2055" t="s">
        <v>6111</v>
      </c>
      <c r="D500" s="2056">
        <v>766.25</v>
      </c>
      <c r="E500" s="2057">
        <f t="shared" si="30"/>
        <v>8.4588956252878135E-5</v>
      </c>
      <c r="F500" s="2057">
        <f>E500+F499</f>
        <v>0.99159688837650506</v>
      </c>
    </row>
    <row r="501" spans="1:6" s="2036" customFormat="1" ht="30" x14ac:dyDescent="0.2">
      <c r="A501" s="2054" t="s">
        <v>5184</v>
      </c>
      <c r="B501" s="2054" t="s">
        <v>7030</v>
      </c>
      <c r="C501" s="2055" t="s">
        <v>6687</v>
      </c>
      <c r="D501" s="2056">
        <v>760.8</v>
      </c>
      <c r="E501" s="2057">
        <f t="shared" si="30"/>
        <v>8.3987312126838082E-5</v>
      </c>
      <c r="F501" s="2057">
        <f t="shared" ref="F501:F538" si="31">E501+F500</f>
        <v>0.99168087568863195</v>
      </c>
    </row>
    <row r="502" spans="1:6" s="2036" customFormat="1" ht="15" x14ac:dyDescent="0.2">
      <c r="A502" s="2054" t="s">
        <v>5184</v>
      </c>
      <c r="B502" s="2054" t="s">
        <v>7155</v>
      </c>
      <c r="C502" s="2055" t="s">
        <v>6137</v>
      </c>
      <c r="D502" s="2056">
        <v>751.11</v>
      </c>
      <c r="E502" s="2057">
        <f t="shared" si="30"/>
        <v>8.2917599910080643E-5</v>
      </c>
      <c r="F502" s="2057">
        <f t="shared" si="31"/>
        <v>0.99176379328854203</v>
      </c>
    </row>
    <row r="503" spans="1:6" s="2036" customFormat="1" ht="30" x14ac:dyDescent="0.2">
      <c r="A503" s="2054" t="s">
        <v>5184</v>
      </c>
      <c r="B503" s="2054" t="s">
        <v>6991</v>
      </c>
      <c r="C503" s="2055" t="s">
        <v>5960</v>
      </c>
      <c r="D503" s="2056">
        <v>749.1</v>
      </c>
      <c r="E503" s="2057">
        <f t="shared" si="30"/>
        <v>8.2695709140660371E-5</v>
      </c>
      <c r="F503" s="2057">
        <f t="shared" si="31"/>
        <v>0.99184648899768268</v>
      </c>
    </row>
    <row r="504" spans="1:6" s="2036" customFormat="1" ht="15" x14ac:dyDescent="0.2">
      <c r="A504" s="2054" t="s">
        <v>5184</v>
      </c>
      <c r="B504" s="2054" t="s">
        <v>7161</v>
      </c>
      <c r="C504" s="2055" t="s">
        <v>7153</v>
      </c>
      <c r="D504" s="2056">
        <v>738.72</v>
      </c>
      <c r="E504" s="2057">
        <f t="shared" si="30"/>
        <v>8.1549825465743734E-5</v>
      </c>
      <c r="F504" s="2057">
        <f t="shared" si="31"/>
        <v>0.99192803882314839</v>
      </c>
    </row>
    <row r="505" spans="1:6" s="2036" customFormat="1" ht="15" x14ac:dyDescent="0.2">
      <c r="A505" s="2054" t="s">
        <v>5184</v>
      </c>
      <c r="B505" s="2054" t="s">
        <v>15089</v>
      </c>
      <c r="C505" s="2055" t="s">
        <v>8305</v>
      </c>
      <c r="D505" s="2056">
        <v>730.65</v>
      </c>
      <c r="E505" s="2057">
        <f t="shared" si="30"/>
        <v>8.0658950585533966E-5</v>
      </c>
      <c r="F505" s="2057">
        <f t="shared" si="31"/>
        <v>0.99200869777373391</v>
      </c>
    </row>
    <row r="506" spans="1:6" s="2036" customFormat="1" ht="15" x14ac:dyDescent="0.2">
      <c r="A506" s="2054" t="s">
        <v>5184</v>
      </c>
      <c r="B506" s="2054" t="s">
        <v>6842</v>
      </c>
      <c r="C506" s="2055" t="s">
        <v>6818</v>
      </c>
      <c r="D506" s="2056">
        <v>723.84</v>
      </c>
      <c r="E506" s="2057">
        <f t="shared" si="30"/>
        <v>7.9907171411527976E-5</v>
      </c>
      <c r="F506" s="2057">
        <f t="shared" si="31"/>
        <v>0.99208860494514539</v>
      </c>
    </row>
    <row r="507" spans="1:6" s="2036" customFormat="1" ht="15" x14ac:dyDescent="0.2">
      <c r="A507" s="2054" t="s">
        <v>5184</v>
      </c>
      <c r="B507" s="2054" t="s">
        <v>6869</v>
      </c>
      <c r="C507" s="2055" t="s">
        <v>7654</v>
      </c>
      <c r="D507" s="2056">
        <v>712.4</v>
      </c>
      <c r="E507" s="2057">
        <f t="shared" si="30"/>
        <v>7.8644270713931985E-5</v>
      </c>
      <c r="F507" s="2057">
        <f t="shared" si="31"/>
        <v>0.9921672492158593</v>
      </c>
    </row>
    <row r="508" spans="1:6" s="2036" customFormat="1" ht="15" x14ac:dyDescent="0.2">
      <c r="A508" s="2054" t="s">
        <v>5184</v>
      </c>
      <c r="B508" s="2054" t="s">
        <v>7814</v>
      </c>
      <c r="C508" s="2055" t="s">
        <v>5912</v>
      </c>
      <c r="D508" s="2056">
        <v>693.42</v>
      </c>
      <c r="E508" s="2057">
        <f t="shared" si="30"/>
        <v>7.6549003647465903E-5</v>
      </c>
      <c r="F508" s="2057">
        <f t="shared" si="31"/>
        <v>0.99224379821950681</v>
      </c>
    </row>
    <row r="509" spans="1:6" s="2036" customFormat="1" ht="15" x14ac:dyDescent="0.2">
      <c r="A509" s="2054" t="s">
        <v>5184</v>
      </c>
      <c r="B509" s="2054" t="s">
        <v>6278</v>
      </c>
      <c r="C509" s="2055" t="s">
        <v>6277</v>
      </c>
      <c r="D509" s="2056">
        <v>691.38</v>
      </c>
      <c r="E509" s="2057">
        <f t="shared" si="30"/>
        <v>7.6323801075516977E-5</v>
      </c>
      <c r="F509" s="2057">
        <f t="shared" si="31"/>
        <v>0.99232012202058228</v>
      </c>
    </row>
    <row r="510" spans="1:6" s="2036" customFormat="1" ht="15" x14ac:dyDescent="0.2">
      <c r="A510" s="2054" t="s">
        <v>5184</v>
      </c>
      <c r="B510" s="2054" t="s">
        <v>9365</v>
      </c>
      <c r="C510" s="2055" t="s">
        <v>9092</v>
      </c>
      <c r="D510" s="2056">
        <v>687.12</v>
      </c>
      <c r="E510" s="2057">
        <f t="shared" si="30"/>
        <v>7.5853525116447145E-5</v>
      </c>
      <c r="F510" s="2057">
        <f t="shared" si="31"/>
        <v>0.99239597554569869</v>
      </c>
    </row>
    <row r="511" spans="1:6" s="2036" customFormat="1" ht="30" x14ac:dyDescent="0.2">
      <c r="A511" s="2054" t="s">
        <v>5184</v>
      </c>
      <c r="B511" s="2054" t="s">
        <v>7076</v>
      </c>
      <c r="C511" s="2055" t="s">
        <v>7095</v>
      </c>
      <c r="D511" s="2056">
        <v>676.85</v>
      </c>
      <c r="E511" s="2057">
        <f t="shared" si="30"/>
        <v>7.471978471746893E-5</v>
      </c>
      <c r="F511" s="2057">
        <f t="shared" si="31"/>
        <v>0.99247069533041621</v>
      </c>
    </row>
    <row r="512" spans="1:6" s="2036" customFormat="1" ht="15" x14ac:dyDescent="0.2">
      <c r="A512" s="2054" t="s">
        <v>5184</v>
      </c>
      <c r="B512" s="2054" t="s">
        <v>6040</v>
      </c>
      <c r="C512" s="2055" t="s">
        <v>6039</v>
      </c>
      <c r="D512" s="2056">
        <v>676.8</v>
      </c>
      <c r="E512" s="2057">
        <f t="shared" si="30"/>
        <v>7.4714265046587816E-5</v>
      </c>
      <c r="F512" s="2057">
        <f t="shared" si="31"/>
        <v>0.99254540959546278</v>
      </c>
    </row>
    <row r="513" spans="1:6" s="2036" customFormat="1" ht="15" x14ac:dyDescent="0.2">
      <c r="A513" s="2054" t="s">
        <v>5184</v>
      </c>
      <c r="B513" s="2054" t="s">
        <v>9413</v>
      </c>
      <c r="C513" s="2055" t="s">
        <v>9109</v>
      </c>
      <c r="D513" s="2056">
        <v>669.18</v>
      </c>
      <c r="E513" s="2057">
        <f t="shared" si="30"/>
        <v>7.3873067204307971E-5</v>
      </c>
      <c r="F513" s="2057">
        <f t="shared" si="31"/>
        <v>0.99261928266266708</v>
      </c>
    </row>
    <row r="514" spans="1:6" s="2036" customFormat="1" ht="45" x14ac:dyDescent="0.2">
      <c r="A514" s="2054" t="s">
        <v>5184</v>
      </c>
      <c r="B514" s="2054" t="s">
        <v>7429</v>
      </c>
      <c r="C514" s="2055" t="s">
        <v>7427</v>
      </c>
      <c r="D514" s="2056">
        <v>668.59</v>
      </c>
      <c r="E514" s="2057">
        <f t="shared" si="30"/>
        <v>7.3807935087910986E-5</v>
      </c>
      <c r="F514" s="2057">
        <f t="shared" si="31"/>
        <v>0.99269309059775501</v>
      </c>
    </row>
    <row r="515" spans="1:6" s="2036" customFormat="1" ht="60" x14ac:dyDescent="0.2">
      <c r="A515" s="2054" t="s">
        <v>5184</v>
      </c>
      <c r="B515" s="2054" t="s">
        <v>7131</v>
      </c>
      <c r="C515" s="2055" t="s">
        <v>6172</v>
      </c>
      <c r="D515" s="2056">
        <v>668.58</v>
      </c>
      <c r="E515" s="2057">
        <f t="shared" si="30"/>
        <v>7.3806831153734763E-5</v>
      </c>
      <c r="F515" s="2057">
        <f t="shared" si="31"/>
        <v>0.99276689742890878</v>
      </c>
    </row>
    <row r="516" spans="1:6" s="2036" customFormat="1" ht="30" x14ac:dyDescent="0.2">
      <c r="A516" s="2054" t="s">
        <v>5184</v>
      </c>
      <c r="B516" s="2054" t="s">
        <v>6016</v>
      </c>
      <c r="C516" s="2055" t="s">
        <v>6001</v>
      </c>
      <c r="D516" s="2056">
        <v>658.98</v>
      </c>
      <c r="E516" s="2057">
        <f t="shared" si="30"/>
        <v>7.27470543445633E-5</v>
      </c>
      <c r="F516" s="2057">
        <f t="shared" si="31"/>
        <v>0.99283964448325335</v>
      </c>
    </row>
    <row r="517" spans="1:6" s="2036" customFormat="1" ht="30" x14ac:dyDescent="0.2">
      <c r="A517" s="2054" t="s">
        <v>5184</v>
      </c>
      <c r="B517" s="2054" t="s">
        <v>7027</v>
      </c>
      <c r="C517" s="2055" t="s">
        <v>6000</v>
      </c>
      <c r="D517" s="2056">
        <v>652.77</v>
      </c>
      <c r="E517" s="2057">
        <f t="shared" si="30"/>
        <v>7.2061511221130519E-5</v>
      </c>
      <c r="F517" s="2057">
        <f t="shared" si="31"/>
        <v>0.99291170599447443</v>
      </c>
    </row>
    <row r="518" spans="1:6" s="2036" customFormat="1" ht="15" x14ac:dyDescent="0.2">
      <c r="A518" s="2054" t="s">
        <v>5184</v>
      </c>
      <c r="B518" s="2054" t="s">
        <v>7145</v>
      </c>
      <c r="C518" s="2055" t="s">
        <v>8948</v>
      </c>
      <c r="D518" s="2056">
        <v>649.64</v>
      </c>
      <c r="E518" s="2057">
        <f t="shared" si="30"/>
        <v>7.1715979823973571E-5</v>
      </c>
      <c r="F518" s="2057">
        <f t="shared" si="31"/>
        <v>0.99298342197429845</v>
      </c>
    </row>
    <row r="519" spans="1:6" s="2036" customFormat="1" ht="15" x14ac:dyDescent="0.2">
      <c r="A519" s="2054" t="s">
        <v>5184</v>
      </c>
      <c r="B519" s="2054" t="s">
        <v>7042</v>
      </c>
      <c r="C519" s="2055" t="s">
        <v>8947</v>
      </c>
      <c r="D519" s="2056">
        <v>640.82000000000005</v>
      </c>
      <c r="E519" s="2057">
        <f t="shared" si="30"/>
        <v>7.0742309880547296E-5</v>
      </c>
      <c r="F519" s="2057">
        <f t="shared" si="31"/>
        <v>0.99305416428417903</v>
      </c>
    </row>
    <row r="520" spans="1:6" s="2036" customFormat="1" ht="45" x14ac:dyDescent="0.2">
      <c r="A520" s="2054" t="s">
        <v>5184</v>
      </c>
      <c r="B520" s="2058" t="s">
        <v>7687</v>
      </c>
      <c r="C520" s="2058" t="s">
        <v>7838</v>
      </c>
      <c r="D520" s="2056">
        <v>639.72</v>
      </c>
      <c r="E520" s="2057">
        <f t="shared" si="30"/>
        <v>7.0620877121163066E-5</v>
      </c>
      <c r="F520" s="2057">
        <f t="shared" si="31"/>
        <v>0.99312478516130021</v>
      </c>
    </row>
    <row r="521" spans="1:6" s="2036" customFormat="1" ht="15" x14ac:dyDescent="0.2">
      <c r="A521" s="2054" t="s">
        <v>5184</v>
      </c>
      <c r="B521" s="2054" t="s">
        <v>7597</v>
      </c>
      <c r="C521" s="2055" t="s">
        <v>6128</v>
      </c>
      <c r="D521" s="2056">
        <v>626.16</v>
      </c>
      <c r="E521" s="2057">
        <f t="shared" si="30"/>
        <v>6.9123942378208382E-5</v>
      </c>
      <c r="F521" s="2057">
        <f t="shared" si="31"/>
        <v>0.99319390910367844</v>
      </c>
    </row>
    <row r="522" spans="1:6" s="2036" customFormat="1" ht="15" x14ac:dyDescent="0.2">
      <c r="A522" s="2054" t="s">
        <v>5184</v>
      </c>
      <c r="B522" s="2054" t="s">
        <v>7002</v>
      </c>
      <c r="C522" s="2055" t="s">
        <v>5979</v>
      </c>
      <c r="D522" s="2056">
        <v>625.95000000000005</v>
      </c>
      <c r="E522" s="2057">
        <f t="shared" si="30"/>
        <v>6.9100759760507761E-5</v>
      </c>
      <c r="F522" s="2057">
        <f t="shared" si="31"/>
        <v>0.99326300986343896</v>
      </c>
    </row>
    <row r="523" spans="1:6" s="2036" customFormat="1" ht="30" x14ac:dyDescent="0.2">
      <c r="A523" s="2054" t="s">
        <v>5184</v>
      </c>
      <c r="B523" s="2054" t="s">
        <v>7086</v>
      </c>
      <c r="C523" s="2055" t="s">
        <v>8964</v>
      </c>
      <c r="D523" s="2056">
        <v>622.91999999999996</v>
      </c>
      <c r="E523" s="2057">
        <f t="shared" si="30"/>
        <v>6.8766267705113013E-5</v>
      </c>
      <c r="F523" s="2057">
        <f t="shared" si="31"/>
        <v>0.9933317761311441</v>
      </c>
    </row>
    <row r="524" spans="1:6" s="2036" customFormat="1" ht="30" x14ac:dyDescent="0.2">
      <c r="A524" s="2054" t="s">
        <v>5184</v>
      </c>
      <c r="B524" s="2054" t="s">
        <v>7497</v>
      </c>
      <c r="C524" s="2055" t="s">
        <v>6046</v>
      </c>
      <c r="D524" s="2056">
        <v>617.32000000000005</v>
      </c>
      <c r="E524" s="2057">
        <f t="shared" si="30"/>
        <v>6.8148064566429662E-5</v>
      </c>
      <c r="F524" s="2057">
        <f t="shared" si="31"/>
        <v>0.99339992419571055</v>
      </c>
    </row>
    <row r="525" spans="1:6" s="2036" customFormat="1" ht="15" x14ac:dyDescent="0.2">
      <c r="A525" s="2054" t="s">
        <v>5184</v>
      </c>
      <c r="B525" s="2054" t="s">
        <v>7178</v>
      </c>
      <c r="C525" s="2055" t="s">
        <v>8972</v>
      </c>
      <c r="D525" s="2056">
        <v>613.62</v>
      </c>
      <c r="E525" s="2057">
        <f t="shared" si="30"/>
        <v>6.7739608921228161E-5</v>
      </c>
      <c r="F525" s="2057">
        <f t="shared" si="31"/>
        <v>0.99346766380463181</v>
      </c>
    </row>
    <row r="526" spans="1:6" s="2036" customFormat="1" ht="30" x14ac:dyDescent="0.2">
      <c r="A526" s="2054" t="s">
        <v>5184</v>
      </c>
      <c r="B526" s="2054" t="s">
        <v>7115</v>
      </c>
      <c r="C526" s="2055" t="s">
        <v>7107</v>
      </c>
      <c r="D526" s="2056">
        <v>599.80999999999995</v>
      </c>
      <c r="E526" s="2057">
        <f t="shared" si="30"/>
        <v>6.6215075823867966E-5</v>
      </c>
      <c r="F526" s="2057">
        <f t="shared" si="31"/>
        <v>0.99353387888045563</v>
      </c>
    </row>
    <row r="527" spans="1:6" s="2036" customFormat="1" ht="30" x14ac:dyDescent="0.2">
      <c r="A527" s="2054" t="s">
        <v>5184</v>
      </c>
      <c r="B527" s="2054" t="s">
        <v>7321</v>
      </c>
      <c r="C527" s="2055" t="s">
        <v>7413</v>
      </c>
      <c r="D527" s="2056">
        <v>592.69000000000005</v>
      </c>
      <c r="E527" s="2057">
        <f t="shared" si="30"/>
        <v>6.5429074690399143E-5</v>
      </c>
      <c r="F527" s="2057">
        <f t="shared" si="31"/>
        <v>0.99359930795514606</v>
      </c>
    </row>
    <row r="528" spans="1:6" s="2036" customFormat="1" ht="15" x14ac:dyDescent="0.2">
      <c r="A528" s="2054" t="s">
        <v>5184</v>
      </c>
      <c r="B528" s="2054" t="s">
        <v>9392</v>
      </c>
      <c r="C528" s="2055" t="s">
        <v>9101</v>
      </c>
      <c r="D528" s="2056">
        <v>580.38</v>
      </c>
      <c r="E528" s="2057">
        <f t="shared" si="30"/>
        <v>6.4070131719471988E-5</v>
      </c>
      <c r="F528" s="2057">
        <f t="shared" si="31"/>
        <v>0.99366337808686556</v>
      </c>
    </row>
    <row r="529" spans="1:6" s="2036" customFormat="1" ht="15" x14ac:dyDescent="0.2">
      <c r="A529" s="2054" t="s">
        <v>5184</v>
      </c>
      <c r="B529" s="2054" t="s">
        <v>6822</v>
      </c>
      <c r="C529" s="2055" t="s">
        <v>6900</v>
      </c>
      <c r="D529" s="2056">
        <v>576.1</v>
      </c>
      <c r="E529" s="2057">
        <f t="shared" si="30"/>
        <v>6.359764789204971E-5</v>
      </c>
      <c r="F529" s="2057">
        <f t="shared" si="31"/>
        <v>0.99372697573475766</v>
      </c>
    </row>
    <row r="530" spans="1:6" s="2036" customFormat="1" ht="15" x14ac:dyDescent="0.2">
      <c r="A530" s="2054" t="s">
        <v>5184</v>
      </c>
      <c r="B530" s="2054" t="s">
        <v>15093</v>
      </c>
      <c r="C530" s="2055" t="s">
        <v>7170</v>
      </c>
      <c r="D530" s="2056">
        <v>574.30999999999995</v>
      </c>
      <c r="E530" s="2057">
        <f t="shared" si="30"/>
        <v>6.3400043674506282E-5</v>
      </c>
      <c r="F530" s="2057">
        <f t="shared" si="31"/>
        <v>0.99379037577843221</v>
      </c>
    </row>
    <row r="531" spans="1:6" s="2036" customFormat="1" ht="15" x14ac:dyDescent="0.2">
      <c r="A531" s="2054" t="s">
        <v>5184</v>
      </c>
      <c r="B531" s="2054" t="s">
        <v>7525</v>
      </c>
      <c r="C531" s="2055" t="s">
        <v>6091</v>
      </c>
      <c r="D531" s="2056">
        <v>573.12</v>
      </c>
      <c r="E531" s="2057">
        <f t="shared" si="30"/>
        <v>6.3268675507536075E-5</v>
      </c>
      <c r="F531" s="2057">
        <f t="shared" si="31"/>
        <v>0.99385364445393976</v>
      </c>
    </row>
    <row r="532" spans="1:6" s="2036" customFormat="1" ht="30" x14ac:dyDescent="0.2">
      <c r="A532" s="2054" t="s">
        <v>5184</v>
      </c>
      <c r="B532" s="2054" t="s">
        <v>7424</v>
      </c>
      <c r="C532" s="2055" t="s">
        <v>7414</v>
      </c>
      <c r="D532" s="2056">
        <v>572.29</v>
      </c>
      <c r="E532" s="2057">
        <f t="shared" si="30"/>
        <v>6.3177048970909788E-5</v>
      </c>
      <c r="F532" s="2057">
        <f t="shared" si="31"/>
        <v>0.99391682150291072</v>
      </c>
    </row>
    <row r="533" spans="1:6" s="2036" customFormat="1" ht="30" x14ac:dyDescent="0.2">
      <c r="A533" s="2054" t="s">
        <v>5184</v>
      </c>
      <c r="B533" s="2054" t="s">
        <v>7074</v>
      </c>
      <c r="C533" s="2055" t="s">
        <v>7094</v>
      </c>
      <c r="D533" s="2056">
        <v>569.88</v>
      </c>
      <c r="E533" s="2057">
        <f t="shared" si="30"/>
        <v>6.2911000834440706E-5</v>
      </c>
      <c r="F533" s="2057">
        <f t="shared" si="31"/>
        <v>0.99397973250374516</v>
      </c>
    </row>
    <row r="534" spans="1:6" s="2036" customFormat="1" ht="15" x14ac:dyDescent="0.2">
      <c r="A534" s="2054" t="s">
        <v>5184</v>
      </c>
      <c r="B534" s="2054" t="s">
        <v>7304</v>
      </c>
      <c r="C534" s="2055" t="s">
        <v>7319</v>
      </c>
      <c r="D534" s="2056">
        <v>559.46</v>
      </c>
      <c r="E534" s="2057">
        <f t="shared" si="30"/>
        <v>6.1760701422819192E-5</v>
      </c>
      <c r="F534" s="2057">
        <f t="shared" si="31"/>
        <v>0.99404149320516799</v>
      </c>
    </row>
    <row r="535" spans="1:6" s="2036" customFormat="1" ht="15" x14ac:dyDescent="0.2">
      <c r="A535" s="2054" t="s">
        <v>5184</v>
      </c>
      <c r="B535" s="2054" t="s">
        <v>6233</v>
      </c>
      <c r="C535" s="2055" t="s">
        <v>6228</v>
      </c>
      <c r="D535" s="2056">
        <v>557.44000000000005</v>
      </c>
      <c r="E535" s="2057">
        <f t="shared" si="30"/>
        <v>6.1537706719222698E-5</v>
      </c>
      <c r="F535" s="2057">
        <f t="shared" si="31"/>
        <v>0.99410303091188723</v>
      </c>
    </row>
    <row r="536" spans="1:6" s="2006" customFormat="1" ht="30" x14ac:dyDescent="0.2">
      <c r="A536" s="2004" t="s">
        <v>15149</v>
      </c>
      <c r="B536" s="2004" t="s">
        <v>0</v>
      </c>
      <c r="C536" s="2004" t="s">
        <v>1</v>
      </c>
      <c r="D536" s="1990" t="s">
        <v>130</v>
      </c>
      <c r="E536" s="1989" t="s">
        <v>15139</v>
      </c>
      <c r="F536" s="1990" t="s">
        <v>15140</v>
      </c>
    </row>
    <row r="537" spans="1:6" s="2036" customFormat="1" ht="30" x14ac:dyDescent="0.2">
      <c r="A537" s="2054" t="s">
        <v>5184</v>
      </c>
      <c r="B537" s="2054" t="s">
        <v>8909</v>
      </c>
      <c r="C537" s="2055" t="s">
        <v>8910</v>
      </c>
      <c r="D537" s="2056">
        <v>548.32000000000005</v>
      </c>
      <c r="E537" s="2057">
        <f t="shared" ref="E537:E576" si="32">D537/SUM(D:D)</f>
        <v>6.0530918750509812E-5</v>
      </c>
      <c r="F537" s="2057">
        <f>E537+F535</f>
        <v>0.9941635618306377</v>
      </c>
    </row>
    <row r="538" spans="1:6" s="2036" customFormat="1" ht="15" x14ac:dyDescent="0.2">
      <c r="A538" s="2054" t="s">
        <v>5184</v>
      </c>
      <c r="B538" s="2054" t="s">
        <v>7063</v>
      </c>
      <c r="C538" s="2055" t="s">
        <v>8995</v>
      </c>
      <c r="D538" s="2056">
        <v>547.41999999999996</v>
      </c>
      <c r="E538" s="2057">
        <f t="shared" si="32"/>
        <v>6.0431564674649973E-5</v>
      </c>
      <c r="F538" s="2057">
        <f t="shared" si="31"/>
        <v>0.99422399339531231</v>
      </c>
    </row>
    <row r="539" spans="1:6" s="2036" customFormat="1" ht="30" x14ac:dyDescent="0.2">
      <c r="A539" s="2054" t="s">
        <v>5184</v>
      </c>
      <c r="B539" s="2054" t="s">
        <v>7496</v>
      </c>
      <c r="C539" s="2055" t="s">
        <v>6045</v>
      </c>
      <c r="D539" s="2056">
        <v>546</v>
      </c>
      <c r="E539" s="2057">
        <f t="shared" si="32"/>
        <v>6.02748060216267E-5</v>
      </c>
      <c r="F539" s="2057">
        <f>E539+F538</f>
        <v>0.99428426820133398</v>
      </c>
    </row>
    <row r="540" spans="1:6" s="2036" customFormat="1" ht="15" x14ac:dyDescent="0.2">
      <c r="A540" s="2054" t="s">
        <v>5184</v>
      </c>
      <c r="B540" s="2054" t="s">
        <v>7155</v>
      </c>
      <c r="C540" s="2055" t="s">
        <v>7149</v>
      </c>
      <c r="D540" s="2056">
        <v>541.20000000000005</v>
      </c>
      <c r="E540" s="2057">
        <f t="shared" si="32"/>
        <v>5.9744917617040975E-5</v>
      </c>
      <c r="F540" s="2057">
        <f>E540+F539</f>
        <v>0.99434401311895104</v>
      </c>
    </row>
    <row r="541" spans="1:6" s="2036" customFormat="1" ht="30" x14ac:dyDescent="0.2">
      <c r="A541" s="2054" t="s">
        <v>5184</v>
      </c>
      <c r="B541" s="2054" t="s">
        <v>8309</v>
      </c>
      <c r="C541" s="2055" t="s">
        <v>8304</v>
      </c>
      <c r="D541" s="2056">
        <v>539.76</v>
      </c>
      <c r="E541" s="2057">
        <f t="shared" si="32"/>
        <v>5.9585951095665251E-5</v>
      </c>
      <c r="F541" s="2057">
        <f t="shared" ref="F541:F579" si="33">E541+F540</f>
        <v>0.99440359907004672</v>
      </c>
    </row>
    <row r="542" spans="1:6" s="2036" customFormat="1" ht="15" x14ac:dyDescent="0.2">
      <c r="A542" s="2054" t="s">
        <v>5184</v>
      </c>
      <c r="B542" s="2054" t="s">
        <v>7840</v>
      </c>
      <c r="C542" s="2055" t="s">
        <v>7729</v>
      </c>
      <c r="D542" s="2056">
        <v>535.91999999999996</v>
      </c>
      <c r="E542" s="2057">
        <f t="shared" si="32"/>
        <v>5.9162040371996667E-5</v>
      </c>
      <c r="F542" s="2057">
        <f t="shared" si="33"/>
        <v>0.99446276111041876</v>
      </c>
    </row>
    <row r="543" spans="1:6" s="2036" customFormat="1" ht="15" x14ac:dyDescent="0.2">
      <c r="A543" s="2054" t="s">
        <v>5184</v>
      </c>
      <c r="B543" s="2054" t="s">
        <v>9512</v>
      </c>
      <c r="C543" s="2055" t="s">
        <v>9004</v>
      </c>
      <c r="D543" s="2056">
        <v>533.86</v>
      </c>
      <c r="E543" s="2057">
        <f t="shared" si="32"/>
        <v>5.8934629931695296E-5</v>
      </c>
      <c r="F543" s="2057">
        <f t="shared" si="33"/>
        <v>0.99452169574035043</v>
      </c>
    </row>
    <row r="544" spans="1:6" s="2036" customFormat="1" ht="15" x14ac:dyDescent="0.2">
      <c r="A544" s="2054" t="s">
        <v>5184</v>
      </c>
      <c r="B544" s="2054" t="s">
        <v>7084</v>
      </c>
      <c r="C544" s="2055" t="s">
        <v>6148</v>
      </c>
      <c r="D544" s="2056">
        <v>528.20000000000005</v>
      </c>
      <c r="E544" s="2057">
        <f t="shared" si="32"/>
        <v>5.8309803187954629E-5</v>
      </c>
      <c r="F544" s="2057">
        <f t="shared" si="33"/>
        <v>0.99458000554353843</v>
      </c>
    </row>
    <row r="545" spans="1:6" s="2036" customFormat="1" ht="15" x14ac:dyDescent="0.2">
      <c r="A545" s="2054" t="s">
        <v>5184</v>
      </c>
      <c r="B545" s="2054" t="s">
        <v>9338</v>
      </c>
      <c r="C545" s="2055" t="s">
        <v>9335</v>
      </c>
      <c r="D545" s="2056">
        <v>521.64</v>
      </c>
      <c r="E545" s="2057">
        <f t="shared" si="32"/>
        <v>5.7585622368354124E-5</v>
      </c>
      <c r="F545" s="2057">
        <f t="shared" si="33"/>
        <v>0.99463759116590678</v>
      </c>
    </row>
    <row r="546" spans="1:6" s="2036" customFormat="1" ht="15" x14ac:dyDescent="0.2">
      <c r="A546" s="2054" t="s">
        <v>5184</v>
      </c>
      <c r="B546" s="2054" t="s">
        <v>7182</v>
      </c>
      <c r="C546" s="2055" t="s">
        <v>8996</v>
      </c>
      <c r="D546" s="2056">
        <v>520.46</v>
      </c>
      <c r="E546" s="2057">
        <f t="shared" si="32"/>
        <v>5.7455358135560139E-5</v>
      </c>
      <c r="F546" s="2057">
        <f t="shared" si="33"/>
        <v>0.99469504652404228</v>
      </c>
    </row>
    <row r="547" spans="1:6" s="2036" customFormat="1" ht="15" x14ac:dyDescent="0.2">
      <c r="A547" s="2054" t="s">
        <v>5184</v>
      </c>
      <c r="B547" s="2054" t="s">
        <v>9323</v>
      </c>
      <c r="C547" s="2055" t="s">
        <v>9070</v>
      </c>
      <c r="D547" s="2056">
        <v>505.02</v>
      </c>
      <c r="E547" s="2057">
        <f t="shared" si="32"/>
        <v>5.5750883767476037E-5</v>
      </c>
      <c r="F547" s="2057">
        <f t="shared" si="33"/>
        <v>0.99475079740780981</v>
      </c>
    </row>
    <row r="548" spans="1:6" s="2036" customFormat="1" ht="15" x14ac:dyDescent="0.2">
      <c r="A548" s="2054" t="s">
        <v>5184</v>
      </c>
      <c r="B548" s="2054" t="s">
        <v>6855</v>
      </c>
      <c r="C548" s="2055" t="s">
        <v>6850</v>
      </c>
      <c r="D548" s="2056">
        <v>504.92</v>
      </c>
      <c r="E548" s="2057">
        <f t="shared" si="32"/>
        <v>5.5739844425713838E-5</v>
      </c>
      <c r="F548" s="2057">
        <f t="shared" si="33"/>
        <v>0.99480653725223556</v>
      </c>
    </row>
    <row r="549" spans="1:6" s="2036" customFormat="1" ht="15" x14ac:dyDescent="0.2">
      <c r="A549" s="2054" t="s">
        <v>5184</v>
      </c>
      <c r="B549" s="2054" t="s">
        <v>9329</v>
      </c>
      <c r="C549" s="2055" t="s">
        <v>9076</v>
      </c>
      <c r="D549" s="2056">
        <v>498.06</v>
      </c>
      <c r="E549" s="2057">
        <f t="shared" si="32"/>
        <v>5.4982545580826728E-5</v>
      </c>
      <c r="F549" s="2057">
        <f t="shared" si="33"/>
        <v>0.99486151979781634</v>
      </c>
    </row>
    <row r="550" spans="1:6" s="2036" customFormat="1" ht="60" x14ac:dyDescent="0.2">
      <c r="A550" s="2054" t="s">
        <v>5184</v>
      </c>
      <c r="B550" s="2054" t="s">
        <v>7125</v>
      </c>
      <c r="C550" s="2055" t="s">
        <v>6166</v>
      </c>
      <c r="D550" s="2056">
        <v>495.96</v>
      </c>
      <c r="E550" s="2057">
        <f t="shared" si="32"/>
        <v>5.4750719403820474E-5</v>
      </c>
      <c r="F550" s="2057">
        <f t="shared" si="33"/>
        <v>0.9949162705172202</v>
      </c>
    </row>
    <row r="551" spans="1:6" s="2036" customFormat="1" ht="30" x14ac:dyDescent="0.2">
      <c r="A551" s="2054" t="s">
        <v>5184</v>
      </c>
      <c r="B551" s="2054" t="s">
        <v>7007</v>
      </c>
      <c r="C551" s="2055" t="s">
        <v>5984</v>
      </c>
      <c r="D551" s="2056">
        <v>494.78</v>
      </c>
      <c r="E551" s="2057">
        <f t="shared" si="32"/>
        <v>5.4620455171026476E-5</v>
      </c>
      <c r="F551" s="2057">
        <f t="shared" si="33"/>
        <v>0.99497089097239122</v>
      </c>
    </row>
    <row r="552" spans="1:6" s="2036" customFormat="1" ht="30" x14ac:dyDescent="0.2">
      <c r="A552" s="2054" t="s">
        <v>5184</v>
      </c>
      <c r="B552" s="2054" t="s">
        <v>7518</v>
      </c>
      <c r="C552" s="2055" t="s">
        <v>6084</v>
      </c>
      <c r="D552" s="2056">
        <v>494.1</v>
      </c>
      <c r="E552" s="2057">
        <f t="shared" si="32"/>
        <v>5.4545387647043507E-5</v>
      </c>
      <c r="F552" s="2057">
        <f t="shared" si="33"/>
        <v>0.99502543636003826</v>
      </c>
    </row>
    <row r="553" spans="1:6" s="2036" customFormat="1" ht="30" x14ac:dyDescent="0.2">
      <c r="A553" s="2054" t="s">
        <v>5184</v>
      </c>
      <c r="B553" s="2054" t="s">
        <v>7396</v>
      </c>
      <c r="C553" s="2055" t="s">
        <v>7375</v>
      </c>
      <c r="D553" s="2056">
        <v>476.14</v>
      </c>
      <c r="E553" s="2057">
        <f t="shared" si="32"/>
        <v>5.2562721866551901E-5</v>
      </c>
      <c r="F553" s="2057">
        <f t="shared" si="33"/>
        <v>0.99507799908190486</v>
      </c>
    </row>
    <row r="554" spans="1:6" s="2036" customFormat="1" ht="15" x14ac:dyDescent="0.2">
      <c r="A554" s="2054" t="s">
        <v>5184</v>
      </c>
      <c r="B554" s="2054" t="s">
        <v>6060</v>
      </c>
      <c r="C554" s="2055" t="s">
        <v>6056</v>
      </c>
      <c r="D554" s="2056">
        <v>475.2</v>
      </c>
      <c r="E554" s="2057">
        <f t="shared" si="32"/>
        <v>5.2458952053987192E-5</v>
      </c>
      <c r="F554" s="2057">
        <f t="shared" si="33"/>
        <v>0.99513045803395883</v>
      </c>
    </row>
    <row r="555" spans="1:6" s="2036" customFormat="1" ht="15" x14ac:dyDescent="0.2">
      <c r="A555" s="2054" t="s">
        <v>5184</v>
      </c>
      <c r="B555" s="2054" t="s">
        <v>6853</v>
      </c>
      <c r="C555" s="2055" t="s">
        <v>6848</v>
      </c>
      <c r="D555" s="2056">
        <v>472.67</v>
      </c>
      <c r="E555" s="2057">
        <f t="shared" si="32"/>
        <v>5.2179656707403466E-5</v>
      </c>
      <c r="F555" s="2057">
        <f t="shared" si="33"/>
        <v>0.99518263769066628</v>
      </c>
    </row>
    <row r="556" spans="1:6" s="2036" customFormat="1" ht="15" x14ac:dyDescent="0.2">
      <c r="A556" s="2054" t="s">
        <v>5184</v>
      </c>
      <c r="B556" s="2054" t="s">
        <v>9370</v>
      </c>
      <c r="C556" s="2055" t="s">
        <v>9093</v>
      </c>
      <c r="D556" s="2056">
        <v>468.9</v>
      </c>
      <c r="E556" s="2057">
        <f t="shared" si="32"/>
        <v>5.1763473522968421E-5</v>
      </c>
      <c r="F556" s="2057">
        <f t="shared" si="33"/>
        <v>0.99523440116418926</v>
      </c>
    </row>
    <row r="557" spans="1:6" s="2036" customFormat="1" ht="15" x14ac:dyDescent="0.2">
      <c r="A557" s="2054" t="s">
        <v>5184</v>
      </c>
      <c r="B557" s="2054" t="s">
        <v>9363</v>
      </c>
      <c r="C557" s="2055" t="s">
        <v>9091</v>
      </c>
      <c r="D557" s="2056">
        <v>468.4</v>
      </c>
      <c r="E557" s="2057">
        <f t="shared" si="32"/>
        <v>5.1708276814157412E-5</v>
      </c>
      <c r="F557" s="2057">
        <f t="shared" si="33"/>
        <v>0.99528610944100337</v>
      </c>
    </row>
    <row r="558" spans="1:6" s="2036" customFormat="1" ht="30" x14ac:dyDescent="0.2">
      <c r="A558" s="2054" t="s">
        <v>5184</v>
      </c>
      <c r="B558" s="2054" t="s">
        <v>7232</v>
      </c>
      <c r="C558" s="2055" t="s">
        <v>6286</v>
      </c>
      <c r="D558" s="2056">
        <v>459.58</v>
      </c>
      <c r="E558" s="2057">
        <f t="shared" si="32"/>
        <v>5.073460687073113E-5</v>
      </c>
      <c r="F558" s="2057">
        <f t="shared" si="33"/>
        <v>0.99533684404787415</v>
      </c>
    </row>
    <row r="559" spans="1:6" s="2036" customFormat="1" ht="15" x14ac:dyDescent="0.2">
      <c r="A559" s="2054" t="s">
        <v>5184</v>
      </c>
      <c r="B559" s="2054" t="s">
        <v>6827</v>
      </c>
      <c r="C559" s="2055" t="s">
        <v>6809</v>
      </c>
      <c r="D559" s="2056">
        <v>452</v>
      </c>
      <c r="E559" s="2057">
        <f t="shared" si="32"/>
        <v>4.9897824765156168E-5</v>
      </c>
      <c r="F559" s="2057">
        <f t="shared" si="33"/>
        <v>0.99538674187263931</v>
      </c>
    </row>
    <row r="560" spans="1:6" s="2036" customFormat="1" ht="15" x14ac:dyDescent="0.2">
      <c r="A560" s="2054" t="s">
        <v>5184</v>
      </c>
      <c r="B560" s="2054" t="s">
        <v>6813</v>
      </c>
      <c r="C560" s="2055" t="s">
        <v>6862</v>
      </c>
      <c r="D560" s="2056">
        <v>448.16</v>
      </c>
      <c r="E560" s="2057">
        <f t="shared" si="32"/>
        <v>4.9473914041487591E-5</v>
      </c>
      <c r="F560" s="2057">
        <f t="shared" si="33"/>
        <v>0.99543621578668084</v>
      </c>
    </row>
    <row r="561" spans="1:6" s="2036" customFormat="1" ht="15" x14ac:dyDescent="0.2">
      <c r="A561" s="2054" t="s">
        <v>5184</v>
      </c>
      <c r="B561" s="2054" t="s">
        <v>7535</v>
      </c>
      <c r="C561" s="2055" t="s">
        <v>6101</v>
      </c>
      <c r="D561" s="2056">
        <v>443.84</v>
      </c>
      <c r="E561" s="2057">
        <f t="shared" si="32"/>
        <v>4.8997014477360431E-5</v>
      </c>
      <c r="F561" s="2057">
        <f t="shared" si="33"/>
        <v>0.9954852128011582</v>
      </c>
    </row>
    <row r="562" spans="1:6" s="2036" customFormat="1" ht="30" x14ac:dyDescent="0.2">
      <c r="A562" s="2054" t="s">
        <v>5184</v>
      </c>
      <c r="B562" s="2054" t="s">
        <v>7073</v>
      </c>
      <c r="C562" s="2055" t="s">
        <v>7097</v>
      </c>
      <c r="D562" s="2056">
        <v>442.75</v>
      </c>
      <c r="E562" s="2057">
        <f t="shared" si="32"/>
        <v>4.8876685652152423E-5</v>
      </c>
      <c r="F562" s="2057">
        <f t="shared" si="33"/>
        <v>0.99553408948681033</v>
      </c>
    </row>
    <row r="563" spans="1:6" s="2036" customFormat="1" ht="15" x14ac:dyDescent="0.2">
      <c r="A563" s="2054" t="s">
        <v>5184</v>
      </c>
      <c r="B563" s="2054" t="s">
        <v>7156</v>
      </c>
      <c r="C563" s="2055" t="s">
        <v>7163</v>
      </c>
      <c r="D563" s="2056">
        <v>441.54</v>
      </c>
      <c r="E563" s="2057">
        <f t="shared" si="32"/>
        <v>4.8743109616829771E-5</v>
      </c>
      <c r="F563" s="2057">
        <f t="shared" si="33"/>
        <v>0.9955828325964271</v>
      </c>
    </row>
    <row r="564" spans="1:6" s="2036" customFormat="1" ht="30" x14ac:dyDescent="0.2">
      <c r="A564" s="2054" t="s">
        <v>5184</v>
      </c>
      <c r="B564" s="2054" t="s">
        <v>7402</v>
      </c>
      <c r="C564" s="2055" t="s">
        <v>7399</v>
      </c>
      <c r="D564" s="2056">
        <v>440.4</v>
      </c>
      <c r="E564" s="2057">
        <f t="shared" si="32"/>
        <v>4.8617261120740657E-5</v>
      </c>
      <c r="F564" s="2057">
        <f t="shared" si="33"/>
        <v>0.99563144985754781</v>
      </c>
    </row>
    <row r="565" spans="1:6" s="2036" customFormat="1" ht="15" x14ac:dyDescent="0.2">
      <c r="A565" s="2054" t="s">
        <v>5184</v>
      </c>
      <c r="B565" s="2054" t="s">
        <v>7481</v>
      </c>
      <c r="C565" s="2055" t="s">
        <v>6030</v>
      </c>
      <c r="D565" s="2056">
        <v>439.46</v>
      </c>
      <c r="E565" s="2057">
        <f t="shared" si="32"/>
        <v>4.8513491308175947E-5</v>
      </c>
      <c r="F565" s="2057">
        <f t="shared" si="33"/>
        <v>0.995679963348856</v>
      </c>
    </row>
    <row r="566" spans="1:6" s="2036" customFormat="1" ht="15" x14ac:dyDescent="0.2">
      <c r="A566" s="2054" t="s">
        <v>5184</v>
      </c>
      <c r="B566" s="2054" t="s">
        <v>8550</v>
      </c>
      <c r="C566" s="2055" t="s">
        <v>5792</v>
      </c>
      <c r="D566" s="2056">
        <v>438.57</v>
      </c>
      <c r="E566" s="2057">
        <f t="shared" si="32"/>
        <v>4.8415241166492345E-5</v>
      </c>
      <c r="F566" s="2057">
        <f t="shared" si="33"/>
        <v>0.9957283785900225</v>
      </c>
    </row>
    <row r="567" spans="1:6" s="2036" customFormat="1" ht="90" x14ac:dyDescent="0.2">
      <c r="A567" s="2054" t="s">
        <v>5184</v>
      </c>
      <c r="B567" s="2054" t="s">
        <v>7134</v>
      </c>
      <c r="C567" s="2055" t="s">
        <v>8993</v>
      </c>
      <c r="D567" s="2056">
        <v>429.26</v>
      </c>
      <c r="E567" s="2057">
        <f t="shared" si="32"/>
        <v>4.7387478448431277E-5</v>
      </c>
      <c r="F567" s="2057">
        <f t="shared" si="33"/>
        <v>0.99577576606847096</v>
      </c>
    </row>
    <row r="568" spans="1:6" s="2036" customFormat="1" ht="15" x14ac:dyDescent="0.2">
      <c r="A568" s="2054" t="s">
        <v>5184</v>
      </c>
      <c r="B568" s="2054" t="s">
        <v>9501</v>
      </c>
      <c r="C568" s="2055" t="s">
        <v>9000</v>
      </c>
      <c r="D568" s="2056">
        <v>427.08</v>
      </c>
      <c r="E568" s="2057">
        <f t="shared" si="32"/>
        <v>4.7146820798015254E-5</v>
      </c>
      <c r="F568" s="2057">
        <f t="shared" si="33"/>
        <v>0.99582291288926894</v>
      </c>
    </row>
    <row r="569" spans="1:6" s="2036" customFormat="1" ht="15" x14ac:dyDescent="0.2">
      <c r="A569" s="2054" t="s">
        <v>5184</v>
      </c>
      <c r="B569" s="2054" t="s">
        <v>9503</v>
      </c>
      <c r="C569" s="2055" t="s">
        <v>9514</v>
      </c>
      <c r="D569" s="2056">
        <v>426.08</v>
      </c>
      <c r="E569" s="2057">
        <f t="shared" si="32"/>
        <v>4.703642738039323E-5</v>
      </c>
      <c r="F569" s="2057">
        <f t="shared" si="33"/>
        <v>0.99586994931664929</v>
      </c>
    </row>
    <row r="570" spans="1:6" s="2036" customFormat="1" ht="15" x14ac:dyDescent="0.2">
      <c r="A570" s="2054" t="s">
        <v>5184</v>
      </c>
      <c r="B570" s="2054" t="s">
        <v>9388</v>
      </c>
      <c r="C570" s="2055" t="s">
        <v>9099</v>
      </c>
      <c r="D570" s="2056">
        <v>420.14</v>
      </c>
      <c r="E570" s="2057">
        <f t="shared" si="32"/>
        <v>4.6380690479718391E-5</v>
      </c>
      <c r="F570" s="2057">
        <f t="shared" si="33"/>
        <v>0.99591633000712898</v>
      </c>
    </row>
    <row r="571" spans="1:6" s="2036" customFormat="1" ht="30" x14ac:dyDescent="0.2">
      <c r="A571" s="2054" t="s">
        <v>5184</v>
      </c>
      <c r="B571" s="2054" t="s">
        <v>7539</v>
      </c>
      <c r="C571" s="2055" t="s">
        <v>6105</v>
      </c>
      <c r="D571" s="2056">
        <v>417.12</v>
      </c>
      <c r="E571" s="2057">
        <f t="shared" si="32"/>
        <v>4.6047302358499872E-5</v>
      </c>
      <c r="F571" s="2057">
        <f t="shared" si="33"/>
        <v>0.99596237730948745</v>
      </c>
    </row>
    <row r="572" spans="1:6" s="2036" customFormat="1" ht="15" x14ac:dyDescent="0.2">
      <c r="A572" s="2054" t="s">
        <v>5184</v>
      </c>
      <c r="B572" s="2059" t="s">
        <v>9458</v>
      </c>
      <c r="C572" s="2055" t="s">
        <v>9463</v>
      </c>
      <c r="D572" s="2056">
        <v>414.12</v>
      </c>
      <c r="E572" s="2057">
        <f t="shared" si="32"/>
        <v>4.5716122105633792E-5</v>
      </c>
      <c r="F572" s="2057">
        <f t="shared" si="33"/>
        <v>0.99600809343159313</v>
      </c>
    </row>
    <row r="573" spans="1:6" s="2036" customFormat="1" ht="30" x14ac:dyDescent="0.2">
      <c r="A573" s="2054" t="s">
        <v>5184</v>
      </c>
      <c r="B573" s="2054" t="s">
        <v>7085</v>
      </c>
      <c r="C573" s="2055" t="s">
        <v>8970</v>
      </c>
      <c r="D573" s="2056">
        <v>413.06</v>
      </c>
      <c r="E573" s="2057">
        <f t="shared" si="32"/>
        <v>4.5599105082954445E-5</v>
      </c>
      <c r="F573" s="2057">
        <f t="shared" si="33"/>
        <v>0.99605369253667608</v>
      </c>
    </row>
    <row r="574" spans="1:6" s="2036" customFormat="1" ht="15" x14ac:dyDescent="0.2">
      <c r="A574" s="2054" t="s">
        <v>5184</v>
      </c>
      <c r="B574" s="2054" t="s">
        <v>6961</v>
      </c>
      <c r="C574" s="2055" t="s">
        <v>5925</v>
      </c>
      <c r="D574" s="2056">
        <v>386.71</v>
      </c>
      <c r="E574" s="2057">
        <f t="shared" si="32"/>
        <v>4.2690238528614029E-5</v>
      </c>
      <c r="F574" s="2057">
        <f t="shared" si="33"/>
        <v>0.99609638277520474</v>
      </c>
    </row>
    <row r="575" spans="1:6" s="2036" customFormat="1" ht="15" x14ac:dyDescent="0.2">
      <c r="A575" s="2054" t="s">
        <v>5184</v>
      </c>
      <c r="B575" s="2054" t="s">
        <v>5797</v>
      </c>
      <c r="C575" s="2055" t="s">
        <v>7463</v>
      </c>
      <c r="D575" s="2056">
        <v>385.07</v>
      </c>
      <c r="E575" s="2057">
        <f t="shared" si="32"/>
        <v>4.2509193323713906E-5</v>
      </c>
      <c r="F575" s="2057">
        <f t="shared" si="33"/>
        <v>0.99613889196852845</v>
      </c>
    </row>
    <row r="576" spans="1:6" s="2036" customFormat="1" ht="30" x14ac:dyDescent="0.2">
      <c r="A576" s="2054" t="s">
        <v>5184</v>
      </c>
      <c r="B576" s="2054" t="s">
        <v>7019</v>
      </c>
      <c r="C576" s="2055" t="s">
        <v>5991</v>
      </c>
      <c r="D576" s="2056">
        <v>384.69</v>
      </c>
      <c r="E576" s="2057">
        <f t="shared" si="32"/>
        <v>4.2467243825017534E-5</v>
      </c>
      <c r="F576" s="2057">
        <f t="shared" si="33"/>
        <v>0.99618135921235351</v>
      </c>
    </row>
    <row r="577" spans="1:6" s="2006" customFormat="1" ht="30" x14ac:dyDescent="0.2">
      <c r="A577" s="2004" t="s">
        <v>15149</v>
      </c>
      <c r="B577" s="2004" t="s">
        <v>0</v>
      </c>
      <c r="C577" s="2004" t="s">
        <v>1</v>
      </c>
      <c r="D577" s="1990" t="s">
        <v>130</v>
      </c>
      <c r="E577" s="1989" t="s">
        <v>15139</v>
      </c>
      <c r="F577" s="1990" t="s">
        <v>15140</v>
      </c>
    </row>
    <row r="578" spans="1:6" s="2036" customFormat="1" ht="30" x14ac:dyDescent="0.2">
      <c r="A578" s="2054" t="s">
        <v>5184</v>
      </c>
      <c r="B578" s="2054" t="s">
        <v>7540</v>
      </c>
      <c r="C578" s="2055" t="s">
        <v>6106</v>
      </c>
      <c r="D578" s="2056">
        <v>376.2</v>
      </c>
      <c r="E578" s="2057">
        <f t="shared" ref="E578:E613" si="34">D578/SUM(D:D)</f>
        <v>4.1530003709406531E-5</v>
      </c>
      <c r="F578" s="2057">
        <f>E578+F576</f>
        <v>0.99622288921606295</v>
      </c>
    </row>
    <row r="579" spans="1:6" s="2036" customFormat="1" ht="30" x14ac:dyDescent="0.2">
      <c r="A579" s="2054" t="s">
        <v>5184</v>
      </c>
      <c r="B579" s="2054" t="s">
        <v>6969</v>
      </c>
      <c r="C579" s="2055" t="s">
        <v>5930</v>
      </c>
      <c r="D579" s="2056">
        <v>374.85</v>
      </c>
      <c r="E579" s="2057">
        <f t="shared" si="34"/>
        <v>4.1380972595616796E-5</v>
      </c>
      <c r="F579" s="2057">
        <f t="shared" si="33"/>
        <v>0.9962642701886586</v>
      </c>
    </row>
    <row r="580" spans="1:6" s="2036" customFormat="1" ht="15" x14ac:dyDescent="0.2">
      <c r="A580" s="2054" t="s">
        <v>5184</v>
      </c>
      <c r="B580" s="2054" t="s">
        <v>7812</v>
      </c>
      <c r="C580" s="2055" t="s">
        <v>5910</v>
      </c>
      <c r="D580" s="2056">
        <v>371.68</v>
      </c>
      <c r="E580" s="2057">
        <f t="shared" si="34"/>
        <v>4.1031025461754965E-5</v>
      </c>
      <c r="F580" s="2057">
        <f>E580+F579</f>
        <v>0.99630530121412031</v>
      </c>
    </row>
    <row r="581" spans="1:6" s="2036" customFormat="1" ht="30" x14ac:dyDescent="0.2">
      <c r="A581" s="2054" t="s">
        <v>5184</v>
      </c>
      <c r="B581" s="2054" t="s">
        <v>9559</v>
      </c>
      <c r="C581" s="2055" t="s">
        <v>8554</v>
      </c>
      <c r="D581" s="2056">
        <v>369.88</v>
      </c>
      <c r="E581" s="2057">
        <f t="shared" si="34"/>
        <v>4.0832317310035321E-5</v>
      </c>
      <c r="F581" s="2057">
        <f t="shared" ref="F581:F608" si="35">E581+F580</f>
        <v>0.99634613353143031</v>
      </c>
    </row>
    <row r="582" spans="1:6" s="2036" customFormat="1" ht="15" x14ac:dyDescent="0.2">
      <c r="A582" s="2054" t="s">
        <v>5184</v>
      </c>
      <c r="B582" s="2054" t="s">
        <v>7295</v>
      </c>
      <c r="C582" s="2055" t="s">
        <v>7294</v>
      </c>
      <c r="D582" s="2056">
        <v>361.44</v>
      </c>
      <c r="E582" s="2057">
        <f t="shared" si="34"/>
        <v>3.9900596865305411E-5</v>
      </c>
      <c r="F582" s="2057">
        <f t="shared" si="35"/>
        <v>0.99638603412829563</v>
      </c>
    </row>
    <row r="583" spans="1:6" s="2036" customFormat="1" ht="30" x14ac:dyDescent="0.2">
      <c r="A583" s="2054" t="s">
        <v>5184</v>
      </c>
      <c r="B583" s="2054" t="s">
        <v>7363</v>
      </c>
      <c r="C583" s="2055" t="s">
        <v>7357</v>
      </c>
      <c r="D583" s="2056">
        <v>357.48</v>
      </c>
      <c r="E583" s="2057">
        <f t="shared" si="34"/>
        <v>3.946343893152219E-5</v>
      </c>
      <c r="F583" s="2057">
        <f t="shared" si="35"/>
        <v>0.9964254975672272</v>
      </c>
    </row>
    <row r="584" spans="1:6" s="2036" customFormat="1" ht="30" x14ac:dyDescent="0.2">
      <c r="A584" s="2054" t="s">
        <v>5184</v>
      </c>
      <c r="B584" s="2054" t="s">
        <v>7515</v>
      </c>
      <c r="C584" s="2055" t="s">
        <v>6081</v>
      </c>
      <c r="D584" s="2056">
        <v>355.94</v>
      </c>
      <c r="E584" s="2057">
        <f t="shared" si="34"/>
        <v>3.9293433068384266E-5</v>
      </c>
      <c r="F584" s="2057">
        <f t="shared" si="35"/>
        <v>0.99646479100029561</v>
      </c>
    </row>
    <row r="585" spans="1:6" s="2036" customFormat="1" ht="15" x14ac:dyDescent="0.2">
      <c r="A585" s="2054" t="s">
        <v>5184</v>
      </c>
      <c r="B585" s="2054" t="s">
        <v>7179</v>
      </c>
      <c r="C585" s="2055" t="s">
        <v>7171</v>
      </c>
      <c r="D585" s="2056">
        <v>350.85</v>
      </c>
      <c r="E585" s="2057">
        <f t="shared" si="34"/>
        <v>3.8731530572688146E-5</v>
      </c>
      <c r="F585" s="2057">
        <f t="shared" si="35"/>
        <v>0.99650352253086827</v>
      </c>
    </row>
    <row r="586" spans="1:6" s="2036" customFormat="1" ht="15" x14ac:dyDescent="0.2">
      <c r="A586" s="2054" t="s">
        <v>5184</v>
      </c>
      <c r="B586" s="2054" t="s">
        <v>7205</v>
      </c>
      <c r="C586" s="2055" t="s">
        <v>6250</v>
      </c>
      <c r="D586" s="2056">
        <v>346.46</v>
      </c>
      <c r="E586" s="2057">
        <f t="shared" si="34"/>
        <v>3.8246903469327447E-5</v>
      </c>
      <c r="F586" s="2057">
        <f t="shared" si="35"/>
        <v>0.99654176943433759</v>
      </c>
    </row>
    <row r="587" spans="1:6" s="2036" customFormat="1" ht="30" x14ac:dyDescent="0.2">
      <c r="A587" s="2054" t="s">
        <v>5184</v>
      </c>
      <c r="B587" s="2054" t="s">
        <v>7529</v>
      </c>
      <c r="C587" s="2055" t="s">
        <v>6095</v>
      </c>
      <c r="D587" s="2056">
        <v>343.85</v>
      </c>
      <c r="E587" s="2057">
        <f t="shared" si="34"/>
        <v>3.7958776649333961E-5</v>
      </c>
      <c r="F587" s="2057">
        <f t="shared" si="35"/>
        <v>0.99657972821098695</v>
      </c>
    </row>
    <row r="588" spans="1:6" s="2036" customFormat="1" ht="45" x14ac:dyDescent="0.2">
      <c r="A588" s="2054" t="s">
        <v>5184</v>
      </c>
      <c r="B588" s="2054" t="s">
        <v>7135</v>
      </c>
      <c r="C588" s="2055" t="s">
        <v>6175</v>
      </c>
      <c r="D588" s="2056">
        <v>342.58</v>
      </c>
      <c r="E588" s="2057">
        <f t="shared" si="34"/>
        <v>3.781857700895398E-5</v>
      </c>
      <c r="F588" s="2057">
        <f t="shared" si="35"/>
        <v>0.99661754678799586</v>
      </c>
    </row>
    <row r="589" spans="1:6" s="2036" customFormat="1" ht="15" x14ac:dyDescent="0.2">
      <c r="A589" s="2054" t="s">
        <v>5184</v>
      </c>
      <c r="B589" s="2054" t="s">
        <v>6870</v>
      </c>
      <c r="C589" s="2055" t="s">
        <v>7655</v>
      </c>
      <c r="D589" s="2056">
        <v>338.62</v>
      </c>
      <c r="E589" s="2057">
        <f t="shared" si="34"/>
        <v>3.7381419075170758E-5</v>
      </c>
      <c r="F589" s="2057">
        <f t="shared" si="35"/>
        <v>0.99665492820707102</v>
      </c>
    </row>
    <row r="590" spans="1:6" s="2036" customFormat="1" ht="30" x14ac:dyDescent="0.2">
      <c r="A590" s="2054" t="s">
        <v>5184</v>
      </c>
      <c r="B590" s="2054" t="s">
        <v>7071</v>
      </c>
      <c r="C590" s="2055" t="s">
        <v>7096</v>
      </c>
      <c r="D590" s="2056">
        <v>338.2</v>
      </c>
      <c r="E590" s="2057">
        <f t="shared" si="34"/>
        <v>3.7335053839769503E-5</v>
      </c>
      <c r="F590" s="2057">
        <f t="shared" si="35"/>
        <v>0.99669226326091076</v>
      </c>
    </row>
    <row r="591" spans="1:6" s="2036" customFormat="1" ht="30" x14ac:dyDescent="0.2">
      <c r="A591" s="2054" t="s">
        <v>5184</v>
      </c>
      <c r="B591" s="2054" t="s">
        <v>7070</v>
      </c>
      <c r="C591" s="2055" t="s">
        <v>7092</v>
      </c>
      <c r="D591" s="2056">
        <v>338.2</v>
      </c>
      <c r="E591" s="2057">
        <f t="shared" si="34"/>
        <v>3.7335053839769503E-5</v>
      </c>
      <c r="F591" s="2057">
        <f t="shared" si="35"/>
        <v>0.9967295983147505</v>
      </c>
    </row>
    <row r="592" spans="1:6" s="2036" customFormat="1" ht="15" x14ac:dyDescent="0.2">
      <c r="A592" s="2054" t="s">
        <v>5184</v>
      </c>
      <c r="B592" s="2054" t="s">
        <v>8593</v>
      </c>
      <c r="C592" s="2058" t="s">
        <v>8912</v>
      </c>
      <c r="D592" s="2056">
        <v>332.35</v>
      </c>
      <c r="E592" s="2057">
        <f t="shared" si="34"/>
        <v>3.6689252346680648E-5</v>
      </c>
      <c r="F592" s="2057">
        <f t="shared" si="35"/>
        <v>0.99676628756709718</v>
      </c>
    </row>
    <row r="593" spans="1:6" s="2036" customFormat="1" ht="60" x14ac:dyDescent="0.2">
      <c r="A593" s="2054" t="s">
        <v>5184</v>
      </c>
      <c r="B593" s="2054" t="s">
        <v>7130</v>
      </c>
      <c r="C593" s="2055" t="s">
        <v>6171</v>
      </c>
      <c r="D593" s="2056">
        <v>331.64</v>
      </c>
      <c r="E593" s="2057">
        <f t="shared" si="34"/>
        <v>3.6610873020169005E-5</v>
      </c>
      <c r="F593" s="2057">
        <f t="shared" si="35"/>
        <v>0.99680289844011738</v>
      </c>
    </row>
    <row r="594" spans="1:6" s="2036" customFormat="1" ht="30" x14ac:dyDescent="0.2">
      <c r="A594" s="2054" t="s">
        <v>5184</v>
      </c>
      <c r="B594" s="2054" t="s">
        <v>7298</v>
      </c>
      <c r="C594" s="2055" t="s">
        <v>7301</v>
      </c>
      <c r="D594" s="2056">
        <v>328.44</v>
      </c>
      <c r="E594" s="2057">
        <f t="shared" si="34"/>
        <v>3.6257614083778526E-5</v>
      </c>
      <c r="F594" s="2057">
        <f t="shared" si="35"/>
        <v>0.99683915605420115</v>
      </c>
    </row>
    <row r="595" spans="1:6" s="2036" customFormat="1" ht="15" x14ac:dyDescent="0.2">
      <c r="A595" s="2054" t="s">
        <v>5184</v>
      </c>
      <c r="B595" s="2054" t="s">
        <v>14985</v>
      </c>
      <c r="C595" s="2055" t="s">
        <v>14984</v>
      </c>
      <c r="D595" s="2056">
        <v>326.68</v>
      </c>
      <c r="E595" s="2057">
        <f t="shared" si="34"/>
        <v>3.6063321668763759E-5</v>
      </c>
      <c r="F595" s="2057">
        <f t="shared" si="35"/>
        <v>0.99687521937586987</v>
      </c>
    </row>
    <row r="596" spans="1:6" s="2036" customFormat="1" ht="15" x14ac:dyDescent="0.2">
      <c r="A596" s="2054" t="s">
        <v>5184</v>
      </c>
      <c r="B596" s="2054" t="s">
        <v>9375</v>
      </c>
      <c r="C596" s="2055" t="s">
        <v>9095</v>
      </c>
      <c r="D596" s="2056">
        <v>325.27999999999997</v>
      </c>
      <c r="E596" s="2057">
        <f t="shared" si="34"/>
        <v>3.5908770884092918E-5</v>
      </c>
      <c r="F596" s="2057">
        <f t="shared" si="35"/>
        <v>0.99691112814675398</v>
      </c>
    </row>
    <row r="597" spans="1:6" s="2036" customFormat="1" ht="30" x14ac:dyDescent="0.2">
      <c r="A597" s="2054" t="s">
        <v>5184</v>
      </c>
      <c r="B597" s="2054" t="s">
        <v>7114</v>
      </c>
      <c r="C597" s="2055" t="s">
        <v>8957</v>
      </c>
      <c r="D597" s="2056">
        <v>322.02</v>
      </c>
      <c r="E597" s="2057">
        <f t="shared" si="34"/>
        <v>3.554888834264511E-5</v>
      </c>
      <c r="F597" s="2057">
        <f t="shared" si="35"/>
        <v>0.99694667703509665</v>
      </c>
    </row>
    <row r="598" spans="1:6" s="2036" customFormat="1" ht="30" x14ac:dyDescent="0.2">
      <c r="A598" s="2054" t="s">
        <v>5184</v>
      </c>
      <c r="B598" s="2054" t="s">
        <v>7477</v>
      </c>
      <c r="C598" s="2055" t="s">
        <v>6006</v>
      </c>
      <c r="D598" s="2056">
        <v>321.88</v>
      </c>
      <c r="E598" s="2057">
        <f t="shared" si="34"/>
        <v>3.5533433264178027E-5</v>
      </c>
      <c r="F598" s="2057">
        <f t="shared" si="35"/>
        <v>0.99698221046836077</v>
      </c>
    </row>
    <row r="599" spans="1:6" s="2036" customFormat="1" ht="30" x14ac:dyDescent="0.2">
      <c r="A599" s="2054" t="s">
        <v>5184</v>
      </c>
      <c r="B599" s="2054" t="s">
        <v>7068</v>
      </c>
      <c r="C599" s="2055" t="s">
        <v>6145</v>
      </c>
      <c r="D599" s="2056">
        <v>319.2</v>
      </c>
      <c r="E599" s="2057">
        <f t="shared" si="34"/>
        <v>3.5237578904950996E-5</v>
      </c>
      <c r="F599" s="2057">
        <f t="shared" si="35"/>
        <v>0.99701744804726578</v>
      </c>
    </row>
    <row r="600" spans="1:6" s="2036" customFormat="1" ht="15" x14ac:dyDescent="0.2">
      <c r="A600" s="2054" t="s">
        <v>5184</v>
      </c>
      <c r="B600" s="2054" t="s">
        <v>9316</v>
      </c>
      <c r="C600" s="2055" t="s">
        <v>9066</v>
      </c>
      <c r="D600" s="2056">
        <v>318.12</v>
      </c>
      <c r="E600" s="2057">
        <f t="shared" si="34"/>
        <v>3.5118354013919204E-5</v>
      </c>
      <c r="F600" s="2057">
        <f t="shared" si="35"/>
        <v>0.99705256640127971</v>
      </c>
    </row>
    <row r="601" spans="1:6" s="2036" customFormat="1" ht="15" x14ac:dyDescent="0.2">
      <c r="A601" s="2054" t="s">
        <v>5184</v>
      </c>
      <c r="B601" s="2054" t="s">
        <v>6983</v>
      </c>
      <c r="C601" s="2055" t="s">
        <v>5953</v>
      </c>
      <c r="D601" s="2056">
        <v>315.83999999999997</v>
      </c>
      <c r="E601" s="2057">
        <f t="shared" si="34"/>
        <v>3.4866657021740983E-5</v>
      </c>
      <c r="F601" s="2057">
        <f t="shared" si="35"/>
        <v>0.9970874330583015</v>
      </c>
    </row>
    <row r="602" spans="1:6" s="2036" customFormat="1" ht="30" x14ac:dyDescent="0.2">
      <c r="A602" s="2054" t="s">
        <v>5184</v>
      </c>
      <c r="B602" s="2054" t="s">
        <v>7067</v>
      </c>
      <c r="C602" s="2055" t="s">
        <v>6144</v>
      </c>
      <c r="D602" s="2056">
        <v>313.8</v>
      </c>
      <c r="E602" s="2057">
        <f t="shared" si="34"/>
        <v>3.464145444979205E-5</v>
      </c>
      <c r="F602" s="2057">
        <f t="shared" si="35"/>
        <v>0.99712207451275126</v>
      </c>
    </row>
    <row r="603" spans="1:6" s="2036" customFormat="1" ht="30" x14ac:dyDescent="0.2">
      <c r="A603" s="2054" t="s">
        <v>5184</v>
      </c>
      <c r="B603" s="2054" t="s">
        <v>7384</v>
      </c>
      <c r="C603" s="2055" t="s">
        <v>7368</v>
      </c>
      <c r="D603" s="2056">
        <v>310.60000000000002</v>
      </c>
      <c r="E603" s="2057">
        <f t="shared" si="34"/>
        <v>3.4288195513401565E-5</v>
      </c>
      <c r="F603" s="2057">
        <f t="shared" si="35"/>
        <v>0.99715636270826469</v>
      </c>
    </row>
    <row r="604" spans="1:6" s="2036" customFormat="1" ht="30" x14ac:dyDescent="0.2">
      <c r="A604" s="2054" t="s">
        <v>5184</v>
      </c>
      <c r="B604" s="2054" t="s">
        <v>7079</v>
      </c>
      <c r="C604" s="2055" t="s">
        <v>7090</v>
      </c>
      <c r="D604" s="2056">
        <v>308.98</v>
      </c>
      <c r="E604" s="2057">
        <f t="shared" si="34"/>
        <v>3.410935817685388E-5</v>
      </c>
      <c r="F604" s="2057">
        <f t="shared" si="35"/>
        <v>0.99719047206644151</v>
      </c>
    </row>
    <row r="605" spans="1:6" s="2036" customFormat="1" ht="15" x14ac:dyDescent="0.2">
      <c r="A605" s="2054" t="s">
        <v>5184</v>
      </c>
      <c r="B605" s="2054" t="s">
        <v>7394</v>
      </c>
      <c r="C605" s="2055" t="s">
        <v>7373</v>
      </c>
      <c r="D605" s="2056">
        <v>306.39999999999998</v>
      </c>
      <c r="E605" s="2057">
        <f t="shared" si="34"/>
        <v>3.3824543159389048E-5</v>
      </c>
      <c r="F605" s="2057">
        <f t="shared" si="35"/>
        <v>0.99722429660960088</v>
      </c>
    </row>
    <row r="606" spans="1:6" s="2036" customFormat="1" ht="15" x14ac:dyDescent="0.2">
      <c r="A606" s="2054" t="s">
        <v>5184</v>
      </c>
      <c r="B606" s="2054" t="s">
        <v>7230</v>
      </c>
      <c r="C606" s="2055" t="s">
        <v>7252</v>
      </c>
      <c r="D606" s="2056">
        <v>304.72000000000003</v>
      </c>
      <c r="E606" s="2057">
        <f t="shared" si="34"/>
        <v>3.3639082217784048E-5</v>
      </c>
      <c r="F606" s="2057">
        <f t="shared" si="35"/>
        <v>0.99725793569181864</v>
      </c>
    </row>
    <row r="607" spans="1:6" s="2036" customFormat="1" ht="45" x14ac:dyDescent="0.2">
      <c r="A607" s="2054" t="s">
        <v>5184</v>
      </c>
      <c r="B607" s="2054" t="s">
        <v>7328</v>
      </c>
      <c r="C607" s="2055" t="s">
        <v>7416</v>
      </c>
      <c r="D607" s="2056">
        <v>304.57</v>
      </c>
      <c r="E607" s="2057">
        <f t="shared" si="34"/>
        <v>3.3622523205140743E-5</v>
      </c>
      <c r="F607" s="2057">
        <f t="shared" si="35"/>
        <v>0.9972915582150238</v>
      </c>
    </row>
    <row r="608" spans="1:6" s="2036" customFormat="1" ht="15" x14ac:dyDescent="0.2">
      <c r="A608" s="2054" t="s">
        <v>5184</v>
      </c>
      <c r="B608" s="2054" t="s">
        <v>6841</v>
      </c>
      <c r="C608" s="2055" t="s">
        <v>6817</v>
      </c>
      <c r="D608" s="2056">
        <v>304.3</v>
      </c>
      <c r="E608" s="2057">
        <f t="shared" si="34"/>
        <v>3.3592716982382793E-5</v>
      </c>
      <c r="F608" s="2057">
        <f t="shared" si="35"/>
        <v>0.99732515093200613</v>
      </c>
    </row>
    <row r="609" spans="1:6" s="2036" customFormat="1" ht="15" x14ac:dyDescent="0.2">
      <c r="A609" s="2054" t="s">
        <v>5184</v>
      </c>
      <c r="B609" s="2054" t="s">
        <v>7003</v>
      </c>
      <c r="C609" s="2055" t="s">
        <v>5980</v>
      </c>
      <c r="D609" s="2056">
        <v>304.27999999999997</v>
      </c>
      <c r="E609" s="2057">
        <f t="shared" si="34"/>
        <v>3.3590509114030348E-5</v>
      </c>
      <c r="F609" s="2057">
        <f t="shared" ref="F609:F617" si="36">E609+F608</f>
        <v>0.99735874144112013</v>
      </c>
    </row>
    <row r="610" spans="1:6" s="2036" customFormat="1" ht="15" x14ac:dyDescent="0.2">
      <c r="A610" s="2054" t="s">
        <v>5184</v>
      </c>
      <c r="B610" s="2054" t="s">
        <v>14982</v>
      </c>
      <c r="C610" s="2055" t="s">
        <v>8565</v>
      </c>
      <c r="D610" s="2056">
        <v>303.7</v>
      </c>
      <c r="E610" s="2057">
        <f t="shared" si="34"/>
        <v>3.3526480931809578E-5</v>
      </c>
      <c r="F610" s="2057">
        <f t="shared" si="36"/>
        <v>0.99739226792205193</v>
      </c>
    </row>
    <row r="611" spans="1:6" s="2036" customFormat="1" ht="45" x14ac:dyDescent="0.2">
      <c r="A611" s="2054" t="s">
        <v>5184</v>
      </c>
      <c r="B611" s="2054" t="s">
        <v>5901</v>
      </c>
      <c r="C611" s="2055" t="s">
        <v>5900</v>
      </c>
      <c r="D611" s="2056">
        <v>302.89</v>
      </c>
      <c r="E611" s="2057">
        <f t="shared" si="34"/>
        <v>3.3437062263535736E-5</v>
      </c>
      <c r="F611" s="2057">
        <f t="shared" si="36"/>
        <v>0.99742570498431549</v>
      </c>
    </row>
    <row r="612" spans="1:6" s="2036" customFormat="1" ht="30" x14ac:dyDescent="0.2">
      <c r="A612" s="2054" t="s">
        <v>5184</v>
      </c>
      <c r="B612" s="2054" t="s">
        <v>9526</v>
      </c>
      <c r="C612" s="2055" t="s">
        <v>9530</v>
      </c>
      <c r="D612" s="2056">
        <v>299.99</v>
      </c>
      <c r="E612" s="2057">
        <f t="shared" si="34"/>
        <v>3.3116921352431861E-5</v>
      </c>
      <c r="F612" s="2057">
        <f t="shared" si="36"/>
        <v>0.99745882190566793</v>
      </c>
    </row>
    <row r="613" spans="1:6" s="2036" customFormat="1" ht="15" x14ac:dyDescent="0.2">
      <c r="A613" s="2054" t="s">
        <v>5184</v>
      </c>
      <c r="B613" s="2054" t="s">
        <v>6960</v>
      </c>
      <c r="C613" s="2055" t="s">
        <v>5923</v>
      </c>
      <c r="D613" s="2056">
        <v>287.43</v>
      </c>
      <c r="E613" s="2057">
        <f t="shared" si="34"/>
        <v>3.1730380027099202E-5</v>
      </c>
      <c r="F613" s="2057">
        <f t="shared" si="36"/>
        <v>0.99749055228569505</v>
      </c>
    </row>
    <row r="614" spans="1:6" s="2006" customFormat="1" ht="30" x14ac:dyDescent="0.2">
      <c r="A614" s="2004" t="s">
        <v>15149</v>
      </c>
      <c r="B614" s="2004" t="s">
        <v>0</v>
      </c>
      <c r="C614" s="2004" t="s">
        <v>1</v>
      </c>
      <c r="D614" s="1990" t="s">
        <v>130</v>
      </c>
      <c r="E614" s="1989" t="s">
        <v>15139</v>
      </c>
      <c r="F614" s="1990" t="s">
        <v>15140</v>
      </c>
    </row>
    <row r="615" spans="1:6" s="2036" customFormat="1" ht="15" x14ac:dyDescent="0.2">
      <c r="A615" s="2054" t="s">
        <v>5184</v>
      </c>
      <c r="B615" s="2054" t="s">
        <v>7157</v>
      </c>
      <c r="C615" s="2055" t="s">
        <v>7150</v>
      </c>
      <c r="D615" s="2056">
        <v>286.92</v>
      </c>
      <c r="E615" s="2057">
        <f t="shared" ref="E615:E653" si="37">D615/SUM(D:D)</f>
        <v>3.167407938411197E-5</v>
      </c>
      <c r="F615" s="2057">
        <f>E615+F613</f>
        <v>0.99752222636507915</v>
      </c>
    </row>
    <row r="616" spans="1:6" s="2036" customFormat="1" ht="30" x14ac:dyDescent="0.2">
      <c r="A616" s="2054" t="s">
        <v>5184</v>
      </c>
      <c r="B616" s="2054" t="s">
        <v>7075</v>
      </c>
      <c r="C616" s="2055" t="s">
        <v>7098</v>
      </c>
      <c r="D616" s="2056">
        <v>284.94</v>
      </c>
      <c r="E616" s="2057">
        <f t="shared" si="37"/>
        <v>3.1455500417220353E-5</v>
      </c>
      <c r="F616" s="2057">
        <f t="shared" si="36"/>
        <v>0.99755368186549631</v>
      </c>
    </row>
    <row r="617" spans="1:6" s="2036" customFormat="1" ht="15" x14ac:dyDescent="0.2">
      <c r="A617" s="2054" t="s">
        <v>5184</v>
      </c>
      <c r="B617" s="2054" t="s">
        <v>7000</v>
      </c>
      <c r="C617" s="2055" t="s">
        <v>5977</v>
      </c>
      <c r="D617" s="2056">
        <v>282.2</v>
      </c>
      <c r="E617" s="2057">
        <f t="shared" si="37"/>
        <v>3.1153022452936E-5</v>
      </c>
      <c r="F617" s="2057">
        <f t="shared" si="36"/>
        <v>0.99758483488794925</v>
      </c>
    </row>
    <row r="618" spans="1:6" s="2036" customFormat="1" ht="30" x14ac:dyDescent="0.2">
      <c r="A618" s="2054" t="s">
        <v>5184</v>
      </c>
      <c r="B618" s="2054" t="s">
        <v>7541</v>
      </c>
      <c r="C618" s="2055" t="s">
        <v>6107</v>
      </c>
      <c r="D618" s="2056">
        <v>282.12</v>
      </c>
      <c r="E618" s="2057">
        <f t="shared" si="37"/>
        <v>3.1144190979526239E-5</v>
      </c>
      <c r="F618" s="2057">
        <f>E618+F617</f>
        <v>0.99761597907892874</v>
      </c>
    </row>
    <row r="619" spans="1:6" s="2036" customFormat="1" ht="15" x14ac:dyDescent="0.2">
      <c r="A619" s="2054" t="s">
        <v>5184</v>
      </c>
      <c r="B619" s="2054" t="s">
        <v>9333</v>
      </c>
      <c r="C619" s="2055" t="s">
        <v>9079</v>
      </c>
      <c r="D619" s="2056">
        <v>272.16000000000003</v>
      </c>
      <c r="E619" s="2057">
        <f t="shared" si="37"/>
        <v>3.004467254001085E-5</v>
      </c>
      <c r="F619" s="2057">
        <f t="shared" ref="F619:F674" si="38">E619+F618</f>
        <v>0.99764602375146871</v>
      </c>
    </row>
    <row r="620" spans="1:6" s="2036" customFormat="1" ht="30" x14ac:dyDescent="0.2">
      <c r="A620" s="2054" t="s">
        <v>5184</v>
      </c>
      <c r="B620" s="2054" t="s">
        <v>9476</v>
      </c>
      <c r="C620" s="2055" t="s">
        <v>9477</v>
      </c>
      <c r="D620" s="2056">
        <v>271.32</v>
      </c>
      <c r="E620" s="2057">
        <f t="shared" si="37"/>
        <v>2.9951942069208343E-5</v>
      </c>
      <c r="F620" s="2057">
        <f t="shared" si="38"/>
        <v>0.99767597569353794</v>
      </c>
    </row>
    <row r="621" spans="1:6" s="2036" customFormat="1" ht="15" x14ac:dyDescent="0.2">
      <c r="A621" s="2054" t="s">
        <v>5184</v>
      </c>
      <c r="B621" s="2054" t="s">
        <v>7522</v>
      </c>
      <c r="C621" s="2055" t="s">
        <v>6088</v>
      </c>
      <c r="D621" s="2056">
        <v>270.88</v>
      </c>
      <c r="E621" s="2057">
        <f t="shared" si="37"/>
        <v>2.9903368965454653E-5</v>
      </c>
      <c r="F621" s="2057">
        <f t="shared" si="38"/>
        <v>0.99770587906250341</v>
      </c>
    </row>
    <row r="622" spans="1:6" s="2036" customFormat="1" ht="30" x14ac:dyDescent="0.2">
      <c r="A622" s="2054" t="s">
        <v>5184</v>
      </c>
      <c r="B622" s="2054" t="s">
        <v>9478</v>
      </c>
      <c r="C622" s="2058" t="s">
        <v>9479</v>
      </c>
      <c r="D622" s="2056">
        <v>269.2</v>
      </c>
      <c r="E622" s="2057">
        <f t="shared" si="37"/>
        <v>2.9717908023849647E-5</v>
      </c>
      <c r="F622" s="2057">
        <f t="shared" si="38"/>
        <v>0.99773559697052727</v>
      </c>
    </row>
    <row r="623" spans="1:6" s="2036" customFormat="1" ht="30" x14ac:dyDescent="0.2">
      <c r="A623" s="2054" t="s">
        <v>5184</v>
      </c>
      <c r="B623" s="2054" t="s">
        <v>7498</v>
      </c>
      <c r="C623" s="2055" t="s">
        <v>6048</v>
      </c>
      <c r="D623" s="2056">
        <v>268.52</v>
      </c>
      <c r="E623" s="2057">
        <f t="shared" si="37"/>
        <v>2.9642840499866668E-5</v>
      </c>
      <c r="F623" s="2057">
        <f t="shared" si="38"/>
        <v>0.99776523981102716</v>
      </c>
    </row>
    <row r="624" spans="1:6" s="2036" customFormat="1" ht="15" x14ac:dyDescent="0.2">
      <c r="A624" s="2054" t="s">
        <v>5184</v>
      </c>
      <c r="B624" s="2054" t="s">
        <v>9504</v>
      </c>
      <c r="C624" s="2055" t="s">
        <v>9002</v>
      </c>
      <c r="D624" s="2056">
        <v>266.95</v>
      </c>
      <c r="E624" s="2057">
        <f t="shared" si="37"/>
        <v>2.9469522834200086E-5</v>
      </c>
      <c r="F624" s="2057">
        <f t="shared" si="38"/>
        <v>0.99779470933386138</v>
      </c>
    </row>
    <row r="625" spans="1:6" s="2036" customFormat="1" ht="30" x14ac:dyDescent="0.2">
      <c r="A625" s="2054" t="s">
        <v>5184</v>
      </c>
      <c r="B625" s="2054" t="s">
        <v>6971</v>
      </c>
      <c r="C625" s="2055" t="s">
        <v>5932</v>
      </c>
      <c r="D625" s="2056">
        <v>265.32</v>
      </c>
      <c r="E625" s="2057">
        <f t="shared" si="37"/>
        <v>2.9289581563476182E-5</v>
      </c>
      <c r="F625" s="2057">
        <f t="shared" si="38"/>
        <v>0.99782399891542484</v>
      </c>
    </row>
    <row r="626" spans="1:6" s="2036" customFormat="1" ht="15" x14ac:dyDescent="0.2">
      <c r="A626" s="2054" t="s">
        <v>5184</v>
      </c>
      <c r="B626" s="2054" t="s">
        <v>15088</v>
      </c>
      <c r="C626" s="2055" t="s">
        <v>6005</v>
      </c>
      <c r="D626" s="2056">
        <v>264.60000000000002</v>
      </c>
      <c r="E626" s="2057">
        <f t="shared" si="37"/>
        <v>2.9210098302788327E-5</v>
      </c>
      <c r="F626" s="2057">
        <f t="shared" si="38"/>
        <v>0.99785320901372765</v>
      </c>
    </row>
    <row r="627" spans="1:6" s="2036" customFormat="1" ht="60" x14ac:dyDescent="0.2">
      <c r="A627" s="2054" t="s">
        <v>5184</v>
      </c>
      <c r="B627" s="2054" t="s">
        <v>7133</v>
      </c>
      <c r="C627" s="2055" t="s">
        <v>6174</v>
      </c>
      <c r="D627" s="2056">
        <v>261.72000000000003</v>
      </c>
      <c r="E627" s="2057">
        <f t="shared" si="37"/>
        <v>2.8892165260036891E-5</v>
      </c>
      <c r="F627" s="2057">
        <f t="shared" si="38"/>
        <v>0.99788210117898768</v>
      </c>
    </row>
    <row r="628" spans="1:6" s="2036" customFormat="1" ht="15" x14ac:dyDescent="0.2">
      <c r="A628" s="2054" t="s">
        <v>5184</v>
      </c>
      <c r="B628" s="2054" t="s">
        <v>6061</v>
      </c>
      <c r="C628" s="2055" t="s">
        <v>6057</v>
      </c>
      <c r="D628" s="2056">
        <v>261.64999999999998</v>
      </c>
      <c r="E628" s="2057">
        <f t="shared" si="37"/>
        <v>2.8884437720803343E-5</v>
      </c>
      <c r="F628" s="2057">
        <f t="shared" si="38"/>
        <v>0.99791098561670843</v>
      </c>
    </row>
    <row r="629" spans="1:6" s="2036" customFormat="1" ht="30" x14ac:dyDescent="0.2">
      <c r="A629" s="2054" t="s">
        <v>5184</v>
      </c>
      <c r="B629" s="2054" t="s">
        <v>7004</v>
      </c>
      <c r="C629" s="2055" t="s">
        <v>5981</v>
      </c>
      <c r="D629" s="2056">
        <v>258.72000000000003</v>
      </c>
      <c r="E629" s="2057">
        <f t="shared" si="37"/>
        <v>2.856098500717081E-5</v>
      </c>
      <c r="F629" s="2057">
        <f t="shared" si="38"/>
        <v>0.99793954660171558</v>
      </c>
    </row>
    <row r="630" spans="1:6" s="2036" customFormat="1" ht="30" x14ac:dyDescent="0.2">
      <c r="A630" s="2054" t="s">
        <v>5184</v>
      </c>
      <c r="B630" s="2054" t="s">
        <v>5901</v>
      </c>
      <c r="C630" s="2055" t="s">
        <v>7476</v>
      </c>
      <c r="D630" s="2056">
        <v>258.45999999999998</v>
      </c>
      <c r="E630" s="2057">
        <f t="shared" si="37"/>
        <v>2.8532282718589076E-5</v>
      </c>
      <c r="F630" s="2057">
        <f t="shared" si="38"/>
        <v>0.99796807888443417</v>
      </c>
    </row>
    <row r="631" spans="1:6" s="2036" customFormat="1" ht="15" x14ac:dyDescent="0.2">
      <c r="A631" s="2054" t="s">
        <v>5184</v>
      </c>
      <c r="B631" s="2054" t="s">
        <v>9342</v>
      </c>
      <c r="C631" s="2055" t="s">
        <v>9080</v>
      </c>
      <c r="D631" s="2056">
        <v>255.34</v>
      </c>
      <c r="E631" s="2057">
        <f t="shared" si="37"/>
        <v>2.8187855255608355E-5</v>
      </c>
      <c r="F631" s="2057">
        <f t="shared" si="38"/>
        <v>0.99799626673968977</v>
      </c>
    </row>
    <row r="632" spans="1:6" s="2036" customFormat="1" ht="15" x14ac:dyDescent="0.2">
      <c r="A632" s="2054" t="s">
        <v>5184</v>
      </c>
      <c r="B632" s="2054" t="s">
        <v>9411</v>
      </c>
      <c r="C632" s="2055" t="s">
        <v>9107</v>
      </c>
      <c r="D632" s="2056">
        <v>255.12</v>
      </c>
      <c r="E632" s="2057">
        <f t="shared" si="37"/>
        <v>2.8163568703731508E-5</v>
      </c>
      <c r="F632" s="2057">
        <f t="shared" si="38"/>
        <v>0.9980244303083935</v>
      </c>
    </row>
    <row r="633" spans="1:6" s="2036" customFormat="1" ht="15" x14ac:dyDescent="0.2">
      <c r="A633" s="2054" t="s">
        <v>5184</v>
      </c>
      <c r="B633" s="2054" t="s">
        <v>7245</v>
      </c>
      <c r="C633" s="2055" t="s">
        <v>7199</v>
      </c>
      <c r="D633" s="2056">
        <v>254.5</v>
      </c>
      <c r="E633" s="2057">
        <f t="shared" si="37"/>
        <v>2.8095124784805852E-5</v>
      </c>
      <c r="F633" s="2057">
        <f t="shared" si="38"/>
        <v>0.99805252543317835</v>
      </c>
    </row>
    <row r="634" spans="1:6" s="2036" customFormat="1" ht="30" x14ac:dyDescent="0.2">
      <c r="A634" s="2054" t="s">
        <v>5184</v>
      </c>
      <c r="B634" s="2054" t="s">
        <v>7385</v>
      </c>
      <c r="C634" s="2055" t="s">
        <v>7376</v>
      </c>
      <c r="D634" s="2056">
        <v>254.2</v>
      </c>
      <c r="E634" s="2057">
        <f t="shared" si="37"/>
        <v>2.8062006759519244E-5</v>
      </c>
      <c r="F634" s="2057">
        <f t="shared" si="38"/>
        <v>0.99808058743993788</v>
      </c>
    </row>
    <row r="635" spans="1:6" s="2036" customFormat="1" ht="30" x14ac:dyDescent="0.2">
      <c r="A635" s="2054" t="s">
        <v>5184</v>
      </c>
      <c r="B635" s="2054" t="s">
        <v>7330</v>
      </c>
      <c r="C635" s="2055" t="s">
        <v>7302</v>
      </c>
      <c r="D635" s="2056">
        <v>252.37</v>
      </c>
      <c r="E635" s="2057">
        <f t="shared" si="37"/>
        <v>2.7859986805270936E-5</v>
      </c>
      <c r="F635" s="2057">
        <f t="shared" si="38"/>
        <v>0.99810844742674321</v>
      </c>
    </row>
    <row r="636" spans="1:6" s="2036" customFormat="1" ht="30" x14ac:dyDescent="0.2">
      <c r="A636" s="2054" t="s">
        <v>5184</v>
      </c>
      <c r="B636" s="2054" t="s">
        <v>6052</v>
      </c>
      <c r="C636" s="2055" t="s">
        <v>6047</v>
      </c>
      <c r="D636" s="2056">
        <v>250</v>
      </c>
      <c r="E636" s="2057">
        <f t="shared" si="37"/>
        <v>2.7598354405506731E-5</v>
      </c>
      <c r="F636" s="2057">
        <f t="shared" si="38"/>
        <v>0.99813604578114867</v>
      </c>
    </row>
    <row r="637" spans="1:6" s="2036" customFormat="1" ht="15" x14ac:dyDescent="0.2">
      <c r="A637" s="2054" t="s">
        <v>5184</v>
      </c>
      <c r="B637" s="2054" t="s">
        <v>7542</v>
      </c>
      <c r="C637" s="2055" t="s">
        <v>6108</v>
      </c>
      <c r="D637" s="2056">
        <v>242.82</v>
      </c>
      <c r="E637" s="2057">
        <f t="shared" si="37"/>
        <v>2.6805729666980576E-5</v>
      </c>
      <c r="F637" s="2057">
        <f t="shared" si="38"/>
        <v>0.99816285151081563</v>
      </c>
    </row>
    <row r="638" spans="1:6" s="2036" customFormat="1" ht="30" x14ac:dyDescent="0.2">
      <c r="A638" s="2054" t="s">
        <v>5184</v>
      </c>
      <c r="B638" s="2054" t="s">
        <v>7360</v>
      </c>
      <c r="C638" s="2055" t="s">
        <v>7354</v>
      </c>
      <c r="D638" s="2056">
        <v>242.56</v>
      </c>
      <c r="E638" s="2057">
        <f t="shared" si="37"/>
        <v>2.6777027378398852E-5</v>
      </c>
      <c r="F638" s="2057">
        <f t="shared" si="38"/>
        <v>0.99818962853819404</v>
      </c>
    </row>
    <row r="639" spans="1:6" s="2036" customFormat="1" ht="30" x14ac:dyDescent="0.2">
      <c r="A639" s="2054" t="s">
        <v>5184</v>
      </c>
      <c r="B639" s="2054" t="s">
        <v>7528</v>
      </c>
      <c r="C639" s="2055" t="s">
        <v>6094</v>
      </c>
      <c r="D639" s="2056">
        <v>241.65</v>
      </c>
      <c r="E639" s="2057">
        <f t="shared" si="37"/>
        <v>2.6676569368362807E-5</v>
      </c>
      <c r="F639" s="2057">
        <f t="shared" si="38"/>
        <v>0.99821630510756243</v>
      </c>
    </row>
    <row r="640" spans="1:6" s="2036" customFormat="1" ht="30" x14ac:dyDescent="0.2">
      <c r="A640" s="2054" t="s">
        <v>5184</v>
      </c>
      <c r="B640" s="2054" t="s">
        <v>7320</v>
      </c>
      <c r="C640" s="2055" t="s">
        <v>7415</v>
      </c>
      <c r="D640" s="2056">
        <v>240.2</v>
      </c>
      <c r="E640" s="2057">
        <f t="shared" si="37"/>
        <v>2.6516498912810867E-5</v>
      </c>
      <c r="F640" s="2057">
        <f t="shared" si="38"/>
        <v>0.99824282160647526</v>
      </c>
    </row>
    <row r="641" spans="1:6" s="2036" customFormat="1" ht="15" x14ac:dyDescent="0.2">
      <c r="A641" s="2054" t="s">
        <v>5184</v>
      </c>
      <c r="B641" s="2054" t="s">
        <v>6975</v>
      </c>
      <c r="C641" s="2055" t="s">
        <v>5936</v>
      </c>
      <c r="D641" s="2056">
        <v>238.8</v>
      </c>
      <c r="E641" s="2057">
        <f t="shared" si="37"/>
        <v>2.6361948128140032E-5</v>
      </c>
      <c r="F641" s="2057">
        <f t="shared" si="38"/>
        <v>0.99826918355460337</v>
      </c>
    </row>
    <row r="642" spans="1:6" s="2036" customFormat="1" ht="15" x14ac:dyDescent="0.2">
      <c r="A642" s="2054" t="s">
        <v>5184</v>
      </c>
      <c r="B642" s="2054" t="s">
        <v>7177</v>
      </c>
      <c r="C642" s="2055" t="s">
        <v>7169</v>
      </c>
      <c r="D642" s="2056">
        <v>238.14</v>
      </c>
      <c r="E642" s="2057">
        <f t="shared" si="37"/>
        <v>2.6289088472509492E-5</v>
      </c>
      <c r="F642" s="2057">
        <f t="shared" si="38"/>
        <v>0.99829547264307583</v>
      </c>
    </row>
    <row r="643" spans="1:6" s="2036" customFormat="1" ht="15" x14ac:dyDescent="0.2">
      <c r="A643" s="2054" t="s">
        <v>5184</v>
      </c>
      <c r="B643" s="2054" t="s">
        <v>9356</v>
      </c>
      <c r="C643" s="2055" t="s">
        <v>9087</v>
      </c>
      <c r="D643" s="2056">
        <v>237.09</v>
      </c>
      <c r="E643" s="2057">
        <f t="shared" si="37"/>
        <v>2.6173175384006365E-5</v>
      </c>
      <c r="F643" s="2057">
        <f t="shared" si="38"/>
        <v>0.99832164581845984</v>
      </c>
    </row>
    <row r="644" spans="1:6" s="2036" customFormat="1" ht="15" x14ac:dyDescent="0.2">
      <c r="A644" s="2054" t="s">
        <v>5184</v>
      </c>
      <c r="B644" s="2054" t="s">
        <v>7058</v>
      </c>
      <c r="C644" s="2055" t="s">
        <v>14976</v>
      </c>
      <c r="D644" s="2056">
        <v>231</v>
      </c>
      <c r="E644" s="2057">
        <f t="shared" si="37"/>
        <v>2.5500879470688221E-5</v>
      </c>
      <c r="F644" s="2057">
        <f t="shared" si="38"/>
        <v>0.99834714669793057</v>
      </c>
    </row>
    <row r="645" spans="1:6" s="2036" customFormat="1" ht="15" x14ac:dyDescent="0.2">
      <c r="A645" s="2054" t="s">
        <v>5184</v>
      </c>
      <c r="B645" s="2054" t="s">
        <v>7060</v>
      </c>
      <c r="C645" s="2055" t="s">
        <v>14978</v>
      </c>
      <c r="D645" s="2056">
        <v>230.2</v>
      </c>
      <c r="E645" s="2057">
        <f t="shared" si="37"/>
        <v>2.5412564736590598E-5</v>
      </c>
      <c r="F645" s="2057">
        <f t="shared" si="38"/>
        <v>0.9983725592626671</v>
      </c>
    </row>
    <row r="646" spans="1:6" s="2036" customFormat="1" ht="15" x14ac:dyDescent="0.2">
      <c r="A646" s="2054" t="s">
        <v>5184</v>
      </c>
      <c r="B646" s="2054" t="s">
        <v>7260</v>
      </c>
      <c r="C646" s="2055" t="s">
        <v>6212</v>
      </c>
      <c r="D646" s="2056">
        <v>228.44</v>
      </c>
      <c r="E646" s="2057">
        <f t="shared" si="37"/>
        <v>2.521827232157583E-5</v>
      </c>
      <c r="F646" s="2057">
        <f t="shared" si="38"/>
        <v>0.99839777753498871</v>
      </c>
    </row>
    <row r="647" spans="1:6" s="2036" customFormat="1" ht="15" x14ac:dyDescent="0.2">
      <c r="A647" s="2054" t="s">
        <v>5184</v>
      </c>
      <c r="B647" s="2054" t="s">
        <v>6826</v>
      </c>
      <c r="C647" s="2055" t="s">
        <v>6808</v>
      </c>
      <c r="D647" s="2056">
        <v>224</v>
      </c>
      <c r="E647" s="2057">
        <f t="shared" si="37"/>
        <v>2.4728125547334032E-5</v>
      </c>
      <c r="F647" s="2057">
        <f t="shared" si="38"/>
        <v>0.99842250566053603</v>
      </c>
    </row>
    <row r="648" spans="1:6" s="2036" customFormat="1" ht="30" x14ac:dyDescent="0.2">
      <c r="A648" s="2054" t="s">
        <v>5184</v>
      </c>
      <c r="B648" s="2054" t="s">
        <v>6967</v>
      </c>
      <c r="C648" s="2055" t="s">
        <v>5928</v>
      </c>
      <c r="D648" s="2056">
        <v>222.48</v>
      </c>
      <c r="E648" s="2057">
        <f t="shared" si="37"/>
        <v>2.456032755254855E-5</v>
      </c>
      <c r="F648" s="2057">
        <f t="shared" si="38"/>
        <v>0.99844706598808863</v>
      </c>
    </row>
    <row r="649" spans="1:6" s="2036" customFormat="1" ht="30" x14ac:dyDescent="0.2">
      <c r="A649" s="2054" t="s">
        <v>5184</v>
      </c>
      <c r="B649" s="2054" t="s">
        <v>7434</v>
      </c>
      <c r="C649" s="2055" t="s">
        <v>7430</v>
      </c>
      <c r="D649" s="2056">
        <v>221.12</v>
      </c>
      <c r="E649" s="2057">
        <f t="shared" si="37"/>
        <v>2.4410192504582596E-5</v>
      </c>
      <c r="F649" s="2057">
        <f t="shared" si="38"/>
        <v>0.99847147618059318</v>
      </c>
    </row>
    <row r="650" spans="1:6" s="2036" customFormat="1" ht="30" x14ac:dyDescent="0.2">
      <c r="A650" s="2054" t="s">
        <v>5184</v>
      </c>
      <c r="B650" s="2054" t="s">
        <v>7499</v>
      </c>
      <c r="C650" s="2055" t="s">
        <v>6049</v>
      </c>
      <c r="D650" s="2056">
        <v>219.78</v>
      </c>
      <c r="E650" s="2057">
        <f t="shared" si="37"/>
        <v>2.4262265324969077E-5</v>
      </c>
      <c r="F650" s="2057">
        <f t="shared" si="38"/>
        <v>0.9984957384459181</v>
      </c>
    </row>
    <row r="651" spans="1:6" s="2036" customFormat="1" ht="15" x14ac:dyDescent="0.2">
      <c r="A651" s="2054" t="s">
        <v>5184</v>
      </c>
      <c r="B651" s="2054" t="s">
        <v>7017</v>
      </c>
      <c r="C651" s="2055" t="s">
        <v>7033</v>
      </c>
      <c r="D651" s="2056">
        <v>219</v>
      </c>
      <c r="E651" s="2057">
        <f t="shared" si="37"/>
        <v>2.4176158459223895E-5</v>
      </c>
      <c r="F651" s="2057">
        <f t="shared" si="38"/>
        <v>0.99851991460437728</v>
      </c>
    </row>
    <row r="652" spans="1:6" s="2036" customFormat="1" ht="30" x14ac:dyDescent="0.2">
      <c r="A652" s="2054" t="s">
        <v>5184</v>
      </c>
      <c r="B652" s="2054" t="s">
        <v>7530</v>
      </c>
      <c r="C652" s="2055" t="s">
        <v>6096</v>
      </c>
      <c r="D652" s="2056">
        <v>216.3</v>
      </c>
      <c r="E652" s="2057">
        <f t="shared" si="37"/>
        <v>2.3878096231644426E-5</v>
      </c>
      <c r="F652" s="2057">
        <f t="shared" si="38"/>
        <v>0.99854379270060889</v>
      </c>
    </row>
    <row r="653" spans="1:6" s="2036" customFormat="1" ht="15" x14ac:dyDescent="0.2">
      <c r="A653" s="2054" t="s">
        <v>5184</v>
      </c>
      <c r="B653" s="2054" t="s">
        <v>5949</v>
      </c>
      <c r="C653" s="2055" t="s">
        <v>5948</v>
      </c>
      <c r="D653" s="2056">
        <v>213.4</v>
      </c>
      <c r="E653" s="2057">
        <f t="shared" si="37"/>
        <v>2.3557955320540548E-5</v>
      </c>
      <c r="F653" s="2057">
        <f t="shared" si="38"/>
        <v>0.99856735065592939</v>
      </c>
    </row>
    <row r="654" spans="1:6" s="2006" customFormat="1" ht="30" x14ac:dyDescent="0.2">
      <c r="A654" s="2004" t="s">
        <v>15149</v>
      </c>
      <c r="B654" s="2004" t="s">
        <v>0</v>
      </c>
      <c r="C654" s="2004" t="s">
        <v>1</v>
      </c>
      <c r="D654" s="1990" t="s">
        <v>130</v>
      </c>
      <c r="E654" s="1989" t="s">
        <v>15139</v>
      </c>
      <c r="F654" s="1990" t="s">
        <v>15140</v>
      </c>
    </row>
    <row r="655" spans="1:6" s="2036" customFormat="1" ht="30" x14ac:dyDescent="0.2">
      <c r="A655" s="2054" t="s">
        <v>5184</v>
      </c>
      <c r="B655" s="2054" t="s">
        <v>9498</v>
      </c>
      <c r="C655" s="2055" t="s">
        <v>9499</v>
      </c>
      <c r="D655" s="2056">
        <v>209.13</v>
      </c>
      <c r="E655" s="2057">
        <f t="shared" ref="E655:E700" si="39">D655/SUM(D:D)</f>
        <v>2.308657542729449E-5</v>
      </c>
      <c r="F655" s="2057">
        <f>E655+F653</f>
        <v>0.99859043723135665</v>
      </c>
    </row>
    <row r="656" spans="1:6" s="2036" customFormat="1" ht="15" x14ac:dyDescent="0.2">
      <c r="A656" s="2054" t="s">
        <v>5184</v>
      </c>
      <c r="B656" s="2054" t="s">
        <v>7026</v>
      </c>
      <c r="C656" s="2055" t="s">
        <v>7028</v>
      </c>
      <c r="D656" s="2056">
        <v>205.47</v>
      </c>
      <c r="E656" s="2057">
        <f t="shared" si="39"/>
        <v>2.2682535518797872E-5</v>
      </c>
      <c r="F656" s="2057">
        <f t="shared" si="38"/>
        <v>0.9986131197668755</v>
      </c>
    </row>
    <row r="657" spans="1:6" s="2036" customFormat="1" ht="30" x14ac:dyDescent="0.2">
      <c r="A657" s="2054" t="s">
        <v>5184</v>
      </c>
      <c r="B657" s="2054" t="s">
        <v>6992</v>
      </c>
      <c r="C657" s="2055" t="s">
        <v>5961</v>
      </c>
      <c r="D657" s="2056">
        <v>204.4</v>
      </c>
      <c r="E657" s="2057">
        <f t="shared" si="39"/>
        <v>2.2564414561942303E-5</v>
      </c>
      <c r="F657" s="2057">
        <f t="shared" si="38"/>
        <v>0.99863568418143744</v>
      </c>
    </row>
    <row r="658" spans="1:6" s="2036" customFormat="1" ht="15" x14ac:dyDescent="0.2">
      <c r="A658" s="2054" t="s">
        <v>5184</v>
      </c>
      <c r="B658" s="2054" t="s">
        <v>7256</v>
      </c>
      <c r="C658" s="2055" t="s">
        <v>7257</v>
      </c>
      <c r="D658" s="2056">
        <v>203.08</v>
      </c>
      <c r="E658" s="2057">
        <f t="shared" si="39"/>
        <v>2.2418695250681229E-5</v>
      </c>
      <c r="F658" s="2057">
        <f>E658+F657</f>
        <v>0.9986581028766881</v>
      </c>
    </row>
    <row r="659" spans="1:6" s="2036" customFormat="1" ht="15" x14ac:dyDescent="0.2">
      <c r="A659" s="2054" t="s">
        <v>5184</v>
      </c>
      <c r="B659" s="2054" t="s">
        <v>7140</v>
      </c>
      <c r="C659" s="2055" t="s">
        <v>6179</v>
      </c>
      <c r="D659" s="2056">
        <v>202.44</v>
      </c>
      <c r="E659" s="2057">
        <f t="shared" si="39"/>
        <v>2.2348043463403131E-5</v>
      </c>
      <c r="F659" s="2057">
        <f t="shared" si="38"/>
        <v>0.99868045092015145</v>
      </c>
    </row>
    <row r="660" spans="1:6" s="2036" customFormat="1" ht="15" x14ac:dyDescent="0.2">
      <c r="A660" s="2054" t="s">
        <v>5184</v>
      </c>
      <c r="B660" s="2054" t="s">
        <v>7220</v>
      </c>
      <c r="C660" s="2055" t="s">
        <v>7219</v>
      </c>
      <c r="D660" s="2056">
        <v>202.16</v>
      </c>
      <c r="E660" s="2057">
        <f t="shared" si="39"/>
        <v>2.2317133306468962E-5</v>
      </c>
      <c r="F660" s="2057">
        <f t="shared" si="38"/>
        <v>0.99870276805345792</v>
      </c>
    </row>
    <row r="661" spans="1:6" s="2036" customFormat="1" ht="15" x14ac:dyDescent="0.2">
      <c r="A661" s="2054" t="s">
        <v>5184</v>
      </c>
      <c r="B661" s="2054" t="s">
        <v>6999</v>
      </c>
      <c r="C661" s="2055" t="s">
        <v>5976</v>
      </c>
      <c r="D661" s="2056">
        <v>201.96</v>
      </c>
      <c r="E661" s="2057">
        <f t="shared" si="39"/>
        <v>2.2295054622944557E-5</v>
      </c>
      <c r="F661" s="2057">
        <f t="shared" si="38"/>
        <v>0.99872506310808085</v>
      </c>
    </row>
    <row r="662" spans="1:6" s="2036" customFormat="1" ht="30" x14ac:dyDescent="0.2">
      <c r="A662" s="2054" t="s">
        <v>5184</v>
      </c>
      <c r="B662" s="2054" t="s">
        <v>7516</v>
      </c>
      <c r="C662" s="2055" t="s">
        <v>6082</v>
      </c>
      <c r="D662" s="2056">
        <v>200.76</v>
      </c>
      <c r="E662" s="2057">
        <f t="shared" si="39"/>
        <v>2.2162582521798124E-5</v>
      </c>
      <c r="F662" s="2057">
        <f t="shared" si="38"/>
        <v>0.99874722569060259</v>
      </c>
    </row>
    <row r="663" spans="1:6" s="2036" customFormat="1" ht="15" x14ac:dyDescent="0.2">
      <c r="A663" s="2054" t="s">
        <v>5184</v>
      </c>
      <c r="B663" s="2054" t="s">
        <v>7216</v>
      </c>
      <c r="C663" s="2055" t="s">
        <v>6135</v>
      </c>
      <c r="D663" s="2056">
        <v>196.5</v>
      </c>
      <c r="E663" s="2057">
        <f t="shared" si="39"/>
        <v>2.1692306562728292E-5</v>
      </c>
      <c r="F663" s="2057">
        <f t="shared" si="38"/>
        <v>0.99876891799716527</v>
      </c>
    </row>
    <row r="664" spans="1:6" s="2036" customFormat="1" ht="15" x14ac:dyDescent="0.2">
      <c r="A664" s="2054" t="s">
        <v>5184</v>
      </c>
      <c r="B664" s="2058" t="s">
        <v>8891</v>
      </c>
      <c r="C664" s="2058" t="s">
        <v>8890</v>
      </c>
      <c r="D664" s="2056">
        <v>194.94</v>
      </c>
      <c r="E664" s="2057">
        <f t="shared" si="39"/>
        <v>2.152009283123793E-5</v>
      </c>
      <c r="F664" s="2057">
        <f t="shared" si="38"/>
        <v>0.99879043808999646</v>
      </c>
    </row>
    <row r="665" spans="1:6" s="2036" customFormat="1" ht="30" x14ac:dyDescent="0.2">
      <c r="A665" s="2054" t="s">
        <v>5184</v>
      </c>
      <c r="B665" s="2054" t="s">
        <v>6784</v>
      </c>
      <c r="C665" s="2055" t="s">
        <v>5804</v>
      </c>
      <c r="D665" s="2056">
        <v>193.99</v>
      </c>
      <c r="E665" s="2057">
        <f t="shared" si="39"/>
        <v>2.1415219084497005E-5</v>
      </c>
      <c r="F665" s="2057">
        <f t="shared" si="38"/>
        <v>0.99881185330908095</v>
      </c>
    </row>
    <row r="666" spans="1:6" s="2036" customFormat="1" ht="15" x14ac:dyDescent="0.2">
      <c r="A666" s="2054" t="s">
        <v>5184</v>
      </c>
      <c r="B666" s="2054" t="s">
        <v>9379</v>
      </c>
      <c r="C666" s="2055" t="s">
        <v>9097</v>
      </c>
      <c r="D666" s="2056">
        <v>193.28</v>
      </c>
      <c r="E666" s="2057">
        <f t="shared" si="39"/>
        <v>2.1336839757985365E-5</v>
      </c>
      <c r="F666" s="2057">
        <f t="shared" si="38"/>
        <v>0.99883319014883898</v>
      </c>
    </row>
    <row r="667" spans="1:6" s="2036" customFormat="1" ht="15" x14ac:dyDescent="0.2">
      <c r="A667" s="2054" t="s">
        <v>5184</v>
      </c>
      <c r="B667" s="2054" t="s">
        <v>6034</v>
      </c>
      <c r="C667" s="2055" t="s">
        <v>6027</v>
      </c>
      <c r="D667" s="2056">
        <v>185.7</v>
      </c>
      <c r="E667" s="2057">
        <f t="shared" si="39"/>
        <v>2.05000576524104E-5</v>
      </c>
      <c r="F667" s="2057">
        <f t="shared" si="38"/>
        <v>0.9988536902064914</v>
      </c>
    </row>
    <row r="668" spans="1:6" s="2036" customFormat="1" ht="15" x14ac:dyDescent="0.2">
      <c r="A668" s="2054" t="s">
        <v>5184</v>
      </c>
      <c r="B668" s="2054" t="s">
        <v>6034</v>
      </c>
      <c r="C668" s="2055" t="s">
        <v>6028</v>
      </c>
      <c r="D668" s="2056">
        <v>185.7</v>
      </c>
      <c r="E668" s="2057">
        <f t="shared" si="39"/>
        <v>2.05000576524104E-5</v>
      </c>
      <c r="F668" s="2057">
        <f t="shared" si="38"/>
        <v>0.99887419026414381</v>
      </c>
    </row>
    <row r="669" spans="1:6" s="2036" customFormat="1" ht="15" x14ac:dyDescent="0.2">
      <c r="A669" s="2054" t="s">
        <v>5184</v>
      </c>
      <c r="B669" s="2054" t="s">
        <v>9330</v>
      </c>
      <c r="C669" s="2055" t="s">
        <v>9077</v>
      </c>
      <c r="D669" s="2056">
        <v>185.28</v>
      </c>
      <c r="E669" s="2057">
        <f t="shared" si="39"/>
        <v>2.0453692417009148E-5</v>
      </c>
      <c r="F669" s="2057">
        <f t="shared" si="38"/>
        <v>0.9988946439565608</v>
      </c>
    </row>
    <row r="670" spans="1:6" s="2036" customFormat="1" ht="15" x14ac:dyDescent="0.2">
      <c r="A670" s="2054" t="s">
        <v>5184</v>
      </c>
      <c r="B670" s="2059" t="s">
        <v>9459</v>
      </c>
      <c r="C670" s="2055" t="s">
        <v>9464</v>
      </c>
      <c r="D670" s="2056">
        <v>184.65</v>
      </c>
      <c r="E670" s="2057">
        <f t="shared" si="39"/>
        <v>2.0384144563907272E-5</v>
      </c>
      <c r="F670" s="2057">
        <f t="shared" si="38"/>
        <v>0.99891502810112476</v>
      </c>
    </row>
    <row r="671" spans="1:6" s="2036" customFormat="1" ht="15" x14ac:dyDescent="0.2">
      <c r="A671" s="2054" t="s">
        <v>5184</v>
      </c>
      <c r="B671" s="2054" t="s">
        <v>9381</v>
      </c>
      <c r="C671" s="2055" t="s">
        <v>9098</v>
      </c>
      <c r="D671" s="2056">
        <v>183.05</v>
      </c>
      <c r="E671" s="2057">
        <f t="shared" si="39"/>
        <v>2.020751509571203E-5</v>
      </c>
      <c r="F671" s="2057">
        <f t="shared" si="38"/>
        <v>0.99893523561622044</v>
      </c>
    </row>
    <row r="672" spans="1:6" s="2036" customFormat="1" ht="15" x14ac:dyDescent="0.2">
      <c r="A672" s="2054" t="s">
        <v>5184</v>
      </c>
      <c r="B672" s="2054" t="s">
        <v>9369</v>
      </c>
      <c r="C672" s="2055" t="s">
        <v>9367</v>
      </c>
      <c r="D672" s="2056">
        <v>180.13</v>
      </c>
      <c r="E672" s="2057">
        <f t="shared" si="39"/>
        <v>1.988516631625571E-5</v>
      </c>
      <c r="F672" s="2057">
        <f t="shared" si="38"/>
        <v>0.99895512078253668</v>
      </c>
    </row>
    <row r="673" spans="1:6" s="2036" customFormat="1" ht="15" x14ac:dyDescent="0.2">
      <c r="A673" s="2054" t="s">
        <v>5184</v>
      </c>
      <c r="B673" s="2054" t="s">
        <v>7082</v>
      </c>
      <c r="C673" s="2055" t="s">
        <v>7165</v>
      </c>
      <c r="D673" s="2056">
        <v>179.19</v>
      </c>
      <c r="E673" s="2057">
        <f t="shared" si="39"/>
        <v>1.9781396503691004E-5</v>
      </c>
      <c r="F673" s="2057">
        <f t="shared" si="38"/>
        <v>0.99897490217904039</v>
      </c>
    </row>
    <row r="674" spans="1:6" s="2036" customFormat="1" ht="30" x14ac:dyDescent="0.2">
      <c r="A674" s="2054" t="s">
        <v>5184</v>
      </c>
      <c r="B674" s="2054" t="s">
        <v>7322</v>
      </c>
      <c r="C674" s="2055" t="s">
        <v>7414</v>
      </c>
      <c r="D674" s="2056">
        <v>177.58</v>
      </c>
      <c r="E674" s="2057">
        <f t="shared" si="39"/>
        <v>1.9603663101319542E-5</v>
      </c>
      <c r="F674" s="2057">
        <f t="shared" si="38"/>
        <v>0.99899450584214167</v>
      </c>
    </row>
    <row r="675" spans="1:6" s="2036" customFormat="1" ht="15" x14ac:dyDescent="0.2">
      <c r="A675" s="2054" t="s">
        <v>5184</v>
      </c>
      <c r="B675" s="2054" t="s">
        <v>8975</v>
      </c>
      <c r="C675" s="2055" t="s">
        <v>8976</v>
      </c>
      <c r="D675" s="2056">
        <v>173.19</v>
      </c>
      <c r="E675" s="2057">
        <f t="shared" si="39"/>
        <v>1.9119035997958843E-5</v>
      </c>
      <c r="F675" s="2057">
        <f t="shared" ref="F675:F705" si="40">E675+F674</f>
        <v>0.99901362487813961</v>
      </c>
    </row>
    <row r="676" spans="1:6" s="2036" customFormat="1" ht="15" x14ac:dyDescent="0.2">
      <c r="A676" s="2054" t="s">
        <v>5184</v>
      </c>
      <c r="B676" s="2054" t="s">
        <v>7208</v>
      </c>
      <c r="C676" s="2055" t="s">
        <v>6285</v>
      </c>
      <c r="D676" s="2056">
        <v>172.65</v>
      </c>
      <c r="E676" s="2057">
        <f t="shared" si="39"/>
        <v>1.9059423552442951E-5</v>
      </c>
      <c r="F676" s="2057">
        <f t="shared" si="40"/>
        <v>0.99903268430169201</v>
      </c>
    </row>
    <row r="677" spans="1:6" s="2036" customFormat="1" ht="15" x14ac:dyDescent="0.2">
      <c r="A677" s="2054" t="s">
        <v>5184</v>
      </c>
      <c r="B677" s="2054" t="s">
        <v>7181</v>
      </c>
      <c r="C677" s="2055" t="s">
        <v>7173</v>
      </c>
      <c r="D677" s="2056">
        <v>170.24</v>
      </c>
      <c r="E677" s="2057">
        <f t="shared" si="39"/>
        <v>1.8793375415973866E-5</v>
      </c>
      <c r="F677" s="2057">
        <f t="shared" si="40"/>
        <v>0.999051477677108</v>
      </c>
    </row>
    <row r="678" spans="1:6" s="2036" customFormat="1" ht="15" x14ac:dyDescent="0.2">
      <c r="A678" s="2054" t="s">
        <v>5184</v>
      </c>
      <c r="B678" s="2054" t="s">
        <v>6254</v>
      </c>
      <c r="C678" s="2055" t="s">
        <v>6250</v>
      </c>
      <c r="D678" s="2056">
        <v>163.04</v>
      </c>
      <c r="E678" s="2057">
        <f t="shared" si="39"/>
        <v>1.7998542809095269E-5</v>
      </c>
      <c r="F678" s="2057">
        <f t="shared" si="40"/>
        <v>0.99906947621991715</v>
      </c>
    </row>
    <row r="679" spans="1:6" s="2036" customFormat="1" ht="30" x14ac:dyDescent="0.2">
      <c r="A679" s="2054" t="s">
        <v>5184</v>
      </c>
      <c r="B679" s="2054" t="s">
        <v>7808</v>
      </c>
      <c r="C679" s="2055" t="s">
        <v>5907</v>
      </c>
      <c r="D679" s="2056">
        <v>162.91999999999999</v>
      </c>
      <c r="E679" s="2057">
        <f t="shared" si="39"/>
        <v>1.7985295598980624E-5</v>
      </c>
      <c r="F679" s="2057">
        <f t="shared" si="40"/>
        <v>0.99908746151551608</v>
      </c>
    </row>
    <row r="680" spans="1:6" s="2036" customFormat="1" ht="30" x14ac:dyDescent="0.2">
      <c r="A680" s="2054" t="s">
        <v>5184</v>
      </c>
      <c r="B680" s="2054" t="s">
        <v>7482</v>
      </c>
      <c r="C680" s="2055" t="s">
        <v>6031</v>
      </c>
      <c r="D680" s="2056">
        <v>162.51</v>
      </c>
      <c r="E680" s="2057">
        <f t="shared" si="39"/>
        <v>1.7940034297755595E-5</v>
      </c>
      <c r="F680" s="2057">
        <f t="shared" si="40"/>
        <v>0.99910540154981387</v>
      </c>
    </row>
    <row r="681" spans="1:6" s="2036" customFormat="1" ht="15" x14ac:dyDescent="0.2">
      <c r="A681" s="2054" t="s">
        <v>5184</v>
      </c>
      <c r="B681" s="2054" t="s">
        <v>7176</v>
      </c>
      <c r="C681" s="2055" t="s">
        <v>7168</v>
      </c>
      <c r="D681" s="2056">
        <v>156</v>
      </c>
      <c r="E681" s="2057">
        <f t="shared" si="39"/>
        <v>1.72213731490362E-5</v>
      </c>
      <c r="F681" s="2057">
        <f t="shared" si="40"/>
        <v>0.99912262292296294</v>
      </c>
    </row>
    <row r="682" spans="1:6" s="2036" customFormat="1" ht="15" x14ac:dyDescent="0.2">
      <c r="A682" s="2054" t="s">
        <v>5184</v>
      </c>
      <c r="B682" s="2054" t="s">
        <v>15099</v>
      </c>
      <c r="C682" s="2055" t="s">
        <v>7462</v>
      </c>
      <c r="D682" s="2056">
        <v>153.88</v>
      </c>
      <c r="E682" s="2057">
        <f t="shared" si="39"/>
        <v>1.6987339103677503E-5</v>
      </c>
      <c r="F682" s="2057">
        <f t="shared" si="40"/>
        <v>0.99913961026206666</v>
      </c>
    </row>
    <row r="683" spans="1:6" s="2036" customFormat="1" ht="30" x14ac:dyDescent="0.2">
      <c r="A683" s="2054" t="s">
        <v>5184</v>
      </c>
      <c r="B683" s="2054" t="s">
        <v>7532</v>
      </c>
      <c r="C683" s="2055" t="s">
        <v>6098</v>
      </c>
      <c r="D683" s="2056">
        <v>153.36000000000001</v>
      </c>
      <c r="E683" s="2057">
        <f t="shared" si="39"/>
        <v>1.6929934526514052E-5</v>
      </c>
      <c r="F683" s="2057">
        <f t="shared" si="40"/>
        <v>0.99915654019659317</v>
      </c>
    </row>
    <row r="684" spans="1:6" s="2036" customFormat="1" ht="15" x14ac:dyDescent="0.2">
      <c r="A684" s="2054" t="s">
        <v>5184</v>
      </c>
      <c r="B684" s="2054" t="s">
        <v>7258</v>
      </c>
      <c r="C684" s="2055" t="s">
        <v>6210</v>
      </c>
      <c r="D684" s="2056">
        <v>150.16999999999999</v>
      </c>
      <c r="E684" s="2057">
        <f t="shared" si="39"/>
        <v>1.6577779524299782E-5</v>
      </c>
      <c r="F684" s="2057">
        <f t="shared" si="40"/>
        <v>0.99917311797611752</v>
      </c>
    </row>
    <row r="685" spans="1:6" s="2036" customFormat="1" ht="15" x14ac:dyDescent="0.2">
      <c r="A685" s="2054" t="s">
        <v>5184</v>
      </c>
      <c r="B685" s="2054" t="s">
        <v>7259</v>
      </c>
      <c r="C685" s="2055" t="s">
        <v>6211</v>
      </c>
      <c r="D685" s="2056">
        <v>148.74</v>
      </c>
      <c r="E685" s="2057">
        <f t="shared" si="39"/>
        <v>1.6419916937100287E-5</v>
      </c>
      <c r="F685" s="2057">
        <f t="shared" si="40"/>
        <v>0.99918953789305465</v>
      </c>
    </row>
    <row r="686" spans="1:6" s="2036" customFormat="1" ht="30" x14ac:dyDescent="0.2">
      <c r="A686" s="2054" t="s">
        <v>5184</v>
      </c>
      <c r="B686" s="2054" t="s">
        <v>9568</v>
      </c>
      <c r="C686" s="2055" t="s">
        <v>7213</v>
      </c>
      <c r="D686" s="2056">
        <v>147.13999999999999</v>
      </c>
      <c r="E686" s="2057">
        <f t="shared" si="39"/>
        <v>1.6243287468905041E-5</v>
      </c>
      <c r="F686" s="2057">
        <f t="shared" si="40"/>
        <v>0.9992057811805235</v>
      </c>
    </row>
    <row r="687" spans="1:6" s="2036" customFormat="1" ht="15" x14ac:dyDescent="0.2">
      <c r="A687" s="2054" t="s">
        <v>5184</v>
      </c>
      <c r="B687" s="2054" t="s">
        <v>6973</v>
      </c>
      <c r="C687" s="2055" t="s">
        <v>5934</v>
      </c>
      <c r="D687" s="2056">
        <v>146.88</v>
      </c>
      <c r="E687" s="2057">
        <f t="shared" si="39"/>
        <v>1.6214585180323314E-5</v>
      </c>
      <c r="F687" s="2057">
        <f t="shared" si="40"/>
        <v>0.99922199576570381</v>
      </c>
    </row>
    <row r="688" spans="1:6" s="2036" customFormat="1" ht="15" x14ac:dyDescent="0.2">
      <c r="A688" s="2054" t="s">
        <v>5184</v>
      </c>
      <c r="B688" s="2054" t="s">
        <v>7527</v>
      </c>
      <c r="C688" s="2055" t="s">
        <v>6093</v>
      </c>
      <c r="D688" s="2056">
        <v>146.34</v>
      </c>
      <c r="E688" s="2057">
        <f t="shared" si="39"/>
        <v>1.6154972734807421E-5</v>
      </c>
      <c r="F688" s="2057">
        <f t="shared" si="40"/>
        <v>0.99923815073843858</v>
      </c>
    </row>
    <row r="689" spans="1:6" s="2036" customFormat="1" ht="15" x14ac:dyDescent="0.2">
      <c r="A689" s="2054" t="s">
        <v>5184</v>
      </c>
      <c r="B689" s="2054" t="s">
        <v>7224</v>
      </c>
      <c r="C689" s="2055" t="s">
        <v>7153</v>
      </c>
      <c r="D689" s="2056">
        <v>145.80000000000001</v>
      </c>
      <c r="E689" s="2057">
        <f t="shared" si="39"/>
        <v>1.6095360289291525E-5</v>
      </c>
      <c r="F689" s="2057">
        <f t="shared" si="40"/>
        <v>0.99925424609872782</v>
      </c>
    </row>
    <row r="690" spans="1:6" s="2036" customFormat="1" ht="15" x14ac:dyDescent="0.2">
      <c r="A690" s="2054" t="s">
        <v>5184</v>
      </c>
      <c r="B690" s="2054" t="s">
        <v>15096</v>
      </c>
      <c r="C690" s="2055" t="s">
        <v>7174</v>
      </c>
      <c r="D690" s="2056">
        <v>145.08000000000001</v>
      </c>
      <c r="E690" s="2057">
        <f t="shared" si="39"/>
        <v>1.6015877028603666E-5</v>
      </c>
      <c r="F690" s="2057">
        <f t="shared" si="40"/>
        <v>0.99927026197575641</v>
      </c>
    </row>
    <row r="691" spans="1:6" s="2036" customFormat="1" ht="15" x14ac:dyDescent="0.2">
      <c r="A691" s="2054" t="s">
        <v>5184</v>
      </c>
      <c r="B691" s="2054" t="s">
        <v>8982</v>
      </c>
      <c r="C691" s="2055" t="s">
        <v>8978</v>
      </c>
      <c r="D691" s="2056">
        <v>144.54</v>
      </c>
      <c r="E691" s="2057">
        <f t="shared" si="39"/>
        <v>1.595626458308777E-5</v>
      </c>
      <c r="F691" s="2057">
        <f t="shared" si="40"/>
        <v>0.99928621824033947</v>
      </c>
    </row>
    <row r="692" spans="1:6" s="2036" customFormat="1" ht="15" x14ac:dyDescent="0.2">
      <c r="A692" s="2054" t="s">
        <v>5184</v>
      </c>
      <c r="B692" s="2054" t="s">
        <v>9344</v>
      </c>
      <c r="C692" s="2055" t="s">
        <v>9081</v>
      </c>
      <c r="D692" s="2056">
        <v>140.4</v>
      </c>
      <c r="E692" s="2057">
        <f t="shared" si="39"/>
        <v>1.5499235834132579E-5</v>
      </c>
      <c r="F692" s="2057">
        <f t="shared" si="40"/>
        <v>0.99930171747617358</v>
      </c>
    </row>
    <row r="693" spans="1:6" s="2036" customFormat="1" ht="15" x14ac:dyDescent="0.2">
      <c r="A693" s="2054" t="s">
        <v>5184</v>
      </c>
      <c r="B693" s="2054" t="s">
        <v>7209</v>
      </c>
      <c r="C693" s="2055" t="s">
        <v>7231</v>
      </c>
      <c r="D693" s="2056">
        <v>137.69999999999999</v>
      </c>
      <c r="E693" s="2057">
        <f t="shared" si="39"/>
        <v>1.5201173606553106E-5</v>
      </c>
      <c r="F693" s="2057">
        <f t="shared" si="40"/>
        <v>0.99931691864978012</v>
      </c>
    </row>
    <row r="694" spans="1:6" s="2036" customFormat="1" ht="30" x14ac:dyDescent="0.2">
      <c r="A694" s="2054" t="s">
        <v>5184</v>
      </c>
      <c r="B694" s="2054" t="s">
        <v>6970</v>
      </c>
      <c r="C694" s="2055" t="s">
        <v>5931</v>
      </c>
      <c r="D694" s="2056">
        <v>137</v>
      </c>
      <c r="E694" s="2057">
        <f t="shared" si="39"/>
        <v>1.5123898214217689E-5</v>
      </c>
      <c r="F694" s="2057">
        <f t="shared" si="40"/>
        <v>0.99933204254799435</v>
      </c>
    </row>
    <row r="695" spans="1:6" s="2036" customFormat="1" ht="30" x14ac:dyDescent="0.2">
      <c r="A695" s="2054" t="s">
        <v>5184</v>
      </c>
      <c r="B695" s="2054" t="s">
        <v>7077</v>
      </c>
      <c r="C695" s="2055" t="s">
        <v>7099</v>
      </c>
      <c r="D695" s="2056">
        <v>135.37</v>
      </c>
      <c r="E695" s="2057">
        <f t="shared" si="39"/>
        <v>1.4943956943493785E-5</v>
      </c>
      <c r="F695" s="2057">
        <f t="shared" si="40"/>
        <v>0.99934698650493781</v>
      </c>
    </row>
    <row r="696" spans="1:6" s="2036" customFormat="1" ht="15" x14ac:dyDescent="0.2">
      <c r="A696" s="2054" t="s">
        <v>5184</v>
      </c>
      <c r="B696" s="2054" t="s">
        <v>6986</v>
      </c>
      <c r="C696" s="2055" t="s">
        <v>5956</v>
      </c>
      <c r="D696" s="2056">
        <v>135.09</v>
      </c>
      <c r="E696" s="2057">
        <f t="shared" si="39"/>
        <v>1.4913046786559618E-5</v>
      </c>
      <c r="F696" s="2057">
        <f t="shared" si="40"/>
        <v>0.99936189955172439</v>
      </c>
    </row>
    <row r="697" spans="1:6" s="2036" customFormat="1" ht="30" x14ac:dyDescent="0.2">
      <c r="A697" s="2054" t="s">
        <v>5184</v>
      </c>
      <c r="B697" s="2054" t="s">
        <v>7778</v>
      </c>
      <c r="C697" s="2055" t="s">
        <v>7780</v>
      </c>
      <c r="D697" s="2056">
        <v>128.16999999999999</v>
      </c>
      <c r="E697" s="2057">
        <f t="shared" si="39"/>
        <v>1.414912433661519E-5</v>
      </c>
      <c r="F697" s="2057">
        <f t="shared" si="40"/>
        <v>0.999376048676061</v>
      </c>
    </row>
    <row r="698" spans="1:6" s="2036" customFormat="1" ht="30" x14ac:dyDescent="0.2">
      <c r="A698" s="2054" t="s">
        <v>5184</v>
      </c>
      <c r="B698" s="2054" t="s">
        <v>7008</v>
      </c>
      <c r="C698" s="2055" t="s">
        <v>5985</v>
      </c>
      <c r="D698" s="2056">
        <v>126.72</v>
      </c>
      <c r="E698" s="2057">
        <f t="shared" si="39"/>
        <v>1.3989053881063253E-5</v>
      </c>
      <c r="F698" s="2057">
        <f t="shared" si="40"/>
        <v>0.99939003772994206</v>
      </c>
    </row>
    <row r="699" spans="1:6" s="2036" customFormat="1" ht="30" x14ac:dyDescent="0.2">
      <c r="A699" s="2054" t="s">
        <v>5184</v>
      </c>
      <c r="B699" s="2054" t="s">
        <v>7005</v>
      </c>
      <c r="C699" s="2055" t="s">
        <v>5982</v>
      </c>
      <c r="D699" s="2056">
        <v>122.99</v>
      </c>
      <c r="E699" s="2057">
        <f t="shared" si="39"/>
        <v>1.357728643333309E-5</v>
      </c>
      <c r="F699" s="2057">
        <f t="shared" si="40"/>
        <v>0.99940361501637542</v>
      </c>
    </row>
    <row r="700" spans="1:6" s="2036" customFormat="1" ht="30" x14ac:dyDescent="0.2">
      <c r="A700" s="2054" t="s">
        <v>5184</v>
      </c>
      <c r="B700" s="2054" t="s">
        <v>7483</v>
      </c>
      <c r="C700" s="2055" t="s">
        <v>6032</v>
      </c>
      <c r="D700" s="2056">
        <v>121.59</v>
      </c>
      <c r="E700" s="2057">
        <f t="shared" si="39"/>
        <v>1.3422735648662254E-5</v>
      </c>
      <c r="F700" s="2057">
        <f t="shared" si="40"/>
        <v>0.99941703775202406</v>
      </c>
    </row>
    <row r="701" spans="1:6" s="2006" customFormat="1" ht="30" x14ac:dyDescent="0.2">
      <c r="A701" s="2004" t="s">
        <v>15149</v>
      </c>
      <c r="B701" s="2004" t="s">
        <v>0</v>
      </c>
      <c r="C701" s="2004" t="s">
        <v>1</v>
      </c>
      <c r="D701" s="1990" t="s">
        <v>130</v>
      </c>
      <c r="E701" s="1989" t="s">
        <v>15139</v>
      </c>
      <c r="F701" s="1990" t="s">
        <v>15140</v>
      </c>
    </row>
    <row r="702" spans="1:6" s="2036" customFormat="1" ht="15" x14ac:dyDescent="0.2">
      <c r="A702" s="2054" t="s">
        <v>5184</v>
      </c>
      <c r="B702" s="2054" t="s">
        <v>7001</v>
      </c>
      <c r="C702" s="2055" t="s">
        <v>5978</v>
      </c>
      <c r="D702" s="2056">
        <v>120.42</v>
      </c>
      <c r="E702" s="2057">
        <f t="shared" ref="E702:E748" si="41">D702/SUM(D:D)</f>
        <v>1.3293575350044483E-5</v>
      </c>
      <c r="F702" s="2057">
        <f>E702+F700</f>
        <v>0.99943033132737413</v>
      </c>
    </row>
    <row r="703" spans="1:6" s="2036" customFormat="1" ht="15" x14ac:dyDescent="0.2">
      <c r="A703" s="2054" t="s">
        <v>5184</v>
      </c>
      <c r="B703" s="2054" t="s">
        <v>9061</v>
      </c>
      <c r="C703" s="2055" t="s">
        <v>9060</v>
      </c>
      <c r="D703" s="2056">
        <v>120.03</v>
      </c>
      <c r="E703" s="2057">
        <f t="shared" si="41"/>
        <v>1.3250521917171892E-5</v>
      </c>
      <c r="F703" s="2057">
        <f t="shared" si="40"/>
        <v>0.99944358184929127</v>
      </c>
    </row>
    <row r="704" spans="1:6" s="2036" customFormat="1" ht="15" x14ac:dyDescent="0.2">
      <c r="A704" s="2054" t="s">
        <v>5184</v>
      </c>
      <c r="B704" s="2054" t="s">
        <v>6988</v>
      </c>
      <c r="C704" s="2055" t="s">
        <v>9560</v>
      </c>
      <c r="D704" s="2056">
        <v>117.59</v>
      </c>
      <c r="E704" s="2057">
        <f t="shared" si="41"/>
        <v>1.2981161978174146E-5</v>
      </c>
      <c r="F704" s="2057">
        <f t="shared" si="40"/>
        <v>0.99945656301126939</v>
      </c>
    </row>
    <row r="705" spans="1:6" s="2036" customFormat="1" ht="15" x14ac:dyDescent="0.2">
      <c r="A705" s="2054" t="s">
        <v>5184</v>
      </c>
      <c r="B705" s="2054" t="s">
        <v>7029</v>
      </c>
      <c r="C705" s="2055" t="s">
        <v>7032</v>
      </c>
      <c r="D705" s="2056">
        <v>113.65</v>
      </c>
      <c r="E705" s="2057">
        <f t="shared" si="41"/>
        <v>1.2546211912743361E-5</v>
      </c>
      <c r="F705" s="2057">
        <f t="shared" si="40"/>
        <v>0.99946910922318211</v>
      </c>
    </row>
    <row r="706" spans="1:6" s="2036" customFormat="1" ht="30" x14ac:dyDescent="0.2">
      <c r="A706" s="2054" t="s">
        <v>5184</v>
      </c>
      <c r="B706" s="2054" t="s">
        <v>7549</v>
      </c>
      <c r="C706" s="2055" t="s">
        <v>6156</v>
      </c>
      <c r="D706" s="2056">
        <v>111.98</v>
      </c>
      <c r="E706" s="2057">
        <f t="shared" si="41"/>
        <v>1.2361854905314576E-5</v>
      </c>
      <c r="F706" s="2057">
        <f>E706+F705</f>
        <v>0.99948147107808738</v>
      </c>
    </row>
    <row r="707" spans="1:6" s="2036" customFormat="1" ht="15" x14ac:dyDescent="0.2">
      <c r="A707" s="2054" t="s">
        <v>5184</v>
      </c>
      <c r="B707" s="2054" t="s">
        <v>7244</v>
      </c>
      <c r="C707" s="2055" t="s">
        <v>7172</v>
      </c>
      <c r="D707" s="2056">
        <v>111.66</v>
      </c>
      <c r="E707" s="2057">
        <f t="shared" si="41"/>
        <v>1.2326529011675527E-5</v>
      </c>
      <c r="F707" s="2057">
        <f t="shared" ref="F707:F739" si="42">E707+F706</f>
        <v>0.99949379760709911</v>
      </c>
    </row>
    <row r="708" spans="1:6" s="2036" customFormat="1" ht="30" x14ac:dyDescent="0.2">
      <c r="A708" s="2054" t="s">
        <v>5184</v>
      </c>
      <c r="B708" s="2054" t="s">
        <v>6967</v>
      </c>
      <c r="C708" s="2055" t="s">
        <v>5928</v>
      </c>
      <c r="D708" s="2056">
        <v>111.24</v>
      </c>
      <c r="E708" s="2057">
        <f t="shared" si="41"/>
        <v>1.2280163776274275E-5</v>
      </c>
      <c r="F708" s="2057">
        <f t="shared" si="42"/>
        <v>0.99950607777087541</v>
      </c>
    </row>
    <row r="709" spans="1:6" s="2036" customFormat="1" ht="15" x14ac:dyDescent="0.2">
      <c r="A709" s="2054" t="s">
        <v>5184</v>
      </c>
      <c r="B709" s="2054" t="s">
        <v>7523</v>
      </c>
      <c r="C709" s="2055" t="s">
        <v>6089</v>
      </c>
      <c r="D709" s="2056">
        <v>110.25</v>
      </c>
      <c r="E709" s="2057">
        <f t="shared" si="41"/>
        <v>1.2170874292828468E-5</v>
      </c>
      <c r="F709" s="2057">
        <f t="shared" si="42"/>
        <v>0.99951824864516825</v>
      </c>
    </row>
    <row r="710" spans="1:6" s="2036" customFormat="1" ht="15" x14ac:dyDescent="0.2">
      <c r="A710" s="2054" t="s">
        <v>5184</v>
      </c>
      <c r="B710" s="2054" t="s">
        <v>6984</v>
      </c>
      <c r="C710" s="2055" t="s">
        <v>5954</v>
      </c>
      <c r="D710" s="2056">
        <v>105.48</v>
      </c>
      <c r="E710" s="2057">
        <f t="shared" si="41"/>
        <v>1.1644297690771401E-5</v>
      </c>
      <c r="F710" s="2057">
        <f t="shared" si="42"/>
        <v>0.99952989294285899</v>
      </c>
    </row>
    <row r="711" spans="1:6" s="2036" customFormat="1" ht="15" x14ac:dyDescent="0.2">
      <c r="A711" s="2054" t="s">
        <v>5184</v>
      </c>
      <c r="B711" s="2054" t="s">
        <v>6995</v>
      </c>
      <c r="C711" s="2055" t="s">
        <v>5978</v>
      </c>
      <c r="D711" s="2056">
        <v>100.35</v>
      </c>
      <c r="E711" s="2057">
        <f t="shared" si="41"/>
        <v>1.1077979458370401E-5</v>
      </c>
      <c r="F711" s="2057">
        <f t="shared" si="42"/>
        <v>0.99954097092231731</v>
      </c>
    </row>
    <row r="712" spans="1:6" s="2036" customFormat="1" ht="30" x14ac:dyDescent="0.2">
      <c r="A712" s="2054" t="s">
        <v>5184</v>
      </c>
      <c r="B712" s="2054" t="s">
        <v>7460</v>
      </c>
      <c r="C712" s="2055" t="s">
        <v>5782</v>
      </c>
      <c r="D712" s="2056">
        <v>96.59</v>
      </c>
      <c r="E712" s="2057">
        <f t="shared" si="41"/>
        <v>1.0662900208111581E-5</v>
      </c>
      <c r="F712" s="2057">
        <f t="shared" si="42"/>
        <v>0.99955163382252543</v>
      </c>
    </row>
    <row r="713" spans="1:6" s="2036" customFormat="1" ht="30" x14ac:dyDescent="0.2">
      <c r="A713" s="2054" t="s">
        <v>5184</v>
      </c>
      <c r="B713" s="2054" t="s">
        <v>6969</v>
      </c>
      <c r="C713" s="2055" t="s">
        <v>5932</v>
      </c>
      <c r="D713" s="2056">
        <v>96.48</v>
      </c>
      <c r="E713" s="2057">
        <f t="shared" si="41"/>
        <v>1.0650756932173158E-5</v>
      </c>
      <c r="F713" s="2057">
        <f t="shared" si="42"/>
        <v>0.99956228457945762</v>
      </c>
    </row>
    <row r="714" spans="1:6" s="2036" customFormat="1" ht="30" x14ac:dyDescent="0.2">
      <c r="A714" s="2054" t="s">
        <v>5184</v>
      </c>
      <c r="B714" s="2054" t="s">
        <v>7547</v>
      </c>
      <c r="C714" s="2055" t="s">
        <v>6112</v>
      </c>
      <c r="D714" s="2056">
        <v>96.36</v>
      </c>
      <c r="E714" s="2057">
        <f t="shared" si="41"/>
        <v>1.0637509722058515E-5</v>
      </c>
      <c r="F714" s="2057">
        <f t="shared" si="42"/>
        <v>0.99957292208917969</v>
      </c>
    </row>
    <row r="715" spans="1:6" s="2036" customFormat="1" ht="15" x14ac:dyDescent="0.2">
      <c r="A715" s="2054" t="s">
        <v>5184</v>
      </c>
      <c r="B715" s="2054" t="s">
        <v>9346</v>
      </c>
      <c r="C715" s="2055" t="s">
        <v>9082</v>
      </c>
      <c r="D715" s="2056">
        <v>92.8</v>
      </c>
      <c r="E715" s="2057">
        <f t="shared" si="41"/>
        <v>1.0244509155324099E-5</v>
      </c>
      <c r="F715" s="2057">
        <f t="shared" si="42"/>
        <v>0.99958316659833502</v>
      </c>
    </row>
    <row r="716" spans="1:6" s="2036" customFormat="1" ht="15" x14ac:dyDescent="0.2">
      <c r="A716" s="2054" t="s">
        <v>5184</v>
      </c>
      <c r="B716" s="2054" t="s">
        <v>7064</v>
      </c>
      <c r="C716" s="2055" t="s">
        <v>14983</v>
      </c>
      <c r="D716" s="2056">
        <v>87.91</v>
      </c>
      <c r="E716" s="2057">
        <f t="shared" si="41"/>
        <v>9.7046853431523858E-6</v>
      </c>
      <c r="F716" s="2057">
        <f t="shared" si="42"/>
        <v>0.99959287128367813</v>
      </c>
    </row>
    <row r="717" spans="1:6" s="2036" customFormat="1" ht="15" x14ac:dyDescent="0.2">
      <c r="A717" s="2054" t="s">
        <v>5184</v>
      </c>
      <c r="B717" s="2054" t="s">
        <v>6982</v>
      </c>
      <c r="C717" s="2055" t="s">
        <v>5955</v>
      </c>
      <c r="D717" s="2056">
        <v>87.84</v>
      </c>
      <c r="E717" s="2057">
        <f t="shared" si="41"/>
        <v>9.6969578039188461E-6</v>
      </c>
      <c r="F717" s="2057">
        <f t="shared" si="42"/>
        <v>0.99960256824148208</v>
      </c>
    </row>
    <row r="718" spans="1:6" s="2036" customFormat="1" ht="15" x14ac:dyDescent="0.2">
      <c r="A718" s="2054" t="s">
        <v>5184</v>
      </c>
      <c r="B718" s="2054" t="s">
        <v>7243</v>
      </c>
      <c r="C718" s="2055" t="s">
        <v>7167</v>
      </c>
      <c r="D718" s="2056">
        <v>87.82</v>
      </c>
      <c r="E718" s="2057">
        <f t="shared" si="41"/>
        <v>9.6947499355664043E-6</v>
      </c>
      <c r="F718" s="2057">
        <f t="shared" si="42"/>
        <v>0.9996122629914177</v>
      </c>
    </row>
    <row r="719" spans="1:6" s="2036" customFormat="1" ht="15" x14ac:dyDescent="0.2">
      <c r="A719" s="2054" t="s">
        <v>5184</v>
      </c>
      <c r="B719" s="2054" t="s">
        <v>6981</v>
      </c>
      <c r="C719" s="2055" t="s">
        <v>5951</v>
      </c>
      <c r="D719" s="2056">
        <v>86.56</v>
      </c>
      <c r="E719" s="2057">
        <f t="shared" si="41"/>
        <v>9.5556542293626509E-6</v>
      </c>
      <c r="F719" s="2057">
        <f t="shared" si="42"/>
        <v>0.99962181864564703</v>
      </c>
    </row>
    <row r="720" spans="1:6" s="2036" customFormat="1" ht="15" x14ac:dyDescent="0.2">
      <c r="A720" s="2054" t="s">
        <v>5184</v>
      </c>
      <c r="B720" s="2054" t="s">
        <v>9406</v>
      </c>
      <c r="C720" s="2055" t="s">
        <v>9104</v>
      </c>
      <c r="D720" s="2056">
        <v>86.24</v>
      </c>
      <c r="E720" s="2057">
        <f t="shared" si="41"/>
        <v>9.5203283357236017E-6</v>
      </c>
      <c r="F720" s="2057">
        <f t="shared" si="42"/>
        <v>0.99963133897398271</v>
      </c>
    </row>
    <row r="721" spans="1:6" s="2036" customFormat="1" ht="15" x14ac:dyDescent="0.2">
      <c r="A721" s="2054" t="s">
        <v>5184</v>
      </c>
      <c r="B721" s="2054" t="s">
        <v>7506</v>
      </c>
      <c r="C721" s="2055" t="s">
        <v>6072</v>
      </c>
      <c r="D721" s="2056">
        <v>84.06</v>
      </c>
      <c r="E721" s="2057">
        <f t="shared" si="41"/>
        <v>9.2796706853075828E-6</v>
      </c>
      <c r="F721" s="2057">
        <f t="shared" si="42"/>
        <v>0.99964061864466802</v>
      </c>
    </row>
    <row r="722" spans="1:6" s="2036" customFormat="1" ht="15" x14ac:dyDescent="0.2">
      <c r="A722" s="2054" t="s">
        <v>5184</v>
      </c>
      <c r="B722" s="2054" t="s">
        <v>9318</v>
      </c>
      <c r="C722" s="2055" t="s">
        <v>9068</v>
      </c>
      <c r="D722" s="2056">
        <v>81.900000000000006</v>
      </c>
      <c r="E722" s="2057">
        <f t="shared" si="41"/>
        <v>9.0412209032440057E-6</v>
      </c>
      <c r="F722" s="2057">
        <f t="shared" si="42"/>
        <v>0.99964965986557131</v>
      </c>
    </row>
    <row r="723" spans="1:6" s="2036" customFormat="1" ht="15" x14ac:dyDescent="0.2">
      <c r="A723" s="2054" t="s">
        <v>5184</v>
      </c>
      <c r="B723" s="2054" t="s">
        <v>8983</v>
      </c>
      <c r="C723" s="2055" t="s">
        <v>8979</v>
      </c>
      <c r="D723" s="2056">
        <v>81.760000000000005</v>
      </c>
      <c r="E723" s="2057">
        <f t="shared" si="41"/>
        <v>9.0257658247769212E-6</v>
      </c>
      <c r="F723" s="2057">
        <f t="shared" si="42"/>
        <v>0.99965868563139604</v>
      </c>
    </row>
    <row r="724" spans="1:6" s="2036" customFormat="1" ht="15" x14ac:dyDescent="0.2">
      <c r="A724" s="2054" t="s">
        <v>5184</v>
      </c>
      <c r="B724" s="2054" t="s">
        <v>9502</v>
      </c>
      <c r="C724" s="2055" t="s">
        <v>9001</v>
      </c>
      <c r="D724" s="2056">
        <v>80.06</v>
      </c>
      <c r="E724" s="2057">
        <f t="shared" si="41"/>
        <v>8.8380970148194761E-6</v>
      </c>
      <c r="F724" s="2057">
        <f t="shared" si="42"/>
        <v>0.99966752372841083</v>
      </c>
    </row>
    <row r="725" spans="1:6" s="2036" customFormat="1" ht="15" x14ac:dyDescent="0.2">
      <c r="A725" s="2054" t="s">
        <v>5184</v>
      </c>
      <c r="B725" s="2054" t="s">
        <v>7221</v>
      </c>
      <c r="C725" s="2055" t="s">
        <v>7150</v>
      </c>
      <c r="D725" s="2056">
        <v>79.7</v>
      </c>
      <c r="E725" s="2057">
        <f t="shared" si="41"/>
        <v>8.7983553844755466E-6</v>
      </c>
      <c r="F725" s="2057">
        <f t="shared" si="42"/>
        <v>0.99967632208379531</v>
      </c>
    </row>
    <row r="726" spans="1:6" s="2036" customFormat="1" ht="45" x14ac:dyDescent="0.2">
      <c r="A726" s="2054" t="s">
        <v>5184</v>
      </c>
      <c r="B726" s="2054" t="s">
        <v>7359</v>
      </c>
      <c r="C726" s="2055" t="s">
        <v>7353</v>
      </c>
      <c r="D726" s="2056">
        <v>78.42</v>
      </c>
      <c r="E726" s="2057">
        <f t="shared" si="41"/>
        <v>8.6570518099193514E-6</v>
      </c>
      <c r="F726" s="2057">
        <f t="shared" si="42"/>
        <v>0.99968497913560528</v>
      </c>
    </row>
    <row r="727" spans="1:6" s="2036" customFormat="1" ht="30" x14ac:dyDescent="0.2">
      <c r="A727" s="2054" t="s">
        <v>5184</v>
      </c>
      <c r="B727" s="2054" t="s">
        <v>7548</v>
      </c>
      <c r="C727" s="2055" t="s">
        <v>6113</v>
      </c>
      <c r="D727" s="2056">
        <v>76.239999999999995</v>
      </c>
      <c r="E727" s="2057">
        <f t="shared" si="41"/>
        <v>8.4163941595033325E-6</v>
      </c>
      <c r="F727" s="2057">
        <f t="shared" si="42"/>
        <v>0.99969339552976477</v>
      </c>
    </row>
    <row r="728" spans="1:6" s="2036" customFormat="1" ht="30" x14ac:dyDescent="0.2">
      <c r="A728" s="2054" t="s">
        <v>5184</v>
      </c>
      <c r="B728" s="2054" t="s">
        <v>7403</v>
      </c>
      <c r="C728" s="2055" t="s">
        <v>7400</v>
      </c>
      <c r="D728" s="2056">
        <v>75.84</v>
      </c>
      <c r="E728" s="2057">
        <f t="shared" si="41"/>
        <v>8.3722367924545227E-6</v>
      </c>
      <c r="F728" s="2057">
        <f t="shared" si="42"/>
        <v>0.99970176776655728</v>
      </c>
    </row>
    <row r="729" spans="1:6" s="2036" customFormat="1" ht="15" x14ac:dyDescent="0.2">
      <c r="A729" s="2054" t="s">
        <v>5184</v>
      </c>
      <c r="B729" s="2054" t="s">
        <v>7550</v>
      </c>
      <c r="C729" s="2055" t="s">
        <v>6125</v>
      </c>
      <c r="D729" s="2056">
        <v>75.62</v>
      </c>
      <c r="E729" s="2057">
        <f t="shared" si="41"/>
        <v>8.3479502405776759E-6</v>
      </c>
      <c r="F729" s="2057">
        <f t="shared" si="42"/>
        <v>0.99971011571679791</v>
      </c>
    </row>
    <row r="730" spans="1:6" s="2036" customFormat="1" ht="15" x14ac:dyDescent="0.2">
      <c r="A730" s="2054" t="s">
        <v>5184</v>
      </c>
      <c r="B730" s="2059" t="s">
        <v>9458</v>
      </c>
      <c r="C730" s="2055" t="s">
        <v>5899</v>
      </c>
      <c r="D730" s="2056">
        <v>74.459999999999994</v>
      </c>
      <c r="E730" s="2057">
        <f t="shared" si="41"/>
        <v>8.2198938761361234E-6</v>
      </c>
      <c r="F730" s="2057">
        <f t="shared" si="42"/>
        <v>0.99971833561067402</v>
      </c>
    </row>
    <row r="731" spans="1:6" s="2036" customFormat="1" ht="30" x14ac:dyDescent="0.2">
      <c r="A731" s="2054" t="s">
        <v>5184</v>
      </c>
      <c r="B731" s="2054" t="s">
        <v>7006</v>
      </c>
      <c r="C731" s="2055" t="s">
        <v>5983</v>
      </c>
      <c r="D731" s="2056">
        <v>73.069999999999993</v>
      </c>
      <c r="E731" s="2057">
        <f t="shared" si="41"/>
        <v>8.0664470256415065E-6</v>
      </c>
      <c r="F731" s="2057">
        <f t="shared" si="42"/>
        <v>0.99972640205769969</v>
      </c>
    </row>
    <row r="732" spans="1:6" s="2036" customFormat="1" ht="15" x14ac:dyDescent="0.2">
      <c r="A732" s="2054" t="s">
        <v>5184</v>
      </c>
      <c r="B732" s="2054" t="s">
        <v>7505</v>
      </c>
      <c r="C732" s="2055" t="s">
        <v>6071</v>
      </c>
      <c r="D732" s="2056">
        <v>70.7</v>
      </c>
      <c r="E732" s="2057">
        <f t="shared" si="41"/>
        <v>7.8048146258773036E-6</v>
      </c>
      <c r="F732" s="2057">
        <f t="shared" si="42"/>
        <v>0.99973420687232561</v>
      </c>
    </row>
    <row r="733" spans="1:6" s="2036" customFormat="1" ht="15" x14ac:dyDescent="0.2">
      <c r="A733" s="2054" t="s">
        <v>5184</v>
      </c>
      <c r="B733" s="2054" t="s">
        <v>9394</v>
      </c>
      <c r="C733" s="2055" t="s">
        <v>9102</v>
      </c>
      <c r="D733" s="2056">
        <v>69.459999999999994</v>
      </c>
      <c r="E733" s="2057">
        <f t="shared" si="41"/>
        <v>7.6679267880259887E-6</v>
      </c>
      <c r="F733" s="2057">
        <f t="shared" si="42"/>
        <v>0.99974187479911369</v>
      </c>
    </row>
    <row r="734" spans="1:6" s="2036" customFormat="1" ht="30" x14ac:dyDescent="0.2">
      <c r="A734" s="2054" t="s">
        <v>5184</v>
      </c>
      <c r="B734" s="2054" t="s">
        <v>7782</v>
      </c>
      <c r="C734" s="2055" t="s">
        <v>7784</v>
      </c>
      <c r="D734" s="2056">
        <v>67.41</v>
      </c>
      <c r="E734" s="2057">
        <f t="shared" si="41"/>
        <v>7.441620281900835E-6</v>
      </c>
      <c r="F734" s="2057">
        <f t="shared" si="42"/>
        <v>0.99974931641939557</v>
      </c>
    </row>
    <row r="735" spans="1:6" s="2036" customFormat="1" ht="15" x14ac:dyDescent="0.2">
      <c r="A735" s="2054" t="s">
        <v>5184</v>
      </c>
      <c r="B735" s="2054" t="s">
        <v>6051</v>
      </c>
      <c r="C735" s="2055" t="s">
        <v>6044</v>
      </c>
      <c r="D735" s="2056">
        <v>67.02</v>
      </c>
      <c r="E735" s="2057">
        <f t="shared" si="41"/>
        <v>7.3985668490282444E-6</v>
      </c>
      <c r="F735" s="2057">
        <f t="shared" si="42"/>
        <v>0.99975671498624463</v>
      </c>
    </row>
    <row r="736" spans="1:6" s="2036" customFormat="1" ht="30" x14ac:dyDescent="0.2">
      <c r="A736" s="2054" t="s">
        <v>5184</v>
      </c>
      <c r="B736" s="2054" t="s">
        <v>7517</v>
      </c>
      <c r="C736" s="2055" t="s">
        <v>6083</v>
      </c>
      <c r="D736" s="2056">
        <v>64.25</v>
      </c>
      <c r="E736" s="2057">
        <f t="shared" si="41"/>
        <v>7.09277708221523E-6</v>
      </c>
      <c r="F736" s="2057">
        <f t="shared" si="42"/>
        <v>0.99976380776332685</v>
      </c>
    </row>
    <row r="737" spans="1:6" s="2036" customFormat="1" ht="15" x14ac:dyDescent="0.2">
      <c r="A737" s="2054" t="s">
        <v>5184</v>
      </c>
      <c r="B737" s="2054" t="s">
        <v>15087</v>
      </c>
      <c r="C737" s="2055" t="s">
        <v>5972</v>
      </c>
      <c r="D737" s="2056">
        <v>61.4</v>
      </c>
      <c r="E737" s="2057">
        <f t="shared" si="41"/>
        <v>6.7781558419924532E-6</v>
      </c>
      <c r="F737" s="2057">
        <f t="shared" si="42"/>
        <v>0.9997705859191689</v>
      </c>
    </row>
    <row r="738" spans="1:6" s="2036" customFormat="1" ht="15" x14ac:dyDescent="0.2">
      <c r="A738" s="2054" t="s">
        <v>5184</v>
      </c>
      <c r="B738" s="2054" t="s">
        <v>9412</v>
      </c>
      <c r="C738" s="2055" t="s">
        <v>9108</v>
      </c>
      <c r="D738" s="2056">
        <v>61.08</v>
      </c>
      <c r="E738" s="2057">
        <f t="shared" si="41"/>
        <v>6.742829948353404E-6</v>
      </c>
      <c r="F738" s="2057">
        <f t="shared" si="42"/>
        <v>0.99977732874911729</v>
      </c>
    </row>
    <row r="739" spans="1:6" s="2036" customFormat="1" ht="30" x14ac:dyDescent="0.2">
      <c r="A739" s="2054" t="s">
        <v>5184</v>
      </c>
      <c r="B739" s="2054" t="s">
        <v>6966</v>
      </c>
      <c r="C739" s="2055" t="s">
        <v>6689</v>
      </c>
      <c r="D739" s="2056">
        <v>60.74</v>
      </c>
      <c r="E739" s="2057">
        <f t="shared" si="41"/>
        <v>6.7052961863619155E-6</v>
      </c>
      <c r="F739" s="2057">
        <f t="shared" si="42"/>
        <v>0.99978403404530369</v>
      </c>
    </row>
    <row r="740" spans="1:6" s="2036" customFormat="1" ht="15" x14ac:dyDescent="0.2">
      <c r="A740" s="2054" t="s">
        <v>5184</v>
      </c>
      <c r="B740" s="2054" t="s">
        <v>9377</v>
      </c>
      <c r="C740" s="2055" t="s">
        <v>9096</v>
      </c>
      <c r="D740" s="2056">
        <v>60.72</v>
      </c>
      <c r="E740" s="2057">
        <f t="shared" si="41"/>
        <v>6.7030883180094745E-6</v>
      </c>
      <c r="F740" s="2057">
        <f t="shared" ref="F740:F804" si="43">E740+F739</f>
        <v>0.99979073713362165</v>
      </c>
    </row>
    <row r="741" spans="1:6" s="2064" customFormat="1" ht="30" x14ac:dyDescent="0.2">
      <c r="A741" s="2054" t="s">
        <v>5184</v>
      </c>
      <c r="B741" s="2054" t="s">
        <v>7545</v>
      </c>
      <c r="C741" s="2055" t="s">
        <v>6153</v>
      </c>
      <c r="D741" s="2056">
        <v>60.14</v>
      </c>
      <c r="E741" s="2057">
        <f t="shared" si="41"/>
        <v>6.6390601357886991E-6</v>
      </c>
      <c r="F741" s="2057">
        <f t="shared" si="43"/>
        <v>0.99979737619375741</v>
      </c>
    </row>
    <row r="742" spans="1:6" s="2036" customFormat="1" ht="15" x14ac:dyDescent="0.2">
      <c r="A742" s="2054" t="s">
        <v>5184</v>
      </c>
      <c r="B742" s="2054" t="s">
        <v>9042</v>
      </c>
      <c r="C742" s="2055" t="s">
        <v>9044</v>
      </c>
      <c r="D742" s="2056">
        <v>59.13</v>
      </c>
      <c r="E742" s="2057">
        <f t="shared" si="41"/>
        <v>6.5275627839904527E-6</v>
      </c>
      <c r="F742" s="2057">
        <f t="shared" si="43"/>
        <v>0.99980390375654138</v>
      </c>
    </row>
    <row r="743" spans="1:6" s="2064" customFormat="1" ht="15" x14ac:dyDescent="0.2">
      <c r="A743" s="2054" t="s">
        <v>5184</v>
      </c>
      <c r="B743" s="2054" t="s">
        <v>9359</v>
      </c>
      <c r="C743" s="2055" t="s">
        <v>9089</v>
      </c>
      <c r="D743" s="2056">
        <v>57.35</v>
      </c>
      <c r="E743" s="2057">
        <f t="shared" si="41"/>
        <v>6.3310625006232445E-6</v>
      </c>
      <c r="F743" s="2057">
        <f t="shared" si="43"/>
        <v>0.99981023481904197</v>
      </c>
    </row>
    <row r="744" spans="1:6" s="2036" customFormat="1" ht="15" x14ac:dyDescent="0.2">
      <c r="A744" s="2054" t="s">
        <v>5184</v>
      </c>
      <c r="B744" s="2054" t="s">
        <v>9361</v>
      </c>
      <c r="C744" s="2055" t="s">
        <v>9090</v>
      </c>
      <c r="D744" s="2056">
        <v>57.09</v>
      </c>
      <c r="E744" s="2057">
        <f t="shared" si="41"/>
        <v>6.3023602120415174E-6</v>
      </c>
      <c r="F744" s="2057">
        <f t="shared" si="43"/>
        <v>0.99981653717925401</v>
      </c>
    </row>
    <row r="745" spans="1:6" s="2036" customFormat="1" ht="15" x14ac:dyDescent="0.2">
      <c r="A745" s="2054" t="s">
        <v>5184</v>
      </c>
      <c r="B745" s="2054" t="s">
        <v>7544</v>
      </c>
      <c r="C745" s="2055" t="s">
        <v>6110</v>
      </c>
      <c r="D745" s="2056">
        <v>56.86</v>
      </c>
      <c r="E745" s="2057">
        <f t="shared" si="41"/>
        <v>6.2769697259884506E-6</v>
      </c>
      <c r="F745" s="2057">
        <f t="shared" si="43"/>
        <v>0.99982281414898</v>
      </c>
    </row>
    <row r="746" spans="1:6" s="2036" customFormat="1" ht="15" x14ac:dyDescent="0.2">
      <c r="A746" s="2054" t="s">
        <v>5184</v>
      </c>
      <c r="B746" s="2054" t="s">
        <v>9351</v>
      </c>
      <c r="C746" s="2055" t="s">
        <v>9085</v>
      </c>
      <c r="D746" s="2056">
        <v>56.82</v>
      </c>
      <c r="E746" s="2057">
        <f t="shared" si="41"/>
        <v>6.2725539892835703E-6</v>
      </c>
      <c r="F746" s="2057">
        <f t="shared" si="43"/>
        <v>0.99982908670296933</v>
      </c>
    </row>
    <row r="747" spans="1:6" s="2036" customFormat="1" ht="15" x14ac:dyDescent="0.2">
      <c r="A747" s="2054" t="s">
        <v>5184</v>
      </c>
      <c r="B747" s="2054" t="s">
        <v>9398</v>
      </c>
      <c r="C747" s="2055" t="s">
        <v>9103</v>
      </c>
      <c r="D747" s="2056">
        <v>56.46</v>
      </c>
      <c r="E747" s="2057">
        <f t="shared" si="41"/>
        <v>6.2328123589396399E-6</v>
      </c>
      <c r="F747" s="2057">
        <f t="shared" si="43"/>
        <v>0.99983531951532822</v>
      </c>
    </row>
    <row r="748" spans="1:6" s="2036" customFormat="1" ht="15" x14ac:dyDescent="0.2">
      <c r="A748" s="2054" t="s">
        <v>5184</v>
      </c>
      <c r="B748" s="2054" t="s">
        <v>8560</v>
      </c>
      <c r="C748" s="2055" t="s">
        <v>5973</v>
      </c>
      <c r="D748" s="2056">
        <v>51.55</v>
      </c>
      <c r="E748" s="2057">
        <f t="shared" si="41"/>
        <v>5.6907806784154877E-6</v>
      </c>
      <c r="F748" s="2057">
        <f t="shared" si="43"/>
        <v>0.99984101029600669</v>
      </c>
    </row>
    <row r="749" spans="1:6" s="2006" customFormat="1" ht="30" x14ac:dyDescent="0.2">
      <c r="A749" s="2004" t="s">
        <v>15149</v>
      </c>
      <c r="B749" s="2004" t="s">
        <v>0</v>
      </c>
      <c r="C749" s="2004" t="s">
        <v>1</v>
      </c>
      <c r="D749" s="1990" t="s">
        <v>130</v>
      </c>
      <c r="E749" s="1989" t="s">
        <v>15139</v>
      </c>
      <c r="F749" s="1990" t="s">
        <v>15140</v>
      </c>
    </row>
    <row r="750" spans="1:6" s="2036" customFormat="1" ht="30" x14ac:dyDescent="0.2">
      <c r="A750" s="2054" t="s">
        <v>5184</v>
      </c>
      <c r="B750" s="2054" t="s">
        <v>7069</v>
      </c>
      <c r="C750" s="2055" t="s">
        <v>6146</v>
      </c>
      <c r="D750" s="2056">
        <v>51.06</v>
      </c>
      <c r="E750" s="2057">
        <f t="shared" ref="E750:E781" si="44">D750/SUM(D:D)</f>
        <v>5.6366879037806955E-6</v>
      </c>
      <c r="F750" s="2057">
        <f>E750+F748</f>
        <v>0.99984664698391046</v>
      </c>
    </row>
    <row r="751" spans="1:6" s="2036" customFormat="1" ht="30" x14ac:dyDescent="0.2">
      <c r="A751" s="2054" t="s">
        <v>5184</v>
      </c>
      <c r="B751" s="2054" t="s">
        <v>6996</v>
      </c>
      <c r="C751" s="2055" t="s">
        <v>5970</v>
      </c>
      <c r="D751" s="2056">
        <v>49.77</v>
      </c>
      <c r="E751" s="2057">
        <f t="shared" si="44"/>
        <v>5.4942803950482802E-6</v>
      </c>
      <c r="F751" s="2057">
        <f t="shared" si="43"/>
        <v>0.99985214126430555</v>
      </c>
    </row>
    <row r="752" spans="1:6" s="2036" customFormat="1" ht="15" x14ac:dyDescent="0.2">
      <c r="A752" s="2054" t="s">
        <v>5184</v>
      </c>
      <c r="B752" s="2054" t="s">
        <v>6825</v>
      </c>
      <c r="C752" s="2055" t="s">
        <v>6807</v>
      </c>
      <c r="D752" s="2056">
        <v>48</v>
      </c>
      <c r="E752" s="2057">
        <f t="shared" si="44"/>
        <v>5.298884045857292E-6</v>
      </c>
      <c r="F752" s="2057">
        <f>E752+F751</f>
        <v>0.99985744014835143</v>
      </c>
    </row>
    <row r="753" spans="1:6" s="2036" customFormat="1" ht="30" x14ac:dyDescent="0.2">
      <c r="A753" s="2054" t="s">
        <v>5184</v>
      </c>
      <c r="B753" s="2054" t="s">
        <v>7519</v>
      </c>
      <c r="C753" s="2055" t="s">
        <v>6085</v>
      </c>
      <c r="D753" s="2056">
        <v>47.79</v>
      </c>
      <c r="E753" s="2057">
        <f t="shared" si="44"/>
        <v>5.275701428156667E-6</v>
      </c>
      <c r="F753" s="2057">
        <f t="shared" si="43"/>
        <v>0.99986271584977959</v>
      </c>
    </row>
    <row r="754" spans="1:6" s="2064" customFormat="1" ht="15" x14ac:dyDescent="0.2">
      <c r="A754" s="2054" t="s">
        <v>5184</v>
      </c>
      <c r="B754" s="2054" t="s">
        <v>6149</v>
      </c>
      <c r="C754" s="2055" t="s">
        <v>6150</v>
      </c>
      <c r="D754" s="2056">
        <v>47.16</v>
      </c>
      <c r="E754" s="2057">
        <f t="shared" si="44"/>
        <v>5.2061535750547895E-6</v>
      </c>
      <c r="F754" s="2057">
        <f t="shared" si="43"/>
        <v>0.99986792200335461</v>
      </c>
    </row>
    <row r="755" spans="1:6" s="2036" customFormat="1" ht="15" x14ac:dyDescent="0.2">
      <c r="A755" s="2054" t="s">
        <v>5184</v>
      </c>
      <c r="B755" s="2054" t="s">
        <v>6981</v>
      </c>
      <c r="C755" s="2055" t="s">
        <v>5953</v>
      </c>
      <c r="D755" s="2056">
        <v>45.12</v>
      </c>
      <c r="E755" s="2057">
        <f t="shared" si="44"/>
        <v>4.9809510031058542E-6</v>
      </c>
      <c r="F755" s="2057">
        <f t="shared" si="43"/>
        <v>0.99987290295435771</v>
      </c>
    </row>
    <row r="756" spans="1:6" s="2064" customFormat="1" ht="15" x14ac:dyDescent="0.2">
      <c r="A756" s="2054" t="s">
        <v>5184</v>
      </c>
      <c r="B756" s="2054" t="s">
        <v>6976</v>
      </c>
      <c r="C756" s="2055" t="s">
        <v>5937</v>
      </c>
      <c r="D756" s="2056">
        <v>44.68</v>
      </c>
      <c r="E756" s="2057">
        <f t="shared" si="44"/>
        <v>4.9323778993521632E-6</v>
      </c>
      <c r="F756" s="2057">
        <f t="shared" si="43"/>
        <v>0.99987783533225705</v>
      </c>
    </row>
    <row r="757" spans="1:6" s="2036" customFormat="1" ht="15" x14ac:dyDescent="0.2">
      <c r="A757" s="2054" t="s">
        <v>5184</v>
      </c>
      <c r="B757" s="2054" t="s">
        <v>7507</v>
      </c>
      <c r="C757" s="2055" t="s">
        <v>6073</v>
      </c>
      <c r="D757" s="2056">
        <v>44.68</v>
      </c>
      <c r="E757" s="2057">
        <f t="shared" si="44"/>
        <v>4.9323778993521632E-6</v>
      </c>
      <c r="F757" s="2057">
        <f t="shared" si="43"/>
        <v>0.99988276771015638</v>
      </c>
    </row>
    <row r="758" spans="1:6" s="2036" customFormat="1" ht="15" x14ac:dyDescent="0.2">
      <c r="A758" s="2054" t="s">
        <v>5184</v>
      </c>
      <c r="B758" s="2054" t="s">
        <v>9352</v>
      </c>
      <c r="C758" s="2055" t="s">
        <v>9086</v>
      </c>
      <c r="D758" s="2056">
        <v>42.48</v>
      </c>
      <c r="E758" s="2057">
        <f t="shared" si="44"/>
        <v>4.6895123805837033E-6</v>
      </c>
      <c r="F758" s="2057">
        <f t="shared" si="43"/>
        <v>0.99988745722253691</v>
      </c>
    </row>
    <row r="759" spans="1:6" s="2036" customFormat="1" ht="15" x14ac:dyDescent="0.2">
      <c r="A759" s="2054" t="s">
        <v>5184</v>
      </c>
      <c r="B759" s="2054" t="s">
        <v>7521</v>
      </c>
      <c r="C759" s="2055" t="s">
        <v>6087</v>
      </c>
      <c r="D759" s="2056">
        <v>42.08</v>
      </c>
      <c r="E759" s="2057">
        <f t="shared" si="44"/>
        <v>4.6453550135348926E-6</v>
      </c>
      <c r="F759" s="2057">
        <f t="shared" si="43"/>
        <v>0.99989210257755046</v>
      </c>
    </row>
    <row r="760" spans="1:6" s="2036" customFormat="1" ht="15" x14ac:dyDescent="0.2">
      <c r="A760" s="2054" t="s">
        <v>5184</v>
      </c>
      <c r="B760" s="2054" t="s">
        <v>9505</v>
      </c>
      <c r="C760" s="2055" t="s">
        <v>9003</v>
      </c>
      <c r="D760" s="2056">
        <v>40.020000000000003</v>
      </c>
      <c r="E760" s="2057">
        <f t="shared" si="44"/>
        <v>4.417944573233518E-6</v>
      </c>
      <c r="F760" s="2057">
        <f t="shared" si="43"/>
        <v>0.99989652052212374</v>
      </c>
    </row>
    <row r="761" spans="1:6" s="2036" customFormat="1" ht="15" x14ac:dyDescent="0.2">
      <c r="A761" s="2054" t="s">
        <v>5184</v>
      </c>
      <c r="B761" s="2054" t="s">
        <v>9321</v>
      </c>
      <c r="C761" s="2055" t="s">
        <v>9069</v>
      </c>
      <c r="D761" s="2056">
        <v>39.119999999999997</v>
      </c>
      <c r="E761" s="2057">
        <f t="shared" si="44"/>
        <v>4.3185904973736933E-6</v>
      </c>
      <c r="F761" s="2057">
        <f t="shared" si="43"/>
        <v>0.99990083911262106</v>
      </c>
    </row>
    <row r="762" spans="1:6" s="2036" customFormat="1" ht="15" x14ac:dyDescent="0.2">
      <c r="A762" s="2054" t="s">
        <v>5184</v>
      </c>
      <c r="B762" s="2054" t="s">
        <v>7508</v>
      </c>
      <c r="C762" s="2055" t="s">
        <v>6074</v>
      </c>
      <c r="D762" s="2056">
        <v>38.49</v>
      </c>
      <c r="E762" s="2057">
        <f t="shared" si="44"/>
        <v>4.2490426442718167E-6</v>
      </c>
      <c r="F762" s="2057">
        <f t="shared" si="43"/>
        <v>0.99990508815526535</v>
      </c>
    </row>
    <row r="763" spans="1:6" s="2036" customFormat="1" ht="30" x14ac:dyDescent="0.2">
      <c r="A763" s="2054" t="s">
        <v>5184</v>
      </c>
      <c r="B763" s="2054" t="s">
        <v>6993</v>
      </c>
      <c r="C763" s="2055" t="s">
        <v>5967</v>
      </c>
      <c r="D763" s="2056">
        <v>36.24</v>
      </c>
      <c r="E763" s="2057">
        <f t="shared" si="44"/>
        <v>4.0006574546222564E-6</v>
      </c>
      <c r="F763" s="2057">
        <f t="shared" si="43"/>
        <v>0.99990908881272</v>
      </c>
    </row>
    <row r="764" spans="1:6" s="2036" customFormat="1" ht="15" x14ac:dyDescent="0.2">
      <c r="A764" s="2054" t="s">
        <v>5184</v>
      </c>
      <c r="B764" s="2054" t="s">
        <v>15084</v>
      </c>
      <c r="C764" s="2055" t="s">
        <v>7690</v>
      </c>
      <c r="D764" s="2056">
        <v>35.700000000000003</v>
      </c>
      <c r="E764" s="2057">
        <f t="shared" si="44"/>
        <v>3.9410450091063612E-6</v>
      </c>
      <c r="F764" s="2057">
        <f t="shared" si="43"/>
        <v>0.99991302985772912</v>
      </c>
    </row>
    <row r="765" spans="1:6" s="2036" customFormat="1" ht="15" x14ac:dyDescent="0.2">
      <c r="A765" s="2054" t="s">
        <v>5184</v>
      </c>
      <c r="B765" s="2054" t="s">
        <v>15086</v>
      </c>
      <c r="C765" s="2055" t="s">
        <v>7692</v>
      </c>
      <c r="D765" s="2056">
        <v>35.700000000000003</v>
      </c>
      <c r="E765" s="2057">
        <f t="shared" si="44"/>
        <v>3.9410450091063612E-6</v>
      </c>
      <c r="F765" s="2057">
        <f t="shared" si="43"/>
        <v>0.99991697090273823</v>
      </c>
    </row>
    <row r="766" spans="1:6" s="2036" customFormat="1" ht="15" x14ac:dyDescent="0.2">
      <c r="A766" s="2054" t="s">
        <v>5184</v>
      </c>
      <c r="B766" s="2054" t="s">
        <v>15085</v>
      </c>
      <c r="C766" s="2055" t="s">
        <v>7691</v>
      </c>
      <c r="D766" s="2056">
        <v>35.700000000000003</v>
      </c>
      <c r="E766" s="2057">
        <f t="shared" si="44"/>
        <v>3.9410450091063612E-6</v>
      </c>
      <c r="F766" s="2057">
        <f t="shared" si="43"/>
        <v>0.99992091194774735</v>
      </c>
    </row>
    <row r="767" spans="1:6" s="2036" customFormat="1" ht="15" x14ac:dyDescent="0.2">
      <c r="A767" s="2054" t="s">
        <v>5184</v>
      </c>
      <c r="B767" s="2054" t="s">
        <v>6979</v>
      </c>
      <c r="C767" s="2055" t="s">
        <v>5940</v>
      </c>
      <c r="D767" s="2056">
        <v>35.46</v>
      </c>
      <c r="E767" s="2057">
        <f t="shared" si="44"/>
        <v>3.9145505888770752E-6</v>
      </c>
      <c r="F767" s="2057">
        <f t="shared" si="43"/>
        <v>0.99992482649833625</v>
      </c>
    </row>
    <row r="768" spans="1:6" s="2036" customFormat="1" ht="15" x14ac:dyDescent="0.2">
      <c r="A768" s="2054" t="s">
        <v>5184</v>
      </c>
      <c r="B768" s="2054" t="s">
        <v>5987</v>
      </c>
      <c r="C768" s="2055" t="s">
        <v>5986</v>
      </c>
      <c r="D768" s="2056">
        <v>35.32</v>
      </c>
      <c r="E768" s="2057">
        <f t="shared" si="44"/>
        <v>3.8990955104099907E-6</v>
      </c>
      <c r="F768" s="2057">
        <f t="shared" si="43"/>
        <v>0.99992872559384671</v>
      </c>
    </row>
    <row r="769" spans="1:6" s="2036" customFormat="1" ht="30" x14ac:dyDescent="0.2">
      <c r="A769" s="2054" t="s">
        <v>5184</v>
      </c>
      <c r="B769" s="2054" t="s">
        <v>6995</v>
      </c>
      <c r="C769" s="2055" t="s">
        <v>5969</v>
      </c>
      <c r="D769" s="2056">
        <v>32.22</v>
      </c>
      <c r="E769" s="2057">
        <f t="shared" si="44"/>
        <v>3.5568759157817074E-6</v>
      </c>
      <c r="F769" s="2057">
        <f t="shared" si="43"/>
        <v>0.99993228246976251</v>
      </c>
    </row>
    <row r="770" spans="1:6" s="2036" customFormat="1" ht="15" x14ac:dyDescent="0.2">
      <c r="A770" s="2054" t="s">
        <v>5184</v>
      </c>
      <c r="B770" s="2054" t="s">
        <v>8981</v>
      </c>
      <c r="C770" s="2055" t="s">
        <v>8977</v>
      </c>
      <c r="D770" s="2056">
        <v>32.119999999999997</v>
      </c>
      <c r="E770" s="2057">
        <f t="shared" si="44"/>
        <v>3.5458365740195045E-6</v>
      </c>
      <c r="F770" s="2057">
        <f t="shared" si="43"/>
        <v>0.99993582830633654</v>
      </c>
    </row>
    <row r="771" spans="1:6" s="2036" customFormat="1" ht="15" x14ac:dyDescent="0.2">
      <c r="A771" s="2054" t="s">
        <v>5184</v>
      </c>
      <c r="B771" s="2054" t="s">
        <v>9347</v>
      </c>
      <c r="C771" s="2055" t="s">
        <v>9083</v>
      </c>
      <c r="D771" s="2056">
        <v>31.68</v>
      </c>
      <c r="E771" s="2057">
        <f t="shared" si="44"/>
        <v>3.4972634702658131E-6</v>
      </c>
      <c r="F771" s="2057">
        <f t="shared" si="43"/>
        <v>0.9999393255698068</v>
      </c>
    </row>
    <row r="772" spans="1:6" s="2036" customFormat="1" ht="30" x14ac:dyDescent="0.2">
      <c r="A772" s="2054" t="s">
        <v>5184</v>
      </c>
      <c r="B772" s="2054" t="s">
        <v>6966</v>
      </c>
      <c r="C772" s="2055" t="s">
        <v>6689</v>
      </c>
      <c r="D772" s="2056">
        <v>30.37</v>
      </c>
      <c r="E772" s="2057">
        <f t="shared" si="44"/>
        <v>3.3526480931809577E-6</v>
      </c>
      <c r="F772" s="2057">
        <f t="shared" si="43"/>
        <v>0.99994267821789995</v>
      </c>
    </row>
    <row r="773" spans="1:6" s="2036" customFormat="1" ht="30" x14ac:dyDescent="0.2">
      <c r="A773" s="2054" t="s">
        <v>5184</v>
      </c>
      <c r="B773" s="2054" t="s">
        <v>6990</v>
      </c>
      <c r="C773" s="2055" t="s">
        <v>5959</v>
      </c>
      <c r="D773" s="2056">
        <v>29.4</v>
      </c>
      <c r="E773" s="2057">
        <f t="shared" si="44"/>
        <v>3.2455664780875913E-6</v>
      </c>
      <c r="F773" s="2057">
        <f t="shared" si="43"/>
        <v>0.99994592378437808</v>
      </c>
    </row>
    <row r="774" spans="1:6" s="2036" customFormat="1" ht="15" x14ac:dyDescent="0.2">
      <c r="A774" s="2054" t="s">
        <v>5184</v>
      </c>
      <c r="B774" s="2054" t="s">
        <v>6989</v>
      </c>
      <c r="C774" s="2055" t="s">
        <v>5958</v>
      </c>
      <c r="D774" s="2056">
        <v>29.14</v>
      </c>
      <c r="E774" s="2057">
        <f t="shared" si="44"/>
        <v>3.2168641895058647E-6</v>
      </c>
      <c r="F774" s="2057">
        <f t="shared" si="43"/>
        <v>0.99994914064856755</v>
      </c>
    </row>
    <row r="775" spans="1:6" s="2036" customFormat="1" ht="15" x14ac:dyDescent="0.2">
      <c r="A775" s="2054" t="s">
        <v>5184</v>
      </c>
      <c r="B775" s="2054" t="s">
        <v>9414</v>
      </c>
      <c r="C775" s="2055" t="s">
        <v>9415</v>
      </c>
      <c r="D775" s="2056">
        <v>27.6</v>
      </c>
      <c r="E775" s="2057">
        <f t="shared" si="44"/>
        <v>3.0468583263679433E-6</v>
      </c>
      <c r="F775" s="2057">
        <f t="shared" si="43"/>
        <v>0.99995218750689396</v>
      </c>
    </row>
    <row r="776" spans="1:6" s="2036" customFormat="1" ht="15" x14ac:dyDescent="0.2">
      <c r="A776" s="2054" t="s">
        <v>5184</v>
      </c>
      <c r="B776" s="2054" t="s">
        <v>8984</v>
      </c>
      <c r="C776" s="2055" t="s">
        <v>8980</v>
      </c>
      <c r="D776" s="2056">
        <v>26.83</v>
      </c>
      <c r="E776" s="2057">
        <f t="shared" si="44"/>
        <v>2.9618553947989822E-6</v>
      </c>
      <c r="F776" s="2057">
        <f t="shared" si="43"/>
        <v>0.9999551493622888</v>
      </c>
    </row>
    <row r="777" spans="1:6" s="2036" customFormat="1" ht="15" x14ac:dyDescent="0.2">
      <c r="A777" s="2054" t="s">
        <v>5184</v>
      </c>
      <c r="B777" s="2054" t="s">
        <v>9349</v>
      </c>
      <c r="C777" s="2055" t="s">
        <v>9084</v>
      </c>
      <c r="D777" s="2056">
        <v>26.04</v>
      </c>
      <c r="E777" s="2057">
        <f t="shared" si="44"/>
        <v>2.8746445948775809E-6</v>
      </c>
      <c r="F777" s="2057">
        <f t="shared" si="43"/>
        <v>0.99995802400688372</v>
      </c>
    </row>
    <row r="778" spans="1:6" s="2036" customFormat="1" ht="30" x14ac:dyDescent="0.2">
      <c r="A778" s="2054" t="s">
        <v>5184</v>
      </c>
      <c r="B778" s="2054" t="s">
        <v>6758</v>
      </c>
      <c r="C778" s="2055" t="s">
        <v>7458</v>
      </c>
      <c r="D778" s="2056">
        <v>26.02</v>
      </c>
      <c r="E778" s="2057">
        <f t="shared" si="44"/>
        <v>2.8724367265251404E-6</v>
      </c>
      <c r="F778" s="2057">
        <f t="shared" si="43"/>
        <v>0.99996089644361019</v>
      </c>
    </row>
    <row r="779" spans="1:6" s="2036" customFormat="1" ht="15" x14ac:dyDescent="0.2">
      <c r="A779" s="2054" t="s">
        <v>5184</v>
      </c>
      <c r="B779" s="2054" t="s">
        <v>9409</v>
      </c>
      <c r="C779" s="2055" t="s">
        <v>9106</v>
      </c>
      <c r="D779" s="2056">
        <v>25.4</v>
      </c>
      <c r="E779" s="2057">
        <f t="shared" si="44"/>
        <v>2.8039928075994838E-6</v>
      </c>
      <c r="F779" s="2057">
        <f t="shared" si="43"/>
        <v>0.9999637004364178</v>
      </c>
    </row>
    <row r="780" spans="1:6" s="2036" customFormat="1" ht="30" x14ac:dyDescent="0.2">
      <c r="A780" s="2054" t="s">
        <v>5184</v>
      </c>
      <c r="B780" s="2054" t="s">
        <v>6993</v>
      </c>
      <c r="C780" s="2055" t="s">
        <v>5971</v>
      </c>
      <c r="D780" s="2056">
        <v>23.74</v>
      </c>
      <c r="E780" s="2057">
        <f t="shared" si="44"/>
        <v>2.620739734346919E-6</v>
      </c>
      <c r="F780" s="2057">
        <f t="shared" si="43"/>
        <v>0.99996632117615214</v>
      </c>
    </row>
    <row r="781" spans="1:6" s="2036" customFormat="1" ht="15" x14ac:dyDescent="0.2">
      <c r="A781" s="2054" t="s">
        <v>5184</v>
      </c>
      <c r="B781" s="2054" t="s">
        <v>6972</v>
      </c>
      <c r="C781" s="2055" t="s">
        <v>5933</v>
      </c>
      <c r="D781" s="2056">
        <v>22.92</v>
      </c>
      <c r="E781" s="2057">
        <f t="shared" si="44"/>
        <v>2.5302171318968575E-6</v>
      </c>
      <c r="F781" s="2057">
        <f t="shared" si="43"/>
        <v>0.99996885139328406</v>
      </c>
    </row>
    <row r="782" spans="1:6" s="2036" customFormat="1" ht="15" x14ac:dyDescent="0.2">
      <c r="A782" s="2054" t="s">
        <v>5184</v>
      </c>
      <c r="B782" s="2054" t="s">
        <v>6977</v>
      </c>
      <c r="C782" s="2055" t="s">
        <v>5938</v>
      </c>
      <c r="D782" s="2056">
        <v>20.82</v>
      </c>
      <c r="E782" s="2057">
        <f t="shared" ref="E782:E813" si="45">D782/SUM(D:D)</f>
        <v>2.2983909548906008E-6</v>
      </c>
      <c r="F782" s="2057">
        <f t="shared" si="43"/>
        <v>0.99997114978423896</v>
      </c>
    </row>
    <row r="783" spans="1:6" s="2036" customFormat="1" ht="15" x14ac:dyDescent="0.2">
      <c r="A783" s="2054" t="s">
        <v>5184</v>
      </c>
      <c r="B783" s="2054" t="s">
        <v>6974</v>
      </c>
      <c r="C783" s="2055" t="s">
        <v>5935</v>
      </c>
      <c r="D783" s="2056">
        <v>19.7</v>
      </c>
      <c r="E783" s="2057">
        <f t="shared" si="45"/>
        <v>2.1747503271539303E-6</v>
      </c>
      <c r="F783" s="2057">
        <f t="shared" si="43"/>
        <v>0.99997332453456611</v>
      </c>
    </row>
    <row r="784" spans="1:6" s="2036" customFormat="1" ht="15" x14ac:dyDescent="0.2">
      <c r="A784" s="2054" t="s">
        <v>5184</v>
      </c>
      <c r="B784" s="2054" t="s">
        <v>9417</v>
      </c>
      <c r="C784" s="2055" t="s">
        <v>9110</v>
      </c>
      <c r="D784" s="2056">
        <v>18.12</v>
      </c>
      <c r="E784" s="2057">
        <f t="shared" si="45"/>
        <v>2.0003287273111282E-6</v>
      </c>
      <c r="F784" s="2057">
        <f t="shared" si="43"/>
        <v>0.99997532486329344</v>
      </c>
    </row>
    <row r="785" spans="1:6" s="2036" customFormat="1" ht="15" x14ac:dyDescent="0.2">
      <c r="A785" s="2054" t="s">
        <v>5184</v>
      </c>
      <c r="B785" s="2054" t="s">
        <v>6980</v>
      </c>
      <c r="C785" s="2055" t="s">
        <v>6688</v>
      </c>
      <c r="D785" s="2056">
        <v>17.940000000000001</v>
      </c>
      <c r="E785" s="2057">
        <f t="shared" si="45"/>
        <v>1.980457912139163E-6</v>
      </c>
      <c r="F785" s="2057">
        <f t="shared" si="43"/>
        <v>0.99997730532120555</v>
      </c>
    </row>
    <row r="786" spans="1:6" s="2036" customFormat="1" ht="15" x14ac:dyDescent="0.2">
      <c r="A786" s="2054" t="s">
        <v>5184</v>
      </c>
      <c r="B786" s="2054" t="s">
        <v>9390</v>
      </c>
      <c r="C786" s="2055" t="s">
        <v>9100</v>
      </c>
      <c r="D786" s="2056">
        <v>17.600000000000001</v>
      </c>
      <c r="E786" s="2057">
        <f t="shared" si="45"/>
        <v>1.9429241501476741E-6</v>
      </c>
      <c r="F786" s="2057">
        <f t="shared" si="43"/>
        <v>0.99997924824535567</v>
      </c>
    </row>
    <row r="787" spans="1:6" s="2036" customFormat="1" ht="15" x14ac:dyDescent="0.2">
      <c r="A787" s="2054" t="s">
        <v>5184</v>
      </c>
      <c r="B787" s="2054" t="s">
        <v>8885</v>
      </c>
      <c r="C787" s="2055" t="s">
        <v>8882</v>
      </c>
      <c r="D787" s="2056">
        <v>17.57</v>
      </c>
      <c r="E787" s="2057">
        <f t="shared" si="45"/>
        <v>1.939612347619013E-6</v>
      </c>
      <c r="F787" s="2057">
        <f t="shared" si="43"/>
        <v>0.99998118785770329</v>
      </c>
    </row>
    <row r="788" spans="1:6" s="2036" customFormat="1" ht="15" x14ac:dyDescent="0.2">
      <c r="A788" s="2054" t="s">
        <v>5184</v>
      </c>
      <c r="B788" s="2054" t="s">
        <v>6994</v>
      </c>
      <c r="C788" s="2055" t="s">
        <v>5976</v>
      </c>
      <c r="D788" s="2056">
        <v>16.829999999999998</v>
      </c>
      <c r="E788" s="2057">
        <f t="shared" si="45"/>
        <v>1.8579212185787129E-6</v>
      </c>
      <c r="F788" s="2057">
        <f t="shared" si="43"/>
        <v>0.99998304577892183</v>
      </c>
    </row>
    <row r="789" spans="1:6" s="2036" customFormat="1" ht="30" x14ac:dyDescent="0.2">
      <c r="A789" s="2054" t="s">
        <v>5184</v>
      </c>
      <c r="B789" s="2054" t="s">
        <v>7514</v>
      </c>
      <c r="C789" s="2055" t="s">
        <v>6080</v>
      </c>
      <c r="D789" s="2056">
        <v>16.03</v>
      </c>
      <c r="E789" s="2057">
        <f t="shared" si="45"/>
        <v>1.7696064844810918E-6</v>
      </c>
      <c r="F789" s="2057">
        <f t="shared" si="43"/>
        <v>0.99998481538540629</v>
      </c>
    </row>
    <row r="790" spans="1:6" s="2036" customFormat="1" ht="15" x14ac:dyDescent="0.2">
      <c r="A790" s="2054" t="s">
        <v>5184</v>
      </c>
      <c r="B790" s="2054" t="s">
        <v>7538</v>
      </c>
      <c r="C790" s="2055" t="s">
        <v>6104</v>
      </c>
      <c r="D790" s="2056">
        <v>14.97</v>
      </c>
      <c r="E790" s="2057">
        <f t="shared" si="45"/>
        <v>1.6525894618017432E-6</v>
      </c>
      <c r="F790" s="2057">
        <f t="shared" si="43"/>
        <v>0.99998646797486812</v>
      </c>
    </row>
    <row r="791" spans="1:6" s="2036" customFormat="1" ht="15" x14ac:dyDescent="0.2">
      <c r="A791" s="2054" t="s">
        <v>5184</v>
      </c>
      <c r="B791" s="2054" t="s">
        <v>9358</v>
      </c>
      <c r="C791" s="2055" t="s">
        <v>9088</v>
      </c>
      <c r="D791" s="2056">
        <v>14.96</v>
      </c>
      <c r="E791" s="2057">
        <f t="shared" si="45"/>
        <v>1.6514855276255229E-6</v>
      </c>
      <c r="F791" s="2057">
        <f t="shared" si="43"/>
        <v>0.99998811946039579</v>
      </c>
    </row>
    <row r="792" spans="1:6" s="2036" customFormat="1" ht="15" x14ac:dyDescent="0.2">
      <c r="A792" s="2054" t="s">
        <v>5184</v>
      </c>
      <c r="B792" s="2054" t="s">
        <v>9325</v>
      </c>
      <c r="C792" s="2055" t="s">
        <v>9073</v>
      </c>
      <c r="D792" s="2056">
        <v>12.87</v>
      </c>
      <c r="E792" s="2057">
        <f t="shared" si="45"/>
        <v>1.4207632847954864E-6</v>
      </c>
      <c r="F792" s="2057">
        <f t="shared" si="43"/>
        <v>0.99998954022368058</v>
      </c>
    </row>
    <row r="793" spans="1:6" s="2036" customFormat="1" ht="15" x14ac:dyDescent="0.2">
      <c r="A793" s="2054" t="s">
        <v>5184</v>
      </c>
      <c r="B793" s="2054" t="s">
        <v>9429</v>
      </c>
      <c r="C793" s="2055" t="s">
        <v>9125</v>
      </c>
      <c r="D793" s="2056">
        <v>12.57</v>
      </c>
      <c r="E793" s="2057">
        <f t="shared" si="45"/>
        <v>1.3876452595088786E-6</v>
      </c>
      <c r="F793" s="2057">
        <f t="shared" si="43"/>
        <v>0.99999092786894006</v>
      </c>
    </row>
    <row r="794" spans="1:6" s="2036" customFormat="1" ht="15" x14ac:dyDescent="0.2">
      <c r="A794" s="2054" t="s">
        <v>5184</v>
      </c>
      <c r="B794" s="2054" t="s">
        <v>6978</v>
      </c>
      <c r="C794" s="2055" t="s">
        <v>5939</v>
      </c>
      <c r="D794" s="2056">
        <v>10.75</v>
      </c>
      <c r="E794" s="2057">
        <f t="shared" si="45"/>
        <v>1.1867292394367894E-6</v>
      </c>
      <c r="F794" s="2057">
        <f t="shared" si="43"/>
        <v>0.99999211459817949</v>
      </c>
    </row>
    <row r="795" spans="1:6" s="2064" customFormat="1" ht="30" x14ac:dyDescent="0.2">
      <c r="A795" s="2054" t="s">
        <v>5184</v>
      </c>
      <c r="B795" s="2054" t="s">
        <v>6994</v>
      </c>
      <c r="C795" s="2055" t="s">
        <v>5968</v>
      </c>
      <c r="D795" s="2056">
        <v>10.56</v>
      </c>
      <c r="E795" s="2057">
        <f t="shared" si="45"/>
        <v>1.1657544900886043E-6</v>
      </c>
      <c r="F795" s="2057">
        <f t="shared" si="43"/>
        <v>0.99999328035266954</v>
      </c>
    </row>
    <row r="796" spans="1:6" s="2036" customFormat="1" ht="15" x14ac:dyDescent="0.2">
      <c r="A796" s="2054" t="s">
        <v>5184</v>
      </c>
      <c r="B796" s="2054" t="s">
        <v>9327</v>
      </c>
      <c r="C796" s="2055" t="s">
        <v>9075</v>
      </c>
      <c r="D796" s="2056">
        <v>10.44</v>
      </c>
      <c r="E796" s="2057">
        <f t="shared" si="45"/>
        <v>1.1525072799739611E-6</v>
      </c>
      <c r="F796" s="2057">
        <f t="shared" si="43"/>
        <v>0.99999443285994949</v>
      </c>
    </row>
    <row r="797" spans="1:6" s="2036" customFormat="1" ht="15" x14ac:dyDescent="0.2">
      <c r="A797" s="2054" t="s">
        <v>5184</v>
      </c>
      <c r="B797" s="2054" t="s">
        <v>8894</v>
      </c>
      <c r="C797" s="2058" t="s">
        <v>8892</v>
      </c>
      <c r="D797" s="2056">
        <v>10.43</v>
      </c>
      <c r="E797" s="2057">
        <f t="shared" si="45"/>
        <v>1.1514033457977408E-6</v>
      </c>
      <c r="F797" s="2057">
        <f t="shared" si="43"/>
        <v>0.99999558426329527</v>
      </c>
    </row>
    <row r="798" spans="1:6" s="2036" customFormat="1" ht="15" x14ac:dyDescent="0.2">
      <c r="A798" s="2054" t="s">
        <v>5184</v>
      </c>
      <c r="B798" s="2054" t="s">
        <v>9341</v>
      </c>
      <c r="C798" s="2055" t="s">
        <v>9339</v>
      </c>
      <c r="D798" s="2056">
        <v>10.119999999999999</v>
      </c>
      <c r="E798" s="2057">
        <f t="shared" si="45"/>
        <v>1.1171813863349125E-6</v>
      </c>
      <c r="F798" s="2057">
        <f t="shared" si="43"/>
        <v>0.99999670144468156</v>
      </c>
    </row>
    <row r="799" spans="1:6" s="2036" customFormat="1" ht="15" x14ac:dyDescent="0.2">
      <c r="A799" s="2054" t="s">
        <v>5184</v>
      </c>
      <c r="B799" s="2054" t="s">
        <v>9416</v>
      </c>
      <c r="C799" s="2055" t="s">
        <v>9418</v>
      </c>
      <c r="D799" s="2056">
        <v>8.3800000000000008</v>
      </c>
      <c r="E799" s="2057">
        <f t="shared" si="45"/>
        <v>9.2509683967258568E-7</v>
      </c>
      <c r="F799" s="2057">
        <f t="shared" si="43"/>
        <v>0.99999762654152125</v>
      </c>
    </row>
    <row r="800" spans="1:6" s="2006" customFormat="1" ht="30" x14ac:dyDescent="0.2">
      <c r="A800" s="2084" t="s">
        <v>15149</v>
      </c>
      <c r="B800" s="2084" t="s">
        <v>0</v>
      </c>
      <c r="C800" s="2084" t="s">
        <v>1</v>
      </c>
      <c r="D800" s="1990" t="s">
        <v>130</v>
      </c>
      <c r="E800" s="1989" t="s">
        <v>15139</v>
      </c>
      <c r="F800" s="1990" t="s">
        <v>15140</v>
      </c>
    </row>
    <row r="801" spans="1:6" s="2036" customFormat="1" ht="15" x14ac:dyDescent="0.2">
      <c r="A801" s="2054" t="s">
        <v>5184</v>
      </c>
      <c r="B801" s="2054" t="s">
        <v>7520</v>
      </c>
      <c r="C801" s="2055" t="s">
        <v>6086</v>
      </c>
      <c r="D801" s="2056">
        <v>7.02</v>
      </c>
      <c r="E801" s="2057">
        <f>D801/SUM(D:D)</f>
        <v>7.7496179170662896E-7</v>
      </c>
      <c r="F801" s="2057">
        <f>E801+F799</f>
        <v>0.99999840150331298</v>
      </c>
    </row>
    <row r="802" spans="1:6" s="2036" customFormat="1" ht="30" x14ac:dyDescent="0.2">
      <c r="A802" s="2054" t="s">
        <v>5184</v>
      </c>
      <c r="B802" s="2054" t="s">
        <v>6968</v>
      </c>
      <c r="C802" s="2055" t="s">
        <v>5931</v>
      </c>
      <c r="D802" s="2056">
        <v>6.85</v>
      </c>
      <c r="E802" s="2057">
        <f>D802/SUM(D:D)</f>
        <v>7.5619491071088439E-7</v>
      </c>
      <c r="F802" s="2057">
        <f t="shared" si="43"/>
        <v>0.99999915769822367</v>
      </c>
    </row>
    <row r="803" spans="1:6" s="2036" customFormat="1" ht="15" x14ac:dyDescent="0.2">
      <c r="A803" s="2054" t="s">
        <v>5184</v>
      </c>
      <c r="B803" s="2054" t="s">
        <v>6980</v>
      </c>
      <c r="C803" s="2055" t="s">
        <v>5950</v>
      </c>
      <c r="D803" s="2056">
        <v>5.95</v>
      </c>
      <c r="E803" s="2057">
        <f>D803/SUM(D:D)</f>
        <v>6.5684083485106028E-7</v>
      </c>
      <c r="F803" s="2057">
        <f t="shared" si="43"/>
        <v>0.99999981453905851</v>
      </c>
    </row>
    <row r="804" spans="1:6" s="2036" customFormat="1" ht="15" x14ac:dyDescent="0.2">
      <c r="A804" s="2054" t="s">
        <v>5184</v>
      </c>
      <c r="B804" s="2054" t="s">
        <v>9407</v>
      </c>
      <c r="C804" s="2055" t="s">
        <v>9105</v>
      </c>
      <c r="D804" s="2056">
        <v>1.68</v>
      </c>
      <c r="E804" s="2057">
        <f>D804/SUM(D:D)</f>
        <v>1.8546094160500524E-7</v>
      </c>
      <c r="F804" s="2057">
        <f t="shared" si="43"/>
        <v>1.0000000000000002</v>
      </c>
    </row>
  </sheetData>
  <sheetProtection selectLockedCells="1" selectUnlockedCells="1"/>
  <mergeCells count="5">
    <mergeCell ref="A12:F12"/>
    <mergeCell ref="A2:F2"/>
    <mergeCell ref="A3:F3"/>
    <mergeCell ref="A4:F4"/>
    <mergeCell ref="A7:F7"/>
  </mergeCells>
  <printOptions horizontalCentered="1"/>
  <pageMargins left="0.39370078740157483" right="0.39370078740157483" top="0.39370078740157483" bottom="0.98425196850393704" header="0" footer="0.39370078740157483"/>
  <pageSetup paperSize="9" scale="74" firstPageNumber="157" fitToHeight="0" orientation="portrait" useFirstPageNumber="1" r:id="rId1"/>
  <headerFooter alignWithMargins="0">
    <oddFooter>&amp;RPágina &amp;P de 249</oddFooter>
  </headerFooter>
  <rowBreaks count="21" manualBreakCount="21">
    <brk id="41" max="5" man="1"/>
    <brk id="71" max="5" man="1"/>
    <brk id="101" max="5" man="1"/>
    <brk id="130" max="5" man="1"/>
    <brk id="159" max="5" man="1"/>
    <brk id="191" max="5" man="1"/>
    <brk id="221" max="5" man="1"/>
    <brk id="256" max="5" man="1"/>
    <brk id="293" max="5" man="1"/>
    <brk id="333" max="5" man="1"/>
    <brk id="374" max="5" man="1"/>
    <brk id="414" max="5" man="1"/>
    <brk id="455" max="5" man="1"/>
    <brk id="495" max="5" man="1"/>
    <brk id="535" max="5" man="1"/>
    <brk id="576" max="5" man="1"/>
    <brk id="613" max="5" man="1"/>
    <brk id="653" max="5" man="1"/>
    <brk id="700" max="5" man="1"/>
    <brk id="748" max="5" man="1"/>
    <brk id="799"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19</vt:i4>
      </vt:variant>
      <vt:variant>
        <vt:lpstr>Intervalos Nomeados</vt:lpstr>
      </vt:variant>
      <vt:variant>
        <vt:i4>42</vt:i4>
      </vt:variant>
    </vt:vector>
  </HeadingPairs>
  <TitlesOfParts>
    <vt:vector size="61" baseType="lpstr">
      <vt:lpstr>Capa e Sumário</vt:lpstr>
      <vt:lpstr>Resumo</vt:lpstr>
      <vt:lpstr>Orç - Canteiro e Adm</vt:lpstr>
      <vt:lpstr>Orç - Prédio</vt:lpstr>
      <vt:lpstr>Orç - Reservatório</vt:lpstr>
      <vt:lpstr>Composições</vt:lpstr>
      <vt:lpstr>Planejamento da Obra</vt:lpstr>
      <vt:lpstr>CFF REV</vt:lpstr>
      <vt:lpstr>Curva ABC</vt:lpstr>
      <vt:lpstr>Cotações</vt:lpstr>
      <vt:lpstr>BDI</vt:lpstr>
      <vt:lpstr>Encargos</vt:lpstr>
      <vt:lpstr>Ref. Quantitativos</vt:lpstr>
      <vt:lpstr>QuantCanteiro</vt:lpstr>
      <vt:lpstr>QuantPrédio</vt:lpstr>
      <vt:lpstr>QuantReservatório</vt:lpstr>
      <vt:lpstr>QuantitativosÁgFria</vt:lpstr>
      <vt:lpstr>InsumosSinapi</vt:lpstr>
      <vt:lpstr>CompSinapi</vt:lpstr>
      <vt:lpstr>'Capa e Sumário'!Area_de_impressao</vt:lpstr>
      <vt:lpstr>'CFF REV'!Area_de_impressao</vt:lpstr>
      <vt:lpstr>Composições!Area_de_impressao</vt:lpstr>
      <vt:lpstr>Cotações!Area_de_impressao</vt:lpstr>
      <vt:lpstr>'Curva ABC'!Area_de_impressao</vt:lpstr>
      <vt:lpstr>'Orç - Canteiro e Adm'!Area_de_impressao</vt:lpstr>
      <vt:lpstr>'Orç - Prédio'!Area_de_impressao</vt:lpstr>
      <vt:lpstr>'Orç - Reservatório'!Area_de_impressao</vt:lpstr>
      <vt:lpstr>'Planejamento da Obra'!Area_de_impressao</vt:lpstr>
      <vt:lpstr>QuantCanteiro!Area_de_impressao</vt:lpstr>
      <vt:lpstr>QuantitativosÁgFria!Area_de_impressao</vt:lpstr>
      <vt:lpstr>QuantPrédio!Area_de_impressao</vt:lpstr>
      <vt:lpstr>QuantReservatório!Area_de_impressao</vt:lpstr>
      <vt:lpstr>'Ref. Quantitativos'!Area_de_impressao</vt:lpstr>
      <vt:lpstr>Resumo!Area_de_impressao</vt:lpstr>
      <vt:lpstr>'Curva ABC'!Excel_BuiltIn_Print_Area_1</vt:lpstr>
      <vt:lpstr>'Orç - Canteiro e Adm'!Excel_BuiltIn_Print_Area_1</vt:lpstr>
      <vt:lpstr>'Orç - Reservatório'!Excel_BuiltIn_Print_Area_1</vt:lpstr>
      <vt:lpstr>'Planejamento da Obra'!Excel_BuiltIn_Print_Area_1</vt:lpstr>
      <vt:lpstr>'Ref. Quantitativos'!Excel_BuiltIn_Print_Area_1</vt:lpstr>
      <vt:lpstr>Resumo!Excel_BuiltIn_Print_Area_1</vt:lpstr>
      <vt:lpstr>Excel_BuiltIn_Print_Area_1</vt:lpstr>
      <vt:lpstr>'Curva ABC'!Excel_BuiltIn_Print_Area_1_1</vt:lpstr>
      <vt:lpstr>'Orç - Canteiro e Adm'!Excel_BuiltIn_Print_Area_1_1</vt:lpstr>
      <vt:lpstr>'Orç - Reservatório'!Excel_BuiltIn_Print_Area_1_1</vt:lpstr>
      <vt:lpstr>'Planejamento da Obra'!Excel_BuiltIn_Print_Area_1_1</vt:lpstr>
      <vt:lpstr>'Ref. Quantitativos'!Excel_BuiltIn_Print_Area_1_1</vt:lpstr>
      <vt:lpstr>Resumo!Excel_BuiltIn_Print_Area_1_1</vt:lpstr>
      <vt:lpstr>Excel_BuiltIn_Print_Area_1_1</vt:lpstr>
      <vt:lpstr>'Capa e Sumário'!Titulos_de_impressao</vt:lpstr>
      <vt:lpstr>Composições!Titulos_de_impressao</vt:lpstr>
      <vt:lpstr>Cotações!Titulos_de_impressao</vt:lpstr>
      <vt:lpstr>'Curva ABC'!Titulos_de_impressao</vt:lpstr>
      <vt:lpstr>'Orç - Canteiro e Adm'!Titulos_de_impressao</vt:lpstr>
      <vt:lpstr>'Orç - Prédio'!Titulos_de_impressao</vt:lpstr>
      <vt:lpstr>'Orç - Reservatório'!Titulos_de_impressao</vt:lpstr>
      <vt:lpstr>'Planejamento da Obra'!Titulos_de_impressao</vt:lpstr>
      <vt:lpstr>QuantCanteiro!Titulos_de_impressao</vt:lpstr>
      <vt:lpstr>QuantPrédio!Titulos_de_impressao</vt:lpstr>
      <vt:lpstr>QuantReservatório!Titulos_de_impressao</vt:lpstr>
      <vt:lpstr>'Ref. Quantitativos'!Titulos_de_impressao</vt:lpstr>
      <vt:lpstr>Resumo!Titulos_de_impressao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Daniele Miranda</dc:creator>
  <cp:lastModifiedBy>Daniele Miranda</cp:lastModifiedBy>
  <cp:lastPrinted>2020-05-11T14:12:14Z</cp:lastPrinted>
  <dcterms:created xsi:type="dcterms:W3CDTF">2013-07-19T02:51:34Z</dcterms:created>
  <dcterms:modified xsi:type="dcterms:W3CDTF">2020-07-29T12:26:20Z</dcterms:modified>
</cp:coreProperties>
</file>